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S:\REAJUSTE\Permissionárias de Distribuição\2022\07- JULHO\12-Coprel - Ricardo\ZZZZ MSG 21jul\"/>
    </mc:Choice>
  </mc:AlternateContent>
  <xr:revisionPtr revIDLastSave="0" documentId="13_ncr:1_{5B61C875-8E26-4320-A6C1-E1FC1DB4473C}" xr6:coauthVersionLast="47" xr6:coauthVersionMax="47" xr10:uidLastSave="{00000000-0000-0000-0000-000000000000}"/>
  <bookViews>
    <workbookView xWindow="-21720" yWindow="1080" windowWidth="21840" windowHeight="13140" tabRatio="913" firstSheet="13" activeTab="15" xr2:uid="{1B9A30A7-FEBD-46F5-ADA7-A051C22BB6DF}"/>
  </bookViews>
  <sheets>
    <sheet name="Mercado_Receita" sheetId="1" r:id="rId1"/>
    <sheet name="EVENTOS" sheetId="2" r:id="rId2"/>
    <sheet name="TAR FIN" sheetId="61" r:id="rId3"/>
    <sheet name="MERCADO TUSD" sheetId="3" r:id="rId4"/>
    <sheet name="MERCADO TE" sheetId="4" r:id="rId5"/>
    <sheet name="CUSTOS" sheetId="5" r:id="rId6"/>
    <sheet name="TRANSICAO" sheetId="60" r:id="rId7"/>
    <sheet name="TR TUSD" sheetId="52" r:id="rId8"/>
    <sheet name="TUSD BE" sheetId="53" r:id="rId9"/>
    <sheet name="TUSD BF" sheetId="54" r:id="rId10"/>
    <sheet name="TUSD CVA" sheetId="55" r:id="rId11"/>
    <sheet name="TR TE" sheetId="56" r:id="rId12"/>
    <sheet name="TE BE" sheetId="57" r:id="rId13"/>
    <sheet name="TE BF" sheetId="58" r:id="rId14"/>
    <sheet name="TE CVA" sheetId="59" r:id="rId15"/>
    <sheet name="EFEITO" sheetId="62" r:id="rId16"/>
    <sheet name="SUBSIDIO" sheetId="63" r:id="rId17"/>
    <sheet name="TabDinEfeito" sheetId="64" r:id="rId18"/>
    <sheet name="TabDinSubsidio" sheetId="65" r:id="rId19"/>
    <sheet name="TABELAS REH" sheetId="73" r:id="rId20"/>
    <sheet name="CONSISTENCIA" sheetId="66" r:id="rId21"/>
    <sheet name="TUSD" sheetId="68" r:id="rId22"/>
    <sheet name="TE" sheetId="69" r:id="rId23"/>
    <sheet name="RESUMO TUSD" sheetId="70" r:id="rId24"/>
    <sheet name="RESUMO TE" sheetId="71" r:id="rId25"/>
    <sheet name="Descontos" sheetId="20" r:id="rId26"/>
    <sheet name="ERD" sheetId="72" r:id="rId27"/>
    <sheet name="TA - Aplicação" sheetId="74" r:id="rId28"/>
    <sheet name="TA - BE" sheetId="75" r:id="rId29"/>
    <sheet name="TA - CVA" sheetId="76" r:id="rId30"/>
  </sheets>
  <definedNames>
    <definedName name="DadosExternos_1" localSheetId="27" hidden="1">'TA - Aplicação'!$B$3:$AR$58</definedName>
    <definedName name="DadosExternos_1" localSheetId="28" hidden="1">'TA - BE'!$B$3:$AR$58</definedName>
    <definedName name="DadosExternos_1" localSheetId="29" hidden="1">'TA - CVA'!$B$3:$AR$58</definedName>
  </definedNames>
  <calcPr calcId="191029" iterate="1"/>
  <pivotCaches>
    <pivotCache cacheId="0" r:id="rId31"/>
    <pivotCache cacheId="1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8" i="72" l="1"/>
  <c r="V33" i="73" l="1"/>
  <c r="V32" i="73"/>
  <c r="V31" i="73"/>
  <c r="V30" i="73"/>
  <c r="V29" i="73"/>
  <c r="V28" i="73"/>
  <c r="V27" i="73"/>
  <c r="V26" i="73"/>
  <c r="V21" i="73"/>
  <c r="V16" i="73"/>
  <c r="V25" i="73"/>
  <c r="V20" i="73"/>
  <c r="V15" i="73"/>
  <c r="V24" i="73"/>
  <c r="V23" i="73"/>
  <c r="V22" i="73"/>
  <c r="V19" i="73"/>
  <c r="V18" i="73"/>
  <c r="V17" i="73"/>
  <c r="V14" i="73"/>
  <c r="V13" i="73"/>
  <c r="V12" i="73"/>
  <c r="V11" i="73"/>
  <c r="V9" i="73"/>
  <c r="V10" i="73"/>
  <c r="V8" i="73"/>
  <c r="V7" i="73"/>
  <c r="V6" i="73"/>
  <c r="V5" i="73"/>
  <c r="J15" i="73"/>
  <c r="J14" i="73"/>
  <c r="J10" i="73"/>
  <c r="J9" i="73"/>
  <c r="J6" i="73"/>
  <c r="J5" i="73"/>
  <c r="I3" i="72"/>
  <c r="K3" i="72"/>
  <c r="B2" i="72"/>
  <c r="C2" i="72"/>
  <c r="D2" i="72"/>
  <c r="E2" i="72"/>
  <c r="F2" i="72"/>
  <c r="G2" i="72"/>
  <c r="H2" i="72"/>
  <c r="I2" i="72"/>
  <c r="J2" i="72"/>
  <c r="K2" i="72"/>
  <c r="L2" i="72"/>
  <c r="B11" i="72"/>
  <c r="P11" i="5" l="1"/>
  <c r="P10" i="5"/>
  <c r="R10" i="5" s="1"/>
  <c r="P9" i="5"/>
  <c r="F44" i="5"/>
  <c r="E44" i="5"/>
  <c r="D44" i="5"/>
  <c r="F26" i="5"/>
  <c r="E26" i="5"/>
  <c r="D26" i="5"/>
  <c r="F25" i="5"/>
  <c r="E25" i="5"/>
  <c r="D25" i="5"/>
  <c r="F24" i="5"/>
  <c r="E24" i="5"/>
  <c r="D24" i="5"/>
  <c r="D13" i="5"/>
  <c r="F39" i="5"/>
  <c r="F17" i="5"/>
  <c r="F16" i="5"/>
  <c r="F12" i="5"/>
  <c r="F11" i="5"/>
  <c r="M15" i="5"/>
  <c r="M7" i="5"/>
  <c r="E36" i="5" s="1"/>
  <c r="R11" i="5" l="1"/>
  <c r="R9" i="5"/>
  <c r="F36" i="5"/>
  <c r="D36" i="5"/>
  <c r="D30" i="5" s="1"/>
  <c r="L5" i="71"/>
  <c r="K5" i="71"/>
  <c r="J5" i="71"/>
  <c r="I5" i="71"/>
  <c r="H5" i="71"/>
  <c r="G5" i="71"/>
  <c r="F5" i="71"/>
  <c r="E5" i="71"/>
  <c r="D5" i="71"/>
  <c r="C5" i="71"/>
  <c r="B5" i="71"/>
  <c r="I2" i="71"/>
  <c r="W5" i="70"/>
  <c r="V5" i="70"/>
  <c r="U5" i="70"/>
  <c r="T5" i="70"/>
  <c r="S5" i="70"/>
  <c r="R5" i="70"/>
  <c r="Q5" i="70"/>
  <c r="P5" i="70"/>
  <c r="O5" i="70"/>
  <c r="N5" i="70"/>
  <c r="M5" i="70"/>
  <c r="L5" i="70"/>
  <c r="K5" i="70"/>
  <c r="J5" i="70"/>
  <c r="I5" i="70"/>
  <c r="H5" i="70"/>
  <c r="G5" i="70"/>
  <c r="F5" i="70"/>
  <c r="E5" i="70"/>
  <c r="D5" i="70"/>
  <c r="C5" i="70"/>
  <c r="B5" i="70"/>
  <c r="I2" i="70"/>
  <c r="AE13" i="66"/>
  <c r="AD13" i="66"/>
  <c r="AC13" i="66"/>
  <c r="AB13" i="66"/>
  <c r="AA13" i="66"/>
  <c r="W13" i="66"/>
  <c r="V13" i="66"/>
  <c r="U13" i="66"/>
  <c r="AI13" i="66" s="1"/>
  <c r="T13" i="66"/>
  <c r="S13" i="66"/>
  <c r="R13" i="66"/>
  <c r="AE12" i="66"/>
  <c r="AD12" i="66"/>
  <c r="AE8" i="66"/>
  <c r="AD8" i="66"/>
  <c r="AC8" i="66"/>
  <c r="AB8" i="66"/>
  <c r="AA8" i="66"/>
  <c r="W8" i="66"/>
  <c r="V8" i="66"/>
  <c r="U8" i="66"/>
  <c r="AI8" i="66" s="1"/>
  <c r="T8" i="66"/>
  <c r="S8" i="66"/>
  <c r="R8" i="66"/>
  <c r="AE6" i="66"/>
  <c r="AD6" i="66"/>
  <c r="AC6" i="66"/>
  <c r="AB6" i="66"/>
  <c r="AA6" i="66"/>
  <c r="W6" i="66"/>
  <c r="V6" i="66"/>
  <c r="Y6" i="66" s="1"/>
  <c r="AG6" i="66" s="1"/>
  <c r="U6" i="66"/>
  <c r="AI6" i="66" s="1"/>
  <c r="T6" i="66"/>
  <c r="S6" i="66"/>
  <c r="R6" i="66"/>
  <c r="AE5" i="66"/>
  <c r="AD5" i="66"/>
  <c r="AE4" i="66"/>
  <c r="AD4" i="66"/>
  <c r="AI4" i="66" s="1"/>
  <c r="AC4" i="66"/>
  <c r="AB4" i="66"/>
  <c r="AA4" i="66"/>
  <c r="X4" i="66"/>
  <c r="AF4" i="66" s="1"/>
  <c r="W4" i="66"/>
  <c r="V4" i="66"/>
  <c r="U4" i="66"/>
  <c r="T4" i="66"/>
  <c r="S4" i="66"/>
  <c r="R4" i="66"/>
  <c r="AE3" i="66"/>
  <c r="AD3" i="66"/>
  <c r="AC3" i="66"/>
  <c r="AB3" i="66"/>
  <c r="AA3" i="66"/>
  <c r="W3" i="66"/>
  <c r="V3" i="66"/>
  <c r="U3" i="66"/>
  <c r="AI3" i="66" s="1"/>
  <c r="T3" i="66"/>
  <c r="S3" i="66"/>
  <c r="Y3" i="66" s="1"/>
  <c r="AG3" i="66" s="1"/>
  <c r="R3" i="66"/>
  <c r="J1082" i="66"/>
  <c r="M1082" i="66" s="1"/>
  <c r="J1081" i="66"/>
  <c r="J1080" i="66"/>
  <c r="J1079" i="66"/>
  <c r="J1078" i="66"/>
  <c r="M1078" i="66" s="1"/>
  <c r="J1077" i="66"/>
  <c r="M1077" i="66" s="1"/>
  <c r="J1076" i="66"/>
  <c r="J1075" i="66"/>
  <c r="J1074" i="66"/>
  <c r="M1074" i="66" s="1"/>
  <c r="J1073" i="66"/>
  <c r="J1072" i="66"/>
  <c r="M1072" i="66" s="1"/>
  <c r="J1071" i="66"/>
  <c r="J1070" i="66"/>
  <c r="M1070" i="66" s="1"/>
  <c r="J1069" i="66"/>
  <c r="J751" i="66"/>
  <c r="J750" i="66"/>
  <c r="J749" i="66"/>
  <c r="M749" i="66" s="1"/>
  <c r="J748" i="66"/>
  <c r="J747" i="66"/>
  <c r="J746" i="66"/>
  <c r="J745" i="66"/>
  <c r="M745" i="66" s="1"/>
  <c r="J744" i="66"/>
  <c r="J743" i="66"/>
  <c r="J742" i="66"/>
  <c r="J741" i="66"/>
  <c r="M741" i="66" s="1"/>
  <c r="J740" i="66"/>
  <c r="J739" i="66"/>
  <c r="L738" i="66"/>
  <c r="K738" i="66"/>
  <c r="L737" i="66"/>
  <c r="K737" i="66"/>
  <c r="L736" i="66"/>
  <c r="K736" i="66"/>
  <c r="L735" i="66"/>
  <c r="K735" i="66"/>
  <c r="L734" i="66"/>
  <c r="K734" i="66"/>
  <c r="L733" i="66"/>
  <c r="K733" i="66"/>
  <c r="L732" i="66"/>
  <c r="K732" i="66"/>
  <c r="L731" i="66"/>
  <c r="K731" i="66"/>
  <c r="L730" i="66"/>
  <c r="K730" i="66"/>
  <c r="L729" i="66"/>
  <c r="K729" i="66"/>
  <c r="L728" i="66"/>
  <c r="K728" i="66"/>
  <c r="L727" i="66"/>
  <c r="K727" i="66"/>
  <c r="L726" i="66"/>
  <c r="K726" i="66"/>
  <c r="J725" i="66"/>
  <c r="J724" i="66"/>
  <c r="J723" i="66"/>
  <c r="J722" i="66"/>
  <c r="J721" i="66"/>
  <c r="J720" i="66"/>
  <c r="J719" i="66"/>
  <c r="J718" i="66"/>
  <c r="J717" i="66"/>
  <c r="J716" i="66"/>
  <c r="J715" i="66"/>
  <c r="J714" i="66"/>
  <c r="J713" i="66"/>
  <c r="J712" i="66"/>
  <c r="J711" i="66"/>
  <c r="J710" i="66"/>
  <c r="J709" i="66"/>
  <c r="J708" i="66"/>
  <c r="J707" i="66"/>
  <c r="J706" i="66"/>
  <c r="J705" i="66"/>
  <c r="J704" i="66"/>
  <c r="J703" i="66"/>
  <c r="J702" i="66"/>
  <c r="J701" i="66"/>
  <c r="J700" i="66"/>
  <c r="J699" i="66"/>
  <c r="J698" i="66"/>
  <c r="J697" i="66"/>
  <c r="J696" i="66"/>
  <c r="J695" i="66"/>
  <c r="J694" i="66"/>
  <c r="J693" i="66"/>
  <c r="J692" i="66"/>
  <c r="J691" i="66"/>
  <c r="J690" i="66"/>
  <c r="J689" i="66"/>
  <c r="J688" i="66"/>
  <c r="J687" i="66"/>
  <c r="J686" i="66"/>
  <c r="J685" i="66"/>
  <c r="J684" i="66"/>
  <c r="L683" i="66"/>
  <c r="K683" i="66"/>
  <c r="L682" i="66"/>
  <c r="K682" i="66"/>
  <c r="L681" i="66"/>
  <c r="K681" i="66"/>
  <c r="L680" i="66"/>
  <c r="K680" i="66"/>
  <c r="L679" i="66"/>
  <c r="K679" i="66"/>
  <c r="L678" i="66"/>
  <c r="K678" i="66"/>
  <c r="L677" i="66"/>
  <c r="K677" i="66"/>
  <c r="L676" i="66"/>
  <c r="K676" i="66"/>
  <c r="L675" i="66"/>
  <c r="K675" i="66"/>
  <c r="L674" i="66"/>
  <c r="K674" i="66"/>
  <c r="L673" i="66"/>
  <c r="K673" i="66"/>
  <c r="L672" i="66"/>
  <c r="K672" i="66"/>
  <c r="L671" i="66"/>
  <c r="K671" i="66"/>
  <c r="L670" i="66"/>
  <c r="K670" i="66"/>
  <c r="L669" i="66"/>
  <c r="K669" i="66"/>
  <c r="L668" i="66"/>
  <c r="K668" i="66"/>
  <c r="L667" i="66"/>
  <c r="K667" i="66"/>
  <c r="L666" i="66"/>
  <c r="K666" i="66"/>
  <c r="L665" i="66"/>
  <c r="K665" i="66"/>
  <c r="L664" i="66"/>
  <c r="K664" i="66"/>
  <c r="L663" i="66"/>
  <c r="K663" i="66"/>
  <c r="L662" i="66"/>
  <c r="K662" i="66"/>
  <c r="L661" i="66"/>
  <c r="K661" i="66"/>
  <c r="L660" i="66"/>
  <c r="K660" i="66"/>
  <c r="L659" i="66"/>
  <c r="K659" i="66"/>
  <c r="L658" i="66"/>
  <c r="K658" i="66"/>
  <c r="L657" i="66"/>
  <c r="K657" i="66"/>
  <c r="L656" i="66"/>
  <c r="K656" i="66"/>
  <c r="L655" i="66"/>
  <c r="K655" i="66"/>
  <c r="L654" i="66"/>
  <c r="K654" i="66"/>
  <c r="J653" i="66"/>
  <c r="J652" i="66"/>
  <c r="J651" i="66"/>
  <c r="J650" i="66"/>
  <c r="J649" i="66"/>
  <c r="J648" i="66"/>
  <c r="J647" i="66"/>
  <c r="J646" i="66"/>
  <c r="J645" i="66"/>
  <c r="J644" i="66"/>
  <c r="J643" i="66"/>
  <c r="J642" i="66"/>
  <c r="J641" i="66"/>
  <c r="J640" i="66"/>
  <c r="J639" i="66"/>
  <c r="J638" i="66"/>
  <c r="J637" i="66"/>
  <c r="J636" i="66"/>
  <c r="J635" i="66"/>
  <c r="J634" i="66"/>
  <c r="J633" i="66"/>
  <c r="J632" i="66"/>
  <c r="J631" i="66"/>
  <c r="J630" i="66"/>
  <c r="J629" i="66"/>
  <c r="J628" i="66"/>
  <c r="J627" i="66"/>
  <c r="J626" i="66"/>
  <c r="J625" i="66"/>
  <c r="J624" i="66"/>
  <c r="L623" i="66"/>
  <c r="K623" i="66"/>
  <c r="L622" i="66"/>
  <c r="K622" i="66"/>
  <c r="L621" i="66"/>
  <c r="K621" i="66"/>
  <c r="L620" i="66"/>
  <c r="K620" i="66"/>
  <c r="L619" i="66"/>
  <c r="K619" i="66"/>
  <c r="L618" i="66"/>
  <c r="K618" i="66"/>
  <c r="L617" i="66"/>
  <c r="K617" i="66"/>
  <c r="L616" i="66"/>
  <c r="K616" i="66"/>
  <c r="L615" i="66"/>
  <c r="K615" i="66"/>
  <c r="L614" i="66"/>
  <c r="K614" i="66"/>
  <c r="L613" i="66"/>
  <c r="K613" i="66"/>
  <c r="L612" i="66"/>
  <c r="K612" i="66"/>
  <c r="L611" i="66"/>
  <c r="K611" i="66"/>
  <c r="L610" i="66"/>
  <c r="K610" i="66"/>
  <c r="L609" i="66"/>
  <c r="K609" i="66"/>
  <c r="L608" i="66"/>
  <c r="K608" i="66"/>
  <c r="L607" i="66"/>
  <c r="K607" i="66"/>
  <c r="L606" i="66"/>
  <c r="K606" i="66"/>
  <c r="L605" i="66"/>
  <c r="K605" i="66"/>
  <c r="L604" i="66"/>
  <c r="K604" i="66"/>
  <c r="L603" i="66"/>
  <c r="K603" i="66"/>
  <c r="L602" i="66"/>
  <c r="K602" i="66"/>
  <c r="L601" i="66"/>
  <c r="K601" i="66"/>
  <c r="L600" i="66"/>
  <c r="K600" i="66"/>
  <c r="L599" i="66"/>
  <c r="K599" i="66"/>
  <c r="L598" i="66"/>
  <c r="K598" i="66"/>
  <c r="L597" i="66"/>
  <c r="K597" i="66"/>
  <c r="L596" i="66"/>
  <c r="K596" i="66"/>
  <c r="L595" i="66"/>
  <c r="K595" i="66"/>
  <c r="J594" i="66"/>
  <c r="J593" i="66"/>
  <c r="J592" i="66"/>
  <c r="J591" i="66"/>
  <c r="J590" i="66"/>
  <c r="J589" i="66"/>
  <c r="J588" i="66"/>
  <c r="J587" i="66"/>
  <c r="J586" i="66"/>
  <c r="J585" i="66"/>
  <c r="J584" i="66"/>
  <c r="J583" i="66"/>
  <c r="J582" i="66"/>
  <c r="J581" i="66"/>
  <c r="J580" i="66"/>
  <c r="J579" i="66"/>
  <c r="J578" i="66"/>
  <c r="J577" i="66"/>
  <c r="J576" i="66"/>
  <c r="J575" i="66"/>
  <c r="J574" i="66"/>
  <c r="J573" i="66"/>
  <c r="J572" i="66"/>
  <c r="J571" i="66"/>
  <c r="J570" i="66"/>
  <c r="J569" i="66"/>
  <c r="J568" i="66"/>
  <c r="J567" i="66"/>
  <c r="J566" i="66"/>
  <c r="J565" i="66"/>
  <c r="J564" i="66"/>
  <c r="J563" i="66"/>
  <c r="J562" i="66"/>
  <c r="J561" i="66"/>
  <c r="J560" i="66"/>
  <c r="J559" i="66"/>
  <c r="J558" i="66"/>
  <c r="J557" i="66"/>
  <c r="J556" i="66"/>
  <c r="J555" i="66"/>
  <c r="J554" i="66"/>
  <c r="J553" i="66"/>
  <c r="J552" i="66"/>
  <c r="J551" i="66"/>
  <c r="J550" i="66"/>
  <c r="J549" i="66"/>
  <c r="J548" i="66"/>
  <c r="J547" i="66"/>
  <c r="J546" i="66"/>
  <c r="J545" i="66"/>
  <c r="J544" i="66"/>
  <c r="J543" i="66"/>
  <c r="J542" i="66"/>
  <c r="J541" i="66"/>
  <c r="J540" i="66"/>
  <c r="J539" i="66"/>
  <c r="J538" i="66"/>
  <c r="J537" i="66"/>
  <c r="J536" i="66"/>
  <c r="J535" i="66"/>
  <c r="J534" i="66"/>
  <c r="J533" i="66"/>
  <c r="J532" i="66"/>
  <c r="J531" i="66"/>
  <c r="J530" i="66"/>
  <c r="J529" i="66"/>
  <c r="J528" i="66"/>
  <c r="J527" i="66"/>
  <c r="J526" i="66"/>
  <c r="J525" i="66"/>
  <c r="J524" i="66"/>
  <c r="J523" i="66"/>
  <c r="J522" i="66"/>
  <c r="J521" i="66"/>
  <c r="J520" i="66"/>
  <c r="J519" i="66"/>
  <c r="J518" i="66"/>
  <c r="J517" i="66"/>
  <c r="J1099" i="66"/>
  <c r="M1099" i="66" s="1"/>
  <c r="M1098" i="66"/>
  <c r="J1098" i="66"/>
  <c r="M1097" i="66"/>
  <c r="J1097" i="66"/>
  <c r="M1096" i="66"/>
  <c r="J1096" i="66"/>
  <c r="J1095" i="66"/>
  <c r="M1095" i="66" s="1"/>
  <c r="J1094" i="66"/>
  <c r="M1094" i="66" s="1"/>
  <c r="J1093" i="66"/>
  <c r="M1093" i="66" s="1"/>
  <c r="M1092" i="66"/>
  <c r="J1092" i="66"/>
  <c r="J1091" i="66"/>
  <c r="M1091" i="66" s="1"/>
  <c r="J1090" i="66"/>
  <c r="M1090" i="66" s="1"/>
  <c r="M1089" i="66"/>
  <c r="J1089" i="66"/>
  <c r="J1088" i="66"/>
  <c r="M1088" i="66" s="1"/>
  <c r="J1087" i="66"/>
  <c r="M1087" i="66" s="1"/>
  <c r="J1086" i="66"/>
  <c r="M1086" i="66" s="1"/>
  <c r="J1085" i="66"/>
  <c r="M1085" i="66" s="1"/>
  <c r="J1084" i="66"/>
  <c r="M1084" i="66" s="1"/>
  <c r="M1083" i="66"/>
  <c r="J1083" i="66"/>
  <c r="M1081" i="66"/>
  <c r="M1080" i="66"/>
  <c r="M1079" i="66"/>
  <c r="M1076" i="66"/>
  <c r="M1075" i="66"/>
  <c r="M1073" i="66"/>
  <c r="M1071" i="66"/>
  <c r="M1069" i="66"/>
  <c r="J1068" i="66"/>
  <c r="M1068" i="66" s="1"/>
  <c r="J1067" i="66"/>
  <c r="M1067" i="66" s="1"/>
  <c r="J1066" i="66"/>
  <c r="M1066" i="66" s="1"/>
  <c r="J1065" i="66"/>
  <c r="M1065" i="66" s="1"/>
  <c r="J1064" i="66"/>
  <c r="M1064" i="66" s="1"/>
  <c r="J1063" i="66"/>
  <c r="M1063" i="66" s="1"/>
  <c r="J1062" i="66"/>
  <c r="M1062" i="66" s="1"/>
  <c r="J1061" i="66"/>
  <c r="M1061" i="66" s="1"/>
  <c r="J1060" i="66"/>
  <c r="M1060" i="66" s="1"/>
  <c r="J1059" i="66"/>
  <c r="M1059" i="66" s="1"/>
  <c r="J1058" i="66"/>
  <c r="M1058" i="66" s="1"/>
  <c r="J1057" i="66"/>
  <c r="M1057" i="66" s="1"/>
  <c r="J1056" i="66"/>
  <c r="M1056" i="66" s="1"/>
  <c r="J1055" i="66"/>
  <c r="M1055" i="66" s="1"/>
  <c r="J1054" i="66"/>
  <c r="M1054" i="66" s="1"/>
  <c r="J1053" i="66"/>
  <c r="M1053" i="66" s="1"/>
  <c r="J1052" i="66"/>
  <c r="M1052" i="66" s="1"/>
  <c r="J1051" i="66"/>
  <c r="M1051" i="66" s="1"/>
  <c r="J1050" i="66"/>
  <c r="M1050" i="66" s="1"/>
  <c r="J1049" i="66"/>
  <c r="M1049" i="66" s="1"/>
  <c r="J1048" i="66"/>
  <c r="M1048" i="66" s="1"/>
  <c r="J1047" i="66"/>
  <c r="M1047" i="66" s="1"/>
  <c r="J1046" i="66"/>
  <c r="M1046" i="66" s="1"/>
  <c r="J1045" i="66"/>
  <c r="M1045" i="66" s="1"/>
  <c r="J1044" i="66"/>
  <c r="M1044" i="66" s="1"/>
  <c r="J1043" i="66"/>
  <c r="M1043" i="66" s="1"/>
  <c r="J1042" i="66"/>
  <c r="M1042" i="66" s="1"/>
  <c r="J1041" i="66"/>
  <c r="M1041" i="66" s="1"/>
  <c r="J1040" i="66"/>
  <c r="M1040" i="66" s="1"/>
  <c r="J1039" i="66"/>
  <c r="M1039" i="66" s="1"/>
  <c r="J1038" i="66"/>
  <c r="M1038" i="66" s="1"/>
  <c r="J1037" i="66"/>
  <c r="M1037" i="66" s="1"/>
  <c r="J1036" i="66"/>
  <c r="M1036" i="66" s="1"/>
  <c r="J1035" i="66"/>
  <c r="M1035" i="66" s="1"/>
  <c r="J1034" i="66"/>
  <c r="M1034" i="66" s="1"/>
  <c r="J1033" i="66"/>
  <c r="M1033" i="66" s="1"/>
  <c r="J1032" i="66"/>
  <c r="M1032" i="66" s="1"/>
  <c r="J1031" i="66"/>
  <c r="M1031" i="66" s="1"/>
  <c r="J1030" i="66"/>
  <c r="M1030" i="66" s="1"/>
  <c r="J1029" i="66"/>
  <c r="M1029" i="66" s="1"/>
  <c r="J1028" i="66"/>
  <c r="M1028" i="66" s="1"/>
  <c r="J1027" i="66"/>
  <c r="M1027" i="66" s="1"/>
  <c r="J1026" i="66"/>
  <c r="M1026" i="66" s="1"/>
  <c r="J1025" i="66"/>
  <c r="M1025" i="66" s="1"/>
  <c r="J1024" i="66"/>
  <c r="M1024" i="66" s="1"/>
  <c r="J1023" i="66"/>
  <c r="M1023" i="66" s="1"/>
  <c r="J1022" i="66"/>
  <c r="M1022" i="66" s="1"/>
  <c r="J1021" i="66"/>
  <c r="M1021" i="66" s="1"/>
  <c r="J1020" i="66"/>
  <c r="M1020" i="66" s="1"/>
  <c r="J1019" i="66"/>
  <c r="M1019" i="66" s="1"/>
  <c r="J1018" i="66"/>
  <c r="M1018" i="66" s="1"/>
  <c r="J1017" i="66"/>
  <c r="M1017" i="66" s="1"/>
  <c r="M1016" i="66"/>
  <c r="J1016" i="66"/>
  <c r="J1015" i="66"/>
  <c r="M1015" i="66" s="1"/>
  <c r="J1014" i="66"/>
  <c r="M1014" i="66" s="1"/>
  <c r="J1013" i="66"/>
  <c r="M1013" i="66" s="1"/>
  <c r="J1012" i="66"/>
  <c r="M1012" i="66" s="1"/>
  <c r="J1011" i="66"/>
  <c r="M1011" i="66" s="1"/>
  <c r="M1010" i="66"/>
  <c r="J1010" i="66"/>
  <c r="J1009" i="66"/>
  <c r="M1009" i="66" s="1"/>
  <c r="M1008" i="66"/>
  <c r="J1008" i="66"/>
  <c r="J1007" i="66"/>
  <c r="M1007" i="66" s="1"/>
  <c r="J1006" i="66"/>
  <c r="M1006" i="66" s="1"/>
  <c r="J1005" i="66"/>
  <c r="M1005" i="66" s="1"/>
  <c r="J1004" i="66"/>
  <c r="M1004" i="66" s="1"/>
  <c r="J1003" i="66"/>
  <c r="M1003" i="66" s="1"/>
  <c r="J1002" i="66"/>
  <c r="M1002" i="66" s="1"/>
  <c r="J1001" i="66"/>
  <c r="M1001" i="66" s="1"/>
  <c r="M1000" i="66"/>
  <c r="J1000" i="66"/>
  <c r="J999" i="66"/>
  <c r="M999" i="66" s="1"/>
  <c r="J998" i="66"/>
  <c r="M998" i="66" s="1"/>
  <c r="J997" i="66"/>
  <c r="M997" i="66" s="1"/>
  <c r="J996" i="66"/>
  <c r="M996" i="66" s="1"/>
  <c r="J995" i="66"/>
  <c r="M995" i="66" s="1"/>
  <c r="M994" i="66"/>
  <c r="J994" i="66"/>
  <c r="J993" i="66"/>
  <c r="M993" i="66" s="1"/>
  <c r="J992" i="66"/>
  <c r="M992" i="66" s="1"/>
  <c r="M991" i="66"/>
  <c r="J991" i="66"/>
  <c r="J990" i="66"/>
  <c r="M990" i="66" s="1"/>
  <c r="J989" i="66"/>
  <c r="M989" i="66" s="1"/>
  <c r="J988" i="66"/>
  <c r="M988" i="66" s="1"/>
  <c r="J987" i="66"/>
  <c r="M987" i="66" s="1"/>
  <c r="J986" i="66"/>
  <c r="M986" i="66" s="1"/>
  <c r="M985" i="66"/>
  <c r="J985" i="66"/>
  <c r="J984" i="66"/>
  <c r="M984" i="66" s="1"/>
  <c r="M983" i="66"/>
  <c r="J983" i="66"/>
  <c r="J982" i="66"/>
  <c r="M982" i="66" s="1"/>
  <c r="J981" i="66"/>
  <c r="M981" i="66" s="1"/>
  <c r="J980" i="66"/>
  <c r="M980" i="66" s="1"/>
  <c r="M979" i="66"/>
  <c r="J979" i="66"/>
  <c r="J978" i="66"/>
  <c r="M978" i="66" s="1"/>
  <c r="M977" i="66"/>
  <c r="J977" i="66"/>
  <c r="J976" i="66"/>
  <c r="M976" i="66" s="1"/>
  <c r="M975" i="66"/>
  <c r="J975" i="66"/>
  <c r="J974" i="66"/>
  <c r="M974" i="66" s="1"/>
  <c r="J973" i="66"/>
  <c r="M973" i="66" s="1"/>
  <c r="J972" i="66"/>
  <c r="M972" i="66" s="1"/>
  <c r="M971" i="66"/>
  <c r="J971" i="66"/>
  <c r="J970" i="66"/>
  <c r="M970" i="66" s="1"/>
  <c r="J969" i="66"/>
  <c r="M969" i="66" s="1"/>
  <c r="J968" i="66"/>
  <c r="M968" i="66" s="1"/>
  <c r="M967" i="66"/>
  <c r="J967" i="66"/>
  <c r="J966" i="66"/>
  <c r="M966" i="66" s="1"/>
  <c r="J965" i="66"/>
  <c r="M965" i="66" s="1"/>
  <c r="J964" i="66"/>
  <c r="M964" i="66" s="1"/>
  <c r="J963" i="66"/>
  <c r="M963" i="66" s="1"/>
  <c r="J962" i="66"/>
  <c r="M962" i="66" s="1"/>
  <c r="J961" i="66"/>
  <c r="M961" i="66" s="1"/>
  <c r="J960" i="66"/>
  <c r="M960" i="66" s="1"/>
  <c r="M959" i="66"/>
  <c r="J959" i="66"/>
  <c r="J958" i="66"/>
  <c r="M958" i="66" s="1"/>
  <c r="J957" i="66"/>
  <c r="M957" i="66" s="1"/>
  <c r="J956" i="66"/>
  <c r="M956" i="66" s="1"/>
  <c r="M955" i="66"/>
  <c r="J955" i="66"/>
  <c r="J954" i="66"/>
  <c r="M954" i="66" s="1"/>
  <c r="J953" i="66"/>
  <c r="M953" i="66" s="1"/>
  <c r="J952" i="66"/>
  <c r="M952" i="66" s="1"/>
  <c r="M951" i="66"/>
  <c r="J951" i="66"/>
  <c r="J950" i="66"/>
  <c r="M950" i="66" s="1"/>
  <c r="J949" i="66"/>
  <c r="M949" i="66" s="1"/>
  <c r="J948" i="66"/>
  <c r="M948" i="66" s="1"/>
  <c r="J947" i="66"/>
  <c r="M947" i="66" s="1"/>
  <c r="J946" i="66"/>
  <c r="M946" i="66" s="1"/>
  <c r="J945" i="66"/>
  <c r="M945" i="66" s="1"/>
  <c r="J944" i="66"/>
  <c r="M944" i="66" s="1"/>
  <c r="J943" i="66"/>
  <c r="M943" i="66" s="1"/>
  <c r="J942" i="66"/>
  <c r="M942" i="66" s="1"/>
  <c r="J941" i="66"/>
  <c r="M941" i="66" s="1"/>
  <c r="J940" i="66"/>
  <c r="M940" i="66" s="1"/>
  <c r="J939" i="66"/>
  <c r="M939" i="66" s="1"/>
  <c r="J938" i="66"/>
  <c r="M938" i="66" s="1"/>
  <c r="J937" i="66"/>
  <c r="M937" i="66" s="1"/>
  <c r="J936" i="66"/>
  <c r="M936" i="66" s="1"/>
  <c r="M935" i="66"/>
  <c r="J935" i="66"/>
  <c r="J934" i="66"/>
  <c r="M934" i="66" s="1"/>
  <c r="J933" i="66"/>
  <c r="M933" i="66" s="1"/>
  <c r="J932" i="66"/>
  <c r="M932" i="66" s="1"/>
  <c r="J931" i="66"/>
  <c r="M931" i="66" s="1"/>
  <c r="J930" i="66"/>
  <c r="M930" i="66" s="1"/>
  <c r="J929" i="66"/>
  <c r="M929" i="66" s="1"/>
  <c r="J928" i="66"/>
  <c r="M928" i="66" s="1"/>
  <c r="M927" i="66"/>
  <c r="J927" i="66"/>
  <c r="J926" i="66"/>
  <c r="M926" i="66" s="1"/>
  <c r="J925" i="66"/>
  <c r="M925" i="66" s="1"/>
  <c r="J924" i="66"/>
  <c r="M924" i="66" s="1"/>
  <c r="J923" i="66"/>
  <c r="M923" i="66" s="1"/>
  <c r="J922" i="66"/>
  <c r="M922" i="66" s="1"/>
  <c r="J921" i="66"/>
  <c r="M921" i="66" s="1"/>
  <c r="J920" i="66"/>
  <c r="M920" i="66" s="1"/>
  <c r="M919" i="66"/>
  <c r="J919" i="66"/>
  <c r="J918" i="66"/>
  <c r="M918" i="66" s="1"/>
  <c r="J917" i="66"/>
  <c r="M917" i="66" s="1"/>
  <c r="J916" i="66"/>
  <c r="M916" i="66" s="1"/>
  <c r="J915" i="66"/>
  <c r="M915" i="66" s="1"/>
  <c r="J914" i="66"/>
  <c r="M914" i="66" s="1"/>
  <c r="J913" i="66"/>
  <c r="M913" i="66" s="1"/>
  <c r="J912" i="66"/>
  <c r="M912" i="66" s="1"/>
  <c r="J911" i="66"/>
  <c r="M911" i="66" s="1"/>
  <c r="J910" i="66"/>
  <c r="M910" i="66" s="1"/>
  <c r="J909" i="66"/>
  <c r="M909" i="66" s="1"/>
  <c r="J908" i="66"/>
  <c r="M908" i="66" s="1"/>
  <c r="M907" i="66"/>
  <c r="J907" i="66"/>
  <c r="J906" i="66"/>
  <c r="M906" i="66" s="1"/>
  <c r="J905" i="66"/>
  <c r="M905" i="66" s="1"/>
  <c r="J904" i="66"/>
  <c r="M904" i="66" s="1"/>
  <c r="M903" i="66"/>
  <c r="J903" i="66"/>
  <c r="J902" i="66"/>
  <c r="M902" i="66" s="1"/>
  <c r="J901" i="66"/>
  <c r="M901" i="66" s="1"/>
  <c r="J900" i="66"/>
  <c r="M900" i="66" s="1"/>
  <c r="J899" i="66"/>
  <c r="M899" i="66" s="1"/>
  <c r="J898" i="66"/>
  <c r="M898" i="66" s="1"/>
  <c r="J897" i="66"/>
  <c r="M897" i="66" s="1"/>
  <c r="J896" i="66"/>
  <c r="M896" i="66" s="1"/>
  <c r="J895" i="66"/>
  <c r="M895" i="66" s="1"/>
  <c r="J894" i="66"/>
  <c r="M894" i="66" s="1"/>
  <c r="J893" i="66"/>
  <c r="M893" i="66" s="1"/>
  <c r="J892" i="66"/>
  <c r="M892" i="66" s="1"/>
  <c r="J891" i="66"/>
  <c r="M891" i="66" s="1"/>
  <c r="J890" i="66"/>
  <c r="M890" i="66" s="1"/>
  <c r="J889" i="66"/>
  <c r="M889" i="66" s="1"/>
  <c r="J888" i="66"/>
  <c r="M888" i="66" s="1"/>
  <c r="J887" i="66"/>
  <c r="M887" i="66" s="1"/>
  <c r="J886" i="66"/>
  <c r="M886" i="66" s="1"/>
  <c r="J885" i="66"/>
  <c r="M885" i="66" s="1"/>
  <c r="J884" i="66"/>
  <c r="M884" i="66" s="1"/>
  <c r="J883" i="66"/>
  <c r="M883" i="66" s="1"/>
  <c r="J882" i="66"/>
  <c r="M882" i="66" s="1"/>
  <c r="J881" i="66"/>
  <c r="M881" i="66" s="1"/>
  <c r="J880" i="66"/>
  <c r="M880" i="66" s="1"/>
  <c r="J879" i="66"/>
  <c r="M879" i="66" s="1"/>
  <c r="J878" i="66"/>
  <c r="M878" i="66" s="1"/>
  <c r="M877" i="66"/>
  <c r="J877" i="66"/>
  <c r="J876" i="66"/>
  <c r="M876" i="66" s="1"/>
  <c r="M875" i="66"/>
  <c r="J875" i="66"/>
  <c r="J874" i="66"/>
  <c r="M874" i="66" s="1"/>
  <c r="M873" i="66"/>
  <c r="J873" i="66"/>
  <c r="J872" i="66"/>
  <c r="M872" i="66" s="1"/>
  <c r="M871" i="66"/>
  <c r="J871" i="66"/>
  <c r="J870" i="66"/>
  <c r="M870" i="66" s="1"/>
  <c r="M869" i="66"/>
  <c r="J869" i="66"/>
  <c r="J868" i="66"/>
  <c r="M868" i="66" s="1"/>
  <c r="M867" i="66"/>
  <c r="J867" i="66"/>
  <c r="J866" i="66"/>
  <c r="M866" i="66" s="1"/>
  <c r="M865" i="66"/>
  <c r="J865" i="66"/>
  <c r="J864" i="66"/>
  <c r="M864" i="66" s="1"/>
  <c r="M863" i="66"/>
  <c r="J863" i="66"/>
  <c r="J862" i="66"/>
  <c r="M862" i="66" s="1"/>
  <c r="M861" i="66"/>
  <c r="J861" i="66"/>
  <c r="J860" i="66"/>
  <c r="M860" i="66" s="1"/>
  <c r="M859" i="66"/>
  <c r="J859" i="66"/>
  <c r="J858" i="66"/>
  <c r="M858" i="66" s="1"/>
  <c r="M857" i="66"/>
  <c r="J857" i="66"/>
  <c r="J856" i="66"/>
  <c r="M856" i="66" s="1"/>
  <c r="M855" i="66"/>
  <c r="J855" i="66"/>
  <c r="J854" i="66"/>
  <c r="M854" i="66" s="1"/>
  <c r="M853" i="66"/>
  <c r="J853" i="66"/>
  <c r="J852" i="66"/>
  <c r="M852" i="66" s="1"/>
  <c r="M851" i="66"/>
  <c r="J851" i="66"/>
  <c r="J850" i="66"/>
  <c r="M850" i="66" s="1"/>
  <c r="M849" i="66"/>
  <c r="J849" i="66"/>
  <c r="J848" i="66"/>
  <c r="M848" i="66" s="1"/>
  <c r="M847" i="66"/>
  <c r="J847" i="66"/>
  <c r="J846" i="66"/>
  <c r="M846" i="66" s="1"/>
  <c r="M845" i="66"/>
  <c r="J845" i="66"/>
  <c r="J844" i="66"/>
  <c r="M844" i="66" s="1"/>
  <c r="M843" i="66"/>
  <c r="J843" i="66"/>
  <c r="J842" i="66"/>
  <c r="M842" i="66" s="1"/>
  <c r="M841" i="66"/>
  <c r="J841" i="66"/>
  <c r="J840" i="66"/>
  <c r="M840" i="66" s="1"/>
  <c r="M839" i="66"/>
  <c r="J839" i="66"/>
  <c r="J838" i="66"/>
  <c r="M838" i="66" s="1"/>
  <c r="M837" i="66"/>
  <c r="J837" i="66"/>
  <c r="J836" i="66"/>
  <c r="M836" i="66" s="1"/>
  <c r="M835" i="66"/>
  <c r="J835" i="66"/>
  <c r="J834" i="66"/>
  <c r="M834" i="66" s="1"/>
  <c r="M833" i="66"/>
  <c r="J833" i="66"/>
  <c r="J832" i="66"/>
  <c r="M832" i="66" s="1"/>
  <c r="M831" i="66"/>
  <c r="J831" i="66"/>
  <c r="J830" i="66"/>
  <c r="M830" i="66" s="1"/>
  <c r="M829" i="66"/>
  <c r="J829" i="66"/>
  <c r="J828" i="66"/>
  <c r="M828" i="66" s="1"/>
  <c r="M827" i="66"/>
  <c r="J827" i="66"/>
  <c r="J826" i="66"/>
  <c r="M826" i="66" s="1"/>
  <c r="M825" i="66"/>
  <c r="J825" i="66"/>
  <c r="J824" i="66"/>
  <c r="M824" i="66" s="1"/>
  <c r="M823" i="66"/>
  <c r="J823" i="66"/>
  <c r="J822" i="66"/>
  <c r="M822" i="66" s="1"/>
  <c r="M821" i="66"/>
  <c r="J821" i="66"/>
  <c r="J820" i="66"/>
  <c r="M820" i="66" s="1"/>
  <c r="M819" i="66"/>
  <c r="J819" i="66"/>
  <c r="J818" i="66"/>
  <c r="M818" i="66" s="1"/>
  <c r="M817" i="66"/>
  <c r="J817" i="66"/>
  <c r="J816" i="66"/>
  <c r="M816" i="66" s="1"/>
  <c r="M815" i="66"/>
  <c r="J815" i="66"/>
  <c r="J814" i="66"/>
  <c r="M814" i="66" s="1"/>
  <c r="M813" i="66"/>
  <c r="J813" i="66"/>
  <c r="J812" i="66"/>
  <c r="M812" i="66" s="1"/>
  <c r="M811" i="66"/>
  <c r="J811" i="66"/>
  <c r="J810" i="66"/>
  <c r="M810" i="66" s="1"/>
  <c r="M809" i="66"/>
  <c r="J809" i="66"/>
  <c r="J808" i="66"/>
  <c r="M808" i="66" s="1"/>
  <c r="M807" i="66"/>
  <c r="J807" i="66"/>
  <c r="J806" i="66"/>
  <c r="M806" i="66" s="1"/>
  <c r="M805" i="66"/>
  <c r="J805" i="66"/>
  <c r="J804" i="66"/>
  <c r="M804" i="66" s="1"/>
  <c r="M803" i="66"/>
  <c r="J803" i="66"/>
  <c r="J802" i="66"/>
  <c r="M802" i="66" s="1"/>
  <c r="M801" i="66"/>
  <c r="J801" i="66"/>
  <c r="J800" i="66"/>
  <c r="M800" i="66" s="1"/>
  <c r="M799" i="66"/>
  <c r="J799" i="66"/>
  <c r="J798" i="66"/>
  <c r="M798" i="66" s="1"/>
  <c r="M797" i="66"/>
  <c r="J797" i="66"/>
  <c r="J796" i="66"/>
  <c r="M796" i="66" s="1"/>
  <c r="M795" i="66"/>
  <c r="J795" i="66"/>
  <c r="J794" i="66"/>
  <c r="M794" i="66" s="1"/>
  <c r="M793" i="66"/>
  <c r="J793" i="66"/>
  <c r="J792" i="66"/>
  <c r="M792" i="66" s="1"/>
  <c r="M791" i="66"/>
  <c r="J791" i="66"/>
  <c r="J790" i="66"/>
  <c r="M790" i="66" s="1"/>
  <c r="M789" i="66"/>
  <c r="J789" i="66"/>
  <c r="J788" i="66"/>
  <c r="M788" i="66" s="1"/>
  <c r="M787" i="66"/>
  <c r="J787" i="66"/>
  <c r="J786" i="66"/>
  <c r="M786" i="66" s="1"/>
  <c r="M785" i="66"/>
  <c r="J785" i="66"/>
  <c r="J784" i="66"/>
  <c r="M784" i="66" s="1"/>
  <c r="M783" i="66"/>
  <c r="J783" i="66"/>
  <c r="J782" i="66"/>
  <c r="M782" i="66" s="1"/>
  <c r="M781" i="66"/>
  <c r="J781" i="66"/>
  <c r="J780" i="66"/>
  <c r="M780" i="66" s="1"/>
  <c r="M779" i="66"/>
  <c r="J779" i="66"/>
  <c r="J778" i="66"/>
  <c r="M778" i="66" s="1"/>
  <c r="M777" i="66"/>
  <c r="J777" i="66"/>
  <c r="J776" i="66"/>
  <c r="M776" i="66" s="1"/>
  <c r="M775" i="66"/>
  <c r="J775" i="66"/>
  <c r="J774" i="66"/>
  <c r="M774" i="66" s="1"/>
  <c r="M773" i="66"/>
  <c r="J773" i="66"/>
  <c r="J772" i="66"/>
  <c r="M772" i="66" s="1"/>
  <c r="M771" i="66"/>
  <c r="J771" i="66"/>
  <c r="J770" i="66"/>
  <c r="M770" i="66" s="1"/>
  <c r="M769" i="66"/>
  <c r="J769" i="66"/>
  <c r="J768" i="66"/>
  <c r="M768" i="66" s="1"/>
  <c r="M767" i="66"/>
  <c r="J767" i="66"/>
  <c r="J766" i="66"/>
  <c r="M766" i="66" s="1"/>
  <c r="M765" i="66"/>
  <c r="J765" i="66"/>
  <c r="J764" i="66"/>
  <c r="M764" i="66" s="1"/>
  <c r="M763" i="66"/>
  <c r="J763" i="66"/>
  <c r="J762" i="66"/>
  <c r="M762" i="66" s="1"/>
  <c r="M761" i="66"/>
  <c r="J761" i="66"/>
  <c r="J760" i="66"/>
  <c r="M760" i="66" s="1"/>
  <c r="M759" i="66"/>
  <c r="J759" i="66"/>
  <c r="J758" i="66"/>
  <c r="M758" i="66" s="1"/>
  <c r="M757" i="66"/>
  <c r="J757" i="66"/>
  <c r="J756" i="66"/>
  <c r="M756" i="66" s="1"/>
  <c r="M755" i="66"/>
  <c r="J755" i="66"/>
  <c r="J754" i="66"/>
  <c r="M754" i="66" s="1"/>
  <c r="M753" i="66"/>
  <c r="J753" i="66"/>
  <c r="J752" i="66"/>
  <c r="M751" i="66"/>
  <c r="M750" i="66"/>
  <c r="M748" i="66"/>
  <c r="M747" i="66"/>
  <c r="M746" i="66"/>
  <c r="M744" i="66"/>
  <c r="M743" i="66"/>
  <c r="M742" i="66"/>
  <c r="M740" i="66"/>
  <c r="M739" i="66"/>
  <c r="O738" i="66"/>
  <c r="N738" i="66"/>
  <c r="O737" i="66"/>
  <c r="N737" i="66"/>
  <c r="O736" i="66"/>
  <c r="N736" i="66"/>
  <c r="O735" i="66"/>
  <c r="N735" i="66"/>
  <c r="O734" i="66"/>
  <c r="N734" i="66"/>
  <c r="O733" i="66"/>
  <c r="N733" i="66"/>
  <c r="O732" i="66"/>
  <c r="N732" i="66"/>
  <c r="O731" i="66"/>
  <c r="N731" i="66"/>
  <c r="O730" i="66"/>
  <c r="N730" i="66"/>
  <c r="O729" i="66"/>
  <c r="N729" i="66"/>
  <c r="O728" i="66"/>
  <c r="N728" i="66"/>
  <c r="O727" i="66"/>
  <c r="N727" i="66"/>
  <c r="O726" i="66"/>
  <c r="N726" i="66"/>
  <c r="M725" i="66"/>
  <c r="M724" i="66"/>
  <c r="M723" i="66"/>
  <c r="M722" i="66"/>
  <c r="M721" i="66"/>
  <c r="M720" i="66"/>
  <c r="M719" i="66"/>
  <c r="M718" i="66"/>
  <c r="M717" i="66"/>
  <c r="M716" i="66"/>
  <c r="M715" i="66"/>
  <c r="M714" i="66"/>
  <c r="M713" i="66"/>
  <c r="M712" i="66"/>
  <c r="M711" i="66"/>
  <c r="M710" i="66"/>
  <c r="M709" i="66"/>
  <c r="M708" i="66"/>
  <c r="M707" i="66"/>
  <c r="M706" i="66"/>
  <c r="M705" i="66"/>
  <c r="M704" i="66"/>
  <c r="M703" i="66"/>
  <c r="M702" i="66"/>
  <c r="M701" i="66"/>
  <c r="M700" i="66"/>
  <c r="M699" i="66"/>
  <c r="M698" i="66"/>
  <c r="M697" i="66"/>
  <c r="M696" i="66"/>
  <c r="M695" i="66"/>
  <c r="M694" i="66"/>
  <c r="M693" i="66"/>
  <c r="M692" i="66"/>
  <c r="M691" i="66"/>
  <c r="M690" i="66"/>
  <c r="M689" i="66"/>
  <c r="M688" i="66"/>
  <c r="M687" i="66"/>
  <c r="M686" i="66"/>
  <c r="M685" i="66"/>
  <c r="M684" i="66"/>
  <c r="O683" i="66"/>
  <c r="N683" i="66"/>
  <c r="O682" i="66"/>
  <c r="N682" i="66"/>
  <c r="O681" i="66"/>
  <c r="N681" i="66"/>
  <c r="O680" i="66"/>
  <c r="N680" i="66"/>
  <c r="O679" i="66"/>
  <c r="N679" i="66"/>
  <c r="O678" i="66"/>
  <c r="N678" i="66"/>
  <c r="O677" i="66"/>
  <c r="N677" i="66"/>
  <c r="O676" i="66"/>
  <c r="N676" i="66"/>
  <c r="O675" i="66"/>
  <c r="N675" i="66"/>
  <c r="O674" i="66"/>
  <c r="N674" i="66"/>
  <c r="O673" i="66"/>
  <c r="N673" i="66"/>
  <c r="O672" i="66"/>
  <c r="N672" i="66"/>
  <c r="O671" i="66"/>
  <c r="N671" i="66"/>
  <c r="O670" i="66"/>
  <c r="N670" i="66"/>
  <c r="O669" i="66"/>
  <c r="N669" i="66"/>
  <c r="O668" i="66"/>
  <c r="N668" i="66"/>
  <c r="O667" i="66"/>
  <c r="N667" i="66"/>
  <c r="O666" i="66"/>
  <c r="N666" i="66"/>
  <c r="O665" i="66"/>
  <c r="N665" i="66"/>
  <c r="O664" i="66"/>
  <c r="N664" i="66"/>
  <c r="O663" i="66"/>
  <c r="N663" i="66"/>
  <c r="O662" i="66"/>
  <c r="N662" i="66"/>
  <c r="O661" i="66"/>
  <c r="N661" i="66"/>
  <c r="O660" i="66"/>
  <c r="N660" i="66"/>
  <c r="O659" i="66"/>
  <c r="N659" i="66"/>
  <c r="O658" i="66"/>
  <c r="N658" i="66"/>
  <c r="O657" i="66"/>
  <c r="N657" i="66"/>
  <c r="O656" i="66"/>
  <c r="N656" i="66"/>
  <c r="O655" i="66"/>
  <c r="N655" i="66"/>
  <c r="O654" i="66"/>
  <c r="N654" i="66"/>
  <c r="M653" i="66"/>
  <c r="M652" i="66"/>
  <c r="M651" i="66"/>
  <c r="M650" i="66"/>
  <c r="M649" i="66"/>
  <c r="M648" i="66"/>
  <c r="M647" i="66"/>
  <c r="M646" i="66"/>
  <c r="M645" i="66"/>
  <c r="M644" i="66"/>
  <c r="M643" i="66"/>
  <c r="M642" i="66"/>
  <c r="M641" i="66"/>
  <c r="M640" i="66"/>
  <c r="M639" i="66"/>
  <c r="M638" i="66"/>
  <c r="M637" i="66"/>
  <c r="M636" i="66"/>
  <c r="M635" i="66"/>
  <c r="M634" i="66"/>
  <c r="M633" i="66"/>
  <c r="M632" i="66"/>
  <c r="M631" i="66"/>
  <c r="M630" i="66"/>
  <c r="M629" i="66"/>
  <c r="M628" i="66"/>
  <c r="M627" i="66"/>
  <c r="M626" i="66"/>
  <c r="M625" i="66"/>
  <c r="M624" i="66"/>
  <c r="O623" i="66"/>
  <c r="N623" i="66"/>
  <c r="O622" i="66"/>
  <c r="N622" i="66"/>
  <c r="O621" i="66"/>
  <c r="N621" i="66"/>
  <c r="O620" i="66"/>
  <c r="N620" i="66"/>
  <c r="O619" i="66"/>
  <c r="N619" i="66"/>
  <c r="O618" i="66"/>
  <c r="N618" i="66"/>
  <c r="O617" i="66"/>
  <c r="N617" i="66"/>
  <c r="O616" i="66"/>
  <c r="N616" i="66"/>
  <c r="O615" i="66"/>
  <c r="N615" i="66"/>
  <c r="O614" i="66"/>
  <c r="N614" i="66"/>
  <c r="O613" i="66"/>
  <c r="N613" i="66"/>
  <c r="O612" i="66"/>
  <c r="N612" i="66"/>
  <c r="O611" i="66"/>
  <c r="N611" i="66"/>
  <c r="O610" i="66"/>
  <c r="N610" i="66"/>
  <c r="O609" i="66"/>
  <c r="N609" i="66"/>
  <c r="O608" i="66"/>
  <c r="N608" i="66"/>
  <c r="O607" i="66"/>
  <c r="N607" i="66"/>
  <c r="O606" i="66"/>
  <c r="N606" i="66"/>
  <c r="O605" i="66"/>
  <c r="N605" i="66"/>
  <c r="O604" i="66"/>
  <c r="N604" i="66"/>
  <c r="O603" i="66"/>
  <c r="N603" i="66"/>
  <c r="O602" i="66"/>
  <c r="N602" i="66"/>
  <c r="O601" i="66"/>
  <c r="N601" i="66"/>
  <c r="O600" i="66"/>
  <c r="N600" i="66"/>
  <c r="O599" i="66"/>
  <c r="N599" i="66"/>
  <c r="O598" i="66"/>
  <c r="N598" i="66"/>
  <c r="O597" i="66"/>
  <c r="N597" i="66"/>
  <c r="O596" i="66"/>
  <c r="N596" i="66"/>
  <c r="O595" i="66"/>
  <c r="N595" i="66"/>
  <c r="M594" i="66"/>
  <c r="M593" i="66"/>
  <c r="M592" i="66"/>
  <c r="M591" i="66"/>
  <c r="M590" i="66"/>
  <c r="M589" i="66"/>
  <c r="M588" i="66"/>
  <c r="M587" i="66"/>
  <c r="M586" i="66"/>
  <c r="M585" i="66"/>
  <c r="M584" i="66"/>
  <c r="M583" i="66"/>
  <c r="M582" i="66"/>
  <c r="M581" i="66"/>
  <c r="M580" i="66"/>
  <c r="M579" i="66"/>
  <c r="M578" i="66"/>
  <c r="M577" i="66"/>
  <c r="M576" i="66"/>
  <c r="M575" i="66"/>
  <c r="M574" i="66"/>
  <c r="M573" i="66"/>
  <c r="M572" i="66"/>
  <c r="M571" i="66"/>
  <c r="M570" i="66"/>
  <c r="M569" i="66"/>
  <c r="M568" i="66"/>
  <c r="M567" i="66"/>
  <c r="M566" i="66"/>
  <c r="M565" i="66"/>
  <c r="M564" i="66"/>
  <c r="M563" i="66"/>
  <c r="M562" i="66"/>
  <c r="M561" i="66"/>
  <c r="M560" i="66"/>
  <c r="M559" i="66"/>
  <c r="M558" i="66"/>
  <c r="M557" i="66"/>
  <c r="M556" i="66"/>
  <c r="M555" i="66"/>
  <c r="M554" i="66"/>
  <c r="M553" i="66"/>
  <c r="M552" i="66"/>
  <c r="M551" i="66"/>
  <c r="M550" i="66"/>
  <c r="M549" i="66"/>
  <c r="M548" i="66"/>
  <c r="M547" i="66"/>
  <c r="M546" i="66"/>
  <c r="M545" i="66"/>
  <c r="M544" i="66"/>
  <c r="M543" i="66"/>
  <c r="M542" i="66"/>
  <c r="M541" i="66"/>
  <c r="M540" i="66"/>
  <c r="M539" i="66"/>
  <c r="M538" i="66"/>
  <c r="M537" i="66"/>
  <c r="M536" i="66"/>
  <c r="M535" i="66"/>
  <c r="M534" i="66"/>
  <c r="M533" i="66"/>
  <c r="M532" i="66"/>
  <c r="M531" i="66"/>
  <c r="M530" i="66"/>
  <c r="M529" i="66"/>
  <c r="M528" i="66"/>
  <c r="M527" i="66"/>
  <c r="M526" i="66"/>
  <c r="M525" i="66"/>
  <c r="M524" i="66"/>
  <c r="M523" i="66"/>
  <c r="M522" i="66"/>
  <c r="M521" i="66"/>
  <c r="M520" i="66"/>
  <c r="M519" i="66"/>
  <c r="M518" i="66"/>
  <c r="M517" i="66"/>
  <c r="M516" i="66"/>
  <c r="J516" i="66"/>
  <c r="J515" i="66"/>
  <c r="M515" i="66" s="1"/>
  <c r="J514" i="66"/>
  <c r="M514" i="66" s="1"/>
  <c r="J513" i="66"/>
  <c r="M513" i="66" s="1"/>
  <c r="J512" i="66"/>
  <c r="M512" i="66" s="1"/>
  <c r="J511" i="66"/>
  <c r="M511" i="66" s="1"/>
  <c r="M510" i="66"/>
  <c r="J510" i="66"/>
  <c r="J509" i="66"/>
  <c r="M509" i="66" s="1"/>
  <c r="J508" i="66"/>
  <c r="M508" i="66" s="1"/>
  <c r="J507" i="66"/>
  <c r="M507" i="66" s="1"/>
  <c r="J506" i="66"/>
  <c r="M506" i="66" s="1"/>
  <c r="J505" i="66"/>
  <c r="M505" i="66" s="1"/>
  <c r="J504" i="66"/>
  <c r="M504" i="66" s="1"/>
  <c r="J503" i="66"/>
  <c r="M503" i="66" s="1"/>
  <c r="M502" i="66"/>
  <c r="J502" i="66"/>
  <c r="O501" i="66"/>
  <c r="L501" i="66"/>
  <c r="K501" i="66"/>
  <c r="N501" i="66" s="1"/>
  <c r="L500" i="66"/>
  <c r="O500" i="66" s="1"/>
  <c r="K500" i="66"/>
  <c r="N500" i="66" s="1"/>
  <c r="O499" i="66"/>
  <c r="L499" i="66"/>
  <c r="K499" i="66"/>
  <c r="N499" i="66" s="1"/>
  <c r="N498" i="66"/>
  <c r="L498" i="66"/>
  <c r="O498" i="66" s="1"/>
  <c r="K498" i="66"/>
  <c r="O497" i="66"/>
  <c r="L497" i="66"/>
  <c r="K497" i="66"/>
  <c r="N497" i="66" s="1"/>
  <c r="L496" i="66"/>
  <c r="O496" i="66" s="1"/>
  <c r="K496" i="66"/>
  <c r="N496" i="66" s="1"/>
  <c r="O495" i="66"/>
  <c r="L495" i="66"/>
  <c r="K495" i="66"/>
  <c r="N495" i="66" s="1"/>
  <c r="N494" i="66"/>
  <c r="L494" i="66"/>
  <c r="O494" i="66" s="1"/>
  <c r="K494" i="66"/>
  <c r="L493" i="66"/>
  <c r="O493" i="66" s="1"/>
  <c r="K493" i="66"/>
  <c r="N493" i="66" s="1"/>
  <c r="L492" i="66"/>
  <c r="O492" i="66" s="1"/>
  <c r="K492" i="66"/>
  <c r="N492" i="66" s="1"/>
  <c r="O491" i="66"/>
  <c r="L491" i="66"/>
  <c r="K491" i="66"/>
  <c r="N491" i="66" s="1"/>
  <c r="N490" i="66"/>
  <c r="L490" i="66"/>
  <c r="O490" i="66" s="1"/>
  <c r="K490" i="66"/>
  <c r="L489" i="66"/>
  <c r="O489" i="66" s="1"/>
  <c r="K489" i="66"/>
  <c r="N489" i="66" s="1"/>
  <c r="L488" i="66"/>
  <c r="O488" i="66" s="1"/>
  <c r="K488" i="66"/>
  <c r="N488" i="66" s="1"/>
  <c r="O487" i="66"/>
  <c r="L487" i="66"/>
  <c r="K487" i="66"/>
  <c r="N487" i="66" s="1"/>
  <c r="J486" i="66"/>
  <c r="M486" i="66" s="1"/>
  <c r="J485" i="66"/>
  <c r="M485" i="66" s="1"/>
  <c r="M484" i="66"/>
  <c r="J484" i="66"/>
  <c r="J483" i="66"/>
  <c r="M483" i="66" s="1"/>
  <c r="J482" i="66"/>
  <c r="M482" i="66" s="1"/>
  <c r="J481" i="66"/>
  <c r="M481" i="66" s="1"/>
  <c r="M480" i="66"/>
  <c r="J480" i="66"/>
  <c r="J479" i="66"/>
  <c r="M479" i="66" s="1"/>
  <c r="M478" i="66"/>
  <c r="J478" i="66"/>
  <c r="J477" i="66"/>
  <c r="M477" i="66" s="1"/>
  <c r="M476" i="66"/>
  <c r="J476" i="66"/>
  <c r="J475" i="66"/>
  <c r="M475" i="66" s="1"/>
  <c r="J474" i="66"/>
  <c r="M474" i="66" s="1"/>
  <c r="J473" i="66"/>
  <c r="M473" i="66" s="1"/>
  <c r="M472" i="66"/>
  <c r="J472" i="66"/>
  <c r="J471" i="66"/>
  <c r="M471" i="66" s="1"/>
  <c r="M470" i="66"/>
  <c r="J470" i="66"/>
  <c r="J469" i="66"/>
  <c r="M469" i="66" s="1"/>
  <c r="J468" i="66"/>
  <c r="M468" i="66" s="1"/>
  <c r="J467" i="66"/>
  <c r="M467" i="66" s="1"/>
  <c r="J466" i="66"/>
  <c r="M466" i="66" s="1"/>
  <c r="J465" i="66"/>
  <c r="M465" i="66" s="1"/>
  <c r="M464" i="66"/>
  <c r="J464" i="66"/>
  <c r="J463" i="66"/>
  <c r="M463" i="66" s="1"/>
  <c r="J462" i="66"/>
  <c r="M462" i="66" s="1"/>
  <c r="J461" i="66"/>
  <c r="M461" i="66" s="1"/>
  <c r="J460" i="66"/>
  <c r="M460" i="66" s="1"/>
  <c r="J459" i="66"/>
  <c r="M459" i="66" s="1"/>
  <c r="J458" i="66"/>
  <c r="M458" i="66" s="1"/>
  <c r="J457" i="66"/>
  <c r="M457" i="66" s="1"/>
  <c r="M456" i="66"/>
  <c r="J456" i="66"/>
  <c r="J455" i="66"/>
  <c r="M455" i="66" s="1"/>
  <c r="J454" i="66"/>
  <c r="M454" i="66" s="1"/>
  <c r="J453" i="66"/>
  <c r="M453" i="66" s="1"/>
  <c r="M452" i="66"/>
  <c r="J452" i="66"/>
  <c r="J451" i="66"/>
  <c r="M451" i="66" s="1"/>
  <c r="J450" i="66"/>
  <c r="M450" i="66" s="1"/>
  <c r="J449" i="66"/>
  <c r="M449" i="66" s="1"/>
  <c r="M448" i="66"/>
  <c r="J448" i="66"/>
  <c r="J447" i="66"/>
  <c r="M447" i="66" s="1"/>
  <c r="M446" i="66"/>
  <c r="J446" i="66"/>
  <c r="J445" i="66"/>
  <c r="M445" i="66" s="1"/>
  <c r="M444" i="66"/>
  <c r="J444" i="66"/>
  <c r="O443" i="66"/>
  <c r="L443" i="66"/>
  <c r="K443" i="66"/>
  <c r="N443" i="66" s="1"/>
  <c r="N442" i="66"/>
  <c r="L442" i="66"/>
  <c r="O442" i="66" s="1"/>
  <c r="K442" i="66"/>
  <c r="O441" i="66"/>
  <c r="L441" i="66"/>
  <c r="K441" i="66"/>
  <c r="N441" i="66" s="1"/>
  <c r="L440" i="66"/>
  <c r="O440" i="66" s="1"/>
  <c r="K440" i="66"/>
  <c r="N440" i="66" s="1"/>
  <c r="O439" i="66"/>
  <c r="L439" i="66"/>
  <c r="K439" i="66"/>
  <c r="N439" i="66" s="1"/>
  <c r="N438" i="66"/>
  <c r="L438" i="66"/>
  <c r="O438" i="66" s="1"/>
  <c r="K438" i="66"/>
  <c r="L437" i="66"/>
  <c r="O437" i="66" s="1"/>
  <c r="K437" i="66"/>
  <c r="N437" i="66" s="1"/>
  <c r="L436" i="66"/>
  <c r="O436" i="66" s="1"/>
  <c r="K436" i="66"/>
  <c r="N436" i="66" s="1"/>
  <c r="O435" i="66"/>
  <c r="L435" i="66"/>
  <c r="K435" i="66"/>
  <c r="N435" i="66" s="1"/>
  <c r="N434" i="66"/>
  <c r="L434" i="66"/>
  <c r="O434" i="66" s="1"/>
  <c r="K434" i="66"/>
  <c r="L433" i="66"/>
  <c r="O433" i="66" s="1"/>
  <c r="K433" i="66"/>
  <c r="N433" i="66" s="1"/>
  <c r="L432" i="66"/>
  <c r="O432" i="66" s="1"/>
  <c r="K432" i="66"/>
  <c r="N432" i="66" s="1"/>
  <c r="O431" i="66"/>
  <c r="L431" i="66"/>
  <c r="K431" i="66"/>
  <c r="N431" i="66" s="1"/>
  <c r="N430" i="66"/>
  <c r="L430" i="66"/>
  <c r="O430" i="66" s="1"/>
  <c r="K430" i="66"/>
  <c r="O429" i="66"/>
  <c r="L429" i="66"/>
  <c r="K429" i="66"/>
  <c r="N429" i="66" s="1"/>
  <c r="L428" i="66"/>
  <c r="O428" i="66" s="1"/>
  <c r="K428" i="66"/>
  <c r="N428" i="66" s="1"/>
  <c r="O427" i="66"/>
  <c r="L427" i="66"/>
  <c r="K427" i="66"/>
  <c r="N427" i="66" s="1"/>
  <c r="N426" i="66"/>
  <c r="L426" i="66"/>
  <c r="O426" i="66" s="1"/>
  <c r="K426" i="66"/>
  <c r="O425" i="66"/>
  <c r="L425" i="66"/>
  <c r="K425" i="66"/>
  <c r="N425" i="66" s="1"/>
  <c r="L424" i="66"/>
  <c r="O424" i="66" s="1"/>
  <c r="K424" i="66"/>
  <c r="N424" i="66" s="1"/>
  <c r="O423" i="66"/>
  <c r="L423" i="66"/>
  <c r="K423" i="66"/>
  <c r="N423" i="66" s="1"/>
  <c r="N422" i="66"/>
  <c r="L422" i="66"/>
  <c r="O422" i="66" s="1"/>
  <c r="K422" i="66"/>
  <c r="L421" i="66"/>
  <c r="O421" i="66" s="1"/>
  <c r="K421" i="66"/>
  <c r="N421" i="66" s="1"/>
  <c r="L420" i="66"/>
  <c r="O420" i="66" s="1"/>
  <c r="K420" i="66"/>
  <c r="N420" i="66" s="1"/>
  <c r="O419" i="66"/>
  <c r="L419" i="66"/>
  <c r="K419" i="66"/>
  <c r="N419" i="66" s="1"/>
  <c r="N418" i="66"/>
  <c r="L418" i="66"/>
  <c r="O418" i="66" s="1"/>
  <c r="K418" i="66"/>
  <c r="L417" i="66"/>
  <c r="O417" i="66" s="1"/>
  <c r="K417" i="66"/>
  <c r="N417" i="66" s="1"/>
  <c r="J416" i="66"/>
  <c r="M416" i="66" s="1"/>
  <c r="J415" i="66"/>
  <c r="M415" i="66" s="1"/>
  <c r="M414" i="66"/>
  <c r="J414" i="66"/>
  <c r="J413" i="66"/>
  <c r="M413" i="66" s="1"/>
  <c r="J412" i="66"/>
  <c r="M412" i="66" s="1"/>
  <c r="J411" i="66"/>
  <c r="M411" i="66" s="1"/>
  <c r="M410" i="66"/>
  <c r="J410" i="66"/>
  <c r="J409" i="66"/>
  <c r="M409" i="66" s="1"/>
  <c r="J408" i="66"/>
  <c r="M408" i="66" s="1"/>
  <c r="J407" i="66"/>
  <c r="M407" i="66" s="1"/>
  <c r="M406" i="66"/>
  <c r="J406" i="66"/>
  <c r="J405" i="66"/>
  <c r="M405" i="66" s="1"/>
  <c r="M404" i="66"/>
  <c r="J404" i="66"/>
  <c r="J403" i="66"/>
  <c r="M403" i="66" s="1"/>
  <c r="M402" i="66"/>
  <c r="J402" i="66"/>
  <c r="J401" i="66"/>
  <c r="M401" i="66" s="1"/>
  <c r="J400" i="66"/>
  <c r="M400" i="66" s="1"/>
  <c r="J399" i="66"/>
  <c r="M399" i="66" s="1"/>
  <c r="M398" i="66"/>
  <c r="J398" i="66"/>
  <c r="J397" i="66"/>
  <c r="M397" i="66" s="1"/>
  <c r="M396" i="66"/>
  <c r="J396" i="66"/>
  <c r="J395" i="66"/>
  <c r="M395" i="66" s="1"/>
  <c r="J394" i="66"/>
  <c r="M394" i="66" s="1"/>
  <c r="J393" i="66"/>
  <c r="M393" i="66" s="1"/>
  <c r="J392" i="66"/>
  <c r="M392" i="66" s="1"/>
  <c r="J391" i="66"/>
  <c r="M391" i="66" s="1"/>
  <c r="M390" i="66"/>
  <c r="J390" i="66"/>
  <c r="L389" i="66"/>
  <c r="O389" i="66" s="1"/>
  <c r="J389" i="66"/>
  <c r="M389" i="66" s="1"/>
  <c r="L388" i="66"/>
  <c r="O388" i="66" s="1"/>
  <c r="J388" i="66"/>
  <c r="M388" i="66" s="1"/>
  <c r="O387" i="66"/>
  <c r="L387" i="66"/>
  <c r="J387" i="66"/>
  <c r="M387" i="66" s="1"/>
  <c r="M386" i="66"/>
  <c r="L386" i="66"/>
  <c r="O386" i="66" s="1"/>
  <c r="J386" i="66"/>
  <c r="L385" i="66"/>
  <c r="O385" i="66" s="1"/>
  <c r="J385" i="66"/>
  <c r="M385" i="66" s="1"/>
  <c r="L384" i="66"/>
  <c r="O384" i="66" s="1"/>
  <c r="J384" i="66"/>
  <c r="M384" i="66" s="1"/>
  <c r="O383" i="66"/>
  <c r="L383" i="66"/>
  <c r="J383" i="66"/>
  <c r="M383" i="66" s="1"/>
  <c r="M382" i="66"/>
  <c r="L382" i="66"/>
  <c r="O382" i="66" s="1"/>
  <c r="J382" i="66"/>
  <c r="L381" i="66"/>
  <c r="O381" i="66" s="1"/>
  <c r="J381" i="66"/>
  <c r="M381" i="66" s="1"/>
  <c r="L380" i="66"/>
  <c r="O380" i="66" s="1"/>
  <c r="J380" i="66"/>
  <c r="M380" i="66" s="1"/>
  <c r="O379" i="66"/>
  <c r="L379" i="66"/>
  <c r="J379" i="66"/>
  <c r="M379" i="66" s="1"/>
  <c r="M378" i="66"/>
  <c r="L378" i="66"/>
  <c r="O378" i="66" s="1"/>
  <c r="J378" i="66"/>
  <c r="L377" i="66"/>
  <c r="O377" i="66" s="1"/>
  <c r="K377" i="66"/>
  <c r="N377" i="66" s="1"/>
  <c r="L376" i="66"/>
  <c r="O376" i="66" s="1"/>
  <c r="K376" i="66"/>
  <c r="N376" i="66" s="1"/>
  <c r="O375" i="66"/>
  <c r="L375" i="66"/>
  <c r="K375" i="66"/>
  <c r="N375" i="66" s="1"/>
  <c r="N374" i="66"/>
  <c r="L374" i="66"/>
  <c r="O374" i="66" s="1"/>
  <c r="K374" i="66"/>
  <c r="L373" i="66"/>
  <c r="O373" i="66" s="1"/>
  <c r="K373" i="66"/>
  <c r="N373" i="66" s="1"/>
  <c r="L372" i="66"/>
  <c r="O372" i="66" s="1"/>
  <c r="K372" i="66"/>
  <c r="N372" i="66" s="1"/>
  <c r="O371" i="66"/>
  <c r="L371" i="66"/>
  <c r="K371" i="66"/>
  <c r="N371" i="66" s="1"/>
  <c r="N370" i="66"/>
  <c r="L370" i="66"/>
  <c r="O370" i="66" s="1"/>
  <c r="K370" i="66"/>
  <c r="L369" i="66"/>
  <c r="O369" i="66" s="1"/>
  <c r="K369" i="66"/>
  <c r="N369" i="66" s="1"/>
  <c r="L368" i="66"/>
  <c r="O368" i="66" s="1"/>
  <c r="K368" i="66"/>
  <c r="N368" i="66" s="1"/>
  <c r="O367" i="66"/>
  <c r="L367" i="66"/>
  <c r="K367" i="66"/>
  <c r="N367" i="66" s="1"/>
  <c r="N366" i="66"/>
  <c r="L366" i="66"/>
  <c r="O366" i="66" s="1"/>
  <c r="K366" i="66"/>
  <c r="L365" i="66"/>
  <c r="O365" i="66" s="1"/>
  <c r="J365" i="66"/>
  <c r="M365" i="66" s="1"/>
  <c r="M364" i="66"/>
  <c r="L364" i="66"/>
  <c r="O364" i="66" s="1"/>
  <c r="J364" i="66"/>
  <c r="O363" i="66"/>
  <c r="L363" i="66"/>
  <c r="J363" i="66"/>
  <c r="M363" i="66" s="1"/>
  <c r="L362" i="66"/>
  <c r="O362" i="66" s="1"/>
  <c r="J362" i="66"/>
  <c r="M362" i="66" s="1"/>
  <c r="O361" i="66"/>
  <c r="L361" i="66"/>
  <c r="J361" i="66"/>
  <c r="M361" i="66" s="1"/>
  <c r="L360" i="66"/>
  <c r="O360" i="66" s="1"/>
  <c r="J360" i="66"/>
  <c r="M360" i="66" s="1"/>
  <c r="L359" i="66"/>
  <c r="O359" i="66" s="1"/>
  <c r="J359" i="66"/>
  <c r="M359" i="66" s="1"/>
  <c r="M358" i="66"/>
  <c r="L358" i="66"/>
  <c r="O358" i="66" s="1"/>
  <c r="J358" i="66"/>
  <c r="L357" i="66"/>
  <c r="O357" i="66" s="1"/>
  <c r="J357" i="66"/>
  <c r="M357" i="66" s="1"/>
  <c r="M356" i="66"/>
  <c r="L356" i="66"/>
  <c r="O356" i="66" s="1"/>
  <c r="J356" i="66"/>
  <c r="O355" i="66"/>
  <c r="L355" i="66"/>
  <c r="J355" i="66"/>
  <c r="M355" i="66" s="1"/>
  <c r="L354" i="66"/>
  <c r="O354" i="66" s="1"/>
  <c r="J354" i="66"/>
  <c r="M354" i="66" s="1"/>
  <c r="J353" i="66"/>
  <c r="M353" i="66" s="1"/>
  <c r="J352" i="66"/>
  <c r="M352" i="66" s="1"/>
  <c r="J351" i="66"/>
  <c r="M351" i="66" s="1"/>
  <c r="M350" i="66"/>
  <c r="J350" i="66"/>
  <c r="J349" i="66"/>
  <c r="M349" i="66" s="1"/>
  <c r="M348" i="66"/>
  <c r="J348" i="66"/>
  <c r="J347" i="66"/>
  <c r="M347" i="66" s="1"/>
  <c r="M346" i="66"/>
  <c r="J346" i="66"/>
  <c r="J345" i="66"/>
  <c r="M345" i="66" s="1"/>
  <c r="M344" i="66"/>
  <c r="J344" i="66"/>
  <c r="J343" i="66"/>
  <c r="M343" i="66" s="1"/>
  <c r="M342" i="66"/>
  <c r="J342" i="66"/>
  <c r="J341" i="66"/>
  <c r="M341" i="66" s="1"/>
  <c r="M340" i="66"/>
  <c r="J340" i="66"/>
  <c r="J339" i="66"/>
  <c r="M339" i="66" s="1"/>
  <c r="O338" i="66"/>
  <c r="L338" i="66"/>
  <c r="K338" i="66"/>
  <c r="N338" i="66" s="1"/>
  <c r="L337" i="66"/>
  <c r="O337" i="66" s="1"/>
  <c r="K337" i="66"/>
  <c r="N337" i="66" s="1"/>
  <c r="L336" i="66"/>
  <c r="O336" i="66" s="1"/>
  <c r="K336" i="66"/>
  <c r="N336" i="66" s="1"/>
  <c r="O335" i="66"/>
  <c r="L335" i="66"/>
  <c r="K335" i="66"/>
  <c r="N335" i="66" s="1"/>
  <c r="O334" i="66"/>
  <c r="L334" i="66"/>
  <c r="K334" i="66"/>
  <c r="N334" i="66" s="1"/>
  <c r="L333" i="66"/>
  <c r="O333" i="66" s="1"/>
  <c r="K333" i="66"/>
  <c r="N333" i="66" s="1"/>
  <c r="L332" i="66"/>
  <c r="O332" i="66" s="1"/>
  <c r="K332" i="66"/>
  <c r="N332" i="66" s="1"/>
  <c r="O331" i="66"/>
  <c r="L331" i="66"/>
  <c r="K331" i="66"/>
  <c r="N331" i="66" s="1"/>
  <c r="O330" i="66"/>
  <c r="L330" i="66"/>
  <c r="K330" i="66"/>
  <c r="N330" i="66" s="1"/>
  <c r="L329" i="66"/>
  <c r="O329" i="66" s="1"/>
  <c r="K329" i="66"/>
  <c r="N329" i="66" s="1"/>
  <c r="L328" i="66"/>
  <c r="O328" i="66" s="1"/>
  <c r="K328" i="66"/>
  <c r="N328" i="66" s="1"/>
  <c r="O327" i="66"/>
  <c r="L327" i="66"/>
  <c r="K327" i="66"/>
  <c r="N327" i="66" s="1"/>
  <c r="O326" i="66"/>
  <c r="L326" i="66"/>
  <c r="K326" i="66"/>
  <c r="N326" i="66" s="1"/>
  <c r="L325" i="66"/>
  <c r="O325" i="66" s="1"/>
  <c r="K325" i="66"/>
  <c r="N325" i="66" s="1"/>
  <c r="L324" i="66"/>
  <c r="O324" i="66" s="1"/>
  <c r="K324" i="66"/>
  <c r="N324" i="66" s="1"/>
  <c r="M323" i="66"/>
  <c r="J323" i="66"/>
  <c r="J322" i="66"/>
  <c r="M322" i="66" s="1"/>
  <c r="M321" i="66"/>
  <c r="J321" i="66"/>
  <c r="J320" i="66"/>
  <c r="M320" i="66" s="1"/>
  <c r="M319" i="66"/>
  <c r="J319" i="66"/>
  <c r="J318" i="66"/>
  <c r="M318" i="66" s="1"/>
  <c r="M317" i="66"/>
  <c r="J317" i="66"/>
  <c r="J316" i="66"/>
  <c r="M316" i="66" s="1"/>
  <c r="M315" i="66"/>
  <c r="J315" i="66"/>
  <c r="J314" i="66"/>
  <c r="M314" i="66" s="1"/>
  <c r="M313" i="66"/>
  <c r="J313" i="66"/>
  <c r="J312" i="66"/>
  <c r="M312" i="66" s="1"/>
  <c r="M311" i="66"/>
  <c r="J311" i="66"/>
  <c r="J310" i="66"/>
  <c r="M310" i="66" s="1"/>
  <c r="M309" i="66"/>
  <c r="J309" i="66"/>
  <c r="J308" i="66"/>
  <c r="M308" i="66" s="1"/>
  <c r="M307" i="66"/>
  <c r="J307" i="66"/>
  <c r="J306" i="66"/>
  <c r="M306" i="66" s="1"/>
  <c r="M305" i="66"/>
  <c r="J305" i="66"/>
  <c r="J304" i="66"/>
  <c r="M304" i="66" s="1"/>
  <c r="M303" i="66"/>
  <c r="J303" i="66"/>
  <c r="J302" i="66"/>
  <c r="M302" i="66" s="1"/>
  <c r="M301" i="66"/>
  <c r="J301" i="66"/>
  <c r="J300" i="66"/>
  <c r="M300" i="66" s="1"/>
  <c r="M299" i="66"/>
  <c r="J299" i="66"/>
  <c r="J298" i="66"/>
  <c r="M298" i="66" s="1"/>
  <c r="M297" i="66"/>
  <c r="J297" i="66"/>
  <c r="J296" i="66"/>
  <c r="M296" i="66" s="1"/>
  <c r="M295" i="66"/>
  <c r="J295" i="66"/>
  <c r="J294" i="66"/>
  <c r="M294" i="66" s="1"/>
  <c r="M293" i="66"/>
  <c r="J293" i="66"/>
  <c r="J292" i="66"/>
  <c r="M292" i="66" s="1"/>
  <c r="M291" i="66"/>
  <c r="J291" i="66"/>
  <c r="J290" i="66"/>
  <c r="M290" i="66" s="1"/>
  <c r="M289" i="66"/>
  <c r="J289" i="66"/>
  <c r="J288" i="66"/>
  <c r="M288" i="66" s="1"/>
  <c r="M287" i="66"/>
  <c r="J287" i="66"/>
  <c r="J286" i="66"/>
  <c r="M286" i="66" s="1"/>
  <c r="M285" i="66"/>
  <c r="J285" i="66"/>
  <c r="J284" i="66"/>
  <c r="M284" i="66" s="1"/>
  <c r="M283" i="66"/>
  <c r="J283" i="66"/>
  <c r="J282" i="66"/>
  <c r="M282" i="66" s="1"/>
  <c r="M281" i="66"/>
  <c r="J281" i="66"/>
  <c r="J280" i="66"/>
  <c r="M280" i="66" s="1"/>
  <c r="M279" i="66"/>
  <c r="J279" i="66"/>
  <c r="J278" i="66"/>
  <c r="M278" i="66" s="1"/>
  <c r="M277" i="66"/>
  <c r="J277" i="66"/>
  <c r="J276" i="66"/>
  <c r="M276" i="66" s="1"/>
  <c r="O275" i="66"/>
  <c r="L275" i="66"/>
  <c r="K275" i="66"/>
  <c r="N275" i="66" s="1"/>
  <c r="O274" i="66"/>
  <c r="L274" i="66"/>
  <c r="K274" i="66"/>
  <c r="N274" i="66" s="1"/>
  <c r="L273" i="66"/>
  <c r="O273" i="66" s="1"/>
  <c r="K273" i="66"/>
  <c r="N273" i="66" s="1"/>
  <c r="L272" i="66"/>
  <c r="O272" i="66" s="1"/>
  <c r="K272" i="66"/>
  <c r="N272" i="66" s="1"/>
  <c r="O271" i="66"/>
  <c r="L271" i="66"/>
  <c r="K271" i="66"/>
  <c r="N271" i="66" s="1"/>
  <c r="O270" i="66"/>
  <c r="L270" i="66"/>
  <c r="K270" i="66"/>
  <c r="N270" i="66" s="1"/>
  <c r="L269" i="66"/>
  <c r="O269" i="66" s="1"/>
  <c r="K269" i="66"/>
  <c r="N269" i="66" s="1"/>
  <c r="L268" i="66"/>
  <c r="O268" i="66" s="1"/>
  <c r="K268" i="66"/>
  <c r="N268" i="66" s="1"/>
  <c r="O267" i="66"/>
  <c r="L267" i="66"/>
  <c r="K267" i="66"/>
  <c r="N267" i="66" s="1"/>
  <c r="O266" i="66"/>
  <c r="L266" i="66"/>
  <c r="K266" i="66"/>
  <c r="N266" i="66" s="1"/>
  <c r="L265" i="66"/>
  <c r="O265" i="66" s="1"/>
  <c r="K265" i="66"/>
  <c r="N265" i="66" s="1"/>
  <c r="L264" i="66"/>
  <c r="O264" i="66" s="1"/>
  <c r="K264" i="66"/>
  <c r="N264" i="66" s="1"/>
  <c r="O263" i="66"/>
  <c r="L263" i="66"/>
  <c r="K263" i="66"/>
  <c r="N263" i="66" s="1"/>
  <c r="O262" i="66"/>
  <c r="L262" i="66"/>
  <c r="K262" i="66"/>
  <c r="N262" i="66" s="1"/>
  <c r="L261" i="66"/>
  <c r="O261" i="66" s="1"/>
  <c r="K261" i="66"/>
  <c r="N261" i="66" s="1"/>
  <c r="L260" i="66"/>
  <c r="O260" i="66" s="1"/>
  <c r="K260" i="66"/>
  <c r="N260" i="66" s="1"/>
  <c r="O259" i="66"/>
  <c r="L259" i="66"/>
  <c r="K259" i="66"/>
  <c r="N259" i="66" s="1"/>
  <c r="O258" i="66"/>
  <c r="L258" i="66"/>
  <c r="K258" i="66"/>
  <c r="N258" i="66" s="1"/>
  <c r="L257" i="66"/>
  <c r="O257" i="66" s="1"/>
  <c r="K257" i="66"/>
  <c r="N257" i="66" s="1"/>
  <c r="L256" i="66"/>
  <c r="O256" i="66" s="1"/>
  <c r="K256" i="66"/>
  <c r="N256" i="66" s="1"/>
  <c r="O255" i="66"/>
  <c r="L255" i="66"/>
  <c r="K255" i="66"/>
  <c r="N255" i="66" s="1"/>
  <c r="O254" i="66"/>
  <c r="L254" i="66"/>
  <c r="K254" i="66"/>
  <c r="N254" i="66" s="1"/>
  <c r="L253" i="66"/>
  <c r="O253" i="66" s="1"/>
  <c r="K253" i="66"/>
  <c r="N253" i="66" s="1"/>
  <c r="L252" i="66"/>
  <c r="O252" i="66" s="1"/>
  <c r="K252" i="66"/>
  <c r="N252" i="66" s="1"/>
  <c r="O251" i="66"/>
  <c r="L251" i="66"/>
  <c r="K251" i="66"/>
  <c r="N251" i="66" s="1"/>
  <c r="O250" i="66"/>
  <c r="L250" i="66"/>
  <c r="K250" i="66"/>
  <c r="N250" i="66" s="1"/>
  <c r="L249" i="66"/>
  <c r="O249" i="66" s="1"/>
  <c r="K249" i="66"/>
  <c r="N249" i="66" s="1"/>
  <c r="L248" i="66"/>
  <c r="O248" i="66" s="1"/>
  <c r="K248" i="66"/>
  <c r="N248" i="66" s="1"/>
  <c r="O247" i="66"/>
  <c r="L247" i="66"/>
  <c r="K247" i="66"/>
  <c r="N247" i="66" s="1"/>
  <c r="O246" i="66"/>
  <c r="L246" i="66"/>
  <c r="K246" i="66"/>
  <c r="N246" i="66" s="1"/>
  <c r="L245" i="66"/>
  <c r="O245" i="66" s="1"/>
  <c r="K245" i="66"/>
  <c r="N245" i="66" s="1"/>
  <c r="L244" i="66"/>
  <c r="O244" i="66" s="1"/>
  <c r="K244" i="66"/>
  <c r="N244" i="66" s="1"/>
  <c r="O243" i="66"/>
  <c r="L243" i="66"/>
  <c r="K243" i="66"/>
  <c r="N243" i="66" s="1"/>
  <c r="M242" i="66"/>
  <c r="J242" i="66"/>
  <c r="J241" i="66"/>
  <c r="M241" i="66" s="1"/>
  <c r="M240" i="66"/>
  <c r="J240" i="66"/>
  <c r="J239" i="66"/>
  <c r="M239" i="66" s="1"/>
  <c r="M238" i="66"/>
  <c r="J238" i="66"/>
  <c r="J237" i="66"/>
  <c r="M237" i="66" s="1"/>
  <c r="M236" i="66"/>
  <c r="J236" i="66"/>
  <c r="J235" i="66"/>
  <c r="M235" i="66" s="1"/>
  <c r="J234" i="66"/>
  <c r="M234" i="66" s="1"/>
  <c r="J233" i="66"/>
  <c r="M233" i="66" s="1"/>
  <c r="J232" i="66"/>
  <c r="M232" i="66" s="1"/>
  <c r="J231" i="66"/>
  <c r="M231" i="66" s="1"/>
  <c r="M230" i="66"/>
  <c r="J230" i="66"/>
  <c r="J229" i="66"/>
  <c r="M229" i="66" s="1"/>
  <c r="M228" i="66"/>
  <c r="J228" i="66"/>
  <c r="J227" i="66"/>
  <c r="M227" i="66" s="1"/>
  <c r="J226" i="66"/>
  <c r="M226" i="66" s="1"/>
  <c r="J225" i="66"/>
  <c r="M225" i="66" s="1"/>
  <c r="J224" i="66"/>
  <c r="M224" i="66" s="1"/>
  <c r="J223" i="66"/>
  <c r="M223" i="66" s="1"/>
  <c r="M222" i="66"/>
  <c r="J222" i="66"/>
  <c r="J221" i="66"/>
  <c r="M221" i="66" s="1"/>
  <c r="M220" i="66"/>
  <c r="J220" i="66"/>
  <c r="J219" i="66"/>
  <c r="M219" i="66" s="1"/>
  <c r="J218" i="66"/>
  <c r="M218" i="66" s="1"/>
  <c r="J217" i="66"/>
  <c r="M217" i="66" s="1"/>
  <c r="J216" i="66"/>
  <c r="M216" i="66" s="1"/>
  <c r="J215" i="66"/>
  <c r="M215" i="66" s="1"/>
  <c r="M214" i="66"/>
  <c r="J214" i="66"/>
  <c r="J213" i="66"/>
  <c r="M213" i="66" s="1"/>
  <c r="M212" i="66"/>
  <c r="J212" i="66"/>
  <c r="J211" i="66"/>
  <c r="M211" i="66" s="1"/>
  <c r="J210" i="66"/>
  <c r="M210" i="66" s="1"/>
  <c r="O209" i="66"/>
  <c r="L209" i="66"/>
  <c r="K209" i="66"/>
  <c r="N209" i="66" s="1"/>
  <c r="N208" i="66"/>
  <c r="L208" i="66"/>
  <c r="O208" i="66" s="1"/>
  <c r="K208" i="66"/>
  <c r="L207" i="66"/>
  <c r="O207" i="66" s="1"/>
  <c r="K207" i="66"/>
  <c r="N207" i="66" s="1"/>
  <c r="L206" i="66"/>
  <c r="O206" i="66" s="1"/>
  <c r="K206" i="66"/>
  <c r="N206" i="66" s="1"/>
  <c r="O205" i="66"/>
  <c r="L205" i="66"/>
  <c r="K205" i="66"/>
  <c r="N205" i="66" s="1"/>
  <c r="N204" i="66"/>
  <c r="L204" i="66"/>
  <c r="O204" i="66" s="1"/>
  <c r="K204" i="66"/>
  <c r="L203" i="66"/>
  <c r="O203" i="66" s="1"/>
  <c r="K203" i="66"/>
  <c r="N203" i="66" s="1"/>
  <c r="L202" i="66"/>
  <c r="O202" i="66" s="1"/>
  <c r="K202" i="66"/>
  <c r="N202" i="66" s="1"/>
  <c r="O201" i="66"/>
  <c r="L201" i="66"/>
  <c r="K201" i="66"/>
  <c r="N201" i="66" s="1"/>
  <c r="N200" i="66"/>
  <c r="L200" i="66"/>
  <c r="O200" i="66" s="1"/>
  <c r="K200" i="66"/>
  <c r="L199" i="66"/>
  <c r="O199" i="66" s="1"/>
  <c r="K199" i="66"/>
  <c r="N199" i="66" s="1"/>
  <c r="L198" i="66"/>
  <c r="O198" i="66" s="1"/>
  <c r="K198" i="66"/>
  <c r="N198" i="66" s="1"/>
  <c r="O197" i="66"/>
  <c r="L197" i="66"/>
  <c r="K197" i="66"/>
  <c r="N197" i="66" s="1"/>
  <c r="N196" i="66"/>
  <c r="L196" i="66"/>
  <c r="O196" i="66" s="1"/>
  <c r="K196" i="66"/>
  <c r="L195" i="66"/>
  <c r="O195" i="66" s="1"/>
  <c r="K195" i="66"/>
  <c r="N195" i="66" s="1"/>
  <c r="L194" i="66"/>
  <c r="O194" i="66" s="1"/>
  <c r="K194" i="66"/>
  <c r="N194" i="66" s="1"/>
  <c r="O193" i="66"/>
  <c r="L193" i="66"/>
  <c r="K193" i="66"/>
  <c r="N193" i="66" s="1"/>
  <c r="N192" i="66"/>
  <c r="L192" i="66"/>
  <c r="O192" i="66" s="1"/>
  <c r="K192" i="66"/>
  <c r="L191" i="66"/>
  <c r="O191" i="66" s="1"/>
  <c r="K191" i="66"/>
  <c r="N191" i="66" s="1"/>
  <c r="L190" i="66"/>
  <c r="O190" i="66" s="1"/>
  <c r="K190" i="66"/>
  <c r="N190" i="66" s="1"/>
  <c r="O189" i="66"/>
  <c r="L189" i="66"/>
  <c r="K189" i="66"/>
  <c r="N189" i="66" s="1"/>
  <c r="N188" i="66"/>
  <c r="L188" i="66"/>
  <c r="O188" i="66" s="1"/>
  <c r="K188" i="66"/>
  <c r="L187" i="66"/>
  <c r="O187" i="66" s="1"/>
  <c r="K187" i="66"/>
  <c r="N187" i="66" s="1"/>
  <c r="L186" i="66"/>
  <c r="O186" i="66" s="1"/>
  <c r="K186" i="66"/>
  <c r="N186" i="66" s="1"/>
  <c r="O185" i="66"/>
  <c r="L185" i="66"/>
  <c r="K185" i="66"/>
  <c r="N185" i="66" s="1"/>
  <c r="N184" i="66"/>
  <c r="L184" i="66"/>
  <c r="O184" i="66" s="1"/>
  <c r="K184" i="66"/>
  <c r="L183" i="66"/>
  <c r="O183" i="66" s="1"/>
  <c r="K183" i="66"/>
  <c r="N183" i="66" s="1"/>
  <c r="L182" i="66"/>
  <c r="O182" i="66" s="1"/>
  <c r="K182" i="66"/>
  <c r="N182" i="66" s="1"/>
  <c r="O181" i="66"/>
  <c r="L181" i="66"/>
  <c r="K181" i="66"/>
  <c r="N181" i="66" s="1"/>
  <c r="N180" i="66"/>
  <c r="L180" i="66"/>
  <c r="O180" i="66" s="1"/>
  <c r="K180" i="66"/>
  <c r="L179" i="66"/>
  <c r="O179" i="66" s="1"/>
  <c r="K179" i="66"/>
  <c r="N179" i="66" s="1"/>
  <c r="L178" i="66"/>
  <c r="O178" i="66" s="1"/>
  <c r="K178" i="66"/>
  <c r="N178" i="66" s="1"/>
  <c r="O177" i="66"/>
  <c r="L177" i="66"/>
  <c r="K177" i="66"/>
  <c r="N177" i="66" s="1"/>
  <c r="N176" i="66"/>
  <c r="L176" i="66"/>
  <c r="O176" i="66" s="1"/>
  <c r="K176" i="66"/>
  <c r="L175" i="66"/>
  <c r="O175" i="66" s="1"/>
  <c r="K175" i="66"/>
  <c r="N175" i="66" s="1"/>
  <c r="L174" i="66"/>
  <c r="O174" i="66" s="1"/>
  <c r="K174" i="66"/>
  <c r="N174" i="66" s="1"/>
  <c r="O173" i="66"/>
  <c r="L173" i="66"/>
  <c r="K173" i="66"/>
  <c r="N173" i="66" s="1"/>
  <c r="N172" i="66"/>
  <c r="L172" i="66"/>
  <c r="O172" i="66" s="1"/>
  <c r="K172" i="66"/>
  <c r="L171" i="66"/>
  <c r="O171" i="66" s="1"/>
  <c r="K171" i="66"/>
  <c r="N171" i="66" s="1"/>
  <c r="L170" i="66"/>
  <c r="O170" i="66" s="1"/>
  <c r="K170" i="66"/>
  <c r="N170" i="66" s="1"/>
  <c r="O169" i="66"/>
  <c r="L169" i="66"/>
  <c r="K169" i="66"/>
  <c r="N169" i="66" s="1"/>
  <c r="N168" i="66"/>
  <c r="L168" i="66"/>
  <c r="O168" i="66" s="1"/>
  <c r="K168" i="66"/>
  <c r="L167" i="66"/>
  <c r="O167" i="66" s="1"/>
  <c r="K167" i="66"/>
  <c r="N167" i="66" s="1"/>
  <c r="L166" i="66"/>
  <c r="O166" i="66" s="1"/>
  <c r="K166" i="66"/>
  <c r="N166" i="66" s="1"/>
  <c r="O165" i="66"/>
  <c r="L165" i="66"/>
  <c r="K165" i="66"/>
  <c r="N165" i="66" s="1"/>
  <c r="N164" i="66"/>
  <c r="L164" i="66"/>
  <c r="O164" i="66" s="1"/>
  <c r="K164" i="66"/>
  <c r="N163" i="66"/>
  <c r="L163" i="66"/>
  <c r="O163" i="66" s="1"/>
  <c r="K163" i="66"/>
  <c r="L162" i="66"/>
  <c r="O162" i="66" s="1"/>
  <c r="K162" i="66"/>
  <c r="N162" i="66" s="1"/>
  <c r="L161" i="66"/>
  <c r="O161" i="66" s="1"/>
  <c r="K161" i="66"/>
  <c r="N161" i="66" s="1"/>
  <c r="L160" i="66"/>
  <c r="O160" i="66" s="1"/>
  <c r="K160" i="66"/>
  <c r="N160" i="66" s="1"/>
  <c r="O159" i="66"/>
  <c r="L159" i="66"/>
  <c r="K159" i="66"/>
  <c r="N159" i="66" s="1"/>
  <c r="N158" i="66"/>
  <c r="L158" i="66"/>
  <c r="O158" i="66" s="1"/>
  <c r="K158" i="66"/>
  <c r="L157" i="66"/>
  <c r="O157" i="66" s="1"/>
  <c r="K157" i="66"/>
  <c r="N157" i="66" s="1"/>
  <c r="L156" i="66"/>
  <c r="O156" i="66" s="1"/>
  <c r="K156" i="66"/>
  <c r="N156" i="66" s="1"/>
  <c r="O155" i="66"/>
  <c r="L155" i="66"/>
  <c r="K155" i="66"/>
  <c r="N155" i="66" s="1"/>
  <c r="N154" i="66"/>
  <c r="L154" i="66"/>
  <c r="O154" i="66" s="1"/>
  <c r="K154" i="66"/>
  <c r="O153" i="66"/>
  <c r="N153" i="66"/>
  <c r="L153" i="66"/>
  <c r="K153" i="66"/>
  <c r="N152" i="66"/>
  <c r="L152" i="66"/>
  <c r="O152" i="66" s="1"/>
  <c r="K152" i="66"/>
  <c r="L151" i="66"/>
  <c r="O151" i="66" s="1"/>
  <c r="K151" i="66"/>
  <c r="N151" i="66" s="1"/>
  <c r="L150" i="66"/>
  <c r="O150" i="66" s="1"/>
  <c r="K150" i="66"/>
  <c r="N150" i="66" s="1"/>
  <c r="O149" i="66"/>
  <c r="L149" i="66"/>
  <c r="K149" i="66"/>
  <c r="N149" i="66" s="1"/>
  <c r="N148" i="66"/>
  <c r="L148" i="66"/>
  <c r="O148" i="66" s="1"/>
  <c r="K148" i="66"/>
  <c r="N147" i="66"/>
  <c r="L147" i="66"/>
  <c r="O147" i="66" s="1"/>
  <c r="K147" i="66"/>
  <c r="L146" i="66"/>
  <c r="O146" i="66" s="1"/>
  <c r="K146" i="66"/>
  <c r="N146" i="66" s="1"/>
  <c r="L145" i="66"/>
  <c r="O145" i="66" s="1"/>
  <c r="K145" i="66"/>
  <c r="N145" i="66" s="1"/>
  <c r="L144" i="66"/>
  <c r="O144" i="66" s="1"/>
  <c r="K144" i="66"/>
  <c r="N144" i="66" s="1"/>
  <c r="O143" i="66"/>
  <c r="L143" i="66"/>
  <c r="K143" i="66"/>
  <c r="N143" i="66" s="1"/>
  <c r="N142" i="66"/>
  <c r="L142" i="66"/>
  <c r="O142" i="66" s="1"/>
  <c r="K142" i="66"/>
  <c r="L141" i="66"/>
  <c r="O141" i="66" s="1"/>
  <c r="K141" i="66"/>
  <c r="N141" i="66" s="1"/>
  <c r="L140" i="66"/>
  <c r="O140" i="66" s="1"/>
  <c r="K140" i="66"/>
  <c r="N140" i="66" s="1"/>
  <c r="O139" i="66"/>
  <c r="L139" i="66"/>
  <c r="K139" i="66"/>
  <c r="N139" i="66" s="1"/>
  <c r="N138" i="66"/>
  <c r="L138" i="66"/>
  <c r="O138" i="66" s="1"/>
  <c r="K138" i="66"/>
  <c r="O137" i="66"/>
  <c r="N137" i="66"/>
  <c r="L137" i="66"/>
  <c r="K137" i="66"/>
  <c r="N136" i="66"/>
  <c r="L136" i="66"/>
  <c r="O136" i="66" s="1"/>
  <c r="K136" i="66"/>
  <c r="L135" i="66"/>
  <c r="O135" i="66" s="1"/>
  <c r="K135" i="66"/>
  <c r="N135" i="66" s="1"/>
  <c r="L134" i="66"/>
  <c r="O134" i="66" s="1"/>
  <c r="K134" i="66"/>
  <c r="N134" i="66" s="1"/>
  <c r="O133" i="66"/>
  <c r="L133" i="66"/>
  <c r="K133" i="66"/>
  <c r="N133" i="66" s="1"/>
  <c r="N132" i="66"/>
  <c r="L132" i="66"/>
  <c r="O132" i="66" s="1"/>
  <c r="K132" i="66"/>
  <c r="N131" i="66"/>
  <c r="L131" i="66"/>
  <c r="O131" i="66" s="1"/>
  <c r="K131" i="66"/>
  <c r="L130" i="66"/>
  <c r="O130" i="66" s="1"/>
  <c r="K130" i="66"/>
  <c r="N130" i="66" s="1"/>
  <c r="L129" i="66"/>
  <c r="O129" i="66" s="1"/>
  <c r="K129" i="66"/>
  <c r="N129" i="66" s="1"/>
  <c r="L128" i="66"/>
  <c r="O128" i="66" s="1"/>
  <c r="K128" i="66"/>
  <c r="N128" i="66" s="1"/>
  <c r="O127" i="66"/>
  <c r="L127" i="66"/>
  <c r="K127" i="66"/>
  <c r="N127" i="66" s="1"/>
  <c r="N126" i="66"/>
  <c r="L126" i="66"/>
  <c r="O126" i="66" s="1"/>
  <c r="K126" i="66"/>
  <c r="L97" i="66"/>
  <c r="O97" i="66" s="1"/>
  <c r="L96" i="66"/>
  <c r="O96" i="66" s="1"/>
  <c r="L95" i="66"/>
  <c r="O95" i="66" s="1"/>
  <c r="L94" i="66"/>
  <c r="O94" i="66" s="1"/>
  <c r="O93" i="66"/>
  <c r="L93" i="66"/>
  <c r="L92" i="66"/>
  <c r="O92" i="66" s="1"/>
  <c r="O91" i="66"/>
  <c r="L91" i="66"/>
  <c r="L90" i="66"/>
  <c r="O90" i="66" s="1"/>
  <c r="L89" i="66"/>
  <c r="O89" i="66" s="1"/>
  <c r="L88" i="66"/>
  <c r="O88" i="66" s="1"/>
  <c r="L87" i="66"/>
  <c r="O87" i="66" s="1"/>
  <c r="L86" i="66"/>
  <c r="O86" i="66" s="1"/>
  <c r="O85" i="66"/>
  <c r="L85" i="66"/>
  <c r="J85" i="66"/>
  <c r="M85" i="66" s="1"/>
  <c r="M84" i="66"/>
  <c r="L84" i="66"/>
  <c r="O84" i="66" s="1"/>
  <c r="J84" i="66"/>
  <c r="L83" i="66"/>
  <c r="O83" i="66" s="1"/>
  <c r="J83" i="66"/>
  <c r="M83" i="66" s="1"/>
  <c r="L82" i="66"/>
  <c r="O82" i="66" s="1"/>
  <c r="J82" i="66"/>
  <c r="M82" i="66" s="1"/>
  <c r="O81" i="66"/>
  <c r="L81" i="66"/>
  <c r="J81" i="66"/>
  <c r="M81" i="66" s="1"/>
  <c r="M80" i="66"/>
  <c r="L80" i="66"/>
  <c r="O80" i="66" s="1"/>
  <c r="J80" i="66"/>
  <c r="L79" i="66"/>
  <c r="O79" i="66" s="1"/>
  <c r="J79" i="66"/>
  <c r="M79" i="66" s="1"/>
  <c r="L78" i="66"/>
  <c r="O78" i="66" s="1"/>
  <c r="J78" i="66"/>
  <c r="M78" i="66" s="1"/>
  <c r="O77" i="66"/>
  <c r="L77" i="66"/>
  <c r="J77" i="66"/>
  <c r="M77" i="66" s="1"/>
  <c r="M76" i="66"/>
  <c r="L76" i="66"/>
  <c r="O76" i="66" s="1"/>
  <c r="J76" i="66"/>
  <c r="L75" i="66"/>
  <c r="O75" i="66" s="1"/>
  <c r="J75" i="66"/>
  <c r="M75" i="66" s="1"/>
  <c r="L74" i="66"/>
  <c r="O74" i="66" s="1"/>
  <c r="J74" i="66"/>
  <c r="M74" i="66" s="1"/>
  <c r="O73" i="66"/>
  <c r="L73" i="66"/>
  <c r="L72" i="66"/>
  <c r="O72" i="66" s="1"/>
  <c r="O71" i="66"/>
  <c r="L71" i="66"/>
  <c r="L70" i="66"/>
  <c r="O70" i="66" s="1"/>
  <c r="L69" i="66"/>
  <c r="O69" i="66" s="1"/>
  <c r="L68" i="66"/>
  <c r="O68" i="66" s="1"/>
  <c r="L67" i="66"/>
  <c r="O67" i="66" s="1"/>
  <c r="L66" i="66"/>
  <c r="O66" i="66" s="1"/>
  <c r="O65" i="66"/>
  <c r="L65" i="66"/>
  <c r="L64" i="66"/>
  <c r="O64" i="66" s="1"/>
  <c r="O63" i="66"/>
  <c r="L63" i="66"/>
  <c r="L62" i="66"/>
  <c r="O62" i="66" s="1"/>
  <c r="L37" i="66"/>
  <c r="O37" i="66" s="1"/>
  <c r="L36" i="66"/>
  <c r="O36" i="66" s="1"/>
  <c r="L35" i="66"/>
  <c r="O35" i="66" s="1"/>
  <c r="L34" i="66"/>
  <c r="O34" i="66" s="1"/>
  <c r="L33" i="66"/>
  <c r="O33" i="66" s="1"/>
  <c r="L32" i="66"/>
  <c r="O32" i="66" s="1"/>
  <c r="L31" i="66"/>
  <c r="O31" i="66" s="1"/>
  <c r="L30" i="66"/>
  <c r="O30" i="66" s="1"/>
  <c r="L29" i="66"/>
  <c r="O29" i="66" s="1"/>
  <c r="L28" i="66"/>
  <c r="O28" i="66" s="1"/>
  <c r="L27" i="66"/>
  <c r="O27" i="66" s="1"/>
  <c r="L26" i="66"/>
  <c r="O26" i="66" s="1"/>
  <c r="L25" i="66"/>
  <c r="O25" i="66" s="1"/>
  <c r="J25" i="66"/>
  <c r="M25" i="66" s="1"/>
  <c r="L24" i="66"/>
  <c r="O24" i="66" s="1"/>
  <c r="J24" i="66"/>
  <c r="M24" i="66" s="1"/>
  <c r="L23" i="66"/>
  <c r="O23" i="66" s="1"/>
  <c r="J23" i="66"/>
  <c r="M23" i="66" s="1"/>
  <c r="L22" i="66"/>
  <c r="O22" i="66" s="1"/>
  <c r="J22" i="66"/>
  <c r="M22" i="66" s="1"/>
  <c r="L21" i="66"/>
  <c r="O21" i="66" s="1"/>
  <c r="J21" i="66"/>
  <c r="M21" i="66" s="1"/>
  <c r="L20" i="66"/>
  <c r="O20" i="66" s="1"/>
  <c r="J20" i="66"/>
  <c r="M20" i="66" s="1"/>
  <c r="L19" i="66"/>
  <c r="O19" i="66" s="1"/>
  <c r="J19" i="66"/>
  <c r="M19" i="66" s="1"/>
  <c r="L18" i="66"/>
  <c r="O18" i="66" s="1"/>
  <c r="J18" i="66"/>
  <c r="M18" i="66" s="1"/>
  <c r="L17" i="66"/>
  <c r="O17" i="66" s="1"/>
  <c r="J17" i="66"/>
  <c r="M17" i="66" s="1"/>
  <c r="L16" i="66"/>
  <c r="O16" i="66" s="1"/>
  <c r="J16" i="66"/>
  <c r="M16" i="66" s="1"/>
  <c r="L15" i="66"/>
  <c r="O15" i="66" s="1"/>
  <c r="J15" i="66"/>
  <c r="M15" i="66" s="1"/>
  <c r="L14" i="66"/>
  <c r="O14" i="66" s="1"/>
  <c r="J14" i="66"/>
  <c r="M14" i="66" s="1"/>
  <c r="L13" i="66"/>
  <c r="O13" i="66" s="1"/>
  <c r="L12" i="66"/>
  <c r="O12" i="66" s="1"/>
  <c r="L11" i="66"/>
  <c r="O11" i="66" s="1"/>
  <c r="L10" i="66"/>
  <c r="O10" i="66" s="1"/>
  <c r="L9" i="66"/>
  <c r="O9" i="66" s="1"/>
  <c r="L8" i="66"/>
  <c r="O8" i="66" s="1"/>
  <c r="L7" i="66"/>
  <c r="O7" i="66" s="1"/>
  <c r="L6" i="66"/>
  <c r="O6" i="66" s="1"/>
  <c r="L5" i="66"/>
  <c r="O5" i="66" s="1"/>
  <c r="L4" i="66"/>
  <c r="O4" i="66" s="1"/>
  <c r="L3" i="66"/>
  <c r="O3" i="66" s="1"/>
  <c r="L2" i="66"/>
  <c r="X1082" i="62"/>
  <c r="W1082" i="62"/>
  <c r="AC1082" i="62" s="1"/>
  <c r="X1081" i="62"/>
  <c r="W1081" i="62"/>
  <c r="X1080" i="62"/>
  <c r="W1080" i="62"/>
  <c r="AC1080" i="62" s="1"/>
  <c r="X1079" i="62"/>
  <c r="W1079" i="62"/>
  <c r="X1078" i="62"/>
  <c r="W1078" i="62"/>
  <c r="AC1078" i="62" s="1"/>
  <c r="X1077" i="62"/>
  <c r="W1077" i="62"/>
  <c r="X1076" i="62"/>
  <c r="W1076" i="62"/>
  <c r="AC1076" i="62" s="1"/>
  <c r="X1075" i="62"/>
  <c r="W1075" i="62"/>
  <c r="X1074" i="62"/>
  <c r="W1074" i="62"/>
  <c r="AC1074" i="62" s="1"/>
  <c r="X1073" i="62"/>
  <c r="W1073" i="62"/>
  <c r="X1072" i="62"/>
  <c r="W1072" i="62"/>
  <c r="AC1072" i="62" s="1"/>
  <c r="X1071" i="62"/>
  <c r="W1071" i="62"/>
  <c r="X1070" i="62"/>
  <c r="W1070" i="62"/>
  <c r="AC1070" i="62" s="1"/>
  <c r="X1069" i="62"/>
  <c r="W1069" i="62"/>
  <c r="X751" i="62"/>
  <c r="W751" i="62"/>
  <c r="X750" i="62"/>
  <c r="W750" i="62"/>
  <c r="X749" i="62"/>
  <c r="W749" i="62"/>
  <c r="X748" i="62"/>
  <c r="W748" i="62"/>
  <c r="X747" i="62"/>
  <c r="W747" i="62"/>
  <c r="X746" i="62"/>
  <c r="W746" i="62"/>
  <c r="X745" i="62"/>
  <c r="W745" i="62"/>
  <c r="X744" i="62"/>
  <c r="W744" i="62"/>
  <c r="X743" i="62"/>
  <c r="W743" i="62"/>
  <c r="X742" i="62"/>
  <c r="W742" i="62"/>
  <c r="X741" i="62"/>
  <c r="W741" i="62"/>
  <c r="X740" i="62"/>
  <c r="W740" i="62"/>
  <c r="X739" i="62"/>
  <c r="W739" i="62"/>
  <c r="V738" i="62"/>
  <c r="V737" i="62"/>
  <c r="V736" i="62"/>
  <c r="V735" i="62"/>
  <c r="V734" i="62"/>
  <c r="V733" i="62"/>
  <c r="V732" i="62"/>
  <c r="V731" i="62"/>
  <c r="V730" i="62"/>
  <c r="V729" i="62"/>
  <c r="V728" i="62"/>
  <c r="V727" i="62"/>
  <c r="V726" i="62"/>
  <c r="X725" i="62"/>
  <c r="W725" i="62"/>
  <c r="X724" i="62"/>
  <c r="W724" i="62"/>
  <c r="X723" i="62"/>
  <c r="W723" i="62"/>
  <c r="X722" i="62"/>
  <c r="W722" i="62"/>
  <c r="X721" i="62"/>
  <c r="W721" i="62"/>
  <c r="X720" i="62"/>
  <c r="W720" i="62"/>
  <c r="X719" i="62"/>
  <c r="W719" i="62"/>
  <c r="X718" i="62"/>
  <c r="W718" i="62"/>
  <c r="X717" i="62"/>
  <c r="W717" i="62"/>
  <c r="X716" i="62"/>
  <c r="W716" i="62"/>
  <c r="X715" i="62"/>
  <c r="W715" i="62"/>
  <c r="X714" i="62"/>
  <c r="W714" i="62"/>
  <c r="X713" i="62"/>
  <c r="W713" i="62"/>
  <c r="X712" i="62"/>
  <c r="W712" i="62"/>
  <c r="X711" i="62"/>
  <c r="W711" i="62"/>
  <c r="X710" i="62"/>
  <c r="W710" i="62"/>
  <c r="X709" i="62"/>
  <c r="W709" i="62"/>
  <c r="X708" i="62"/>
  <c r="W708" i="62"/>
  <c r="X707" i="62"/>
  <c r="W707" i="62"/>
  <c r="X706" i="62"/>
  <c r="W706" i="62"/>
  <c r="X705" i="62"/>
  <c r="W705" i="62"/>
  <c r="X704" i="62"/>
  <c r="W704" i="62"/>
  <c r="X703" i="62"/>
  <c r="W703" i="62"/>
  <c r="X702" i="62"/>
  <c r="W702" i="62"/>
  <c r="X701" i="62"/>
  <c r="W701" i="62"/>
  <c r="X700" i="62"/>
  <c r="W700" i="62"/>
  <c r="X699" i="62"/>
  <c r="W699" i="62"/>
  <c r="X698" i="62"/>
  <c r="W698" i="62"/>
  <c r="X697" i="62"/>
  <c r="W697" i="62"/>
  <c r="X696" i="62"/>
  <c r="W696" i="62"/>
  <c r="X695" i="62"/>
  <c r="W695" i="62"/>
  <c r="X694" i="62"/>
  <c r="W694" i="62"/>
  <c r="X693" i="62"/>
  <c r="W693" i="62"/>
  <c r="X692" i="62"/>
  <c r="W692" i="62"/>
  <c r="X691" i="62"/>
  <c r="W691" i="62"/>
  <c r="X690" i="62"/>
  <c r="W690" i="62"/>
  <c r="X689" i="62"/>
  <c r="W689" i="62"/>
  <c r="X688" i="62"/>
  <c r="W688" i="62"/>
  <c r="X687" i="62"/>
  <c r="W687" i="62"/>
  <c r="X686" i="62"/>
  <c r="W686" i="62"/>
  <c r="X685" i="62"/>
  <c r="W685" i="62"/>
  <c r="X684" i="62"/>
  <c r="W684" i="62"/>
  <c r="V683" i="62"/>
  <c r="V682" i="62"/>
  <c r="V681" i="62"/>
  <c r="V680" i="62"/>
  <c r="V679" i="62"/>
  <c r="V678" i="62"/>
  <c r="V677" i="62"/>
  <c r="V676" i="62"/>
  <c r="V675" i="62"/>
  <c r="V674" i="62"/>
  <c r="V673" i="62"/>
  <c r="V672" i="62"/>
  <c r="V671" i="62"/>
  <c r="V670" i="62"/>
  <c r="V669" i="62"/>
  <c r="V668" i="62"/>
  <c r="V667" i="62"/>
  <c r="V666" i="62"/>
  <c r="V665" i="62"/>
  <c r="V664" i="62"/>
  <c r="V663" i="62"/>
  <c r="V662" i="62"/>
  <c r="V661" i="62"/>
  <c r="V660" i="62"/>
  <c r="V659" i="62"/>
  <c r="V658" i="62"/>
  <c r="V657" i="62"/>
  <c r="V656" i="62"/>
  <c r="V655" i="62"/>
  <c r="V654" i="62"/>
  <c r="X653" i="62"/>
  <c r="W653" i="62"/>
  <c r="X652" i="62"/>
  <c r="W652" i="62"/>
  <c r="X651" i="62"/>
  <c r="W651" i="62"/>
  <c r="X650" i="62"/>
  <c r="W650" i="62"/>
  <c r="X649" i="62"/>
  <c r="W649" i="62"/>
  <c r="X648" i="62"/>
  <c r="W648" i="62"/>
  <c r="X647" i="62"/>
  <c r="W647" i="62"/>
  <c r="X646" i="62"/>
  <c r="W646" i="62"/>
  <c r="X645" i="62"/>
  <c r="W645" i="62"/>
  <c r="X644" i="62"/>
  <c r="W644" i="62"/>
  <c r="X643" i="62"/>
  <c r="W643" i="62"/>
  <c r="X642" i="62"/>
  <c r="W642" i="62"/>
  <c r="X641" i="62"/>
  <c r="W641" i="62"/>
  <c r="X640" i="62"/>
  <c r="W640" i="62"/>
  <c r="X639" i="62"/>
  <c r="W639" i="62"/>
  <c r="X638" i="62"/>
  <c r="W638" i="62"/>
  <c r="X637" i="62"/>
  <c r="W637" i="62"/>
  <c r="X636" i="62"/>
  <c r="W636" i="62"/>
  <c r="X635" i="62"/>
  <c r="W635" i="62"/>
  <c r="X634" i="62"/>
  <c r="W634" i="62"/>
  <c r="X633" i="62"/>
  <c r="W633" i="62"/>
  <c r="X632" i="62"/>
  <c r="W632" i="62"/>
  <c r="X631" i="62"/>
  <c r="W631" i="62"/>
  <c r="X630" i="62"/>
  <c r="W630" i="62"/>
  <c r="X629" i="62"/>
  <c r="W629" i="62"/>
  <c r="X628" i="62"/>
  <c r="W628" i="62"/>
  <c r="X627" i="62"/>
  <c r="W627" i="62"/>
  <c r="X626" i="62"/>
  <c r="W626" i="62"/>
  <c r="X625" i="62"/>
  <c r="W625" i="62"/>
  <c r="X624" i="62"/>
  <c r="W624" i="62"/>
  <c r="V623" i="62"/>
  <c r="V622" i="62"/>
  <c r="V621" i="62"/>
  <c r="V620" i="62"/>
  <c r="V619" i="62"/>
  <c r="V618" i="62"/>
  <c r="V617" i="62"/>
  <c r="V616" i="62"/>
  <c r="V615" i="62"/>
  <c r="V614" i="62"/>
  <c r="V613" i="62"/>
  <c r="V612" i="62"/>
  <c r="V611" i="62"/>
  <c r="V610" i="62"/>
  <c r="V609" i="62"/>
  <c r="V608" i="62"/>
  <c r="V607" i="62"/>
  <c r="V606" i="62"/>
  <c r="V605" i="62"/>
  <c r="V604" i="62"/>
  <c r="V603" i="62"/>
  <c r="V602" i="62"/>
  <c r="V601" i="62"/>
  <c r="V600" i="62"/>
  <c r="V599" i="62"/>
  <c r="V598" i="62"/>
  <c r="V597" i="62"/>
  <c r="V596" i="62"/>
  <c r="V595" i="62"/>
  <c r="AD582" i="63"/>
  <c r="X582" i="63"/>
  <c r="W582" i="63"/>
  <c r="AD581" i="63"/>
  <c r="X581" i="63"/>
  <c r="W581" i="63"/>
  <c r="AD580" i="63"/>
  <c r="X580" i="63"/>
  <c r="W580" i="63"/>
  <c r="AD579" i="63"/>
  <c r="X579" i="63"/>
  <c r="W579" i="63"/>
  <c r="AC579" i="63" s="1"/>
  <c r="AD578" i="63"/>
  <c r="X578" i="63"/>
  <c r="W578" i="63"/>
  <c r="AD577" i="63"/>
  <c r="X577" i="63"/>
  <c r="W577" i="63"/>
  <c r="AD576" i="63"/>
  <c r="X576" i="63"/>
  <c r="W576" i="63"/>
  <c r="AD575" i="63"/>
  <c r="X575" i="63"/>
  <c r="W575" i="63"/>
  <c r="AC575" i="63" s="1"/>
  <c r="AD574" i="63"/>
  <c r="X574" i="63"/>
  <c r="W574" i="63"/>
  <c r="AD573" i="63"/>
  <c r="X573" i="63"/>
  <c r="W573" i="63"/>
  <c r="AD572" i="63"/>
  <c r="X572" i="63"/>
  <c r="W572" i="63"/>
  <c r="AD571" i="63"/>
  <c r="X571" i="63"/>
  <c r="W571" i="63"/>
  <c r="AD570" i="63"/>
  <c r="X570" i="63"/>
  <c r="W570" i="63"/>
  <c r="AD569" i="63"/>
  <c r="X569" i="63"/>
  <c r="W569" i="63"/>
  <c r="X568" i="62"/>
  <c r="W568" i="62"/>
  <c r="X567" i="62"/>
  <c r="W567" i="62"/>
  <c r="X566" i="62"/>
  <c r="W566" i="62"/>
  <c r="X565" i="62"/>
  <c r="W565" i="62"/>
  <c r="X564" i="62"/>
  <c r="W564" i="62"/>
  <c r="X563" i="62"/>
  <c r="W563" i="62"/>
  <c r="X562" i="62"/>
  <c r="W562" i="62"/>
  <c r="X561" i="62"/>
  <c r="W561" i="62"/>
  <c r="X560" i="62"/>
  <c r="W560" i="62"/>
  <c r="X559" i="62"/>
  <c r="W559" i="62"/>
  <c r="X558" i="62"/>
  <c r="W558" i="62"/>
  <c r="X557" i="62"/>
  <c r="W557" i="62"/>
  <c r="X556" i="62"/>
  <c r="W556" i="62"/>
  <c r="X555" i="62"/>
  <c r="W555" i="62"/>
  <c r="X554" i="62"/>
  <c r="W554" i="62"/>
  <c r="X553" i="62"/>
  <c r="W553" i="62"/>
  <c r="X552" i="62"/>
  <c r="W552" i="62"/>
  <c r="X551" i="62"/>
  <c r="W551" i="62"/>
  <c r="X550" i="62"/>
  <c r="W550" i="62"/>
  <c r="X549" i="62"/>
  <c r="W549" i="62"/>
  <c r="X548" i="62"/>
  <c r="W548" i="62"/>
  <c r="X547" i="62"/>
  <c r="W547" i="62"/>
  <c r="X546" i="62"/>
  <c r="W546" i="62"/>
  <c r="X545" i="62"/>
  <c r="W545" i="62"/>
  <c r="X544" i="62"/>
  <c r="W544" i="62"/>
  <c r="X543" i="62"/>
  <c r="W543" i="62"/>
  <c r="X542" i="62"/>
  <c r="W542" i="62"/>
  <c r="X541" i="62"/>
  <c r="W541" i="62"/>
  <c r="X540" i="62"/>
  <c r="W540" i="62"/>
  <c r="X539" i="62"/>
  <c r="W539" i="62"/>
  <c r="X538" i="62"/>
  <c r="W538" i="62"/>
  <c r="X537" i="62"/>
  <c r="W537" i="62"/>
  <c r="X536" i="62"/>
  <c r="W536" i="62"/>
  <c r="X535" i="62"/>
  <c r="W535" i="62"/>
  <c r="X534" i="62"/>
  <c r="W534" i="62"/>
  <c r="X533" i="62"/>
  <c r="W533" i="62"/>
  <c r="X532" i="62"/>
  <c r="W532" i="62"/>
  <c r="X531" i="62"/>
  <c r="W531" i="62"/>
  <c r="X530" i="62"/>
  <c r="W530" i="62"/>
  <c r="X529" i="62"/>
  <c r="W529" i="62"/>
  <c r="X528" i="62"/>
  <c r="W528" i="62"/>
  <c r="X527" i="62"/>
  <c r="W527" i="62"/>
  <c r="X526" i="62"/>
  <c r="W526" i="62"/>
  <c r="X525" i="62"/>
  <c r="W525" i="62"/>
  <c r="X524" i="62"/>
  <c r="W524" i="62"/>
  <c r="X523" i="62"/>
  <c r="W523" i="62"/>
  <c r="X522" i="62"/>
  <c r="W522" i="62"/>
  <c r="X521" i="62"/>
  <c r="W521" i="62"/>
  <c r="X520" i="62"/>
  <c r="W520" i="62"/>
  <c r="X519" i="62"/>
  <c r="W519" i="62"/>
  <c r="X518" i="62"/>
  <c r="W518" i="62"/>
  <c r="X517" i="62"/>
  <c r="W517" i="62"/>
  <c r="AD392" i="63"/>
  <c r="X392" i="63"/>
  <c r="W392" i="63"/>
  <c r="AD391" i="63"/>
  <c r="X391" i="63"/>
  <c r="W391" i="63"/>
  <c r="AD390" i="63"/>
  <c r="X390" i="63"/>
  <c r="W390" i="63"/>
  <c r="AD389" i="63"/>
  <c r="X389" i="63"/>
  <c r="W389" i="63"/>
  <c r="AD388" i="63"/>
  <c r="X388" i="63"/>
  <c r="W388" i="63"/>
  <c r="AD387" i="63"/>
  <c r="X387" i="63"/>
  <c r="W387" i="63"/>
  <c r="AD386" i="63"/>
  <c r="X386" i="63"/>
  <c r="W386" i="63"/>
  <c r="AD385" i="63"/>
  <c r="X385" i="63"/>
  <c r="W385" i="63"/>
  <c r="AD384" i="63"/>
  <c r="X384" i="63"/>
  <c r="W384" i="63"/>
  <c r="AD383" i="63"/>
  <c r="X383" i="63"/>
  <c r="W383" i="63"/>
  <c r="AD382" i="63"/>
  <c r="X382" i="63"/>
  <c r="W382" i="63"/>
  <c r="AD381" i="63"/>
  <c r="X381" i="63"/>
  <c r="W381" i="63"/>
  <c r="AD380" i="63"/>
  <c r="X380" i="63"/>
  <c r="W380" i="63"/>
  <c r="AE379" i="63"/>
  <c r="V379" i="63"/>
  <c r="AB379" i="63" s="1"/>
  <c r="AE378" i="63"/>
  <c r="V378" i="63"/>
  <c r="AB378" i="63" s="1"/>
  <c r="AE377" i="63"/>
  <c r="V377" i="63"/>
  <c r="AB377" i="63" s="1"/>
  <c r="AE376" i="63"/>
  <c r="AB376" i="63"/>
  <c r="V376" i="63"/>
  <c r="AE375" i="63"/>
  <c r="V375" i="63"/>
  <c r="AB375" i="63" s="1"/>
  <c r="AE374" i="63"/>
  <c r="AC374" i="63"/>
  <c r="V374" i="63"/>
  <c r="AB374" i="63" s="1"/>
  <c r="AE373" i="63"/>
  <c r="V373" i="63"/>
  <c r="AB373" i="63" s="1"/>
  <c r="AE372" i="63"/>
  <c r="AB372" i="63"/>
  <c r="V372" i="63"/>
  <c r="AE371" i="63"/>
  <c r="V371" i="63"/>
  <c r="AB371" i="63" s="1"/>
  <c r="AE370" i="63"/>
  <c r="V370" i="63"/>
  <c r="AB370" i="63" s="1"/>
  <c r="AE369" i="63"/>
  <c r="V369" i="63"/>
  <c r="AB369" i="63" s="1"/>
  <c r="AE368" i="63"/>
  <c r="AB368" i="63"/>
  <c r="V368" i="63"/>
  <c r="AE367" i="63"/>
  <c r="V367" i="63"/>
  <c r="AB367" i="63" s="1"/>
  <c r="AD366" i="63"/>
  <c r="AB366" i="63"/>
  <c r="X366" i="63"/>
  <c r="W366" i="63"/>
  <c r="AC366" i="63" s="1"/>
  <c r="AD365" i="63"/>
  <c r="AB365" i="63"/>
  <c r="X365" i="63"/>
  <c r="W365" i="63"/>
  <c r="AC365" i="63" s="1"/>
  <c r="AD364" i="63"/>
  <c r="AB364" i="63"/>
  <c r="X364" i="63"/>
  <c r="W364" i="63"/>
  <c r="AC364" i="63" s="1"/>
  <c r="AD363" i="63"/>
  <c r="X363" i="63"/>
  <c r="W363" i="63"/>
  <c r="AC363" i="63" s="1"/>
  <c r="AD362" i="63"/>
  <c r="AB362" i="63"/>
  <c r="X362" i="63"/>
  <c r="W362" i="63"/>
  <c r="AC362" i="63" s="1"/>
  <c r="AD361" i="63"/>
  <c r="AB361" i="63"/>
  <c r="X361" i="63"/>
  <c r="W361" i="63"/>
  <c r="AC361" i="63" s="1"/>
  <c r="AD360" i="63"/>
  <c r="AB360" i="63"/>
  <c r="X360" i="63"/>
  <c r="W360" i="63"/>
  <c r="AC360" i="63" s="1"/>
  <c r="AD359" i="63"/>
  <c r="X359" i="63"/>
  <c r="W359" i="63"/>
  <c r="AC359" i="63" s="1"/>
  <c r="AD358" i="63"/>
  <c r="AB358" i="63"/>
  <c r="X358" i="63"/>
  <c r="W358" i="63"/>
  <c r="AC358" i="63" s="1"/>
  <c r="AD357" i="63"/>
  <c r="AB357" i="63"/>
  <c r="X357" i="63"/>
  <c r="W357" i="63"/>
  <c r="AC357" i="63" s="1"/>
  <c r="AD356" i="63"/>
  <c r="AB356" i="63"/>
  <c r="X356" i="63"/>
  <c r="W356" i="63"/>
  <c r="AC356" i="63" s="1"/>
  <c r="AD355" i="63"/>
  <c r="X355" i="63"/>
  <c r="W355" i="63"/>
  <c r="AC355" i="63" s="1"/>
  <c r="AD354" i="63"/>
  <c r="AB354" i="63"/>
  <c r="X354" i="63"/>
  <c r="W354" i="63"/>
  <c r="AC354" i="63" s="1"/>
  <c r="AD353" i="63"/>
  <c r="AB353" i="63"/>
  <c r="X353" i="63"/>
  <c r="W353" i="63"/>
  <c r="AC353" i="63" s="1"/>
  <c r="AD352" i="63"/>
  <c r="AB352" i="63"/>
  <c r="X352" i="63"/>
  <c r="W352" i="63"/>
  <c r="AC352" i="63" s="1"/>
  <c r="AD351" i="63"/>
  <c r="X351" i="63"/>
  <c r="W351" i="63"/>
  <c r="AC351" i="63" s="1"/>
  <c r="AD350" i="63"/>
  <c r="AB350" i="63"/>
  <c r="X350" i="63"/>
  <c r="W350" i="63"/>
  <c r="AC350" i="63" s="1"/>
  <c r="AD349" i="63"/>
  <c r="AB349" i="63"/>
  <c r="X349" i="63"/>
  <c r="W349" i="63"/>
  <c r="AC349" i="63" s="1"/>
  <c r="AD348" i="63"/>
  <c r="AB348" i="63"/>
  <c r="X348" i="63"/>
  <c r="W348" i="63"/>
  <c r="AC348" i="63" s="1"/>
  <c r="AD347" i="63"/>
  <c r="X347" i="63"/>
  <c r="W347" i="63"/>
  <c r="AC347" i="63" s="1"/>
  <c r="AD346" i="63"/>
  <c r="AB346" i="63"/>
  <c r="X346" i="63"/>
  <c r="W346" i="63"/>
  <c r="AC346" i="63" s="1"/>
  <c r="AD345" i="63"/>
  <c r="AB345" i="63"/>
  <c r="X345" i="63"/>
  <c r="W345" i="63"/>
  <c r="AC345" i="63" s="1"/>
  <c r="AD344" i="63"/>
  <c r="AB344" i="63"/>
  <c r="X344" i="63"/>
  <c r="W344" i="63"/>
  <c r="AC344" i="63" s="1"/>
  <c r="AD343" i="63"/>
  <c r="X343" i="63"/>
  <c r="W343" i="63"/>
  <c r="AC343" i="63" s="1"/>
  <c r="AD342" i="63"/>
  <c r="AB342" i="63"/>
  <c r="X342" i="63"/>
  <c r="W342" i="63"/>
  <c r="AD341" i="63"/>
  <c r="AB341" i="63"/>
  <c r="X341" i="63"/>
  <c r="W341" i="63"/>
  <c r="AC341" i="63" s="1"/>
  <c r="AD340" i="63"/>
  <c r="AB340" i="63"/>
  <c r="X340" i="63"/>
  <c r="W340" i="63"/>
  <c r="AD339" i="63"/>
  <c r="X339" i="63"/>
  <c r="W339" i="63"/>
  <c r="AC339" i="63" s="1"/>
  <c r="AD338" i="63"/>
  <c r="AB338" i="63"/>
  <c r="X338" i="63"/>
  <c r="W338" i="63"/>
  <c r="AD337" i="63"/>
  <c r="AB337" i="63"/>
  <c r="X337" i="63"/>
  <c r="W337" i="63"/>
  <c r="AD336" i="63"/>
  <c r="AB336" i="63"/>
  <c r="X336" i="63"/>
  <c r="W336" i="63"/>
  <c r="AD335" i="63"/>
  <c r="X335" i="63"/>
  <c r="W335" i="63"/>
  <c r="AD334" i="63"/>
  <c r="AB334" i="63"/>
  <c r="X334" i="63"/>
  <c r="W334" i="63"/>
  <c r="AD333" i="63"/>
  <c r="AB333" i="63"/>
  <c r="X333" i="63"/>
  <c r="W333" i="63"/>
  <c r="AD332" i="63"/>
  <c r="AB332" i="63"/>
  <c r="X332" i="63"/>
  <c r="W332" i="63"/>
  <c r="AD331" i="63"/>
  <c r="X331" i="63"/>
  <c r="W331" i="63"/>
  <c r="AD330" i="63"/>
  <c r="AB330" i="63"/>
  <c r="X330" i="63"/>
  <c r="W330" i="63"/>
  <c r="AD329" i="63"/>
  <c r="AB329" i="63"/>
  <c r="X329" i="63"/>
  <c r="W329" i="63"/>
  <c r="AD328" i="63"/>
  <c r="AB328" i="63"/>
  <c r="X328" i="63"/>
  <c r="W328" i="63"/>
  <c r="AD327" i="63"/>
  <c r="X327" i="63"/>
  <c r="W327" i="63"/>
  <c r="AD326" i="63"/>
  <c r="AB326" i="63"/>
  <c r="X326" i="63"/>
  <c r="W326" i="63"/>
  <c r="AD325" i="63"/>
  <c r="AB325" i="63"/>
  <c r="X325" i="63"/>
  <c r="W325" i="63"/>
  <c r="AE324" i="63"/>
  <c r="V324" i="63"/>
  <c r="AB324" i="63" s="1"/>
  <c r="AE323" i="63"/>
  <c r="V323" i="63"/>
  <c r="AB323" i="63" s="1"/>
  <c r="AE322" i="63"/>
  <c r="V322" i="63"/>
  <c r="AB322" i="63" s="1"/>
  <c r="AE321" i="63"/>
  <c r="V321" i="63"/>
  <c r="AB321" i="63" s="1"/>
  <c r="AE320" i="63"/>
  <c r="V320" i="63"/>
  <c r="AB320" i="63" s="1"/>
  <c r="AE319" i="63"/>
  <c r="V319" i="63"/>
  <c r="AB319" i="63" s="1"/>
  <c r="AE318" i="63"/>
  <c r="V318" i="63"/>
  <c r="AB318" i="63" s="1"/>
  <c r="AE317" i="63"/>
  <c r="V317" i="63"/>
  <c r="AB317" i="63" s="1"/>
  <c r="AE316" i="63"/>
  <c r="V316" i="63"/>
  <c r="AB316" i="63" s="1"/>
  <c r="AE315" i="63"/>
  <c r="V315" i="63"/>
  <c r="AB315" i="63" s="1"/>
  <c r="AE314" i="63"/>
  <c r="V314" i="63"/>
  <c r="AB314" i="63" s="1"/>
  <c r="AE313" i="63"/>
  <c r="V313" i="63"/>
  <c r="AB313" i="63" s="1"/>
  <c r="AE312" i="63"/>
  <c r="V312" i="63"/>
  <c r="AB312" i="63" s="1"/>
  <c r="AE311" i="63"/>
  <c r="V311" i="63"/>
  <c r="AB311" i="63" s="1"/>
  <c r="AE310" i="63"/>
  <c r="V310" i="63"/>
  <c r="AB310" i="63" s="1"/>
  <c r="AE309" i="63"/>
  <c r="V309" i="63"/>
  <c r="AB309" i="63" s="1"/>
  <c r="AE308" i="63"/>
  <c r="V308" i="63"/>
  <c r="AB308" i="63" s="1"/>
  <c r="AE307" i="63"/>
  <c r="V307" i="63"/>
  <c r="AB307" i="63" s="1"/>
  <c r="AE306" i="63"/>
  <c r="V306" i="63"/>
  <c r="AB306" i="63" s="1"/>
  <c r="AE305" i="63"/>
  <c r="V305" i="63"/>
  <c r="AB305" i="63" s="1"/>
  <c r="AE304" i="63"/>
  <c r="V304" i="63"/>
  <c r="AB304" i="63" s="1"/>
  <c r="AE303" i="63"/>
  <c r="V303" i="63"/>
  <c r="AB303" i="63" s="1"/>
  <c r="AE302" i="63"/>
  <c r="V302" i="63"/>
  <c r="AB302" i="63" s="1"/>
  <c r="AE301" i="63"/>
  <c r="V301" i="63"/>
  <c r="AB301" i="63" s="1"/>
  <c r="AE300" i="63"/>
  <c r="V300" i="63"/>
  <c r="AB300" i="63" s="1"/>
  <c r="AE299" i="63"/>
  <c r="V299" i="63"/>
  <c r="AB299" i="63" s="1"/>
  <c r="AE298" i="63"/>
  <c r="V298" i="63"/>
  <c r="AB298" i="63" s="1"/>
  <c r="AE297" i="63"/>
  <c r="V297" i="63"/>
  <c r="AB297" i="63" s="1"/>
  <c r="AE296" i="63"/>
  <c r="V296" i="63"/>
  <c r="AB296" i="63" s="1"/>
  <c r="AE295" i="63"/>
  <c r="V295" i="63"/>
  <c r="AB295" i="63" s="1"/>
  <c r="AD294" i="63"/>
  <c r="X294" i="63"/>
  <c r="W294" i="63"/>
  <c r="AC294" i="63" s="1"/>
  <c r="AD293" i="63"/>
  <c r="X293" i="63"/>
  <c r="W293" i="63"/>
  <c r="AC293" i="63" s="1"/>
  <c r="AD292" i="63"/>
  <c r="X292" i="63"/>
  <c r="W292" i="63"/>
  <c r="AC292" i="63" s="1"/>
  <c r="AD291" i="63"/>
  <c r="X291" i="63"/>
  <c r="W291" i="63"/>
  <c r="AC291" i="63" s="1"/>
  <c r="AD290" i="63"/>
  <c r="X290" i="63"/>
  <c r="W290" i="63"/>
  <c r="AC290" i="63" s="1"/>
  <c r="AD289" i="63"/>
  <c r="X289" i="63"/>
  <c r="W289" i="63"/>
  <c r="AC289" i="63" s="1"/>
  <c r="AD288" i="63"/>
  <c r="X288" i="63"/>
  <c r="W288" i="63"/>
  <c r="AC288" i="63" s="1"/>
  <c r="AD287" i="63"/>
  <c r="X287" i="63"/>
  <c r="W287" i="63"/>
  <c r="AC287" i="63" s="1"/>
  <c r="AD286" i="63"/>
  <c r="X286" i="63"/>
  <c r="W286" i="63"/>
  <c r="AC286" i="63" s="1"/>
  <c r="AD285" i="63"/>
  <c r="X285" i="63"/>
  <c r="W285" i="63"/>
  <c r="AC285" i="63" s="1"/>
  <c r="AD284" i="63"/>
  <c r="X284" i="63"/>
  <c r="W284" i="63"/>
  <c r="AC284" i="63" s="1"/>
  <c r="AD283" i="63"/>
  <c r="X283" i="63"/>
  <c r="W283" i="63"/>
  <c r="AC283" i="63" s="1"/>
  <c r="AD282" i="63"/>
  <c r="X282" i="63"/>
  <c r="W282" i="63"/>
  <c r="AC282" i="63" s="1"/>
  <c r="AD281" i="63"/>
  <c r="X281" i="63"/>
  <c r="W281" i="63"/>
  <c r="AC281" i="63" s="1"/>
  <c r="AD280" i="63"/>
  <c r="X280" i="63"/>
  <c r="W280" i="63"/>
  <c r="AC280" i="63" s="1"/>
  <c r="AD279" i="63"/>
  <c r="X279" i="63"/>
  <c r="W279" i="63"/>
  <c r="AC279" i="63" s="1"/>
  <c r="AD278" i="63"/>
  <c r="X278" i="63"/>
  <c r="W278" i="63"/>
  <c r="AC278" i="63" s="1"/>
  <c r="AD277" i="63"/>
  <c r="X277" i="63"/>
  <c r="W277" i="63"/>
  <c r="AC277" i="63" s="1"/>
  <c r="AD276" i="63"/>
  <c r="X276" i="63"/>
  <c r="W276" i="63"/>
  <c r="AC276" i="63" s="1"/>
  <c r="AD275" i="63"/>
  <c r="X275" i="63"/>
  <c r="W275" i="63"/>
  <c r="AC275" i="63" s="1"/>
  <c r="AD274" i="63"/>
  <c r="X274" i="63"/>
  <c r="W274" i="63"/>
  <c r="AC274" i="63" s="1"/>
  <c r="AD273" i="63"/>
  <c r="X273" i="63"/>
  <c r="W273" i="63"/>
  <c r="AC273" i="63" s="1"/>
  <c r="AD272" i="63"/>
  <c r="X272" i="63"/>
  <c r="W272" i="63"/>
  <c r="AC272" i="63" s="1"/>
  <c r="AD271" i="63"/>
  <c r="X271" i="63"/>
  <c r="W271" i="63"/>
  <c r="AC271" i="63" s="1"/>
  <c r="AD270" i="63"/>
  <c r="X270" i="63"/>
  <c r="W270" i="63"/>
  <c r="AC270" i="63" s="1"/>
  <c r="AD269" i="63"/>
  <c r="X269" i="63"/>
  <c r="W269" i="63"/>
  <c r="AC269" i="63" s="1"/>
  <c r="AD268" i="63"/>
  <c r="X268" i="63"/>
  <c r="W268" i="63"/>
  <c r="AC268" i="63" s="1"/>
  <c r="AD267" i="63"/>
  <c r="X267" i="63"/>
  <c r="W267" i="63"/>
  <c r="AC267" i="63" s="1"/>
  <c r="AD266" i="63"/>
  <c r="X266" i="63"/>
  <c r="W266" i="63"/>
  <c r="AC266" i="63" s="1"/>
  <c r="AD265" i="63"/>
  <c r="X265" i="63"/>
  <c r="W265" i="63"/>
  <c r="AC265" i="63" s="1"/>
  <c r="AE264" i="63"/>
  <c r="V264" i="63"/>
  <c r="AB264" i="63" s="1"/>
  <c r="AE263" i="63"/>
  <c r="V263" i="63"/>
  <c r="AB263" i="63" s="1"/>
  <c r="AE262" i="63"/>
  <c r="AC262" i="63"/>
  <c r="V262" i="63"/>
  <c r="AB262" i="63" s="1"/>
  <c r="AE261" i="63"/>
  <c r="V261" i="63"/>
  <c r="AB261" i="63" s="1"/>
  <c r="AE260" i="63"/>
  <c r="V260" i="63"/>
  <c r="AB260" i="63" s="1"/>
  <c r="AE259" i="63"/>
  <c r="V259" i="63"/>
  <c r="AB259" i="63" s="1"/>
  <c r="AE258" i="63"/>
  <c r="AC258" i="63"/>
  <c r="V258" i="63"/>
  <c r="AB258" i="63" s="1"/>
  <c r="AE257" i="63"/>
  <c r="V257" i="63"/>
  <c r="AB257" i="63" s="1"/>
  <c r="AE256" i="63"/>
  <c r="V256" i="63"/>
  <c r="AB256" i="63" s="1"/>
  <c r="AE255" i="63"/>
  <c r="AB255" i="63"/>
  <c r="V255" i="63"/>
  <c r="AE254" i="63"/>
  <c r="V254" i="63"/>
  <c r="AB254" i="63" s="1"/>
  <c r="AE253" i="63"/>
  <c r="V253" i="63"/>
  <c r="AB253" i="63" s="1"/>
  <c r="AE252" i="63"/>
  <c r="V252" i="63"/>
  <c r="AB252" i="63" s="1"/>
  <c r="AE251" i="63"/>
  <c r="V251" i="63"/>
  <c r="AB251" i="63" s="1"/>
  <c r="AE250" i="63"/>
  <c r="V250" i="63"/>
  <c r="AB250" i="63" s="1"/>
  <c r="AE249" i="63"/>
  <c r="V249" i="63"/>
  <c r="AB249" i="63" s="1"/>
  <c r="AE248" i="63"/>
  <c r="AC248" i="63"/>
  <c r="V248" i="63"/>
  <c r="AB248" i="63" s="1"/>
  <c r="AE247" i="63"/>
  <c r="AB247" i="63"/>
  <c r="V247" i="63"/>
  <c r="AE246" i="63"/>
  <c r="V246" i="63"/>
  <c r="AB246" i="63" s="1"/>
  <c r="AE245" i="63"/>
  <c r="V245" i="63"/>
  <c r="AB245" i="63" s="1"/>
  <c r="AE244" i="63"/>
  <c r="AB244" i="63"/>
  <c r="V244" i="63"/>
  <c r="AE243" i="63"/>
  <c r="AB243" i="63"/>
  <c r="V243" i="63"/>
  <c r="AE242" i="63"/>
  <c r="AB242" i="63"/>
  <c r="V242" i="63"/>
  <c r="AE241" i="63"/>
  <c r="V241" i="63"/>
  <c r="AB241" i="63" s="1"/>
  <c r="AE240" i="63"/>
  <c r="AC240" i="63"/>
  <c r="AB240" i="63"/>
  <c r="V240" i="63"/>
  <c r="AE239" i="63"/>
  <c r="V239" i="63"/>
  <c r="AB239" i="63" s="1"/>
  <c r="AE238" i="63"/>
  <c r="AB238" i="63"/>
  <c r="V238" i="63"/>
  <c r="AE237" i="63"/>
  <c r="V237" i="63"/>
  <c r="AB237" i="63" s="1"/>
  <c r="AE236" i="63"/>
  <c r="V236" i="63"/>
  <c r="AB236" i="63" s="1"/>
  <c r="AD209" i="63"/>
  <c r="X209" i="63"/>
  <c r="W209" i="63"/>
  <c r="AC209" i="63" s="1"/>
  <c r="AD208" i="63"/>
  <c r="X208" i="63"/>
  <c r="W208" i="63"/>
  <c r="AC208" i="63" s="1"/>
  <c r="AD207" i="63"/>
  <c r="X207" i="63"/>
  <c r="W207" i="63"/>
  <c r="AC207" i="63" s="1"/>
  <c r="AD206" i="63"/>
  <c r="X206" i="63"/>
  <c r="W206" i="63"/>
  <c r="AC206" i="63" s="1"/>
  <c r="AD205" i="63"/>
  <c r="X205" i="63"/>
  <c r="W205" i="63"/>
  <c r="AC205" i="63" s="1"/>
  <c r="AD204" i="63"/>
  <c r="X204" i="63"/>
  <c r="W204" i="63"/>
  <c r="AC204" i="63" s="1"/>
  <c r="AD203" i="63"/>
  <c r="X203" i="63"/>
  <c r="W203" i="63"/>
  <c r="AC203" i="63" s="1"/>
  <c r="AD202" i="63"/>
  <c r="X202" i="63"/>
  <c r="W202" i="63"/>
  <c r="AC202" i="63" s="1"/>
  <c r="AD201" i="63"/>
  <c r="X201" i="63"/>
  <c r="W201" i="63"/>
  <c r="AC201" i="63" s="1"/>
  <c r="AD200" i="63"/>
  <c r="X200" i="63"/>
  <c r="W200" i="63"/>
  <c r="AC200" i="63" s="1"/>
  <c r="AD199" i="63"/>
  <c r="X199" i="63"/>
  <c r="W199" i="63"/>
  <c r="AC199" i="63" s="1"/>
  <c r="AD198" i="63"/>
  <c r="X198" i="63"/>
  <c r="W198" i="63"/>
  <c r="AC198" i="63" s="1"/>
  <c r="AD197" i="63"/>
  <c r="X197" i="63"/>
  <c r="W197" i="63"/>
  <c r="AC197" i="63" s="1"/>
  <c r="AD196" i="63"/>
  <c r="X196" i="63"/>
  <c r="W196" i="63"/>
  <c r="AC196" i="63" s="1"/>
  <c r="AD195" i="63"/>
  <c r="X195" i="63"/>
  <c r="W195" i="63"/>
  <c r="AC195" i="63" s="1"/>
  <c r="AD194" i="63"/>
  <c r="X194" i="63"/>
  <c r="W194" i="63"/>
  <c r="AC194" i="63" s="1"/>
  <c r="AD193" i="63"/>
  <c r="X193" i="63"/>
  <c r="W193" i="63"/>
  <c r="AC193" i="63" s="1"/>
  <c r="AD192" i="63"/>
  <c r="X192" i="63"/>
  <c r="W192" i="63"/>
  <c r="AC192" i="63" s="1"/>
  <c r="AD191" i="63"/>
  <c r="X191" i="63"/>
  <c r="W191" i="63"/>
  <c r="AC191" i="63" s="1"/>
  <c r="AD190" i="63"/>
  <c r="X190" i="63"/>
  <c r="W190" i="63"/>
  <c r="AC190" i="63" s="1"/>
  <c r="AD189" i="63"/>
  <c r="X189" i="63"/>
  <c r="W189" i="63"/>
  <c r="AC189" i="63" s="1"/>
  <c r="AD188" i="63"/>
  <c r="X188" i="63"/>
  <c r="W188" i="63"/>
  <c r="AC188" i="63" s="1"/>
  <c r="AD187" i="63"/>
  <c r="X187" i="63"/>
  <c r="W187" i="63"/>
  <c r="AC187" i="63" s="1"/>
  <c r="AD186" i="63"/>
  <c r="X186" i="63"/>
  <c r="W186" i="63"/>
  <c r="AC186" i="63" s="1"/>
  <c r="AD185" i="63"/>
  <c r="X185" i="63"/>
  <c r="W185" i="63"/>
  <c r="AC185" i="63" s="1"/>
  <c r="AD184" i="63"/>
  <c r="X184" i="63"/>
  <c r="W184" i="63"/>
  <c r="AC184" i="63" s="1"/>
  <c r="AD183" i="63"/>
  <c r="X183" i="63"/>
  <c r="W183" i="63"/>
  <c r="AC183" i="63" s="1"/>
  <c r="AD182" i="63"/>
  <c r="X182" i="63"/>
  <c r="W182" i="63"/>
  <c r="AC182" i="63" s="1"/>
  <c r="AD181" i="63"/>
  <c r="X181" i="63"/>
  <c r="W181" i="63"/>
  <c r="AC181" i="63" s="1"/>
  <c r="AD180" i="63"/>
  <c r="X180" i="63"/>
  <c r="W180" i="63"/>
  <c r="AC180" i="63" s="1"/>
  <c r="AD179" i="63"/>
  <c r="X179" i="63"/>
  <c r="W179" i="63"/>
  <c r="AC179" i="63" s="1"/>
  <c r="AD178" i="63"/>
  <c r="X178" i="63"/>
  <c r="W178" i="63"/>
  <c r="AC178" i="63" s="1"/>
  <c r="AD177" i="63"/>
  <c r="X177" i="63"/>
  <c r="W177" i="63"/>
  <c r="AC177" i="63" s="1"/>
  <c r="AD176" i="63"/>
  <c r="X176" i="63"/>
  <c r="W176" i="63"/>
  <c r="AC176" i="63" s="1"/>
  <c r="AD175" i="63"/>
  <c r="X175" i="63"/>
  <c r="W175" i="63"/>
  <c r="AC175" i="63" s="1"/>
  <c r="AD174" i="63"/>
  <c r="X174" i="63"/>
  <c r="W174" i="63"/>
  <c r="AC174" i="63" s="1"/>
  <c r="AD173" i="63"/>
  <c r="X173" i="63"/>
  <c r="W173" i="63"/>
  <c r="AC173" i="63" s="1"/>
  <c r="AD172" i="63"/>
  <c r="X172" i="63"/>
  <c r="W172" i="63"/>
  <c r="AC172" i="63" s="1"/>
  <c r="AD171" i="63"/>
  <c r="X171" i="63"/>
  <c r="W171" i="63"/>
  <c r="AC171" i="63" s="1"/>
  <c r="AD170" i="63"/>
  <c r="X170" i="63"/>
  <c r="W170" i="63"/>
  <c r="AC170" i="63" s="1"/>
  <c r="AD169" i="63"/>
  <c r="X169" i="63"/>
  <c r="W169" i="63"/>
  <c r="AC169" i="63" s="1"/>
  <c r="AD168" i="63"/>
  <c r="X168" i="63"/>
  <c r="W168" i="63"/>
  <c r="AC168" i="63" s="1"/>
  <c r="AD167" i="63"/>
  <c r="X167" i="63"/>
  <c r="W167" i="63"/>
  <c r="AC167" i="63" s="1"/>
  <c r="AD166" i="63"/>
  <c r="X166" i="63"/>
  <c r="W166" i="63"/>
  <c r="AC166" i="63" s="1"/>
  <c r="AD165" i="63"/>
  <c r="X165" i="63"/>
  <c r="W165" i="63"/>
  <c r="AC165" i="63" s="1"/>
  <c r="AD164" i="63"/>
  <c r="X164" i="63"/>
  <c r="W164" i="63"/>
  <c r="AC164" i="63" s="1"/>
  <c r="AD163" i="63"/>
  <c r="X163" i="63"/>
  <c r="W163" i="63"/>
  <c r="AC163" i="63" s="1"/>
  <c r="AD162" i="63"/>
  <c r="X162" i="63"/>
  <c r="W162" i="63"/>
  <c r="AC162" i="63" s="1"/>
  <c r="AD161" i="63"/>
  <c r="X161" i="63"/>
  <c r="W161" i="63"/>
  <c r="AC161" i="63" s="1"/>
  <c r="AD160" i="63"/>
  <c r="X160" i="63"/>
  <c r="W160" i="63"/>
  <c r="AC160" i="63" s="1"/>
  <c r="AD159" i="63"/>
  <c r="X159" i="63"/>
  <c r="W159" i="63"/>
  <c r="AC159" i="63" s="1"/>
  <c r="AD158" i="63"/>
  <c r="X158" i="63"/>
  <c r="W158" i="63"/>
  <c r="AC158" i="63" s="1"/>
  <c r="M40" i="5"/>
  <c r="M39" i="5"/>
  <c r="M38" i="5"/>
  <c r="AJ9" i="63"/>
  <c r="AI9" i="63"/>
  <c r="AJ4" i="63"/>
  <c r="AI4" i="63"/>
  <c r="AD568" i="63"/>
  <c r="AD567" i="63"/>
  <c r="AD566" i="63"/>
  <c r="AD565" i="63"/>
  <c r="AD564" i="63"/>
  <c r="AD563" i="63"/>
  <c r="AD562" i="63"/>
  <c r="AD561" i="63"/>
  <c r="AD560" i="63"/>
  <c r="AD559" i="63"/>
  <c r="AD558" i="63"/>
  <c r="AD557" i="63"/>
  <c r="AD556" i="63"/>
  <c r="AD555" i="63"/>
  <c r="AD554" i="63"/>
  <c r="AD553" i="63"/>
  <c r="AD552" i="63"/>
  <c r="AD551" i="63"/>
  <c r="AD550" i="63"/>
  <c r="AD549" i="63"/>
  <c r="AD548" i="63"/>
  <c r="AD547" i="63"/>
  <c r="AD546" i="63"/>
  <c r="AD545" i="63"/>
  <c r="AD544" i="63"/>
  <c r="AD543" i="63"/>
  <c r="AD542" i="63"/>
  <c r="AD541" i="63"/>
  <c r="AD540" i="63"/>
  <c r="AD539" i="63"/>
  <c r="AD538" i="63"/>
  <c r="AD537" i="63"/>
  <c r="AD536" i="63"/>
  <c r="AD535" i="63"/>
  <c r="AD534" i="63"/>
  <c r="AD533" i="63"/>
  <c r="AD532" i="63"/>
  <c r="AD531" i="63"/>
  <c r="AD530" i="63"/>
  <c r="AD529" i="63"/>
  <c r="AD528" i="63"/>
  <c r="AD527" i="63"/>
  <c r="AD526" i="63"/>
  <c r="AD525" i="63"/>
  <c r="AD524" i="63"/>
  <c r="AD523" i="63"/>
  <c r="AD522" i="63"/>
  <c r="AD521" i="63"/>
  <c r="AD520" i="63"/>
  <c r="AD519" i="63"/>
  <c r="AD518" i="63"/>
  <c r="AD517" i="63"/>
  <c r="AD516" i="63"/>
  <c r="AD515" i="63"/>
  <c r="AD514" i="63"/>
  <c r="AD513" i="63"/>
  <c r="AD512" i="63"/>
  <c r="AD511" i="63"/>
  <c r="AD510" i="63"/>
  <c r="AD509" i="63"/>
  <c r="AD508" i="63"/>
  <c r="AD507" i="63"/>
  <c r="AD506" i="63"/>
  <c r="AD505" i="63"/>
  <c r="AD504" i="63"/>
  <c r="AD503" i="63"/>
  <c r="AD502" i="63"/>
  <c r="AD501" i="63"/>
  <c r="AD500" i="63"/>
  <c r="AD499" i="63"/>
  <c r="AD498" i="63"/>
  <c r="AD497" i="63"/>
  <c r="AD496" i="63"/>
  <c r="AD495" i="63"/>
  <c r="AD494" i="63"/>
  <c r="AD493" i="63"/>
  <c r="AD492" i="63"/>
  <c r="AD491" i="63"/>
  <c r="AD490" i="63"/>
  <c r="AD489" i="63"/>
  <c r="AD488" i="63"/>
  <c r="AD487" i="63"/>
  <c r="AD486" i="63"/>
  <c r="AD485" i="63"/>
  <c r="AD484" i="63"/>
  <c r="AD483" i="63"/>
  <c r="AD482" i="63"/>
  <c r="AD481" i="63"/>
  <c r="AD480" i="63"/>
  <c r="AD479" i="63"/>
  <c r="AD478" i="63"/>
  <c r="AD477" i="63"/>
  <c r="AD476" i="63"/>
  <c r="AD475" i="63"/>
  <c r="AD474" i="63"/>
  <c r="AD473" i="63"/>
  <c r="AD472" i="63"/>
  <c r="AD471" i="63"/>
  <c r="AD470" i="63"/>
  <c r="AD469" i="63"/>
  <c r="AD468" i="63"/>
  <c r="AD467" i="63"/>
  <c r="AD466" i="63"/>
  <c r="AD465" i="63"/>
  <c r="AD464" i="63"/>
  <c r="AD463" i="63"/>
  <c r="AD462" i="63"/>
  <c r="AD461" i="63"/>
  <c r="AD460" i="63"/>
  <c r="AD459" i="63"/>
  <c r="AD458" i="63"/>
  <c r="AD457" i="63"/>
  <c r="AD456" i="63"/>
  <c r="AD455" i="63"/>
  <c r="AD454" i="63"/>
  <c r="AD453" i="63"/>
  <c r="AD452" i="63"/>
  <c r="AD451" i="63"/>
  <c r="AD450" i="63"/>
  <c r="AD449" i="63"/>
  <c r="AD448" i="63"/>
  <c r="AD447" i="63"/>
  <c r="AD446" i="63"/>
  <c r="AD445" i="63"/>
  <c r="AD444" i="63"/>
  <c r="AD443" i="63"/>
  <c r="AD442" i="63"/>
  <c r="AD441" i="63"/>
  <c r="AD440" i="63"/>
  <c r="AD439" i="63"/>
  <c r="AD438" i="63"/>
  <c r="AD437" i="63"/>
  <c r="AD436" i="63"/>
  <c r="AD435" i="63"/>
  <c r="AD434" i="63"/>
  <c r="AD433" i="63"/>
  <c r="AD432" i="63"/>
  <c r="AD431" i="63"/>
  <c r="AD430" i="63"/>
  <c r="AD429" i="63"/>
  <c r="AD428" i="63"/>
  <c r="AD427" i="63"/>
  <c r="AD426" i="63"/>
  <c r="AD425" i="63"/>
  <c r="AD424" i="63"/>
  <c r="AD423" i="63"/>
  <c r="AD422" i="63"/>
  <c r="AD421" i="63"/>
  <c r="AD420" i="63"/>
  <c r="AD419" i="63"/>
  <c r="AD418" i="63"/>
  <c r="AD417" i="63"/>
  <c r="AD416" i="63"/>
  <c r="AD415" i="63"/>
  <c r="AD414" i="63"/>
  <c r="AD413" i="63"/>
  <c r="AD412" i="63"/>
  <c r="AD411" i="63"/>
  <c r="AD410" i="63"/>
  <c r="AD409" i="63"/>
  <c r="AD408" i="63"/>
  <c r="AD407" i="63"/>
  <c r="AD406" i="63"/>
  <c r="AD405" i="63"/>
  <c r="AD404" i="63"/>
  <c r="AD403" i="63"/>
  <c r="AD402" i="63"/>
  <c r="AD401" i="63"/>
  <c r="AD400" i="63"/>
  <c r="AD399" i="63"/>
  <c r="AD398" i="63"/>
  <c r="AD397" i="63"/>
  <c r="AD396" i="63"/>
  <c r="AD395" i="63"/>
  <c r="AD394" i="63"/>
  <c r="AD393" i="63"/>
  <c r="AD9" i="66" s="1"/>
  <c r="AD235" i="63"/>
  <c r="AD234" i="63"/>
  <c r="AD233" i="63"/>
  <c r="AD232" i="63"/>
  <c r="AD231" i="63"/>
  <c r="AD230" i="63"/>
  <c r="AD229" i="63"/>
  <c r="AD228" i="63"/>
  <c r="AD227" i="63"/>
  <c r="AD226" i="63"/>
  <c r="AD225" i="63"/>
  <c r="AD224" i="63"/>
  <c r="AD223" i="63"/>
  <c r="AD222" i="63"/>
  <c r="AD221" i="63"/>
  <c r="AD220" i="63"/>
  <c r="AD219" i="63"/>
  <c r="AD218" i="63"/>
  <c r="AD217" i="63"/>
  <c r="AD216" i="63"/>
  <c r="AD215" i="63"/>
  <c r="AD214" i="63"/>
  <c r="AD213" i="63"/>
  <c r="AD212" i="63"/>
  <c r="AD211" i="63"/>
  <c r="AD210" i="63"/>
  <c r="AD157" i="63"/>
  <c r="AD156" i="63"/>
  <c r="AD155" i="63"/>
  <c r="AD154" i="63"/>
  <c r="AD153" i="63"/>
  <c r="AD152" i="63"/>
  <c r="AD151" i="63"/>
  <c r="AD150" i="63"/>
  <c r="AD149" i="63"/>
  <c r="AD148" i="63"/>
  <c r="AD147" i="63"/>
  <c r="AD146" i="63"/>
  <c r="AE145" i="63"/>
  <c r="AE144" i="63"/>
  <c r="AE143" i="63"/>
  <c r="AE142" i="63"/>
  <c r="AE141" i="63"/>
  <c r="AE140" i="63"/>
  <c r="AE139" i="63"/>
  <c r="AE138" i="63"/>
  <c r="AE137" i="63"/>
  <c r="AE136" i="63"/>
  <c r="AE135" i="63"/>
  <c r="AE134" i="63"/>
  <c r="AD133" i="63"/>
  <c r="AD132" i="63"/>
  <c r="AD131" i="63"/>
  <c r="AD130" i="63"/>
  <c r="AD129" i="63"/>
  <c r="AD128" i="63"/>
  <c r="AD127" i="63"/>
  <c r="AD126" i="63"/>
  <c r="AD125" i="63"/>
  <c r="AD124" i="63"/>
  <c r="AD123" i="63"/>
  <c r="AD122" i="63"/>
  <c r="AE121" i="63"/>
  <c r="AE120" i="63"/>
  <c r="AE119" i="63"/>
  <c r="AE118" i="63"/>
  <c r="AE117" i="63"/>
  <c r="AE116" i="63"/>
  <c r="AE115" i="63"/>
  <c r="AE114" i="63"/>
  <c r="AE113" i="63"/>
  <c r="AE112" i="63"/>
  <c r="AE111" i="63"/>
  <c r="AE110" i="63"/>
  <c r="AE109" i="63"/>
  <c r="AE108" i="63"/>
  <c r="AE107" i="63"/>
  <c r="AE106" i="63"/>
  <c r="AE105" i="63"/>
  <c r="AE104" i="63"/>
  <c r="AE103" i="63"/>
  <c r="AE102" i="63"/>
  <c r="AE101" i="63"/>
  <c r="AE100" i="63"/>
  <c r="AE99" i="63"/>
  <c r="AE98" i="63"/>
  <c r="AE97" i="63"/>
  <c r="AE96" i="63"/>
  <c r="AE95" i="63"/>
  <c r="AE94" i="63"/>
  <c r="AE93" i="63"/>
  <c r="AE92" i="63"/>
  <c r="AE91" i="63"/>
  <c r="AE90" i="63"/>
  <c r="AE89" i="63"/>
  <c r="AE88" i="63"/>
  <c r="AE87" i="63"/>
  <c r="AE86" i="63"/>
  <c r="AE85" i="63"/>
  <c r="AE84" i="63"/>
  <c r="AE83" i="63"/>
  <c r="AE82" i="63"/>
  <c r="AE81" i="63"/>
  <c r="AE80" i="63"/>
  <c r="AE79" i="63"/>
  <c r="AE78" i="63"/>
  <c r="AE77" i="63"/>
  <c r="AE76" i="63"/>
  <c r="AE75" i="63"/>
  <c r="AE74" i="63"/>
  <c r="AE73" i="63"/>
  <c r="AE72" i="63"/>
  <c r="AE71" i="63"/>
  <c r="AE70" i="63"/>
  <c r="AE69" i="63"/>
  <c r="AE68" i="63"/>
  <c r="AE67" i="63"/>
  <c r="AE66" i="63"/>
  <c r="AE65" i="63"/>
  <c r="AE64" i="63"/>
  <c r="AE63" i="63"/>
  <c r="AE62" i="63"/>
  <c r="AE61" i="63"/>
  <c r="AE60" i="63"/>
  <c r="AE59" i="63"/>
  <c r="AE58" i="63"/>
  <c r="AE57" i="63"/>
  <c r="AE56" i="63"/>
  <c r="AE55" i="63"/>
  <c r="AE54" i="63"/>
  <c r="AE53" i="63"/>
  <c r="AE52" i="63"/>
  <c r="AE51" i="63"/>
  <c r="AE50" i="63"/>
  <c r="AE49" i="63"/>
  <c r="AE48" i="63"/>
  <c r="AE47" i="63"/>
  <c r="AE46" i="63"/>
  <c r="AE45" i="63"/>
  <c r="AE44" i="63"/>
  <c r="AE43" i="63"/>
  <c r="AE42" i="63"/>
  <c r="AE41" i="63"/>
  <c r="AE40" i="63"/>
  <c r="AE39" i="63"/>
  <c r="AE38" i="63"/>
  <c r="AD25" i="63"/>
  <c r="AD24" i="63"/>
  <c r="AD23" i="63"/>
  <c r="AD22" i="63"/>
  <c r="AD21" i="63"/>
  <c r="AD20" i="63"/>
  <c r="AD19" i="63"/>
  <c r="AD18" i="63"/>
  <c r="AD17" i="63"/>
  <c r="AD16" i="63"/>
  <c r="AD15" i="63"/>
  <c r="AD14" i="63"/>
  <c r="V582" i="63"/>
  <c r="AB582" i="63" s="1"/>
  <c r="V581" i="63"/>
  <c r="AB581" i="63" s="1"/>
  <c r="V580" i="63"/>
  <c r="AB580" i="63" s="1"/>
  <c r="V579" i="63"/>
  <c r="AB579" i="63" s="1"/>
  <c r="V578" i="63"/>
  <c r="AB578" i="63" s="1"/>
  <c r="V577" i="63"/>
  <c r="AB577" i="63" s="1"/>
  <c r="V576" i="63"/>
  <c r="AB576" i="63" s="1"/>
  <c r="V575" i="63"/>
  <c r="AB575" i="63" s="1"/>
  <c r="V574" i="63"/>
  <c r="AB574" i="63" s="1"/>
  <c r="V573" i="63"/>
  <c r="AB573" i="63" s="1"/>
  <c r="V572" i="63"/>
  <c r="AB572" i="63" s="1"/>
  <c r="V571" i="63"/>
  <c r="AB571" i="63" s="1"/>
  <c r="V570" i="63"/>
  <c r="AB570" i="63" s="1"/>
  <c r="V569" i="63"/>
  <c r="AB569" i="63" s="1"/>
  <c r="X568" i="63"/>
  <c r="W568" i="63"/>
  <c r="V568" i="63"/>
  <c r="AB568" i="63" s="1"/>
  <c r="X567" i="63"/>
  <c r="W567" i="63"/>
  <c r="V567" i="63"/>
  <c r="AB567" i="63" s="1"/>
  <c r="X566" i="63"/>
  <c r="W566" i="63"/>
  <c r="V566" i="63"/>
  <c r="AB566" i="63" s="1"/>
  <c r="X565" i="63"/>
  <c r="W565" i="63"/>
  <c r="V565" i="63"/>
  <c r="AB565" i="63" s="1"/>
  <c r="X564" i="63"/>
  <c r="W564" i="63"/>
  <c r="V564" i="63"/>
  <c r="AB564" i="63" s="1"/>
  <c r="X563" i="63"/>
  <c r="W563" i="63"/>
  <c r="V563" i="63"/>
  <c r="AB563" i="63" s="1"/>
  <c r="X562" i="63"/>
  <c r="W562" i="63"/>
  <c r="V562" i="63"/>
  <c r="AB562" i="63" s="1"/>
  <c r="X561" i="63"/>
  <c r="W561" i="63"/>
  <c r="V561" i="63"/>
  <c r="AB561" i="63" s="1"/>
  <c r="X560" i="63"/>
  <c r="W560" i="63"/>
  <c r="V560" i="63"/>
  <c r="AB560" i="63" s="1"/>
  <c r="X559" i="63"/>
  <c r="W559" i="63"/>
  <c r="V559" i="63"/>
  <c r="AB559" i="63" s="1"/>
  <c r="X558" i="63"/>
  <c r="W558" i="63"/>
  <c r="V558" i="63"/>
  <c r="AB558" i="63" s="1"/>
  <c r="X557" i="63"/>
  <c r="W557" i="63"/>
  <c r="V557" i="63"/>
  <c r="AB557" i="63" s="1"/>
  <c r="X556" i="63"/>
  <c r="W556" i="63"/>
  <c r="V556" i="63"/>
  <c r="AB556" i="63" s="1"/>
  <c r="X555" i="63"/>
  <c r="W555" i="63"/>
  <c r="V555" i="63"/>
  <c r="AB555" i="63" s="1"/>
  <c r="X554" i="63"/>
  <c r="W554" i="63"/>
  <c r="V554" i="63"/>
  <c r="AB554" i="63" s="1"/>
  <c r="X553" i="63"/>
  <c r="W553" i="63"/>
  <c r="V553" i="63"/>
  <c r="AB553" i="63" s="1"/>
  <c r="X552" i="63"/>
  <c r="W552" i="63"/>
  <c r="V552" i="63"/>
  <c r="AB552" i="63" s="1"/>
  <c r="X551" i="63"/>
  <c r="W551" i="63"/>
  <c r="V551" i="63"/>
  <c r="AB551" i="63" s="1"/>
  <c r="X550" i="63"/>
  <c r="W550" i="63"/>
  <c r="V550" i="63"/>
  <c r="AB550" i="63" s="1"/>
  <c r="X549" i="63"/>
  <c r="W549" i="63"/>
  <c r="V549" i="63"/>
  <c r="AB549" i="63" s="1"/>
  <c r="X548" i="63"/>
  <c r="W548" i="63"/>
  <c r="V548" i="63"/>
  <c r="AB548" i="63" s="1"/>
  <c r="X547" i="63"/>
  <c r="W547" i="63"/>
  <c r="V547" i="63"/>
  <c r="AB547" i="63" s="1"/>
  <c r="X546" i="63"/>
  <c r="W546" i="63"/>
  <c r="V546" i="63"/>
  <c r="AB546" i="63" s="1"/>
  <c r="X545" i="63"/>
  <c r="W545" i="63"/>
  <c r="V545" i="63"/>
  <c r="AB545" i="63" s="1"/>
  <c r="X544" i="63"/>
  <c r="W544" i="63"/>
  <c r="V544" i="63"/>
  <c r="AB544" i="63" s="1"/>
  <c r="X543" i="63"/>
  <c r="W543" i="63"/>
  <c r="V543" i="63"/>
  <c r="AB543" i="63" s="1"/>
  <c r="X542" i="63"/>
  <c r="W542" i="63"/>
  <c r="V542" i="63"/>
  <c r="AB542" i="63" s="1"/>
  <c r="X541" i="63"/>
  <c r="W541" i="63"/>
  <c r="V541" i="63"/>
  <c r="AB541" i="63" s="1"/>
  <c r="X540" i="63"/>
  <c r="W540" i="63"/>
  <c r="V540" i="63"/>
  <c r="AB540" i="63" s="1"/>
  <c r="X539" i="63"/>
  <c r="W539" i="63"/>
  <c r="V539" i="63"/>
  <c r="AB539" i="63" s="1"/>
  <c r="X538" i="63"/>
  <c r="W538" i="63"/>
  <c r="V538" i="63"/>
  <c r="AB538" i="63" s="1"/>
  <c r="X537" i="63"/>
  <c r="W537" i="63"/>
  <c r="V537" i="63"/>
  <c r="AB537" i="63" s="1"/>
  <c r="X536" i="63"/>
  <c r="W536" i="63"/>
  <c r="V536" i="63"/>
  <c r="AB536" i="63" s="1"/>
  <c r="X535" i="63"/>
  <c r="W535" i="63"/>
  <c r="V535" i="63"/>
  <c r="AB535" i="63" s="1"/>
  <c r="X534" i="63"/>
  <c r="W534" i="63"/>
  <c r="V534" i="63"/>
  <c r="AB534" i="63" s="1"/>
  <c r="X533" i="63"/>
  <c r="W533" i="63"/>
  <c r="V533" i="63"/>
  <c r="AB533" i="63" s="1"/>
  <c r="X532" i="63"/>
  <c r="W532" i="63"/>
  <c r="V532" i="63"/>
  <c r="AB532" i="63" s="1"/>
  <c r="X531" i="63"/>
  <c r="W531" i="63"/>
  <c r="V531" i="63"/>
  <c r="AB531" i="63" s="1"/>
  <c r="X530" i="63"/>
  <c r="W530" i="63"/>
  <c r="V530" i="63"/>
  <c r="AB530" i="63" s="1"/>
  <c r="X529" i="63"/>
  <c r="W529" i="63"/>
  <c r="V529" i="63"/>
  <c r="AB529" i="63" s="1"/>
  <c r="X528" i="63"/>
  <c r="W528" i="63"/>
  <c r="V528" i="63"/>
  <c r="AB528" i="63" s="1"/>
  <c r="X527" i="63"/>
  <c r="W527" i="63"/>
  <c r="V527" i="63"/>
  <c r="AB527" i="63" s="1"/>
  <c r="X526" i="63"/>
  <c r="W526" i="63"/>
  <c r="V526" i="63"/>
  <c r="AB526" i="63" s="1"/>
  <c r="X525" i="63"/>
  <c r="W525" i="63"/>
  <c r="V525" i="63"/>
  <c r="AB525" i="63" s="1"/>
  <c r="X524" i="63"/>
  <c r="W524" i="63"/>
  <c r="V524" i="63"/>
  <c r="AB524" i="63" s="1"/>
  <c r="X523" i="63"/>
  <c r="W523" i="63"/>
  <c r="V523" i="63"/>
  <c r="AB523" i="63" s="1"/>
  <c r="X522" i="63"/>
  <c r="W522" i="63"/>
  <c r="V522" i="63"/>
  <c r="AB522" i="63" s="1"/>
  <c r="X521" i="63"/>
  <c r="W521" i="63"/>
  <c r="V521" i="63"/>
  <c r="AB521" i="63" s="1"/>
  <c r="X520" i="63"/>
  <c r="W520" i="63"/>
  <c r="V520" i="63"/>
  <c r="AB520" i="63" s="1"/>
  <c r="X519" i="63"/>
  <c r="W519" i="63"/>
  <c r="V519" i="63"/>
  <c r="AB519" i="63" s="1"/>
  <c r="X518" i="63"/>
  <c r="W518" i="63"/>
  <c r="V518" i="63"/>
  <c r="AB518" i="63" s="1"/>
  <c r="X517" i="63"/>
  <c r="W517" i="63"/>
  <c r="V517" i="63"/>
  <c r="AB517" i="63" s="1"/>
  <c r="X516" i="63"/>
  <c r="W516" i="63"/>
  <c r="V516" i="63"/>
  <c r="AB516" i="63" s="1"/>
  <c r="X515" i="63"/>
  <c r="W515" i="63"/>
  <c r="V515" i="63"/>
  <c r="AB515" i="63" s="1"/>
  <c r="X514" i="63"/>
  <c r="W514" i="63"/>
  <c r="V514" i="63"/>
  <c r="AB514" i="63" s="1"/>
  <c r="X513" i="63"/>
  <c r="W513" i="63"/>
  <c r="V513" i="63"/>
  <c r="AB513" i="63" s="1"/>
  <c r="X512" i="63"/>
  <c r="W512" i="63"/>
  <c r="V512" i="63"/>
  <c r="AB512" i="63" s="1"/>
  <c r="X511" i="63"/>
  <c r="W511" i="63"/>
  <c r="V511" i="63"/>
  <c r="AB511" i="63" s="1"/>
  <c r="X510" i="63"/>
  <c r="W510" i="63"/>
  <c r="V510" i="63"/>
  <c r="AB510" i="63" s="1"/>
  <c r="X509" i="63"/>
  <c r="W509" i="63"/>
  <c r="V509" i="63"/>
  <c r="AB509" i="63" s="1"/>
  <c r="X508" i="63"/>
  <c r="W508" i="63"/>
  <c r="V508" i="63"/>
  <c r="AB508" i="63" s="1"/>
  <c r="X507" i="63"/>
  <c r="W507" i="63"/>
  <c r="V507" i="63"/>
  <c r="AB507" i="63" s="1"/>
  <c r="X506" i="63"/>
  <c r="W506" i="63"/>
  <c r="V506" i="63"/>
  <c r="AB506" i="63" s="1"/>
  <c r="X505" i="63"/>
  <c r="W505" i="63"/>
  <c r="V505" i="63"/>
  <c r="AB505" i="63" s="1"/>
  <c r="X504" i="63"/>
  <c r="W504" i="63"/>
  <c r="V504" i="63"/>
  <c r="AB504" i="63" s="1"/>
  <c r="X503" i="63"/>
  <c r="W503" i="63"/>
  <c r="V503" i="63"/>
  <c r="AB503" i="63" s="1"/>
  <c r="X502" i="63"/>
  <c r="W502" i="63"/>
  <c r="V502" i="63"/>
  <c r="AB502" i="63" s="1"/>
  <c r="X501" i="63"/>
  <c r="W501" i="63"/>
  <c r="V501" i="63"/>
  <c r="AB501" i="63" s="1"/>
  <c r="X500" i="63"/>
  <c r="W500" i="63"/>
  <c r="V500" i="63"/>
  <c r="AB500" i="63" s="1"/>
  <c r="X499" i="63"/>
  <c r="W499" i="63"/>
  <c r="V499" i="63"/>
  <c r="AB499" i="63" s="1"/>
  <c r="X498" i="63"/>
  <c r="W498" i="63"/>
  <c r="V498" i="63"/>
  <c r="AB498" i="63" s="1"/>
  <c r="X497" i="63"/>
  <c r="W497" i="63"/>
  <c r="V497" i="63"/>
  <c r="AB497" i="63" s="1"/>
  <c r="X496" i="63"/>
  <c r="W496" i="63"/>
  <c r="V496" i="63"/>
  <c r="AB496" i="63" s="1"/>
  <c r="X495" i="63"/>
  <c r="W495" i="63"/>
  <c r="V495" i="63"/>
  <c r="AB495" i="63" s="1"/>
  <c r="X494" i="63"/>
  <c r="W494" i="63"/>
  <c r="V494" i="63"/>
  <c r="AB494" i="63" s="1"/>
  <c r="X493" i="63"/>
  <c r="W493" i="63"/>
  <c r="V493" i="63"/>
  <c r="AB493" i="63" s="1"/>
  <c r="X492" i="63"/>
  <c r="W492" i="63"/>
  <c r="V492" i="63"/>
  <c r="AB492" i="63" s="1"/>
  <c r="X491" i="63"/>
  <c r="W491" i="63"/>
  <c r="V491" i="63"/>
  <c r="AB491" i="63" s="1"/>
  <c r="X490" i="63"/>
  <c r="W490" i="63"/>
  <c r="V490" i="63"/>
  <c r="AB490" i="63" s="1"/>
  <c r="X489" i="63"/>
  <c r="W489" i="63"/>
  <c r="V489" i="63"/>
  <c r="AB489" i="63" s="1"/>
  <c r="X488" i="63"/>
  <c r="W488" i="63"/>
  <c r="V488" i="63"/>
  <c r="AB488" i="63" s="1"/>
  <c r="X487" i="63"/>
  <c r="W487" i="63"/>
  <c r="V487" i="63"/>
  <c r="AB487" i="63" s="1"/>
  <c r="X486" i="63"/>
  <c r="W486" i="63"/>
  <c r="V486" i="63"/>
  <c r="AB486" i="63" s="1"/>
  <c r="X485" i="63"/>
  <c r="W485" i="63"/>
  <c r="V485" i="63"/>
  <c r="AB485" i="63" s="1"/>
  <c r="X484" i="63"/>
  <c r="W484" i="63"/>
  <c r="V484" i="63"/>
  <c r="AB484" i="63" s="1"/>
  <c r="X483" i="63"/>
  <c r="W483" i="63"/>
  <c r="V483" i="63"/>
  <c r="AB483" i="63" s="1"/>
  <c r="X482" i="63"/>
  <c r="W482" i="63"/>
  <c r="V482" i="63"/>
  <c r="AB482" i="63" s="1"/>
  <c r="X481" i="63"/>
  <c r="W481" i="63"/>
  <c r="V481" i="63"/>
  <c r="AB481" i="63" s="1"/>
  <c r="X480" i="63"/>
  <c r="W480" i="63"/>
  <c r="V480" i="63"/>
  <c r="AB480" i="63" s="1"/>
  <c r="X479" i="63"/>
  <c r="W479" i="63"/>
  <c r="V479" i="63"/>
  <c r="AB479" i="63" s="1"/>
  <c r="X478" i="63"/>
  <c r="W478" i="63"/>
  <c r="V478" i="63"/>
  <c r="AB478" i="63" s="1"/>
  <c r="X477" i="63"/>
  <c r="W477" i="63"/>
  <c r="V477" i="63"/>
  <c r="AB477" i="63" s="1"/>
  <c r="X476" i="63"/>
  <c r="W476" i="63"/>
  <c r="V476" i="63"/>
  <c r="AB476" i="63" s="1"/>
  <c r="X475" i="63"/>
  <c r="W475" i="63"/>
  <c r="V475" i="63"/>
  <c r="AB475" i="63" s="1"/>
  <c r="X474" i="63"/>
  <c r="W474" i="63"/>
  <c r="V474" i="63"/>
  <c r="AB474" i="63" s="1"/>
  <c r="X473" i="63"/>
  <c r="W473" i="63"/>
  <c r="V473" i="63"/>
  <c r="AB473" i="63" s="1"/>
  <c r="X472" i="63"/>
  <c r="W472" i="63"/>
  <c r="V472" i="63"/>
  <c r="AB472" i="63" s="1"/>
  <c r="X471" i="63"/>
  <c r="W471" i="63"/>
  <c r="V471" i="63"/>
  <c r="AB471" i="63" s="1"/>
  <c r="X470" i="63"/>
  <c r="W470" i="63"/>
  <c r="V470" i="63"/>
  <c r="AB470" i="63" s="1"/>
  <c r="X469" i="63"/>
  <c r="W469" i="63"/>
  <c r="V469" i="63"/>
  <c r="AB469" i="63" s="1"/>
  <c r="X468" i="63"/>
  <c r="W468" i="63"/>
  <c r="V468" i="63"/>
  <c r="AB468" i="63" s="1"/>
  <c r="X467" i="63"/>
  <c r="W467" i="63"/>
  <c r="V467" i="63"/>
  <c r="AB467" i="63" s="1"/>
  <c r="X466" i="63"/>
  <c r="W466" i="63"/>
  <c r="V466" i="63"/>
  <c r="AB466" i="63" s="1"/>
  <c r="X465" i="63"/>
  <c r="W465" i="63"/>
  <c r="V465" i="63"/>
  <c r="AB465" i="63" s="1"/>
  <c r="X464" i="63"/>
  <c r="W464" i="63"/>
  <c r="V464" i="63"/>
  <c r="AB464" i="63" s="1"/>
  <c r="X463" i="63"/>
  <c r="W463" i="63"/>
  <c r="V463" i="63"/>
  <c r="AB463" i="63" s="1"/>
  <c r="X462" i="63"/>
  <c r="W462" i="63"/>
  <c r="V462" i="63"/>
  <c r="AB462" i="63" s="1"/>
  <c r="X461" i="63"/>
  <c r="W461" i="63"/>
  <c r="V461" i="63"/>
  <c r="AB461" i="63" s="1"/>
  <c r="X460" i="63"/>
  <c r="W460" i="63"/>
  <c r="V460" i="63"/>
  <c r="AB460" i="63" s="1"/>
  <c r="X459" i="63"/>
  <c r="W459" i="63"/>
  <c r="V459" i="63"/>
  <c r="AB459" i="63" s="1"/>
  <c r="X458" i="63"/>
  <c r="W458" i="63"/>
  <c r="V458" i="63"/>
  <c r="AB458" i="63" s="1"/>
  <c r="X457" i="63"/>
  <c r="W457" i="63"/>
  <c r="V457" i="63"/>
  <c r="AB457" i="63" s="1"/>
  <c r="X456" i="63"/>
  <c r="W456" i="63"/>
  <c r="V456" i="63"/>
  <c r="AB456" i="63" s="1"/>
  <c r="X455" i="63"/>
  <c r="W455" i="63"/>
  <c r="V455" i="63"/>
  <c r="AB455" i="63" s="1"/>
  <c r="X454" i="63"/>
  <c r="W454" i="63"/>
  <c r="V454" i="63"/>
  <c r="AB454" i="63" s="1"/>
  <c r="X453" i="63"/>
  <c r="W453" i="63"/>
  <c r="V453" i="63"/>
  <c r="AB453" i="63" s="1"/>
  <c r="X452" i="63"/>
  <c r="W452" i="63"/>
  <c r="V452" i="63"/>
  <c r="AB452" i="63" s="1"/>
  <c r="X451" i="63"/>
  <c r="W451" i="63"/>
  <c r="V451" i="63"/>
  <c r="AB451" i="63" s="1"/>
  <c r="X450" i="63"/>
  <c r="W450" i="63"/>
  <c r="V450" i="63"/>
  <c r="AB450" i="63" s="1"/>
  <c r="X449" i="63"/>
  <c r="W449" i="63"/>
  <c r="V449" i="63"/>
  <c r="AB449" i="63" s="1"/>
  <c r="X448" i="63"/>
  <c r="W448" i="63"/>
  <c r="V448" i="63"/>
  <c r="AB448" i="63" s="1"/>
  <c r="X447" i="63"/>
  <c r="W447" i="63"/>
  <c r="V447" i="63"/>
  <c r="AB447" i="63" s="1"/>
  <c r="X446" i="63"/>
  <c r="W446" i="63"/>
  <c r="V446" i="63"/>
  <c r="AB446" i="63" s="1"/>
  <c r="X445" i="63"/>
  <c r="W445" i="63"/>
  <c r="V445" i="63"/>
  <c r="AB445" i="63" s="1"/>
  <c r="X444" i="63"/>
  <c r="W444" i="63"/>
  <c r="V444" i="63"/>
  <c r="AB444" i="63" s="1"/>
  <c r="X443" i="63"/>
  <c r="W443" i="63"/>
  <c r="V443" i="63"/>
  <c r="AB443" i="63" s="1"/>
  <c r="X442" i="63"/>
  <c r="W442" i="63"/>
  <c r="V442" i="63"/>
  <c r="AB442" i="63" s="1"/>
  <c r="X441" i="63"/>
  <c r="W441" i="63"/>
  <c r="V441" i="63"/>
  <c r="AB441" i="63" s="1"/>
  <c r="X440" i="63"/>
  <c r="W440" i="63"/>
  <c r="AC440" i="63" s="1"/>
  <c r="V440" i="63"/>
  <c r="AB440" i="63" s="1"/>
  <c r="X439" i="63"/>
  <c r="W439" i="63"/>
  <c r="V439" i="63"/>
  <c r="AB439" i="63" s="1"/>
  <c r="X438" i="63"/>
  <c r="W438" i="63"/>
  <c r="V438" i="63"/>
  <c r="AB438" i="63" s="1"/>
  <c r="X437" i="63"/>
  <c r="W437" i="63"/>
  <c r="AC437" i="63" s="1"/>
  <c r="V437" i="63"/>
  <c r="AB437" i="63" s="1"/>
  <c r="X436" i="63"/>
  <c r="W436" i="63"/>
  <c r="AC436" i="63" s="1"/>
  <c r="V436" i="63"/>
  <c r="AB436" i="63" s="1"/>
  <c r="X435" i="63"/>
  <c r="W435" i="63"/>
  <c r="V435" i="63"/>
  <c r="AB435" i="63" s="1"/>
  <c r="X434" i="63"/>
  <c r="W434" i="63"/>
  <c r="V434" i="63"/>
  <c r="AB434" i="63" s="1"/>
  <c r="X433" i="63"/>
  <c r="W433" i="63"/>
  <c r="AC433" i="63" s="1"/>
  <c r="V433" i="63"/>
  <c r="AB433" i="63" s="1"/>
  <c r="X432" i="63"/>
  <c r="W432" i="63"/>
  <c r="AC432" i="63" s="1"/>
  <c r="V432" i="63"/>
  <c r="AB432" i="63" s="1"/>
  <c r="X431" i="63"/>
  <c r="W431" i="63"/>
  <c r="V431" i="63"/>
  <c r="AB431" i="63" s="1"/>
  <c r="X430" i="63"/>
  <c r="W430" i="63"/>
  <c r="V430" i="63"/>
  <c r="AB430" i="63" s="1"/>
  <c r="X429" i="63"/>
  <c r="W429" i="63"/>
  <c r="AC429" i="63" s="1"/>
  <c r="V429" i="63"/>
  <c r="AB429" i="63" s="1"/>
  <c r="X428" i="63"/>
  <c r="W428" i="63"/>
  <c r="AC428" i="63" s="1"/>
  <c r="V428" i="63"/>
  <c r="AB428" i="63" s="1"/>
  <c r="X427" i="63"/>
  <c r="W427" i="63"/>
  <c r="V427" i="63"/>
  <c r="AB427" i="63" s="1"/>
  <c r="X426" i="63"/>
  <c r="W426" i="63"/>
  <c r="V426" i="63"/>
  <c r="AB426" i="63" s="1"/>
  <c r="X425" i="63"/>
  <c r="W425" i="63"/>
  <c r="AC425" i="63" s="1"/>
  <c r="V425" i="63"/>
  <c r="AB425" i="63" s="1"/>
  <c r="X424" i="63"/>
  <c r="W424" i="63"/>
  <c r="AC424" i="63" s="1"/>
  <c r="V424" i="63"/>
  <c r="AB424" i="63" s="1"/>
  <c r="X423" i="63"/>
  <c r="W423" i="63"/>
  <c r="V423" i="63"/>
  <c r="AB423" i="63" s="1"/>
  <c r="X422" i="63"/>
  <c r="W422" i="63"/>
  <c r="V422" i="63"/>
  <c r="AB422" i="63" s="1"/>
  <c r="X421" i="63"/>
  <c r="W421" i="63"/>
  <c r="AC421" i="63" s="1"/>
  <c r="V421" i="63"/>
  <c r="AB421" i="63" s="1"/>
  <c r="X420" i="63"/>
  <c r="W420" i="63"/>
  <c r="AC420" i="63" s="1"/>
  <c r="V420" i="63"/>
  <c r="AB420" i="63" s="1"/>
  <c r="X419" i="63"/>
  <c r="W419" i="63"/>
  <c r="V419" i="63"/>
  <c r="AB419" i="63" s="1"/>
  <c r="X418" i="63"/>
  <c r="W418" i="63"/>
  <c r="V418" i="63"/>
  <c r="AB418" i="63" s="1"/>
  <c r="X417" i="63"/>
  <c r="W417" i="63"/>
  <c r="AC417" i="63" s="1"/>
  <c r="V417" i="63"/>
  <c r="AB417" i="63" s="1"/>
  <c r="X416" i="63"/>
  <c r="W416" i="63"/>
  <c r="AC416" i="63" s="1"/>
  <c r="V416" i="63"/>
  <c r="AB416" i="63" s="1"/>
  <c r="X415" i="63"/>
  <c r="W415" i="63"/>
  <c r="V415" i="63"/>
  <c r="AB415" i="63" s="1"/>
  <c r="X414" i="63"/>
  <c r="W414" i="63"/>
  <c r="V414" i="63"/>
  <c r="AB414" i="63" s="1"/>
  <c r="X413" i="63"/>
  <c r="W413" i="63"/>
  <c r="AC413" i="63" s="1"/>
  <c r="V413" i="63"/>
  <c r="AB413" i="63" s="1"/>
  <c r="X412" i="63"/>
  <c r="W412" i="63"/>
  <c r="AC412" i="63" s="1"/>
  <c r="V412" i="63"/>
  <c r="AB412" i="63" s="1"/>
  <c r="X411" i="63"/>
  <c r="W411" i="63"/>
  <c r="V411" i="63"/>
  <c r="AB411" i="63" s="1"/>
  <c r="X410" i="63"/>
  <c r="W410" i="63"/>
  <c r="V410" i="63"/>
  <c r="AB410" i="63" s="1"/>
  <c r="X409" i="63"/>
  <c r="W409" i="63"/>
  <c r="AC409" i="63" s="1"/>
  <c r="V409" i="63"/>
  <c r="AB409" i="63" s="1"/>
  <c r="X408" i="63"/>
  <c r="W408" i="63"/>
  <c r="AC408" i="63" s="1"/>
  <c r="V408" i="63"/>
  <c r="AB408" i="63" s="1"/>
  <c r="X407" i="63"/>
  <c r="W407" i="63"/>
  <c r="V407" i="63"/>
  <c r="AB407" i="63" s="1"/>
  <c r="X406" i="63"/>
  <c r="W406" i="63"/>
  <c r="V406" i="63"/>
  <c r="AB406" i="63" s="1"/>
  <c r="X405" i="63"/>
  <c r="W405" i="63"/>
  <c r="AC405" i="63" s="1"/>
  <c r="V405" i="63"/>
  <c r="AB405" i="63" s="1"/>
  <c r="X404" i="63"/>
  <c r="W404" i="63"/>
  <c r="AC404" i="63" s="1"/>
  <c r="V404" i="63"/>
  <c r="AB404" i="63" s="1"/>
  <c r="X403" i="63"/>
  <c r="W403" i="63"/>
  <c r="V403" i="63"/>
  <c r="AB403" i="63" s="1"/>
  <c r="X402" i="63"/>
  <c r="W402" i="63"/>
  <c r="V402" i="63"/>
  <c r="AB402" i="63" s="1"/>
  <c r="X401" i="63"/>
  <c r="W401" i="63"/>
  <c r="AC401" i="63" s="1"/>
  <c r="V401" i="63"/>
  <c r="AB401" i="63" s="1"/>
  <c r="X400" i="63"/>
  <c r="W400" i="63"/>
  <c r="AC400" i="63" s="1"/>
  <c r="V400" i="63"/>
  <c r="AB400" i="63" s="1"/>
  <c r="X399" i="63"/>
  <c r="W399" i="63"/>
  <c r="V399" i="63"/>
  <c r="AB399" i="63" s="1"/>
  <c r="X398" i="63"/>
  <c r="W398" i="63"/>
  <c r="V398" i="63"/>
  <c r="AB398" i="63" s="1"/>
  <c r="X397" i="63"/>
  <c r="W397" i="63"/>
  <c r="AC397" i="63" s="1"/>
  <c r="V397" i="63"/>
  <c r="AB397" i="63" s="1"/>
  <c r="X396" i="63"/>
  <c r="W396" i="63"/>
  <c r="AC396" i="63" s="1"/>
  <c r="V396" i="63"/>
  <c r="AB396" i="63" s="1"/>
  <c r="X395" i="63"/>
  <c r="W395" i="63"/>
  <c r="V395" i="63"/>
  <c r="AB395" i="63" s="1"/>
  <c r="X394" i="63"/>
  <c r="W394" i="63"/>
  <c r="V394" i="63"/>
  <c r="AB394" i="63" s="1"/>
  <c r="X393" i="63"/>
  <c r="W393" i="63"/>
  <c r="AC393" i="63" s="1"/>
  <c r="V393" i="63"/>
  <c r="AB393" i="63" s="1"/>
  <c r="V392" i="63"/>
  <c r="AB392" i="63" s="1"/>
  <c r="V391" i="63"/>
  <c r="AB391" i="63" s="1"/>
  <c r="V390" i="63"/>
  <c r="AB390" i="63" s="1"/>
  <c r="V389" i="63"/>
  <c r="AB389" i="63" s="1"/>
  <c r="V388" i="63"/>
  <c r="AB388" i="63" s="1"/>
  <c r="V387" i="63"/>
  <c r="AB387" i="63" s="1"/>
  <c r="V386" i="63"/>
  <c r="AB386" i="63" s="1"/>
  <c r="V385" i="63"/>
  <c r="AB385" i="63" s="1"/>
  <c r="V384" i="63"/>
  <c r="AB384" i="63" s="1"/>
  <c r="V383" i="63"/>
  <c r="AB383" i="63" s="1"/>
  <c r="V382" i="63"/>
  <c r="AB382" i="63" s="1"/>
  <c r="V381" i="63"/>
  <c r="AB381" i="63" s="1"/>
  <c r="V380" i="63"/>
  <c r="AB380" i="63" s="1"/>
  <c r="X379" i="63"/>
  <c r="W379" i="63"/>
  <c r="AC379" i="63" s="1"/>
  <c r="X378" i="63"/>
  <c r="W378" i="63"/>
  <c r="AC378" i="63" s="1"/>
  <c r="X377" i="63"/>
  <c r="W377" i="63"/>
  <c r="AC377" i="63" s="1"/>
  <c r="X376" i="63"/>
  <c r="W376" i="63"/>
  <c r="AC376" i="63" s="1"/>
  <c r="X375" i="63"/>
  <c r="W375" i="63"/>
  <c r="AC375" i="63" s="1"/>
  <c r="X374" i="63"/>
  <c r="W374" i="63"/>
  <c r="X373" i="63"/>
  <c r="W373" i="63"/>
  <c r="AC373" i="63" s="1"/>
  <c r="X372" i="63"/>
  <c r="W372" i="63"/>
  <c r="AC372" i="63" s="1"/>
  <c r="X371" i="63"/>
  <c r="W371" i="63"/>
  <c r="AC371" i="63" s="1"/>
  <c r="X370" i="63"/>
  <c r="W370" i="63"/>
  <c r="AC370" i="63" s="1"/>
  <c r="X369" i="63"/>
  <c r="W369" i="63"/>
  <c r="AC369" i="63" s="1"/>
  <c r="X368" i="63"/>
  <c r="W368" i="63"/>
  <c r="AC368" i="63" s="1"/>
  <c r="X367" i="63"/>
  <c r="W367" i="63"/>
  <c r="AC367" i="63" s="1"/>
  <c r="V366" i="63"/>
  <c r="V365" i="63"/>
  <c r="V364" i="63"/>
  <c r="V363" i="63"/>
  <c r="AB363" i="63" s="1"/>
  <c r="V362" i="63"/>
  <c r="V361" i="63"/>
  <c r="V360" i="63"/>
  <c r="V359" i="63"/>
  <c r="AB359" i="63" s="1"/>
  <c r="V358" i="63"/>
  <c r="V357" i="63"/>
  <c r="V356" i="63"/>
  <c r="V355" i="63"/>
  <c r="AB355" i="63" s="1"/>
  <c r="V354" i="63"/>
  <c r="V353" i="63"/>
  <c r="V352" i="63"/>
  <c r="V351" i="63"/>
  <c r="AB351" i="63" s="1"/>
  <c r="V350" i="63"/>
  <c r="V349" i="63"/>
  <c r="V348" i="63"/>
  <c r="V347" i="63"/>
  <c r="AB347" i="63" s="1"/>
  <c r="V346" i="63"/>
  <c r="V345" i="63"/>
  <c r="V344" i="63"/>
  <c r="V343" i="63"/>
  <c r="AB343" i="63" s="1"/>
  <c r="V342" i="63"/>
  <c r="V341" i="63"/>
  <c r="V340" i="63"/>
  <c r="V339" i="63"/>
  <c r="AB339" i="63" s="1"/>
  <c r="V338" i="63"/>
  <c r="V337" i="63"/>
  <c r="V336" i="63"/>
  <c r="V335" i="63"/>
  <c r="AB335" i="63" s="1"/>
  <c r="V334" i="63"/>
  <c r="V333" i="63"/>
  <c r="V332" i="63"/>
  <c r="V331" i="63"/>
  <c r="AB331" i="63" s="1"/>
  <c r="V330" i="63"/>
  <c r="V329" i="63"/>
  <c r="V328" i="63"/>
  <c r="V327" i="63"/>
  <c r="AB327" i="63" s="1"/>
  <c r="V326" i="63"/>
  <c r="V325" i="63"/>
  <c r="X324" i="63"/>
  <c r="W324" i="63"/>
  <c r="AC324" i="63" s="1"/>
  <c r="X323" i="63"/>
  <c r="W323" i="63"/>
  <c r="AC323" i="63" s="1"/>
  <c r="X322" i="63"/>
  <c r="W322" i="63"/>
  <c r="AC322" i="63" s="1"/>
  <c r="X321" i="63"/>
  <c r="W321" i="63"/>
  <c r="AC321" i="63" s="1"/>
  <c r="X320" i="63"/>
  <c r="W320" i="63"/>
  <c r="AC320" i="63" s="1"/>
  <c r="X319" i="63"/>
  <c r="W319" i="63"/>
  <c r="AC319" i="63" s="1"/>
  <c r="X318" i="63"/>
  <c r="W318" i="63"/>
  <c r="AC318" i="63" s="1"/>
  <c r="X317" i="63"/>
  <c r="W317" i="63"/>
  <c r="AC317" i="63" s="1"/>
  <c r="X316" i="63"/>
  <c r="W316" i="63"/>
  <c r="AC316" i="63" s="1"/>
  <c r="X315" i="63"/>
  <c r="W315" i="63"/>
  <c r="AC315" i="63" s="1"/>
  <c r="X314" i="63"/>
  <c r="W314" i="63"/>
  <c r="AC314" i="63" s="1"/>
  <c r="X313" i="63"/>
  <c r="W313" i="63"/>
  <c r="AC313" i="63" s="1"/>
  <c r="X312" i="63"/>
  <c r="W312" i="63"/>
  <c r="AC312" i="63" s="1"/>
  <c r="X311" i="63"/>
  <c r="W311" i="63"/>
  <c r="AC311" i="63" s="1"/>
  <c r="X310" i="63"/>
  <c r="W310" i="63"/>
  <c r="AC310" i="63" s="1"/>
  <c r="X309" i="63"/>
  <c r="W309" i="63"/>
  <c r="AC309" i="63" s="1"/>
  <c r="X308" i="63"/>
  <c r="W308" i="63"/>
  <c r="AC308" i="63" s="1"/>
  <c r="X307" i="63"/>
  <c r="W307" i="63"/>
  <c r="AC307" i="63" s="1"/>
  <c r="X306" i="63"/>
  <c r="W306" i="63"/>
  <c r="AC306" i="63" s="1"/>
  <c r="X305" i="63"/>
  <c r="W305" i="63"/>
  <c r="AC305" i="63" s="1"/>
  <c r="X304" i="63"/>
  <c r="W304" i="63"/>
  <c r="AC304" i="63" s="1"/>
  <c r="X303" i="63"/>
  <c r="W303" i="63"/>
  <c r="AC303" i="63" s="1"/>
  <c r="X302" i="63"/>
  <c r="W302" i="63"/>
  <c r="AC302" i="63" s="1"/>
  <c r="X301" i="63"/>
  <c r="W301" i="63"/>
  <c r="AC301" i="63" s="1"/>
  <c r="X300" i="63"/>
  <c r="W300" i="63"/>
  <c r="AC300" i="63" s="1"/>
  <c r="X299" i="63"/>
  <c r="W299" i="63"/>
  <c r="AC299" i="63" s="1"/>
  <c r="X298" i="63"/>
  <c r="W298" i="63"/>
  <c r="AC298" i="63" s="1"/>
  <c r="X297" i="63"/>
  <c r="W297" i="63"/>
  <c r="AC297" i="63" s="1"/>
  <c r="X296" i="63"/>
  <c r="W296" i="63"/>
  <c r="AC296" i="63" s="1"/>
  <c r="X295" i="63"/>
  <c r="W295" i="63"/>
  <c r="AC295" i="63" s="1"/>
  <c r="V294" i="63"/>
  <c r="AB294" i="63" s="1"/>
  <c r="V293" i="63"/>
  <c r="AB293" i="63" s="1"/>
  <c r="V292" i="63"/>
  <c r="AB292" i="63" s="1"/>
  <c r="V291" i="63"/>
  <c r="AB291" i="63" s="1"/>
  <c r="V290" i="63"/>
  <c r="AB290" i="63" s="1"/>
  <c r="V289" i="63"/>
  <c r="AB289" i="63" s="1"/>
  <c r="V288" i="63"/>
  <c r="AB288" i="63" s="1"/>
  <c r="V287" i="63"/>
  <c r="AB287" i="63" s="1"/>
  <c r="V286" i="63"/>
  <c r="AB286" i="63" s="1"/>
  <c r="V285" i="63"/>
  <c r="AB285" i="63" s="1"/>
  <c r="V284" i="63"/>
  <c r="AB284" i="63" s="1"/>
  <c r="V283" i="63"/>
  <c r="AB283" i="63" s="1"/>
  <c r="V282" i="63"/>
  <c r="AB282" i="63" s="1"/>
  <c r="V281" i="63"/>
  <c r="AB281" i="63" s="1"/>
  <c r="V280" i="63"/>
  <c r="AB280" i="63" s="1"/>
  <c r="V279" i="63"/>
  <c r="AB279" i="63" s="1"/>
  <c r="V278" i="63"/>
  <c r="AB278" i="63" s="1"/>
  <c r="V277" i="63"/>
  <c r="AB277" i="63" s="1"/>
  <c r="V276" i="63"/>
  <c r="AB276" i="63" s="1"/>
  <c r="V275" i="63"/>
  <c r="AB275" i="63" s="1"/>
  <c r="V274" i="63"/>
  <c r="AB274" i="63" s="1"/>
  <c r="V273" i="63"/>
  <c r="AB273" i="63" s="1"/>
  <c r="V272" i="63"/>
  <c r="AB272" i="63" s="1"/>
  <c r="V271" i="63"/>
  <c r="AB271" i="63" s="1"/>
  <c r="V270" i="63"/>
  <c r="AB270" i="63" s="1"/>
  <c r="V269" i="63"/>
  <c r="AB269" i="63" s="1"/>
  <c r="V268" i="63"/>
  <c r="AB268" i="63" s="1"/>
  <c r="V267" i="63"/>
  <c r="AB267" i="63" s="1"/>
  <c r="V266" i="63"/>
  <c r="AB266" i="63" s="1"/>
  <c r="V265" i="63"/>
  <c r="AB265" i="63" s="1"/>
  <c r="X264" i="63"/>
  <c r="W264" i="63"/>
  <c r="AC264" i="63" s="1"/>
  <c r="X263" i="63"/>
  <c r="W263" i="63"/>
  <c r="AC263" i="63" s="1"/>
  <c r="X262" i="63"/>
  <c r="W262" i="63"/>
  <c r="X261" i="63"/>
  <c r="W261" i="63"/>
  <c r="AC261" i="63" s="1"/>
  <c r="X260" i="63"/>
  <c r="W260" i="63"/>
  <c r="AC260" i="63" s="1"/>
  <c r="X259" i="63"/>
  <c r="W259" i="63"/>
  <c r="AC259" i="63" s="1"/>
  <c r="X258" i="63"/>
  <c r="W258" i="63"/>
  <c r="X257" i="63"/>
  <c r="W257" i="63"/>
  <c r="AC257" i="63" s="1"/>
  <c r="X256" i="63"/>
  <c r="W256" i="63"/>
  <c r="AC256" i="63" s="1"/>
  <c r="X255" i="63"/>
  <c r="W255" i="63"/>
  <c r="AC255" i="63" s="1"/>
  <c r="X254" i="63"/>
  <c r="W254" i="63"/>
  <c r="AC254" i="63" s="1"/>
  <c r="X253" i="63"/>
  <c r="W253" i="63"/>
  <c r="AC253" i="63" s="1"/>
  <c r="X252" i="63"/>
  <c r="W252" i="63"/>
  <c r="AC252" i="63" s="1"/>
  <c r="X251" i="63"/>
  <c r="W251" i="63"/>
  <c r="AC251" i="63" s="1"/>
  <c r="X250" i="63"/>
  <c r="W250" i="63"/>
  <c r="AC250" i="63" s="1"/>
  <c r="X249" i="63"/>
  <c r="W249" i="63"/>
  <c r="AC249" i="63" s="1"/>
  <c r="X248" i="63"/>
  <c r="W248" i="63"/>
  <c r="X247" i="63"/>
  <c r="W247" i="63"/>
  <c r="AC247" i="63" s="1"/>
  <c r="X246" i="63"/>
  <c r="W246" i="63"/>
  <c r="AC246" i="63" s="1"/>
  <c r="X245" i="63"/>
  <c r="W245" i="63"/>
  <c r="AC245" i="63" s="1"/>
  <c r="X244" i="63"/>
  <c r="W244" i="63"/>
  <c r="AC244" i="63" s="1"/>
  <c r="X243" i="63"/>
  <c r="W243" i="63"/>
  <c r="AC243" i="63" s="1"/>
  <c r="X242" i="63"/>
  <c r="W242" i="63"/>
  <c r="AC242" i="63" s="1"/>
  <c r="X241" i="63"/>
  <c r="W241" i="63"/>
  <c r="AC241" i="63" s="1"/>
  <c r="X240" i="63"/>
  <c r="W240" i="63"/>
  <c r="X239" i="63"/>
  <c r="W239" i="63"/>
  <c r="AC239" i="63" s="1"/>
  <c r="X238" i="63"/>
  <c r="W238" i="63"/>
  <c r="AC238" i="63" s="1"/>
  <c r="X237" i="63"/>
  <c r="W237" i="63"/>
  <c r="AC237" i="63" s="1"/>
  <c r="X236" i="63"/>
  <c r="W236" i="63"/>
  <c r="AC236" i="63" s="1"/>
  <c r="X235" i="63"/>
  <c r="W235" i="63"/>
  <c r="AC235" i="63" s="1"/>
  <c r="V235" i="63"/>
  <c r="AB235" i="63" s="1"/>
  <c r="X234" i="63"/>
  <c r="W234" i="63"/>
  <c r="V234" i="63"/>
  <c r="AB234" i="63" s="1"/>
  <c r="X233" i="63"/>
  <c r="W233" i="63"/>
  <c r="AC233" i="63" s="1"/>
  <c r="V233" i="63"/>
  <c r="AB233" i="63" s="1"/>
  <c r="X232" i="63"/>
  <c r="W232" i="63"/>
  <c r="V232" i="63"/>
  <c r="AB232" i="63" s="1"/>
  <c r="X231" i="63"/>
  <c r="W231" i="63"/>
  <c r="AC231" i="63" s="1"/>
  <c r="V231" i="63"/>
  <c r="AB231" i="63" s="1"/>
  <c r="X230" i="63"/>
  <c r="W230" i="63"/>
  <c r="V230" i="63"/>
  <c r="AB230" i="63" s="1"/>
  <c r="X229" i="63"/>
  <c r="W229" i="63"/>
  <c r="AC229" i="63" s="1"/>
  <c r="V229" i="63"/>
  <c r="AB229" i="63" s="1"/>
  <c r="X228" i="63"/>
  <c r="W228" i="63"/>
  <c r="V228" i="63"/>
  <c r="AB228" i="63" s="1"/>
  <c r="X227" i="63"/>
  <c r="W227" i="63"/>
  <c r="AC227" i="63" s="1"/>
  <c r="V227" i="63"/>
  <c r="AB227" i="63" s="1"/>
  <c r="X226" i="63"/>
  <c r="W226" i="63"/>
  <c r="V226" i="63"/>
  <c r="AB226" i="63" s="1"/>
  <c r="X225" i="63"/>
  <c r="W225" i="63"/>
  <c r="AC225" i="63" s="1"/>
  <c r="V225" i="63"/>
  <c r="AB225" i="63" s="1"/>
  <c r="X224" i="63"/>
  <c r="W224" i="63"/>
  <c r="V224" i="63"/>
  <c r="AB224" i="63" s="1"/>
  <c r="X223" i="63"/>
  <c r="W223" i="63"/>
  <c r="AC223" i="63" s="1"/>
  <c r="V223" i="63"/>
  <c r="AB223" i="63" s="1"/>
  <c r="X222" i="63"/>
  <c r="W222" i="63"/>
  <c r="V222" i="63"/>
  <c r="AB222" i="63" s="1"/>
  <c r="X221" i="63"/>
  <c r="W221" i="63"/>
  <c r="AC221" i="63" s="1"/>
  <c r="V221" i="63"/>
  <c r="AB221" i="63" s="1"/>
  <c r="X220" i="63"/>
  <c r="W220" i="63"/>
  <c r="V220" i="63"/>
  <c r="AB220" i="63" s="1"/>
  <c r="X219" i="63"/>
  <c r="W219" i="63"/>
  <c r="AC219" i="63" s="1"/>
  <c r="V219" i="63"/>
  <c r="AB219" i="63" s="1"/>
  <c r="X218" i="63"/>
  <c r="W218" i="63"/>
  <c r="V218" i="63"/>
  <c r="AB218" i="63" s="1"/>
  <c r="X217" i="63"/>
  <c r="W217" i="63"/>
  <c r="AC217" i="63" s="1"/>
  <c r="V217" i="63"/>
  <c r="AB217" i="63" s="1"/>
  <c r="X216" i="63"/>
  <c r="W216" i="63"/>
  <c r="V216" i="63"/>
  <c r="AB216" i="63" s="1"/>
  <c r="X215" i="63"/>
  <c r="W215" i="63"/>
  <c r="AC215" i="63" s="1"/>
  <c r="V215" i="63"/>
  <c r="AB215" i="63" s="1"/>
  <c r="X214" i="63"/>
  <c r="W214" i="63"/>
  <c r="V214" i="63"/>
  <c r="AB214" i="63" s="1"/>
  <c r="X213" i="63"/>
  <c r="W213" i="63"/>
  <c r="AC213" i="63" s="1"/>
  <c r="V213" i="63"/>
  <c r="AB213" i="63" s="1"/>
  <c r="X212" i="63"/>
  <c r="W212" i="63"/>
  <c r="V212" i="63"/>
  <c r="AB212" i="63" s="1"/>
  <c r="X211" i="63"/>
  <c r="W211" i="63"/>
  <c r="AC211" i="63" s="1"/>
  <c r="V211" i="63"/>
  <c r="AB211" i="63" s="1"/>
  <c r="X210" i="63"/>
  <c r="W210" i="63"/>
  <c r="V210" i="63"/>
  <c r="AB210" i="63" s="1"/>
  <c r="V209" i="63"/>
  <c r="AB209" i="63" s="1"/>
  <c r="V208" i="63"/>
  <c r="AB208" i="63" s="1"/>
  <c r="V207" i="63"/>
  <c r="AB207" i="63" s="1"/>
  <c r="V206" i="63"/>
  <c r="AB206" i="63" s="1"/>
  <c r="V205" i="63"/>
  <c r="AB205" i="63" s="1"/>
  <c r="V204" i="63"/>
  <c r="AB204" i="63" s="1"/>
  <c r="V203" i="63"/>
  <c r="AB203" i="63" s="1"/>
  <c r="V202" i="63"/>
  <c r="AB202" i="63" s="1"/>
  <c r="V201" i="63"/>
  <c r="AB201" i="63" s="1"/>
  <c r="V200" i="63"/>
  <c r="AB200" i="63" s="1"/>
  <c r="V199" i="63"/>
  <c r="AB199" i="63" s="1"/>
  <c r="V198" i="63"/>
  <c r="AB198" i="63" s="1"/>
  <c r="V197" i="63"/>
  <c r="AB197" i="63" s="1"/>
  <c r="V196" i="63"/>
  <c r="AB196" i="63" s="1"/>
  <c r="V195" i="63"/>
  <c r="AB195" i="63" s="1"/>
  <c r="V194" i="63"/>
  <c r="AB194" i="63" s="1"/>
  <c r="V193" i="63"/>
  <c r="AB193" i="63" s="1"/>
  <c r="V192" i="63"/>
  <c r="AB192" i="63" s="1"/>
  <c r="V191" i="63"/>
  <c r="AB191" i="63" s="1"/>
  <c r="V190" i="63"/>
  <c r="AB190" i="63" s="1"/>
  <c r="V189" i="63"/>
  <c r="AB189" i="63" s="1"/>
  <c r="V188" i="63"/>
  <c r="AB188" i="63" s="1"/>
  <c r="V187" i="63"/>
  <c r="AB187" i="63" s="1"/>
  <c r="V186" i="63"/>
  <c r="AB186" i="63" s="1"/>
  <c r="V185" i="63"/>
  <c r="AB185" i="63" s="1"/>
  <c r="V184" i="63"/>
  <c r="AB184" i="63" s="1"/>
  <c r="V183" i="63"/>
  <c r="AB183" i="63" s="1"/>
  <c r="V182" i="63"/>
  <c r="AB182" i="63" s="1"/>
  <c r="V181" i="63"/>
  <c r="AB181" i="63" s="1"/>
  <c r="V180" i="63"/>
  <c r="AB180" i="63" s="1"/>
  <c r="V179" i="63"/>
  <c r="AB179" i="63" s="1"/>
  <c r="V178" i="63"/>
  <c r="AB178" i="63" s="1"/>
  <c r="V177" i="63"/>
  <c r="AB177" i="63" s="1"/>
  <c r="V176" i="63"/>
  <c r="AB176" i="63" s="1"/>
  <c r="V175" i="63"/>
  <c r="AB175" i="63" s="1"/>
  <c r="V174" i="63"/>
  <c r="AB174" i="63" s="1"/>
  <c r="V173" i="63"/>
  <c r="AB173" i="63" s="1"/>
  <c r="V172" i="63"/>
  <c r="AB172" i="63" s="1"/>
  <c r="V171" i="63"/>
  <c r="AB171" i="63" s="1"/>
  <c r="V170" i="63"/>
  <c r="AB170" i="63" s="1"/>
  <c r="V169" i="63"/>
  <c r="AB169" i="63" s="1"/>
  <c r="V168" i="63"/>
  <c r="AB168" i="63" s="1"/>
  <c r="V167" i="63"/>
  <c r="AB167" i="63" s="1"/>
  <c r="V166" i="63"/>
  <c r="AB166" i="63" s="1"/>
  <c r="V165" i="63"/>
  <c r="AB165" i="63" s="1"/>
  <c r="V164" i="63"/>
  <c r="AB164" i="63" s="1"/>
  <c r="V163" i="63"/>
  <c r="AB163" i="63" s="1"/>
  <c r="V162" i="63"/>
  <c r="AB162" i="63" s="1"/>
  <c r="V161" i="63"/>
  <c r="AB161" i="63" s="1"/>
  <c r="V160" i="63"/>
  <c r="AB160" i="63" s="1"/>
  <c r="V159" i="63"/>
  <c r="AB159" i="63" s="1"/>
  <c r="V158" i="63"/>
  <c r="AB158" i="63" s="1"/>
  <c r="X157" i="63"/>
  <c r="W157" i="63"/>
  <c r="V157" i="63"/>
  <c r="AB157" i="63" s="1"/>
  <c r="X156" i="63"/>
  <c r="W156" i="63"/>
  <c r="V156" i="63"/>
  <c r="AB156" i="63" s="1"/>
  <c r="X155" i="63"/>
  <c r="W155" i="63"/>
  <c r="V155" i="63"/>
  <c r="AB155" i="63" s="1"/>
  <c r="X154" i="63"/>
  <c r="W154" i="63"/>
  <c r="V154" i="63"/>
  <c r="AB154" i="63" s="1"/>
  <c r="X153" i="63"/>
  <c r="W153" i="63"/>
  <c r="V153" i="63"/>
  <c r="AB153" i="63" s="1"/>
  <c r="X152" i="63"/>
  <c r="W152" i="63"/>
  <c r="V152" i="63"/>
  <c r="AB152" i="63" s="1"/>
  <c r="X151" i="63"/>
  <c r="W151" i="63"/>
  <c r="V151" i="63"/>
  <c r="AB151" i="63" s="1"/>
  <c r="X150" i="63"/>
  <c r="W150" i="63"/>
  <c r="V150" i="63"/>
  <c r="AB150" i="63" s="1"/>
  <c r="X149" i="63"/>
  <c r="W149" i="63"/>
  <c r="V149" i="63"/>
  <c r="AB149" i="63" s="1"/>
  <c r="X148" i="63"/>
  <c r="W148" i="63"/>
  <c r="V148" i="63"/>
  <c r="AB148" i="63" s="1"/>
  <c r="X147" i="63"/>
  <c r="W147" i="63"/>
  <c r="V147" i="63"/>
  <c r="AB147" i="63" s="1"/>
  <c r="X146" i="63"/>
  <c r="W146" i="63"/>
  <c r="V146" i="63"/>
  <c r="AB146" i="63" s="1"/>
  <c r="X145" i="63"/>
  <c r="W145" i="63"/>
  <c r="V145" i="63"/>
  <c r="AB145" i="63" s="1"/>
  <c r="X144" i="63"/>
  <c r="W144" i="63"/>
  <c r="V144" i="63"/>
  <c r="AB144" i="63" s="1"/>
  <c r="X143" i="63"/>
  <c r="W143" i="63"/>
  <c r="V143" i="63"/>
  <c r="AB143" i="63" s="1"/>
  <c r="X142" i="63"/>
  <c r="W142" i="63"/>
  <c r="V142" i="63"/>
  <c r="AB142" i="63" s="1"/>
  <c r="X141" i="63"/>
  <c r="W141" i="63"/>
  <c r="V141" i="63"/>
  <c r="AB141" i="63" s="1"/>
  <c r="X140" i="63"/>
  <c r="W140" i="63"/>
  <c r="V140" i="63"/>
  <c r="AB140" i="63" s="1"/>
  <c r="X139" i="63"/>
  <c r="W139" i="63"/>
  <c r="V139" i="63"/>
  <c r="AB139" i="63" s="1"/>
  <c r="X138" i="63"/>
  <c r="W138" i="63"/>
  <c r="V138" i="63"/>
  <c r="AB138" i="63" s="1"/>
  <c r="X137" i="63"/>
  <c r="W137" i="63"/>
  <c r="V137" i="63"/>
  <c r="AB137" i="63" s="1"/>
  <c r="X136" i="63"/>
  <c r="W136" i="63"/>
  <c r="V136" i="63"/>
  <c r="AB136" i="63" s="1"/>
  <c r="X135" i="63"/>
  <c r="W135" i="63"/>
  <c r="V135" i="63"/>
  <c r="AB135" i="63" s="1"/>
  <c r="X134" i="63"/>
  <c r="W134" i="63"/>
  <c r="V134" i="63"/>
  <c r="AB134" i="63" s="1"/>
  <c r="X133" i="63"/>
  <c r="W133" i="63"/>
  <c r="V133" i="63"/>
  <c r="AB133" i="63" s="1"/>
  <c r="X132" i="63"/>
  <c r="W132" i="63"/>
  <c r="V132" i="63"/>
  <c r="AB132" i="63" s="1"/>
  <c r="X131" i="63"/>
  <c r="W131" i="63"/>
  <c r="V131" i="63"/>
  <c r="AB131" i="63" s="1"/>
  <c r="X130" i="63"/>
  <c r="W130" i="63"/>
  <c r="V130" i="63"/>
  <c r="AB130" i="63" s="1"/>
  <c r="X129" i="63"/>
  <c r="W129" i="63"/>
  <c r="V129" i="63"/>
  <c r="AB129" i="63" s="1"/>
  <c r="X128" i="63"/>
  <c r="W128" i="63"/>
  <c r="V128" i="63"/>
  <c r="AB128" i="63" s="1"/>
  <c r="X127" i="63"/>
  <c r="W127" i="63"/>
  <c r="V127" i="63"/>
  <c r="AB127" i="63" s="1"/>
  <c r="X126" i="63"/>
  <c r="W126" i="63"/>
  <c r="V126" i="63"/>
  <c r="AB126" i="63" s="1"/>
  <c r="X125" i="63"/>
  <c r="W125" i="63"/>
  <c r="V125" i="63"/>
  <c r="AB125" i="63" s="1"/>
  <c r="X124" i="63"/>
  <c r="W124" i="63"/>
  <c r="V124" i="63"/>
  <c r="AB124" i="63" s="1"/>
  <c r="X123" i="63"/>
  <c r="W123" i="63"/>
  <c r="V123" i="63"/>
  <c r="AB123" i="63" s="1"/>
  <c r="X122" i="63"/>
  <c r="W122" i="63"/>
  <c r="V122" i="63"/>
  <c r="AB122" i="63" s="1"/>
  <c r="X121" i="63"/>
  <c r="W121" i="63"/>
  <c r="V121" i="63"/>
  <c r="AB121" i="63" s="1"/>
  <c r="X120" i="63"/>
  <c r="W120" i="63"/>
  <c r="V120" i="63"/>
  <c r="AB120" i="63" s="1"/>
  <c r="X119" i="63"/>
  <c r="W119" i="63"/>
  <c r="V119" i="63"/>
  <c r="AB119" i="63" s="1"/>
  <c r="X118" i="63"/>
  <c r="W118" i="63"/>
  <c r="V118" i="63"/>
  <c r="AB118" i="63" s="1"/>
  <c r="X117" i="63"/>
  <c r="W117" i="63"/>
  <c r="V117" i="63"/>
  <c r="AB117" i="63" s="1"/>
  <c r="X116" i="63"/>
  <c r="W116" i="63"/>
  <c r="V116" i="63"/>
  <c r="AB116" i="63" s="1"/>
  <c r="X115" i="63"/>
  <c r="W115" i="63"/>
  <c r="AC115" i="63" s="1"/>
  <c r="V115" i="63"/>
  <c r="AB115" i="63" s="1"/>
  <c r="X114" i="63"/>
  <c r="W114" i="63"/>
  <c r="V114" i="63"/>
  <c r="AB114" i="63" s="1"/>
  <c r="X113" i="63"/>
  <c r="W113" i="63"/>
  <c r="V113" i="63"/>
  <c r="AB113" i="63" s="1"/>
  <c r="X112" i="63"/>
  <c r="W112" i="63"/>
  <c r="V112" i="63"/>
  <c r="AB112" i="63" s="1"/>
  <c r="X111" i="63"/>
  <c r="W111" i="63"/>
  <c r="AC111" i="63" s="1"/>
  <c r="V111" i="63"/>
  <c r="AB111" i="63" s="1"/>
  <c r="X110" i="63"/>
  <c r="W110" i="63"/>
  <c r="V110" i="63"/>
  <c r="AB110" i="63" s="1"/>
  <c r="X109" i="63"/>
  <c r="W109" i="63"/>
  <c r="V109" i="63"/>
  <c r="AB109" i="63" s="1"/>
  <c r="X108" i="63"/>
  <c r="W108" i="63"/>
  <c r="V108" i="63"/>
  <c r="AB108" i="63" s="1"/>
  <c r="X107" i="63"/>
  <c r="W107" i="63"/>
  <c r="AC107" i="63" s="1"/>
  <c r="V107" i="63"/>
  <c r="AB107" i="63" s="1"/>
  <c r="X106" i="63"/>
  <c r="W106" i="63"/>
  <c r="V106" i="63"/>
  <c r="AB106" i="63" s="1"/>
  <c r="X105" i="63"/>
  <c r="W105" i="63"/>
  <c r="V105" i="63"/>
  <c r="AB105" i="63" s="1"/>
  <c r="X104" i="63"/>
  <c r="W104" i="63"/>
  <c r="V104" i="63"/>
  <c r="AB104" i="63" s="1"/>
  <c r="X103" i="63"/>
  <c r="W103" i="63"/>
  <c r="AC103" i="63" s="1"/>
  <c r="V103" i="63"/>
  <c r="AB103" i="63" s="1"/>
  <c r="X102" i="63"/>
  <c r="W102" i="63"/>
  <c r="V102" i="63"/>
  <c r="AB102" i="63" s="1"/>
  <c r="X101" i="63"/>
  <c r="W101" i="63"/>
  <c r="V101" i="63"/>
  <c r="AB101" i="63" s="1"/>
  <c r="X100" i="63"/>
  <c r="W100" i="63"/>
  <c r="V100" i="63"/>
  <c r="AB100" i="63" s="1"/>
  <c r="X99" i="63"/>
  <c r="W99" i="63"/>
  <c r="AC99" i="63" s="1"/>
  <c r="V99" i="63"/>
  <c r="AB99" i="63" s="1"/>
  <c r="X98" i="63"/>
  <c r="W98" i="63"/>
  <c r="V98" i="63"/>
  <c r="AB98" i="63" s="1"/>
  <c r="X97" i="63"/>
  <c r="W97" i="63"/>
  <c r="V97" i="63"/>
  <c r="AB97" i="63" s="1"/>
  <c r="X96" i="63"/>
  <c r="W96" i="63"/>
  <c r="V96" i="63"/>
  <c r="AB96" i="63" s="1"/>
  <c r="X95" i="63"/>
  <c r="W95" i="63"/>
  <c r="AC95" i="63" s="1"/>
  <c r="V95" i="63"/>
  <c r="AB95" i="63" s="1"/>
  <c r="X94" i="63"/>
  <c r="W94" i="63"/>
  <c r="V94" i="63"/>
  <c r="AB94" i="63" s="1"/>
  <c r="X93" i="63"/>
  <c r="W93" i="63"/>
  <c r="V93" i="63"/>
  <c r="AB93" i="63" s="1"/>
  <c r="X92" i="63"/>
  <c r="W92" i="63"/>
  <c r="V92" i="63"/>
  <c r="AB92" i="63" s="1"/>
  <c r="X91" i="63"/>
  <c r="W91" i="63"/>
  <c r="AC91" i="63" s="1"/>
  <c r="V91" i="63"/>
  <c r="AB91" i="63" s="1"/>
  <c r="X90" i="63"/>
  <c r="W90" i="63"/>
  <c r="V90" i="63"/>
  <c r="AB90" i="63" s="1"/>
  <c r="X89" i="63"/>
  <c r="W89" i="63"/>
  <c r="V89" i="63"/>
  <c r="AB89" i="63" s="1"/>
  <c r="X88" i="63"/>
  <c r="W88" i="63"/>
  <c r="V88" i="63"/>
  <c r="AB88" i="63" s="1"/>
  <c r="X87" i="63"/>
  <c r="W87" i="63"/>
  <c r="AC87" i="63" s="1"/>
  <c r="V87" i="63"/>
  <c r="AB87" i="63" s="1"/>
  <c r="X86" i="63"/>
  <c r="W86" i="63"/>
  <c r="V86" i="63"/>
  <c r="AB86" i="63" s="1"/>
  <c r="X85" i="63"/>
  <c r="W85" i="63"/>
  <c r="V85" i="63"/>
  <c r="AB85" i="63" s="1"/>
  <c r="X84" i="63"/>
  <c r="W84" i="63"/>
  <c r="V84" i="63"/>
  <c r="AB84" i="63" s="1"/>
  <c r="X83" i="63"/>
  <c r="W83" i="63"/>
  <c r="AC83" i="63" s="1"/>
  <c r="V83" i="63"/>
  <c r="AB83" i="63" s="1"/>
  <c r="X82" i="63"/>
  <c r="W82" i="63"/>
  <c r="V82" i="63"/>
  <c r="AB82" i="63" s="1"/>
  <c r="X81" i="63"/>
  <c r="W81" i="63"/>
  <c r="V81" i="63"/>
  <c r="AB81" i="63" s="1"/>
  <c r="X80" i="63"/>
  <c r="W80" i="63"/>
  <c r="V80" i="63"/>
  <c r="AB80" i="63" s="1"/>
  <c r="X79" i="63"/>
  <c r="W79" i="63"/>
  <c r="AC79" i="63" s="1"/>
  <c r="V79" i="63"/>
  <c r="AB79" i="63" s="1"/>
  <c r="X78" i="63"/>
  <c r="W78" i="63"/>
  <c r="V78" i="63"/>
  <c r="AB78" i="63" s="1"/>
  <c r="X77" i="63"/>
  <c r="W77" i="63"/>
  <c r="V77" i="63"/>
  <c r="AB77" i="63" s="1"/>
  <c r="X76" i="63"/>
  <c r="W76" i="63"/>
  <c r="V76" i="63"/>
  <c r="AB76" i="63" s="1"/>
  <c r="X75" i="63"/>
  <c r="W75" i="63"/>
  <c r="AC75" i="63" s="1"/>
  <c r="V75" i="63"/>
  <c r="AB75" i="63" s="1"/>
  <c r="X74" i="63"/>
  <c r="W74" i="63"/>
  <c r="V74" i="63"/>
  <c r="AB74" i="63" s="1"/>
  <c r="X73" i="63"/>
  <c r="W73" i="63"/>
  <c r="V73" i="63"/>
  <c r="AB73" i="63" s="1"/>
  <c r="X72" i="63"/>
  <c r="W72" i="63"/>
  <c r="V72" i="63"/>
  <c r="AB72" i="63" s="1"/>
  <c r="X71" i="63"/>
  <c r="W71" i="63"/>
  <c r="AC71" i="63" s="1"/>
  <c r="V71" i="63"/>
  <c r="AB71" i="63" s="1"/>
  <c r="X70" i="63"/>
  <c r="W70" i="63"/>
  <c r="V70" i="63"/>
  <c r="AB70" i="63" s="1"/>
  <c r="X69" i="63"/>
  <c r="W69" i="63"/>
  <c r="V69" i="63"/>
  <c r="AB69" i="63" s="1"/>
  <c r="X68" i="63"/>
  <c r="W68" i="63"/>
  <c r="V68" i="63"/>
  <c r="AB68" i="63" s="1"/>
  <c r="X67" i="63"/>
  <c r="W67" i="63"/>
  <c r="AC67" i="63" s="1"/>
  <c r="V67" i="63"/>
  <c r="AB67" i="63" s="1"/>
  <c r="X66" i="63"/>
  <c r="W66" i="63"/>
  <c r="V66" i="63"/>
  <c r="AB66" i="63" s="1"/>
  <c r="X65" i="63"/>
  <c r="W65" i="63"/>
  <c r="V65" i="63"/>
  <c r="AB65" i="63" s="1"/>
  <c r="X64" i="63"/>
  <c r="W64" i="63"/>
  <c r="V64" i="63"/>
  <c r="AB64" i="63" s="1"/>
  <c r="X63" i="63"/>
  <c r="W63" i="63"/>
  <c r="AC63" i="63" s="1"/>
  <c r="V63" i="63"/>
  <c r="AB63" i="63" s="1"/>
  <c r="X62" i="63"/>
  <c r="W62" i="63"/>
  <c r="V62" i="63"/>
  <c r="AB62" i="63" s="1"/>
  <c r="X61" i="63"/>
  <c r="W61" i="63"/>
  <c r="V61" i="63"/>
  <c r="AB61" i="63" s="1"/>
  <c r="X60" i="63"/>
  <c r="W60" i="63"/>
  <c r="V60" i="63"/>
  <c r="AB60" i="63" s="1"/>
  <c r="X59" i="63"/>
  <c r="W59" i="63"/>
  <c r="AC59" i="63" s="1"/>
  <c r="V59" i="63"/>
  <c r="AB59" i="63" s="1"/>
  <c r="X58" i="63"/>
  <c r="W58" i="63"/>
  <c r="V58" i="63"/>
  <c r="AB58" i="63" s="1"/>
  <c r="X57" i="63"/>
  <c r="W57" i="63"/>
  <c r="V57" i="63"/>
  <c r="AB57" i="63" s="1"/>
  <c r="X56" i="63"/>
  <c r="W56" i="63"/>
  <c r="V56" i="63"/>
  <c r="AB56" i="63" s="1"/>
  <c r="X55" i="63"/>
  <c r="W55" i="63"/>
  <c r="AC55" i="63" s="1"/>
  <c r="V55" i="63"/>
  <c r="AB55" i="63" s="1"/>
  <c r="X54" i="63"/>
  <c r="W54" i="63"/>
  <c r="V54" i="63"/>
  <c r="AB54" i="63" s="1"/>
  <c r="X53" i="63"/>
  <c r="W53" i="63"/>
  <c r="V53" i="63"/>
  <c r="AB53" i="63" s="1"/>
  <c r="X52" i="63"/>
  <c r="W52" i="63"/>
  <c r="V52" i="63"/>
  <c r="AB52" i="63" s="1"/>
  <c r="X51" i="63"/>
  <c r="W51" i="63"/>
  <c r="AC51" i="63" s="1"/>
  <c r="V51" i="63"/>
  <c r="AB51" i="63" s="1"/>
  <c r="X50" i="63"/>
  <c r="W50" i="63"/>
  <c r="V50" i="63"/>
  <c r="AB50" i="63" s="1"/>
  <c r="X49" i="63"/>
  <c r="W49" i="63"/>
  <c r="V49" i="63"/>
  <c r="AB49" i="63" s="1"/>
  <c r="X48" i="63"/>
  <c r="W48" i="63"/>
  <c r="V48" i="63"/>
  <c r="AB48" i="63" s="1"/>
  <c r="X47" i="63"/>
  <c r="W47" i="63"/>
  <c r="AC47" i="63" s="1"/>
  <c r="V47" i="63"/>
  <c r="AB47" i="63" s="1"/>
  <c r="X46" i="63"/>
  <c r="W46" i="63"/>
  <c r="V46" i="63"/>
  <c r="AB46" i="63" s="1"/>
  <c r="X45" i="63"/>
  <c r="W45" i="63"/>
  <c r="V45" i="63"/>
  <c r="AB45" i="63" s="1"/>
  <c r="X44" i="63"/>
  <c r="W44" i="63"/>
  <c r="V44" i="63"/>
  <c r="AB44" i="63" s="1"/>
  <c r="X43" i="63"/>
  <c r="W43" i="63"/>
  <c r="AC43" i="63" s="1"/>
  <c r="V43" i="63"/>
  <c r="AB43" i="63" s="1"/>
  <c r="X42" i="63"/>
  <c r="W42" i="63"/>
  <c r="V42" i="63"/>
  <c r="AB42" i="63" s="1"/>
  <c r="X41" i="63"/>
  <c r="W41" i="63"/>
  <c r="V41" i="63"/>
  <c r="AB41" i="63" s="1"/>
  <c r="X40" i="63"/>
  <c r="W40" i="63"/>
  <c r="V40" i="63"/>
  <c r="AB40" i="63" s="1"/>
  <c r="X39" i="63"/>
  <c r="W39" i="63"/>
  <c r="AC39" i="63" s="1"/>
  <c r="V39" i="63"/>
  <c r="AB39" i="63" s="1"/>
  <c r="X38" i="63"/>
  <c r="W38" i="63"/>
  <c r="V38" i="63"/>
  <c r="AB38" i="63" s="1"/>
  <c r="X37" i="63"/>
  <c r="W37" i="63"/>
  <c r="V37" i="63"/>
  <c r="AB37" i="63" s="1"/>
  <c r="X36" i="63"/>
  <c r="W36" i="63"/>
  <c r="V36" i="63"/>
  <c r="AB36" i="63" s="1"/>
  <c r="X35" i="63"/>
  <c r="W35" i="63"/>
  <c r="AC35" i="63" s="1"/>
  <c r="V35" i="63"/>
  <c r="AB35" i="63" s="1"/>
  <c r="X34" i="63"/>
  <c r="W34" i="63"/>
  <c r="AC34" i="63" s="1"/>
  <c r="V34" i="63"/>
  <c r="AB34" i="63" s="1"/>
  <c r="X33" i="63"/>
  <c r="W33" i="63"/>
  <c r="AC33" i="63" s="1"/>
  <c r="V33" i="63"/>
  <c r="AB33" i="63" s="1"/>
  <c r="X32" i="63"/>
  <c r="W32" i="63"/>
  <c r="V32" i="63"/>
  <c r="AB32" i="63" s="1"/>
  <c r="X31" i="63"/>
  <c r="W31" i="63"/>
  <c r="AC31" i="63" s="1"/>
  <c r="V31" i="63"/>
  <c r="AB31" i="63" s="1"/>
  <c r="X30" i="63"/>
  <c r="W30" i="63"/>
  <c r="AC30" i="63" s="1"/>
  <c r="V30" i="63"/>
  <c r="AB30" i="63" s="1"/>
  <c r="X29" i="63"/>
  <c r="W29" i="63"/>
  <c r="AC29" i="63" s="1"/>
  <c r="V29" i="63"/>
  <c r="AB29" i="63" s="1"/>
  <c r="X28" i="63"/>
  <c r="W28" i="63"/>
  <c r="V28" i="63"/>
  <c r="AB28" i="63" s="1"/>
  <c r="X27" i="63"/>
  <c r="W27" i="63"/>
  <c r="AC27" i="63" s="1"/>
  <c r="V27" i="63"/>
  <c r="AB27" i="63" s="1"/>
  <c r="X26" i="63"/>
  <c r="W26" i="63"/>
  <c r="AC26" i="63" s="1"/>
  <c r="V26" i="63"/>
  <c r="AB26" i="63" s="1"/>
  <c r="X25" i="63"/>
  <c r="W25" i="63"/>
  <c r="AC25" i="63" s="1"/>
  <c r="V25" i="63"/>
  <c r="AB25" i="63" s="1"/>
  <c r="X24" i="63"/>
  <c r="W24" i="63"/>
  <c r="V24" i="63"/>
  <c r="AB24" i="63" s="1"/>
  <c r="X23" i="63"/>
  <c r="W23" i="63"/>
  <c r="V23" i="63"/>
  <c r="AB23" i="63" s="1"/>
  <c r="X22" i="63"/>
  <c r="W22" i="63"/>
  <c r="AC22" i="63" s="1"/>
  <c r="V22" i="63"/>
  <c r="AB22" i="63" s="1"/>
  <c r="X21" i="63"/>
  <c r="W21" i="63"/>
  <c r="AC21" i="63" s="1"/>
  <c r="V21" i="63"/>
  <c r="AB21" i="63" s="1"/>
  <c r="X20" i="63"/>
  <c r="W20" i="63"/>
  <c r="V20" i="63"/>
  <c r="AB20" i="63" s="1"/>
  <c r="X19" i="63"/>
  <c r="W19" i="63"/>
  <c r="V19" i="63"/>
  <c r="AB19" i="63" s="1"/>
  <c r="X18" i="63"/>
  <c r="W18" i="63"/>
  <c r="AC18" i="63" s="1"/>
  <c r="V18" i="63"/>
  <c r="AB18" i="63" s="1"/>
  <c r="X17" i="63"/>
  <c r="W17" i="63"/>
  <c r="AC17" i="63" s="1"/>
  <c r="V17" i="63"/>
  <c r="AB17" i="63" s="1"/>
  <c r="X16" i="63"/>
  <c r="W16" i="63"/>
  <c r="V16" i="63"/>
  <c r="AB16" i="63" s="1"/>
  <c r="X15" i="63"/>
  <c r="W15" i="63"/>
  <c r="AC15" i="63" s="1"/>
  <c r="V15" i="63"/>
  <c r="AB15" i="63" s="1"/>
  <c r="X14" i="63"/>
  <c r="W14" i="63"/>
  <c r="AC14" i="63" s="1"/>
  <c r="V14" i="63"/>
  <c r="AB14" i="63" s="1"/>
  <c r="X13" i="63"/>
  <c r="W13" i="63"/>
  <c r="AC13" i="63" s="1"/>
  <c r="V13" i="63"/>
  <c r="AB13" i="63" s="1"/>
  <c r="X12" i="63"/>
  <c r="W12" i="63"/>
  <c r="V12" i="63"/>
  <c r="AB12" i="63" s="1"/>
  <c r="X11" i="63"/>
  <c r="W11" i="63"/>
  <c r="V11" i="63"/>
  <c r="AB11" i="63" s="1"/>
  <c r="X10" i="63"/>
  <c r="W10" i="63"/>
  <c r="AC10" i="63" s="1"/>
  <c r="V10" i="63"/>
  <c r="AB10" i="63" s="1"/>
  <c r="X9" i="63"/>
  <c r="W9" i="63"/>
  <c r="AC9" i="63" s="1"/>
  <c r="V9" i="63"/>
  <c r="AB9" i="63" s="1"/>
  <c r="X8" i="63"/>
  <c r="W8" i="63"/>
  <c r="V8" i="63"/>
  <c r="AB8" i="63" s="1"/>
  <c r="X7" i="63"/>
  <c r="W7" i="63"/>
  <c r="V7" i="63"/>
  <c r="AB7" i="63" s="1"/>
  <c r="X6" i="63"/>
  <c r="W6" i="63"/>
  <c r="AC6" i="63" s="1"/>
  <c r="V6" i="63"/>
  <c r="AB6" i="63" s="1"/>
  <c r="X5" i="63"/>
  <c r="W5" i="63"/>
  <c r="AC5" i="63" s="1"/>
  <c r="V5" i="63"/>
  <c r="AB5" i="63" s="1"/>
  <c r="X4" i="63"/>
  <c r="W4" i="63"/>
  <c r="V4" i="63"/>
  <c r="AB4" i="63" s="1"/>
  <c r="X3" i="63"/>
  <c r="W3" i="63"/>
  <c r="V3" i="63"/>
  <c r="AB3" i="63" s="1"/>
  <c r="X2" i="63"/>
  <c r="W2" i="63"/>
  <c r="AC2" i="63" s="1"/>
  <c r="V2" i="63"/>
  <c r="AB2" i="63" s="1"/>
  <c r="AE1099" i="62"/>
  <c r="AE1098" i="62"/>
  <c r="AE1097" i="62"/>
  <c r="AE1096" i="62"/>
  <c r="AE1095" i="62"/>
  <c r="AE1094" i="62"/>
  <c r="AE1093" i="62"/>
  <c r="AE1092" i="62"/>
  <c r="AE1091" i="62"/>
  <c r="AE1090" i="62"/>
  <c r="AE1089" i="62"/>
  <c r="AE1088" i="62"/>
  <c r="AE1087" i="62"/>
  <c r="AE1086" i="62"/>
  <c r="AE1085" i="62"/>
  <c r="AE1084" i="62"/>
  <c r="AE1083" i="62"/>
  <c r="AA12" i="66" s="1"/>
  <c r="AE1082" i="62"/>
  <c r="AD1082" i="62"/>
  <c r="AE1081" i="62"/>
  <c r="AD1081" i="62"/>
  <c r="AC1081" i="62"/>
  <c r="AE1080" i="62"/>
  <c r="AD1080" i="62"/>
  <c r="AE1079" i="62"/>
  <c r="AD1079" i="62"/>
  <c r="AC1079" i="62"/>
  <c r="AE1078" i="62"/>
  <c r="AD1078" i="62"/>
  <c r="AE1077" i="62"/>
  <c r="AD1077" i="62"/>
  <c r="AC1077" i="62"/>
  <c r="AE1076" i="62"/>
  <c r="AD1076" i="62"/>
  <c r="AE1075" i="62"/>
  <c r="AD1075" i="62"/>
  <c r="AC1075" i="62"/>
  <c r="AE1074" i="62"/>
  <c r="AD1074" i="62"/>
  <c r="AE1073" i="62"/>
  <c r="AD1073" i="62"/>
  <c r="AC1073" i="62"/>
  <c r="AE1072" i="62"/>
  <c r="AD1072" i="62"/>
  <c r="AE1071" i="62"/>
  <c r="AD1071" i="62"/>
  <c r="AC1071" i="62"/>
  <c r="AE1070" i="62"/>
  <c r="AD1070" i="62"/>
  <c r="AE1069" i="62"/>
  <c r="AD1069" i="62"/>
  <c r="AC1069" i="62"/>
  <c r="AE1068" i="62"/>
  <c r="AE1067" i="62"/>
  <c r="AE1066" i="62"/>
  <c r="AE1065" i="62"/>
  <c r="AE1064" i="62"/>
  <c r="AE1063" i="62"/>
  <c r="AE1062" i="62"/>
  <c r="AE1061" i="62"/>
  <c r="AE1060" i="62"/>
  <c r="AE1059" i="62"/>
  <c r="AE1058" i="62"/>
  <c r="AE1057" i="62"/>
  <c r="AE1056" i="62"/>
  <c r="AE1055" i="62"/>
  <c r="AE1054" i="62"/>
  <c r="AE1053" i="62"/>
  <c r="AE1052" i="62"/>
  <c r="AE1051" i="62"/>
  <c r="AE1050" i="62"/>
  <c r="AE1049" i="62"/>
  <c r="AE1048" i="62"/>
  <c r="AE1047" i="62"/>
  <c r="AE1046" i="62"/>
  <c r="AE1045" i="62"/>
  <c r="AE1044" i="62"/>
  <c r="AE1043" i="62"/>
  <c r="AE1042" i="62"/>
  <c r="AE1041" i="62"/>
  <c r="AE1040" i="62"/>
  <c r="AE1039" i="62"/>
  <c r="AE1038" i="62"/>
  <c r="AE1037" i="62"/>
  <c r="AE1036" i="62"/>
  <c r="AE1035" i="62"/>
  <c r="AE1034" i="62"/>
  <c r="AE1033" i="62"/>
  <c r="AE1032" i="62"/>
  <c r="AE1031" i="62"/>
  <c r="AE1030" i="62"/>
  <c r="AE1029" i="62"/>
  <c r="AE1028" i="62"/>
  <c r="AE1027" i="62"/>
  <c r="AE1026" i="62"/>
  <c r="AE1025" i="62"/>
  <c r="AE1024" i="62"/>
  <c r="AE1023" i="62"/>
  <c r="AE1022" i="62"/>
  <c r="AE1021" i="62"/>
  <c r="AE1020" i="62"/>
  <c r="AE1019" i="62"/>
  <c r="AE1018" i="62"/>
  <c r="AE1017" i="62"/>
  <c r="AE1016" i="62"/>
  <c r="AE1015" i="62"/>
  <c r="AE1014" i="62"/>
  <c r="AE1013" i="62"/>
  <c r="AE1012" i="62"/>
  <c r="AE1011" i="62"/>
  <c r="AE1010" i="62"/>
  <c r="AE1009" i="62"/>
  <c r="AE1008" i="62"/>
  <c r="AE1007" i="62"/>
  <c r="AE1006" i="62"/>
  <c r="AE1005" i="62"/>
  <c r="AE1004" i="62"/>
  <c r="AE1003" i="62"/>
  <c r="AE1002" i="62"/>
  <c r="AE1001" i="62"/>
  <c r="AE1000" i="62"/>
  <c r="AE999" i="62"/>
  <c r="AE998" i="62"/>
  <c r="AE997" i="62"/>
  <c r="AE996" i="62"/>
  <c r="AE995" i="62"/>
  <c r="AE994" i="62"/>
  <c r="AE993" i="62"/>
  <c r="AE992" i="62"/>
  <c r="AE991" i="62"/>
  <c r="AE990" i="62"/>
  <c r="AE989" i="62"/>
  <c r="AE988" i="62"/>
  <c r="AE987" i="62"/>
  <c r="AE986" i="62"/>
  <c r="AE985" i="62"/>
  <c r="AE984" i="62"/>
  <c r="AE983" i="62"/>
  <c r="AE982" i="62"/>
  <c r="AE981" i="62"/>
  <c r="AE980" i="62"/>
  <c r="AE979" i="62"/>
  <c r="AE978" i="62"/>
  <c r="AE977" i="62"/>
  <c r="AE976" i="62"/>
  <c r="AE975" i="62"/>
  <c r="AE974" i="62"/>
  <c r="AE973" i="62"/>
  <c r="AE972" i="62"/>
  <c r="AE971" i="62"/>
  <c r="AA11" i="66" s="1"/>
  <c r="AE970" i="62"/>
  <c r="AE969" i="62"/>
  <c r="AE968" i="62"/>
  <c r="AE967" i="62"/>
  <c r="AE966" i="62"/>
  <c r="AE965" i="62"/>
  <c r="AE964" i="62"/>
  <c r="AE963" i="62"/>
  <c r="AE962" i="62"/>
  <c r="AE961" i="62"/>
  <c r="AE960" i="62"/>
  <c r="AE959" i="62"/>
  <c r="AE958" i="62"/>
  <c r="AE957" i="62"/>
  <c r="AE956" i="62"/>
  <c r="AE955" i="62"/>
  <c r="AE954" i="62"/>
  <c r="AE953" i="62"/>
  <c r="AE952" i="62"/>
  <c r="AE951" i="62"/>
  <c r="AE950" i="62"/>
  <c r="AE949" i="62"/>
  <c r="AE948" i="62"/>
  <c r="AE947" i="62"/>
  <c r="AE946" i="62"/>
  <c r="AE945" i="62"/>
  <c r="AE944" i="62"/>
  <c r="AE943" i="62"/>
  <c r="AE942" i="62"/>
  <c r="AE941" i="62"/>
  <c r="AE940" i="62"/>
  <c r="AE939" i="62"/>
  <c r="AE938" i="62"/>
  <c r="AE937" i="62"/>
  <c r="AE936" i="62"/>
  <c r="AE935" i="62"/>
  <c r="AE934" i="62"/>
  <c r="AE933" i="62"/>
  <c r="AE932" i="62"/>
  <c r="AE931" i="62"/>
  <c r="AE930" i="62"/>
  <c r="AE929" i="62"/>
  <c r="AE928" i="62"/>
  <c r="AE927" i="62"/>
  <c r="AE926" i="62"/>
  <c r="AE925" i="62"/>
  <c r="AE924" i="62"/>
  <c r="AE923" i="62"/>
  <c r="AE922" i="62"/>
  <c r="AE921" i="62"/>
  <c r="AE920" i="62"/>
  <c r="AE919" i="62"/>
  <c r="AE918" i="62"/>
  <c r="AE917" i="62"/>
  <c r="AE916" i="62"/>
  <c r="AE915" i="62"/>
  <c r="AE914" i="62"/>
  <c r="AE913" i="62"/>
  <c r="AE912" i="62"/>
  <c r="AE911" i="62"/>
  <c r="AE910" i="62"/>
  <c r="AE909" i="62"/>
  <c r="AE908" i="62"/>
  <c r="AE907" i="62"/>
  <c r="AE906" i="62"/>
  <c r="AE905" i="62"/>
  <c r="AE904" i="62"/>
  <c r="AE903" i="62"/>
  <c r="AE902" i="62"/>
  <c r="AE901" i="62"/>
  <c r="AE900" i="62"/>
  <c r="AE899" i="62"/>
  <c r="AE898" i="62"/>
  <c r="AE897" i="62"/>
  <c r="AE896" i="62"/>
  <c r="AE895" i="62"/>
  <c r="AE894" i="62"/>
  <c r="AE893" i="62"/>
  <c r="AE892" i="62"/>
  <c r="AE891" i="62"/>
  <c r="AE890" i="62"/>
  <c r="AE889" i="62"/>
  <c r="AE888" i="62"/>
  <c r="AE887" i="62"/>
  <c r="AE886" i="62"/>
  <c r="AE885" i="62"/>
  <c r="AE884" i="62"/>
  <c r="AE883" i="62"/>
  <c r="AE882" i="62"/>
  <c r="AE881" i="62"/>
  <c r="AE880" i="62"/>
  <c r="AE879" i="62"/>
  <c r="AE878" i="62"/>
  <c r="AE877" i="62"/>
  <c r="AE876" i="62"/>
  <c r="AE875" i="62"/>
  <c r="AE874" i="62"/>
  <c r="AE873" i="62"/>
  <c r="AE872" i="62"/>
  <c r="AE871" i="62"/>
  <c r="AE870" i="62"/>
  <c r="AE869" i="62"/>
  <c r="AE868" i="62"/>
  <c r="AE867" i="62"/>
  <c r="AE866" i="62"/>
  <c r="AE865" i="62"/>
  <c r="AE864" i="62"/>
  <c r="AA10" i="66" s="1"/>
  <c r="AE863" i="62"/>
  <c r="AE862" i="62"/>
  <c r="AE861" i="62"/>
  <c r="AE860" i="62"/>
  <c r="AE859" i="62"/>
  <c r="AE858" i="62"/>
  <c r="AE857" i="62"/>
  <c r="AE856" i="62"/>
  <c r="AE855" i="62"/>
  <c r="AE854" i="62"/>
  <c r="AE853" i="62"/>
  <c r="AE852" i="62"/>
  <c r="AE851" i="62"/>
  <c r="AE850" i="62"/>
  <c r="AE849" i="62"/>
  <c r="AE848" i="62"/>
  <c r="AE847" i="62"/>
  <c r="AE846" i="62"/>
  <c r="AE845" i="62"/>
  <c r="AE844" i="62"/>
  <c r="AE843" i="62"/>
  <c r="AE842" i="62"/>
  <c r="AE841" i="62"/>
  <c r="AE840" i="62"/>
  <c r="AE839" i="62"/>
  <c r="AE838" i="62"/>
  <c r="AE837" i="62"/>
  <c r="AE836" i="62"/>
  <c r="AE835" i="62"/>
  <c r="AE834" i="62"/>
  <c r="AE833" i="62"/>
  <c r="AE832" i="62"/>
  <c r="AE831" i="62"/>
  <c r="AE830" i="62"/>
  <c r="AE829" i="62"/>
  <c r="AE828" i="62"/>
  <c r="AE827" i="62"/>
  <c r="AE826" i="62"/>
  <c r="AE825" i="62"/>
  <c r="AE824" i="62"/>
  <c r="AE823" i="62"/>
  <c r="AE822" i="62"/>
  <c r="AE821" i="62"/>
  <c r="AE820" i="62"/>
  <c r="AE819" i="62"/>
  <c r="AE818" i="62"/>
  <c r="AE817" i="62"/>
  <c r="AE816" i="62"/>
  <c r="AE815" i="62"/>
  <c r="AE814" i="62"/>
  <c r="AE813" i="62"/>
  <c r="AE812" i="62"/>
  <c r="AE811" i="62"/>
  <c r="AE810" i="62"/>
  <c r="AE809" i="62"/>
  <c r="AE808" i="62"/>
  <c r="AE807" i="62"/>
  <c r="AE806" i="62"/>
  <c r="AE805" i="62"/>
  <c r="AE804" i="62"/>
  <c r="AE803" i="62"/>
  <c r="AE802" i="62"/>
  <c r="AE801" i="62"/>
  <c r="AE800" i="62"/>
  <c r="AE799" i="62"/>
  <c r="AE798" i="62"/>
  <c r="AE797" i="62"/>
  <c r="AE796" i="62"/>
  <c r="AE795" i="62"/>
  <c r="AE794" i="62"/>
  <c r="AE793" i="62"/>
  <c r="AE792" i="62"/>
  <c r="AE791" i="62"/>
  <c r="AE790" i="62"/>
  <c r="AE789" i="62"/>
  <c r="AE788" i="62"/>
  <c r="AE787" i="62"/>
  <c r="AE786" i="62"/>
  <c r="AE785" i="62"/>
  <c r="AE784" i="62"/>
  <c r="AE783" i="62"/>
  <c r="AE782" i="62"/>
  <c r="AE781" i="62"/>
  <c r="AE780" i="62"/>
  <c r="AE779" i="62"/>
  <c r="AE778" i="62"/>
  <c r="AE777" i="62"/>
  <c r="AE776" i="62"/>
  <c r="AE775" i="62"/>
  <c r="AE774" i="62"/>
  <c r="AE773" i="62"/>
  <c r="AE772" i="62"/>
  <c r="AE771" i="62"/>
  <c r="AE770" i="62"/>
  <c r="AE769" i="62"/>
  <c r="AE768" i="62"/>
  <c r="AE767" i="62"/>
  <c r="AE766" i="62"/>
  <c r="AE765" i="62"/>
  <c r="AE764" i="62"/>
  <c r="AE763" i="62"/>
  <c r="AE762" i="62"/>
  <c r="AE761" i="62"/>
  <c r="AE760" i="62"/>
  <c r="AE759" i="62"/>
  <c r="AE758" i="62"/>
  <c r="AE757" i="62"/>
  <c r="AE756" i="62"/>
  <c r="AE755" i="62"/>
  <c r="AE754" i="62"/>
  <c r="AE753" i="62"/>
  <c r="AE752" i="62"/>
  <c r="AA9" i="66" s="1"/>
  <c r="AE751" i="62"/>
  <c r="AD751" i="62"/>
  <c r="AC751" i="62"/>
  <c r="AE750" i="62"/>
  <c r="AD750" i="62"/>
  <c r="AC750" i="62"/>
  <c r="AE749" i="62"/>
  <c r="AD749" i="62"/>
  <c r="AC749" i="62"/>
  <c r="AE748" i="62"/>
  <c r="AD748" i="62"/>
  <c r="AC748" i="62"/>
  <c r="AE747" i="62"/>
  <c r="AD747" i="62"/>
  <c r="AC747" i="62"/>
  <c r="AE746" i="62"/>
  <c r="AD746" i="62"/>
  <c r="AC746" i="62"/>
  <c r="AE745" i="62"/>
  <c r="AD745" i="62"/>
  <c r="AC745" i="62"/>
  <c r="AE744" i="62"/>
  <c r="AD744" i="62"/>
  <c r="AC744" i="62"/>
  <c r="AE743" i="62"/>
  <c r="AD743" i="62"/>
  <c r="AC743" i="62"/>
  <c r="AE742" i="62"/>
  <c r="AD742" i="62"/>
  <c r="AC742" i="62"/>
  <c r="AE741" i="62"/>
  <c r="AD741" i="62"/>
  <c r="AC741" i="62"/>
  <c r="AE740" i="62"/>
  <c r="AD740" i="62"/>
  <c r="AC740" i="62"/>
  <c r="AE739" i="62"/>
  <c r="AD739" i="62"/>
  <c r="AC739" i="62"/>
  <c r="AG738" i="62"/>
  <c r="AF738" i="62"/>
  <c r="AB738" i="62"/>
  <c r="AG737" i="62"/>
  <c r="AF737" i="62"/>
  <c r="AB737" i="62"/>
  <c r="AG736" i="62"/>
  <c r="AF736" i="62"/>
  <c r="AB736" i="62"/>
  <c r="AG735" i="62"/>
  <c r="AF735" i="62"/>
  <c r="AB735" i="62"/>
  <c r="AG734" i="62"/>
  <c r="AF734" i="62"/>
  <c r="AB734" i="62"/>
  <c r="AG733" i="62"/>
  <c r="AF733" i="62"/>
  <c r="AB733" i="62"/>
  <c r="AG732" i="62"/>
  <c r="AF732" i="62"/>
  <c r="AB732" i="62"/>
  <c r="AG731" i="62"/>
  <c r="AF731" i="62"/>
  <c r="AB731" i="62"/>
  <c r="AG730" i="62"/>
  <c r="AF730" i="62"/>
  <c r="AB730" i="62"/>
  <c r="AG729" i="62"/>
  <c r="AF729" i="62"/>
  <c r="AB729" i="62"/>
  <c r="AG728" i="62"/>
  <c r="AF728" i="62"/>
  <c r="AB728" i="62"/>
  <c r="AG727" i="62"/>
  <c r="AF727" i="62"/>
  <c r="AB727" i="62"/>
  <c r="AG726" i="62"/>
  <c r="AF726" i="62"/>
  <c r="AB726" i="62"/>
  <c r="AE725" i="62"/>
  <c r="AD725" i="62"/>
  <c r="AC725" i="62"/>
  <c r="AE724" i="62"/>
  <c r="AD724" i="62"/>
  <c r="AC724" i="62"/>
  <c r="AE723" i="62"/>
  <c r="AD723" i="62"/>
  <c r="AC723" i="62"/>
  <c r="AE722" i="62"/>
  <c r="AD722" i="62"/>
  <c r="AC722" i="62"/>
  <c r="AE721" i="62"/>
  <c r="AD721" i="62"/>
  <c r="AC721" i="62"/>
  <c r="AE720" i="62"/>
  <c r="AD720" i="62"/>
  <c r="AC720" i="62"/>
  <c r="AE719" i="62"/>
  <c r="AD719" i="62"/>
  <c r="AC719" i="62"/>
  <c r="AE718" i="62"/>
  <c r="AD718" i="62"/>
  <c r="AC718" i="62"/>
  <c r="AE717" i="62"/>
  <c r="AD717" i="62"/>
  <c r="AC717" i="62"/>
  <c r="AE716" i="62"/>
  <c r="AD716" i="62"/>
  <c r="AC716" i="62"/>
  <c r="AE715" i="62"/>
  <c r="AD715" i="62"/>
  <c r="AC715" i="62"/>
  <c r="AE714" i="62"/>
  <c r="AD714" i="62"/>
  <c r="AC714" i="62"/>
  <c r="AE713" i="62"/>
  <c r="AD713" i="62"/>
  <c r="AC713" i="62"/>
  <c r="AE712" i="62"/>
  <c r="AD712" i="62"/>
  <c r="AC712" i="62"/>
  <c r="AE711" i="62"/>
  <c r="AD711" i="62"/>
  <c r="AC711" i="62"/>
  <c r="AE710" i="62"/>
  <c r="AD710" i="62"/>
  <c r="AC710" i="62"/>
  <c r="AE709" i="62"/>
  <c r="AD709" i="62"/>
  <c r="AC709" i="62"/>
  <c r="AE708" i="62"/>
  <c r="AD708" i="62"/>
  <c r="AC708" i="62"/>
  <c r="AE707" i="62"/>
  <c r="AD707" i="62"/>
  <c r="AC707" i="62"/>
  <c r="AE706" i="62"/>
  <c r="AD706" i="62"/>
  <c r="AC706" i="62"/>
  <c r="AE705" i="62"/>
  <c r="AD705" i="62"/>
  <c r="AC705" i="62"/>
  <c r="AE704" i="62"/>
  <c r="AD704" i="62"/>
  <c r="AC704" i="62"/>
  <c r="AE703" i="62"/>
  <c r="AD703" i="62"/>
  <c r="AC703" i="62"/>
  <c r="AE702" i="62"/>
  <c r="AD702" i="62"/>
  <c r="AC702" i="62"/>
  <c r="AE701" i="62"/>
  <c r="AD701" i="62"/>
  <c r="AC701" i="62"/>
  <c r="AE700" i="62"/>
  <c r="AD700" i="62"/>
  <c r="AC700" i="62"/>
  <c r="AE699" i="62"/>
  <c r="AD699" i="62"/>
  <c r="AC699" i="62"/>
  <c r="AE698" i="62"/>
  <c r="AD698" i="62"/>
  <c r="AC698" i="62"/>
  <c r="AE697" i="62"/>
  <c r="AD697" i="62"/>
  <c r="AC697" i="62"/>
  <c r="AE696" i="62"/>
  <c r="AD696" i="62"/>
  <c r="AC696" i="62"/>
  <c r="AE695" i="62"/>
  <c r="AD695" i="62"/>
  <c r="AC695" i="62"/>
  <c r="AE694" i="62"/>
  <c r="AD694" i="62"/>
  <c r="AC694" i="62"/>
  <c r="AE693" i="62"/>
  <c r="AD693" i="62"/>
  <c r="AC693" i="62"/>
  <c r="AE692" i="62"/>
  <c r="AD692" i="62"/>
  <c r="AC692" i="62"/>
  <c r="AE691" i="62"/>
  <c r="AD691" i="62"/>
  <c r="AC691" i="62"/>
  <c r="AE690" i="62"/>
  <c r="AD690" i="62"/>
  <c r="AC690" i="62"/>
  <c r="AE689" i="62"/>
  <c r="AD689" i="62"/>
  <c r="AC689" i="62"/>
  <c r="AE688" i="62"/>
  <c r="AD688" i="62"/>
  <c r="AC688" i="62"/>
  <c r="AE687" i="62"/>
  <c r="AD687" i="62"/>
  <c r="AC687" i="62"/>
  <c r="AE686" i="62"/>
  <c r="AD686" i="62"/>
  <c r="AC686" i="62"/>
  <c r="AE685" i="62"/>
  <c r="AD685" i="62"/>
  <c r="AC685" i="62"/>
  <c r="AE684" i="62"/>
  <c r="AD684" i="62"/>
  <c r="AC684" i="62"/>
  <c r="AG683" i="62"/>
  <c r="AF683" i="62"/>
  <c r="AB683" i="62"/>
  <c r="AG682" i="62"/>
  <c r="AF682" i="62"/>
  <c r="AB682" i="62"/>
  <c r="AG681" i="62"/>
  <c r="AF681" i="62"/>
  <c r="AB681" i="62"/>
  <c r="AG680" i="62"/>
  <c r="AF680" i="62"/>
  <c r="AB680" i="62"/>
  <c r="AG679" i="62"/>
  <c r="AF679" i="62"/>
  <c r="AB679" i="62"/>
  <c r="AG678" i="62"/>
  <c r="AF678" i="62"/>
  <c r="AB678" i="62"/>
  <c r="AG677" i="62"/>
  <c r="AF677" i="62"/>
  <c r="AB677" i="62"/>
  <c r="AG676" i="62"/>
  <c r="AF676" i="62"/>
  <c r="AB676" i="62"/>
  <c r="AG675" i="62"/>
  <c r="AF675" i="62"/>
  <c r="AB675" i="62"/>
  <c r="AG674" i="62"/>
  <c r="AF674" i="62"/>
  <c r="AB674" i="62"/>
  <c r="AG673" i="62"/>
  <c r="AF673" i="62"/>
  <c r="AB673" i="62"/>
  <c r="AG672" i="62"/>
  <c r="AF672" i="62"/>
  <c r="AB672" i="62"/>
  <c r="AG671" i="62"/>
  <c r="AF671" i="62"/>
  <c r="AB671" i="62"/>
  <c r="AG670" i="62"/>
  <c r="AF670" i="62"/>
  <c r="AB670" i="62"/>
  <c r="AG669" i="62"/>
  <c r="AF669" i="62"/>
  <c r="AB669" i="62"/>
  <c r="AG668" i="62"/>
  <c r="AF668" i="62"/>
  <c r="AB668" i="62"/>
  <c r="AG667" i="62"/>
  <c r="AF667" i="62"/>
  <c r="AB667" i="62"/>
  <c r="AG666" i="62"/>
  <c r="AF666" i="62"/>
  <c r="AB666" i="62"/>
  <c r="AG665" i="62"/>
  <c r="AF665" i="62"/>
  <c r="AB665" i="62"/>
  <c r="AG664" i="62"/>
  <c r="AF664" i="62"/>
  <c r="AB664" i="62"/>
  <c r="AG663" i="62"/>
  <c r="AF663" i="62"/>
  <c r="AB663" i="62"/>
  <c r="AG662" i="62"/>
  <c r="AF662" i="62"/>
  <c r="AB662" i="62"/>
  <c r="AG661" i="62"/>
  <c r="AF661" i="62"/>
  <c r="AB661" i="62"/>
  <c r="AG660" i="62"/>
  <c r="AF660" i="62"/>
  <c r="AB660" i="62"/>
  <c r="AG659" i="62"/>
  <c r="AF659" i="62"/>
  <c r="AB659" i="62"/>
  <c r="AG658" i="62"/>
  <c r="AF658" i="62"/>
  <c r="AB658" i="62"/>
  <c r="AG657" i="62"/>
  <c r="AF657" i="62"/>
  <c r="AB657" i="62"/>
  <c r="AG656" i="62"/>
  <c r="AF656" i="62"/>
  <c r="AB656" i="62"/>
  <c r="AG655" i="62"/>
  <c r="AF655" i="62"/>
  <c r="AB655" i="62"/>
  <c r="AG654" i="62"/>
  <c r="AF654" i="62"/>
  <c r="AB654" i="62"/>
  <c r="AE653" i="62"/>
  <c r="AD653" i="62"/>
  <c r="AC653" i="62"/>
  <c r="AE652" i="62"/>
  <c r="AD652" i="62"/>
  <c r="AC652" i="62"/>
  <c r="AE651" i="62"/>
  <c r="AD651" i="62"/>
  <c r="AC651" i="62"/>
  <c r="AE650" i="62"/>
  <c r="AD650" i="62"/>
  <c r="AC650" i="62"/>
  <c r="AE649" i="62"/>
  <c r="AD649" i="62"/>
  <c r="AC649" i="62"/>
  <c r="AE648" i="62"/>
  <c r="AD648" i="62"/>
  <c r="AC648" i="62"/>
  <c r="AE647" i="62"/>
  <c r="AD647" i="62"/>
  <c r="AC647" i="62"/>
  <c r="AE646" i="62"/>
  <c r="AD646" i="62"/>
  <c r="AC646" i="62"/>
  <c r="AE645" i="62"/>
  <c r="AD645" i="62"/>
  <c r="AC645" i="62"/>
  <c r="AE644" i="62"/>
  <c r="AD644" i="62"/>
  <c r="AC644" i="62"/>
  <c r="AE643" i="62"/>
  <c r="AD643" i="62"/>
  <c r="AC643" i="62"/>
  <c r="AE642" i="62"/>
  <c r="AD642" i="62"/>
  <c r="AC642" i="62"/>
  <c r="AE641" i="62"/>
  <c r="AD641" i="62"/>
  <c r="AC641" i="62"/>
  <c r="AE640" i="62"/>
  <c r="AD640" i="62"/>
  <c r="AC640" i="62"/>
  <c r="AE639" i="62"/>
  <c r="AD639" i="62"/>
  <c r="AC639" i="62"/>
  <c r="AE638" i="62"/>
  <c r="AD638" i="62"/>
  <c r="AC638" i="62"/>
  <c r="AE637" i="62"/>
  <c r="AD637" i="62"/>
  <c r="AC637" i="62"/>
  <c r="AE636" i="62"/>
  <c r="AD636" i="62"/>
  <c r="AC636" i="62"/>
  <c r="AE635" i="62"/>
  <c r="AD635" i="62"/>
  <c r="AC635" i="62"/>
  <c r="AE634" i="62"/>
  <c r="AD634" i="62"/>
  <c r="AC634" i="62"/>
  <c r="AE633" i="62"/>
  <c r="AD633" i="62"/>
  <c r="AC633" i="62"/>
  <c r="AE632" i="62"/>
  <c r="AD632" i="62"/>
  <c r="AC632" i="62"/>
  <c r="AE631" i="62"/>
  <c r="AD631" i="62"/>
  <c r="AC631" i="62"/>
  <c r="AE630" i="62"/>
  <c r="AD630" i="62"/>
  <c r="AC630" i="62"/>
  <c r="AE629" i="62"/>
  <c r="AD629" i="62"/>
  <c r="AC629" i="62"/>
  <c r="AE628" i="62"/>
  <c r="AD628" i="62"/>
  <c r="AC628" i="62"/>
  <c r="AE627" i="62"/>
  <c r="AD627" i="62"/>
  <c r="AC627" i="62"/>
  <c r="AE626" i="62"/>
  <c r="AD626" i="62"/>
  <c r="AC626" i="62"/>
  <c r="AE625" i="62"/>
  <c r="AD625" i="62"/>
  <c r="AC625" i="62"/>
  <c r="AE624" i="62"/>
  <c r="AD624" i="62"/>
  <c r="AC624" i="62"/>
  <c r="AG623" i="62"/>
  <c r="AF623" i="62"/>
  <c r="AB623" i="62"/>
  <c r="AG622" i="62"/>
  <c r="AF622" i="62"/>
  <c r="AB622" i="62"/>
  <c r="AG621" i="62"/>
  <c r="AF621" i="62"/>
  <c r="AB621" i="62"/>
  <c r="AG620" i="62"/>
  <c r="AF620" i="62"/>
  <c r="AB620" i="62"/>
  <c r="AG619" i="62"/>
  <c r="AF619" i="62"/>
  <c r="AB619" i="62"/>
  <c r="AG618" i="62"/>
  <c r="AF618" i="62"/>
  <c r="AB618" i="62"/>
  <c r="AG617" i="62"/>
  <c r="AF617" i="62"/>
  <c r="AB617" i="62"/>
  <c r="AG616" i="62"/>
  <c r="AF616" i="62"/>
  <c r="AB616" i="62"/>
  <c r="AG615" i="62"/>
  <c r="AF615" i="62"/>
  <c r="AB615" i="62"/>
  <c r="AG614" i="62"/>
  <c r="AF614" i="62"/>
  <c r="AB614" i="62"/>
  <c r="AG613" i="62"/>
  <c r="AF613" i="62"/>
  <c r="AB613" i="62"/>
  <c r="AG612" i="62"/>
  <c r="AF612" i="62"/>
  <c r="AB612" i="62"/>
  <c r="AG611" i="62"/>
  <c r="AF611" i="62"/>
  <c r="AB611" i="62"/>
  <c r="AG610" i="62"/>
  <c r="AF610" i="62"/>
  <c r="AB610" i="62"/>
  <c r="AG609" i="62"/>
  <c r="AF609" i="62"/>
  <c r="AB609" i="62"/>
  <c r="AG608" i="62"/>
  <c r="AF608" i="62"/>
  <c r="AB608" i="62"/>
  <c r="AG607" i="62"/>
  <c r="AF607" i="62"/>
  <c r="AB607" i="62"/>
  <c r="AG606" i="62"/>
  <c r="AF606" i="62"/>
  <c r="AB606" i="62"/>
  <c r="AG605" i="62"/>
  <c r="AF605" i="62"/>
  <c r="AB605" i="62"/>
  <c r="AG604" i="62"/>
  <c r="AF604" i="62"/>
  <c r="AB604" i="62"/>
  <c r="AG603" i="62"/>
  <c r="AF603" i="62"/>
  <c r="AB603" i="62"/>
  <c r="AG602" i="62"/>
  <c r="AF602" i="62"/>
  <c r="AB602" i="62"/>
  <c r="AG601" i="62"/>
  <c r="AF601" i="62"/>
  <c r="AB601" i="62"/>
  <c r="AG600" i="62"/>
  <c r="AF600" i="62"/>
  <c r="AB600" i="62"/>
  <c r="AG599" i="62"/>
  <c r="AF599" i="62"/>
  <c r="AB599" i="62"/>
  <c r="AG598" i="62"/>
  <c r="AF598" i="62"/>
  <c r="AB598" i="62"/>
  <c r="AG597" i="62"/>
  <c r="AF597" i="62"/>
  <c r="AB597" i="62"/>
  <c r="AG596" i="62"/>
  <c r="AF596" i="62"/>
  <c r="AB596" i="62"/>
  <c r="AG595" i="62"/>
  <c r="AF595" i="62"/>
  <c r="AB595" i="62"/>
  <c r="AE594" i="62"/>
  <c r="AE593" i="62"/>
  <c r="AE592" i="62"/>
  <c r="AE591" i="62"/>
  <c r="AE590" i="62"/>
  <c r="AE589" i="62"/>
  <c r="AE588" i="62"/>
  <c r="AB588" i="62"/>
  <c r="AE587" i="62"/>
  <c r="AE586" i="62"/>
  <c r="AE585" i="62"/>
  <c r="AE584" i="62"/>
  <c r="AE583" i="62"/>
  <c r="AE582" i="62"/>
  <c r="AE581" i="62"/>
  <c r="AE580" i="62"/>
  <c r="AB580" i="62"/>
  <c r="AE579" i="62"/>
  <c r="AE578" i="62"/>
  <c r="AE577" i="62"/>
  <c r="AE576" i="62"/>
  <c r="AE575" i="62"/>
  <c r="AE574" i="62"/>
  <c r="AE573" i="62"/>
  <c r="AE572" i="62"/>
  <c r="AB572" i="62"/>
  <c r="AE571" i="62"/>
  <c r="AE570" i="62"/>
  <c r="AE569" i="62"/>
  <c r="AE568" i="62"/>
  <c r="AD568" i="62"/>
  <c r="AC568" i="62"/>
  <c r="AE567" i="62"/>
  <c r="AD567" i="62"/>
  <c r="AC567" i="62"/>
  <c r="AE566" i="62"/>
  <c r="AD566" i="62"/>
  <c r="AC566" i="62"/>
  <c r="AE565" i="62"/>
  <c r="AD565" i="62"/>
  <c r="AC565" i="62"/>
  <c r="AE564" i="62"/>
  <c r="AD564" i="62"/>
  <c r="AC564" i="62"/>
  <c r="AE563" i="62"/>
  <c r="AD563" i="62"/>
  <c r="AC563" i="62"/>
  <c r="AE562" i="62"/>
  <c r="AD562" i="62"/>
  <c r="AC562" i="62"/>
  <c r="AE561" i="62"/>
  <c r="AD561" i="62"/>
  <c r="AC561" i="62"/>
  <c r="AE560" i="62"/>
  <c r="AD560" i="62"/>
  <c r="AC560" i="62"/>
  <c r="AE559" i="62"/>
  <c r="AD559" i="62"/>
  <c r="AC559" i="62"/>
  <c r="AE558" i="62"/>
  <c r="AD558" i="62"/>
  <c r="AC558" i="62"/>
  <c r="AE557" i="62"/>
  <c r="AD557" i="62"/>
  <c r="AC557" i="62"/>
  <c r="AE556" i="62"/>
  <c r="AD556" i="62"/>
  <c r="AC556" i="62"/>
  <c r="AE555" i="62"/>
  <c r="AD555" i="62"/>
  <c r="AC555" i="62"/>
  <c r="AE554" i="62"/>
  <c r="AD554" i="62"/>
  <c r="AC554" i="62"/>
  <c r="AE553" i="62"/>
  <c r="AD553" i="62"/>
  <c r="AC553" i="62"/>
  <c r="AE552" i="62"/>
  <c r="AD552" i="62"/>
  <c r="AC552" i="62"/>
  <c r="AE551" i="62"/>
  <c r="AD551" i="62"/>
  <c r="AC551" i="62"/>
  <c r="AE550" i="62"/>
  <c r="AD550" i="62"/>
  <c r="AC550" i="62"/>
  <c r="AE549" i="62"/>
  <c r="AD549" i="62"/>
  <c r="AC549" i="62"/>
  <c r="AE548" i="62"/>
  <c r="AD548" i="62"/>
  <c r="AC548" i="62"/>
  <c r="AE547" i="62"/>
  <c r="AD547" i="62"/>
  <c r="AC547" i="62"/>
  <c r="AE546" i="62"/>
  <c r="AD546" i="62"/>
  <c r="AC546" i="62"/>
  <c r="AE545" i="62"/>
  <c r="AD545" i="62"/>
  <c r="AC545" i="62"/>
  <c r="AE544" i="62"/>
  <c r="AD544" i="62"/>
  <c r="AC544" i="62"/>
  <c r="AE543" i="62"/>
  <c r="AD543" i="62"/>
  <c r="AC543" i="62"/>
  <c r="AE542" i="62"/>
  <c r="AD542" i="62"/>
  <c r="AC542" i="62"/>
  <c r="AE541" i="62"/>
  <c r="AD541" i="62"/>
  <c r="AC541" i="62"/>
  <c r="AE540" i="62"/>
  <c r="AD540" i="62"/>
  <c r="AC540" i="62"/>
  <c r="AE539" i="62"/>
  <c r="AD539" i="62"/>
  <c r="AC539" i="62"/>
  <c r="AE538" i="62"/>
  <c r="AD538" i="62"/>
  <c r="AC538" i="62"/>
  <c r="AE537" i="62"/>
  <c r="AD537" i="62"/>
  <c r="AC537" i="62"/>
  <c r="AE536" i="62"/>
  <c r="AD536" i="62"/>
  <c r="AC536" i="62"/>
  <c r="AE535" i="62"/>
  <c r="AD535" i="62"/>
  <c r="AC535" i="62"/>
  <c r="AE534" i="62"/>
  <c r="AD534" i="62"/>
  <c r="AC534" i="62"/>
  <c r="AE533" i="62"/>
  <c r="AD533" i="62"/>
  <c r="AC533" i="62"/>
  <c r="AE532" i="62"/>
  <c r="AD532" i="62"/>
  <c r="AC532" i="62"/>
  <c r="AE531" i="62"/>
  <c r="AD531" i="62"/>
  <c r="AC531" i="62"/>
  <c r="AE530" i="62"/>
  <c r="AD530" i="62"/>
  <c r="AC530" i="62"/>
  <c r="AE529" i="62"/>
  <c r="AD529" i="62"/>
  <c r="AC529" i="62"/>
  <c r="AE528" i="62"/>
  <c r="AD528" i="62"/>
  <c r="AC528" i="62"/>
  <c r="AE527" i="62"/>
  <c r="AD527" i="62"/>
  <c r="AC527" i="62"/>
  <c r="AE526" i="62"/>
  <c r="AD526" i="62"/>
  <c r="AC526" i="62"/>
  <c r="AE525" i="62"/>
  <c r="AD525" i="62"/>
  <c r="AC525" i="62"/>
  <c r="AE524" i="62"/>
  <c r="AD524" i="62"/>
  <c r="AC524" i="62"/>
  <c r="AE523" i="62"/>
  <c r="AD523" i="62"/>
  <c r="AC523" i="62"/>
  <c r="AE522" i="62"/>
  <c r="AD522" i="62"/>
  <c r="AC522" i="62"/>
  <c r="AE521" i="62"/>
  <c r="AD521" i="62"/>
  <c r="AC521" i="62"/>
  <c r="AE520" i="62"/>
  <c r="AD520" i="62"/>
  <c r="AC520" i="62"/>
  <c r="AE519" i="62"/>
  <c r="AD519" i="62"/>
  <c r="AC519" i="62"/>
  <c r="AE518" i="62"/>
  <c r="AD518" i="62"/>
  <c r="AC518" i="62"/>
  <c r="AE517" i="62"/>
  <c r="AD517" i="62"/>
  <c r="AC517" i="62"/>
  <c r="AE516" i="62"/>
  <c r="AE515" i="62"/>
  <c r="AE514" i="62"/>
  <c r="AE513" i="62"/>
  <c r="AE512" i="62"/>
  <c r="AB512" i="62"/>
  <c r="AE511" i="62"/>
  <c r="AE510" i="62"/>
  <c r="AE509" i="62"/>
  <c r="AE508" i="62"/>
  <c r="AE507" i="62"/>
  <c r="AE506" i="62"/>
  <c r="AE505" i="62"/>
  <c r="AE504" i="62"/>
  <c r="AB504" i="62"/>
  <c r="AE503" i="62"/>
  <c r="AE502" i="62"/>
  <c r="AG501" i="62"/>
  <c r="AF501" i="62"/>
  <c r="AG500" i="62"/>
  <c r="AF500" i="62"/>
  <c r="AG499" i="62"/>
  <c r="AF499" i="62"/>
  <c r="AG498" i="62"/>
  <c r="AF498" i="62"/>
  <c r="AC498" i="62"/>
  <c r="AG497" i="62"/>
  <c r="AF497" i="62"/>
  <c r="AG496" i="62"/>
  <c r="AF496" i="62"/>
  <c r="AG495" i="62"/>
  <c r="AF495" i="62"/>
  <c r="AG494" i="62"/>
  <c r="AF494" i="62"/>
  <c r="AD494" i="62"/>
  <c r="AG493" i="62"/>
  <c r="AF493" i="62"/>
  <c r="AG492" i="62"/>
  <c r="AF492" i="62"/>
  <c r="AG491" i="62"/>
  <c r="AF491" i="62"/>
  <c r="AG490" i="62"/>
  <c r="AF490" i="62"/>
  <c r="AG489" i="62"/>
  <c r="AF489" i="62"/>
  <c r="AG488" i="62"/>
  <c r="AF488" i="62"/>
  <c r="AG487" i="62"/>
  <c r="AF487" i="62"/>
  <c r="AE486" i="62"/>
  <c r="AE485" i="62"/>
  <c r="AE484" i="62"/>
  <c r="AE483" i="62"/>
  <c r="AE482" i="62"/>
  <c r="AE481" i="62"/>
  <c r="AE480" i="62"/>
  <c r="AE479" i="62"/>
  <c r="AE478" i="62"/>
  <c r="AE477" i="62"/>
  <c r="AE476" i="62"/>
  <c r="AE475" i="62"/>
  <c r="AE474" i="62"/>
  <c r="AE473" i="62"/>
  <c r="AE472" i="62"/>
  <c r="AE471" i="62"/>
  <c r="AE470" i="62"/>
  <c r="AE469" i="62"/>
  <c r="AE468" i="62"/>
  <c r="AE467" i="62"/>
  <c r="AE466" i="62"/>
  <c r="AE465" i="62"/>
  <c r="AE464" i="62"/>
  <c r="AE463" i="62"/>
  <c r="AE462" i="62"/>
  <c r="AE461" i="62"/>
  <c r="AE460" i="62"/>
  <c r="AE459" i="62"/>
  <c r="AE458" i="62"/>
  <c r="AE457" i="62"/>
  <c r="AE456" i="62"/>
  <c r="AE455" i="62"/>
  <c r="AE454" i="62"/>
  <c r="AE453" i="62"/>
  <c r="AE452" i="62"/>
  <c r="AE451" i="62"/>
  <c r="AE450" i="62"/>
  <c r="AE449" i="62"/>
  <c r="AE448" i="62"/>
  <c r="AE447" i="62"/>
  <c r="AE446" i="62"/>
  <c r="AE445" i="62"/>
  <c r="AE444" i="62"/>
  <c r="AG443" i="62"/>
  <c r="AF443" i="62"/>
  <c r="AC443" i="62"/>
  <c r="AG442" i="62"/>
  <c r="AF442" i="62"/>
  <c r="AG441" i="62"/>
  <c r="AF441" i="62"/>
  <c r="AG440" i="62"/>
  <c r="AF440" i="62"/>
  <c r="AG439" i="62"/>
  <c r="AF439" i="62"/>
  <c r="AD439" i="62"/>
  <c r="AG438" i="62"/>
  <c r="AF438" i="62"/>
  <c r="AG437" i="62"/>
  <c r="AF437" i="62"/>
  <c r="AG436" i="62"/>
  <c r="AF436" i="62"/>
  <c r="AG435" i="62"/>
  <c r="AF435" i="62"/>
  <c r="AG434" i="62"/>
  <c r="AF434" i="62"/>
  <c r="AG433" i="62"/>
  <c r="AF433" i="62"/>
  <c r="AG432" i="62"/>
  <c r="AF432" i="62"/>
  <c r="AG431" i="62"/>
  <c r="AF431" i="62"/>
  <c r="AG430" i="62"/>
  <c r="AF430" i="62"/>
  <c r="AG429" i="62"/>
  <c r="AF429" i="62"/>
  <c r="AG428" i="62"/>
  <c r="AF428" i="62"/>
  <c r="AB428" i="62"/>
  <c r="AG427" i="62"/>
  <c r="AF427" i="62"/>
  <c r="AG426" i="62"/>
  <c r="AF426" i="62"/>
  <c r="AG425" i="62"/>
  <c r="AF425" i="62"/>
  <c r="AG424" i="62"/>
  <c r="AF424" i="62"/>
  <c r="AG423" i="62"/>
  <c r="AF423" i="62"/>
  <c r="AG422" i="62"/>
  <c r="AF422" i="62"/>
  <c r="AG421" i="62"/>
  <c r="AF421" i="62"/>
  <c r="AG420" i="62"/>
  <c r="AF420" i="62"/>
  <c r="AD420" i="62"/>
  <c r="AG419" i="62"/>
  <c r="AF419" i="62"/>
  <c r="AG418" i="62"/>
  <c r="AF418" i="62"/>
  <c r="AG417" i="62"/>
  <c r="AF417" i="62"/>
  <c r="AE416" i="62"/>
  <c r="AE415" i="62"/>
  <c r="AE414" i="62"/>
  <c r="AE413" i="62"/>
  <c r="AE412" i="62"/>
  <c r="AE411" i="62"/>
  <c r="AE410" i="62"/>
  <c r="AE409" i="62"/>
  <c r="AE408" i="62"/>
  <c r="AE407" i="62"/>
  <c r="AE406" i="62"/>
  <c r="AE405" i="62"/>
  <c r="AE404" i="62"/>
  <c r="AE403" i="62"/>
  <c r="AE402" i="62"/>
  <c r="AE401" i="62"/>
  <c r="AE400" i="62"/>
  <c r="AE399" i="62"/>
  <c r="AE398" i="62"/>
  <c r="AE397" i="62"/>
  <c r="AE396" i="62"/>
  <c r="AE395" i="62"/>
  <c r="AE394" i="62"/>
  <c r="AE393" i="62"/>
  <c r="AE392" i="62"/>
  <c r="AE391" i="62"/>
  <c r="AE390" i="62"/>
  <c r="AG389" i="62"/>
  <c r="AE389" i="62"/>
  <c r="AG388" i="62"/>
  <c r="AE388" i="62"/>
  <c r="AG387" i="62"/>
  <c r="AE387" i="62"/>
  <c r="AG386" i="62"/>
  <c r="AE386" i="62"/>
  <c r="AG385" i="62"/>
  <c r="AE385" i="62"/>
  <c r="AG384" i="62"/>
  <c r="AE384" i="62"/>
  <c r="AG383" i="62"/>
  <c r="AE383" i="62"/>
  <c r="AD383" i="62"/>
  <c r="AG382" i="62"/>
  <c r="AE382" i="62"/>
  <c r="AG381" i="62"/>
  <c r="AE381" i="62"/>
  <c r="AG380" i="62"/>
  <c r="AE380" i="62"/>
  <c r="AB380" i="62"/>
  <c r="AG379" i="62"/>
  <c r="AE379" i="62"/>
  <c r="AG378" i="62"/>
  <c r="AE378" i="62"/>
  <c r="AG377" i="62"/>
  <c r="AF377" i="62"/>
  <c r="AG376" i="62"/>
  <c r="AF376" i="62"/>
  <c r="AG375" i="62"/>
  <c r="AF375" i="62"/>
  <c r="AG374" i="62"/>
  <c r="AF374" i="62"/>
  <c r="AG373" i="62"/>
  <c r="AF373" i="62"/>
  <c r="AG372" i="62"/>
  <c r="AF372" i="62"/>
  <c r="AG371" i="62"/>
  <c r="AF371" i="62"/>
  <c r="AG370" i="62"/>
  <c r="AF370" i="62"/>
  <c r="AD370" i="62"/>
  <c r="AG369" i="62"/>
  <c r="AF369" i="62"/>
  <c r="AG368" i="62"/>
  <c r="AF368" i="62"/>
  <c r="AG367" i="62"/>
  <c r="AF367" i="62"/>
  <c r="AC367" i="62"/>
  <c r="AG366" i="62"/>
  <c r="AF366" i="62"/>
  <c r="AG365" i="62"/>
  <c r="AE365" i="62"/>
  <c r="AG364" i="62"/>
  <c r="AE364" i="62"/>
  <c r="AB364" i="62"/>
  <c r="AG363" i="62"/>
  <c r="AE363" i="62"/>
  <c r="AG362" i="62"/>
  <c r="AE362" i="62"/>
  <c r="AG361" i="62"/>
  <c r="AE361" i="62"/>
  <c r="AG360" i="62"/>
  <c r="AE360" i="62"/>
  <c r="AG359" i="62"/>
  <c r="AE359" i="62"/>
  <c r="AG358" i="62"/>
  <c r="AE358" i="62"/>
  <c r="AG357" i="62"/>
  <c r="AE357" i="62"/>
  <c r="AG356" i="62"/>
  <c r="AE356" i="62"/>
  <c r="AG355" i="62"/>
  <c r="AE355" i="62"/>
  <c r="AG354" i="62"/>
  <c r="AE354" i="62"/>
  <c r="AD354" i="62"/>
  <c r="AE353" i="62"/>
  <c r="AE352" i="62"/>
  <c r="AD352" i="62"/>
  <c r="AE351" i="62"/>
  <c r="AE350" i="62"/>
  <c r="AD350" i="62"/>
  <c r="AE349" i="62"/>
  <c r="AE348" i="62"/>
  <c r="AD348" i="62"/>
  <c r="AE347" i="62"/>
  <c r="AE346" i="62"/>
  <c r="AD346" i="62"/>
  <c r="AE345" i="62"/>
  <c r="AE344" i="62"/>
  <c r="AD344" i="62"/>
  <c r="AE343" i="62"/>
  <c r="AE342" i="62"/>
  <c r="AD342" i="62"/>
  <c r="AE341" i="62"/>
  <c r="AE340" i="62"/>
  <c r="AD340" i="62"/>
  <c r="AE339" i="62"/>
  <c r="AG338" i="62"/>
  <c r="AF338" i="62"/>
  <c r="AG337" i="62"/>
  <c r="AF337" i="62"/>
  <c r="AG336" i="62"/>
  <c r="AF336" i="62"/>
  <c r="AG335" i="62"/>
  <c r="AF335" i="62"/>
  <c r="AG334" i="62"/>
  <c r="AF334" i="62"/>
  <c r="AG333" i="62"/>
  <c r="AF333" i="62"/>
  <c r="AG332" i="62"/>
  <c r="AF332" i="62"/>
  <c r="AG331" i="62"/>
  <c r="AF331" i="62"/>
  <c r="AD331" i="62"/>
  <c r="AG330" i="62"/>
  <c r="AF330" i="62"/>
  <c r="AG329" i="62"/>
  <c r="AF329" i="62"/>
  <c r="AG328" i="62"/>
  <c r="AF328" i="62"/>
  <c r="AG327" i="62"/>
  <c r="AF327" i="62"/>
  <c r="AG326" i="62"/>
  <c r="AF326" i="62"/>
  <c r="AG325" i="62"/>
  <c r="AF325" i="62"/>
  <c r="AB325" i="62"/>
  <c r="AG324" i="62"/>
  <c r="AF324" i="62"/>
  <c r="AE323" i="62"/>
  <c r="AE322" i="62"/>
  <c r="AE321" i="62"/>
  <c r="AE320" i="62"/>
  <c r="AE319" i="62"/>
  <c r="AE318" i="62"/>
  <c r="AE317" i="62"/>
  <c r="AE316" i="62"/>
  <c r="AE315" i="62"/>
  <c r="AE314" i="62"/>
  <c r="AE313" i="62"/>
  <c r="AE312" i="62"/>
  <c r="AE311" i="62"/>
  <c r="AE310" i="62"/>
  <c r="AE309" i="62"/>
  <c r="AE308" i="62"/>
  <c r="AE307" i="62"/>
  <c r="AE306" i="62"/>
  <c r="AE305" i="62"/>
  <c r="AE304" i="62"/>
  <c r="AE303" i="62"/>
  <c r="AE302" i="62"/>
  <c r="AE301" i="62"/>
  <c r="AE300" i="62"/>
  <c r="AE299" i="62"/>
  <c r="AE298" i="62"/>
  <c r="AE297" i="62"/>
  <c r="AE296" i="62"/>
  <c r="AE295" i="62"/>
  <c r="AE294" i="62"/>
  <c r="AE293" i="62"/>
  <c r="AE292" i="62"/>
  <c r="AE291" i="62"/>
  <c r="AE290" i="62"/>
  <c r="AE289" i="62"/>
  <c r="AE288" i="62"/>
  <c r="AE287" i="62"/>
  <c r="AE286" i="62"/>
  <c r="AE285" i="62"/>
  <c r="AE284" i="62"/>
  <c r="AE283" i="62"/>
  <c r="AE282" i="62"/>
  <c r="AE281" i="62"/>
  <c r="AE280" i="62"/>
  <c r="AE279" i="62"/>
  <c r="AE278" i="62"/>
  <c r="AE277" i="62"/>
  <c r="AE276" i="62"/>
  <c r="AG275" i="62"/>
  <c r="AF275" i="62"/>
  <c r="AG274" i="62"/>
  <c r="AF274" i="62"/>
  <c r="AG273" i="62"/>
  <c r="AF273" i="62"/>
  <c r="AG272" i="62"/>
  <c r="AF272" i="62"/>
  <c r="AG271" i="62"/>
  <c r="AF271" i="62"/>
  <c r="AG270" i="62"/>
  <c r="AF270" i="62"/>
  <c r="AG269" i="62"/>
  <c r="AF269" i="62"/>
  <c r="AG268" i="62"/>
  <c r="AF268" i="62"/>
  <c r="AG267" i="62"/>
  <c r="AF267" i="62"/>
  <c r="AD267" i="62"/>
  <c r="AG266" i="62"/>
  <c r="AF266" i="62"/>
  <c r="AG265" i="62"/>
  <c r="AF265" i="62"/>
  <c r="AG264" i="62"/>
  <c r="AF264" i="62"/>
  <c r="AG263" i="62"/>
  <c r="AF263" i="62"/>
  <c r="AG262" i="62"/>
  <c r="AF262" i="62"/>
  <c r="AG261" i="62"/>
  <c r="AF261" i="62"/>
  <c r="AB261" i="62"/>
  <c r="AG260" i="62"/>
  <c r="AF260" i="62"/>
  <c r="AG259" i="62"/>
  <c r="AF259" i="62"/>
  <c r="AG258" i="62"/>
  <c r="AF258" i="62"/>
  <c r="AG257" i="62"/>
  <c r="AF257" i="62"/>
  <c r="AG256" i="62"/>
  <c r="AF256" i="62"/>
  <c r="AG255" i="62"/>
  <c r="AF255" i="62"/>
  <c r="AG254" i="62"/>
  <c r="AF254" i="62"/>
  <c r="AG253" i="62"/>
  <c r="AF253" i="62"/>
  <c r="AG252" i="62"/>
  <c r="AF252" i="62"/>
  <c r="AG251" i="62"/>
  <c r="AF251" i="62"/>
  <c r="AD251" i="62"/>
  <c r="AG250" i="62"/>
  <c r="AF250" i="62"/>
  <c r="AG249" i="62"/>
  <c r="AF249" i="62"/>
  <c r="AG248" i="62"/>
  <c r="AF248" i="62"/>
  <c r="AG247" i="62"/>
  <c r="AF247" i="62"/>
  <c r="AG246" i="62"/>
  <c r="AF246" i="62"/>
  <c r="AG245" i="62"/>
  <c r="AF245" i="62"/>
  <c r="AB245" i="62"/>
  <c r="AG244" i="62"/>
  <c r="AF244" i="62"/>
  <c r="AG243" i="62"/>
  <c r="AF243" i="62"/>
  <c r="AE242" i="62"/>
  <c r="AD242" i="62"/>
  <c r="AE241" i="62"/>
  <c r="AE240" i="62"/>
  <c r="AD240" i="62"/>
  <c r="AE239" i="62"/>
  <c r="AE238" i="62"/>
  <c r="AD238" i="62"/>
  <c r="AE237" i="62"/>
  <c r="AE236" i="62"/>
  <c r="AD236" i="62"/>
  <c r="AE235" i="62"/>
  <c r="AE234" i="62"/>
  <c r="AD234" i="62"/>
  <c r="AE233" i="62"/>
  <c r="AE232" i="62"/>
  <c r="AD232" i="62"/>
  <c r="AE231" i="62"/>
  <c r="AE230" i="62"/>
  <c r="AD230" i="62"/>
  <c r="AE229" i="62"/>
  <c r="AE228" i="62"/>
  <c r="AD228" i="62"/>
  <c r="AE227" i="62"/>
  <c r="AE226" i="62"/>
  <c r="AD226" i="62"/>
  <c r="AE225" i="62"/>
  <c r="AE224" i="62"/>
  <c r="AD224" i="62"/>
  <c r="AE223" i="62"/>
  <c r="AE222" i="62"/>
  <c r="AD222" i="62"/>
  <c r="AE221" i="62"/>
  <c r="AE220" i="62"/>
  <c r="AD220" i="62"/>
  <c r="AE219" i="62"/>
  <c r="AE218" i="62"/>
  <c r="AD218" i="62"/>
  <c r="AE217" i="62"/>
  <c r="AE216" i="62"/>
  <c r="AD216" i="62"/>
  <c r="AE215" i="62"/>
  <c r="AE214" i="62"/>
  <c r="AD214" i="62"/>
  <c r="AE213" i="62"/>
  <c r="AE212" i="62"/>
  <c r="AD212" i="62"/>
  <c r="AE211" i="62"/>
  <c r="AE210" i="62"/>
  <c r="AD210" i="62"/>
  <c r="AG209" i="62"/>
  <c r="AF209" i="62"/>
  <c r="AG208" i="62"/>
  <c r="AF208" i="62"/>
  <c r="AG207" i="62"/>
  <c r="AF207" i="62"/>
  <c r="AC207" i="62"/>
  <c r="AG206" i="62"/>
  <c r="AF206" i="62"/>
  <c r="AG205" i="62"/>
  <c r="AF205" i="62"/>
  <c r="AG204" i="62"/>
  <c r="AF204" i="62"/>
  <c r="AB204" i="62"/>
  <c r="AG203" i="62"/>
  <c r="AF203" i="62"/>
  <c r="AG202" i="62"/>
  <c r="AF202" i="62"/>
  <c r="AG201" i="62"/>
  <c r="AF201" i="62"/>
  <c r="AG200" i="62"/>
  <c r="AF200" i="62"/>
  <c r="AG199" i="62"/>
  <c r="AF199" i="62"/>
  <c r="AG198" i="62"/>
  <c r="AF198" i="62"/>
  <c r="AG197" i="62"/>
  <c r="AF197" i="62"/>
  <c r="AG196" i="62"/>
  <c r="AF196" i="62"/>
  <c r="AG195" i="62"/>
  <c r="AF195" i="62"/>
  <c r="AG194" i="62"/>
  <c r="AF194" i="62"/>
  <c r="AD194" i="62"/>
  <c r="AG193" i="62"/>
  <c r="AF193" i="62"/>
  <c r="AG192" i="62"/>
  <c r="AF192" i="62"/>
  <c r="AG191" i="62"/>
  <c r="AF191" i="62"/>
  <c r="AC191" i="62"/>
  <c r="AG190" i="62"/>
  <c r="AF190" i="62"/>
  <c r="AG189" i="62"/>
  <c r="AF189" i="62"/>
  <c r="AG188" i="62"/>
  <c r="AF188" i="62"/>
  <c r="AB188" i="62"/>
  <c r="AG187" i="62"/>
  <c r="AF187" i="62"/>
  <c r="AG186" i="62"/>
  <c r="AF186" i="62"/>
  <c r="AG185" i="62"/>
  <c r="AF185" i="62"/>
  <c r="AG184" i="62"/>
  <c r="AF184" i="62"/>
  <c r="AG183" i="62"/>
  <c r="AF183" i="62"/>
  <c r="AG182" i="62"/>
  <c r="AF182" i="62"/>
  <c r="AG181" i="62"/>
  <c r="AF181" i="62"/>
  <c r="AG180" i="62"/>
  <c r="AF180" i="62"/>
  <c r="AG179" i="62"/>
  <c r="AF179" i="62"/>
  <c r="AG178" i="62"/>
  <c r="AF178" i="62"/>
  <c r="AD178" i="62"/>
  <c r="AG177" i="62"/>
  <c r="AF177" i="62"/>
  <c r="AG176" i="62"/>
  <c r="AF176" i="62"/>
  <c r="AG175" i="62"/>
  <c r="AF175" i="62"/>
  <c r="AC175" i="62"/>
  <c r="AG174" i="62"/>
  <c r="AF174" i="62"/>
  <c r="AG173" i="62"/>
  <c r="AF173" i="62"/>
  <c r="AG172" i="62"/>
  <c r="AF172" i="62"/>
  <c r="AB172" i="62"/>
  <c r="AG171" i="62"/>
  <c r="AF171" i="62"/>
  <c r="AG170" i="62"/>
  <c r="AF170" i="62"/>
  <c r="AG169" i="62"/>
  <c r="AF169" i="62"/>
  <c r="AG168" i="62"/>
  <c r="AF168" i="62"/>
  <c r="AG167" i="62"/>
  <c r="AF167" i="62"/>
  <c r="AG166" i="62"/>
  <c r="AF166" i="62"/>
  <c r="AG165" i="62"/>
  <c r="AF165" i="62"/>
  <c r="AG164" i="62"/>
  <c r="AF164" i="62"/>
  <c r="AG163" i="62"/>
  <c r="AF163" i="62"/>
  <c r="AG162" i="62"/>
  <c r="AF162" i="62"/>
  <c r="AD162" i="62"/>
  <c r="AG161" i="62"/>
  <c r="AF161" i="62"/>
  <c r="AG160" i="62"/>
  <c r="AF160" i="62"/>
  <c r="AG159" i="62"/>
  <c r="AF159" i="62"/>
  <c r="AC159" i="62"/>
  <c r="AG158" i="62"/>
  <c r="AF158" i="62"/>
  <c r="AG157" i="62"/>
  <c r="AF157" i="62"/>
  <c r="AG156" i="62"/>
  <c r="AF156" i="62"/>
  <c r="AB156" i="62"/>
  <c r="AG155" i="62"/>
  <c r="AF155" i="62"/>
  <c r="AG154" i="62"/>
  <c r="AF154" i="62"/>
  <c r="AG153" i="62"/>
  <c r="AF153" i="62"/>
  <c r="AG152" i="62"/>
  <c r="AF152" i="62"/>
  <c r="AG151" i="62"/>
  <c r="AF151" i="62"/>
  <c r="AG150" i="62"/>
  <c r="AF150" i="62"/>
  <c r="AG149" i="62"/>
  <c r="AF149" i="62"/>
  <c r="AG148" i="62"/>
  <c r="AF148" i="62"/>
  <c r="AG147" i="62"/>
  <c r="AF147" i="62"/>
  <c r="AG146" i="62"/>
  <c r="AF146" i="62"/>
  <c r="AD146" i="62"/>
  <c r="AG145" i="62"/>
  <c r="AF145" i="62"/>
  <c r="AG144" i="62"/>
  <c r="AF144" i="62"/>
  <c r="AG143" i="62"/>
  <c r="AF143" i="62"/>
  <c r="AC143" i="62"/>
  <c r="AG142" i="62"/>
  <c r="AF142" i="62"/>
  <c r="AG141" i="62"/>
  <c r="AF141" i="62"/>
  <c r="AG140" i="62"/>
  <c r="AF140" i="62"/>
  <c r="AB140" i="62"/>
  <c r="AG139" i="62"/>
  <c r="AF139" i="62"/>
  <c r="AG138" i="62"/>
  <c r="AF138" i="62"/>
  <c r="AG137" i="62"/>
  <c r="AF137" i="62"/>
  <c r="AG136" i="62"/>
  <c r="AF136" i="62"/>
  <c r="AG135" i="62"/>
  <c r="AF135" i="62"/>
  <c r="AG134" i="62"/>
  <c r="AF134" i="62"/>
  <c r="AG133" i="62"/>
  <c r="AF133" i="62"/>
  <c r="AG132" i="62"/>
  <c r="AF132" i="62"/>
  <c r="AG131" i="62"/>
  <c r="AF131" i="62"/>
  <c r="AG130" i="62"/>
  <c r="AF130" i="62"/>
  <c r="AD130" i="62"/>
  <c r="AG129" i="62"/>
  <c r="AF129" i="62"/>
  <c r="AG128" i="62"/>
  <c r="AF128" i="62"/>
  <c r="AG127" i="62"/>
  <c r="AF127" i="62"/>
  <c r="AC127" i="62"/>
  <c r="AG126" i="62"/>
  <c r="AF126" i="62"/>
  <c r="AC125" i="62"/>
  <c r="AB120" i="62"/>
  <c r="AD114" i="62"/>
  <c r="AC109" i="62"/>
  <c r="AB104" i="62"/>
  <c r="AG97" i="62"/>
  <c r="AG96" i="62"/>
  <c r="AG95" i="62"/>
  <c r="AG94" i="62"/>
  <c r="AG93" i="62"/>
  <c r="AG92" i="62"/>
  <c r="AG91" i="62"/>
  <c r="AG90" i="62"/>
  <c r="AG89" i="62"/>
  <c r="AG88" i="62"/>
  <c r="AG87" i="62"/>
  <c r="AG86" i="62"/>
  <c r="AG85" i="62"/>
  <c r="AE85" i="62"/>
  <c r="AB85" i="62"/>
  <c r="AG84" i="62"/>
  <c r="AE84" i="62"/>
  <c r="AG83" i="62"/>
  <c r="AE83" i="62"/>
  <c r="AD83" i="62"/>
  <c r="AG82" i="62"/>
  <c r="AE82" i="62"/>
  <c r="AG81" i="62"/>
  <c r="AE81" i="62"/>
  <c r="AB81" i="62"/>
  <c r="AG80" i="62"/>
  <c r="AE80" i="62"/>
  <c r="AG79" i="62"/>
  <c r="AE79" i="62"/>
  <c r="AD79" i="62"/>
  <c r="AG78" i="62"/>
  <c r="AE78" i="62"/>
  <c r="AG77" i="62"/>
  <c r="AE77" i="62"/>
  <c r="AB77" i="62"/>
  <c r="AG76" i="62"/>
  <c r="AE76" i="62"/>
  <c r="AG75" i="62"/>
  <c r="AE75" i="62"/>
  <c r="AD75" i="62"/>
  <c r="AG74" i="62"/>
  <c r="AE74" i="62"/>
  <c r="AG73" i="62"/>
  <c r="AG72" i="62"/>
  <c r="AG71" i="62"/>
  <c r="AG70" i="62"/>
  <c r="AG69" i="62"/>
  <c r="AG68" i="62"/>
  <c r="AG67" i="62"/>
  <c r="AG66" i="62"/>
  <c r="AG65" i="62"/>
  <c r="AG64" i="62"/>
  <c r="AG63" i="62"/>
  <c r="AG62" i="62"/>
  <c r="AG37" i="62"/>
  <c r="AG36" i="62"/>
  <c r="AG35" i="62"/>
  <c r="AG34" i="62"/>
  <c r="AG33" i="62"/>
  <c r="AG32" i="62"/>
  <c r="AG31" i="62"/>
  <c r="AG30" i="62"/>
  <c r="AG29" i="62"/>
  <c r="AG28" i="62"/>
  <c r="AG27" i="62"/>
  <c r="AG26" i="62"/>
  <c r="AG25" i="62"/>
  <c r="AE25" i="62"/>
  <c r="AB25" i="62"/>
  <c r="AG24" i="62"/>
  <c r="AE24" i="62"/>
  <c r="AG23" i="62"/>
  <c r="AE23" i="62"/>
  <c r="AD23" i="62"/>
  <c r="AG22" i="62"/>
  <c r="AE22" i="62"/>
  <c r="AG21" i="62"/>
  <c r="AE21" i="62"/>
  <c r="AB21" i="62"/>
  <c r="AG20" i="62"/>
  <c r="AE20" i="62"/>
  <c r="AG19" i="62"/>
  <c r="AE19" i="62"/>
  <c r="AD19" i="62"/>
  <c r="AG18" i="62"/>
  <c r="AE18" i="62"/>
  <c r="AG17" i="62"/>
  <c r="AE17" i="62"/>
  <c r="AB17" i="62"/>
  <c r="AG16" i="62"/>
  <c r="AE16" i="62"/>
  <c r="AG15" i="62"/>
  <c r="AE15" i="62"/>
  <c r="AD15" i="62"/>
  <c r="AG14" i="62"/>
  <c r="AE14" i="62"/>
  <c r="AG13" i="62"/>
  <c r="AG12" i="62"/>
  <c r="AG11" i="62"/>
  <c r="AG10" i="62"/>
  <c r="AG9" i="62"/>
  <c r="AG8" i="62"/>
  <c r="AG7" i="62"/>
  <c r="AG6" i="62"/>
  <c r="AG5" i="62"/>
  <c r="AG4" i="62"/>
  <c r="AG3" i="62"/>
  <c r="AG2" i="62"/>
  <c r="X1099" i="62"/>
  <c r="AD1099" i="62" s="1"/>
  <c r="W1099" i="62"/>
  <c r="AC1099" i="62" s="1"/>
  <c r="V1099" i="62"/>
  <c r="AB1099" i="62" s="1"/>
  <c r="X1098" i="62"/>
  <c r="AD1098" i="62" s="1"/>
  <c r="W1098" i="62"/>
  <c r="AC1098" i="62" s="1"/>
  <c r="V1098" i="62"/>
  <c r="AB1098" i="62" s="1"/>
  <c r="X1097" i="62"/>
  <c r="AD1097" i="62" s="1"/>
  <c r="W1097" i="62"/>
  <c r="AC1097" i="62" s="1"/>
  <c r="V1097" i="62"/>
  <c r="AB1097" i="62" s="1"/>
  <c r="X1096" i="62"/>
  <c r="AD1096" i="62" s="1"/>
  <c r="W1096" i="62"/>
  <c r="AC1096" i="62" s="1"/>
  <c r="V1096" i="62"/>
  <c r="AB1096" i="62" s="1"/>
  <c r="X1095" i="62"/>
  <c r="AD1095" i="62" s="1"/>
  <c r="W1095" i="62"/>
  <c r="AC1095" i="62" s="1"/>
  <c r="V1095" i="62"/>
  <c r="AB1095" i="62" s="1"/>
  <c r="X1094" i="62"/>
  <c r="AD1094" i="62" s="1"/>
  <c r="W1094" i="62"/>
  <c r="AC1094" i="62" s="1"/>
  <c r="V1094" i="62"/>
  <c r="AB1094" i="62" s="1"/>
  <c r="X1093" i="62"/>
  <c r="AD1093" i="62" s="1"/>
  <c r="W1093" i="62"/>
  <c r="AC1093" i="62" s="1"/>
  <c r="V1093" i="62"/>
  <c r="AB1093" i="62" s="1"/>
  <c r="X1092" i="62"/>
  <c r="AD1092" i="62" s="1"/>
  <c r="W1092" i="62"/>
  <c r="AC1092" i="62" s="1"/>
  <c r="V1092" i="62"/>
  <c r="AB1092" i="62" s="1"/>
  <c r="X1091" i="62"/>
  <c r="AD1091" i="62" s="1"/>
  <c r="W1091" i="62"/>
  <c r="AC1091" i="62" s="1"/>
  <c r="V1091" i="62"/>
  <c r="AB1091" i="62" s="1"/>
  <c r="X1090" i="62"/>
  <c r="AD1090" i="62" s="1"/>
  <c r="W1090" i="62"/>
  <c r="AC1090" i="62" s="1"/>
  <c r="V1090" i="62"/>
  <c r="AB1090" i="62" s="1"/>
  <c r="X1089" i="62"/>
  <c r="AD1089" i="62" s="1"/>
  <c r="W1089" i="62"/>
  <c r="AC1089" i="62" s="1"/>
  <c r="V1089" i="62"/>
  <c r="AB1089" i="62" s="1"/>
  <c r="X1088" i="62"/>
  <c r="AD1088" i="62" s="1"/>
  <c r="W1088" i="62"/>
  <c r="AC1088" i="62" s="1"/>
  <c r="V1088" i="62"/>
  <c r="AB1088" i="62" s="1"/>
  <c r="X1087" i="62"/>
  <c r="AD1087" i="62" s="1"/>
  <c r="W1087" i="62"/>
  <c r="AC1087" i="62" s="1"/>
  <c r="V1087" i="62"/>
  <c r="AB1087" i="62" s="1"/>
  <c r="X1086" i="62"/>
  <c r="AD1086" i="62" s="1"/>
  <c r="W1086" i="62"/>
  <c r="AC1086" i="62" s="1"/>
  <c r="V1086" i="62"/>
  <c r="AB1086" i="62" s="1"/>
  <c r="X1085" i="62"/>
  <c r="AD1085" i="62" s="1"/>
  <c r="W1085" i="62"/>
  <c r="AC1085" i="62" s="1"/>
  <c r="V1085" i="62"/>
  <c r="AB1085" i="62" s="1"/>
  <c r="X1084" i="62"/>
  <c r="AD1084" i="62" s="1"/>
  <c r="W1084" i="62"/>
  <c r="AC1084" i="62" s="1"/>
  <c r="V1084" i="62"/>
  <c r="AB1084" i="62" s="1"/>
  <c r="X1083" i="62"/>
  <c r="AD1083" i="62" s="1"/>
  <c r="AO7" i="62" s="1"/>
  <c r="W1083" i="62"/>
  <c r="AC1083" i="62" s="1"/>
  <c r="V1083" i="62"/>
  <c r="AB1083" i="62" s="1"/>
  <c r="V1082" i="62"/>
  <c r="AB1082" i="62" s="1"/>
  <c r="V1081" i="62"/>
  <c r="AB1081" i="62" s="1"/>
  <c r="V1080" i="62"/>
  <c r="AB1080" i="62" s="1"/>
  <c r="V1079" i="62"/>
  <c r="AB1079" i="62" s="1"/>
  <c r="V1078" i="62"/>
  <c r="AB1078" i="62" s="1"/>
  <c r="V1077" i="62"/>
  <c r="AB1077" i="62" s="1"/>
  <c r="V1076" i="62"/>
  <c r="AB1076" i="62" s="1"/>
  <c r="V1075" i="62"/>
  <c r="AB1075" i="62" s="1"/>
  <c r="V1074" i="62"/>
  <c r="AB1074" i="62" s="1"/>
  <c r="V1073" i="62"/>
  <c r="AB1073" i="62" s="1"/>
  <c r="V1072" i="62"/>
  <c r="AB1072" i="62" s="1"/>
  <c r="V1071" i="62"/>
  <c r="AB1071" i="62" s="1"/>
  <c r="V1070" i="62"/>
  <c r="AB1070" i="62" s="1"/>
  <c r="V1069" i="62"/>
  <c r="AB1069" i="62" s="1"/>
  <c r="X1068" i="62"/>
  <c r="AD1068" i="62" s="1"/>
  <c r="W1068" i="62"/>
  <c r="AC1068" i="62" s="1"/>
  <c r="V1068" i="62"/>
  <c r="AB1068" i="62" s="1"/>
  <c r="X1067" i="62"/>
  <c r="AD1067" i="62" s="1"/>
  <c r="W1067" i="62"/>
  <c r="AC1067" i="62" s="1"/>
  <c r="V1067" i="62"/>
  <c r="AB1067" i="62" s="1"/>
  <c r="X1066" i="62"/>
  <c r="AD1066" i="62" s="1"/>
  <c r="W1066" i="62"/>
  <c r="AC1066" i="62" s="1"/>
  <c r="V1066" i="62"/>
  <c r="AB1066" i="62" s="1"/>
  <c r="X1065" i="62"/>
  <c r="AD1065" i="62" s="1"/>
  <c r="W1065" i="62"/>
  <c r="AC1065" i="62" s="1"/>
  <c r="V1065" i="62"/>
  <c r="AB1065" i="62" s="1"/>
  <c r="X1064" i="62"/>
  <c r="AD1064" i="62" s="1"/>
  <c r="W1064" i="62"/>
  <c r="AC1064" i="62" s="1"/>
  <c r="V1064" i="62"/>
  <c r="AB1064" i="62" s="1"/>
  <c r="X1063" i="62"/>
  <c r="AD1063" i="62" s="1"/>
  <c r="W1063" i="62"/>
  <c r="AC1063" i="62" s="1"/>
  <c r="V1063" i="62"/>
  <c r="AB1063" i="62" s="1"/>
  <c r="X1062" i="62"/>
  <c r="AD1062" i="62" s="1"/>
  <c r="W1062" i="62"/>
  <c r="AC1062" i="62" s="1"/>
  <c r="V1062" i="62"/>
  <c r="AB1062" i="62" s="1"/>
  <c r="X1061" i="62"/>
  <c r="AD1061" i="62" s="1"/>
  <c r="W1061" i="62"/>
  <c r="AC1061" i="62" s="1"/>
  <c r="V1061" i="62"/>
  <c r="AB1061" i="62" s="1"/>
  <c r="X1060" i="62"/>
  <c r="AD1060" i="62" s="1"/>
  <c r="W1060" i="62"/>
  <c r="AC1060" i="62" s="1"/>
  <c r="V1060" i="62"/>
  <c r="AB1060" i="62" s="1"/>
  <c r="X1059" i="62"/>
  <c r="AD1059" i="62" s="1"/>
  <c r="W1059" i="62"/>
  <c r="AC1059" i="62" s="1"/>
  <c r="V1059" i="62"/>
  <c r="AB1059" i="62" s="1"/>
  <c r="X1058" i="62"/>
  <c r="AD1058" i="62" s="1"/>
  <c r="W1058" i="62"/>
  <c r="AC1058" i="62" s="1"/>
  <c r="V1058" i="62"/>
  <c r="AB1058" i="62" s="1"/>
  <c r="X1057" i="62"/>
  <c r="AD1057" i="62" s="1"/>
  <c r="W1057" i="62"/>
  <c r="AC1057" i="62" s="1"/>
  <c r="V1057" i="62"/>
  <c r="AB1057" i="62" s="1"/>
  <c r="X1056" i="62"/>
  <c r="AD1056" i="62" s="1"/>
  <c r="W1056" i="62"/>
  <c r="AC1056" i="62" s="1"/>
  <c r="V1056" i="62"/>
  <c r="AB1056" i="62" s="1"/>
  <c r="X1055" i="62"/>
  <c r="AD1055" i="62" s="1"/>
  <c r="W1055" i="62"/>
  <c r="AC1055" i="62" s="1"/>
  <c r="V1055" i="62"/>
  <c r="AB1055" i="62" s="1"/>
  <c r="X1054" i="62"/>
  <c r="AD1054" i="62" s="1"/>
  <c r="W1054" i="62"/>
  <c r="AC1054" i="62" s="1"/>
  <c r="V1054" i="62"/>
  <c r="AB1054" i="62" s="1"/>
  <c r="X1053" i="62"/>
  <c r="AD1053" i="62" s="1"/>
  <c r="W1053" i="62"/>
  <c r="AC1053" i="62" s="1"/>
  <c r="V1053" i="62"/>
  <c r="AB1053" i="62" s="1"/>
  <c r="X1052" i="62"/>
  <c r="AD1052" i="62" s="1"/>
  <c r="W1052" i="62"/>
  <c r="AC1052" i="62" s="1"/>
  <c r="V1052" i="62"/>
  <c r="AB1052" i="62" s="1"/>
  <c r="X1051" i="62"/>
  <c r="AD1051" i="62" s="1"/>
  <c r="W1051" i="62"/>
  <c r="AC1051" i="62" s="1"/>
  <c r="V1051" i="62"/>
  <c r="AB1051" i="62" s="1"/>
  <c r="X1050" i="62"/>
  <c r="AD1050" i="62" s="1"/>
  <c r="W1050" i="62"/>
  <c r="AC1050" i="62" s="1"/>
  <c r="V1050" i="62"/>
  <c r="AB1050" i="62" s="1"/>
  <c r="X1049" i="62"/>
  <c r="AD1049" i="62" s="1"/>
  <c r="W1049" i="62"/>
  <c r="AC1049" i="62" s="1"/>
  <c r="V1049" i="62"/>
  <c r="AB1049" i="62" s="1"/>
  <c r="X1048" i="62"/>
  <c r="AD1048" i="62" s="1"/>
  <c r="W1048" i="62"/>
  <c r="AC1048" i="62" s="1"/>
  <c r="V1048" i="62"/>
  <c r="AB1048" i="62" s="1"/>
  <c r="X1047" i="62"/>
  <c r="AD1047" i="62" s="1"/>
  <c r="W1047" i="62"/>
  <c r="AC1047" i="62" s="1"/>
  <c r="V1047" i="62"/>
  <c r="AB1047" i="62" s="1"/>
  <c r="X1046" i="62"/>
  <c r="AD1046" i="62" s="1"/>
  <c r="W1046" i="62"/>
  <c r="AC1046" i="62" s="1"/>
  <c r="V1046" i="62"/>
  <c r="AB1046" i="62" s="1"/>
  <c r="X1045" i="62"/>
  <c r="AD1045" i="62" s="1"/>
  <c r="W1045" i="62"/>
  <c r="AC1045" i="62" s="1"/>
  <c r="V1045" i="62"/>
  <c r="AB1045" i="62" s="1"/>
  <c r="X1044" i="62"/>
  <c r="AD1044" i="62" s="1"/>
  <c r="W1044" i="62"/>
  <c r="AC1044" i="62" s="1"/>
  <c r="V1044" i="62"/>
  <c r="AB1044" i="62" s="1"/>
  <c r="X1043" i="62"/>
  <c r="AD1043" i="62" s="1"/>
  <c r="W1043" i="62"/>
  <c r="AC1043" i="62" s="1"/>
  <c r="V1043" i="62"/>
  <c r="AB1043" i="62" s="1"/>
  <c r="X1042" i="62"/>
  <c r="AD1042" i="62" s="1"/>
  <c r="W1042" i="62"/>
  <c r="AC1042" i="62" s="1"/>
  <c r="V1042" i="62"/>
  <c r="AB1042" i="62" s="1"/>
  <c r="X1041" i="62"/>
  <c r="AD1041" i="62" s="1"/>
  <c r="W1041" i="62"/>
  <c r="AC1041" i="62" s="1"/>
  <c r="V1041" i="62"/>
  <c r="AB1041" i="62" s="1"/>
  <c r="X1040" i="62"/>
  <c r="AD1040" i="62" s="1"/>
  <c r="W1040" i="62"/>
  <c r="AC1040" i="62" s="1"/>
  <c r="V1040" i="62"/>
  <c r="AB1040" i="62" s="1"/>
  <c r="X1039" i="62"/>
  <c r="AD1039" i="62" s="1"/>
  <c r="W1039" i="62"/>
  <c r="AC1039" i="62" s="1"/>
  <c r="V1039" i="62"/>
  <c r="AB1039" i="62" s="1"/>
  <c r="X1038" i="62"/>
  <c r="AD1038" i="62" s="1"/>
  <c r="W1038" i="62"/>
  <c r="AC1038" i="62" s="1"/>
  <c r="V1038" i="62"/>
  <c r="AB1038" i="62" s="1"/>
  <c r="X1037" i="62"/>
  <c r="AD1037" i="62" s="1"/>
  <c r="W1037" i="62"/>
  <c r="AC1037" i="62" s="1"/>
  <c r="V1037" i="62"/>
  <c r="AB1037" i="62" s="1"/>
  <c r="X1036" i="62"/>
  <c r="AD1036" i="62" s="1"/>
  <c r="W1036" i="62"/>
  <c r="AC1036" i="62" s="1"/>
  <c r="V1036" i="62"/>
  <c r="AB1036" i="62" s="1"/>
  <c r="X1035" i="62"/>
  <c r="AD1035" i="62" s="1"/>
  <c r="W1035" i="62"/>
  <c r="AC1035" i="62" s="1"/>
  <c r="V1035" i="62"/>
  <c r="AB1035" i="62" s="1"/>
  <c r="X1034" i="62"/>
  <c r="AD1034" i="62" s="1"/>
  <c r="W1034" i="62"/>
  <c r="AC1034" i="62" s="1"/>
  <c r="V1034" i="62"/>
  <c r="AB1034" i="62" s="1"/>
  <c r="X1033" i="62"/>
  <c r="AD1033" i="62" s="1"/>
  <c r="W1033" i="62"/>
  <c r="AC1033" i="62" s="1"/>
  <c r="V1033" i="62"/>
  <c r="AB1033" i="62" s="1"/>
  <c r="X1032" i="62"/>
  <c r="AD1032" i="62" s="1"/>
  <c r="W1032" i="62"/>
  <c r="AC1032" i="62" s="1"/>
  <c r="V1032" i="62"/>
  <c r="AB1032" i="62" s="1"/>
  <c r="X1031" i="62"/>
  <c r="AD1031" i="62" s="1"/>
  <c r="W1031" i="62"/>
  <c r="AC1031" i="62" s="1"/>
  <c r="V1031" i="62"/>
  <c r="AB1031" i="62" s="1"/>
  <c r="X1030" i="62"/>
  <c r="AD1030" i="62" s="1"/>
  <c r="W1030" i="62"/>
  <c r="AC1030" i="62" s="1"/>
  <c r="V1030" i="62"/>
  <c r="AB1030" i="62" s="1"/>
  <c r="X1029" i="62"/>
  <c r="AD1029" i="62" s="1"/>
  <c r="W1029" i="62"/>
  <c r="AC1029" i="62" s="1"/>
  <c r="V1029" i="62"/>
  <c r="AB1029" i="62" s="1"/>
  <c r="X1028" i="62"/>
  <c r="AD1028" i="62" s="1"/>
  <c r="W1028" i="62"/>
  <c r="AC1028" i="62" s="1"/>
  <c r="V1028" i="62"/>
  <c r="AB1028" i="62" s="1"/>
  <c r="X1027" i="62"/>
  <c r="AD1027" i="62" s="1"/>
  <c r="W1027" i="62"/>
  <c r="AC1027" i="62" s="1"/>
  <c r="V1027" i="62"/>
  <c r="AB1027" i="62" s="1"/>
  <c r="X1026" i="62"/>
  <c r="AD1026" i="62" s="1"/>
  <c r="W1026" i="62"/>
  <c r="AC1026" i="62" s="1"/>
  <c r="V1026" i="62"/>
  <c r="AB1026" i="62" s="1"/>
  <c r="X1025" i="62"/>
  <c r="AD1025" i="62" s="1"/>
  <c r="W1025" i="62"/>
  <c r="AC1025" i="62" s="1"/>
  <c r="V1025" i="62"/>
  <c r="AB1025" i="62" s="1"/>
  <c r="X1024" i="62"/>
  <c r="AD1024" i="62" s="1"/>
  <c r="W1024" i="62"/>
  <c r="AC1024" i="62" s="1"/>
  <c r="V1024" i="62"/>
  <c r="AB1024" i="62" s="1"/>
  <c r="X1023" i="62"/>
  <c r="AD1023" i="62" s="1"/>
  <c r="W1023" i="62"/>
  <c r="AC1023" i="62" s="1"/>
  <c r="V1023" i="62"/>
  <c r="AB1023" i="62" s="1"/>
  <c r="X1022" i="62"/>
  <c r="AD1022" i="62" s="1"/>
  <c r="W1022" i="62"/>
  <c r="AC1022" i="62" s="1"/>
  <c r="V1022" i="62"/>
  <c r="AB1022" i="62" s="1"/>
  <c r="X1021" i="62"/>
  <c r="AD1021" i="62" s="1"/>
  <c r="W1021" i="62"/>
  <c r="AC1021" i="62" s="1"/>
  <c r="V1021" i="62"/>
  <c r="AB1021" i="62" s="1"/>
  <c r="X1020" i="62"/>
  <c r="AD1020" i="62" s="1"/>
  <c r="W1020" i="62"/>
  <c r="AC1020" i="62" s="1"/>
  <c r="V1020" i="62"/>
  <c r="AB1020" i="62" s="1"/>
  <c r="X1019" i="62"/>
  <c r="AD1019" i="62" s="1"/>
  <c r="W1019" i="62"/>
  <c r="AC1019" i="62" s="1"/>
  <c r="V1019" i="62"/>
  <c r="AB1019" i="62" s="1"/>
  <c r="X1018" i="62"/>
  <c r="AD1018" i="62" s="1"/>
  <c r="W1018" i="62"/>
  <c r="AC1018" i="62" s="1"/>
  <c r="V1018" i="62"/>
  <c r="AB1018" i="62" s="1"/>
  <c r="X1017" i="62"/>
  <c r="AD1017" i="62" s="1"/>
  <c r="W1017" i="62"/>
  <c r="AC1017" i="62" s="1"/>
  <c r="V1017" i="62"/>
  <c r="AB1017" i="62" s="1"/>
  <c r="X1016" i="62"/>
  <c r="AD1016" i="62" s="1"/>
  <c r="W1016" i="62"/>
  <c r="AC1016" i="62" s="1"/>
  <c r="V1016" i="62"/>
  <c r="AB1016" i="62" s="1"/>
  <c r="X1015" i="62"/>
  <c r="AD1015" i="62" s="1"/>
  <c r="W1015" i="62"/>
  <c r="AC1015" i="62" s="1"/>
  <c r="V1015" i="62"/>
  <c r="AB1015" i="62" s="1"/>
  <c r="X1014" i="62"/>
  <c r="AD1014" i="62" s="1"/>
  <c r="W1014" i="62"/>
  <c r="AC1014" i="62" s="1"/>
  <c r="V1014" i="62"/>
  <c r="AB1014" i="62" s="1"/>
  <c r="X1013" i="62"/>
  <c r="AD1013" i="62" s="1"/>
  <c r="W1013" i="62"/>
  <c r="AC1013" i="62" s="1"/>
  <c r="V1013" i="62"/>
  <c r="AB1013" i="62" s="1"/>
  <c r="X1012" i="62"/>
  <c r="AD1012" i="62" s="1"/>
  <c r="W1012" i="62"/>
  <c r="AC1012" i="62" s="1"/>
  <c r="V1012" i="62"/>
  <c r="AB1012" i="62" s="1"/>
  <c r="X1011" i="62"/>
  <c r="AD1011" i="62" s="1"/>
  <c r="W1011" i="62"/>
  <c r="AC1011" i="62" s="1"/>
  <c r="V1011" i="62"/>
  <c r="AB1011" i="62" s="1"/>
  <c r="X1010" i="62"/>
  <c r="AD1010" i="62" s="1"/>
  <c r="W1010" i="62"/>
  <c r="AC1010" i="62" s="1"/>
  <c r="V1010" i="62"/>
  <c r="AB1010" i="62" s="1"/>
  <c r="X1009" i="62"/>
  <c r="AD1009" i="62" s="1"/>
  <c r="W1009" i="62"/>
  <c r="AC1009" i="62" s="1"/>
  <c r="V1009" i="62"/>
  <c r="AB1009" i="62" s="1"/>
  <c r="X1008" i="62"/>
  <c r="AD1008" i="62" s="1"/>
  <c r="W1008" i="62"/>
  <c r="AC1008" i="62" s="1"/>
  <c r="V1008" i="62"/>
  <c r="AB1008" i="62" s="1"/>
  <c r="X1007" i="62"/>
  <c r="AD1007" i="62" s="1"/>
  <c r="W1007" i="62"/>
  <c r="AC1007" i="62" s="1"/>
  <c r="V1007" i="62"/>
  <c r="AB1007" i="62" s="1"/>
  <c r="X1006" i="62"/>
  <c r="AD1006" i="62" s="1"/>
  <c r="W1006" i="62"/>
  <c r="AC1006" i="62" s="1"/>
  <c r="V1006" i="62"/>
  <c r="AB1006" i="62" s="1"/>
  <c r="X1005" i="62"/>
  <c r="AD1005" i="62" s="1"/>
  <c r="W1005" i="62"/>
  <c r="AC1005" i="62" s="1"/>
  <c r="V1005" i="62"/>
  <c r="AB1005" i="62" s="1"/>
  <c r="X1004" i="62"/>
  <c r="AD1004" i="62" s="1"/>
  <c r="W1004" i="62"/>
  <c r="AC1004" i="62" s="1"/>
  <c r="V1004" i="62"/>
  <c r="AB1004" i="62" s="1"/>
  <c r="X1003" i="62"/>
  <c r="AD1003" i="62" s="1"/>
  <c r="W1003" i="62"/>
  <c r="AC1003" i="62" s="1"/>
  <c r="V1003" i="62"/>
  <c r="AB1003" i="62" s="1"/>
  <c r="X1002" i="62"/>
  <c r="AD1002" i="62" s="1"/>
  <c r="W1002" i="62"/>
  <c r="AC1002" i="62" s="1"/>
  <c r="V1002" i="62"/>
  <c r="AB1002" i="62" s="1"/>
  <c r="X1001" i="62"/>
  <c r="AD1001" i="62" s="1"/>
  <c r="W1001" i="62"/>
  <c r="AC1001" i="62" s="1"/>
  <c r="V1001" i="62"/>
  <c r="AB1001" i="62" s="1"/>
  <c r="X1000" i="62"/>
  <c r="AD1000" i="62" s="1"/>
  <c r="W1000" i="62"/>
  <c r="AC1000" i="62" s="1"/>
  <c r="V1000" i="62"/>
  <c r="AB1000" i="62" s="1"/>
  <c r="X999" i="62"/>
  <c r="AD999" i="62" s="1"/>
  <c r="W999" i="62"/>
  <c r="AC999" i="62" s="1"/>
  <c r="V999" i="62"/>
  <c r="AB999" i="62" s="1"/>
  <c r="X998" i="62"/>
  <c r="AD998" i="62" s="1"/>
  <c r="W998" i="62"/>
  <c r="AC998" i="62" s="1"/>
  <c r="V998" i="62"/>
  <c r="AB998" i="62" s="1"/>
  <c r="X997" i="62"/>
  <c r="AD997" i="62" s="1"/>
  <c r="W997" i="62"/>
  <c r="AC997" i="62" s="1"/>
  <c r="V997" i="62"/>
  <c r="AB997" i="62" s="1"/>
  <c r="X996" i="62"/>
  <c r="AD996" i="62" s="1"/>
  <c r="W996" i="62"/>
  <c r="AC996" i="62" s="1"/>
  <c r="V996" i="62"/>
  <c r="AB996" i="62" s="1"/>
  <c r="X995" i="62"/>
  <c r="AD995" i="62" s="1"/>
  <c r="W995" i="62"/>
  <c r="AC995" i="62" s="1"/>
  <c r="V995" i="62"/>
  <c r="AB995" i="62" s="1"/>
  <c r="X994" i="62"/>
  <c r="AD994" i="62" s="1"/>
  <c r="W994" i="62"/>
  <c r="AC994" i="62" s="1"/>
  <c r="V994" i="62"/>
  <c r="AB994" i="62" s="1"/>
  <c r="X993" i="62"/>
  <c r="AD993" i="62" s="1"/>
  <c r="W993" i="62"/>
  <c r="AC993" i="62" s="1"/>
  <c r="V993" i="62"/>
  <c r="AB993" i="62" s="1"/>
  <c r="X992" i="62"/>
  <c r="AD992" i="62" s="1"/>
  <c r="W992" i="62"/>
  <c r="AC992" i="62" s="1"/>
  <c r="V992" i="62"/>
  <c r="AB992" i="62" s="1"/>
  <c r="X991" i="62"/>
  <c r="AD991" i="62" s="1"/>
  <c r="W991" i="62"/>
  <c r="AC991" i="62" s="1"/>
  <c r="V991" i="62"/>
  <c r="AB991" i="62" s="1"/>
  <c r="X990" i="62"/>
  <c r="AD990" i="62" s="1"/>
  <c r="W990" i="62"/>
  <c r="AC990" i="62" s="1"/>
  <c r="V990" i="62"/>
  <c r="AB990" i="62" s="1"/>
  <c r="X989" i="62"/>
  <c r="AD989" i="62" s="1"/>
  <c r="W989" i="62"/>
  <c r="AC989" i="62" s="1"/>
  <c r="V989" i="62"/>
  <c r="AB989" i="62" s="1"/>
  <c r="X988" i="62"/>
  <c r="AD988" i="62" s="1"/>
  <c r="W988" i="62"/>
  <c r="AC988" i="62" s="1"/>
  <c r="V988" i="62"/>
  <c r="AB988" i="62" s="1"/>
  <c r="X987" i="62"/>
  <c r="AD987" i="62" s="1"/>
  <c r="W987" i="62"/>
  <c r="AC987" i="62" s="1"/>
  <c r="V987" i="62"/>
  <c r="AB987" i="62" s="1"/>
  <c r="X986" i="62"/>
  <c r="AD986" i="62" s="1"/>
  <c r="W986" i="62"/>
  <c r="AC986" i="62" s="1"/>
  <c r="V986" i="62"/>
  <c r="AB986" i="62" s="1"/>
  <c r="X985" i="62"/>
  <c r="AD985" i="62" s="1"/>
  <c r="W985" i="62"/>
  <c r="AC985" i="62" s="1"/>
  <c r="V985" i="62"/>
  <c r="AB985" i="62" s="1"/>
  <c r="X984" i="62"/>
  <c r="AD984" i="62" s="1"/>
  <c r="W984" i="62"/>
  <c r="AC984" i="62" s="1"/>
  <c r="V984" i="62"/>
  <c r="AB984" i="62" s="1"/>
  <c r="X983" i="62"/>
  <c r="AD983" i="62" s="1"/>
  <c r="W983" i="62"/>
  <c r="AC983" i="62" s="1"/>
  <c r="V983" i="62"/>
  <c r="AB983" i="62" s="1"/>
  <c r="X982" i="62"/>
  <c r="AD982" i="62" s="1"/>
  <c r="W982" i="62"/>
  <c r="AC982" i="62" s="1"/>
  <c r="V982" i="62"/>
  <c r="AB982" i="62" s="1"/>
  <c r="X981" i="62"/>
  <c r="AD981" i="62" s="1"/>
  <c r="W981" i="62"/>
  <c r="AC981" i="62" s="1"/>
  <c r="V981" i="62"/>
  <c r="AB981" i="62" s="1"/>
  <c r="X980" i="62"/>
  <c r="AD980" i="62" s="1"/>
  <c r="W980" i="62"/>
  <c r="AC980" i="62" s="1"/>
  <c r="V980" i="62"/>
  <c r="AB980" i="62" s="1"/>
  <c r="X979" i="62"/>
  <c r="AD979" i="62" s="1"/>
  <c r="W979" i="62"/>
  <c r="AC979" i="62" s="1"/>
  <c r="V979" i="62"/>
  <c r="AB979" i="62" s="1"/>
  <c r="X978" i="62"/>
  <c r="AD978" i="62" s="1"/>
  <c r="W978" i="62"/>
  <c r="AC978" i="62" s="1"/>
  <c r="V978" i="62"/>
  <c r="AB978" i="62" s="1"/>
  <c r="X977" i="62"/>
  <c r="AD977" i="62" s="1"/>
  <c r="W977" i="62"/>
  <c r="AC977" i="62" s="1"/>
  <c r="V977" i="62"/>
  <c r="AB977" i="62" s="1"/>
  <c r="X976" i="62"/>
  <c r="AD976" i="62" s="1"/>
  <c r="W976" i="62"/>
  <c r="AC976" i="62" s="1"/>
  <c r="V976" i="62"/>
  <c r="AB976" i="62" s="1"/>
  <c r="X975" i="62"/>
  <c r="AD975" i="62" s="1"/>
  <c r="W975" i="62"/>
  <c r="AC975" i="62" s="1"/>
  <c r="V975" i="62"/>
  <c r="AB975" i="62" s="1"/>
  <c r="X974" i="62"/>
  <c r="AD974" i="62" s="1"/>
  <c r="W974" i="62"/>
  <c r="AC974" i="62" s="1"/>
  <c r="V974" i="62"/>
  <c r="AB974" i="62" s="1"/>
  <c r="X973" i="62"/>
  <c r="AD973" i="62" s="1"/>
  <c r="W973" i="62"/>
  <c r="AC973" i="62" s="1"/>
  <c r="V973" i="62"/>
  <c r="AB973" i="62" s="1"/>
  <c r="X972" i="62"/>
  <c r="AD972" i="62" s="1"/>
  <c r="W972" i="62"/>
  <c r="AC972" i="62" s="1"/>
  <c r="V972" i="62"/>
  <c r="AB972" i="62" s="1"/>
  <c r="X971" i="62"/>
  <c r="AD971" i="62" s="1"/>
  <c r="W971" i="62"/>
  <c r="AC971" i="62" s="1"/>
  <c r="V971" i="62"/>
  <c r="AB971" i="62" s="1"/>
  <c r="X970" i="62"/>
  <c r="AD970" i="62" s="1"/>
  <c r="W970" i="62"/>
  <c r="AC970" i="62" s="1"/>
  <c r="V970" i="62"/>
  <c r="AB970" i="62" s="1"/>
  <c r="X969" i="62"/>
  <c r="AD969" i="62" s="1"/>
  <c r="W969" i="62"/>
  <c r="AC969" i="62" s="1"/>
  <c r="V969" i="62"/>
  <c r="AB969" i="62" s="1"/>
  <c r="X968" i="62"/>
  <c r="AD968" i="62" s="1"/>
  <c r="W968" i="62"/>
  <c r="AC968" i="62" s="1"/>
  <c r="V968" i="62"/>
  <c r="AB968" i="62" s="1"/>
  <c r="X967" i="62"/>
  <c r="AD967" i="62" s="1"/>
  <c r="W967" i="62"/>
  <c r="AC967" i="62" s="1"/>
  <c r="V967" i="62"/>
  <c r="AB967" i="62" s="1"/>
  <c r="X966" i="62"/>
  <c r="AD966" i="62" s="1"/>
  <c r="W966" i="62"/>
  <c r="AC966" i="62" s="1"/>
  <c r="V966" i="62"/>
  <c r="AB966" i="62" s="1"/>
  <c r="X965" i="62"/>
  <c r="AD965" i="62" s="1"/>
  <c r="W965" i="62"/>
  <c r="AC965" i="62" s="1"/>
  <c r="V965" i="62"/>
  <c r="AB965" i="62" s="1"/>
  <c r="X964" i="62"/>
  <c r="AD964" i="62" s="1"/>
  <c r="W964" i="62"/>
  <c r="AC964" i="62" s="1"/>
  <c r="V964" i="62"/>
  <c r="AB964" i="62" s="1"/>
  <c r="X963" i="62"/>
  <c r="AD963" i="62" s="1"/>
  <c r="W963" i="62"/>
  <c r="AC963" i="62" s="1"/>
  <c r="V963" i="62"/>
  <c r="AB963" i="62" s="1"/>
  <c r="X962" i="62"/>
  <c r="AD962" i="62" s="1"/>
  <c r="W962" i="62"/>
  <c r="AC962" i="62" s="1"/>
  <c r="V962" i="62"/>
  <c r="AB962" i="62" s="1"/>
  <c r="X961" i="62"/>
  <c r="AD961" i="62" s="1"/>
  <c r="W961" i="62"/>
  <c r="AC961" i="62" s="1"/>
  <c r="V961" i="62"/>
  <c r="AB961" i="62" s="1"/>
  <c r="X960" i="62"/>
  <c r="AD960" i="62" s="1"/>
  <c r="W960" i="62"/>
  <c r="AC960" i="62" s="1"/>
  <c r="V960" i="62"/>
  <c r="AB960" i="62" s="1"/>
  <c r="X959" i="62"/>
  <c r="AD959" i="62" s="1"/>
  <c r="W959" i="62"/>
  <c r="AC959" i="62" s="1"/>
  <c r="V959" i="62"/>
  <c r="AB959" i="62" s="1"/>
  <c r="X958" i="62"/>
  <c r="AD958" i="62" s="1"/>
  <c r="W958" i="62"/>
  <c r="AC958" i="62" s="1"/>
  <c r="V958" i="62"/>
  <c r="AB958" i="62" s="1"/>
  <c r="X957" i="62"/>
  <c r="AD957" i="62" s="1"/>
  <c r="W957" i="62"/>
  <c r="AC957" i="62" s="1"/>
  <c r="V957" i="62"/>
  <c r="AB957" i="62" s="1"/>
  <c r="X956" i="62"/>
  <c r="AD956" i="62" s="1"/>
  <c r="W956" i="62"/>
  <c r="AC956" i="62" s="1"/>
  <c r="V956" i="62"/>
  <c r="AB956" i="62" s="1"/>
  <c r="X955" i="62"/>
  <c r="AD955" i="62" s="1"/>
  <c r="W955" i="62"/>
  <c r="AC955" i="62" s="1"/>
  <c r="V955" i="62"/>
  <c r="AB955" i="62" s="1"/>
  <c r="X954" i="62"/>
  <c r="AD954" i="62" s="1"/>
  <c r="W954" i="62"/>
  <c r="AC954" i="62" s="1"/>
  <c r="V954" i="62"/>
  <c r="AB954" i="62" s="1"/>
  <c r="X953" i="62"/>
  <c r="AD953" i="62" s="1"/>
  <c r="W953" i="62"/>
  <c r="AC953" i="62" s="1"/>
  <c r="V953" i="62"/>
  <c r="AB953" i="62" s="1"/>
  <c r="X952" i="62"/>
  <c r="AD952" i="62" s="1"/>
  <c r="W952" i="62"/>
  <c r="AC952" i="62" s="1"/>
  <c r="V952" i="62"/>
  <c r="AB952" i="62" s="1"/>
  <c r="X951" i="62"/>
  <c r="AD951" i="62" s="1"/>
  <c r="W951" i="62"/>
  <c r="AC951" i="62" s="1"/>
  <c r="V951" i="62"/>
  <c r="AB951" i="62" s="1"/>
  <c r="X950" i="62"/>
  <c r="AD950" i="62" s="1"/>
  <c r="W950" i="62"/>
  <c r="AC950" i="62" s="1"/>
  <c r="V950" i="62"/>
  <c r="AB950" i="62" s="1"/>
  <c r="X949" i="62"/>
  <c r="AD949" i="62" s="1"/>
  <c r="W949" i="62"/>
  <c r="AC949" i="62" s="1"/>
  <c r="V949" i="62"/>
  <c r="AB949" i="62" s="1"/>
  <c r="X948" i="62"/>
  <c r="AD948" i="62" s="1"/>
  <c r="W948" i="62"/>
  <c r="AC948" i="62" s="1"/>
  <c r="V948" i="62"/>
  <c r="AB948" i="62" s="1"/>
  <c r="X947" i="62"/>
  <c r="AD947" i="62" s="1"/>
  <c r="W947" i="62"/>
  <c r="AC947" i="62" s="1"/>
  <c r="V947" i="62"/>
  <c r="AB947" i="62" s="1"/>
  <c r="X946" i="62"/>
  <c r="AD946" i="62" s="1"/>
  <c r="W946" i="62"/>
  <c r="AC946" i="62" s="1"/>
  <c r="V946" i="62"/>
  <c r="AB946" i="62" s="1"/>
  <c r="X945" i="62"/>
  <c r="AD945" i="62" s="1"/>
  <c r="W945" i="62"/>
  <c r="AC945" i="62" s="1"/>
  <c r="V945" i="62"/>
  <c r="AB945" i="62" s="1"/>
  <c r="X944" i="62"/>
  <c r="AD944" i="62" s="1"/>
  <c r="W944" i="62"/>
  <c r="AC944" i="62" s="1"/>
  <c r="V944" i="62"/>
  <c r="AB944" i="62" s="1"/>
  <c r="X943" i="62"/>
  <c r="AD943" i="62" s="1"/>
  <c r="W943" i="62"/>
  <c r="AC943" i="62" s="1"/>
  <c r="V943" i="62"/>
  <c r="AB943" i="62" s="1"/>
  <c r="X942" i="62"/>
  <c r="AD942" i="62" s="1"/>
  <c r="W942" i="62"/>
  <c r="AC942" i="62" s="1"/>
  <c r="V942" i="62"/>
  <c r="AB942" i="62" s="1"/>
  <c r="X941" i="62"/>
  <c r="AD941" i="62" s="1"/>
  <c r="W941" i="62"/>
  <c r="AC941" i="62" s="1"/>
  <c r="V941" i="62"/>
  <c r="AB941" i="62" s="1"/>
  <c r="X940" i="62"/>
  <c r="AD940" i="62" s="1"/>
  <c r="W940" i="62"/>
  <c r="AC940" i="62" s="1"/>
  <c r="V940" i="62"/>
  <c r="AB940" i="62" s="1"/>
  <c r="X939" i="62"/>
  <c r="AD939" i="62" s="1"/>
  <c r="W939" i="62"/>
  <c r="AC939" i="62" s="1"/>
  <c r="V939" i="62"/>
  <c r="AB939" i="62" s="1"/>
  <c r="X938" i="62"/>
  <c r="AD938" i="62" s="1"/>
  <c r="W938" i="62"/>
  <c r="AC938" i="62" s="1"/>
  <c r="V938" i="62"/>
  <c r="AB938" i="62" s="1"/>
  <c r="X937" i="62"/>
  <c r="AD937" i="62" s="1"/>
  <c r="W937" i="62"/>
  <c r="AC937" i="62" s="1"/>
  <c r="V937" i="62"/>
  <c r="AB937" i="62" s="1"/>
  <c r="X936" i="62"/>
  <c r="AD936" i="62" s="1"/>
  <c r="W936" i="62"/>
  <c r="AC936" i="62" s="1"/>
  <c r="V936" i="62"/>
  <c r="AB936" i="62" s="1"/>
  <c r="X935" i="62"/>
  <c r="AD935" i="62" s="1"/>
  <c r="W935" i="62"/>
  <c r="AC935" i="62" s="1"/>
  <c r="V935" i="62"/>
  <c r="AB935" i="62" s="1"/>
  <c r="X934" i="62"/>
  <c r="AD934" i="62" s="1"/>
  <c r="W934" i="62"/>
  <c r="AC934" i="62" s="1"/>
  <c r="V934" i="62"/>
  <c r="AB934" i="62" s="1"/>
  <c r="X933" i="62"/>
  <c r="AD933" i="62" s="1"/>
  <c r="W933" i="62"/>
  <c r="AC933" i="62" s="1"/>
  <c r="V933" i="62"/>
  <c r="AB933" i="62" s="1"/>
  <c r="X932" i="62"/>
  <c r="AD932" i="62" s="1"/>
  <c r="W932" i="62"/>
  <c r="AC932" i="62" s="1"/>
  <c r="V932" i="62"/>
  <c r="AB932" i="62" s="1"/>
  <c r="X931" i="62"/>
  <c r="AD931" i="62" s="1"/>
  <c r="W931" i="62"/>
  <c r="AC931" i="62" s="1"/>
  <c r="V931" i="62"/>
  <c r="AB931" i="62" s="1"/>
  <c r="X930" i="62"/>
  <c r="AD930" i="62" s="1"/>
  <c r="W930" i="62"/>
  <c r="AC930" i="62" s="1"/>
  <c r="V930" i="62"/>
  <c r="AB930" i="62" s="1"/>
  <c r="X929" i="62"/>
  <c r="AD929" i="62" s="1"/>
  <c r="W929" i="62"/>
  <c r="AC929" i="62" s="1"/>
  <c r="V929" i="62"/>
  <c r="AB929" i="62" s="1"/>
  <c r="X928" i="62"/>
  <c r="AD928" i="62" s="1"/>
  <c r="W928" i="62"/>
  <c r="AC928" i="62" s="1"/>
  <c r="V928" i="62"/>
  <c r="AB928" i="62" s="1"/>
  <c r="X927" i="62"/>
  <c r="AD927" i="62" s="1"/>
  <c r="W927" i="62"/>
  <c r="AC927" i="62" s="1"/>
  <c r="V927" i="62"/>
  <c r="AB927" i="62" s="1"/>
  <c r="X926" i="62"/>
  <c r="AD926" i="62" s="1"/>
  <c r="W926" i="62"/>
  <c r="AC926" i="62" s="1"/>
  <c r="V926" i="62"/>
  <c r="AB926" i="62" s="1"/>
  <c r="X925" i="62"/>
  <c r="AD925" i="62" s="1"/>
  <c r="W925" i="62"/>
  <c r="AC925" i="62" s="1"/>
  <c r="V925" i="62"/>
  <c r="AB925" i="62" s="1"/>
  <c r="X924" i="62"/>
  <c r="AD924" i="62" s="1"/>
  <c r="W924" i="62"/>
  <c r="AC924" i="62" s="1"/>
  <c r="V924" i="62"/>
  <c r="AB924" i="62" s="1"/>
  <c r="X923" i="62"/>
  <c r="AD923" i="62" s="1"/>
  <c r="W923" i="62"/>
  <c r="AC923" i="62" s="1"/>
  <c r="V923" i="62"/>
  <c r="AB923" i="62" s="1"/>
  <c r="X922" i="62"/>
  <c r="AD922" i="62" s="1"/>
  <c r="W922" i="62"/>
  <c r="AC922" i="62" s="1"/>
  <c r="V922" i="62"/>
  <c r="AB922" i="62" s="1"/>
  <c r="X921" i="62"/>
  <c r="AD921" i="62" s="1"/>
  <c r="W921" i="62"/>
  <c r="AC921" i="62" s="1"/>
  <c r="V921" i="62"/>
  <c r="AB921" i="62" s="1"/>
  <c r="X920" i="62"/>
  <c r="AD920" i="62" s="1"/>
  <c r="W920" i="62"/>
  <c r="AC920" i="62" s="1"/>
  <c r="V920" i="62"/>
  <c r="AB920" i="62" s="1"/>
  <c r="X919" i="62"/>
  <c r="AD919" i="62" s="1"/>
  <c r="W919" i="62"/>
  <c r="AC919" i="62" s="1"/>
  <c r="V919" i="62"/>
  <c r="AB919" i="62" s="1"/>
  <c r="X918" i="62"/>
  <c r="AD918" i="62" s="1"/>
  <c r="W918" i="62"/>
  <c r="AC918" i="62" s="1"/>
  <c r="V918" i="62"/>
  <c r="AB918" i="62" s="1"/>
  <c r="X917" i="62"/>
  <c r="AD917" i="62" s="1"/>
  <c r="W917" i="62"/>
  <c r="AC917" i="62" s="1"/>
  <c r="V917" i="62"/>
  <c r="AB917" i="62" s="1"/>
  <c r="X916" i="62"/>
  <c r="AD916" i="62" s="1"/>
  <c r="W916" i="62"/>
  <c r="AC916" i="62" s="1"/>
  <c r="V916" i="62"/>
  <c r="AB916" i="62" s="1"/>
  <c r="X915" i="62"/>
  <c r="AD915" i="62" s="1"/>
  <c r="W915" i="62"/>
  <c r="AC915" i="62" s="1"/>
  <c r="V915" i="62"/>
  <c r="AB915" i="62" s="1"/>
  <c r="X914" i="62"/>
  <c r="AD914" i="62" s="1"/>
  <c r="W914" i="62"/>
  <c r="AC914" i="62" s="1"/>
  <c r="V914" i="62"/>
  <c r="AB914" i="62" s="1"/>
  <c r="X913" i="62"/>
  <c r="AD913" i="62" s="1"/>
  <c r="W913" i="62"/>
  <c r="AC913" i="62" s="1"/>
  <c r="V913" i="62"/>
  <c r="AB913" i="62" s="1"/>
  <c r="X912" i="62"/>
  <c r="AD912" i="62" s="1"/>
  <c r="W912" i="62"/>
  <c r="AC912" i="62" s="1"/>
  <c r="V912" i="62"/>
  <c r="AB912" i="62" s="1"/>
  <c r="X911" i="62"/>
  <c r="AD911" i="62" s="1"/>
  <c r="W911" i="62"/>
  <c r="AC911" i="62" s="1"/>
  <c r="V911" i="62"/>
  <c r="AB911" i="62" s="1"/>
  <c r="X910" i="62"/>
  <c r="AD910" i="62" s="1"/>
  <c r="W910" i="62"/>
  <c r="AC910" i="62" s="1"/>
  <c r="V910" i="62"/>
  <c r="AB910" i="62" s="1"/>
  <c r="X909" i="62"/>
  <c r="AD909" i="62" s="1"/>
  <c r="W909" i="62"/>
  <c r="AC909" i="62" s="1"/>
  <c r="V909" i="62"/>
  <c r="AB909" i="62" s="1"/>
  <c r="X908" i="62"/>
  <c r="AD908" i="62" s="1"/>
  <c r="W908" i="62"/>
  <c r="AC908" i="62" s="1"/>
  <c r="V908" i="62"/>
  <c r="AB908" i="62" s="1"/>
  <c r="X907" i="62"/>
  <c r="AD907" i="62" s="1"/>
  <c r="W907" i="62"/>
  <c r="AC907" i="62" s="1"/>
  <c r="V907" i="62"/>
  <c r="AB907" i="62" s="1"/>
  <c r="X906" i="62"/>
  <c r="AD906" i="62" s="1"/>
  <c r="W906" i="62"/>
  <c r="AC906" i="62" s="1"/>
  <c r="V906" i="62"/>
  <c r="AB906" i="62" s="1"/>
  <c r="X905" i="62"/>
  <c r="AD905" i="62" s="1"/>
  <c r="W905" i="62"/>
  <c r="AC905" i="62" s="1"/>
  <c r="V905" i="62"/>
  <c r="AB905" i="62" s="1"/>
  <c r="X904" i="62"/>
  <c r="AD904" i="62" s="1"/>
  <c r="W904" i="62"/>
  <c r="AC904" i="62" s="1"/>
  <c r="V904" i="62"/>
  <c r="AB904" i="62" s="1"/>
  <c r="X903" i="62"/>
  <c r="AD903" i="62" s="1"/>
  <c r="W903" i="62"/>
  <c r="AC903" i="62" s="1"/>
  <c r="V903" i="62"/>
  <c r="AB903" i="62" s="1"/>
  <c r="X902" i="62"/>
  <c r="AD902" i="62" s="1"/>
  <c r="W902" i="62"/>
  <c r="AC902" i="62" s="1"/>
  <c r="V902" i="62"/>
  <c r="AB902" i="62" s="1"/>
  <c r="X901" i="62"/>
  <c r="AD901" i="62" s="1"/>
  <c r="W901" i="62"/>
  <c r="AC901" i="62" s="1"/>
  <c r="V901" i="62"/>
  <c r="AB901" i="62" s="1"/>
  <c r="X900" i="62"/>
  <c r="AD900" i="62" s="1"/>
  <c r="W900" i="62"/>
  <c r="AC900" i="62" s="1"/>
  <c r="V900" i="62"/>
  <c r="AB900" i="62" s="1"/>
  <c r="X899" i="62"/>
  <c r="AD899" i="62" s="1"/>
  <c r="W899" i="62"/>
  <c r="AC899" i="62" s="1"/>
  <c r="V899" i="62"/>
  <c r="AB899" i="62" s="1"/>
  <c r="X898" i="62"/>
  <c r="AD898" i="62" s="1"/>
  <c r="W898" i="62"/>
  <c r="AC898" i="62" s="1"/>
  <c r="V898" i="62"/>
  <c r="AB898" i="62" s="1"/>
  <c r="X897" i="62"/>
  <c r="AD897" i="62" s="1"/>
  <c r="W897" i="62"/>
  <c r="AC897" i="62" s="1"/>
  <c r="V897" i="62"/>
  <c r="AB897" i="62" s="1"/>
  <c r="X896" i="62"/>
  <c r="AD896" i="62" s="1"/>
  <c r="W896" i="62"/>
  <c r="AC896" i="62" s="1"/>
  <c r="V896" i="62"/>
  <c r="AB896" i="62" s="1"/>
  <c r="X895" i="62"/>
  <c r="AD895" i="62" s="1"/>
  <c r="W895" i="62"/>
  <c r="AC895" i="62" s="1"/>
  <c r="V895" i="62"/>
  <c r="AB895" i="62" s="1"/>
  <c r="X894" i="62"/>
  <c r="AD894" i="62" s="1"/>
  <c r="W894" i="62"/>
  <c r="AC894" i="62" s="1"/>
  <c r="V894" i="62"/>
  <c r="AB894" i="62" s="1"/>
  <c r="X893" i="62"/>
  <c r="AD893" i="62" s="1"/>
  <c r="W893" i="62"/>
  <c r="AC893" i="62" s="1"/>
  <c r="V893" i="62"/>
  <c r="AB893" i="62" s="1"/>
  <c r="X892" i="62"/>
  <c r="AD892" i="62" s="1"/>
  <c r="W892" i="62"/>
  <c r="AC892" i="62" s="1"/>
  <c r="V892" i="62"/>
  <c r="AB892" i="62" s="1"/>
  <c r="X891" i="62"/>
  <c r="AD891" i="62" s="1"/>
  <c r="W891" i="62"/>
  <c r="AC891" i="62" s="1"/>
  <c r="V891" i="62"/>
  <c r="AB891" i="62" s="1"/>
  <c r="X890" i="62"/>
  <c r="AD890" i="62" s="1"/>
  <c r="W890" i="62"/>
  <c r="AC890" i="62" s="1"/>
  <c r="V890" i="62"/>
  <c r="AB890" i="62" s="1"/>
  <c r="X889" i="62"/>
  <c r="AD889" i="62" s="1"/>
  <c r="W889" i="62"/>
  <c r="AC889" i="62" s="1"/>
  <c r="V889" i="62"/>
  <c r="AB889" i="62" s="1"/>
  <c r="X888" i="62"/>
  <c r="AD888" i="62" s="1"/>
  <c r="W888" i="62"/>
  <c r="AC888" i="62" s="1"/>
  <c r="V888" i="62"/>
  <c r="AB888" i="62" s="1"/>
  <c r="X887" i="62"/>
  <c r="AD887" i="62" s="1"/>
  <c r="W887" i="62"/>
  <c r="AC887" i="62" s="1"/>
  <c r="V887" i="62"/>
  <c r="AB887" i="62" s="1"/>
  <c r="X886" i="62"/>
  <c r="AD886" i="62" s="1"/>
  <c r="W886" i="62"/>
  <c r="AC886" i="62" s="1"/>
  <c r="V886" i="62"/>
  <c r="AB886" i="62" s="1"/>
  <c r="X885" i="62"/>
  <c r="AD885" i="62" s="1"/>
  <c r="W885" i="62"/>
  <c r="AC885" i="62" s="1"/>
  <c r="V885" i="62"/>
  <c r="AB885" i="62" s="1"/>
  <c r="X884" i="62"/>
  <c r="AD884" i="62" s="1"/>
  <c r="W884" i="62"/>
  <c r="AC884" i="62" s="1"/>
  <c r="V884" i="62"/>
  <c r="AB884" i="62" s="1"/>
  <c r="X883" i="62"/>
  <c r="AD883" i="62" s="1"/>
  <c r="W883" i="62"/>
  <c r="AC883" i="62" s="1"/>
  <c r="V883" i="62"/>
  <c r="AB883" i="62" s="1"/>
  <c r="X882" i="62"/>
  <c r="AD882" i="62" s="1"/>
  <c r="W882" i="62"/>
  <c r="AC882" i="62" s="1"/>
  <c r="V882" i="62"/>
  <c r="AB882" i="62" s="1"/>
  <c r="X881" i="62"/>
  <c r="AD881" i="62" s="1"/>
  <c r="W881" i="62"/>
  <c r="AC881" i="62" s="1"/>
  <c r="V881" i="62"/>
  <c r="AB881" i="62" s="1"/>
  <c r="X880" i="62"/>
  <c r="AD880" i="62" s="1"/>
  <c r="W880" i="62"/>
  <c r="AC880" i="62" s="1"/>
  <c r="V880" i="62"/>
  <c r="AB880" i="62" s="1"/>
  <c r="X879" i="62"/>
  <c r="AD879" i="62" s="1"/>
  <c r="W879" i="62"/>
  <c r="AC879" i="62" s="1"/>
  <c r="V879" i="62"/>
  <c r="AB879" i="62" s="1"/>
  <c r="X878" i="62"/>
  <c r="AD878" i="62" s="1"/>
  <c r="W878" i="62"/>
  <c r="AC878" i="62" s="1"/>
  <c r="V878" i="62"/>
  <c r="AB878" i="62" s="1"/>
  <c r="X877" i="62"/>
  <c r="AD877" i="62" s="1"/>
  <c r="W877" i="62"/>
  <c r="AC877" i="62" s="1"/>
  <c r="V877" i="62"/>
  <c r="AB877" i="62" s="1"/>
  <c r="X876" i="62"/>
  <c r="AD876" i="62" s="1"/>
  <c r="W876" i="62"/>
  <c r="AC876" i="62" s="1"/>
  <c r="V876" i="62"/>
  <c r="AB876" i="62" s="1"/>
  <c r="X875" i="62"/>
  <c r="AD875" i="62" s="1"/>
  <c r="W875" i="62"/>
  <c r="AC875" i="62" s="1"/>
  <c r="V875" i="62"/>
  <c r="AB875" i="62" s="1"/>
  <c r="X874" i="62"/>
  <c r="AD874" i="62" s="1"/>
  <c r="W874" i="62"/>
  <c r="AC874" i="62" s="1"/>
  <c r="V874" i="62"/>
  <c r="AB874" i="62" s="1"/>
  <c r="X873" i="62"/>
  <c r="AD873" i="62" s="1"/>
  <c r="W873" i="62"/>
  <c r="AC873" i="62" s="1"/>
  <c r="V873" i="62"/>
  <c r="AB873" i="62" s="1"/>
  <c r="X872" i="62"/>
  <c r="AD872" i="62" s="1"/>
  <c r="W872" i="62"/>
  <c r="AC872" i="62" s="1"/>
  <c r="V872" i="62"/>
  <c r="AB872" i="62" s="1"/>
  <c r="X871" i="62"/>
  <c r="AD871" i="62" s="1"/>
  <c r="W871" i="62"/>
  <c r="AC871" i="62" s="1"/>
  <c r="V871" i="62"/>
  <c r="AB871" i="62" s="1"/>
  <c r="X870" i="62"/>
  <c r="AD870" i="62" s="1"/>
  <c r="W870" i="62"/>
  <c r="AC870" i="62" s="1"/>
  <c r="V870" i="62"/>
  <c r="AB870" i="62" s="1"/>
  <c r="X869" i="62"/>
  <c r="AD869" i="62" s="1"/>
  <c r="W869" i="62"/>
  <c r="AC869" i="62" s="1"/>
  <c r="V869" i="62"/>
  <c r="AB869" i="62" s="1"/>
  <c r="X868" i="62"/>
  <c r="AD868" i="62" s="1"/>
  <c r="W868" i="62"/>
  <c r="AC868" i="62" s="1"/>
  <c r="V868" i="62"/>
  <c r="AB868" i="62" s="1"/>
  <c r="X867" i="62"/>
  <c r="AD867" i="62" s="1"/>
  <c r="W867" i="62"/>
  <c r="AC867" i="62" s="1"/>
  <c r="V867" i="62"/>
  <c r="AB867" i="62" s="1"/>
  <c r="X866" i="62"/>
  <c r="AD866" i="62" s="1"/>
  <c r="W866" i="62"/>
  <c r="AC866" i="62" s="1"/>
  <c r="V866" i="62"/>
  <c r="AB866" i="62" s="1"/>
  <c r="X865" i="62"/>
  <c r="AD865" i="62" s="1"/>
  <c r="W865" i="62"/>
  <c r="AC865" i="62" s="1"/>
  <c r="V865" i="62"/>
  <c r="AB865" i="62" s="1"/>
  <c r="X864" i="62"/>
  <c r="AD864" i="62" s="1"/>
  <c r="W864" i="62"/>
  <c r="AC864" i="62" s="1"/>
  <c r="V864" i="62"/>
  <c r="AB864" i="62" s="1"/>
  <c r="X863" i="62"/>
  <c r="AD863" i="62" s="1"/>
  <c r="W863" i="62"/>
  <c r="AC863" i="62" s="1"/>
  <c r="V863" i="62"/>
  <c r="AB863" i="62" s="1"/>
  <c r="X862" i="62"/>
  <c r="AD862" i="62" s="1"/>
  <c r="W862" i="62"/>
  <c r="AC862" i="62" s="1"/>
  <c r="V862" i="62"/>
  <c r="AB862" i="62" s="1"/>
  <c r="X861" i="62"/>
  <c r="AD861" i="62" s="1"/>
  <c r="W861" i="62"/>
  <c r="AC861" i="62" s="1"/>
  <c r="V861" i="62"/>
  <c r="AB861" i="62" s="1"/>
  <c r="X860" i="62"/>
  <c r="AD860" i="62" s="1"/>
  <c r="W860" i="62"/>
  <c r="AC860" i="62" s="1"/>
  <c r="V860" i="62"/>
  <c r="AB860" i="62" s="1"/>
  <c r="X859" i="62"/>
  <c r="AD859" i="62" s="1"/>
  <c r="W859" i="62"/>
  <c r="AC859" i="62" s="1"/>
  <c r="V859" i="62"/>
  <c r="AB859" i="62" s="1"/>
  <c r="X858" i="62"/>
  <c r="AD858" i="62" s="1"/>
  <c r="W858" i="62"/>
  <c r="AC858" i="62" s="1"/>
  <c r="V858" i="62"/>
  <c r="AB858" i="62" s="1"/>
  <c r="X857" i="62"/>
  <c r="AD857" i="62" s="1"/>
  <c r="W857" i="62"/>
  <c r="AC857" i="62" s="1"/>
  <c r="V857" i="62"/>
  <c r="AB857" i="62" s="1"/>
  <c r="X856" i="62"/>
  <c r="AD856" i="62" s="1"/>
  <c r="W856" i="62"/>
  <c r="AC856" i="62" s="1"/>
  <c r="V856" i="62"/>
  <c r="AB856" i="62" s="1"/>
  <c r="X855" i="62"/>
  <c r="AD855" i="62" s="1"/>
  <c r="W855" i="62"/>
  <c r="AC855" i="62" s="1"/>
  <c r="V855" i="62"/>
  <c r="AB855" i="62" s="1"/>
  <c r="X854" i="62"/>
  <c r="AD854" i="62" s="1"/>
  <c r="W854" i="62"/>
  <c r="AC854" i="62" s="1"/>
  <c r="V854" i="62"/>
  <c r="AB854" i="62" s="1"/>
  <c r="X853" i="62"/>
  <c r="AD853" i="62" s="1"/>
  <c r="W853" i="62"/>
  <c r="AC853" i="62" s="1"/>
  <c r="V853" i="62"/>
  <c r="AB853" i="62" s="1"/>
  <c r="X852" i="62"/>
  <c r="AD852" i="62" s="1"/>
  <c r="W852" i="62"/>
  <c r="AC852" i="62" s="1"/>
  <c r="V852" i="62"/>
  <c r="AB852" i="62" s="1"/>
  <c r="X851" i="62"/>
  <c r="AD851" i="62" s="1"/>
  <c r="W851" i="62"/>
  <c r="AC851" i="62" s="1"/>
  <c r="V851" i="62"/>
  <c r="AB851" i="62" s="1"/>
  <c r="X850" i="62"/>
  <c r="AD850" i="62" s="1"/>
  <c r="W850" i="62"/>
  <c r="AC850" i="62" s="1"/>
  <c r="V850" i="62"/>
  <c r="AB850" i="62" s="1"/>
  <c r="X849" i="62"/>
  <c r="AD849" i="62" s="1"/>
  <c r="W849" i="62"/>
  <c r="AC849" i="62" s="1"/>
  <c r="V849" i="62"/>
  <c r="AB849" i="62" s="1"/>
  <c r="X848" i="62"/>
  <c r="AD848" i="62" s="1"/>
  <c r="W848" i="62"/>
  <c r="AC848" i="62" s="1"/>
  <c r="V848" i="62"/>
  <c r="AB848" i="62" s="1"/>
  <c r="X847" i="62"/>
  <c r="AD847" i="62" s="1"/>
  <c r="W847" i="62"/>
  <c r="AC847" i="62" s="1"/>
  <c r="V847" i="62"/>
  <c r="AB847" i="62" s="1"/>
  <c r="X846" i="62"/>
  <c r="AD846" i="62" s="1"/>
  <c r="W846" i="62"/>
  <c r="AC846" i="62" s="1"/>
  <c r="V846" i="62"/>
  <c r="AB846" i="62" s="1"/>
  <c r="X845" i="62"/>
  <c r="AD845" i="62" s="1"/>
  <c r="W845" i="62"/>
  <c r="AC845" i="62" s="1"/>
  <c r="V845" i="62"/>
  <c r="AB845" i="62" s="1"/>
  <c r="X844" i="62"/>
  <c r="AD844" i="62" s="1"/>
  <c r="W844" i="62"/>
  <c r="AC844" i="62" s="1"/>
  <c r="V844" i="62"/>
  <c r="AB844" i="62" s="1"/>
  <c r="X843" i="62"/>
  <c r="AD843" i="62" s="1"/>
  <c r="W843" i="62"/>
  <c r="AC843" i="62" s="1"/>
  <c r="V843" i="62"/>
  <c r="AB843" i="62" s="1"/>
  <c r="X842" i="62"/>
  <c r="AD842" i="62" s="1"/>
  <c r="W842" i="62"/>
  <c r="AC842" i="62" s="1"/>
  <c r="V842" i="62"/>
  <c r="AB842" i="62" s="1"/>
  <c r="X841" i="62"/>
  <c r="AD841" i="62" s="1"/>
  <c r="W841" i="62"/>
  <c r="AC841" i="62" s="1"/>
  <c r="V841" i="62"/>
  <c r="AB841" i="62" s="1"/>
  <c r="X840" i="62"/>
  <c r="AD840" i="62" s="1"/>
  <c r="W840" i="62"/>
  <c r="AC840" i="62" s="1"/>
  <c r="V840" i="62"/>
  <c r="AB840" i="62" s="1"/>
  <c r="X839" i="62"/>
  <c r="AD839" i="62" s="1"/>
  <c r="W839" i="62"/>
  <c r="AC839" i="62" s="1"/>
  <c r="V839" i="62"/>
  <c r="AB839" i="62" s="1"/>
  <c r="X838" i="62"/>
  <c r="AD838" i="62" s="1"/>
  <c r="W838" i="62"/>
  <c r="AC838" i="62" s="1"/>
  <c r="V838" i="62"/>
  <c r="AB838" i="62" s="1"/>
  <c r="X837" i="62"/>
  <c r="AD837" i="62" s="1"/>
  <c r="W837" i="62"/>
  <c r="AC837" i="62" s="1"/>
  <c r="V837" i="62"/>
  <c r="AB837" i="62" s="1"/>
  <c r="X836" i="62"/>
  <c r="AD836" i="62" s="1"/>
  <c r="W836" i="62"/>
  <c r="AC836" i="62" s="1"/>
  <c r="V836" i="62"/>
  <c r="AB836" i="62" s="1"/>
  <c r="X835" i="62"/>
  <c r="AD835" i="62" s="1"/>
  <c r="W835" i="62"/>
  <c r="AC835" i="62" s="1"/>
  <c r="V835" i="62"/>
  <c r="AB835" i="62" s="1"/>
  <c r="X834" i="62"/>
  <c r="AD834" i="62" s="1"/>
  <c r="W834" i="62"/>
  <c r="AC834" i="62" s="1"/>
  <c r="V834" i="62"/>
  <c r="AB834" i="62" s="1"/>
  <c r="X833" i="62"/>
  <c r="AD833" i="62" s="1"/>
  <c r="W833" i="62"/>
  <c r="AC833" i="62" s="1"/>
  <c r="V833" i="62"/>
  <c r="AB833" i="62" s="1"/>
  <c r="X832" i="62"/>
  <c r="AD832" i="62" s="1"/>
  <c r="W832" i="62"/>
  <c r="AC832" i="62" s="1"/>
  <c r="V832" i="62"/>
  <c r="AB832" i="62" s="1"/>
  <c r="X831" i="62"/>
  <c r="AD831" i="62" s="1"/>
  <c r="W831" i="62"/>
  <c r="AC831" i="62" s="1"/>
  <c r="V831" i="62"/>
  <c r="AB831" i="62" s="1"/>
  <c r="X830" i="62"/>
  <c r="AD830" i="62" s="1"/>
  <c r="W830" i="62"/>
  <c r="AC830" i="62" s="1"/>
  <c r="V830" i="62"/>
  <c r="AB830" i="62" s="1"/>
  <c r="X829" i="62"/>
  <c r="AD829" i="62" s="1"/>
  <c r="W829" i="62"/>
  <c r="AC829" i="62" s="1"/>
  <c r="V829" i="62"/>
  <c r="AB829" i="62" s="1"/>
  <c r="X828" i="62"/>
  <c r="AD828" i="62" s="1"/>
  <c r="W828" i="62"/>
  <c r="AC828" i="62" s="1"/>
  <c r="V828" i="62"/>
  <c r="AB828" i="62" s="1"/>
  <c r="X827" i="62"/>
  <c r="AD827" i="62" s="1"/>
  <c r="W827" i="62"/>
  <c r="AC827" i="62" s="1"/>
  <c r="V827" i="62"/>
  <c r="AB827" i="62" s="1"/>
  <c r="X826" i="62"/>
  <c r="AD826" i="62" s="1"/>
  <c r="W826" i="62"/>
  <c r="AC826" i="62" s="1"/>
  <c r="V826" i="62"/>
  <c r="AB826" i="62" s="1"/>
  <c r="X825" i="62"/>
  <c r="AD825" i="62" s="1"/>
  <c r="W825" i="62"/>
  <c r="AC825" i="62" s="1"/>
  <c r="V825" i="62"/>
  <c r="AB825" i="62" s="1"/>
  <c r="X824" i="62"/>
  <c r="AD824" i="62" s="1"/>
  <c r="W824" i="62"/>
  <c r="AC824" i="62" s="1"/>
  <c r="V824" i="62"/>
  <c r="AB824" i="62" s="1"/>
  <c r="X823" i="62"/>
  <c r="AD823" i="62" s="1"/>
  <c r="W823" i="62"/>
  <c r="AC823" i="62" s="1"/>
  <c r="V823" i="62"/>
  <c r="AB823" i="62" s="1"/>
  <c r="X822" i="62"/>
  <c r="AD822" i="62" s="1"/>
  <c r="W822" i="62"/>
  <c r="AC822" i="62" s="1"/>
  <c r="V822" i="62"/>
  <c r="AB822" i="62" s="1"/>
  <c r="X821" i="62"/>
  <c r="AD821" i="62" s="1"/>
  <c r="W821" i="62"/>
  <c r="AC821" i="62" s="1"/>
  <c r="V821" i="62"/>
  <c r="AB821" i="62" s="1"/>
  <c r="X820" i="62"/>
  <c r="AD820" i="62" s="1"/>
  <c r="W820" i="62"/>
  <c r="AC820" i="62" s="1"/>
  <c r="V820" i="62"/>
  <c r="AB820" i="62" s="1"/>
  <c r="X819" i="62"/>
  <c r="AD819" i="62" s="1"/>
  <c r="W819" i="62"/>
  <c r="AC819" i="62" s="1"/>
  <c r="V819" i="62"/>
  <c r="AB819" i="62" s="1"/>
  <c r="X818" i="62"/>
  <c r="AD818" i="62" s="1"/>
  <c r="W818" i="62"/>
  <c r="AC818" i="62" s="1"/>
  <c r="V818" i="62"/>
  <c r="AB818" i="62" s="1"/>
  <c r="X817" i="62"/>
  <c r="AD817" i="62" s="1"/>
  <c r="W817" i="62"/>
  <c r="AC817" i="62" s="1"/>
  <c r="V817" i="62"/>
  <c r="AB817" i="62" s="1"/>
  <c r="X816" i="62"/>
  <c r="AD816" i="62" s="1"/>
  <c r="W816" i="62"/>
  <c r="AC816" i="62" s="1"/>
  <c r="V816" i="62"/>
  <c r="AB816" i="62" s="1"/>
  <c r="X815" i="62"/>
  <c r="AD815" i="62" s="1"/>
  <c r="W815" i="62"/>
  <c r="AC815" i="62" s="1"/>
  <c r="V815" i="62"/>
  <c r="AB815" i="62" s="1"/>
  <c r="X814" i="62"/>
  <c r="AD814" i="62" s="1"/>
  <c r="W814" i="62"/>
  <c r="AC814" i="62" s="1"/>
  <c r="V814" i="62"/>
  <c r="AB814" i="62" s="1"/>
  <c r="X813" i="62"/>
  <c r="AD813" i="62" s="1"/>
  <c r="W813" i="62"/>
  <c r="AC813" i="62" s="1"/>
  <c r="V813" i="62"/>
  <c r="AB813" i="62" s="1"/>
  <c r="X812" i="62"/>
  <c r="AD812" i="62" s="1"/>
  <c r="W812" i="62"/>
  <c r="AC812" i="62" s="1"/>
  <c r="V812" i="62"/>
  <c r="AB812" i="62" s="1"/>
  <c r="X811" i="62"/>
  <c r="AD811" i="62" s="1"/>
  <c r="W811" i="62"/>
  <c r="AC811" i="62" s="1"/>
  <c r="V811" i="62"/>
  <c r="AB811" i="62" s="1"/>
  <c r="X810" i="62"/>
  <c r="AD810" i="62" s="1"/>
  <c r="W810" i="62"/>
  <c r="AC810" i="62" s="1"/>
  <c r="V810" i="62"/>
  <c r="AB810" i="62" s="1"/>
  <c r="X809" i="62"/>
  <c r="AD809" i="62" s="1"/>
  <c r="W809" i="62"/>
  <c r="AC809" i="62" s="1"/>
  <c r="V809" i="62"/>
  <c r="AB809" i="62" s="1"/>
  <c r="X808" i="62"/>
  <c r="AD808" i="62" s="1"/>
  <c r="W808" i="62"/>
  <c r="AC808" i="62" s="1"/>
  <c r="V808" i="62"/>
  <c r="AB808" i="62" s="1"/>
  <c r="X807" i="62"/>
  <c r="AD807" i="62" s="1"/>
  <c r="W807" i="62"/>
  <c r="AC807" i="62" s="1"/>
  <c r="V807" i="62"/>
  <c r="AB807" i="62" s="1"/>
  <c r="X806" i="62"/>
  <c r="AD806" i="62" s="1"/>
  <c r="W806" i="62"/>
  <c r="AC806" i="62" s="1"/>
  <c r="V806" i="62"/>
  <c r="AB806" i="62" s="1"/>
  <c r="X805" i="62"/>
  <c r="AD805" i="62" s="1"/>
  <c r="W805" i="62"/>
  <c r="AC805" i="62" s="1"/>
  <c r="V805" i="62"/>
  <c r="AB805" i="62" s="1"/>
  <c r="X804" i="62"/>
  <c r="AD804" i="62" s="1"/>
  <c r="W804" i="62"/>
  <c r="AC804" i="62" s="1"/>
  <c r="V804" i="62"/>
  <c r="AB804" i="62" s="1"/>
  <c r="X803" i="62"/>
  <c r="AD803" i="62" s="1"/>
  <c r="W803" i="62"/>
  <c r="AC803" i="62" s="1"/>
  <c r="V803" i="62"/>
  <c r="AB803" i="62" s="1"/>
  <c r="X802" i="62"/>
  <c r="AD802" i="62" s="1"/>
  <c r="W802" i="62"/>
  <c r="AC802" i="62" s="1"/>
  <c r="V802" i="62"/>
  <c r="AB802" i="62" s="1"/>
  <c r="X801" i="62"/>
  <c r="AD801" i="62" s="1"/>
  <c r="W801" i="62"/>
  <c r="AC801" i="62" s="1"/>
  <c r="V801" i="62"/>
  <c r="AB801" i="62" s="1"/>
  <c r="X800" i="62"/>
  <c r="AD800" i="62" s="1"/>
  <c r="W800" i="62"/>
  <c r="AC800" i="62" s="1"/>
  <c r="V800" i="62"/>
  <c r="AB800" i="62" s="1"/>
  <c r="X799" i="62"/>
  <c r="AD799" i="62" s="1"/>
  <c r="W799" i="62"/>
  <c r="AC799" i="62" s="1"/>
  <c r="V799" i="62"/>
  <c r="AB799" i="62" s="1"/>
  <c r="X798" i="62"/>
  <c r="AD798" i="62" s="1"/>
  <c r="W798" i="62"/>
  <c r="AC798" i="62" s="1"/>
  <c r="V798" i="62"/>
  <c r="AB798" i="62" s="1"/>
  <c r="X797" i="62"/>
  <c r="AD797" i="62" s="1"/>
  <c r="W797" i="62"/>
  <c r="AC797" i="62" s="1"/>
  <c r="V797" i="62"/>
  <c r="AB797" i="62" s="1"/>
  <c r="X796" i="62"/>
  <c r="AD796" i="62" s="1"/>
  <c r="W796" i="62"/>
  <c r="AC796" i="62" s="1"/>
  <c r="V796" i="62"/>
  <c r="AB796" i="62" s="1"/>
  <c r="X795" i="62"/>
  <c r="AD795" i="62" s="1"/>
  <c r="W795" i="62"/>
  <c r="AC795" i="62" s="1"/>
  <c r="V795" i="62"/>
  <c r="AB795" i="62" s="1"/>
  <c r="X794" i="62"/>
  <c r="AD794" i="62" s="1"/>
  <c r="W794" i="62"/>
  <c r="AC794" i="62" s="1"/>
  <c r="V794" i="62"/>
  <c r="AB794" i="62" s="1"/>
  <c r="X793" i="62"/>
  <c r="AD793" i="62" s="1"/>
  <c r="W793" i="62"/>
  <c r="AC793" i="62" s="1"/>
  <c r="V793" i="62"/>
  <c r="AB793" i="62" s="1"/>
  <c r="X792" i="62"/>
  <c r="AD792" i="62" s="1"/>
  <c r="W792" i="62"/>
  <c r="AC792" i="62" s="1"/>
  <c r="V792" i="62"/>
  <c r="AB792" i="62" s="1"/>
  <c r="X791" i="62"/>
  <c r="AD791" i="62" s="1"/>
  <c r="W791" i="62"/>
  <c r="AC791" i="62" s="1"/>
  <c r="V791" i="62"/>
  <c r="AB791" i="62" s="1"/>
  <c r="X790" i="62"/>
  <c r="AD790" i="62" s="1"/>
  <c r="W790" i="62"/>
  <c r="AC790" i="62" s="1"/>
  <c r="V790" i="62"/>
  <c r="AB790" i="62" s="1"/>
  <c r="X789" i="62"/>
  <c r="AD789" i="62" s="1"/>
  <c r="W789" i="62"/>
  <c r="AC789" i="62" s="1"/>
  <c r="V789" i="62"/>
  <c r="AB789" i="62" s="1"/>
  <c r="X788" i="62"/>
  <c r="AD788" i="62" s="1"/>
  <c r="W788" i="62"/>
  <c r="AC788" i="62" s="1"/>
  <c r="V788" i="62"/>
  <c r="AB788" i="62" s="1"/>
  <c r="X787" i="62"/>
  <c r="AD787" i="62" s="1"/>
  <c r="W787" i="62"/>
  <c r="AC787" i="62" s="1"/>
  <c r="V787" i="62"/>
  <c r="AB787" i="62" s="1"/>
  <c r="X786" i="62"/>
  <c r="AD786" i="62" s="1"/>
  <c r="W786" i="62"/>
  <c r="AC786" i="62" s="1"/>
  <c r="V786" i="62"/>
  <c r="AB786" i="62" s="1"/>
  <c r="X785" i="62"/>
  <c r="AD785" i="62" s="1"/>
  <c r="W785" i="62"/>
  <c r="AC785" i="62" s="1"/>
  <c r="V785" i="62"/>
  <c r="AB785" i="62" s="1"/>
  <c r="X784" i="62"/>
  <c r="AD784" i="62" s="1"/>
  <c r="W784" i="62"/>
  <c r="AC784" i="62" s="1"/>
  <c r="V784" i="62"/>
  <c r="AB784" i="62" s="1"/>
  <c r="X783" i="62"/>
  <c r="AD783" i="62" s="1"/>
  <c r="W783" i="62"/>
  <c r="AC783" i="62" s="1"/>
  <c r="V783" i="62"/>
  <c r="AB783" i="62" s="1"/>
  <c r="X782" i="62"/>
  <c r="AD782" i="62" s="1"/>
  <c r="W782" i="62"/>
  <c r="AC782" i="62" s="1"/>
  <c r="V782" i="62"/>
  <c r="AB782" i="62" s="1"/>
  <c r="X781" i="62"/>
  <c r="AD781" i="62" s="1"/>
  <c r="W781" i="62"/>
  <c r="AC781" i="62" s="1"/>
  <c r="V781" i="62"/>
  <c r="AB781" i="62" s="1"/>
  <c r="X780" i="62"/>
  <c r="AD780" i="62" s="1"/>
  <c r="W780" i="62"/>
  <c r="AC780" i="62" s="1"/>
  <c r="V780" i="62"/>
  <c r="AB780" i="62" s="1"/>
  <c r="X779" i="62"/>
  <c r="AD779" i="62" s="1"/>
  <c r="W779" i="62"/>
  <c r="AC779" i="62" s="1"/>
  <c r="V779" i="62"/>
  <c r="AB779" i="62" s="1"/>
  <c r="X778" i="62"/>
  <c r="AD778" i="62" s="1"/>
  <c r="W778" i="62"/>
  <c r="AC778" i="62" s="1"/>
  <c r="V778" i="62"/>
  <c r="AB778" i="62" s="1"/>
  <c r="X777" i="62"/>
  <c r="AD777" i="62" s="1"/>
  <c r="W777" i="62"/>
  <c r="AC777" i="62" s="1"/>
  <c r="V777" i="62"/>
  <c r="AB777" i="62" s="1"/>
  <c r="X776" i="62"/>
  <c r="AD776" i="62" s="1"/>
  <c r="W776" i="62"/>
  <c r="AC776" i="62" s="1"/>
  <c r="V776" i="62"/>
  <c r="AB776" i="62" s="1"/>
  <c r="X775" i="62"/>
  <c r="AD775" i="62" s="1"/>
  <c r="W775" i="62"/>
  <c r="AC775" i="62" s="1"/>
  <c r="V775" i="62"/>
  <c r="AB775" i="62" s="1"/>
  <c r="X774" i="62"/>
  <c r="AD774" i="62" s="1"/>
  <c r="W774" i="62"/>
  <c r="AC774" i="62" s="1"/>
  <c r="V774" i="62"/>
  <c r="AB774" i="62" s="1"/>
  <c r="X773" i="62"/>
  <c r="AD773" i="62" s="1"/>
  <c r="W773" i="62"/>
  <c r="AC773" i="62" s="1"/>
  <c r="V773" i="62"/>
  <c r="AB773" i="62" s="1"/>
  <c r="X772" i="62"/>
  <c r="AD772" i="62" s="1"/>
  <c r="W772" i="62"/>
  <c r="AC772" i="62" s="1"/>
  <c r="V772" i="62"/>
  <c r="AB772" i="62" s="1"/>
  <c r="X771" i="62"/>
  <c r="AD771" i="62" s="1"/>
  <c r="W771" i="62"/>
  <c r="AC771" i="62" s="1"/>
  <c r="V771" i="62"/>
  <c r="AB771" i="62" s="1"/>
  <c r="X770" i="62"/>
  <c r="AD770" i="62" s="1"/>
  <c r="W770" i="62"/>
  <c r="AC770" i="62" s="1"/>
  <c r="V770" i="62"/>
  <c r="AB770" i="62" s="1"/>
  <c r="X769" i="62"/>
  <c r="AD769" i="62" s="1"/>
  <c r="W769" i="62"/>
  <c r="AC769" i="62" s="1"/>
  <c r="V769" i="62"/>
  <c r="AB769" i="62" s="1"/>
  <c r="X768" i="62"/>
  <c r="AD768" i="62" s="1"/>
  <c r="W768" i="62"/>
  <c r="AC768" i="62" s="1"/>
  <c r="V768" i="62"/>
  <c r="AB768" i="62" s="1"/>
  <c r="X767" i="62"/>
  <c r="AD767" i="62" s="1"/>
  <c r="W767" i="62"/>
  <c r="AC767" i="62" s="1"/>
  <c r="V767" i="62"/>
  <c r="AB767" i="62" s="1"/>
  <c r="X766" i="62"/>
  <c r="AD766" i="62" s="1"/>
  <c r="W766" i="62"/>
  <c r="AC766" i="62" s="1"/>
  <c r="V766" i="62"/>
  <c r="AB766" i="62" s="1"/>
  <c r="X765" i="62"/>
  <c r="AD765" i="62" s="1"/>
  <c r="W765" i="62"/>
  <c r="AC765" i="62" s="1"/>
  <c r="V765" i="62"/>
  <c r="AB765" i="62" s="1"/>
  <c r="X764" i="62"/>
  <c r="AD764" i="62" s="1"/>
  <c r="W764" i="62"/>
  <c r="AC764" i="62" s="1"/>
  <c r="V764" i="62"/>
  <c r="AB764" i="62" s="1"/>
  <c r="X763" i="62"/>
  <c r="AD763" i="62" s="1"/>
  <c r="W763" i="62"/>
  <c r="AC763" i="62" s="1"/>
  <c r="V763" i="62"/>
  <c r="AB763" i="62" s="1"/>
  <c r="X762" i="62"/>
  <c r="AD762" i="62" s="1"/>
  <c r="W762" i="62"/>
  <c r="AC762" i="62" s="1"/>
  <c r="V762" i="62"/>
  <c r="AB762" i="62" s="1"/>
  <c r="X761" i="62"/>
  <c r="AD761" i="62" s="1"/>
  <c r="W761" i="62"/>
  <c r="AC761" i="62" s="1"/>
  <c r="V761" i="62"/>
  <c r="AB761" i="62" s="1"/>
  <c r="X760" i="62"/>
  <c r="AD760" i="62" s="1"/>
  <c r="W760" i="62"/>
  <c r="AC760" i="62" s="1"/>
  <c r="V760" i="62"/>
  <c r="AB760" i="62" s="1"/>
  <c r="X759" i="62"/>
  <c r="AD759" i="62" s="1"/>
  <c r="W759" i="62"/>
  <c r="AC759" i="62" s="1"/>
  <c r="V759" i="62"/>
  <c r="AB759" i="62" s="1"/>
  <c r="X758" i="62"/>
  <c r="AD758" i="62" s="1"/>
  <c r="W758" i="62"/>
  <c r="AC758" i="62" s="1"/>
  <c r="V758" i="62"/>
  <c r="AB758" i="62" s="1"/>
  <c r="X757" i="62"/>
  <c r="AD757" i="62" s="1"/>
  <c r="W757" i="62"/>
  <c r="AC757" i="62" s="1"/>
  <c r="V757" i="62"/>
  <c r="AB757" i="62" s="1"/>
  <c r="X756" i="62"/>
  <c r="AD756" i="62" s="1"/>
  <c r="W756" i="62"/>
  <c r="AC756" i="62" s="1"/>
  <c r="V756" i="62"/>
  <c r="AB756" i="62" s="1"/>
  <c r="X755" i="62"/>
  <c r="AD755" i="62" s="1"/>
  <c r="W755" i="62"/>
  <c r="AC755" i="62" s="1"/>
  <c r="V755" i="62"/>
  <c r="AB755" i="62" s="1"/>
  <c r="X754" i="62"/>
  <c r="AD754" i="62" s="1"/>
  <c r="W754" i="62"/>
  <c r="AC754" i="62" s="1"/>
  <c r="V754" i="62"/>
  <c r="AB754" i="62" s="1"/>
  <c r="X753" i="62"/>
  <c r="AD753" i="62" s="1"/>
  <c r="W753" i="62"/>
  <c r="AC753" i="62" s="1"/>
  <c r="V753" i="62"/>
  <c r="AB753" i="62" s="1"/>
  <c r="X752" i="62"/>
  <c r="AD752" i="62" s="1"/>
  <c r="W752" i="62"/>
  <c r="AC752" i="62" s="1"/>
  <c r="V752" i="62"/>
  <c r="AB752" i="62" s="1"/>
  <c r="V751" i="62"/>
  <c r="AB751" i="62" s="1"/>
  <c r="V750" i="62"/>
  <c r="AB750" i="62" s="1"/>
  <c r="V749" i="62"/>
  <c r="AB749" i="62" s="1"/>
  <c r="V748" i="62"/>
  <c r="AB748" i="62" s="1"/>
  <c r="V747" i="62"/>
  <c r="AB747" i="62" s="1"/>
  <c r="V746" i="62"/>
  <c r="AB746" i="62" s="1"/>
  <c r="V745" i="62"/>
  <c r="AB745" i="62" s="1"/>
  <c r="V744" i="62"/>
  <c r="AB744" i="62" s="1"/>
  <c r="V743" i="62"/>
  <c r="AB743" i="62" s="1"/>
  <c r="V742" i="62"/>
  <c r="AB742" i="62" s="1"/>
  <c r="V741" i="62"/>
  <c r="AB741" i="62" s="1"/>
  <c r="V740" i="62"/>
  <c r="AB740" i="62" s="1"/>
  <c r="V739" i="62"/>
  <c r="AB739" i="62" s="1"/>
  <c r="X738" i="62"/>
  <c r="AD738" i="62" s="1"/>
  <c r="W738" i="62"/>
  <c r="AC738" i="62" s="1"/>
  <c r="X737" i="62"/>
  <c r="AD737" i="62" s="1"/>
  <c r="W737" i="62"/>
  <c r="AC737" i="62" s="1"/>
  <c r="X736" i="62"/>
  <c r="AD736" i="62" s="1"/>
  <c r="W736" i="62"/>
  <c r="AC736" i="62" s="1"/>
  <c r="X735" i="62"/>
  <c r="AD735" i="62" s="1"/>
  <c r="W735" i="62"/>
  <c r="AC735" i="62" s="1"/>
  <c r="X734" i="62"/>
  <c r="AD734" i="62" s="1"/>
  <c r="W734" i="62"/>
  <c r="AC734" i="62" s="1"/>
  <c r="X733" i="62"/>
  <c r="AD733" i="62" s="1"/>
  <c r="W733" i="62"/>
  <c r="AC733" i="62" s="1"/>
  <c r="X732" i="62"/>
  <c r="AD732" i="62" s="1"/>
  <c r="W732" i="62"/>
  <c r="AC732" i="62" s="1"/>
  <c r="X731" i="62"/>
  <c r="AD731" i="62" s="1"/>
  <c r="W731" i="62"/>
  <c r="AC731" i="62" s="1"/>
  <c r="X730" i="62"/>
  <c r="AD730" i="62" s="1"/>
  <c r="W730" i="62"/>
  <c r="AC730" i="62" s="1"/>
  <c r="X729" i="62"/>
  <c r="AD729" i="62" s="1"/>
  <c r="W729" i="62"/>
  <c r="AC729" i="62" s="1"/>
  <c r="X728" i="62"/>
  <c r="AD728" i="62" s="1"/>
  <c r="W728" i="62"/>
  <c r="AC728" i="62" s="1"/>
  <c r="X727" i="62"/>
  <c r="AD727" i="62" s="1"/>
  <c r="W727" i="62"/>
  <c r="AC727" i="62" s="1"/>
  <c r="X726" i="62"/>
  <c r="AD726" i="62" s="1"/>
  <c r="W726" i="62"/>
  <c r="AC726" i="62" s="1"/>
  <c r="V725" i="62"/>
  <c r="AB725" i="62" s="1"/>
  <c r="V724" i="62"/>
  <c r="AB724" i="62" s="1"/>
  <c r="V723" i="62"/>
  <c r="AB723" i="62" s="1"/>
  <c r="V722" i="62"/>
  <c r="AB722" i="62" s="1"/>
  <c r="V721" i="62"/>
  <c r="AB721" i="62" s="1"/>
  <c r="V720" i="62"/>
  <c r="AB720" i="62" s="1"/>
  <c r="V719" i="62"/>
  <c r="AB719" i="62" s="1"/>
  <c r="V718" i="62"/>
  <c r="AB718" i="62" s="1"/>
  <c r="V717" i="62"/>
  <c r="AB717" i="62" s="1"/>
  <c r="V716" i="62"/>
  <c r="AB716" i="62" s="1"/>
  <c r="V715" i="62"/>
  <c r="AB715" i="62" s="1"/>
  <c r="V714" i="62"/>
  <c r="AB714" i="62" s="1"/>
  <c r="V713" i="62"/>
  <c r="AB713" i="62" s="1"/>
  <c r="V712" i="62"/>
  <c r="AB712" i="62" s="1"/>
  <c r="V711" i="62"/>
  <c r="AB711" i="62" s="1"/>
  <c r="V710" i="62"/>
  <c r="AB710" i="62" s="1"/>
  <c r="V709" i="62"/>
  <c r="AB709" i="62" s="1"/>
  <c r="V708" i="62"/>
  <c r="AB708" i="62" s="1"/>
  <c r="V707" i="62"/>
  <c r="AB707" i="62" s="1"/>
  <c r="V706" i="62"/>
  <c r="AB706" i="62" s="1"/>
  <c r="V705" i="62"/>
  <c r="AB705" i="62" s="1"/>
  <c r="V704" i="62"/>
  <c r="AB704" i="62" s="1"/>
  <c r="V703" i="62"/>
  <c r="AB703" i="62" s="1"/>
  <c r="V702" i="62"/>
  <c r="AB702" i="62" s="1"/>
  <c r="V701" i="62"/>
  <c r="AB701" i="62" s="1"/>
  <c r="V700" i="62"/>
  <c r="AB700" i="62" s="1"/>
  <c r="V699" i="62"/>
  <c r="AB699" i="62" s="1"/>
  <c r="V698" i="62"/>
  <c r="AB698" i="62" s="1"/>
  <c r="V697" i="62"/>
  <c r="AB697" i="62" s="1"/>
  <c r="V696" i="62"/>
  <c r="AB696" i="62" s="1"/>
  <c r="V695" i="62"/>
  <c r="AB695" i="62" s="1"/>
  <c r="V694" i="62"/>
  <c r="AB694" i="62" s="1"/>
  <c r="V693" i="62"/>
  <c r="AB693" i="62" s="1"/>
  <c r="V692" i="62"/>
  <c r="AB692" i="62" s="1"/>
  <c r="V691" i="62"/>
  <c r="AB691" i="62" s="1"/>
  <c r="V690" i="62"/>
  <c r="AB690" i="62" s="1"/>
  <c r="V689" i="62"/>
  <c r="AB689" i="62" s="1"/>
  <c r="V688" i="62"/>
  <c r="AB688" i="62" s="1"/>
  <c r="V687" i="62"/>
  <c r="AB687" i="62" s="1"/>
  <c r="V686" i="62"/>
  <c r="AB686" i="62" s="1"/>
  <c r="V685" i="62"/>
  <c r="AB685" i="62" s="1"/>
  <c r="V684" i="62"/>
  <c r="AB684" i="62" s="1"/>
  <c r="X683" i="62"/>
  <c r="AD683" i="62" s="1"/>
  <c r="W683" i="62"/>
  <c r="AC683" i="62" s="1"/>
  <c r="X682" i="62"/>
  <c r="AD682" i="62" s="1"/>
  <c r="W682" i="62"/>
  <c r="AC682" i="62" s="1"/>
  <c r="X681" i="62"/>
  <c r="AD681" i="62" s="1"/>
  <c r="W681" i="62"/>
  <c r="AC681" i="62" s="1"/>
  <c r="X680" i="62"/>
  <c r="AD680" i="62" s="1"/>
  <c r="W680" i="62"/>
  <c r="AC680" i="62" s="1"/>
  <c r="X679" i="62"/>
  <c r="AD679" i="62" s="1"/>
  <c r="W679" i="62"/>
  <c r="AC679" i="62" s="1"/>
  <c r="X678" i="62"/>
  <c r="AD678" i="62" s="1"/>
  <c r="W678" i="62"/>
  <c r="AC678" i="62" s="1"/>
  <c r="X677" i="62"/>
  <c r="AD677" i="62" s="1"/>
  <c r="W677" i="62"/>
  <c r="AC677" i="62" s="1"/>
  <c r="X676" i="62"/>
  <c r="AD676" i="62" s="1"/>
  <c r="W676" i="62"/>
  <c r="AC676" i="62" s="1"/>
  <c r="X675" i="62"/>
  <c r="AD675" i="62" s="1"/>
  <c r="W675" i="62"/>
  <c r="AC675" i="62" s="1"/>
  <c r="X674" i="62"/>
  <c r="AD674" i="62" s="1"/>
  <c r="W674" i="62"/>
  <c r="AC674" i="62" s="1"/>
  <c r="X673" i="62"/>
  <c r="AD673" i="62" s="1"/>
  <c r="W673" i="62"/>
  <c r="AC673" i="62" s="1"/>
  <c r="X672" i="62"/>
  <c r="AD672" i="62" s="1"/>
  <c r="W672" i="62"/>
  <c r="AC672" i="62" s="1"/>
  <c r="X671" i="62"/>
  <c r="AD671" i="62" s="1"/>
  <c r="W671" i="62"/>
  <c r="AC671" i="62" s="1"/>
  <c r="X670" i="62"/>
  <c r="AD670" i="62" s="1"/>
  <c r="W670" i="62"/>
  <c r="AC670" i="62" s="1"/>
  <c r="X669" i="62"/>
  <c r="AD669" i="62" s="1"/>
  <c r="W669" i="62"/>
  <c r="AC669" i="62" s="1"/>
  <c r="X668" i="62"/>
  <c r="AD668" i="62" s="1"/>
  <c r="W668" i="62"/>
  <c r="AC668" i="62" s="1"/>
  <c r="X667" i="62"/>
  <c r="AD667" i="62" s="1"/>
  <c r="W667" i="62"/>
  <c r="AC667" i="62" s="1"/>
  <c r="X666" i="62"/>
  <c r="AD666" i="62" s="1"/>
  <c r="W666" i="62"/>
  <c r="AC666" i="62" s="1"/>
  <c r="X665" i="62"/>
  <c r="AD665" i="62" s="1"/>
  <c r="W665" i="62"/>
  <c r="AC665" i="62" s="1"/>
  <c r="X664" i="62"/>
  <c r="AD664" i="62" s="1"/>
  <c r="W664" i="62"/>
  <c r="AC664" i="62" s="1"/>
  <c r="X663" i="62"/>
  <c r="AD663" i="62" s="1"/>
  <c r="W663" i="62"/>
  <c r="AC663" i="62" s="1"/>
  <c r="X662" i="62"/>
  <c r="AD662" i="62" s="1"/>
  <c r="W662" i="62"/>
  <c r="AC662" i="62" s="1"/>
  <c r="X661" i="62"/>
  <c r="AD661" i="62" s="1"/>
  <c r="W661" i="62"/>
  <c r="AC661" i="62" s="1"/>
  <c r="X660" i="62"/>
  <c r="AD660" i="62" s="1"/>
  <c r="W660" i="62"/>
  <c r="AC660" i="62" s="1"/>
  <c r="X659" i="62"/>
  <c r="AD659" i="62" s="1"/>
  <c r="W659" i="62"/>
  <c r="AC659" i="62" s="1"/>
  <c r="X658" i="62"/>
  <c r="AD658" i="62" s="1"/>
  <c r="W658" i="62"/>
  <c r="AC658" i="62" s="1"/>
  <c r="X657" i="62"/>
  <c r="AD657" i="62" s="1"/>
  <c r="W657" i="62"/>
  <c r="AC657" i="62" s="1"/>
  <c r="X656" i="62"/>
  <c r="AD656" i="62" s="1"/>
  <c r="W656" i="62"/>
  <c r="AC656" i="62" s="1"/>
  <c r="X655" i="62"/>
  <c r="AD655" i="62" s="1"/>
  <c r="W655" i="62"/>
  <c r="AC655" i="62" s="1"/>
  <c r="X654" i="62"/>
  <c r="AD654" i="62" s="1"/>
  <c r="W654" i="62"/>
  <c r="AC654" i="62" s="1"/>
  <c r="V653" i="62"/>
  <c r="AB653" i="62" s="1"/>
  <c r="V652" i="62"/>
  <c r="AB652" i="62" s="1"/>
  <c r="V651" i="62"/>
  <c r="AB651" i="62" s="1"/>
  <c r="V650" i="62"/>
  <c r="AB650" i="62" s="1"/>
  <c r="V649" i="62"/>
  <c r="AB649" i="62" s="1"/>
  <c r="V648" i="62"/>
  <c r="AB648" i="62" s="1"/>
  <c r="V647" i="62"/>
  <c r="AB647" i="62" s="1"/>
  <c r="V646" i="62"/>
  <c r="AB646" i="62" s="1"/>
  <c r="V645" i="62"/>
  <c r="AB645" i="62" s="1"/>
  <c r="V644" i="62"/>
  <c r="AB644" i="62" s="1"/>
  <c r="V643" i="62"/>
  <c r="AB643" i="62" s="1"/>
  <c r="V642" i="62"/>
  <c r="AB642" i="62" s="1"/>
  <c r="V641" i="62"/>
  <c r="AB641" i="62" s="1"/>
  <c r="V640" i="62"/>
  <c r="AB640" i="62" s="1"/>
  <c r="V639" i="62"/>
  <c r="AB639" i="62" s="1"/>
  <c r="V638" i="62"/>
  <c r="AB638" i="62" s="1"/>
  <c r="V637" i="62"/>
  <c r="AB637" i="62" s="1"/>
  <c r="V636" i="62"/>
  <c r="AB636" i="62" s="1"/>
  <c r="V635" i="62"/>
  <c r="AB635" i="62" s="1"/>
  <c r="V634" i="62"/>
  <c r="AB634" i="62" s="1"/>
  <c r="V633" i="62"/>
  <c r="AB633" i="62" s="1"/>
  <c r="V632" i="62"/>
  <c r="AB632" i="62" s="1"/>
  <c r="V631" i="62"/>
  <c r="AB631" i="62" s="1"/>
  <c r="V630" i="62"/>
  <c r="AB630" i="62" s="1"/>
  <c r="V629" i="62"/>
  <c r="AB629" i="62" s="1"/>
  <c r="V628" i="62"/>
  <c r="AB628" i="62" s="1"/>
  <c r="V627" i="62"/>
  <c r="AB627" i="62" s="1"/>
  <c r="V626" i="62"/>
  <c r="AB626" i="62" s="1"/>
  <c r="V625" i="62"/>
  <c r="AB625" i="62" s="1"/>
  <c r="V624" i="62"/>
  <c r="AB624" i="62" s="1"/>
  <c r="X623" i="62"/>
  <c r="AD623" i="62" s="1"/>
  <c r="W623" i="62"/>
  <c r="AC623" i="62" s="1"/>
  <c r="X622" i="62"/>
  <c r="AD622" i="62" s="1"/>
  <c r="W622" i="62"/>
  <c r="AC622" i="62" s="1"/>
  <c r="X621" i="62"/>
  <c r="AD621" i="62" s="1"/>
  <c r="W621" i="62"/>
  <c r="AC621" i="62" s="1"/>
  <c r="X620" i="62"/>
  <c r="AD620" i="62" s="1"/>
  <c r="W620" i="62"/>
  <c r="AC620" i="62" s="1"/>
  <c r="X619" i="62"/>
  <c r="AD619" i="62" s="1"/>
  <c r="W619" i="62"/>
  <c r="AC619" i="62" s="1"/>
  <c r="X618" i="62"/>
  <c r="AD618" i="62" s="1"/>
  <c r="W618" i="62"/>
  <c r="AC618" i="62" s="1"/>
  <c r="X617" i="62"/>
  <c r="AD617" i="62" s="1"/>
  <c r="W617" i="62"/>
  <c r="AC617" i="62" s="1"/>
  <c r="X616" i="62"/>
  <c r="AD616" i="62" s="1"/>
  <c r="W616" i="62"/>
  <c r="AC616" i="62" s="1"/>
  <c r="X615" i="62"/>
  <c r="AD615" i="62" s="1"/>
  <c r="W615" i="62"/>
  <c r="AC615" i="62" s="1"/>
  <c r="X614" i="62"/>
  <c r="AD614" i="62" s="1"/>
  <c r="W614" i="62"/>
  <c r="AC614" i="62" s="1"/>
  <c r="X613" i="62"/>
  <c r="AD613" i="62" s="1"/>
  <c r="W613" i="62"/>
  <c r="AC613" i="62" s="1"/>
  <c r="X612" i="62"/>
  <c r="AD612" i="62" s="1"/>
  <c r="W612" i="62"/>
  <c r="AC612" i="62" s="1"/>
  <c r="X611" i="62"/>
  <c r="AD611" i="62" s="1"/>
  <c r="W611" i="62"/>
  <c r="AC611" i="62" s="1"/>
  <c r="X610" i="62"/>
  <c r="AD610" i="62" s="1"/>
  <c r="W610" i="62"/>
  <c r="AC610" i="62" s="1"/>
  <c r="X609" i="62"/>
  <c r="AD609" i="62" s="1"/>
  <c r="W609" i="62"/>
  <c r="AC609" i="62" s="1"/>
  <c r="X608" i="62"/>
  <c r="AD608" i="62" s="1"/>
  <c r="W608" i="62"/>
  <c r="AC608" i="62" s="1"/>
  <c r="X607" i="62"/>
  <c r="AD607" i="62" s="1"/>
  <c r="W607" i="62"/>
  <c r="AC607" i="62" s="1"/>
  <c r="X606" i="62"/>
  <c r="AD606" i="62" s="1"/>
  <c r="W606" i="62"/>
  <c r="AC606" i="62" s="1"/>
  <c r="X605" i="62"/>
  <c r="AD605" i="62" s="1"/>
  <c r="W605" i="62"/>
  <c r="AC605" i="62" s="1"/>
  <c r="X604" i="62"/>
  <c r="AD604" i="62" s="1"/>
  <c r="W604" i="62"/>
  <c r="AC604" i="62" s="1"/>
  <c r="X603" i="62"/>
  <c r="AD603" i="62" s="1"/>
  <c r="W603" i="62"/>
  <c r="AC603" i="62" s="1"/>
  <c r="X602" i="62"/>
  <c r="AD602" i="62" s="1"/>
  <c r="W602" i="62"/>
  <c r="AC602" i="62" s="1"/>
  <c r="X601" i="62"/>
  <c r="AD601" i="62" s="1"/>
  <c r="W601" i="62"/>
  <c r="AC601" i="62" s="1"/>
  <c r="X600" i="62"/>
  <c r="AD600" i="62" s="1"/>
  <c r="W600" i="62"/>
  <c r="AC600" i="62" s="1"/>
  <c r="X599" i="62"/>
  <c r="AD599" i="62" s="1"/>
  <c r="W599" i="62"/>
  <c r="AC599" i="62" s="1"/>
  <c r="X598" i="62"/>
  <c r="AD598" i="62" s="1"/>
  <c r="W598" i="62"/>
  <c r="AC598" i="62" s="1"/>
  <c r="X597" i="62"/>
  <c r="AD597" i="62" s="1"/>
  <c r="W597" i="62"/>
  <c r="AC597" i="62" s="1"/>
  <c r="X596" i="62"/>
  <c r="AD596" i="62" s="1"/>
  <c r="W596" i="62"/>
  <c r="AC596" i="62" s="1"/>
  <c r="X595" i="62"/>
  <c r="AD595" i="62" s="1"/>
  <c r="W595" i="62"/>
  <c r="AC595" i="62" s="1"/>
  <c r="X594" i="62"/>
  <c r="AD594" i="62" s="1"/>
  <c r="W594" i="62"/>
  <c r="AC594" i="62" s="1"/>
  <c r="V594" i="62"/>
  <c r="AB594" i="62" s="1"/>
  <c r="X593" i="62"/>
  <c r="AD593" i="62" s="1"/>
  <c r="W593" i="62"/>
  <c r="AC593" i="62" s="1"/>
  <c r="V593" i="62"/>
  <c r="AB593" i="62" s="1"/>
  <c r="X592" i="62"/>
  <c r="AD592" i="62" s="1"/>
  <c r="W592" i="62"/>
  <c r="AC592" i="62" s="1"/>
  <c r="V592" i="62"/>
  <c r="AB592" i="62" s="1"/>
  <c r="X591" i="62"/>
  <c r="AD591" i="62" s="1"/>
  <c r="W591" i="62"/>
  <c r="AC591" i="62" s="1"/>
  <c r="V591" i="62"/>
  <c r="AB591" i="62" s="1"/>
  <c r="X590" i="62"/>
  <c r="AD590" i="62" s="1"/>
  <c r="W590" i="62"/>
  <c r="AC590" i="62" s="1"/>
  <c r="V590" i="62"/>
  <c r="AB590" i="62" s="1"/>
  <c r="X589" i="62"/>
  <c r="AD589" i="62" s="1"/>
  <c r="W589" i="62"/>
  <c r="AC589" i="62" s="1"/>
  <c r="V589" i="62"/>
  <c r="AB589" i="62" s="1"/>
  <c r="X588" i="62"/>
  <c r="AD588" i="62" s="1"/>
  <c r="W588" i="62"/>
  <c r="AC588" i="62" s="1"/>
  <c r="V588" i="62"/>
  <c r="X587" i="62"/>
  <c r="AD587" i="62" s="1"/>
  <c r="W587" i="62"/>
  <c r="AC587" i="62" s="1"/>
  <c r="V587" i="62"/>
  <c r="AB587" i="62" s="1"/>
  <c r="X586" i="62"/>
  <c r="AD586" i="62" s="1"/>
  <c r="W586" i="62"/>
  <c r="AC586" i="62" s="1"/>
  <c r="V586" i="62"/>
  <c r="AB586" i="62" s="1"/>
  <c r="X585" i="62"/>
  <c r="AD585" i="62" s="1"/>
  <c r="W585" i="62"/>
  <c r="AC585" i="62" s="1"/>
  <c r="V585" i="62"/>
  <c r="AB585" i="62" s="1"/>
  <c r="X584" i="62"/>
  <c r="AD584" i="62" s="1"/>
  <c r="W584" i="62"/>
  <c r="AC584" i="62" s="1"/>
  <c r="V584" i="62"/>
  <c r="AB584" i="62" s="1"/>
  <c r="X583" i="62"/>
  <c r="AD583" i="62" s="1"/>
  <c r="W583" i="62"/>
  <c r="AC583" i="62" s="1"/>
  <c r="V583" i="62"/>
  <c r="AB583" i="62" s="1"/>
  <c r="X582" i="62"/>
  <c r="AD582" i="62" s="1"/>
  <c r="W582" i="62"/>
  <c r="AC582" i="62" s="1"/>
  <c r="V582" i="62"/>
  <c r="AB582" i="62" s="1"/>
  <c r="X581" i="62"/>
  <c r="AD581" i="62" s="1"/>
  <c r="W581" i="62"/>
  <c r="AC581" i="62" s="1"/>
  <c r="V581" i="62"/>
  <c r="AB581" i="62" s="1"/>
  <c r="X580" i="62"/>
  <c r="AD580" i="62" s="1"/>
  <c r="W580" i="62"/>
  <c r="AC580" i="62" s="1"/>
  <c r="V580" i="62"/>
  <c r="X579" i="62"/>
  <c r="AD579" i="62" s="1"/>
  <c r="W579" i="62"/>
  <c r="AC579" i="62" s="1"/>
  <c r="V579" i="62"/>
  <c r="AB579" i="62" s="1"/>
  <c r="X578" i="62"/>
  <c r="AD578" i="62" s="1"/>
  <c r="W578" i="62"/>
  <c r="AC578" i="62" s="1"/>
  <c r="V578" i="62"/>
  <c r="AB578" i="62" s="1"/>
  <c r="X577" i="62"/>
  <c r="AD577" i="62" s="1"/>
  <c r="W577" i="62"/>
  <c r="AC577" i="62" s="1"/>
  <c r="V577" i="62"/>
  <c r="AB577" i="62" s="1"/>
  <c r="X576" i="62"/>
  <c r="AD576" i="62" s="1"/>
  <c r="W576" i="62"/>
  <c r="AC576" i="62" s="1"/>
  <c r="V576" i="62"/>
  <c r="AB576" i="62" s="1"/>
  <c r="X575" i="62"/>
  <c r="AD575" i="62" s="1"/>
  <c r="W575" i="62"/>
  <c r="AC575" i="62" s="1"/>
  <c r="V575" i="62"/>
  <c r="AB575" i="62" s="1"/>
  <c r="X574" i="62"/>
  <c r="AD574" i="62" s="1"/>
  <c r="W574" i="62"/>
  <c r="AC574" i="62" s="1"/>
  <c r="V574" i="62"/>
  <c r="AB574" i="62" s="1"/>
  <c r="X573" i="62"/>
  <c r="AD573" i="62" s="1"/>
  <c r="W573" i="62"/>
  <c r="AC573" i="62" s="1"/>
  <c r="V573" i="62"/>
  <c r="AB573" i="62" s="1"/>
  <c r="X572" i="62"/>
  <c r="AD572" i="62" s="1"/>
  <c r="W572" i="62"/>
  <c r="AC572" i="62" s="1"/>
  <c r="V572" i="62"/>
  <c r="X571" i="62"/>
  <c r="AD571" i="62" s="1"/>
  <c r="W571" i="62"/>
  <c r="AC571" i="62" s="1"/>
  <c r="V571" i="62"/>
  <c r="AB571" i="62" s="1"/>
  <c r="X570" i="62"/>
  <c r="AD570" i="62" s="1"/>
  <c r="W570" i="62"/>
  <c r="AC570" i="62" s="1"/>
  <c r="V570" i="62"/>
  <c r="AB570" i="62" s="1"/>
  <c r="X569" i="62"/>
  <c r="AD569" i="62" s="1"/>
  <c r="W569" i="62"/>
  <c r="AC569" i="62" s="1"/>
  <c r="V569" i="62"/>
  <c r="AB569" i="62" s="1"/>
  <c r="V568" i="62"/>
  <c r="AB568" i="62" s="1"/>
  <c r="V567" i="62"/>
  <c r="AB567" i="62" s="1"/>
  <c r="V566" i="62"/>
  <c r="AB566" i="62" s="1"/>
  <c r="V565" i="62"/>
  <c r="AB565" i="62" s="1"/>
  <c r="V564" i="62"/>
  <c r="AB564" i="62" s="1"/>
  <c r="V563" i="62"/>
  <c r="AB563" i="62" s="1"/>
  <c r="V562" i="62"/>
  <c r="AB562" i="62" s="1"/>
  <c r="V561" i="62"/>
  <c r="AB561" i="62" s="1"/>
  <c r="V560" i="62"/>
  <c r="AB560" i="62" s="1"/>
  <c r="V559" i="62"/>
  <c r="AB559" i="62" s="1"/>
  <c r="V558" i="62"/>
  <c r="AB558" i="62" s="1"/>
  <c r="V557" i="62"/>
  <c r="AB557" i="62" s="1"/>
  <c r="V556" i="62"/>
  <c r="AB556" i="62" s="1"/>
  <c r="V555" i="62"/>
  <c r="AB555" i="62" s="1"/>
  <c r="V554" i="62"/>
  <c r="AB554" i="62" s="1"/>
  <c r="V553" i="62"/>
  <c r="AB553" i="62" s="1"/>
  <c r="V552" i="62"/>
  <c r="AB552" i="62" s="1"/>
  <c r="V551" i="62"/>
  <c r="AB551" i="62" s="1"/>
  <c r="V550" i="62"/>
  <c r="AB550" i="62" s="1"/>
  <c r="V549" i="62"/>
  <c r="AB549" i="62" s="1"/>
  <c r="V548" i="62"/>
  <c r="AB548" i="62" s="1"/>
  <c r="V547" i="62"/>
  <c r="AB547" i="62" s="1"/>
  <c r="V546" i="62"/>
  <c r="AB546" i="62" s="1"/>
  <c r="V545" i="62"/>
  <c r="AB545" i="62" s="1"/>
  <c r="V544" i="62"/>
  <c r="AB544" i="62" s="1"/>
  <c r="V543" i="62"/>
  <c r="AB543" i="62" s="1"/>
  <c r="V542" i="62"/>
  <c r="AB542" i="62" s="1"/>
  <c r="V541" i="62"/>
  <c r="AB541" i="62" s="1"/>
  <c r="V540" i="62"/>
  <c r="AB540" i="62" s="1"/>
  <c r="V539" i="62"/>
  <c r="AB539" i="62" s="1"/>
  <c r="V538" i="62"/>
  <c r="AB538" i="62" s="1"/>
  <c r="V537" i="62"/>
  <c r="AB537" i="62" s="1"/>
  <c r="V536" i="62"/>
  <c r="AB536" i="62" s="1"/>
  <c r="V535" i="62"/>
  <c r="AB535" i="62" s="1"/>
  <c r="V534" i="62"/>
  <c r="AB534" i="62" s="1"/>
  <c r="V533" i="62"/>
  <c r="AB533" i="62" s="1"/>
  <c r="V532" i="62"/>
  <c r="AB532" i="62" s="1"/>
  <c r="V531" i="62"/>
  <c r="AB531" i="62" s="1"/>
  <c r="V530" i="62"/>
  <c r="AB530" i="62" s="1"/>
  <c r="V529" i="62"/>
  <c r="AB529" i="62" s="1"/>
  <c r="V528" i="62"/>
  <c r="AB528" i="62" s="1"/>
  <c r="V527" i="62"/>
  <c r="AB527" i="62" s="1"/>
  <c r="V526" i="62"/>
  <c r="AB526" i="62" s="1"/>
  <c r="V525" i="62"/>
  <c r="AB525" i="62" s="1"/>
  <c r="V524" i="62"/>
  <c r="AB524" i="62" s="1"/>
  <c r="V523" i="62"/>
  <c r="AB523" i="62" s="1"/>
  <c r="V522" i="62"/>
  <c r="AB522" i="62" s="1"/>
  <c r="V521" i="62"/>
  <c r="AB521" i="62" s="1"/>
  <c r="V520" i="62"/>
  <c r="AB520" i="62" s="1"/>
  <c r="V519" i="62"/>
  <c r="AB519" i="62" s="1"/>
  <c r="V518" i="62"/>
  <c r="AB518" i="62" s="1"/>
  <c r="V517" i="62"/>
  <c r="AB517" i="62" s="1"/>
  <c r="X516" i="62"/>
  <c r="AD516" i="62" s="1"/>
  <c r="W516" i="62"/>
  <c r="AC516" i="62" s="1"/>
  <c r="V516" i="62"/>
  <c r="AB516" i="62" s="1"/>
  <c r="X515" i="62"/>
  <c r="AD515" i="62" s="1"/>
  <c r="W515" i="62"/>
  <c r="AC515" i="62" s="1"/>
  <c r="V515" i="62"/>
  <c r="AB515" i="62" s="1"/>
  <c r="X514" i="62"/>
  <c r="AD514" i="62" s="1"/>
  <c r="W514" i="62"/>
  <c r="AC514" i="62" s="1"/>
  <c r="V514" i="62"/>
  <c r="AB514" i="62" s="1"/>
  <c r="X513" i="62"/>
  <c r="AD513" i="62" s="1"/>
  <c r="W513" i="62"/>
  <c r="AC513" i="62" s="1"/>
  <c r="V513" i="62"/>
  <c r="AB513" i="62" s="1"/>
  <c r="X512" i="62"/>
  <c r="AD512" i="62" s="1"/>
  <c r="W512" i="62"/>
  <c r="AC512" i="62" s="1"/>
  <c r="V512" i="62"/>
  <c r="X511" i="62"/>
  <c r="AD511" i="62" s="1"/>
  <c r="W511" i="62"/>
  <c r="AC511" i="62" s="1"/>
  <c r="V511" i="62"/>
  <c r="AB511" i="62" s="1"/>
  <c r="X510" i="62"/>
  <c r="AD510" i="62" s="1"/>
  <c r="W510" i="62"/>
  <c r="AC510" i="62" s="1"/>
  <c r="V510" i="62"/>
  <c r="AB510" i="62" s="1"/>
  <c r="X509" i="62"/>
  <c r="AD509" i="62" s="1"/>
  <c r="W509" i="62"/>
  <c r="AC509" i="62" s="1"/>
  <c r="V509" i="62"/>
  <c r="AB509" i="62" s="1"/>
  <c r="X508" i="62"/>
  <c r="AD508" i="62" s="1"/>
  <c r="W508" i="62"/>
  <c r="AC508" i="62" s="1"/>
  <c r="V508" i="62"/>
  <c r="AB508" i="62" s="1"/>
  <c r="X507" i="62"/>
  <c r="AD507" i="62" s="1"/>
  <c r="W507" i="62"/>
  <c r="AC507" i="62" s="1"/>
  <c r="V507" i="62"/>
  <c r="AB507" i="62" s="1"/>
  <c r="X506" i="62"/>
  <c r="AD506" i="62" s="1"/>
  <c r="W506" i="62"/>
  <c r="AC506" i="62" s="1"/>
  <c r="V506" i="62"/>
  <c r="AB506" i="62" s="1"/>
  <c r="X505" i="62"/>
  <c r="AD505" i="62" s="1"/>
  <c r="W505" i="62"/>
  <c r="AC505" i="62" s="1"/>
  <c r="V505" i="62"/>
  <c r="AB505" i="62" s="1"/>
  <c r="X504" i="62"/>
  <c r="AD504" i="62" s="1"/>
  <c r="W504" i="62"/>
  <c r="AC504" i="62" s="1"/>
  <c r="V504" i="62"/>
  <c r="X503" i="62"/>
  <c r="AD503" i="62" s="1"/>
  <c r="W503" i="62"/>
  <c r="AC503" i="62" s="1"/>
  <c r="V503" i="62"/>
  <c r="AB503" i="62" s="1"/>
  <c r="X502" i="62"/>
  <c r="AD502" i="62" s="1"/>
  <c r="W502" i="62"/>
  <c r="AC502" i="62" s="1"/>
  <c r="V502" i="62"/>
  <c r="AB502" i="62" s="1"/>
  <c r="X501" i="62"/>
  <c r="AD501" i="62" s="1"/>
  <c r="W501" i="62"/>
  <c r="AC501" i="62" s="1"/>
  <c r="V501" i="62"/>
  <c r="AB501" i="62" s="1"/>
  <c r="X500" i="62"/>
  <c r="AD500" i="62" s="1"/>
  <c r="W500" i="62"/>
  <c r="AC500" i="62" s="1"/>
  <c r="V500" i="62"/>
  <c r="AB500" i="62" s="1"/>
  <c r="X499" i="62"/>
  <c r="AD499" i="62" s="1"/>
  <c r="W499" i="62"/>
  <c r="AC499" i="62" s="1"/>
  <c r="V499" i="62"/>
  <c r="AB499" i="62" s="1"/>
  <c r="X498" i="62"/>
  <c r="AD498" i="62" s="1"/>
  <c r="W498" i="62"/>
  <c r="V498" i="62"/>
  <c r="AB498" i="62" s="1"/>
  <c r="X497" i="62"/>
  <c r="AD497" i="62" s="1"/>
  <c r="W497" i="62"/>
  <c r="AC497" i="62" s="1"/>
  <c r="V497" i="62"/>
  <c r="AB497" i="62" s="1"/>
  <c r="X496" i="62"/>
  <c r="AD496" i="62" s="1"/>
  <c r="W496" i="62"/>
  <c r="AC496" i="62" s="1"/>
  <c r="V496" i="62"/>
  <c r="AB496" i="62" s="1"/>
  <c r="X495" i="62"/>
  <c r="AD495" i="62" s="1"/>
  <c r="W495" i="62"/>
  <c r="AC495" i="62" s="1"/>
  <c r="V495" i="62"/>
  <c r="AB495" i="62" s="1"/>
  <c r="X494" i="62"/>
  <c r="W494" i="62"/>
  <c r="AC494" i="62" s="1"/>
  <c r="V494" i="62"/>
  <c r="AB494" i="62" s="1"/>
  <c r="X493" i="62"/>
  <c r="AD493" i="62" s="1"/>
  <c r="W493" i="62"/>
  <c r="AC493" i="62" s="1"/>
  <c r="V493" i="62"/>
  <c r="AB493" i="62" s="1"/>
  <c r="X492" i="62"/>
  <c r="AD492" i="62" s="1"/>
  <c r="W492" i="62"/>
  <c r="AC492" i="62" s="1"/>
  <c r="V492" i="62"/>
  <c r="AB492" i="62" s="1"/>
  <c r="X491" i="62"/>
  <c r="AD491" i="62" s="1"/>
  <c r="W491" i="62"/>
  <c r="AC491" i="62" s="1"/>
  <c r="V491" i="62"/>
  <c r="AB491" i="62" s="1"/>
  <c r="X490" i="62"/>
  <c r="AD490" i="62" s="1"/>
  <c r="W490" i="62"/>
  <c r="AC490" i="62" s="1"/>
  <c r="V490" i="62"/>
  <c r="AB490" i="62" s="1"/>
  <c r="X489" i="62"/>
  <c r="AD489" i="62" s="1"/>
  <c r="W489" i="62"/>
  <c r="AC489" i="62" s="1"/>
  <c r="V489" i="62"/>
  <c r="AB489" i="62" s="1"/>
  <c r="X488" i="62"/>
  <c r="AD488" i="62" s="1"/>
  <c r="W488" i="62"/>
  <c r="AC488" i="62" s="1"/>
  <c r="V488" i="62"/>
  <c r="AB488" i="62" s="1"/>
  <c r="X487" i="62"/>
  <c r="AD487" i="62" s="1"/>
  <c r="W487" i="62"/>
  <c r="AC487" i="62" s="1"/>
  <c r="V487" i="62"/>
  <c r="AB487" i="62" s="1"/>
  <c r="X486" i="62"/>
  <c r="AD486" i="62" s="1"/>
  <c r="W486" i="62"/>
  <c r="AC486" i="62" s="1"/>
  <c r="V486" i="62"/>
  <c r="AB486" i="62" s="1"/>
  <c r="X485" i="62"/>
  <c r="AD485" i="62" s="1"/>
  <c r="W485" i="62"/>
  <c r="AC485" i="62" s="1"/>
  <c r="V485" i="62"/>
  <c r="AB485" i="62" s="1"/>
  <c r="X484" i="62"/>
  <c r="AD484" i="62" s="1"/>
  <c r="W484" i="62"/>
  <c r="AC484" i="62" s="1"/>
  <c r="V484" i="62"/>
  <c r="AB484" i="62" s="1"/>
  <c r="X483" i="62"/>
  <c r="AD483" i="62" s="1"/>
  <c r="W483" i="62"/>
  <c r="AC483" i="62" s="1"/>
  <c r="V483" i="62"/>
  <c r="AB483" i="62" s="1"/>
  <c r="X482" i="62"/>
  <c r="AD482" i="62" s="1"/>
  <c r="W482" i="62"/>
  <c r="AC482" i="62" s="1"/>
  <c r="V482" i="62"/>
  <c r="AB482" i="62" s="1"/>
  <c r="X481" i="62"/>
  <c r="AD481" i="62" s="1"/>
  <c r="W481" i="62"/>
  <c r="AC481" i="62" s="1"/>
  <c r="V481" i="62"/>
  <c r="AB481" i="62" s="1"/>
  <c r="X480" i="62"/>
  <c r="AD480" i="62" s="1"/>
  <c r="W480" i="62"/>
  <c r="AC480" i="62" s="1"/>
  <c r="V480" i="62"/>
  <c r="AB480" i="62" s="1"/>
  <c r="X479" i="62"/>
  <c r="AD479" i="62" s="1"/>
  <c r="W479" i="62"/>
  <c r="AC479" i="62" s="1"/>
  <c r="V479" i="62"/>
  <c r="AB479" i="62" s="1"/>
  <c r="X478" i="62"/>
  <c r="AD478" i="62" s="1"/>
  <c r="W478" i="62"/>
  <c r="AC478" i="62" s="1"/>
  <c r="V478" i="62"/>
  <c r="AB478" i="62" s="1"/>
  <c r="X477" i="62"/>
  <c r="AD477" i="62" s="1"/>
  <c r="W477" i="62"/>
  <c r="AC477" i="62" s="1"/>
  <c r="V477" i="62"/>
  <c r="AB477" i="62" s="1"/>
  <c r="X476" i="62"/>
  <c r="AD476" i="62" s="1"/>
  <c r="W476" i="62"/>
  <c r="AC476" i="62" s="1"/>
  <c r="V476" i="62"/>
  <c r="AB476" i="62" s="1"/>
  <c r="X475" i="62"/>
  <c r="AD475" i="62" s="1"/>
  <c r="W475" i="62"/>
  <c r="AC475" i="62" s="1"/>
  <c r="V475" i="62"/>
  <c r="AB475" i="62" s="1"/>
  <c r="X474" i="62"/>
  <c r="AD474" i="62" s="1"/>
  <c r="W474" i="62"/>
  <c r="AC474" i="62" s="1"/>
  <c r="V474" i="62"/>
  <c r="AB474" i="62" s="1"/>
  <c r="X473" i="62"/>
  <c r="AD473" i="62" s="1"/>
  <c r="W473" i="62"/>
  <c r="AC473" i="62" s="1"/>
  <c r="V473" i="62"/>
  <c r="AB473" i="62" s="1"/>
  <c r="X472" i="62"/>
  <c r="AD472" i="62" s="1"/>
  <c r="W472" i="62"/>
  <c r="AC472" i="62" s="1"/>
  <c r="V472" i="62"/>
  <c r="AB472" i="62" s="1"/>
  <c r="X471" i="62"/>
  <c r="AD471" i="62" s="1"/>
  <c r="W471" i="62"/>
  <c r="AC471" i="62" s="1"/>
  <c r="V471" i="62"/>
  <c r="AB471" i="62" s="1"/>
  <c r="X470" i="62"/>
  <c r="AD470" i="62" s="1"/>
  <c r="W470" i="62"/>
  <c r="AC470" i="62" s="1"/>
  <c r="V470" i="62"/>
  <c r="AB470" i="62" s="1"/>
  <c r="X469" i="62"/>
  <c r="AD469" i="62" s="1"/>
  <c r="W469" i="62"/>
  <c r="AC469" i="62" s="1"/>
  <c r="V469" i="62"/>
  <c r="AB469" i="62" s="1"/>
  <c r="X468" i="62"/>
  <c r="AD468" i="62" s="1"/>
  <c r="W468" i="62"/>
  <c r="AC468" i="62" s="1"/>
  <c r="V468" i="62"/>
  <c r="AB468" i="62" s="1"/>
  <c r="X467" i="62"/>
  <c r="AD467" i="62" s="1"/>
  <c r="W467" i="62"/>
  <c r="AC467" i="62" s="1"/>
  <c r="V467" i="62"/>
  <c r="AB467" i="62" s="1"/>
  <c r="X466" i="62"/>
  <c r="AD466" i="62" s="1"/>
  <c r="W466" i="62"/>
  <c r="AC466" i="62" s="1"/>
  <c r="V466" i="62"/>
  <c r="AB466" i="62" s="1"/>
  <c r="X465" i="62"/>
  <c r="AD465" i="62" s="1"/>
  <c r="W465" i="62"/>
  <c r="AC465" i="62" s="1"/>
  <c r="V465" i="62"/>
  <c r="AB465" i="62" s="1"/>
  <c r="X464" i="62"/>
  <c r="AD464" i="62" s="1"/>
  <c r="W464" i="62"/>
  <c r="AC464" i="62" s="1"/>
  <c r="V464" i="62"/>
  <c r="AB464" i="62" s="1"/>
  <c r="X463" i="62"/>
  <c r="AD463" i="62" s="1"/>
  <c r="W463" i="62"/>
  <c r="AC463" i="62" s="1"/>
  <c r="V463" i="62"/>
  <c r="AB463" i="62" s="1"/>
  <c r="X462" i="62"/>
  <c r="AD462" i="62" s="1"/>
  <c r="W462" i="62"/>
  <c r="AC462" i="62" s="1"/>
  <c r="V462" i="62"/>
  <c r="AB462" i="62" s="1"/>
  <c r="X461" i="62"/>
  <c r="AD461" i="62" s="1"/>
  <c r="W461" i="62"/>
  <c r="AC461" i="62" s="1"/>
  <c r="V461" i="62"/>
  <c r="AB461" i="62" s="1"/>
  <c r="X460" i="62"/>
  <c r="AD460" i="62" s="1"/>
  <c r="W460" i="62"/>
  <c r="AC460" i="62" s="1"/>
  <c r="V460" i="62"/>
  <c r="AB460" i="62" s="1"/>
  <c r="X459" i="62"/>
  <c r="AD459" i="62" s="1"/>
  <c r="W459" i="62"/>
  <c r="AC459" i="62" s="1"/>
  <c r="V459" i="62"/>
  <c r="AB459" i="62" s="1"/>
  <c r="X458" i="62"/>
  <c r="AD458" i="62" s="1"/>
  <c r="W458" i="62"/>
  <c r="AC458" i="62" s="1"/>
  <c r="V458" i="62"/>
  <c r="AB458" i="62" s="1"/>
  <c r="X457" i="62"/>
  <c r="AD457" i="62" s="1"/>
  <c r="W457" i="62"/>
  <c r="AC457" i="62" s="1"/>
  <c r="V457" i="62"/>
  <c r="AB457" i="62" s="1"/>
  <c r="X456" i="62"/>
  <c r="AD456" i="62" s="1"/>
  <c r="W456" i="62"/>
  <c r="AC456" i="62" s="1"/>
  <c r="V456" i="62"/>
  <c r="AB456" i="62" s="1"/>
  <c r="X455" i="62"/>
  <c r="AD455" i="62" s="1"/>
  <c r="W455" i="62"/>
  <c r="AC455" i="62" s="1"/>
  <c r="V455" i="62"/>
  <c r="AB455" i="62" s="1"/>
  <c r="X454" i="62"/>
  <c r="AD454" i="62" s="1"/>
  <c r="W454" i="62"/>
  <c r="AC454" i="62" s="1"/>
  <c r="V454" i="62"/>
  <c r="AB454" i="62" s="1"/>
  <c r="X453" i="62"/>
  <c r="AD453" i="62" s="1"/>
  <c r="W453" i="62"/>
  <c r="AC453" i="62" s="1"/>
  <c r="V453" i="62"/>
  <c r="AB453" i="62" s="1"/>
  <c r="X452" i="62"/>
  <c r="AD452" i="62" s="1"/>
  <c r="W452" i="62"/>
  <c r="AC452" i="62" s="1"/>
  <c r="V452" i="62"/>
  <c r="AB452" i="62" s="1"/>
  <c r="X451" i="62"/>
  <c r="AD451" i="62" s="1"/>
  <c r="W451" i="62"/>
  <c r="AC451" i="62" s="1"/>
  <c r="V451" i="62"/>
  <c r="AB451" i="62" s="1"/>
  <c r="X450" i="62"/>
  <c r="AD450" i="62" s="1"/>
  <c r="W450" i="62"/>
  <c r="AC450" i="62" s="1"/>
  <c r="V450" i="62"/>
  <c r="AB450" i="62" s="1"/>
  <c r="X449" i="62"/>
  <c r="AD449" i="62" s="1"/>
  <c r="W449" i="62"/>
  <c r="AC449" i="62" s="1"/>
  <c r="V449" i="62"/>
  <c r="AB449" i="62" s="1"/>
  <c r="X448" i="62"/>
  <c r="AD448" i="62" s="1"/>
  <c r="W448" i="62"/>
  <c r="AC448" i="62" s="1"/>
  <c r="V448" i="62"/>
  <c r="AB448" i="62" s="1"/>
  <c r="X447" i="62"/>
  <c r="AD447" i="62" s="1"/>
  <c r="W447" i="62"/>
  <c r="AC447" i="62" s="1"/>
  <c r="V447" i="62"/>
  <c r="AB447" i="62" s="1"/>
  <c r="X446" i="62"/>
  <c r="AD446" i="62" s="1"/>
  <c r="W446" i="62"/>
  <c r="AC446" i="62" s="1"/>
  <c r="V446" i="62"/>
  <c r="AB446" i="62" s="1"/>
  <c r="X445" i="62"/>
  <c r="AD445" i="62" s="1"/>
  <c r="W445" i="62"/>
  <c r="AC445" i="62" s="1"/>
  <c r="V445" i="62"/>
  <c r="AB445" i="62" s="1"/>
  <c r="X444" i="62"/>
  <c r="AD444" i="62" s="1"/>
  <c r="W444" i="62"/>
  <c r="AC444" i="62" s="1"/>
  <c r="V444" i="62"/>
  <c r="AB444" i="62" s="1"/>
  <c r="X443" i="62"/>
  <c r="AD443" i="62" s="1"/>
  <c r="W443" i="62"/>
  <c r="V443" i="62"/>
  <c r="AB443" i="62" s="1"/>
  <c r="X442" i="62"/>
  <c r="AD442" i="62" s="1"/>
  <c r="W442" i="62"/>
  <c r="AC442" i="62" s="1"/>
  <c r="V442" i="62"/>
  <c r="AB442" i="62" s="1"/>
  <c r="X441" i="62"/>
  <c r="AD441" i="62" s="1"/>
  <c r="W441" i="62"/>
  <c r="AC441" i="62" s="1"/>
  <c r="V441" i="62"/>
  <c r="AB441" i="62" s="1"/>
  <c r="X440" i="62"/>
  <c r="AD440" i="62" s="1"/>
  <c r="W440" i="62"/>
  <c r="AC440" i="62" s="1"/>
  <c r="V440" i="62"/>
  <c r="AB440" i="62" s="1"/>
  <c r="X439" i="62"/>
  <c r="W439" i="62"/>
  <c r="AC439" i="62" s="1"/>
  <c r="V439" i="62"/>
  <c r="AB439" i="62" s="1"/>
  <c r="X438" i="62"/>
  <c r="AD438" i="62" s="1"/>
  <c r="W438" i="62"/>
  <c r="AC438" i="62" s="1"/>
  <c r="V438" i="62"/>
  <c r="AB438" i="62" s="1"/>
  <c r="X437" i="62"/>
  <c r="AD437" i="62" s="1"/>
  <c r="W437" i="62"/>
  <c r="AC437" i="62" s="1"/>
  <c r="V437" i="62"/>
  <c r="AB437" i="62" s="1"/>
  <c r="X436" i="62"/>
  <c r="AD436" i="62" s="1"/>
  <c r="W436" i="62"/>
  <c r="AC436" i="62" s="1"/>
  <c r="V436" i="62"/>
  <c r="AB436" i="62" s="1"/>
  <c r="X435" i="62"/>
  <c r="AD435" i="62" s="1"/>
  <c r="W435" i="62"/>
  <c r="AC435" i="62" s="1"/>
  <c r="V435" i="62"/>
  <c r="AB435" i="62" s="1"/>
  <c r="X434" i="62"/>
  <c r="AD434" i="62" s="1"/>
  <c r="W434" i="62"/>
  <c r="AC434" i="62" s="1"/>
  <c r="V434" i="62"/>
  <c r="AB434" i="62" s="1"/>
  <c r="X433" i="62"/>
  <c r="AD433" i="62" s="1"/>
  <c r="W433" i="62"/>
  <c r="AC433" i="62" s="1"/>
  <c r="V433" i="62"/>
  <c r="AB433" i="62" s="1"/>
  <c r="X432" i="62"/>
  <c r="AD432" i="62" s="1"/>
  <c r="W432" i="62"/>
  <c r="AC432" i="62" s="1"/>
  <c r="V432" i="62"/>
  <c r="AB432" i="62" s="1"/>
  <c r="X431" i="62"/>
  <c r="AD431" i="62" s="1"/>
  <c r="W431" i="62"/>
  <c r="AC431" i="62" s="1"/>
  <c r="V431" i="62"/>
  <c r="AB431" i="62" s="1"/>
  <c r="X430" i="62"/>
  <c r="AD430" i="62" s="1"/>
  <c r="W430" i="62"/>
  <c r="AC430" i="62" s="1"/>
  <c r="V430" i="62"/>
  <c r="AB430" i="62" s="1"/>
  <c r="X429" i="62"/>
  <c r="AD429" i="62" s="1"/>
  <c r="W429" i="62"/>
  <c r="AC429" i="62" s="1"/>
  <c r="V429" i="62"/>
  <c r="AB429" i="62" s="1"/>
  <c r="X428" i="62"/>
  <c r="AD428" i="62" s="1"/>
  <c r="W428" i="62"/>
  <c r="AC428" i="62" s="1"/>
  <c r="V428" i="62"/>
  <c r="X427" i="62"/>
  <c r="AD427" i="62" s="1"/>
  <c r="W427" i="62"/>
  <c r="AC427" i="62" s="1"/>
  <c r="V427" i="62"/>
  <c r="AB427" i="62" s="1"/>
  <c r="X426" i="62"/>
  <c r="AD426" i="62" s="1"/>
  <c r="W426" i="62"/>
  <c r="AC426" i="62" s="1"/>
  <c r="V426" i="62"/>
  <c r="AB426" i="62" s="1"/>
  <c r="X425" i="62"/>
  <c r="AD425" i="62" s="1"/>
  <c r="W425" i="62"/>
  <c r="AC425" i="62" s="1"/>
  <c r="V425" i="62"/>
  <c r="AB425" i="62" s="1"/>
  <c r="X424" i="62"/>
  <c r="AD424" i="62" s="1"/>
  <c r="W424" i="62"/>
  <c r="AC424" i="62" s="1"/>
  <c r="V424" i="62"/>
  <c r="AB424" i="62" s="1"/>
  <c r="X423" i="62"/>
  <c r="AD423" i="62" s="1"/>
  <c r="W423" i="62"/>
  <c r="AC423" i="62" s="1"/>
  <c r="V423" i="62"/>
  <c r="AB423" i="62" s="1"/>
  <c r="X422" i="62"/>
  <c r="AD422" i="62" s="1"/>
  <c r="W422" i="62"/>
  <c r="AC422" i="62" s="1"/>
  <c r="V422" i="62"/>
  <c r="AB422" i="62" s="1"/>
  <c r="X421" i="62"/>
  <c r="AD421" i="62" s="1"/>
  <c r="W421" i="62"/>
  <c r="AC421" i="62" s="1"/>
  <c r="V421" i="62"/>
  <c r="AB421" i="62" s="1"/>
  <c r="X420" i="62"/>
  <c r="W420" i="62"/>
  <c r="AC420" i="62" s="1"/>
  <c r="V420" i="62"/>
  <c r="AB420" i="62" s="1"/>
  <c r="X419" i="62"/>
  <c r="AD419" i="62" s="1"/>
  <c r="W419" i="62"/>
  <c r="AC419" i="62" s="1"/>
  <c r="V419" i="62"/>
  <c r="AB419" i="62" s="1"/>
  <c r="X418" i="62"/>
  <c r="AD418" i="62" s="1"/>
  <c r="W418" i="62"/>
  <c r="AC418" i="62" s="1"/>
  <c r="V418" i="62"/>
  <c r="AB418" i="62" s="1"/>
  <c r="X417" i="62"/>
  <c r="AD417" i="62" s="1"/>
  <c r="W417" i="62"/>
  <c r="AC417" i="62" s="1"/>
  <c r="V417" i="62"/>
  <c r="AB417" i="62" s="1"/>
  <c r="X416" i="62"/>
  <c r="AD416" i="62" s="1"/>
  <c r="W416" i="62"/>
  <c r="AC416" i="62" s="1"/>
  <c r="V416" i="62"/>
  <c r="AB416" i="62" s="1"/>
  <c r="X415" i="62"/>
  <c r="AD415" i="62" s="1"/>
  <c r="W415" i="62"/>
  <c r="AC415" i="62" s="1"/>
  <c r="V415" i="62"/>
  <c r="AB415" i="62" s="1"/>
  <c r="X414" i="62"/>
  <c r="AD414" i="62" s="1"/>
  <c r="W414" i="62"/>
  <c r="AC414" i="62" s="1"/>
  <c r="V414" i="62"/>
  <c r="AB414" i="62" s="1"/>
  <c r="X413" i="62"/>
  <c r="AD413" i="62" s="1"/>
  <c r="W413" i="62"/>
  <c r="AC413" i="62" s="1"/>
  <c r="V413" i="62"/>
  <c r="AB413" i="62" s="1"/>
  <c r="X412" i="62"/>
  <c r="AD412" i="62" s="1"/>
  <c r="W412" i="62"/>
  <c r="AC412" i="62" s="1"/>
  <c r="V412" i="62"/>
  <c r="AB412" i="62" s="1"/>
  <c r="X411" i="62"/>
  <c r="AD411" i="62" s="1"/>
  <c r="W411" i="62"/>
  <c r="AC411" i="62" s="1"/>
  <c r="V411" i="62"/>
  <c r="AB411" i="62" s="1"/>
  <c r="X410" i="62"/>
  <c r="AD410" i="62" s="1"/>
  <c r="W410" i="62"/>
  <c r="AC410" i="62" s="1"/>
  <c r="V410" i="62"/>
  <c r="AB410" i="62" s="1"/>
  <c r="X409" i="62"/>
  <c r="AD409" i="62" s="1"/>
  <c r="W409" i="62"/>
  <c r="AC409" i="62" s="1"/>
  <c r="V409" i="62"/>
  <c r="AB409" i="62" s="1"/>
  <c r="X408" i="62"/>
  <c r="AD408" i="62" s="1"/>
  <c r="W408" i="62"/>
  <c r="AC408" i="62" s="1"/>
  <c r="V408" i="62"/>
  <c r="AB408" i="62" s="1"/>
  <c r="X407" i="62"/>
  <c r="AD407" i="62" s="1"/>
  <c r="W407" i="62"/>
  <c r="AC407" i="62" s="1"/>
  <c r="V407" i="62"/>
  <c r="AB407" i="62" s="1"/>
  <c r="X406" i="62"/>
  <c r="AD406" i="62" s="1"/>
  <c r="W406" i="62"/>
  <c r="AC406" i="62" s="1"/>
  <c r="V406" i="62"/>
  <c r="AB406" i="62" s="1"/>
  <c r="X405" i="62"/>
  <c r="AD405" i="62" s="1"/>
  <c r="W405" i="62"/>
  <c r="AC405" i="62" s="1"/>
  <c r="V405" i="62"/>
  <c r="AB405" i="62" s="1"/>
  <c r="X404" i="62"/>
  <c r="AD404" i="62" s="1"/>
  <c r="W404" i="62"/>
  <c r="AC404" i="62" s="1"/>
  <c r="V404" i="62"/>
  <c r="AB404" i="62" s="1"/>
  <c r="X403" i="62"/>
  <c r="AD403" i="62" s="1"/>
  <c r="W403" i="62"/>
  <c r="AC403" i="62" s="1"/>
  <c r="V403" i="62"/>
  <c r="AB403" i="62" s="1"/>
  <c r="X402" i="62"/>
  <c r="AD402" i="62" s="1"/>
  <c r="W402" i="62"/>
  <c r="AC402" i="62" s="1"/>
  <c r="V402" i="62"/>
  <c r="AB402" i="62" s="1"/>
  <c r="X401" i="62"/>
  <c r="AD401" i="62" s="1"/>
  <c r="W401" i="62"/>
  <c r="AC401" i="62" s="1"/>
  <c r="V401" i="62"/>
  <c r="AB401" i="62" s="1"/>
  <c r="X400" i="62"/>
  <c r="AD400" i="62" s="1"/>
  <c r="W400" i="62"/>
  <c r="AC400" i="62" s="1"/>
  <c r="V400" i="62"/>
  <c r="AB400" i="62" s="1"/>
  <c r="X399" i="62"/>
  <c r="AD399" i="62" s="1"/>
  <c r="W399" i="62"/>
  <c r="AC399" i="62" s="1"/>
  <c r="V399" i="62"/>
  <c r="AB399" i="62" s="1"/>
  <c r="X398" i="62"/>
  <c r="AD398" i="62" s="1"/>
  <c r="W398" i="62"/>
  <c r="AC398" i="62" s="1"/>
  <c r="V398" i="62"/>
  <c r="AB398" i="62" s="1"/>
  <c r="X397" i="62"/>
  <c r="AD397" i="62" s="1"/>
  <c r="W397" i="62"/>
  <c r="AC397" i="62" s="1"/>
  <c r="V397" i="62"/>
  <c r="AB397" i="62" s="1"/>
  <c r="X396" i="62"/>
  <c r="AD396" i="62" s="1"/>
  <c r="W396" i="62"/>
  <c r="AC396" i="62" s="1"/>
  <c r="V396" i="62"/>
  <c r="AB396" i="62" s="1"/>
  <c r="X395" i="62"/>
  <c r="AD395" i="62" s="1"/>
  <c r="W395" i="62"/>
  <c r="AC395" i="62" s="1"/>
  <c r="V395" i="62"/>
  <c r="AB395" i="62" s="1"/>
  <c r="X394" i="62"/>
  <c r="AD394" i="62" s="1"/>
  <c r="W394" i="62"/>
  <c r="AC394" i="62" s="1"/>
  <c r="V394" i="62"/>
  <c r="AB394" i="62" s="1"/>
  <c r="X393" i="62"/>
  <c r="AD393" i="62" s="1"/>
  <c r="W393" i="62"/>
  <c r="AC393" i="62" s="1"/>
  <c r="V393" i="62"/>
  <c r="AB393" i="62" s="1"/>
  <c r="X392" i="62"/>
  <c r="AD392" i="62" s="1"/>
  <c r="W392" i="62"/>
  <c r="AC392" i="62" s="1"/>
  <c r="V392" i="62"/>
  <c r="AB392" i="62" s="1"/>
  <c r="X391" i="62"/>
  <c r="AD391" i="62" s="1"/>
  <c r="W391" i="62"/>
  <c r="AC391" i="62" s="1"/>
  <c r="V391" i="62"/>
  <c r="AB391" i="62" s="1"/>
  <c r="X390" i="62"/>
  <c r="AD390" i="62" s="1"/>
  <c r="W390" i="62"/>
  <c r="AC390" i="62" s="1"/>
  <c r="V390" i="62"/>
  <c r="AB390" i="62" s="1"/>
  <c r="X389" i="62"/>
  <c r="AD389" i="62" s="1"/>
  <c r="W389" i="62"/>
  <c r="AC389" i="62" s="1"/>
  <c r="V389" i="62"/>
  <c r="AB389" i="62" s="1"/>
  <c r="X388" i="62"/>
  <c r="AD388" i="62" s="1"/>
  <c r="W388" i="62"/>
  <c r="AC388" i="62" s="1"/>
  <c r="V388" i="62"/>
  <c r="AB388" i="62" s="1"/>
  <c r="X387" i="62"/>
  <c r="AD387" i="62" s="1"/>
  <c r="W387" i="62"/>
  <c r="AC387" i="62" s="1"/>
  <c r="V387" i="62"/>
  <c r="AB387" i="62" s="1"/>
  <c r="X386" i="62"/>
  <c r="AD386" i="62" s="1"/>
  <c r="W386" i="62"/>
  <c r="AC386" i="62" s="1"/>
  <c r="V386" i="62"/>
  <c r="AB386" i="62" s="1"/>
  <c r="X385" i="62"/>
  <c r="AD385" i="62" s="1"/>
  <c r="W385" i="62"/>
  <c r="AC385" i="62" s="1"/>
  <c r="V385" i="62"/>
  <c r="AB385" i="62" s="1"/>
  <c r="X384" i="62"/>
  <c r="AD384" i="62" s="1"/>
  <c r="W384" i="62"/>
  <c r="AC384" i="62" s="1"/>
  <c r="V384" i="62"/>
  <c r="AB384" i="62" s="1"/>
  <c r="X383" i="62"/>
  <c r="W383" i="62"/>
  <c r="AC383" i="62" s="1"/>
  <c r="V383" i="62"/>
  <c r="AB383" i="62" s="1"/>
  <c r="X382" i="62"/>
  <c r="AD382" i="62" s="1"/>
  <c r="W382" i="62"/>
  <c r="AC382" i="62" s="1"/>
  <c r="V382" i="62"/>
  <c r="AB382" i="62" s="1"/>
  <c r="X381" i="62"/>
  <c r="AD381" i="62" s="1"/>
  <c r="W381" i="62"/>
  <c r="AC381" i="62" s="1"/>
  <c r="V381" i="62"/>
  <c r="AB381" i="62" s="1"/>
  <c r="X380" i="62"/>
  <c r="AD380" i="62" s="1"/>
  <c r="W380" i="62"/>
  <c r="AC380" i="62" s="1"/>
  <c r="V380" i="62"/>
  <c r="X379" i="62"/>
  <c r="AD379" i="62" s="1"/>
  <c r="W379" i="62"/>
  <c r="AC379" i="62" s="1"/>
  <c r="V379" i="62"/>
  <c r="AB379" i="62" s="1"/>
  <c r="X378" i="62"/>
  <c r="AD378" i="62" s="1"/>
  <c r="W378" i="62"/>
  <c r="AC378" i="62" s="1"/>
  <c r="V378" i="62"/>
  <c r="AB378" i="62" s="1"/>
  <c r="X377" i="62"/>
  <c r="AD377" i="62" s="1"/>
  <c r="W377" i="62"/>
  <c r="AC377" i="62" s="1"/>
  <c r="V377" i="62"/>
  <c r="AB377" i="62" s="1"/>
  <c r="X376" i="62"/>
  <c r="AD376" i="62" s="1"/>
  <c r="W376" i="62"/>
  <c r="AC376" i="62" s="1"/>
  <c r="V376" i="62"/>
  <c r="AB376" i="62" s="1"/>
  <c r="X375" i="62"/>
  <c r="AD375" i="62" s="1"/>
  <c r="W375" i="62"/>
  <c r="AC375" i="62" s="1"/>
  <c r="V375" i="62"/>
  <c r="AB375" i="62" s="1"/>
  <c r="X374" i="62"/>
  <c r="AD374" i="62" s="1"/>
  <c r="W374" i="62"/>
  <c r="AC374" i="62" s="1"/>
  <c r="V374" i="62"/>
  <c r="AB374" i="62" s="1"/>
  <c r="X373" i="62"/>
  <c r="AD373" i="62" s="1"/>
  <c r="W373" i="62"/>
  <c r="AC373" i="62" s="1"/>
  <c r="V373" i="62"/>
  <c r="AB373" i="62" s="1"/>
  <c r="X372" i="62"/>
  <c r="AD372" i="62" s="1"/>
  <c r="W372" i="62"/>
  <c r="AC372" i="62" s="1"/>
  <c r="V372" i="62"/>
  <c r="AB372" i="62" s="1"/>
  <c r="X371" i="62"/>
  <c r="AD371" i="62" s="1"/>
  <c r="W371" i="62"/>
  <c r="AC371" i="62" s="1"/>
  <c r="V371" i="62"/>
  <c r="AB371" i="62" s="1"/>
  <c r="X370" i="62"/>
  <c r="W370" i="62"/>
  <c r="AC370" i="62" s="1"/>
  <c r="V370" i="62"/>
  <c r="AB370" i="62" s="1"/>
  <c r="X369" i="62"/>
  <c r="AD369" i="62" s="1"/>
  <c r="W369" i="62"/>
  <c r="AC369" i="62" s="1"/>
  <c r="V369" i="62"/>
  <c r="AB369" i="62" s="1"/>
  <c r="X368" i="62"/>
  <c r="AD368" i="62" s="1"/>
  <c r="W368" i="62"/>
  <c r="AC368" i="62" s="1"/>
  <c r="V368" i="62"/>
  <c r="AB368" i="62" s="1"/>
  <c r="X367" i="62"/>
  <c r="AD367" i="62" s="1"/>
  <c r="W367" i="62"/>
  <c r="V367" i="62"/>
  <c r="AB367" i="62" s="1"/>
  <c r="X366" i="62"/>
  <c r="AD366" i="62" s="1"/>
  <c r="W366" i="62"/>
  <c r="AC366" i="62" s="1"/>
  <c r="V366" i="62"/>
  <c r="AB366" i="62" s="1"/>
  <c r="X365" i="62"/>
  <c r="AD365" i="62" s="1"/>
  <c r="W365" i="62"/>
  <c r="AC365" i="62" s="1"/>
  <c r="V365" i="62"/>
  <c r="AB365" i="62" s="1"/>
  <c r="X364" i="62"/>
  <c r="AD364" i="62" s="1"/>
  <c r="W364" i="62"/>
  <c r="AC364" i="62" s="1"/>
  <c r="V364" i="62"/>
  <c r="X363" i="62"/>
  <c r="AD363" i="62" s="1"/>
  <c r="W363" i="62"/>
  <c r="AC363" i="62" s="1"/>
  <c r="V363" i="62"/>
  <c r="AB363" i="62" s="1"/>
  <c r="X362" i="62"/>
  <c r="AD362" i="62" s="1"/>
  <c r="W362" i="62"/>
  <c r="AC362" i="62" s="1"/>
  <c r="V362" i="62"/>
  <c r="AB362" i="62" s="1"/>
  <c r="X361" i="62"/>
  <c r="AD361" i="62" s="1"/>
  <c r="W361" i="62"/>
  <c r="AC361" i="62" s="1"/>
  <c r="V361" i="62"/>
  <c r="AB361" i="62" s="1"/>
  <c r="X360" i="62"/>
  <c r="AD360" i="62" s="1"/>
  <c r="W360" i="62"/>
  <c r="AC360" i="62" s="1"/>
  <c r="V360" i="62"/>
  <c r="AB360" i="62" s="1"/>
  <c r="X359" i="62"/>
  <c r="AD359" i="62" s="1"/>
  <c r="W359" i="62"/>
  <c r="AC359" i="62" s="1"/>
  <c r="V359" i="62"/>
  <c r="AB359" i="62" s="1"/>
  <c r="X358" i="62"/>
  <c r="AD358" i="62" s="1"/>
  <c r="W358" i="62"/>
  <c r="AC358" i="62" s="1"/>
  <c r="V358" i="62"/>
  <c r="AB358" i="62" s="1"/>
  <c r="X357" i="62"/>
  <c r="AD357" i="62" s="1"/>
  <c r="W357" i="62"/>
  <c r="AC357" i="62" s="1"/>
  <c r="V357" i="62"/>
  <c r="AB357" i="62" s="1"/>
  <c r="X356" i="62"/>
  <c r="AD356" i="62" s="1"/>
  <c r="W356" i="62"/>
  <c r="AC356" i="62" s="1"/>
  <c r="V356" i="62"/>
  <c r="AB356" i="62" s="1"/>
  <c r="X355" i="62"/>
  <c r="AD355" i="62" s="1"/>
  <c r="W355" i="62"/>
  <c r="AC355" i="62" s="1"/>
  <c r="V355" i="62"/>
  <c r="AB355" i="62" s="1"/>
  <c r="X354" i="62"/>
  <c r="W354" i="62"/>
  <c r="AC354" i="62" s="1"/>
  <c r="V354" i="62"/>
  <c r="AB354" i="62" s="1"/>
  <c r="X353" i="62"/>
  <c r="AD353" i="62" s="1"/>
  <c r="W353" i="62"/>
  <c r="AC353" i="62" s="1"/>
  <c r="V353" i="62"/>
  <c r="AB353" i="62" s="1"/>
  <c r="X352" i="62"/>
  <c r="W352" i="62"/>
  <c r="AC352" i="62" s="1"/>
  <c r="V352" i="62"/>
  <c r="AB352" i="62" s="1"/>
  <c r="X351" i="62"/>
  <c r="AD351" i="62" s="1"/>
  <c r="W351" i="62"/>
  <c r="AC351" i="62" s="1"/>
  <c r="V351" i="62"/>
  <c r="AB351" i="62" s="1"/>
  <c r="X350" i="62"/>
  <c r="W350" i="62"/>
  <c r="AC350" i="62" s="1"/>
  <c r="V350" i="62"/>
  <c r="AB350" i="62" s="1"/>
  <c r="X349" i="62"/>
  <c r="AD349" i="62" s="1"/>
  <c r="W349" i="62"/>
  <c r="AC349" i="62" s="1"/>
  <c r="V349" i="62"/>
  <c r="AB349" i="62" s="1"/>
  <c r="X348" i="62"/>
  <c r="W348" i="62"/>
  <c r="AC348" i="62" s="1"/>
  <c r="V348" i="62"/>
  <c r="AB348" i="62" s="1"/>
  <c r="X347" i="62"/>
  <c r="AD347" i="62" s="1"/>
  <c r="W347" i="62"/>
  <c r="AC347" i="62" s="1"/>
  <c r="V347" i="62"/>
  <c r="AB347" i="62" s="1"/>
  <c r="X346" i="62"/>
  <c r="W346" i="62"/>
  <c r="AC346" i="62" s="1"/>
  <c r="V346" i="62"/>
  <c r="AB346" i="62" s="1"/>
  <c r="X345" i="62"/>
  <c r="AD345" i="62" s="1"/>
  <c r="W345" i="62"/>
  <c r="AC345" i="62" s="1"/>
  <c r="V345" i="62"/>
  <c r="AB345" i="62" s="1"/>
  <c r="X344" i="62"/>
  <c r="W344" i="62"/>
  <c r="AC344" i="62" s="1"/>
  <c r="V344" i="62"/>
  <c r="AB344" i="62" s="1"/>
  <c r="X343" i="62"/>
  <c r="AD343" i="62" s="1"/>
  <c r="W343" i="62"/>
  <c r="AC343" i="62" s="1"/>
  <c r="V343" i="62"/>
  <c r="AB343" i="62" s="1"/>
  <c r="X342" i="62"/>
  <c r="W342" i="62"/>
  <c r="AC342" i="62" s="1"/>
  <c r="V342" i="62"/>
  <c r="AB342" i="62" s="1"/>
  <c r="X341" i="62"/>
  <c r="AD341" i="62" s="1"/>
  <c r="W341" i="62"/>
  <c r="AC341" i="62" s="1"/>
  <c r="V341" i="62"/>
  <c r="AB341" i="62" s="1"/>
  <c r="X340" i="62"/>
  <c r="W340" i="62"/>
  <c r="AC340" i="62" s="1"/>
  <c r="V340" i="62"/>
  <c r="AB340" i="62" s="1"/>
  <c r="X339" i="62"/>
  <c r="AD339" i="62" s="1"/>
  <c r="W339" i="62"/>
  <c r="AC339" i="62" s="1"/>
  <c r="V339" i="62"/>
  <c r="AB339" i="62" s="1"/>
  <c r="X338" i="62"/>
  <c r="AD338" i="62" s="1"/>
  <c r="W338" i="62"/>
  <c r="AC338" i="62" s="1"/>
  <c r="V338" i="62"/>
  <c r="AB338" i="62" s="1"/>
  <c r="X337" i="62"/>
  <c r="AD337" i="62" s="1"/>
  <c r="W337" i="62"/>
  <c r="AC337" i="62" s="1"/>
  <c r="V337" i="62"/>
  <c r="AB337" i="62" s="1"/>
  <c r="X336" i="62"/>
  <c r="AD336" i="62" s="1"/>
  <c r="W336" i="62"/>
  <c r="AC336" i="62" s="1"/>
  <c r="V336" i="62"/>
  <c r="AB336" i="62" s="1"/>
  <c r="X335" i="62"/>
  <c r="AD335" i="62" s="1"/>
  <c r="W335" i="62"/>
  <c r="AC335" i="62" s="1"/>
  <c r="V335" i="62"/>
  <c r="AB335" i="62" s="1"/>
  <c r="X334" i="62"/>
  <c r="AD334" i="62" s="1"/>
  <c r="W334" i="62"/>
  <c r="AC334" i="62" s="1"/>
  <c r="V334" i="62"/>
  <c r="AB334" i="62" s="1"/>
  <c r="X333" i="62"/>
  <c r="AD333" i="62" s="1"/>
  <c r="W333" i="62"/>
  <c r="AC333" i="62" s="1"/>
  <c r="V333" i="62"/>
  <c r="AB333" i="62" s="1"/>
  <c r="X332" i="62"/>
  <c r="AD332" i="62" s="1"/>
  <c r="W332" i="62"/>
  <c r="AC332" i="62" s="1"/>
  <c r="V332" i="62"/>
  <c r="AB332" i="62" s="1"/>
  <c r="X331" i="62"/>
  <c r="W331" i="62"/>
  <c r="AC331" i="62" s="1"/>
  <c r="V331" i="62"/>
  <c r="AB331" i="62" s="1"/>
  <c r="X330" i="62"/>
  <c r="AD330" i="62" s="1"/>
  <c r="W330" i="62"/>
  <c r="AC330" i="62" s="1"/>
  <c r="V330" i="62"/>
  <c r="AB330" i="62" s="1"/>
  <c r="X329" i="62"/>
  <c r="AD329" i="62" s="1"/>
  <c r="W329" i="62"/>
  <c r="AC329" i="62" s="1"/>
  <c r="V329" i="62"/>
  <c r="AB329" i="62" s="1"/>
  <c r="X328" i="62"/>
  <c r="AD328" i="62" s="1"/>
  <c r="W328" i="62"/>
  <c r="AC328" i="62" s="1"/>
  <c r="V328" i="62"/>
  <c r="AB328" i="62" s="1"/>
  <c r="X327" i="62"/>
  <c r="AD327" i="62" s="1"/>
  <c r="W327" i="62"/>
  <c r="AC327" i="62" s="1"/>
  <c r="V327" i="62"/>
  <c r="AB327" i="62" s="1"/>
  <c r="X326" i="62"/>
  <c r="AD326" i="62" s="1"/>
  <c r="W326" i="62"/>
  <c r="AC326" i="62" s="1"/>
  <c r="V326" i="62"/>
  <c r="AB326" i="62" s="1"/>
  <c r="X325" i="62"/>
  <c r="AD325" i="62" s="1"/>
  <c r="W325" i="62"/>
  <c r="AC325" i="62" s="1"/>
  <c r="V325" i="62"/>
  <c r="X324" i="62"/>
  <c r="AD324" i="62" s="1"/>
  <c r="W324" i="62"/>
  <c r="AC324" i="62" s="1"/>
  <c r="V324" i="62"/>
  <c r="AB324" i="62" s="1"/>
  <c r="X323" i="62"/>
  <c r="AD323" i="62" s="1"/>
  <c r="W323" i="62"/>
  <c r="AC323" i="62" s="1"/>
  <c r="V323" i="62"/>
  <c r="AB323" i="62" s="1"/>
  <c r="X322" i="62"/>
  <c r="AD322" i="62" s="1"/>
  <c r="W322" i="62"/>
  <c r="AC322" i="62" s="1"/>
  <c r="V322" i="62"/>
  <c r="AB322" i="62" s="1"/>
  <c r="X321" i="62"/>
  <c r="AD321" i="62" s="1"/>
  <c r="W321" i="62"/>
  <c r="AC321" i="62" s="1"/>
  <c r="V321" i="62"/>
  <c r="AB321" i="62" s="1"/>
  <c r="X320" i="62"/>
  <c r="AD320" i="62" s="1"/>
  <c r="W320" i="62"/>
  <c r="AC320" i="62" s="1"/>
  <c r="V320" i="62"/>
  <c r="AB320" i="62" s="1"/>
  <c r="X319" i="62"/>
  <c r="AD319" i="62" s="1"/>
  <c r="W319" i="62"/>
  <c r="AC319" i="62" s="1"/>
  <c r="V319" i="62"/>
  <c r="AB319" i="62" s="1"/>
  <c r="X318" i="62"/>
  <c r="AD318" i="62" s="1"/>
  <c r="W318" i="62"/>
  <c r="AC318" i="62" s="1"/>
  <c r="V318" i="62"/>
  <c r="AB318" i="62" s="1"/>
  <c r="X317" i="62"/>
  <c r="AD317" i="62" s="1"/>
  <c r="W317" i="62"/>
  <c r="AC317" i="62" s="1"/>
  <c r="V317" i="62"/>
  <c r="AB317" i="62" s="1"/>
  <c r="X316" i="62"/>
  <c r="AD316" i="62" s="1"/>
  <c r="W316" i="62"/>
  <c r="AC316" i="62" s="1"/>
  <c r="V316" i="62"/>
  <c r="AB316" i="62" s="1"/>
  <c r="X315" i="62"/>
  <c r="AD315" i="62" s="1"/>
  <c r="W315" i="62"/>
  <c r="AC315" i="62" s="1"/>
  <c r="V315" i="62"/>
  <c r="AB315" i="62" s="1"/>
  <c r="X314" i="62"/>
  <c r="AD314" i="62" s="1"/>
  <c r="W314" i="62"/>
  <c r="AC314" i="62" s="1"/>
  <c r="V314" i="62"/>
  <c r="AB314" i="62" s="1"/>
  <c r="X313" i="62"/>
  <c r="AD313" i="62" s="1"/>
  <c r="W313" i="62"/>
  <c r="AC313" i="62" s="1"/>
  <c r="V313" i="62"/>
  <c r="AB313" i="62" s="1"/>
  <c r="X312" i="62"/>
  <c r="AD312" i="62" s="1"/>
  <c r="W312" i="62"/>
  <c r="AC312" i="62" s="1"/>
  <c r="V312" i="62"/>
  <c r="AB312" i="62" s="1"/>
  <c r="X311" i="62"/>
  <c r="AD311" i="62" s="1"/>
  <c r="W311" i="62"/>
  <c r="AC311" i="62" s="1"/>
  <c r="V311" i="62"/>
  <c r="AB311" i="62" s="1"/>
  <c r="X310" i="62"/>
  <c r="AD310" i="62" s="1"/>
  <c r="W310" i="62"/>
  <c r="AC310" i="62" s="1"/>
  <c r="V310" i="62"/>
  <c r="AB310" i="62" s="1"/>
  <c r="X309" i="62"/>
  <c r="AD309" i="62" s="1"/>
  <c r="W309" i="62"/>
  <c r="AC309" i="62" s="1"/>
  <c r="V309" i="62"/>
  <c r="AB309" i="62" s="1"/>
  <c r="X308" i="62"/>
  <c r="AD308" i="62" s="1"/>
  <c r="W308" i="62"/>
  <c r="AC308" i="62" s="1"/>
  <c r="V308" i="62"/>
  <c r="AB308" i="62" s="1"/>
  <c r="X307" i="62"/>
  <c r="AD307" i="62" s="1"/>
  <c r="W307" i="62"/>
  <c r="AC307" i="62" s="1"/>
  <c r="V307" i="62"/>
  <c r="AB307" i="62" s="1"/>
  <c r="X306" i="62"/>
  <c r="AD306" i="62" s="1"/>
  <c r="W306" i="62"/>
  <c r="AC306" i="62" s="1"/>
  <c r="V306" i="62"/>
  <c r="AB306" i="62" s="1"/>
  <c r="X305" i="62"/>
  <c r="AD305" i="62" s="1"/>
  <c r="W305" i="62"/>
  <c r="AC305" i="62" s="1"/>
  <c r="V305" i="62"/>
  <c r="AB305" i="62" s="1"/>
  <c r="X304" i="62"/>
  <c r="AD304" i="62" s="1"/>
  <c r="W304" i="62"/>
  <c r="AC304" i="62" s="1"/>
  <c r="V304" i="62"/>
  <c r="AB304" i="62" s="1"/>
  <c r="X303" i="62"/>
  <c r="AD303" i="62" s="1"/>
  <c r="W303" i="62"/>
  <c r="AC303" i="62" s="1"/>
  <c r="V303" i="62"/>
  <c r="AB303" i="62" s="1"/>
  <c r="X302" i="62"/>
  <c r="AD302" i="62" s="1"/>
  <c r="W302" i="62"/>
  <c r="AC302" i="62" s="1"/>
  <c r="V302" i="62"/>
  <c r="AB302" i="62" s="1"/>
  <c r="X301" i="62"/>
  <c r="AD301" i="62" s="1"/>
  <c r="W301" i="62"/>
  <c r="AC301" i="62" s="1"/>
  <c r="V301" i="62"/>
  <c r="AB301" i="62" s="1"/>
  <c r="X300" i="62"/>
  <c r="AD300" i="62" s="1"/>
  <c r="W300" i="62"/>
  <c r="AC300" i="62" s="1"/>
  <c r="V300" i="62"/>
  <c r="AB300" i="62" s="1"/>
  <c r="X299" i="62"/>
  <c r="AD299" i="62" s="1"/>
  <c r="W299" i="62"/>
  <c r="AC299" i="62" s="1"/>
  <c r="V299" i="62"/>
  <c r="AB299" i="62" s="1"/>
  <c r="X298" i="62"/>
  <c r="AD298" i="62" s="1"/>
  <c r="W298" i="62"/>
  <c r="AC298" i="62" s="1"/>
  <c r="V298" i="62"/>
  <c r="AB298" i="62" s="1"/>
  <c r="X297" i="62"/>
  <c r="AD297" i="62" s="1"/>
  <c r="W297" i="62"/>
  <c r="AC297" i="62" s="1"/>
  <c r="V297" i="62"/>
  <c r="AB297" i="62" s="1"/>
  <c r="X296" i="62"/>
  <c r="AD296" i="62" s="1"/>
  <c r="W296" i="62"/>
  <c r="AC296" i="62" s="1"/>
  <c r="V296" i="62"/>
  <c r="AB296" i="62" s="1"/>
  <c r="X295" i="62"/>
  <c r="AD295" i="62" s="1"/>
  <c r="W295" i="62"/>
  <c r="AC295" i="62" s="1"/>
  <c r="V295" i="62"/>
  <c r="AB295" i="62" s="1"/>
  <c r="X294" i="62"/>
  <c r="AD294" i="62" s="1"/>
  <c r="W294" i="62"/>
  <c r="AC294" i="62" s="1"/>
  <c r="V294" i="62"/>
  <c r="AB294" i="62" s="1"/>
  <c r="X293" i="62"/>
  <c r="AD293" i="62" s="1"/>
  <c r="W293" i="62"/>
  <c r="AC293" i="62" s="1"/>
  <c r="V293" i="62"/>
  <c r="AB293" i="62" s="1"/>
  <c r="X292" i="62"/>
  <c r="AD292" i="62" s="1"/>
  <c r="W292" i="62"/>
  <c r="AC292" i="62" s="1"/>
  <c r="V292" i="62"/>
  <c r="AB292" i="62" s="1"/>
  <c r="X291" i="62"/>
  <c r="AD291" i="62" s="1"/>
  <c r="W291" i="62"/>
  <c r="AC291" i="62" s="1"/>
  <c r="V291" i="62"/>
  <c r="AB291" i="62" s="1"/>
  <c r="X290" i="62"/>
  <c r="AD290" i="62" s="1"/>
  <c r="W290" i="62"/>
  <c r="AC290" i="62" s="1"/>
  <c r="V290" i="62"/>
  <c r="AB290" i="62" s="1"/>
  <c r="X289" i="62"/>
  <c r="AD289" i="62" s="1"/>
  <c r="W289" i="62"/>
  <c r="AC289" i="62" s="1"/>
  <c r="V289" i="62"/>
  <c r="AB289" i="62" s="1"/>
  <c r="X288" i="62"/>
  <c r="AD288" i="62" s="1"/>
  <c r="W288" i="62"/>
  <c r="AC288" i="62" s="1"/>
  <c r="V288" i="62"/>
  <c r="AB288" i="62" s="1"/>
  <c r="X287" i="62"/>
  <c r="AD287" i="62" s="1"/>
  <c r="W287" i="62"/>
  <c r="AC287" i="62" s="1"/>
  <c r="V287" i="62"/>
  <c r="AB287" i="62" s="1"/>
  <c r="X286" i="62"/>
  <c r="AD286" i="62" s="1"/>
  <c r="W286" i="62"/>
  <c r="AC286" i="62" s="1"/>
  <c r="V286" i="62"/>
  <c r="AB286" i="62" s="1"/>
  <c r="X285" i="62"/>
  <c r="AD285" i="62" s="1"/>
  <c r="W285" i="62"/>
  <c r="AC285" i="62" s="1"/>
  <c r="V285" i="62"/>
  <c r="AB285" i="62" s="1"/>
  <c r="X284" i="62"/>
  <c r="AD284" i="62" s="1"/>
  <c r="W284" i="62"/>
  <c r="AC284" i="62" s="1"/>
  <c r="V284" i="62"/>
  <c r="AB284" i="62" s="1"/>
  <c r="X283" i="62"/>
  <c r="AD283" i="62" s="1"/>
  <c r="W283" i="62"/>
  <c r="AC283" i="62" s="1"/>
  <c r="V283" i="62"/>
  <c r="AB283" i="62" s="1"/>
  <c r="X282" i="62"/>
  <c r="AD282" i="62" s="1"/>
  <c r="W282" i="62"/>
  <c r="AC282" i="62" s="1"/>
  <c r="V282" i="62"/>
  <c r="AB282" i="62" s="1"/>
  <c r="X281" i="62"/>
  <c r="AD281" i="62" s="1"/>
  <c r="W281" i="62"/>
  <c r="AC281" i="62" s="1"/>
  <c r="V281" i="62"/>
  <c r="AB281" i="62" s="1"/>
  <c r="X280" i="62"/>
  <c r="AD280" i="62" s="1"/>
  <c r="W280" i="62"/>
  <c r="AC280" i="62" s="1"/>
  <c r="V280" i="62"/>
  <c r="AB280" i="62" s="1"/>
  <c r="X279" i="62"/>
  <c r="AD279" i="62" s="1"/>
  <c r="W279" i="62"/>
  <c r="AC279" i="62" s="1"/>
  <c r="V279" i="62"/>
  <c r="AB279" i="62" s="1"/>
  <c r="X278" i="62"/>
  <c r="AD278" i="62" s="1"/>
  <c r="W278" i="62"/>
  <c r="AC278" i="62" s="1"/>
  <c r="V278" i="62"/>
  <c r="AB278" i="62" s="1"/>
  <c r="X277" i="62"/>
  <c r="AD277" i="62" s="1"/>
  <c r="W277" i="62"/>
  <c r="AC277" i="62" s="1"/>
  <c r="V277" i="62"/>
  <c r="AB277" i="62" s="1"/>
  <c r="X276" i="62"/>
  <c r="AD276" i="62" s="1"/>
  <c r="W276" i="62"/>
  <c r="AC276" i="62" s="1"/>
  <c r="V276" i="62"/>
  <c r="AB276" i="62" s="1"/>
  <c r="X275" i="62"/>
  <c r="AD275" i="62" s="1"/>
  <c r="W275" i="62"/>
  <c r="AC275" i="62" s="1"/>
  <c r="V275" i="62"/>
  <c r="AB275" i="62" s="1"/>
  <c r="X274" i="62"/>
  <c r="AD274" i="62" s="1"/>
  <c r="W274" i="62"/>
  <c r="AC274" i="62" s="1"/>
  <c r="V274" i="62"/>
  <c r="AB274" i="62" s="1"/>
  <c r="X273" i="62"/>
  <c r="AD273" i="62" s="1"/>
  <c r="W273" i="62"/>
  <c r="AC273" i="62" s="1"/>
  <c r="V273" i="62"/>
  <c r="AB273" i="62" s="1"/>
  <c r="X272" i="62"/>
  <c r="AD272" i="62" s="1"/>
  <c r="W272" i="62"/>
  <c r="AC272" i="62" s="1"/>
  <c r="V272" i="62"/>
  <c r="AB272" i="62" s="1"/>
  <c r="X271" i="62"/>
  <c r="AD271" i="62" s="1"/>
  <c r="W271" i="62"/>
  <c r="AC271" i="62" s="1"/>
  <c r="V271" i="62"/>
  <c r="AB271" i="62" s="1"/>
  <c r="X270" i="62"/>
  <c r="AD270" i="62" s="1"/>
  <c r="W270" i="62"/>
  <c r="AC270" i="62" s="1"/>
  <c r="V270" i="62"/>
  <c r="AB270" i="62" s="1"/>
  <c r="X269" i="62"/>
  <c r="AD269" i="62" s="1"/>
  <c r="W269" i="62"/>
  <c r="AC269" i="62" s="1"/>
  <c r="V269" i="62"/>
  <c r="AB269" i="62" s="1"/>
  <c r="X268" i="62"/>
  <c r="AD268" i="62" s="1"/>
  <c r="W268" i="62"/>
  <c r="AC268" i="62" s="1"/>
  <c r="V268" i="62"/>
  <c r="AB268" i="62" s="1"/>
  <c r="X267" i="62"/>
  <c r="W267" i="62"/>
  <c r="AC267" i="62" s="1"/>
  <c r="V267" i="62"/>
  <c r="AB267" i="62" s="1"/>
  <c r="X266" i="62"/>
  <c r="AD266" i="62" s="1"/>
  <c r="W266" i="62"/>
  <c r="AC266" i="62" s="1"/>
  <c r="V266" i="62"/>
  <c r="AB266" i="62" s="1"/>
  <c r="X265" i="62"/>
  <c r="AD265" i="62" s="1"/>
  <c r="W265" i="62"/>
  <c r="AC265" i="62" s="1"/>
  <c r="V265" i="62"/>
  <c r="AB265" i="62" s="1"/>
  <c r="X264" i="62"/>
  <c r="AD264" i="62" s="1"/>
  <c r="W264" i="62"/>
  <c r="AC264" i="62" s="1"/>
  <c r="V264" i="62"/>
  <c r="AB264" i="62" s="1"/>
  <c r="X263" i="62"/>
  <c r="AD263" i="62" s="1"/>
  <c r="W263" i="62"/>
  <c r="AC263" i="62" s="1"/>
  <c r="V263" i="62"/>
  <c r="AB263" i="62" s="1"/>
  <c r="X262" i="62"/>
  <c r="AD262" i="62" s="1"/>
  <c r="W262" i="62"/>
  <c r="AC262" i="62" s="1"/>
  <c r="V262" i="62"/>
  <c r="AB262" i="62" s="1"/>
  <c r="X261" i="62"/>
  <c r="AD261" i="62" s="1"/>
  <c r="W261" i="62"/>
  <c r="AC261" i="62" s="1"/>
  <c r="V261" i="62"/>
  <c r="X260" i="62"/>
  <c r="AD260" i="62" s="1"/>
  <c r="W260" i="62"/>
  <c r="AC260" i="62" s="1"/>
  <c r="V260" i="62"/>
  <c r="AB260" i="62" s="1"/>
  <c r="X259" i="62"/>
  <c r="AD259" i="62" s="1"/>
  <c r="W259" i="62"/>
  <c r="AC259" i="62" s="1"/>
  <c r="V259" i="62"/>
  <c r="AB259" i="62" s="1"/>
  <c r="X258" i="62"/>
  <c r="AD258" i="62" s="1"/>
  <c r="W258" i="62"/>
  <c r="AC258" i="62" s="1"/>
  <c r="V258" i="62"/>
  <c r="AB258" i="62" s="1"/>
  <c r="X257" i="62"/>
  <c r="AD257" i="62" s="1"/>
  <c r="W257" i="62"/>
  <c r="AC257" i="62" s="1"/>
  <c r="V257" i="62"/>
  <c r="AB257" i="62" s="1"/>
  <c r="X256" i="62"/>
  <c r="AD256" i="62" s="1"/>
  <c r="W256" i="62"/>
  <c r="AC256" i="62" s="1"/>
  <c r="V256" i="62"/>
  <c r="AB256" i="62" s="1"/>
  <c r="X255" i="62"/>
  <c r="AD255" i="62" s="1"/>
  <c r="W255" i="62"/>
  <c r="AC255" i="62" s="1"/>
  <c r="V255" i="62"/>
  <c r="AB255" i="62" s="1"/>
  <c r="X254" i="62"/>
  <c r="AD254" i="62" s="1"/>
  <c r="W254" i="62"/>
  <c r="AC254" i="62" s="1"/>
  <c r="V254" i="62"/>
  <c r="AB254" i="62" s="1"/>
  <c r="X253" i="62"/>
  <c r="AD253" i="62" s="1"/>
  <c r="W253" i="62"/>
  <c r="AC253" i="62" s="1"/>
  <c r="V253" i="62"/>
  <c r="AB253" i="62" s="1"/>
  <c r="X252" i="62"/>
  <c r="AD252" i="62" s="1"/>
  <c r="W252" i="62"/>
  <c r="AC252" i="62" s="1"/>
  <c r="V252" i="62"/>
  <c r="AB252" i="62" s="1"/>
  <c r="X251" i="62"/>
  <c r="W251" i="62"/>
  <c r="AC251" i="62" s="1"/>
  <c r="V251" i="62"/>
  <c r="AB251" i="62" s="1"/>
  <c r="X250" i="62"/>
  <c r="AD250" i="62" s="1"/>
  <c r="W250" i="62"/>
  <c r="AC250" i="62" s="1"/>
  <c r="V250" i="62"/>
  <c r="AB250" i="62" s="1"/>
  <c r="X249" i="62"/>
  <c r="AD249" i="62" s="1"/>
  <c r="W249" i="62"/>
  <c r="AC249" i="62" s="1"/>
  <c r="V249" i="62"/>
  <c r="AB249" i="62" s="1"/>
  <c r="X248" i="62"/>
  <c r="AD248" i="62" s="1"/>
  <c r="W248" i="62"/>
  <c r="AC248" i="62" s="1"/>
  <c r="V248" i="62"/>
  <c r="AB248" i="62" s="1"/>
  <c r="X247" i="62"/>
  <c r="AD247" i="62" s="1"/>
  <c r="W247" i="62"/>
  <c r="AC247" i="62" s="1"/>
  <c r="V247" i="62"/>
  <c r="AB247" i="62" s="1"/>
  <c r="X246" i="62"/>
  <c r="AD246" i="62" s="1"/>
  <c r="W246" i="62"/>
  <c r="AC246" i="62" s="1"/>
  <c r="V246" i="62"/>
  <c r="AB246" i="62" s="1"/>
  <c r="X245" i="62"/>
  <c r="AD245" i="62" s="1"/>
  <c r="W245" i="62"/>
  <c r="AC245" i="62" s="1"/>
  <c r="V245" i="62"/>
  <c r="X244" i="62"/>
  <c r="AD244" i="62" s="1"/>
  <c r="W244" i="62"/>
  <c r="AC244" i="62" s="1"/>
  <c r="V244" i="62"/>
  <c r="AB244" i="62" s="1"/>
  <c r="X243" i="62"/>
  <c r="AD243" i="62" s="1"/>
  <c r="W243" i="62"/>
  <c r="AC243" i="62" s="1"/>
  <c r="V243" i="62"/>
  <c r="AB243" i="62" s="1"/>
  <c r="X242" i="62"/>
  <c r="W242" i="62"/>
  <c r="AC242" i="62" s="1"/>
  <c r="V242" i="62"/>
  <c r="AB242" i="62" s="1"/>
  <c r="X241" i="62"/>
  <c r="AD241" i="62" s="1"/>
  <c r="W241" i="62"/>
  <c r="AC241" i="62" s="1"/>
  <c r="V241" i="62"/>
  <c r="AB241" i="62" s="1"/>
  <c r="X240" i="62"/>
  <c r="W240" i="62"/>
  <c r="AC240" i="62" s="1"/>
  <c r="V240" i="62"/>
  <c r="AB240" i="62" s="1"/>
  <c r="X239" i="62"/>
  <c r="AD239" i="62" s="1"/>
  <c r="W239" i="62"/>
  <c r="AC239" i="62" s="1"/>
  <c r="V239" i="62"/>
  <c r="AB239" i="62" s="1"/>
  <c r="X238" i="62"/>
  <c r="W238" i="62"/>
  <c r="AC238" i="62" s="1"/>
  <c r="V238" i="62"/>
  <c r="AB238" i="62" s="1"/>
  <c r="X237" i="62"/>
  <c r="AD237" i="62" s="1"/>
  <c r="W237" i="62"/>
  <c r="AC237" i="62" s="1"/>
  <c r="V237" i="62"/>
  <c r="AB237" i="62" s="1"/>
  <c r="X236" i="62"/>
  <c r="W236" i="62"/>
  <c r="AC236" i="62" s="1"/>
  <c r="V236" i="62"/>
  <c r="AB236" i="62" s="1"/>
  <c r="X235" i="62"/>
  <c r="AD235" i="62" s="1"/>
  <c r="W235" i="62"/>
  <c r="AC235" i="62" s="1"/>
  <c r="V235" i="62"/>
  <c r="AB235" i="62" s="1"/>
  <c r="X234" i="62"/>
  <c r="W234" i="62"/>
  <c r="AC234" i="62" s="1"/>
  <c r="V234" i="62"/>
  <c r="AB234" i="62" s="1"/>
  <c r="X233" i="62"/>
  <c r="AD233" i="62" s="1"/>
  <c r="W233" i="62"/>
  <c r="AC233" i="62" s="1"/>
  <c r="V233" i="62"/>
  <c r="AB233" i="62" s="1"/>
  <c r="X232" i="62"/>
  <c r="W232" i="62"/>
  <c r="AC232" i="62" s="1"/>
  <c r="V232" i="62"/>
  <c r="AB232" i="62" s="1"/>
  <c r="X231" i="62"/>
  <c r="AD231" i="62" s="1"/>
  <c r="W231" i="62"/>
  <c r="AC231" i="62" s="1"/>
  <c r="V231" i="62"/>
  <c r="AB231" i="62" s="1"/>
  <c r="X230" i="62"/>
  <c r="W230" i="62"/>
  <c r="AC230" i="62" s="1"/>
  <c r="V230" i="62"/>
  <c r="AB230" i="62" s="1"/>
  <c r="X229" i="62"/>
  <c r="AD229" i="62" s="1"/>
  <c r="W229" i="62"/>
  <c r="AC229" i="62" s="1"/>
  <c r="V229" i="62"/>
  <c r="AB229" i="62" s="1"/>
  <c r="X228" i="62"/>
  <c r="W228" i="62"/>
  <c r="AC228" i="62" s="1"/>
  <c r="V228" i="62"/>
  <c r="AB228" i="62" s="1"/>
  <c r="X227" i="62"/>
  <c r="AD227" i="62" s="1"/>
  <c r="W227" i="62"/>
  <c r="AC227" i="62" s="1"/>
  <c r="V227" i="62"/>
  <c r="AB227" i="62" s="1"/>
  <c r="X226" i="62"/>
  <c r="W226" i="62"/>
  <c r="AC226" i="62" s="1"/>
  <c r="V226" i="62"/>
  <c r="AB226" i="62" s="1"/>
  <c r="X225" i="62"/>
  <c r="AD225" i="62" s="1"/>
  <c r="W225" i="62"/>
  <c r="AC225" i="62" s="1"/>
  <c r="V225" i="62"/>
  <c r="AB225" i="62" s="1"/>
  <c r="X224" i="62"/>
  <c r="W224" i="62"/>
  <c r="AC224" i="62" s="1"/>
  <c r="V224" i="62"/>
  <c r="AB224" i="62" s="1"/>
  <c r="X223" i="62"/>
  <c r="AD223" i="62" s="1"/>
  <c r="W223" i="62"/>
  <c r="AC223" i="62" s="1"/>
  <c r="V223" i="62"/>
  <c r="AB223" i="62" s="1"/>
  <c r="X222" i="62"/>
  <c r="W222" i="62"/>
  <c r="AC222" i="62" s="1"/>
  <c r="V222" i="62"/>
  <c r="AB222" i="62" s="1"/>
  <c r="X221" i="62"/>
  <c r="AD221" i="62" s="1"/>
  <c r="W221" i="62"/>
  <c r="AC221" i="62" s="1"/>
  <c r="V221" i="62"/>
  <c r="AB221" i="62" s="1"/>
  <c r="X220" i="62"/>
  <c r="W220" i="62"/>
  <c r="AC220" i="62" s="1"/>
  <c r="V220" i="62"/>
  <c r="AB220" i="62" s="1"/>
  <c r="X219" i="62"/>
  <c r="AD219" i="62" s="1"/>
  <c r="W219" i="62"/>
  <c r="AC219" i="62" s="1"/>
  <c r="V219" i="62"/>
  <c r="AB219" i="62" s="1"/>
  <c r="X218" i="62"/>
  <c r="W218" i="62"/>
  <c r="AC218" i="62" s="1"/>
  <c r="V218" i="62"/>
  <c r="AB218" i="62" s="1"/>
  <c r="X217" i="62"/>
  <c r="AD217" i="62" s="1"/>
  <c r="W217" i="62"/>
  <c r="AC217" i="62" s="1"/>
  <c r="V217" i="62"/>
  <c r="AB217" i="62" s="1"/>
  <c r="X216" i="62"/>
  <c r="W216" i="62"/>
  <c r="AC216" i="62" s="1"/>
  <c r="V216" i="62"/>
  <c r="AB216" i="62" s="1"/>
  <c r="X215" i="62"/>
  <c r="AD215" i="62" s="1"/>
  <c r="W215" i="62"/>
  <c r="AC215" i="62" s="1"/>
  <c r="V215" i="62"/>
  <c r="AB215" i="62" s="1"/>
  <c r="X214" i="62"/>
  <c r="W214" i="62"/>
  <c r="AC214" i="62" s="1"/>
  <c r="V214" i="62"/>
  <c r="AB214" i="62" s="1"/>
  <c r="X213" i="62"/>
  <c r="AD213" i="62" s="1"/>
  <c r="W213" i="62"/>
  <c r="AC213" i="62" s="1"/>
  <c r="V213" i="62"/>
  <c r="AB213" i="62" s="1"/>
  <c r="X212" i="62"/>
  <c r="W212" i="62"/>
  <c r="AC212" i="62" s="1"/>
  <c r="V212" i="62"/>
  <c r="AB212" i="62" s="1"/>
  <c r="X211" i="62"/>
  <c r="AD211" i="62" s="1"/>
  <c r="W211" i="62"/>
  <c r="AC211" i="62" s="1"/>
  <c r="V211" i="62"/>
  <c r="AB211" i="62" s="1"/>
  <c r="X210" i="62"/>
  <c r="W210" i="62"/>
  <c r="AC210" i="62" s="1"/>
  <c r="V210" i="62"/>
  <c r="AB210" i="62" s="1"/>
  <c r="X209" i="62"/>
  <c r="AD209" i="62" s="1"/>
  <c r="W209" i="62"/>
  <c r="AC209" i="62" s="1"/>
  <c r="V209" i="62"/>
  <c r="AB209" i="62" s="1"/>
  <c r="X208" i="62"/>
  <c r="AD208" i="62" s="1"/>
  <c r="W208" i="62"/>
  <c r="AC208" i="62" s="1"/>
  <c r="V208" i="62"/>
  <c r="AB208" i="62" s="1"/>
  <c r="X207" i="62"/>
  <c r="AD207" i="62" s="1"/>
  <c r="W207" i="62"/>
  <c r="V207" i="62"/>
  <c r="AB207" i="62" s="1"/>
  <c r="X206" i="62"/>
  <c r="AD206" i="62" s="1"/>
  <c r="W206" i="62"/>
  <c r="AC206" i="62" s="1"/>
  <c r="V206" i="62"/>
  <c r="AB206" i="62" s="1"/>
  <c r="X205" i="62"/>
  <c r="AD205" i="62" s="1"/>
  <c r="W205" i="62"/>
  <c r="AC205" i="62" s="1"/>
  <c r="V205" i="62"/>
  <c r="AB205" i="62" s="1"/>
  <c r="X204" i="62"/>
  <c r="AD204" i="62" s="1"/>
  <c r="W204" i="62"/>
  <c r="AC204" i="62" s="1"/>
  <c r="V204" i="62"/>
  <c r="X203" i="62"/>
  <c r="AD203" i="62" s="1"/>
  <c r="W203" i="62"/>
  <c r="AC203" i="62" s="1"/>
  <c r="V203" i="62"/>
  <c r="AB203" i="62" s="1"/>
  <c r="X202" i="62"/>
  <c r="AD202" i="62" s="1"/>
  <c r="W202" i="62"/>
  <c r="AC202" i="62" s="1"/>
  <c r="V202" i="62"/>
  <c r="AB202" i="62" s="1"/>
  <c r="X201" i="62"/>
  <c r="AD201" i="62" s="1"/>
  <c r="W201" i="62"/>
  <c r="AC201" i="62" s="1"/>
  <c r="V201" i="62"/>
  <c r="AB201" i="62" s="1"/>
  <c r="X200" i="62"/>
  <c r="AD200" i="62" s="1"/>
  <c r="W200" i="62"/>
  <c r="AC200" i="62" s="1"/>
  <c r="V200" i="62"/>
  <c r="AB200" i="62" s="1"/>
  <c r="X199" i="62"/>
  <c r="AD199" i="62" s="1"/>
  <c r="W199" i="62"/>
  <c r="AC199" i="62" s="1"/>
  <c r="V199" i="62"/>
  <c r="AB199" i="62" s="1"/>
  <c r="X198" i="62"/>
  <c r="AD198" i="62" s="1"/>
  <c r="W198" i="62"/>
  <c r="AC198" i="62" s="1"/>
  <c r="V198" i="62"/>
  <c r="AB198" i="62" s="1"/>
  <c r="X197" i="62"/>
  <c r="AD197" i="62" s="1"/>
  <c r="W197" i="62"/>
  <c r="AC197" i="62" s="1"/>
  <c r="V197" i="62"/>
  <c r="AB197" i="62" s="1"/>
  <c r="X196" i="62"/>
  <c r="AD196" i="62" s="1"/>
  <c r="W196" i="62"/>
  <c r="AC196" i="62" s="1"/>
  <c r="V196" i="62"/>
  <c r="AB196" i="62" s="1"/>
  <c r="X195" i="62"/>
  <c r="AD195" i="62" s="1"/>
  <c r="W195" i="62"/>
  <c r="AC195" i="62" s="1"/>
  <c r="V195" i="62"/>
  <c r="AB195" i="62" s="1"/>
  <c r="X194" i="62"/>
  <c r="W194" i="62"/>
  <c r="AC194" i="62" s="1"/>
  <c r="V194" i="62"/>
  <c r="AB194" i="62" s="1"/>
  <c r="X193" i="62"/>
  <c r="AD193" i="62" s="1"/>
  <c r="W193" i="62"/>
  <c r="AC193" i="62" s="1"/>
  <c r="V193" i="62"/>
  <c r="AB193" i="62" s="1"/>
  <c r="X192" i="62"/>
  <c r="AD192" i="62" s="1"/>
  <c r="W192" i="62"/>
  <c r="AC192" i="62" s="1"/>
  <c r="V192" i="62"/>
  <c r="AB192" i="62" s="1"/>
  <c r="X191" i="62"/>
  <c r="AD191" i="62" s="1"/>
  <c r="W191" i="62"/>
  <c r="V191" i="62"/>
  <c r="AB191" i="62" s="1"/>
  <c r="X190" i="62"/>
  <c r="AD190" i="62" s="1"/>
  <c r="W190" i="62"/>
  <c r="AC190" i="62" s="1"/>
  <c r="V190" i="62"/>
  <c r="AB190" i="62" s="1"/>
  <c r="X189" i="62"/>
  <c r="AD189" i="62" s="1"/>
  <c r="W189" i="62"/>
  <c r="AC189" i="62" s="1"/>
  <c r="V189" i="62"/>
  <c r="AB189" i="62" s="1"/>
  <c r="X188" i="62"/>
  <c r="AD188" i="62" s="1"/>
  <c r="W188" i="62"/>
  <c r="AC188" i="62" s="1"/>
  <c r="V188" i="62"/>
  <c r="X187" i="62"/>
  <c r="AD187" i="62" s="1"/>
  <c r="W187" i="62"/>
  <c r="AC187" i="62" s="1"/>
  <c r="V187" i="62"/>
  <c r="AB187" i="62" s="1"/>
  <c r="X186" i="62"/>
  <c r="AD186" i="62" s="1"/>
  <c r="W186" i="62"/>
  <c r="AC186" i="62" s="1"/>
  <c r="V186" i="62"/>
  <c r="AB186" i="62" s="1"/>
  <c r="X185" i="62"/>
  <c r="AD185" i="62" s="1"/>
  <c r="W185" i="62"/>
  <c r="AC185" i="62" s="1"/>
  <c r="V185" i="62"/>
  <c r="AB185" i="62" s="1"/>
  <c r="X184" i="62"/>
  <c r="AD184" i="62" s="1"/>
  <c r="W184" i="62"/>
  <c r="AC184" i="62" s="1"/>
  <c r="V184" i="62"/>
  <c r="AB184" i="62" s="1"/>
  <c r="X183" i="62"/>
  <c r="AD183" i="62" s="1"/>
  <c r="W183" i="62"/>
  <c r="AC183" i="62" s="1"/>
  <c r="V183" i="62"/>
  <c r="AB183" i="62" s="1"/>
  <c r="X182" i="62"/>
  <c r="AD182" i="62" s="1"/>
  <c r="W182" i="62"/>
  <c r="AC182" i="62" s="1"/>
  <c r="V182" i="62"/>
  <c r="AB182" i="62" s="1"/>
  <c r="X181" i="62"/>
  <c r="AD181" i="62" s="1"/>
  <c r="W181" i="62"/>
  <c r="AC181" i="62" s="1"/>
  <c r="V181" i="62"/>
  <c r="AB181" i="62" s="1"/>
  <c r="X180" i="62"/>
  <c r="AD180" i="62" s="1"/>
  <c r="W180" i="62"/>
  <c r="AC180" i="62" s="1"/>
  <c r="V180" i="62"/>
  <c r="AB180" i="62" s="1"/>
  <c r="X179" i="62"/>
  <c r="AD179" i="62" s="1"/>
  <c r="W179" i="62"/>
  <c r="AC179" i="62" s="1"/>
  <c r="V179" i="62"/>
  <c r="AB179" i="62" s="1"/>
  <c r="X178" i="62"/>
  <c r="W178" i="62"/>
  <c r="AC178" i="62" s="1"/>
  <c r="V178" i="62"/>
  <c r="AB178" i="62" s="1"/>
  <c r="X177" i="62"/>
  <c r="AD177" i="62" s="1"/>
  <c r="W177" i="62"/>
  <c r="AC177" i="62" s="1"/>
  <c r="V177" i="62"/>
  <c r="AB177" i="62" s="1"/>
  <c r="X176" i="62"/>
  <c r="AD176" i="62" s="1"/>
  <c r="W176" i="62"/>
  <c r="AC176" i="62" s="1"/>
  <c r="V176" i="62"/>
  <c r="AB176" i="62" s="1"/>
  <c r="X175" i="62"/>
  <c r="AD175" i="62" s="1"/>
  <c r="W175" i="62"/>
  <c r="V175" i="62"/>
  <c r="AB175" i="62" s="1"/>
  <c r="X174" i="62"/>
  <c r="AD174" i="62" s="1"/>
  <c r="W174" i="62"/>
  <c r="AC174" i="62" s="1"/>
  <c r="V174" i="62"/>
  <c r="AB174" i="62" s="1"/>
  <c r="X173" i="62"/>
  <c r="AD173" i="62" s="1"/>
  <c r="W173" i="62"/>
  <c r="AC173" i="62" s="1"/>
  <c r="V173" i="62"/>
  <c r="AB173" i="62" s="1"/>
  <c r="X172" i="62"/>
  <c r="AD172" i="62" s="1"/>
  <c r="W172" i="62"/>
  <c r="AC172" i="62" s="1"/>
  <c r="V172" i="62"/>
  <c r="X171" i="62"/>
  <c r="AD171" i="62" s="1"/>
  <c r="W171" i="62"/>
  <c r="AC171" i="62" s="1"/>
  <c r="V171" i="62"/>
  <c r="AB171" i="62" s="1"/>
  <c r="X170" i="62"/>
  <c r="AD170" i="62" s="1"/>
  <c r="W170" i="62"/>
  <c r="AC170" i="62" s="1"/>
  <c r="V170" i="62"/>
  <c r="AB170" i="62" s="1"/>
  <c r="X169" i="62"/>
  <c r="AD169" i="62" s="1"/>
  <c r="W169" i="62"/>
  <c r="AC169" i="62" s="1"/>
  <c r="V169" i="62"/>
  <c r="AB169" i="62" s="1"/>
  <c r="X168" i="62"/>
  <c r="AD168" i="62" s="1"/>
  <c r="W168" i="62"/>
  <c r="AC168" i="62" s="1"/>
  <c r="V168" i="62"/>
  <c r="AB168" i="62" s="1"/>
  <c r="X167" i="62"/>
  <c r="AD167" i="62" s="1"/>
  <c r="W167" i="62"/>
  <c r="AC167" i="62" s="1"/>
  <c r="V167" i="62"/>
  <c r="AB167" i="62" s="1"/>
  <c r="X166" i="62"/>
  <c r="AD166" i="62" s="1"/>
  <c r="W166" i="62"/>
  <c r="AC166" i="62" s="1"/>
  <c r="V166" i="62"/>
  <c r="AB166" i="62" s="1"/>
  <c r="X165" i="62"/>
  <c r="AD165" i="62" s="1"/>
  <c r="W165" i="62"/>
  <c r="AC165" i="62" s="1"/>
  <c r="V165" i="62"/>
  <c r="AB165" i="62" s="1"/>
  <c r="X164" i="62"/>
  <c r="AD164" i="62" s="1"/>
  <c r="W164" i="62"/>
  <c r="AC164" i="62" s="1"/>
  <c r="V164" i="62"/>
  <c r="AB164" i="62" s="1"/>
  <c r="X163" i="62"/>
  <c r="AD163" i="62" s="1"/>
  <c r="W163" i="62"/>
  <c r="AC163" i="62" s="1"/>
  <c r="V163" i="62"/>
  <c r="AB163" i="62" s="1"/>
  <c r="X162" i="62"/>
  <c r="W162" i="62"/>
  <c r="AC162" i="62" s="1"/>
  <c r="V162" i="62"/>
  <c r="AB162" i="62" s="1"/>
  <c r="X161" i="62"/>
  <c r="AD161" i="62" s="1"/>
  <c r="W161" i="62"/>
  <c r="AC161" i="62" s="1"/>
  <c r="V161" i="62"/>
  <c r="AB161" i="62" s="1"/>
  <c r="X160" i="62"/>
  <c r="AD160" i="62" s="1"/>
  <c r="W160" i="62"/>
  <c r="AC160" i="62" s="1"/>
  <c r="V160" i="62"/>
  <c r="AB160" i="62" s="1"/>
  <c r="X159" i="62"/>
  <c r="AD159" i="62" s="1"/>
  <c r="W159" i="62"/>
  <c r="V159" i="62"/>
  <c r="AB159" i="62" s="1"/>
  <c r="X158" i="62"/>
  <c r="AD158" i="62" s="1"/>
  <c r="W158" i="62"/>
  <c r="AC158" i="62" s="1"/>
  <c r="V158" i="62"/>
  <c r="AB158" i="62" s="1"/>
  <c r="X157" i="62"/>
  <c r="AD157" i="62" s="1"/>
  <c r="W157" i="62"/>
  <c r="AC157" i="62" s="1"/>
  <c r="V157" i="62"/>
  <c r="AB157" i="62" s="1"/>
  <c r="X156" i="62"/>
  <c r="AD156" i="62" s="1"/>
  <c r="W156" i="62"/>
  <c r="AC156" i="62" s="1"/>
  <c r="V156" i="62"/>
  <c r="X155" i="62"/>
  <c r="AD155" i="62" s="1"/>
  <c r="W155" i="62"/>
  <c r="AC155" i="62" s="1"/>
  <c r="V155" i="62"/>
  <c r="AB155" i="62" s="1"/>
  <c r="X154" i="62"/>
  <c r="AD154" i="62" s="1"/>
  <c r="W154" i="62"/>
  <c r="AC154" i="62" s="1"/>
  <c r="V154" i="62"/>
  <c r="AB154" i="62" s="1"/>
  <c r="X153" i="62"/>
  <c r="AD153" i="62" s="1"/>
  <c r="W153" i="62"/>
  <c r="AC153" i="62" s="1"/>
  <c r="V153" i="62"/>
  <c r="AB153" i="62" s="1"/>
  <c r="X152" i="62"/>
  <c r="AD152" i="62" s="1"/>
  <c r="W152" i="62"/>
  <c r="AC152" i="62" s="1"/>
  <c r="V152" i="62"/>
  <c r="AB152" i="62" s="1"/>
  <c r="X151" i="62"/>
  <c r="AD151" i="62" s="1"/>
  <c r="W151" i="62"/>
  <c r="AC151" i="62" s="1"/>
  <c r="V151" i="62"/>
  <c r="AB151" i="62" s="1"/>
  <c r="X150" i="62"/>
  <c r="AD150" i="62" s="1"/>
  <c r="W150" i="62"/>
  <c r="AC150" i="62" s="1"/>
  <c r="V150" i="62"/>
  <c r="AB150" i="62" s="1"/>
  <c r="X149" i="62"/>
  <c r="AD149" i="62" s="1"/>
  <c r="W149" i="62"/>
  <c r="AC149" i="62" s="1"/>
  <c r="V149" i="62"/>
  <c r="AB149" i="62" s="1"/>
  <c r="X148" i="62"/>
  <c r="AD148" i="62" s="1"/>
  <c r="W148" i="62"/>
  <c r="AC148" i="62" s="1"/>
  <c r="V148" i="62"/>
  <c r="AB148" i="62" s="1"/>
  <c r="X147" i="62"/>
  <c r="AD147" i="62" s="1"/>
  <c r="W147" i="62"/>
  <c r="AC147" i="62" s="1"/>
  <c r="V147" i="62"/>
  <c r="AB147" i="62" s="1"/>
  <c r="X146" i="62"/>
  <c r="W146" i="62"/>
  <c r="AC146" i="62" s="1"/>
  <c r="V146" i="62"/>
  <c r="AB146" i="62" s="1"/>
  <c r="X145" i="62"/>
  <c r="AD145" i="62" s="1"/>
  <c r="W145" i="62"/>
  <c r="AC145" i="62" s="1"/>
  <c r="V145" i="62"/>
  <c r="AB145" i="62" s="1"/>
  <c r="X144" i="62"/>
  <c r="AD144" i="62" s="1"/>
  <c r="W144" i="62"/>
  <c r="AC144" i="62" s="1"/>
  <c r="V144" i="62"/>
  <c r="AB144" i="62" s="1"/>
  <c r="X143" i="62"/>
  <c r="AD143" i="62" s="1"/>
  <c r="W143" i="62"/>
  <c r="V143" i="62"/>
  <c r="AB143" i="62" s="1"/>
  <c r="X142" i="62"/>
  <c r="AD142" i="62" s="1"/>
  <c r="W142" i="62"/>
  <c r="AC142" i="62" s="1"/>
  <c r="V142" i="62"/>
  <c r="AB142" i="62" s="1"/>
  <c r="X141" i="62"/>
  <c r="AD141" i="62" s="1"/>
  <c r="W141" i="62"/>
  <c r="AC141" i="62" s="1"/>
  <c r="V141" i="62"/>
  <c r="AB141" i="62" s="1"/>
  <c r="X140" i="62"/>
  <c r="AD140" i="62" s="1"/>
  <c r="W140" i="62"/>
  <c r="AC140" i="62" s="1"/>
  <c r="V140" i="62"/>
  <c r="X139" i="62"/>
  <c r="AD139" i="62" s="1"/>
  <c r="W139" i="62"/>
  <c r="AC139" i="62" s="1"/>
  <c r="V139" i="62"/>
  <c r="AB139" i="62" s="1"/>
  <c r="X138" i="62"/>
  <c r="AD138" i="62" s="1"/>
  <c r="W138" i="62"/>
  <c r="AC138" i="62" s="1"/>
  <c r="V138" i="62"/>
  <c r="AB138" i="62" s="1"/>
  <c r="X137" i="62"/>
  <c r="AD137" i="62" s="1"/>
  <c r="W137" i="62"/>
  <c r="AC137" i="62" s="1"/>
  <c r="V137" i="62"/>
  <c r="AB137" i="62" s="1"/>
  <c r="X136" i="62"/>
  <c r="AD136" i="62" s="1"/>
  <c r="W136" i="62"/>
  <c r="AC136" i="62" s="1"/>
  <c r="V136" i="62"/>
  <c r="AB136" i="62" s="1"/>
  <c r="X135" i="62"/>
  <c r="AD135" i="62" s="1"/>
  <c r="W135" i="62"/>
  <c r="AC135" i="62" s="1"/>
  <c r="V135" i="62"/>
  <c r="AB135" i="62" s="1"/>
  <c r="X134" i="62"/>
  <c r="AD134" i="62" s="1"/>
  <c r="W134" i="62"/>
  <c r="AC134" i="62" s="1"/>
  <c r="V134" i="62"/>
  <c r="AB134" i="62" s="1"/>
  <c r="X133" i="62"/>
  <c r="AD133" i="62" s="1"/>
  <c r="W133" i="62"/>
  <c r="AC133" i="62" s="1"/>
  <c r="V133" i="62"/>
  <c r="AB133" i="62" s="1"/>
  <c r="X132" i="62"/>
  <c r="AD132" i="62" s="1"/>
  <c r="W132" i="62"/>
  <c r="AC132" i="62" s="1"/>
  <c r="V132" i="62"/>
  <c r="AB132" i="62" s="1"/>
  <c r="X131" i="62"/>
  <c r="AD131" i="62" s="1"/>
  <c r="W131" i="62"/>
  <c r="AC131" i="62" s="1"/>
  <c r="V131" i="62"/>
  <c r="AB131" i="62" s="1"/>
  <c r="X130" i="62"/>
  <c r="W130" i="62"/>
  <c r="AC130" i="62" s="1"/>
  <c r="V130" i="62"/>
  <c r="AB130" i="62" s="1"/>
  <c r="X129" i="62"/>
  <c r="AD129" i="62" s="1"/>
  <c r="W129" i="62"/>
  <c r="AC129" i="62" s="1"/>
  <c r="V129" i="62"/>
  <c r="AB129" i="62" s="1"/>
  <c r="X128" i="62"/>
  <c r="AD128" i="62" s="1"/>
  <c r="W128" i="62"/>
  <c r="AC128" i="62" s="1"/>
  <c r="V128" i="62"/>
  <c r="AB128" i="62" s="1"/>
  <c r="X127" i="62"/>
  <c r="AD127" i="62" s="1"/>
  <c r="W127" i="62"/>
  <c r="V127" i="62"/>
  <c r="AB127" i="62" s="1"/>
  <c r="X126" i="62"/>
  <c r="AD126" i="62" s="1"/>
  <c r="W126" i="62"/>
  <c r="AC126" i="62" s="1"/>
  <c r="V126" i="62"/>
  <c r="AB126" i="62" s="1"/>
  <c r="X125" i="62"/>
  <c r="AD125" i="62" s="1"/>
  <c r="W125" i="62"/>
  <c r="V125" i="62"/>
  <c r="AB125" i="62" s="1"/>
  <c r="X124" i="62"/>
  <c r="AD124" i="62" s="1"/>
  <c r="W124" i="62"/>
  <c r="AC124" i="62" s="1"/>
  <c r="V124" i="62"/>
  <c r="AB124" i="62" s="1"/>
  <c r="X123" i="62"/>
  <c r="AD123" i="62" s="1"/>
  <c r="W123" i="62"/>
  <c r="AC123" i="62" s="1"/>
  <c r="V123" i="62"/>
  <c r="AB123" i="62" s="1"/>
  <c r="X122" i="62"/>
  <c r="AD122" i="62" s="1"/>
  <c r="W122" i="62"/>
  <c r="AC122" i="62" s="1"/>
  <c r="V122" i="62"/>
  <c r="AB122" i="62" s="1"/>
  <c r="X121" i="62"/>
  <c r="AD121" i="62" s="1"/>
  <c r="W121" i="62"/>
  <c r="AC121" i="62" s="1"/>
  <c r="V121" i="62"/>
  <c r="AB121" i="62" s="1"/>
  <c r="X120" i="62"/>
  <c r="AD120" i="62" s="1"/>
  <c r="W120" i="62"/>
  <c r="AC120" i="62" s="1"/>
  <c r="V120" i="62"/>
  <c r="X119" i="62"/>
  <c r="AD119" i="62" s="1"/>
  <c r="W119" i="62"/>
  <c r="AC119" i="62" s="1"/>
  <c r="V119" i="62"/>
  <c r="AB119" i="62" s="1"/>
  <c r="X118" i="62"/>
  <c r="AD118" i="62" s="1"/>
  <c r="W118" i="62"/>
  <c r="AC118" i="62" s="1"/>
  <c r="V118" i="62"/>
  <c r="AB118" i="62" s="1"/>
  <c r="X117" i="62"/>
  <c r="AD117" i="62" s="1"/>
  <c r="W117" i="62"/>
  <c r="AC117" i="62" s="1"/>
  <c r="V117" i="62"/>
  <c r="AB117" i="62" s="1"/>
  <c r="X116" i="62"/>
  <c r="AD116" i="62" s="1"/>
  <c r="W116" i="62"/>
  <c r="AC116" i="62" s="1"/>
  <c r="V116" i="62"/>
  <c r="AB116" i="62" s="1"/>
  <c r="X115" i="62"/>
  <c r="AD115" i="62" s="1"/>
  <c r="W115" i="62"/>
  <c r="AC115" i="62" s="1"/>
  <c r="V115" i="62"/>
  <c r="AB115" i="62" s="1"/>
  <c r="X114" i="62"/>
  <c r="W114" i="62"/>
  <c r="AC114" i="62" s="1"/>
  <c r="V114" i="62"/>
  <c r="AB114" i="62" s="1"/>
  <c r="X113" i="62"/>
  <c r="AD113" i="62" s="1"/>
  <c r="W113" i="62"/>
  <c r="AC113" i="62" s="1"/>
  <c r="V113" i="62"/>
  <c r="AB113" i="62" s="1"/>
  <c r="X112" i="62"/>
  <c r="AD112" i="62" s="1"/>
  <c r="W112" i="62"/>
  <c r="AC112" i="62" s="1"/>
  <c r="V112" i="62"/>
  <c r="AB112" i="62" s="1"/>
  <c r="X111" i="62"/>
  <c r="AD111" i="62" s="1"/>
  <c r="W111" i="62"/>
  <c r="AC111" i="62" s="1"/>
  <c r="V111" i="62"/>
  <c r="AB111" i="62" s="1"/>
  <c r="X110" i="62"/>
  <c r="AD110" i="62" s="1"/>
  <c r="W110" i="62"/>
  <c r="AC110" i="62" s="1"/>
  <c r="V110" i="62"/>
  <c r="AB110" i="62" s="1"/>
  <c r="X109" i="62"/>
  <c r="AD109" i="62" s="1"/>
  <c r="W109" i="62"/>
  <c r="V109" i="62"/>
  <c r="AB109" i="62" s="1"/>
  <c r="X108" i="62"/>
  <c r="AD108" i="62" s="1"/>
  <c r="W108" i="62"/>
  <c r="AC108" i="62" s="1"/>
  <c r="V108" i="62"/>
  <c r="AB108" i="62" s="1"/>
  <c r="X107" i="62"/>
  <c r="AD107" i="62" s="1"/>
  <c r="W107" i="62"/>
  <c r="AC107" i="62" s="1"/>
  <c r="V107" i="62"/>
  <c r="AB107" i="62" s="1"/>
  <c r="X106" i="62"/>
  <c r="AD106" i="62" s="1"/>
  <c r="W106" i="62"/>
  <c r="AC106" i="62" s="1"/>
  <c r="V106" i="62"/>
  <c r="AB106" i="62" s="1"/>
  <c r="X105" i="62"/>
  <c r="AD105" i="62" s="1"/>
  <c r="W105" i="62"/>
  <c r="AC105" i="62" s="1"/>
  <c r="V105" i="62"/>
  <c r="AB105" i="62" s="1"/>
  <c r="X104" i="62"/>
  <c r="AD104" i="62" s="1"/>
  <c r="W104" i="62"/>
  <c r="AC104" i="62" s="1"/>
  <c r="V104" i="62"/>
  <c r="X103" i="62"/>
  <c r="AD103" i="62" s="1"/>
  <c r="W103" i="62"/>
  <c r="AC103" i="62" s="1"/>
  <c r="V103" i="62"/>
  <c r="AB103" i="62" s="1"/>
  <c r="X102" i="62"/>
  <c r="AD102" i="62" s="1"/>
  <c r="W102" i="62"/>
  <c r="AC102" i="62" s="1"/>
  <c r="V102" i="62"/>
  <c r="AB102" i="62" s="1"/>
  <c r="X101" i="62"/>
  <c r="AD101" i="62" s="1"/>
  <c r="W101" i="62"/>
  <c r="AC101" i="62" s="1"/>
  <c r="V101" i="62"/>
  <c r="AB101" i="62" s="1"/>
  <c r="X100" i="62"/>
  <c r="AD100" i="62" s="1"/>
  <c r="W100" i="62"/>
  <c r="AC100" i="62" s="1"/>
  <c r="V100" i="62"/>
  <c r="AB100" i="62" s="1"/>
  <c r="X99" i="62"/>
  <c r="AD99" i="62" s="1"/>
  <c r="W99" i="62"/>
  <c r="AC99" i="62" s="1"/>
  <c r="V99" i="62"/>
  <c r="AB99" i="62" s="1"/>
  <c r="X98" i="62"/>
  <c r="AD98" i="62" s="1"/>
  <c r="W98" i="62"/>
  <c r="AC98" i="62" s="1"/>
  <c r="V98" i="62"/>
  <c r="AB98" i="62" s="1"/>
  <c r="X97" i="62"/>
  <c r="AD97" i="62" s="1"/>
  <c r="W97" i="62"/>
  <c r="AC97" i="62" s="1"/>
  <c r="V97" i="62"/>
  <c r="AB97" i="62" s="1"/>
  <c r="X96" i="62"/>
  <c r="AD96" i="62" s="1"/>
  <c r="W96" i="62"/>
  <c r="AC96" i="62" s="1"/>
  <c r="V96" i="62"/>
  <c r="AB96" i="62" s="1"/>
  <c r="X95" i="62"/>
  <c r="AD95" i="62" s="1"/>
  <c r="W95" i="62"/>
  <c r="AC95" i="62" s="1"/>
  <c r="V95" i="62"/>
  <c r="AB95" i="62" s="1"/>
  <c r="X94" i="62"/>
  <c r="AD94" i="62" s="1"/>
  <c r="W94" i="62"/>
  <c r="AC94" i="62" s="1"/>
  <c r="V94" i="62"/>
  <c r="AB94" i="62" s="1"/>
  <c r="X93" i="62"/>
  <c r="AD93" i="62" s="1"/>
  <c r="W93" i="62"/>
  <c r="AC93" i="62" s="1"/>
  <c r="V93" i="62"/>
  <c r="AB93" i="62" s="1"/>
  <c r="X92" i="62"/>
  <c r="AD92" i="62" s="1"/>
  <c r="W92" i="62"/>
  <c r="AC92" i="62" s="1"/>
  <c r="V92" i="62"/>
  <c r="AB92" i="62" s="1"/>
  <c r="X91" i="62"/>
  <c r="AD91" i="62" s="1"/>
  <c r="W91" i="62"/>
  <c r="AC91" i="62" s="1"/>
  <c r="V91" i="62"/>
  <c r="AB91" i="62" s="1"/>
  <c r="X90" i="62"/>
  <c r="AD90" i="62" s="1"/>
  <c r="W90" i="62"/>
  <c r="AC90" i="62" s="1"/>
  <c r="V90" i="62"/>
  <c r="AB90" i="62" s="1"/>
  <c r="X89" i="62"/>
  <c r="AD89" i="62" s="1"/>
  <c r="W89" i="62"/>
  <c r="AC89" i="62" s="1"/>
  <c r="V89" i="62"/>
  <c r="AB89" i="62" s="1"/>
  <c r="X88" i="62"/>
  <c r="AD88" i="62" s="1"/>
  <c r="W88" i="62"/>
  <c r="AC88" i="62" s="1"/>
  <c r="V88" i="62"/>
  <c r="AB88" i="62" s="1"/>
  <c r="X87" i="62"/>
  <c r="AD87" i="62" s="1"/>
  <c r="W87" i="62"/>
  <c r="AC87" i="62" s="1"/>
  <c r="V87" i="62"/>
  <c r="AB87" i="62" s="1"/>
  <c r="X86" i="62"/>
  <c r="AD86" i="62" s="1"/>
  <c r="W86" i="62"/>
  <c r="AC86" i="62" s="1"/>
  <c r="V86" i="62"/>
  <c r="AB86" i="62" s="1"/>
  <c r="X85" i="62"/>
  <c r="AD85" i="62" s="1"/>
  <c r="W85" i="62"/>
  <c r="AC85" i="62" s="1"/>
  <c r="V85" i="62"/>
  <c r="X84" i="62"/>
  <c r="AD84" i="62" s="1"/>
  <c r="W84" i="62"/>
  <c r="AC84" i="62" s="1"/>
  <c r="V84" i="62"/>
  <c r="AB84" i="62" s="1"/>
  <c r="X83" i="62"/>
  <c r="W83" i="62"/>
  <c r="AC83" i="62" s="1"/>
  <c r="V83" i="62"/>
  <c r="AB83" i="62" s="1"/>
  <c r="X82" i="62"/>
  <c r="AD82" i="62" s="1"/>
  <c r="W82" i="62"/>
  <c r="AC82" i="62" s="1"/>
  <c r="V82" i="62"/>
  <c r="AB82" i="62" s="1"/>
  <c r="X81" i="62"/>
  <c r="AD81" i="62" s="1"/>
  <c r="W81" i="62"/>
  <c r="AC81" i="62" s="1"/>
  <c r="V81" i="62"/>
  <c r="X80" i="62"/>
  <c r="AD80" i="62" s="1"/>
  <c r="W80" i="62"/>
  <c r="AC80" i="62" s="1"/>
  <c r="V80" i="62"/>
  <c r="AB80" i="62" s="1"/>
  <c r="X79" i="62"/>
  <c r="W79" i="62"/>
  <c r="AC79" i="62" s="1"/>
  <c r="V79" i="62"/>
  <c r="AB79" i="62" s="1"/>
  <c r="X78" i="62"/>
  <c r="AD78" i="62" s="1"/>
  <c r="W78" i="62"/>
  <c r="AC78" i="62" s="1"/>
  <c r="V78" i="62"/>
  <c r="AB78" i="62" s="1"/>
  <c r="X77" i="62"/>
  <c r="AD77" i="62" s="1"/>
  <c r="W77" i="62"/>
  <c r="AC77" i="62" s="1"/>
  <c r="V77" i="62"/>
  <c r="X76" i="62"/>
  <c r="AD76" i="62" s="1"/>
  <c r="W76" i="62"/>
  <c r="AC76" i="62" s="1"/>
  <c r="V76" i="62"/>
  <c r="AB76" i="62" s="1"/>
  <c r="X75" i="62"/>
  <c r="W75" i="62"/>
  <c r="AC75" i="62" s="1"/>
  <c r="V75" i="62"/>
  <c r="AB75" i="62" s="1"/>
  <c r="X74" i="62"/>
  <c r="AD74" i="62" s="1"/>
  <c r="W74" i="62"/>
  <c r="AC74" i="62" s="1"/>
  <c r="V74" i="62"/>
  <c r="AB74" i="62" s="1"/>
  <c r="X73" i="62"/>
  <c r="AD73" i="62" s="1"/>
  <c r="W73" i="62"/>
  <c r="AC73" i="62" s="1"/>
  <c r="V73" i="62"/>
  <c r="AB73" i="62" s="1"/>
  <c r="X72" i="62"/>
  <c r="AD72" i="62" s="1"/>
  <c r="W72" i="62"/>
  <c r="AC72" i="62" s="1"/>
  <c r="V72" i="62"/>
  <c r="AB72" i="62" s="1"/>
  <c r="X71" i="62"/>
  <c r="AD71" i="62" s="1"/>
  <c r="W71" i="62"/>
  <c r="AC71" i="62" s="1"/>
  <c r="V71" i="62"/>
  <c r="AB71" i="62" s="1"/>
  <c r="X70" i="62"/>
  <c r="AD70" i="62" s="1"/>
  <c r="W70" i="62"/>
  <c r="AC70" i="62" s="1"/>
  <c r="V70" i="62"/>
  <c r="AB70" i="62" s="1"/>
  <c r="X69" i="62"/>
  <c r="AD69" i="62" s="1"/>
  <c r="W69" i="62"/>
  <c r="AC69" i="62" s="1"/>
  <c r="V69" i="62"/>
  <c r="AB69" i="62" s="1"/>
  <c r="X68" i="62"/>
  <c r="AD68" i="62" s="1"/>
  <c r="W68" i="62"/>
  <c r="AC68" i="62" s="1"/>
  <c r="V68" i="62"/>
  <c r="AB68" i="62" s="1"/>
  <c r="X67" i="62"/>
  <c r="AD67" i="62" s="1"/>
  <c r="W67" i="62"/>
  <c r="AC67" i="62" s="1"/>
  <c r="V67" i="62"/>
  <c r="AB67" i="62" s="1"/>
  <c r="X66" i="62"/>
  <c r="AD66" i="62" s="1"/>
  <c r="W66" i="62"/>
  <c r="AC66" i="62" s="1"/>
  <c r="V66" i="62"/>
  <c r="AB66" i="62" s="1"/>
  <c r="X65" i="62"/>
  <c r="AD65" i="62" s="1"/>
  <c r="W65" i="62"/>
  <c r="AC65" i="62" s="1"/>
  <c r="V65" i="62"/>
  <c r="AB65" i="62" s="1"/>
  <c r="X64" i="62"/>
  <c r="AD64" i="62" s="1"/>
  <c r="W64" i="62"/>
  <c r="AC64" i="62" s="1"/>
  <c r="V64" i="62"/>
  <c r="AB64" i="62" s="1"/>
  <c r="X63" i="62"/>
  <c r="AD63" i="62" s="1"/>
  <c r="W63" i="62"/>
  <c r="AC63" i="62" s="1"/>
  <c r="V63" i="62"/>
  <c r="AB63" i="62" s="1"/>
  <c r="X62" i="62"/>
  <c r="AD62" i="62" s="1"/>
  <c r="W62" i="62"/>
  <c r="AC62" i="62" s="1"/>
  <c r="V62" i="62"/>
  <c r="AB62" i="62" s="1"/>
  <c r="X61" i="62"/>
  <c r="AD61" i="62" s="1"/>
  <c r="W61" i="62"/>
  <c r="AC61" i="62" s="1"/>
  <c r="V61" i="62"/>
  <c r="AB61" i="62" s="1"/>
  <c r="X60" i="62"/>
  <c r="AD60" i="62" s="1"/>
  <c r="W60" i="62"/>
  <c r="AC60" i="62" s="1"/>
  <c r="V60" i="62"/>
  <c r="AB60" i="62" s="1"/>
  <c r="X59" i="62"/>
  <c r="AD59" i="62" s="1"/>
  <c r="W59" i="62"/>
  <c r="AC59" i="62" s="1"/>
  <c r="V59" i="62"/>
  <c r="AB59" i="62" s="1"/>
  <c r="X58" i="62"/>
  <c r="AD58" i="62" s="1"/>
  <c r="W58" i="62"/>
  <c r="AC58" i="62" s="1"/>
  <c r="V58" i="62"/>
  <c r="AB58" i="62" s="1"/>
  <c r="X57" i="62"/>
  <c r="AD57" i="62" s="1"/>
  <c r="W57" i="62"/>
  <c r="AC57" i="62" s="1"/>
  <c r="V57" i="62"/>
  <c r="AB57" i="62" s="1"/>
  <c r="X56" i="62"/>
  <c r="AD56" i="62" s="1"/>
  <c r="W56" i="62"/>
  <c r="AC56" i="62" s="1"/>
  <c r="V56" i="62"/>
  <c r="AB56" i="62" s="1"/>
  <c r="X55" i="62"/>
  <c r="AD55" i="62" s="1"/>
  <c r="W55" i="62"/>
  <c r="AC55" i="62" s="1"/>
  <c r="V55" i="62"/>
  <c r="AB55" i="62" s="1"/>
  <c r="X54" i="62"/>
  <c r="AD54" i="62" s="1"/>
  <c r="W54" i="62"/>
  <c r="AC54" i="62" s="1"/>
  <c r="V54" i="62"/>
  <c r="AB54" i="62" s="1"/>
  <c r="X53" i="62"/>
  <c r="AD53" i="62" s="1"/>
  <c r="W53" i="62"/>
  <c r="AC53" i="62" s="1"/>
  <c r="V53" i="62"/>
  <c r="AB53" i="62" s="1"/>
  <c r="X52" i="62"/>
  <c r="AD52" i="62" s="1"/>
  <c r="W52" i="62"/>
  <c r="AC52" i="62" s="1"/>
  <c r="V52" i="62"/>
  <c r="AB52" i="62" s="1"/>
  <c r="X51" i="62"/>
  <c r="AD51" i="62" s="1"/>
  <c r="W51" i="62"/>
  <c r="AC51" i="62" s="1"/>
  <c r="V51" i="62"/>
  <c r="AB51" i="62" s="1"/>
  <c r="X50" i="62"/>
  <c r="AD50" i="62" s="1"/>
  <c r="W50" i="62"/>
  <c r="AC50" i="62" s="1"/>
  <c r="V50" i="62"/>
  <c r="AB50" i="62" s="1"/>
  <c r="X49" i="62"/>
  <c r="AD49" i="62" s="1"/>
  <c r="W49" i="62"/>
  <c r="AC49" i="62" s="1"/>
  <c r="V49" i="62"/>
  <c r="AB49" i="62" s="1"/>
  <c r="X48" i="62"/>
  <c r="AD48" i="62" s="1"/>
  <c r="W48" i="62"/>
  <c r="AC48" i="62" s="1"/>
  <c r="V48" i="62"/>
  <c r="AB48" i="62" s="1"/>
  <c r="X47" i="62"/>
  <c r="AD47" i="62" s="1"/>
  <c r="W47" i="62"/>
  <c r="AC47" i="62" s="1"/>
  <c r="V47" i="62"/>
  <c r="AB47" i="62" s="1"/>
  <c r="X46" i="62"/>
  <c r="AD46" i="62" s="1"/>
  <c r="W46" i="62"/>
  <c r="AC46" i="62" s="1"/>
  <c r="V46" i="62"/>
  <c r="AB46" i="62" s="1"/>
  <c r="X45" i="62"/>
  <c r="AD45" i="62" s="1"/>
  <c r="W45" i="62"/>
  <c r="AC45" i="62" s="1"/>
  <c r="V45" i="62"/>
  <c r="AB45" i="62" s="1"/>
  <c r="X44" i="62"/>
  <c r="AD44" i="62" s="1"/>
  <c r="W44" i="62"/>
  <c r="AC44" i="62" s="1"/>
  <c r="V44" i="62"/>
  <c r="AB44" i="62" s="1"/>
  <c r="X43" i="62"/>
  <c r="AD43" i="62" s="1"/>
  <c r="W43" i="62"/>
  <c r="AC43" i="62" s="1"/>
  <c r="V43" i="62"/>
  <c r="AB43" i="62" s="1"/>
  <c r="X42" i="62"/>
  <c r="AD42" i="62" s="1"/>
  <c r="W42" i="62"/>
  <c r="AC42" i="62" s="1"/>
  <c r="V42" i="62"/>
  <c r="AB42" i="62" s="1"/>
  <c r="X41" i="62"/>
  <c r="AD41" i="62" s="1"/>
  <c r="W41" i="62"/>
  <c r="AC41" i="62" s="1"/>
  <c r="V41" i="62"/>
  <c r="AB41" i="62" s="1"/>
  <c r="X40" i="62"/>
  <c r="AD40" i="62" s="1"/>
  <c r="W40" i="62"/>
  <c r="AC40" i="62" s="1"/>
  <c r="V40" i="62"/>
  <c r="AB40" i="62" s="1"/>
  <c r="X39" i="62"/>
  <c r="AD39" i="62" s="1"/>
  <c r="W39" i="62"/>
  <c r="AC39" i="62" s="1"/>
  <c r="V39" i="62"/>
  <c r="AB39" i="62" s="1"/>
  <c r="X38" i="62"/>
  <c r="AD38" i="62" s="1"/>
  <c r="W38" i="62"/>
  <c r="AC38" i="62" s="1"/>
  <c r="V38" i="62"/>
  <c r="AB38" i="62" s="1"/>
  <c r="X37" i="62"/>
  <c r="AD37" i="62" s="1"/>
  <c r="W37" i="62"/>
  <c r="AC37" i="62" s="1"/>
  <c r="V37" i="62"/>
  <c r="AB37" i="62" s="1"/>
  <c r="X36" i="62"/>
  <c r="AD36" i="62" s="1"/>
  <c r="W36" i="62"/>
  <c r="AC36" i="62" s="1"/>
  <c r="V36" i="62"/>
  <c r="AB36" i="62" s="1"/>
  <c r="X35" i="62"/>
  <c r="AD35" i="62" s="1"/>
  <c r="W35" i="62"/>
  <c r="AC35" i="62" s="1"/>
  <c r="V35" i="62"/>
  <c r="AB35" i="62" s="1"/>
  <c r="X34" i="62"/>
  <c r="AD34" i="62" s="1"/>
  <c r="W34" i="62"/>
  <c r="AC34" i="62" s="1"/>
  <c r="V34" i="62"/>
  <c r="AB34" i="62" s="1"/>
  <c r="X33" i="62"/>
  <c r="AD33" i="62" s="1"/>
  <c r="W33" i="62"/>
  <c r="AC33" i="62" s="1"/>
  <c r="V33" i="62"/>
  <c r="AB33" i="62" s="1"/>
  <c r="X32" i="62"/>
  <c r="AD32" i="62" s="1"/>
  <c r="W32" i="62"/>
  <c r="AC32" i="62" s="1"/>
  <c r="V32" i="62"/>
  <c r="AB32" i="62" s="1"/>
  <c r="X31" i="62"/>
  <c r="AD31" i="62" s="1"/>
  <c r="W31" i="62"/>
  <c r="AC31" i="62" s="1"/>
  <c r="V31" i="62"/>
  <c r="AB31" i="62" s="1"/>
  <c r="X30" i="62"/>
  <c r="AD30" i="62" s="1"/>
  <c r="W30" i="62"/>
  <c r="AC30" i="62" s="1"/>
  <c r="V30" i="62"/>
  <c r="AB30" i="62" s="1"/>
  <c r="X29" i="62"/>
  <c r="AD29" i="62" s="1"/>
  <c r="W29" i="62"/>
  <c r="AC29" i="62" s="1"/>
  <c r="V29" i="62"/>
  <c r="AB29" i="62" s="1"/>
  <c r="X28" i="62"/>
  <c r="AD28" i="62" s="1"/>
  <c r="W28" i="62"/>
  <c r="AC28" i="62" s="1"/>
  <c r="V28" i="62"/>
  <c r="AB28" i="62" s="1"/>
  <c r="X27" i="62"/>
  <c r="AD27" i="62" s="1"/>
  <c r="W27" i="62"/>
  <c r="AC27" i="62" s="1"/>
  <c r="V27" i="62"/>
  <c r="AB27" i="62" s="1"/>
  <c r="X26" i="62"/>
  <c r="AD26" i="62" s="1"/>
  <c r="W26" i="62"/>
  <c r="AC26" i="62" s="1"/>
  <c r="V26" i="62"/>
  <c r="AB26" i="62" s="1"/>
  <c r="X25" i="62"/>
  <c r="AD25" i="62" s="1"/>
  <c r="W25" i="62"/>
  <c r="AC25" i="62" s="1"/>
  <c r="V25" i="62"/>
  <c r="X24" i="62"/>
  <c r="AD24" i="62" s="1"/>
  <c r="W24" i="62"/>
  <c r="AC24" i="62" s="1"/>
  <c r="V24" i="62"/>
  <c r="AB24" i="62" s="1"/>
  <c r="X23" i="62"/>
  <c r="W23" i="62"/>
  <c r="AC23" i="62" s="1"/>
  <c r="V23" i="62"/>
  <c r="AB23" i="62" s="1"/>
  <c r="X22" i="62"/>
  <c r="AD22" i="62" s="1"/>
  <c r="W22" i="62"/>
  <c r="AC22" i="62" s="1"/>
  <c r="V22" i="62"/>
  <c r="AB22" i="62" s="1"/>
  <c r="X21" i="62"/>
  <c r="AD21" i="62" s="1"/>
  <c r="W21" i="62"/>
  <c r="AC21" i="62" s="1"/>
  <c r="V21" i="62"/>
  <c r="X20" i="62"/>
  <c r="AD20" i="62" s="1"/>
  <c r="W20" i="62"/>
  <c r="AC20" i="62" s="1"/>
  <c r="V20" i="62"/>
  <c r="AB20" i="62" s="1"/>
  <c r="X19" i="62"/>
  <c r="W19" i="62"/>
  <c r="AC19" i="62" s="1"/>
  <c r="V19" i="62"/>
  <c r="AB19" i="62" s="1"/>
  <c r="X18" i="62"/>
  <c r="AD18" i="62" s="1"/>
  <c r="W18" i="62"/>
  <c r="AC18" i="62" s="1"/>
  <c r="V18" i="62"/>
  <c r="AB18" i="62" s="1"/>
  <c r="X17" i="62"/>
  <c r="AD17" i="62" s="1"/>
  <c r="W17" i="62"/>
  <c r="AC17" i="62" s="1"/>
  <c r="V17" i="62"/>
  <c r="X16" i="62"/>
  <c r="AD16" i="62" s="1"/>
  <c r="W16" i="62"/>
  <c r="AC16" i="62" s="1"/>
  <c r="V16" i="62"/>
  <c r="AB16" i="62" s="1"/>
  <c r="X15" i="62"/>
  <c r="W15" i="62"/>
  <c r="AC15" i="62" s="1"/>
  <c r="V15" i="62"/>
  <c r="AB15" i="62" s="1"/>
  <c r="X14" i="62"/>
  <c r="AD14" i="62" s="1"/>
  <c r="W14" i="62"/>
  <c r="AC14" i="62" s="1"/>
  <c r="V14" i="62"/>
  <c r="AB14" i="62" s="1"/>
  <c r="X13" i="62"/>
  <c r="AD13" i="62" s="1"/>
  <c r="W13" i="62"/>
  <c r="AC13" i="62" s="1"/>
  <c r="V13" i="62"/>
  <c r="AB13" i="62" s="1"/>
  <c r="X12" i="62"/>
  <c r="AD12" i="62" s="1"/>
  <c r="W12" i="62"/>
  <c r="AC12" i="62" s="1"/>
  <c r="V12" i="62"/>
  <c r="AB12" i="62" s="1"/>
  <c r="X11" i="62"/>
  <c r="AD11" i="62" s="1"/>
  <c r="W11" i="62"/>
  <c r="AC11" i="62" s="1"/>
  <c r="V11" i="62"/>
  <c r="AB11" i="62" s="1"/>
  <c r="X10" i="62"/>
  <c r="AD10" i="62" s="1"/>
  <c r="W10" i="62"/>
  <c r="AC10" i="62" s="1"/>
  <c r="V10" i="62"/>
  <c r="AB10" i="62" s="1"/>
  <c r="X9" i="62"/>
  <c r="AD9" i="62" s="1"/>
  <c r="W9" i="62"/>
  <c r="AC9" i="62" s="1"/>
  <c r="V9" i="62"/>
  <c r="AB9" i="62" s="1"/>
  <c r="X8" i="62"/>
  <c r="AD8" i="62" s="1"/>
  <c r="W8" i="62"/>
  <c r="AC8" i="62" s="1"/>
  <c r="V8" i="62"/>
  <c r="AB8" i="62" s="1"/>
  <c r="X7" i="62"/>
  <c r="AD7" i="62" s="1"/>
  <c r="W7" i="62"/>
  <c r="AC7" i="62" s="1"/>
  <c r="V7" i="62"/>
  <c r="AB7" i="62" s="1"/>
  <c r="X6" i="62"/>
  <c r="AD6" i="62" s="1"/>
  <c r="W6" i="62"/>
  <c r="AC6" i="62" s="1"/>
  <c r="V6" i="62"/>
  <c r="AB6" i="62" s="1"/>
  <c r="X5" i="62"/>
  <c r="AD5" i="62" s="1"/>
  <c r="W5" i="62"/>
  <c r="AC5" i="62" s="1"/>
  <c r="V5" i="62"/>
  <c r="AB5" i="62" s="1"/>
  <c r="X4" i="62"/>
  <c r="AD4" i="62" s="1"/>
  <c r="W4" i="62"/>
  <c r="AC4" i="62" s="1"/>
  <c r="V4" i="62"/>
  <c r="AB4" i="62" s="1"/>
  <c r="X3" i="62"/>
  <c r="AD3" i="62" s="1"/>
  <c r="W3" i="62"/>
  <c r="AC3" i="62" s="1"/>
  <c r="V3" i="62"/>
  <c r="AB3" i="62" s="1"/>
  <c r="X2" i="62"/>
  <c r="AD2" i="62" s="1"/>
  <c r="W2" i="62"/>
  <c r="AC2" i="62" s="1"/>
  <c r="V2" i="62"/>
  <c r="AB2" i="62" s="1"/>
  <c r="AD55" i="52"/>
  <c r="AB55" i="52"/>
  <c r="AA55" i="52"/>
  <c r="Z55" i="52"/>
  <c r="X55" i="52"/>
  <c r="AD54" i="52"/>
  <c r="AB54" i="52"/>
  <c r="AA54" i="52"/>
  <c r="Z54" i="52"/>
  <c r="Z54" i="53" s="1"/>
  <c r="X54" i="52"/>
  <c r="AD53" i="52"/>
  <c r="AB53" i="52"/>
  <c r="AA53" i="52"/>
  <c r="AA53" i="53" s="1"/>
  <c r="Z53" i="52"/>
  <c r="X53" i="52"/>
  <c r="AD52" i="52"/>
  <c r="AB52" i="52"/>
  <c r="AA52" i="52"/>
  <c r="Z52" i="52"/>
  <c r="X52" i="52"/>
  <c r="AD51" i="52"/>
  <c r="AB51" i="52"/>
  <c r="AA51" i="52"/>
  <c r="Z51" i="52"/>
  <c r="X51" i="52"/>
  <c r="AD50" i="52"/>
  <c r="AB50" i="52"/>
  <c r="AA50" i="52"/>
  <c r="Z50" i="52"/>
  <c r="Z50" i="53" s="1"/>
  <c r="X50" i="52"/>
  <c r="AD49" i="52"/>
  <c r="AB49" i="52"/>
  <c r="AA49" i="52"/>
  <c r="AA49" i="53" s="1"/>
  <c r="Z49" i="52"/>
  <c r="X49" i="52"/>
  <c r="AD48" i="52"/>
  <c r="AB48" i="52"/>
  <c r="AA48" i="52"/>
  <c r="Z48" i="52"/>
  <c r="X48" i="52"/>
  <c r="AD47" i="52"/>
  <c r="AB47" i="52"/>
  <c r="AA47" i="52"/>
  <c r="Z47" i="52"/>
  <c r="X47" i="52"/>
  <c r="AD46" i="52"/>
  <c r="AB46" i="52"/>
  <c r="AA46" i="52"/>
  <c r="Z46" i="52"/>
  <c r="Z46" i="53" s="1"/>
  <c r="X46" i="52"/>
  <c r="AD45" i="52"/>
  <c r="AB45" i="52"/>
  <c r="AA45" i="52"/>
  <c r="AA45" i="53" s="1"/>
  <c r="Z45" i="52"/>
  <c r="X45" i="52"/>
  <c r="AD44" i="52"/>
  <c r="AB44" i="52"/>
  <c r="AA44" i="52"/>
  <c r="Z44" i="52"/>
  <c r="X44" i="52"/>
  <c r="AD43" i="52"/>
  <c r="AB43" i="52"/>
  <c r="AA43" i="52"/>
  <c r="Z43" i="52"/>
  <c r="X43" i="52"/>
  <c r="AD42" i="52"/>
  <c r="AB42" i="52"/>
  <c r="AA42" i="52"/>
  <c r="Z42" i="52"/>
  <c r="Z42" i="53" s="1"/>
  <c r="X42" i="52"/>
  <c r="AD41" i="52"/>
  <c r="AB41" i="52"/>
  <c r="AA41" i="52"/>
  <c r="AA41" i="53" s="1"/>
  <c r="Z41" i="52"/>
  <c r="X41" i="52"/>
  <c r="AD40" i="52"/>
  <c r="AB40" i="52"/>
  <c r="AA40" i="52"/>
  <c r="Z40" i="52"/>
  <c r="X40" i="52"/>
  <c r="AD39" i="52"/>
  <c r="AB39" i="52"/>
  <c r="AA39" i="52"/>
  <c r="Z39" i="52"/>
  <c r="X39" i="52"/>
  <c r="AD38" i="52"/>
  <c r="AB38" i="52"/>
  <c r="AA38" i="52"/>
  <c r="Z38" i="52"/>
  <c r="Z38" i="53" s="1"/>
  <c r="X38" i="52"/>
  <c r="AD37" i="52"/>
  <c r="AB37" i="52"/>
  <c r="AA37" i="52"/>
  <c r="AA37" i="53" s="1"/>
  <c r="Z37" i="52"/>
  <c r="X37" i="52"/>
  <c r="AD36" i="52"/>
  <c r="AB36" i="52"/>
  <c r="AA36" i="52"/>
  <c r="Z36" i="52"/>
  <c r="X36" i="52"/>
  <c r="AD35" i="52"/>
  <c r="AB35" i="52"/>
  <c r="AA35" i="52"/>
  <c r="Z35" i="52"/>
  <c r="X35" i="52"/>
  <c r="AD34" i="52"/>
  <c r="AB34" i="52"/>
  <c r="AA34" i="52"/>
  <c r="Z34" i="52"/>
  <c r="Z34" i="53" s="1"/>
  <c r="X34" i="52"/>
  <c r="AD33" i="52"/>
  <c r="AB33" i="52"/>
  <c r="AA33" i="52"/>
  <c r="AA33" i="53" s="1"/>
  <c r="Z33" i="52"/>
  <c r="X33" i="52"/>
  <c r="AD32" i="52"/>
  <c r="AB32" i="52"/>
  <c r="AA32" i="52"/>
  <c r="Z32" i="52"/>
  <c r="X32" i="52"/>
  <c r="AD31" i="52"/>
  <c r="AB31" i="52"/>
  <c r="AA31" i="52"/>
  <c r="Z31" i="52"/>
  <c r="X31" i="52"/>
  <c r="AD30" i="52"/>
  <c r="AB30" i="52"/>
  <c r="AA30" i="52"/>
  <c r="Z30" i="52"/>
  <c r="Z30" i="53" s="1"/>
  <c r="X30" i="52"/>
  <c r="AD29" i="52"/>
  <c r="AC29" i="52"/>
  <c r="AB29" i="52"/>
  <c r="AA29" i="52"/>
  <c r="Z29" i="52"/>
  <c r="Y29" i="52"/>
  <c r="X29" i="52"/>
  <c r="W29" i="52"/>
  <c r="V29" i="52"/>
  <c r="U29" i="52"/>
  <c r="AD28" i="52"/>
  <c r="AB28" i="52"/>
  <c r="AA28" i="52"/>
  <c r="Z28" i="52"/>
  <c r="X28" i="52"/>
  <c r="AD27" i="52"/>
  <c r="AB27" i="52"/>
  <c r="AA27" i="52"/>
  <c r="Z27" i="52"/>
  <c r="X27" i="52"/>
  <c r="AD26" i="52"/>
  <c r="AB26" i="52"/>
  <c r="AA26" i="52"/>
  <c r="AA26" i="53" s="1"/>
  <c r="Z26" i="52"/>
  <c r="X26" i="52"/>
  <c r="AD25" i="52"/>
  <c r="AB25" i="52"/>
  <c r="AA25" i="52"/>
  <c r="Z25" i="52"/>
  <c r="X25" i="52"/>
  <c r="AD24" i="52"/>
  <c r="AC24" i="52"/>
  <c r="AB24" i="52"/>
  <c r="AA24" i="52"/>
  <c r="Z24" i="52"/>
  <c r="Z24" i="53" s="1"/>
  <c r="Y24" i="52"/>
  <c r="X24" i="52"/>
  <c r="W24" i="52"/>
  <c r="V24" i="52"/>
  <c r="U24" i="52"/>
  <c r="AD23" i="52"/>
  <c r="AC23" i="52"/>
  <c r="AB23" i="52"/>
  <c r="AA23" i="52"/>
  <c r="Z23" i="52"/>
  <c r="Y23" i="52"/>
  <c r="X23" i="52"/>
  <c r="W23" i="52"/>
  <c r="V23" i="52"/>
  <c r="U23" i="52"/>
  <c r="AD22" i="52"/>
  <c r="AC22" i="52"/>
  <c r="AB22" i="52"/>
  <c r="AA22" i="52"/>
  <c r="Z22" i="52"/>
  <c r="Z22" i="53" s="1"/>
  <c r="Y22" i="52"/>
  <c r="X22" i="52"/>
  <c r="W22" i="52"/>
  <c r="V22" i="52"/>
  <c r="U22" i="52"/>
  <c r="AD21" i="52"/>
  <c r="AC21" i="52"/>
  <c r="AB21" i="52"/>
  <c r="AA21" i="52"/>
  <c r="Z21" i="52"/>
  <c r="Y21" i="52"/>
  <c r="X21" i="52"/>
  <c r="W21" i="52"/>
  <c r="V21" i="52"/>
  <c r="U21" i="52"/>
  <c r="AD20" i="52"/>
  <c r="AC20" i="52"/>
  <c r="AB20" i="52"/>
  <c r="AA20" i="52"/>
  <c r="Z20" i="52"/>
  <c r="Z20" i="53" s="1"/>
  <c r="Y20" i="52"/>
  <c r="X20" i="52"/>
  <c r="W20" i="52"/>
  <c r="V20" i="52"/>
  <c r="U20" i="52"/>
  <c r="AD19" i="52"/>
  <c r="AC19" i="52"/>
  <c r="AB19" i="52"/>
  <c r="AA19" i="52"/>
  <c r="Z19" i="52"/>
  <c r="Y19" i="52"/>
  <c r="X19" i="52"/>
  <c r="W19" i="52"/>
  <c r="V19" i="52"/>
  <c r="U19" i="52"/>
  <c r="AD18" i="52"/>
  <c r="AC18" i="52"/>
  <c r="AB18" i="52"/>
  <c r="AA18" i="52"/>
  <c r="Z18" i="52"/>
  <c r="Z18" i="53" s="1"/>
  <c r="Y18" i="52"/>
  <c r="X18" i="52"/>
  <c r="W18" i="52"/>
  <c r="V18" i="52"/>
  <c r="U18" i="52"/>
  <c r="AD17" i="52"/>
  <c r="AC17" i="52"/>
  <c r="AB17" i="52"/>
  <c r="AA17" i="52"/>
  <c r="Z17" i="52"/>
  <c r="Y17" i="52"/>
  <c r="X17" i="52"/>
  <c r="W17" i="52"/>
  <c r="V17" i="52"/>
  <c r="U17" i="52"/>
  <c r="AD16" i="52"/>
  <c r="AC16" i="52"/>
  <c r="AB16" i="52"/>
  <c r="AA16" i="52"/>
  <c r="AA16" i="53" s="1"/>
  <c r="Z16" i="52"/>
  <c r="Y16" i="52"/>
  <c r="X16" i="52"/>
  <c r="W16" i="52"/>
  <c r="V16" i="52"/>
  <c r="U16" i="52"/>
  <c r="AD15" i="52"/>
  <c r="AC15" i="52"/>
  <c r="AB15" i="52"/>
  <c r="AA15" i="52"/>
  <c r="Z15" i="52"/>
  <c r="Z15" i="53" s="1"/>
  <c r="Y15" i="52"/>
  <c r="X15" i="52"/>
  <c r="W15" i="52"/>
  <c r="V15" i="52"/>
  <c r="U15" i="52"/>
  <c r="AD14" i="52"/>
  <c r="AC14" i="52"/>
  <c r="AB14" i="52"/>
  <c r="AA14" i="52"/>
  <c r="Z14" i="52"/>
  <c r="Z14" i="53" s="1"/>
  <c r="Y14" i="52"/>
  <c r="X14" i="52"/>
  <c r="W14" i="52"/>
  <c r="V14" i="52"/>
  <c r="U14" i="52"/>
  <c r="AD13" i="52"/>
  <c r="AC13" i="52"/>
  <c r="AB13" i="52"/>
  <c r="AA13" i="52"/>
  <c r="AA13" i="53" s="1"/>
  <c r="Z13" i="52"/>
  <c r="Y13" i="52"/>
  <c r="X13" i="52"/>
  <c r="W13" i="52"/>
  <c r="V13" i="52"/>
  <c r="U13" i="52"/>
  <c r="AD12" i="52"/>
  <c r="AC12" i="52"/>
  <c r="AB12" i="52"/>
  <c r="AA12" i="52"/>
  <c r="AA12" i="53" s="1"/>
  <c r="Z12" i="52"/>
  <c r="Z12" i="53" s="1"/>
  <c r="Y12" i="52"/>
  <c r="X12" i="52"/>
  <c r="W12" i="52"/>
  <c r="V12" i="52"/>
  <c r="U12" i="52"/>
  <c r="AD11" i="52"/>
  <c r="AC11" i="52"/>
  <c r="AB11" i="52"/>
  <c r="AA11" i="52"/>
  <c r="Z11" i="52"/>
  <c r="Z11" i="53" s="1"/>
  <c r="Y11" i="52"/>
  <c r="X11" i="52"/>
  <c r="W11" i="52"/>
  <c r="V11" i="52"/>
  <c r="U11" i="52"/>
  <c r="AD10" i="52"/>
  <c r="AC10" i="52"/>
  <c r="AB10" i="52"/>
  <c r="AA10" i="52"/>
  <c r="Z10" i="52"/>
  <c r="Z10" i="53" s="1"/>
  <c r="Y10" i="52"/>
  <c r="X10" i="52"/>
  <c r="W10" i="52"/>
  <c r="V10" i="52"/>
  <c r="U10" i="52"/>
  <c r="AD9" i="52"/>
  <c r="AC9" i="52"/>
  <c r="AB9" i="52"/>
  <c r="AA9" i="52"/>
  <c r="Z9" i="52"/>
  <c r="Y9" i="52"/>
  <c r="X9" i="52"/>
  <c r="W9" i="52"/>
  <c r="V9" i="52"/>
  <c r="U9" i="52"/>
  <c r="AD8" i="52"/>
  <c r="AC8" i="52"/>
  <c r="AB8" i="52"/>
  <c r="AA8" i="52"/>
  <c r="Z8" i="52"/>
  <c r="Y8" i="52"/>
  <c r="X8" i="52"/>
  <c r="W8" i="52"/>
  <c r="V8" i="52"/>
  <c r="U8" i="52"/>
  <c r="AD7" i="52"/>
  <c r="AC7" i="52"/>
  <c r="AB7" i="52"/>
  <c r="AA7" i="52"/>
  <c r="Z7" i="52"/>
  <c r="Y7" i="52"/>
  <c r="X7" i="52"/>
  <c r="W7" i="52"/>
  <c r="V7" i="52"/>
  <c r="U7" i="52"/>
  <c r="AD6" i="52"/>
  <c r="AC6" i="52"/>
  <c r="AB6" i="52"/>
  <c r="AA6" i="52"/>
  <c r="Z6" i="52"/>
  <c r="Z6" i="53" s="1"/>
  <c r="Y6" i="52"/>
  <c r="X6" i="52"/>
  <c r="W6" i="52"/>
  <c r="V6" i="52"/>
  <c r="U6" i="52"/>
  <c r="AD5" i="52"/>
  <c r="AC5" i="52"/>
  <c r="AB5" i="52"/>
  <c r="AA5" i="52"/>
  <c r="Z5" i="52"/>
  <c r="Y5" i="52"/>
  <c r="X5" i="52"/>
  <c r="W5" i="52"/>
  <c r="V5" i="52"/>
  <c r="U5" i="52"/>
  <c r="AP55" i="60"/>
  <c r="AC55" i="60"/>
  <c r="AC55" i="52" s="1"/>
  <c r="Y55" i="60"/>
  <c r="Y55" i="52" s="1"/>
  <c r="W55" i="60"/>
  <c r="W55" i="52" s="1"/>
  <c r="V55" i="60"/>
  <c r="V55" i="52" s="1"/>
  <c r="U55" i="60"/>
  <c r="U55" i="52" s="1"/>
  <c r="AP54" i="60"/>
  <c r="AC54" i="60"/>
  <c r="AC54" i="52" s="1"/>
  <c r="Y54" i="60"/>
  <c r="Y54" i="52" s="1"/>
  <c r="W54" i="60"/>
  <c r="W54" i="52" s="1"/>
  <c r="V54" i="60"/>
  <c r="V54" i="52" s="1"/>
  <c r="U54" i="60"/>
  <c r="U54" i="52" s="1"/>
  <c r="AP53" i="60"/>
  <c r="AC53" i="60"/>
  <c r="AC53" i="52" s="1"/>
  <c r="Y53" i="60"/>
  <c r="Y53" i="52" s="1"/>
  <c r="W53" i="60"/>
  <c r="W53" i="52" s="1"/>
  <c r="V53" i="60"/>
  <c r="V53" i="52" s="1"/>
  <c r="U53" i="60"/>
  <c r="U53" i="52" s="1"/>
  <c r="AP52" i="60"/>
  <c r="AC52" i="60"/>
  <c r="AC52" i="52" s="1"/>
  <c r="Y52" i="60"/>
  <c r="Y52" i="52" s="1"/>
  <c r="W52" i="60"/>
  <c r="W52" i="52" s="1"/>
  <c r="V52" i="60"/>
  <c r="V52" i="52" s="1"/>
  <c r="U52" i="60"/>
  <c r="U52" i="52" s="1"/>
  <c r="AP51" i="60"/>
  <c r="AC51" i="60"/>
  <c r="AC51" i="52" s="1"/>
  <c r="Y51" i="60"/>
  <c r="Y51" i="52" s="1"/>
  <c r="W51" i="60"/>
  <c r="W51" i="52" s="1"/>
  <c r="V51" i="60"/>
  <c r="V51" i="52" s="1"/>
  <c r="U51" i="60"/>
  <c r="U51" i="52" s="1"/>
  <c r="AP50" i="60"/>
  <c r="AC50" i="60"/>
  <c r="AC50" i="52" s="1"/>
  <c r="Y50" i="60"/>
  <c r="Y50" i="52" s="1"/>
  <c r="W50" i="60"/>
  <c r="W50" i="52" s="1"/>
  <c r="V50" i="60"/>
  <c r="V50" i="52" s="1"/>
  <c r="U50" i="60"/>
  <c r="U50" i="52" s="1"/>
  <c r="AP49" i="60"/>
  <c r="AC49" i="60"/>
  <c r="AC49" i="52" s="1"/>
  <c r="Y49" i="60"/>
  <c r="Y49" i="52" s="1"/>
  <c r="W49" i="60"/>
  <c r="W49" i="52" s="1"/>
  <c r="V49" i="60"/>
  <c r="V49" i="52" s="1"/>
  <c r="U49" i="60"/>
  <c r="U49" i="52" s="1"/>
  <c r="AP48" i="60"/>
  <c r="AC48" i="60"/>
  <c r="AC48" i="52" s="1"/>
  <c r="Y48" i="60"/>
  <c r="Y48" i="52" s="1"/>
  <c r="W48" i="60"/>
  <c r="W48" i="52" s="1"/>
  <c r="V48" i="60"/>
  <c r="V48" i="52" s="1"/>
  <c r="U48" i="60"/>
  <c r="U48" i="52" s="1"/>
  <c r="AP47" i="60"/>
  <c r="AC47" i="60"/>
  <c r="AC47" i="52" s="1"/>
  <c r="Y47" i="60"/>
  <c r="Y47" i="52" s="1"/>
  <c r="W47" i="60"/>
  <c r="W47" i="52" s="1"/>
  <c r="V47" i="60"/>
  <c r="V47" i="52" s="1"/>
  <c r="U47" i="60"/>
  <c r="U47" i="52" s="1"/>
  <c r="AP46" i="60"/>
  <c r="AC46" i="60"/>
  <c r="AC46" i="52" s="1"/>
  <c r="Y46" i="60"/>
  <c r="Y46" i="52" s="1"/>
  <c r="W46" i="60"/>
  <c r="W46" i="52" s="1"/>
  <c r="V46" i="60"/>
  <c r="V46" i="52" s="1"/>
  <c r="U46" i="60"/>
  <c r="U46" i="52" s="1"/>
  <c r="AP45" i="60"/>
  <c r="AC45" i="60"/>
  <c r="AC45" i="52" s="1"/>
  <c r="Y45" i="60"/>
  <c r="Y45" i="52" s="1"/>
  <c r="W45" i="60"/>
  <c r="W45" i="52" s="1"/>
  <c r="V45" i="60"/>
  <c r="V45" i="52" s="1"/>
  <c r="U45" i="60"/>
  <c r="U45" i="52" s="1"/>
  <c r="AP44" i="60"/>
  <c r="AC44" i="60"/>
  <c r="AC44" i="52" s="1"/>
  <c r="Y44" i="60"/>
  <c r="Y44" i="52" s="1"/>
  <c r="W44" i="60"/>
  <c r="W44" i="52" s="1"/>
  <c r="V44" i="60"/>
  <c r="V44" i="52" s="1"/>
  <c r="U44" i="60"/>
  <c r="U44" i="52" s="1"/>
  <c r="AP43" i="60"/>
  <c r="AC43" i="60"/>
  <c r="AC43" i="52" s="1"/>
  <c r="Y43" i="60"/>
  <c r="Y43" i="52" s="1"/>
  <c r="W43" i="60"/>
  <c r="W43" i="52" s="1"/>
  <c r="V43" i="60"/>
  <c r="V43" i="52" s="1"/>
  <c r="U43" i="60"/>
  <c r="U43" i="52" s="1"/>
  <c r="AP42" i="60"/>
  <c r="AC42" i="60"/>
  <c r="AC42" i="52" s="1"/>
  <c r="Y42" i="60"/>
  <c r="Y42" i="52" s="1"/>
  <c r="W42" i="60"/>
  <c r="W42" i="52" s="1"/>
  <c r="V42" i="60"/>
  <c r="V42" i="52" s="1"/>
  <c r="U42" i="60"/>
  <c r="U42" i="52" s="1"/>
  <c r="AP41" i="60"/>
  <c r="AC41" i="60"/>
  <c r="AC41" i="52" s="1"/>
  <c r="Y41" i="60"/>
  <c r="Y41" i="52" s="1"/>
  <c r="W41" i="60"/>
  <c r="W41" i="52" s="1"/>
  <c r="V41" i="60"/>
  <c r="V41" i="52" s="1"/>
  <c r="U41" i="60"/>
  <c r="U41" i="52" s="1"/>
  <c r="AP40" i="60"/>
  <c r="AC40" i="60"/>
  <c r="AC40" i="52" s="1"/>
  <c r="Y40" i="60"/>
  <c r="Y40" i="52" s="1"/>
  <c r="W40" i="60"/>
  <c r="W40" i="52" s="1"/>
  <c r="V40" i="60"/>
  <c r="V40" i="52" s="1"/>
  <c r="U40" i="60"/>
  <c r="U40" i="52" s="1"/>
  <c r="AP39" i="60"/>
  <c r="AC39" i="60"/>
  <c r="AC39" i="52" s="1"/>
  <c r="Y39" i="60"/>
  <c r="Y39" i="52" s="1"/>
  <c r="W39" i="60"/>
  <c r="W39" i="52" s="1"/>
  <c r="V39" i="60"/>
  <c r="V39" i="52" s="1"/>
  <c r="U39" i="60"/>
  <c r="U39" i="52" s="1"/>
  <c r="AP38" i="60"/>
  <c r="AC38" i="60"/>
  <c r="AC38" i="52" s="1"/>
  <c r="Y38" i="60"/>
  <c r="Y38" i="52" s="1"/>
  <c r="W38" i="60"/>
  <c r="W38" i="52" s="1"/>
  <c r="V38" i="60"/>
  <c r="V38" i="52" s="1"/>
  <c r="U38" i="60"/>
  <c r="U38" i="52" s="1"/>
  <c r="AP37" i="60"/>
  <c r="AC37" i="60"/>
  <c r="AC37" i="52" s="1"/>
  <c r="Y37" i="60"/>
  <c r="Y37" i="52" s="1"/>
  <c r="W37" i="60"/>
  <c r="W37" i="52" s="1"/>
  <c r="V37" i="60"/>
  <c r="V37" i="52" s="1"/>
  <c r="U37" i="60"/>
  <c r="U37" i="52" s="1"/>
  <c r="AP36" i="60"/>
  <c r="AC36" i="60"/>
  <c r="AC36" i="52" s="1"/>
  <c r="Y36" i="60"/>
  <c r="Y36" i="52" s="1"/>
  <c r="W36" i="60"/>
  <c r="W36" i="52" s="1"/>
  <c r="V36" i="60"/>
  <c r="V36" i="52" s="1"/>
  <c r="U36" i="60"/>
  <c r="U36" i="52" s="1"/>
  <c r="AP35" i="60"/>
  <c r="AC35" i="60"/>
  <c r="AC35" i="52" s="1"/>
  <c r="Y35" i="60"/>
  <c r="Y35" i="52" s="1"/>
  <c r="W35" i="60"/>
  <c r="W35" i="52" s="1"/>
  <c r="V35" i="60"/>
  <c r="V35" i="52" s="1"/>
  <c r="U35" i="60"/>
  <c r="U35" i="52" s="1"/>
  <c r="AP34" i="60"/>
  <c r="AC34" i="60"/>
  <c r="AC34" i="52" s="1"/>
  <c r="Y34" i="60"/>
  <c r="Y34" i="52" s="1"/>
  <c r="W34" i="60"/>
  <c r="W34" i="52" s="1"/>
  <c r="V34" i="60"/>
  <c r="V34" i="52" s="1"/>
  <c r="U34" i="60"/>
  <c r="U34" i="52" s="1"/>
  <c r="AP33" i="60"/>
  <c r="AC33" i="60"/>
  <c r="AC33" i="52" s="1"/>
  <c r="Y33" i="60"/>
  <c r="Y33" i="52" s="1"/>
  <c r="W33" i="60"/>
  <c r="W33" i="52" s="1"/>
  <c r="V33" i="60"/>
  <c r="V33" i="52" s="1"/>
  <c r="U33" i="60"/>
  <c r="U33" i="52" s="1"/>
  <c r="AP32" i="60"/>
  <c r="AC32" i="60"/>
  <c r="AC32" i="52" s="1"/>
  <c r="Y32" i="60"/>
  <c r="Y32" i="52" s="1"/>
  <c r="W32" i="60"/>
  <c r="W32" i="52" s="1"/>
  <c r="V32" i="60"/>
  <c r="V32" i="52" s="1"/>
  <c r="U32" i="60"/>
  <c r="U32" i="52" s="1"/>
  <c r="AP31" i="60"/>
  <c r="AC31" i="60"/>
  <c r="AC31" i="52" s="1"/>
  <c r="Y31" i="60"/>
  <c r="Y31" i="52" s="1"/>
  <c r="W31" i="60"/>
  <c r="W31" i="52" s="1"/>
  <c r="V31" i="60"/>
  <c r="V31" i="52" s="1"/>
  <c r="U31" i="60"/>
  <c r="U31" i="52" s="1"/>
  <c r="AP30" i="60"/>
  <c r="AC30" i="60"/>
  <c r="AC30" i="52" s="1"/>
  <c r="Y30" i="60"/>
  <c r="Y30" i="52" s="1"/>
  <c r="W30" i="60"/>
  <c r="W30" i="52" s="1"/>
  <c r="V30" i="60"/>
  <c r="V30" i="52" s="1"/>
  <c r="U30" i="60"/>
  <c r="U30" i="52" s="1"/>
  <c r="AP28" i="60"/>
  <c r="AC28" i="60"/>
  <c r="AC28" i="52" s="1"/>
  <c r="Y28" i="60"/>
  <c r="Y28" i="52" s="1"/>
  <c r="W28" i="60"/>
  <c r="W28" i="52" s="1"/>
  <c r="V28" i="60"/>
  <c r="V28" i="52" s="1"/>
  <c r="U28" i="60"/>
  <c r="U28" i="52" s="1"/>
  <c r="AP27" i="60"/>
  <c r="AC27" i="60"/>
  <c r="AC27" i="52" s="1"/>
  <c r="Y27" i="60"/>
  <c r="Y27" i="52" s="1"/>
  <c r="W27" i="60"/>
  <c r="W27" i="52" s="1"/>
  <c r="V27" i="60"/>
  <c r="V27" i="52" s="1"/>
  <c r="U27" i="60"/>
  <c r="U27" i="52" s="1"/>
  <c r="AP26" i="60"/>
  <c r="AC26" i="60"/>
  <c r="AC26" i="52" s="1"/>
  <c r="Y26" i="60"/>
  <c r="Y26" i="52" s="1"/>
  <c r="W26" i="60"/>
  <c r="W26" i="52" s="1"/>
  <c r="V26" i="60"/>
  <c r="V26" i="52" s="1"/>
  <c r="U26" i="60"/>
  <c r="U26" i="52" s="1"/>
  <c r="AP25" i="60"/>
  <c r="AC25" i="60"/>
  <c r="AC25" i="52" s="1"/>
  <c r="Y25" i="60"/>
  <c r="Y25" i="52" s="1"/>
  <c r="W25" i="60"/>
  <c r="W25" i="52" s="1"/>
  <c r="V25" i="60"/>
  <c r="V25" i="52" s="1"/>
  <c r="U25" i="60"/>
  <c r="U25" i="52" s="1"/>
  <c r="X49" i="59"/>
  <c r="V49" i="59"/>
  <c r="T49" i="59"/>
  <c r="P49" i="59"/>
  <c r="O49" i="59"/>
  <c r="N49" i="59"/>
  <c r="M49" i="59"/>
  <c r="V48" i="59"/>
  <c r="U48" i="59"/>
  <c r="T48" i="59"/>
  <c r="P48" i="59"/>
  <c r="O48" i="59"/>
  <c r="N48" i="59"/>
  <c r="M48" i="59"/>
  <c r="X47" i="59"/>
  <c r="V47" i="59"/>
  <c r="U47" i="59"/>
  <c r="T47" i="59"/>
  <c r="P47" i="59"/>
  <c r="O47" i="59"/>
  <c r="N47" i="59"/>
  <c r="M47" i="59"/>
  <c r="X49" i="58"/>
  <c r="V49" i="58"/>
  <c r="T49" i="58"/>
  <c r="P49" i="58"/>
  <c r="O49" i="58"/>
  <c r="N49" i="58"/>
  <c r="M49" i="58"/>
  <c r="V48" i="58"/>
  <c r="U48" i="58"/>
  <c r="T48" i="58"/>
  <c r="P48" i="58"/>
  <c r="O48" i="58"/>
  <c r="N48" i="58"/>
  <c r="M48" i="58"/>
  <c r="X47" i="58"/>
  <c r="V47" i="58"/>
  <c r="V51" i="58" s="1"/>
  <c r="U47" i="58"/>
  <c r="U51" i="58" s="1"/>
  <c r="T47" i="58"/>
  <c r="T51" i="58" s="1"/>
  <c r="P47" i="58"/>
  <c r="O47" i="58"/>
  <c r="O51" i="58" s="1"/>
  <c r="N47" i="58"/>
  <c r="N51" i="58" s="1"/>
  <c r="M47" i="58"/>
  <c r="Y44" i="57"/>
  <c r="Y43" i="57"/>
  <c r="Y42" i="57"/>
  <c r="Y41" i="57"/>
  <c r="Y40" i="57"/>
  <c r="Y39" i="57"/>
  <c r="Y38" i="57"/>
  <c r="Y37" i="57"/>
  <c r="Y36" i="57"/>
  <c r="Y35" i="57"/>
  <c r="Y34" i="57"/>
  <c r="Y33" i="57"/>
  <c r="Y32" i="57"/>
  <c r="Y31" i="57"/>
  <c r="Y30" i="57"/>
  <c r="Y29" i="57"/>
  <c r="Y28" i="57"/>
  <c r="Y27" i="57"/>
  <c r="Y26" i="57"/>
  <c r="Y25" i="57"/>
  <c r="Y24" i="57"/>
  <c r="Y23" i="57"/>
  <c r="Y22" i="57"/>
  <c r="Y21" i="57"/>
  <c r="Y20" i="57"/>
  <c r="Y19" i="57"/>
  <c r="Y18" i="57"/>
  <c r="Y17" i="57"/>
  <c r="Y16" i="57"/>
  <c r="Y15" i="57"/>
  <c r="Y14" i="57"/>
  <c r="Y13" i="57"/>
  <c r="Y12" i="57"/>
  <c r="Y11" i="57"/>
  <c r="Y10" i="57"/>
  <c r="Y9" i="57"/>
  <c r="Y8" i="57"/>
  <c r="Y7" i="57"/>
  <c r="Y6" i="57"/>
  <c r="Y5" i="57"/>
  <c r="X49" i="57"/>
  <c r="V49" i="57"/>
  <c r="T49" i="57"/>
  <c r="P49" i="57"/>
  <c r="O49" i="57"/>
  <c r="N49" i="57"/>
  <c r="M49" i="57"/>
  <c r="V48" i="57"/>
  <c r="U48" i="57"/>
  <c r="T48" i="57"/>
  <c r="P48" i="57"/>
  <c r="O48" i="57"/>
  <c r="N48" i="57"/>
  <c r="M48" i="57"/>
  <c r="X47" i="57"/>
  <c r="V47" i="57"/>
  <c r="V51" i="57" s="1"/>
  <c r="U47" i="57"/>
  <c r="U51" i="57" s="1"/>
  <c r="T47" i="57"/>
  <c r="T51" i="57" s="1"/>
  <c r="P47" i="57"/>
  <c r="P51" i="57" s="1"/>
  <c r="O47" i="57"/>
  <c r="O51" i="57" s="1"/>
  <c r="N47" i="57"/>
  <c r="N51" i="57" s="1"/>
  <c r="M47" i="57"/>
  <c r="M51" i="57" s="1"/>
  <c r="X49" i="56"/>
  <c r="X47" i="56"/>
  <c r="V49" i="56"/>
  <c r="V48" i="56"/>
  <c r="V47" i="56"/>
  <c r="U48" i="56"/>
  <c r="U47" i="56"/>
  <c r="T49" i="56"/>
  <c r="T48" i="56"/>
  <c r="T47" i="56"/>
  <c r="R50" i="56"/>
  <c r="P49" i="56"/>
  <c r="P48" i="56"/>
  <c r="P47" i="56"/>
  <c r="O49" i="56"/>
  <c r="O48" i="56"/>
  <c r="O47" i="56"/>
  <c r="N49" i="56"/>
  <c r="N48" i="56"/>
  <c r="N47" i="56"/>
  <c r="M49" i="56"/>
  <c r="M48" i="56"/>
  <c r="M47" i="56"/>
  <c r="Z44" i="56"/>
  <c r="Z43" i="56"/>
  <c r="Z42" i="56"/>
  <c r="Z41" i="56"/>
  <c r="Z40" i="56"/>
  <c r="Z39" i="56"/>
  <c r="Z38" i="56"/>
  <c r="Z37" i="56"/>
  <c r="Z36" i="56"/>
  <c r="Z35" i="56"/>
  <c r="Z34" i="56"/>
  <c r="Z33" i="56"/>
  <c r="Z32" i="56"/>
  <c r="Z31" i="56"/>
  <c r="Z30" i="56"/>
  <c r="Z29" i="56"/>
  <c r="Z28" i="56"/>
  <c r="Z27" i="56"/>
  <c r="Z26" i="56"/>
  <c r="Z25" i="56"/>
  <c r="Z24" i="56"/>
  <c r="Z23" i="56"/>
  <c r="Z22" i="56"/>
  <c r="Z21" i="56"/>
  <c r="Z20" i="56"/>
  <c r="Z19" i="56"/>
  <c r="Z17" i="56"/>
  <c r="Z16" i="56"/>
  <c r="Z15" i="56"/>
  <c r="Z14" i="56"/>
  <c r="V44" i="56"/>
  <c r="V43" i="56"/>
  <c r="V42" i="56"/>
  <c r="V41" i="56"/>
  <c r="V40" i="56"/>
  <c r="V39" i="56"/>
  <c r="V38" i="56"/>
  <c r="V37" i="56"/>
  <c r="V36" i="56"/>
  <c r="V35" i="56"/>
  <c r="V34" i="56"/>
  <c r="V33" i="56"/>
  <c r="V32" i="56"/>
  <c r="V31" i="56"/>
  <c r="V30" i="56"/>
  <c r="V29" i="56"/>
  <c r="V28" i="56"/>
  <c r="V27" i="56"/>
  <c r="V26" i="56"/>
  <c r="V25" i="56"/>
  <c r="V24" i="56"/>
  <c r="V23" i="56"/>
  <c r="V22" i="56"/>
  <c r="V21" i="56"/>
  <c r="V20" i="56"/>
  <c r="V19" i="56"/>
  <c r="V17" i="56"/>
  <c r="V16" i="56"/>
  <c r="V15" i="56"/>
  <c r="V14" i="56"/>
  <c r="U44" i="56"/>
  <c r="U43" i="56"/>
  <c r="U42" i="56"/>
  <c r="U41" i="56"/>
  <c r="U40" i="56"/>
  <c r="U39" i="56"/>
  <c r="U38" i="56"/>
  <c r="U37" i="56"/>
  <c r="U36" i="56"/>
  <c r="U35" i="56"/>
  <c r="U34" i="56"/>
  <c r="U33" i="56"/>
  <c r="U32" i="56"/>
  <c r="U31" i="56"/>
  <c r="U30" i="56"/>
  <c r="U29" i="56"/>
  <c r="U28" i="56"/>
  <c r="U27" i="56"/>
  <c r="U26" i="56"/>
  <c r="U25" i="56"/>
  <c r="U24" i="56"/>
  <c r="U23" i="56"/>
  <c r="U22" i="56"/>
  <c r="U21" i="56"/>
  <c r="U20" i="56"/>
  <c r="U19" i="56"/>
  <c r="U17" i="56"/>
  <c r="U16" i="56"/>
  <c r="U15" i="56"/>
  <c r="U14" i="56"/>
  <c r="T44" i="56"/>
  <c r="T43" i="56"/>
  <c r="T42" i="56"/>
  <c r="T41" i="56"/>
  <c r="T40" i="56"/>
  <c r="T39" i="56"/>
  <c r="T38" i="56"/>
  <c r="T37" i="56"/>
  <c r="T36" i="56"/>
  <c r="T35" i="56"/>
  <c r="T34" i="56"/>
  <c r="T33" i="56"/>
  <c r="T32" i="56"/>
  <c r="T31" i="56"/>
  <c r="T30" i="56"/>
  <c r="T29" i="56"/>
  <c r="T28" i="56"/>
  <c r="T27" i="56"/>
  <c r="T26" i="56"/>
  <c r="T25" i="56"/>
  <c r="T24" i="56"/>
  <c r="T23" i="56"/>
  <c r="T22" i="56"/>
  <c r="T21" i="56"/>
  <c r="T20" i="56"/>
  <c r="T19" i="56"/>
  <c r="T17" i="56"/>
  <c r="T16" i="56"/>
  <c r="T15" i="56"/>
  <c r="T14" i="56"/>
  <c r="R44" i="56"/>
  <c r="R43" i="56"/>
  <c r="R42" i="56"/>
  <c r="R41" i="56"/>
  <c r="R40" i="56"/>
  <c r="R39" i="56"/>
  <c r="R38" i="56"/>
  <c r="R37" i="56"/>
  <c r="R36" i="56"/>
  <c r="R35" i="56"/>
  <c r="R34" i="56"/>
  <c r="R33" i="56"/>
  <c r="R32" i="56"/>
  <c r="R31" i="56"/>
  <c r="R30" i="56"/>
  <c r="R29" i="56"/>
  <c r="R28" i="56"/>
  <c r="R27" i="56"/>
  <c r="R26" i="56"/>
  <c r="R25" i="56"/>
  <c r="R24" i="56"/>
  <c r="R23" i="56"/>
  <c r="R22" i="56"/>
  <c r="R21" i="56"/>
  <c r="R20" i="56"/>
  <c r="R19" i="56"/>
  <c r="R17" i="56"/>
  <c r="R16" i="56"/>
  <c r="R15" i="56"/>
  <c r="R14" i="56"/>
  <c r="P44" i="56"/>
  <c r="P43" i="56"/>
  <c r="P42" i="56"/>
  <c r="P41" i="56"/>
  <c r="P40" i="56"/>
  <c r="P39" i="56"/>
  <c r="P38" i="56"/>
  <c r="P37" i="56"/>
  <c r="P36" i="56"/>
  <c r="P35" i="56"/>
  <c r="P34" i="56"/>
  <c r="P33" i="56"/>
  <c r="P32" i="56"/>
  <c r="P31" i="56"/>
  <c r="P30" i="56"/>
  <c r="P29" i="56"/>
  <c r="P28" i="56"/>
  <c r="P27" i="56"/>
  <c r="P26" i="56"/>
  <c r="P25" i="56"/>
  <c r="P24" i="56"/>
  <c r="P23" i="56"/>
  <c r="P22" i="56"/>
  <c r="P21" i="56"/>
  <c r="P20" i="56"/>
  <c r="P19" i="56"/>
  <c r="P17" i="56"/>
  <c r="P16" i="56"/>
  <c r="P15" i="56"/>
  <c r="P14" i="56"/>
  <c r="O44" i="56"/>
  <c r="O43" i="56"/>
  <c r="O42" i="56"/>
  <c r="O41" i="56"/>
  <c r="O40" i="56"/>
  <c r="O39" i="56"/>
  <c r="O38" i="56"/>
  <c r="O37" i="56"/>
  <c r="O36" i="56"/>
  <c r="O35" i="56"/>
  <c r="O34" i="56"/>
  <c r="O33" i="56"/>
  <c r="O32" i="56"/>
  <c r="O31" i="56"/>
  <c r="O30" i="56"/>
  <c r="O29" i="56"/>
  <c r="O28" i="56"/>
  <c r="O27" i="56"/>
  <c r="O26" i="56"/>
  <c r="O25" i="56"/>
  <c r="O24" i="56"/>
  <c r="O23" i="56"/>
  <c r="O22" i="56"/>
  <c r="O21" i="56"/>
  <c r="O20" i="56"/>
  <c r="O19" i="56"/>
  <c r="O17" i="56"/>
  <c r="O16" i="56"/>
  <c r="O15" i="56"/>
  <c r="O14" i="56"/>
  <c r="N44" i="56"/>
  <c r="N43" i="56"/>
  <c r="N42" i="56"/>
  <c r="N41" i="56"/>
  <c r="N40" i="56"/>
  <c r="N39" i="56"/>
  <c r="N38" i="56"/>
  <c r="N37" i="56"/>
  <c r="N36" i="56"/>
  <c r="N35" i="56"/>
  <c r="N34" i="56"/>
  <c r="N33" i="56"/>
  <c r="N32" i="56"/>
  <c r="N31" i="56"/>
  <c r="N30" i="56"/>
  <c r="N29" i="56"/>
  <c r="N28" i="56"/>
  <c r="N27" i="56"/>
  <c r="N26" i="56"/>
  <c r="N25" i="56"/>
  <c r="N24" i="56"/>
  <c r="N23" i="56"/>
  <c r="N22" i="56"/>
  <c r="N21" i="56"/>
  <c r="N20" i="56"/>
  <c r="N19" i="56"/>
  <c r="N17" i="56"/>
  <c r="N16" i="56"/>
  <c r="N15" i="56"/>
  <c r="N14" i="56"/>
  <c r="M44" i="56"/>
  <c r="M43" i="56"/>
  <c r="M42" i="56"/>
  <c r="M41" i="56"/>
  <c r="M40" i="56"/>
  <c r="M39" i="56"/>
  <c r="M38" i="56"/>
  <c r="M37" i="56"/>
  <c r="M36" i="56"/>
  <c r="M35" i="56"/>
  <c r="M34" i="56"/>
  <c r="M33" i="56"/>
  <c r="M32" i="56"/>
  <c r="M31" i="56"/>
  <c r="M30" i="56"/>
  <c r="M29" i="56"/>
  <c r="M28" i="56"/>
  <c r="M27" i="56"/>
  <c r="M26" i="56"/>
  <c r="M25" i="56"/>
  <c r="M24" i="56"/>
  <c r="M23" i="56"/>
  <c r="M22" i="56"/>
  <c r="M21" i="56"/>
  <c r="M20" i="56"/>
  <c r="M19" i="56"/>
  <c r="M17" i="56"/>
  <c r="M16" i="56"/>
  <c r="M15" i="56"/>
  <c r="M14" i="56"/>
  <c r="L44" i="56"/>
  <c r="L43" i="56"/>
  <c r="L42" i="56"/>
  <c r="L41" i="56"/>
  <c r="L40" i="56"/>
  <c r="L39" i="56"/>
  <c r="L38" i="56"/>
  <c r="L37" i="56"/>
  <c r="L36" i="56"/>
  <c r="L35" i="56"/>
  <c r="L34" i="56"/>
  <c r="L33" i="56"/>
  <c r="L32" i="56"/>
  <c r="L31" i="56"/>
  <c r="L30" i="56"/>
  <c r="L29" i="56"/>
  <c r="L28" i="56"/>
  <c r="L27" i="56"/>
  <c r="L26" i="56"/>
  <c r="L25" i="56"/>
  <c r="L24" i="56"/>
  <c r="L23" i="56"/>
  <c r="L22" i="56"/>
  <c r="L21" i="56"/>
  <c r="L20" i="56"/>
  <c r="L19" i="56"/>
  <c r="L17" i="56"/>
  <c r="L16" i="56"/>
  <c r="L15" i="56"/>
  <c r="L14" i="56"/>
  <c r="AK60" i="55"/>
  <c r="AF60" i="55"/>
  <c r="AP58" i="55" s="1"/>
  <c r="AE60" i="55"/>
  <c r="AO58" i="55" s="1"/>
  <c r="AC60" i="55"/>
  <c r="Y60" i="55"/>
  <c r="X60" i="55"/>
  <c r="W60" i="55"/>
  <c r="S60" i="55"/>
  <c r="R60" i="55"/>
  <c r="Q60" i="55"/>
  <c r="P60" i="55"/>
  <c r="O60" i="55"/>
  <c r="M60" i="55"/>
  <c r="L60" i="55"/>
  <c r="AK59" i="55"/>
  <c r="AF59" i="55"/>
  <c r="AC59" i="55"/>
  <c r="AA59" i="55"/>
  <c r="Z59" i="55"/>
  <c r="Y59" i="55"/>
  <c r="X59" i="55"/>
  <c r="W59" i="55"/>
  <c r="V59" i="55"/>
  <c r="U59" i="55"/>
  <c r="S59" i="55"/>
  <c r="R59" i="55"/>
  <c r="Q59" i="55"/>
  <c r="P59" i="55"/>
  <c r="O59" i="55"/>
  <c r="M59" i="55"/>
  <c r="L59" i="55"/>
  <c r="AL61" i="54"/>
  <c r="AG61" i="54"/>
  <c r="AD61" i="54"/>
  <c r="AB61" i="54"/>
  <c r="T61" i="54"/>
  <c r="AK60" i="54"/>
  <c r="AF60" i="54"/>
  <c r="AE60" i="54"/>
  <c r="AC60" i="54"/>
  <c r="Y60" i="54"/>
  <c r="X60" i="54"/>
  <c r="W60" i="54"/>
  <c r="S60" i="54"/>
  <c r="R60" i="54"/>
  <c r="Q60" i="54"/>
  <c r="P60" i="54"/>
  <c r="O60" i="54"/>
  <c r="M60" i="54"/>
  <c r="L60" i="54"/>
  <c r="AK59" i="54"/>
  <c r="AF59" i="54"/>
  <c r="AP58" i="54" s="1"/>
  <c r="AC59" i="54"/>
  <c r="AA59" i="54"/>
  <c r="Z59" i="54"/>
  <c r="Y59" i="54"/>
  <c r="X59" i="54"/>
  <c r="W59" i="54"/>
  <c r="V59" i="54"/>
  <c r="U59" i="54"/>
  <c r="S59" i="54"/>
  <c r="R59" i="54"/>
  <c r="Q59" i="54"/>
  <c r="P59" i="54"/>
  <c r="O59" i="54"/>
  <c r="M59" i="54"/>
  <c r="L59" i="54"/>
  <c r="AL61" i="53"/>
  <c r="AG61" i="53"/>
  <c r="AD61" i="53"/>
  <c r="AB61" i="53"/>
  <c r="T61" i="53"/>
  <c r="AG55" i="53"/>
  <c r="AA55" i="53"/>
  <c r="Z55" i="53"/>
  <c r="AG54" i="53"/>
  <c r="AA54" i="53"/>
  <c r="AG53" i="53"/>
  <c r="Z53" i="53"/>
  <c r="AG52" i="53"/>
  <c r="AA52" i="53"/>
  <c r="Z52" i="53"/>
  <c r="AG51" i="53"/>
  <c r="AA51" i="53"/>
  <c r="Z51" i="53"/>
  <c r="AG50" i="53"/>
  <c r="AA50" i="53"/>
  <c r="AG49" i="53"/>
  <c r="Z49" i="53"/>
  <c r="AG48" i="53"/>
  <c r="AA48" i="53"/>
  <c r="Z48" i="53"/>
  <c r="AG47" i="53"/>
  <c r="AA47" i="53"/>
  <c r="Z47" i="53"/>
  <c r="AG46" i="53"/>
  <c r="AA46" i="53"/>
  <c r="AG45" i="53"/>
  <c r="Z45" i="53"/>
  <c r="AG44" i="53"/>
  <c r="AA44" i="53"/>
  <c r="Z44" i="53"/>
  <c r="AG43" i="53"/>
  <c r="AA43" i="53"/>
  <c r="Z43" i="53"/>
  <c r="AG42" i="53"/>
  <c r="AA42" i="53"/>
  <c r="AG41" i="53"/>
  <c r="Z41" i="53"/>
  <c r="AG40" i="53"/>
  <c r="AA40" i="53"/>
  <c r="Z40" i="53"/>
  <c r="AG39" i="53"/>
  <c r="AA39" i="53"/>
  <c r="Z39" i="53"/>
  <c r="AG38" i="53"/>
  <c r="AA38" i="53"/>
  <c r="AG37" i="53"/>
  <c r="Z37" i="53"/>
  <c r="AG36" i="53"/>
  <c r="AA36" i="53"/>
  <c r="Z36" i="53"/>
  <c r="AG35" i="53"/>
  <c r="AA35" i="53"/>
  <c r="Z35" i="53"/>
  <c r="AG34" i="53"/>
  <c r="AA34" i="53"/>
  <c r="AG33" i="53"/>
  <c r="Z33" i="53"/>
  <c r="AG32" i="53"/>
  <c r="AA32" i="53"/>
  <c r="Z32" i="53"/>
  <c r="AG31" i="53"/>
  <c r="AA31" i="53"/>
  <c r="Z31" i="53"/>
  <c r="AG30" i="53"/>
  <c r="AA30" i="53"/>
  <c r="AG29" i="53"/>
  <c r="AA29" i="53"/>
  <c r="Z29" i="53"/>
  <c r="AG28" i="53"/>
  <c r="AA28" i="53"/>
  <c r="Z28" i="53"/>
  <c r="AG27" i="53"/>
  <c r="AA27" i="53"/>
  <c r="Z27" i="53"/>
  <c r="AG26" i="53"/>
  <c r="Z26" i="53"/>
  <c r="AG25" i="53"/>
  <c r="AA25" i="53"/>
  <c r="Z25" i="53"/>
  <c r="AG24" i="53"/>
  <c r="AA24" i="53"/>
  <c r="AG23" i="53"/>
  <c r="AA23" i="53"/>
  <c r="Z23" i="53"/>
  <c r="AG22" i="53"/>
  <c r="AA22" i="53"/>
  <c r="AG21" i="53"/>
  <c r="AA21" i="53"/>
  <c r="Z21" i="53"/>
  <c r="AG20" i="53"/>
  <c r="AA20" i="53"/>
  <c r="AG19" i="53"/>
  <c r="AA19" i="53"/>
  <c r="Z19" i="53"/>
  <c r="AG18" i="53"/>
  <c r="AA18" i="53"/>
  <c r="AG17" i="53"/>
  <c r="AA17" i="53"/>
  <c r="Z17" i="53"/>
  <c r="AG16" i="53"/>
  <c r="Z16" i="53"/>
  <c r="AG15" i="53"/>
  <c r="AA15" i="53"/>
  <c r="AG14" i="53"/>
  <c r="AA14" i="53"/>
  <c r="AG13" i="53"/>
  <c r="Z13" i="53"/>
  <c r="AG12" i="53"/>
  <c r="AG11" i="53"/>
  <c r="AA11" i="53"/>
  <c r="AG10" i="53"/>
  <c r="AA10" i="53"/>
  <c r="AG9" i="53"/>
  <c r="AA9" i="53"/>
  <c r="Z9" i="53"/>
  <c r="AG8" i="53"/>
  <c r="AA8" i="53"/>
  <c r="Z8" i="53"/>
  <c r="AG7" i="53"/>
  <c r="AA7" i="53"/>
  <c r="Z7" i="53"/>
  <c r="AG6" i="53"/>
  <c r="AA6" i="53"/>
  <c r="AG5" i="53"/>
  <c r="AA5" i="53"/>
  <c r="Z5" i="53"/>
  <c r="AK60" i="53"/>
  <c r="AF60" i="53"/>
  <c r="AE60" i="53"/>
  <c r="AC60" i="53"/>
  <c r="Y60" i="53"/>
  <c r="X60" i="53"/>
  <c r="W60" i="53"/>
  <c r="S60" i="53"/>
  <c r="R60" i="53"/>
  <c r="Q60" i="53"/>
  <c r="P60" i="53"/>
  <c r="O60" i="53"/>
  <c r="M60" i="53"/>
  <c r="L60" i="53"/>
  <c r="AK59" i="53"/>
  <c r="AF59" i="53"/>
  <c r="AC59" i="53"/>
  <c r="AA59" i="53"/>
  <c r="Z59" i="53"/>
  <c r="Y59" i="53"/>
  <c r="X59" i="53"/>
  <c r="W59" i="53"/>
  <c r="V59" i="53"/>
  <c r="U59" i="53"/>
  <c r="S59" i="53"/>
  <c r="R59" i="53"/>
  <c r="Q59" i="53"/>
  <c r="P59" i="53"/>
  <c r="O59" i="53"/>
  <c r="M59" i="53"/>
  <c r="L59" i="53"/>
  <c r="AP55" i="53"/>
  <c r="AP54" i="53"/>
  <c r="AP53" i="53"/>
  <c r="AP52" i="53"/>
  <c r="AP51" i="53"/>
  <c r="AP50" i="53"/>
  <c r="AP49" i="53"/>
  <c r="AP48" i="53"/>
  <c r="AP47" i="53"/>
  <c r="AP46" i="53"/>
  <c r="AP45" i="53"/>
  <c r="AP44" i="53"/>
  <c r="AP43" i="53"/>
  <c r="AP42" i="53"/>
  <c r="AP41" i="53"/>
  <c r="AP40" i="53"/>
  <c r="AP39" i="53"/>
  <c r="AP38" i="53"/>
  <c r="AP37" i="53"/>
  <c r="AP36" i="53"/>
  <c r="AP35" i="53"/>
  <c r="AP34" i="53"/>
  <c r="AP33" i="53"/>
  <c r="AP32" i="53"/>
  <c r="AP31" i="53"/>
  <c r="AP30" i="53"/>
  <c r="AP28" i="53"/>
  <c r="AP27" i="53"/>
  <c r="AP26" i="53"/>
  <c r="AP25" i="53"/>
  <c r="AA60" i="52"/>
  <c r="Z60" i="52"/>
  <c r="AK62" i="52"/>
  <c r="AK61" i="52"/>
  <c r="AK60" i="52"/>
  <c r="AF62" i="52"/>
  <c r="AF61" i="52"/>
  <c r="AF60" i="52"/>
  <c r="AE62" i="52"/>
  <c r="AE60" i="52"/>
  <c r="AC62" i="52"/>
  <c r="AC61" i="52"/>
  <c r="AC60" i="52"/>
  <c r="AA61" i="52"/>
  <c r="Z61" i="52"/>
  <c r="Y62" i="52"/>
  <c r="Y61" i="52"/>
  <c r="X62" i="52"/>
  <c r="X61" i="52"/>
  <c r="X60" i="52"/>
  <c r="W62" i="52"/>
  <c r="W61" i="52"/>
  <c r="V61" i="52"/>
  <c r="U61" i="52"/>
  <c r="U60" i="52"/>
  <c r="S62" i="52"/>
  <c r="S61" i="52"/>
  <c r="S60" i="52"/>
  <c r="R62" i="52"/>
  <c r="R61" i="52"/>
  <c r="R60" i="52"/>
  <c r="Q62" i="52"/>
  <c r="Q61" i="52"/>
  <c r="Q60" i="52"/>
  <c r="P62" i="52"/>
  <c r="P61" i="52"/>
  <c r="P60" i="52"/>
  <c r="O62" i="52"/>
  <c r="O61" i="52"/>
  <c r="O60" i="52"/>
  <c r="M62" i="52"/>
  <c r="M61" i="52"/>
  <c r="M60" i="52"/>
  <c r="L62" i="52"/>
  <c r="L61" i="52"/>
  <c r="L60" i="52"/>
  <c r="AK20" i="52"/>
  <c r="AK19" i="52"/>
  <c r="AK14" i="52"/>
  <c r="AK13" i="52"/>
  <c r="AK10" i="52"/>
  <c r="AK9" i="52"/>
  <c r="AK6" i="52"/>
  <c r="AK5" i="52"/>
  <c r="AI55" i="52"/>
  <c r="AI54" i="52"/>
  <c r="AI53" i="52"/>
  <c r="AI52" i="52"/>
  <c r="AI51" i="52"/>
  <c r="AI50" i="52"/>
  <c r="AI49" i="52"/>
  <c r="AI48" i="52"/>
  <c r="AI47" i="52"/>
  <c r="AI46" i="52"/>
  <c r="AI45" i="52"/>
  <c r="AI44" i="52"/>
  <c r="AI43" i="52"/>
  <c r="AI42" i="52"/>
  <c r="AI41" i="52"/>
  <c r="AI40" i="52"/>
  <c r="AI39" i="52"/>
  <c r="AI38" i="52"/>
  <c r="AI37" i="52"/>
  <c r="AI36" i="52"/>
  <c r="AI35" i="52"/>
  <c r="AI34" i="52"/>
  <c r="AI33" i="52"/>
  <c r="AI32" i="52"/>
  <c r="AI31" i="52"/>
  <c r="AI30" i="52"/>
  <c r="AI28" i="52"/>
  <c r="AI27" i="52"/>
  <c r="AI26" i="52"/>
  <c r="AI25" i="52"/>
  <c r="AH55" i="52"/>
  <c r="AH54" i="52"/>
  <c r="AH53" i="52"/>
  <c r="AH52" i="52"/>
  <c r="AH51" i="52"/>
  <c r="AH50" i="52"/>
  <c r="AH49" i="52"/>
  <c r="AH48" i="52"/>
  <c r="AH47" i="52"/>
  <c r="AH46" i="52"/>
  <c r="AH45" i="52"/>
  <c r="AH44" i="52"/>
  <c r="AH43" i="52"/>
  <c r="AH42" i="52"/>
  <c r="AH41" i="52"/>
  <c r="AH40" i="52"/>
  <c r="AH39" i="52"/>
  <c r="AH38" i="52"/>
  <c r="AH37" i="52"/>
  <c r="AH36" i="52"/>
  <c r="AH35" i="52"/>
  <c r="AH34" i="52"/>
  <c r="AH33" i="52"/>
  <c r="AH32" i="52"/>
  <c r="AH31" i="52"/>
  <c r="AH30" i="52"/>
  <c r="AH28" i="52"/>
  <c r="AH27" i="52"/>
  <c r="AH26" i="52"/>
  <c r="AH25" i="52"/>
  <c r="S55" i="52"/>
  <c r="S54" i="52"/>
  <c r="S53" i="52"/>
  <c r="S52" i="52"/>
  <c r="S51" i="52"/>
  <c r="S50" i="52"/>
  <c r="S49" i="52"/>
  <c r="S48" i="52"/>
  <c r="S47" i="52"/>
  <c r="S46" i="52"/>
  <c r="S45" i="52"/>
  <c r="S44" i="52"/>
  <c r="S43" i="52"/>
  <c r="S42" i="52"/>
  <c r="S41" i="52"/>
  <c r="S40" i="52"/>
  <c r="S39" i="52"/>
  <c r="S38" i="52"/>
  <c r="S37" i="52"/>
  <c r="S36" i="52"/>
  <c r="S35" i="52"/>
  <c r="S34" i="52"/>
  <c r="S33" i="52"/>
  <c r="S32" i="52"/>
  <c r="S31" i="52"/>
  <c r="S30" i="52"/>
  <c r="S28" i="52"/>
  <c r="S27" i="52"/>
  <c r="S26" i="52"/>
  <c r="S25" i="52"/>
  <c r="R55" i="52"/>
  <c r="R54" i="52"/>
  <c r="R53" i="52"/>
  <c r="R52" i="52"/>
  <c r="R51" i="52"/>
  <c r="R50" i="52"/>
  <c r="R49" i="52"/>
  <c r="R48" i="52"/>
  <c r="R47" i="52"/>
  <c r="R46" i="52"/>
  <c r="R45" i="52"/>
  <c r="R44" i="52"/>
  <c r="R43" i="52"/>
  <c r="R42" i="52"/>
  <c r="R41" i="52"/>
  <c r="R40" i="52"/>
  <c r="R39" i="52"/>
  <c r="R38" i="52"/>
  <c r="R37" i="52"/>
  <c r="R36" i="52"/>
  <c r="R35" i="52"/>
  <c r="R34" i="52"/>
  <c r="Q55" i="52"/>
  <c r="Q54" i="52"/>
  <c r="Q53" i="52"/>
  <c r="Q52" i="52"/>
  <c r="Q51" i="52"/>
  <c r="Q50" i="52"/>
  <c r="Q49" i="52"/>
  <c r="Q48" i="52"/>
  <c r="Q47" i="52"/>
  <c r="Q46" i="52"/>
  <c r="Q45" i="52"/>
  <c r="Q44" i="52"/>
  <c r="Q43" i="52"/>
  <c r="Q42" i="52"/>
  <c r="Q41" i="52"/>
  <c r="Q40" i="52"/>
  <c r="Q39" i="52"/>
  <c r="Q38" i="52"/>
  <c r="Q37" i="52"/>
  <c r="Q36" i="52"/>
  <c r="Q35" i="52"/>
  <c r="Q34" i="52"/>
  <c r="Q29" i="52"/>
  <c r="Q24" i="52"/>
  <c r="Q23" i="52"/>
  <c r="Q22" i="52"/>
  <c r="Q21" i="52"/>
  <c r="Q16" i="52"/>
  <c r="Q15" i="52"/>
  <c r="Q11" i="52"/>
  <c r="Q7" i="52"/>
  <c r="P55" i="52"/>
  <c r="P54" i="52"/>
  <c r="P53" i="52"/>
  <c r="P52" i="52"/>
  <c r="P51" i="52"/>
  <c r="P50" i="52"/>
  <c r="P49" i="52"/>
  <c r="P48" i="52"/>
  <c r="P47" i="52"/>
  <c r="P46" i="52"/>
  <c r="P45" i="52"/>
  <c r="P44" i="52"/>
  <c r="P43" i="52"/>
  <c r="P42" i="52"/>
  <c r="P41" i="52"/>
  <c r="P40" i="52"/>
  <c r="P39" i="52"/>
  <c r="P38" i="52"/>
  <c r="P37" i="52"/>
  <c r="P36" i="52"/>
  <c r="P35" i="52"/>
  <c r="P34" i="52"/>
  <c r="O55" i="52"/>
  <c r="O54" i="52"/>
  <c r="O53" i="52"/>
  <c r="O52" i="52"/>
  <c r="O51" i="52"/>
  <c r="O50" i="52"/>
  <c r="O49" i="52"/>
  <c r="O48" i="52"/>
  <c r="O47" i="52"/>
  <c r="O46" i="52"/>
  <c r="O45" i="52"/>
  <c r="O44" i="52"/>
  <c r="O43" i="52"/>
  <c r="O42" i="52"/>
  <c r="O41" i="52"/>
  <c r="O40" i="52"/>
  <c r="O39" i="52"/>
  <c r="O38" i="52"/>
  <c r="O37" i="52"/>
  <c r="O36" i="52"/>
  <c r="O35" i="52"/>
  <c r="O34" i="52"/>
  <c r="O33" i="52"/>
  <c r="O32" i="52"/>
  <c r="O31" i="52"/>
  <c r="O30" i="52"/>
  <c r="O28" i="52"/>
  <c r="O27" i="52"/>
  <c r="O26" i="52"/>
  <c r="O25" i="52"/>
  <c r="AP55" i="52"/>
  <c r="AP54" i="52"/>
  <c r="AP53" i="52"/>
  <c r="AP52" i="52"/>
  <c r="AP51" i="52"/>
  <c r="AP50" i="52"/>
  <c r="AP49" i="52"/>
  <c r="AP48" i="52"/>
  <c r="AP47" i="52"/>
  <c r="AP46" i="52"/>
  <c r="AP45" i="52"/>
  <c r="AP44" i="52"/>
  <c r="AP43" i="52"/>
  <c r="AP42" i="52"/>
  <c r="AP41" i="52"/>
  <c r="AP40" i="52"/>
  <c r="AP39" i="52"/>
  <c r="AP38" i="52"/>
  <c r="AP37" i="52"/>
  <c r="AP36" i="52"/>
  <c r="AP35" i="52"/>
  <c r="AP34" i="52"/>
  <c r="AP33" i="52"/>
  <c r="AP32" i="52"/>
  <c r="AP31" i="52"/>
  <c r="AP30" i="52"/>
  <c r="AP28" i="52"/>
  <c r="AP27" i="52"/>
  <c r="AP26" i="52"/>
  <c r="AP25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29" i="52"/>
  <c r="L24" i="52"/>
  <c r="L23" i="52"/>
  <c r="L22" i="52"/>
  <c r="L21" i="52"/>
  <c r="L16" i="52"/>
  <c r="L15" i="52"/>
  <c r="L11" i="52"/>
  <c r="L7" i="52"/>
  <c r="AJ2" i="62" l="1"/>
  <c r="AT2" i="62"/>
  <c r="AO2" i="62"/>
  <c r="AQ2" i="62" s="1"/>
  <c r="AT4" i="62"/>
  <c r="AJ4" i="62"/>
  <c r="AT5" i="62"/>
  <c r="AJ5" i="62"/>
  <c r="AJ9" i="62" s="1"/>
  <c r="AT6" i="62"/>
  <c r="AC5" i="66"/>
  <c r="AP2" i="62"/>
  <c r="AJ7" i="62"/>
  <c r="AT7" i="62"/>
  <c r="AO4" i="62"/>
  <c r="AO5" i="62"/>
  <c r="AJ3" i="62"/>
  <c r="AO3" i="62"/>
  <c r="AI5" i="63"/>
  <c r="AD10" i="66"/>
  <c r="AC574" i="63"/>
  <c r="AC578" i="63"/>
  <c r="AC582" i="63"/>
  <c r="AO6" i="62"/>
  <c r="AC325" i="63"/>
  <c r="AC326" i="63"/>
  <c r="AC327" i="63"/>
  <c r="AC328" i="63"/>
  <c r="AC329" i="63"/>
  <c r="AC330" i="63"/>
  <c r="AC331" i="63"/>
  <c r="AC332" i="63"/>
  <c r="AC333" i="63"/>
  <c r="AC334" i="63"/>
  <c r="AC335" i="63"/>
  <c r="AC336" i="63"/>
  <c r="AC337" i="63"/>
  <c r="AD11" i="66"/>
  <c r="AC573" i="63"/>
  <c r="AC577" i="63"/>
  <c r="AC581" i="63"/>
  <c r="AC4" i="63"/>
  <c r="AC8" i="63"/>
  <c r="AC12" i="63"/>
  <c r="AC16" i="63"/>
  <c r="AC20" i="63"/>
  <c r="AC24" i="63"/>
  <c r="AC40" i="63"/>
  <c r="AC44" i="63"/>
  <c r="AC48" i="63"/>
  <c r="AC52" i="63"/>
  <c r="AC56" i="63"/>
  <c r="AC60" i="63"/>
  <c r="AC64" i="63"/>
  <c r="AC68" i="63"/>
  <c r="AC72" i="63"/>
  <c r="AC76" i="63"/>
  <c r="AC80" i="63"/>
  <c r="AC84" i="63"/>
  <c r="AC88" i="63"/>
  <c r="AC92" i="63"/>
  <c r="AC96" i="63"/>
  <c r="AC100" i="63"/>
  <c r="AC104" i="63"/>
  <c r="AC108" i="63"/>
  <c r="AC112" i="63"/>
  <c r="AC116" i="63"/>
  <c r="AC380" i="63"/>
  <c r="AC381" i="63"/>
  <c r="AC382" i="63"/>
  <c r="AC383" i="63"/>
  <c r="AC384" i="63"/>
  <c r="AC385" i="63"/>
  <c r="AC386" i="63"/>
  <c r="AC387" i="63"/>
  <c r="AC388" i="63"/>
  <c r="AC389" i="63"/>
  <c r="AC390" i="63"/>
  <c r="AC391" i="63"/>
  <c r="AC392" i="63"/>
  <c r="AC569" i="63"/>
  <c r="AC570" i="63"/>
  <c r="AC571" i="63"/>
  <c r="AC572" i="63"/>
  <c r="AC576" i="63"/>
  <c r="AC580" i="63"/>
  <c r="R9" i="66"/>
  <c r="M752" i="66"/>
  <c r="X6" i="66"/>
  <c r="AF6" i="66" s="1"/>
  <c r="X8" i="66"/>
  <c r="AF8" i="66" s="1"/>
  <c r="X13" i="66"/>
  <c r="AF13" i="66" s="1"/>
  <c r="AJ6" i="66"/>
  <c r="Y8" i="66"/>
  <c r="AG8" i="66" s="1"/>
  <c r="Y13" i="66"/>
  <c r="AG13" i="66" s="1"/>
  <c r="X3" i="66"/>
  <c r="AF3" i="66" s="1"/>
  <c r="P51" i="58"/>
  <c r="E30" i="5"/>
  <c r="D4" i="5"/>
  <c r="F30" i="5" s="1"/>
  <c r="AJ4" i="66"/>
  <c r="Z13" i="66"/>
  <c r="Z3" i="66"/>
  <c r="AH3" i="66" s="1"/>
  <c r="AJ8" i="66"/>
  <c r="Z8" i="66"/>
  <c r="AH8" i="66" s="1"/>
  <c r="AH13" i="66"/>
  <c r="Z6" i="66"/>
  <c r="AH6" i="66" s="1"/>
  <c r="AJ13" i="66"/>
  <c r="Z4" i="66"/>
  <c r="AH4" i="66" s="1"/>
  <c r="T5" i="66"/>
  <c r="O2" i="66"/>
  <c r="W5" i="66" s="1"/>
  <c r="R11" i="66"/>
  <c r="U9" i="66"/>
  <c r="AI9" i="66" s="1"/>
  <c r="U10" i="66"/>
  <c r="AI10" i="66" s="1"/>
  <c r="U11" i="66"/>
  <c r="AI11" i="66" s="1"/>
  <c r="R10" i="66"/>
  <c r="U12" i="66"/>
  <c r="AI12" i="66" s="1"/>
  <c r="R12" i="66"/>
  <c r="AJ3" i="66"/>
  <c r="Y4" i="66"/>
  <c r="AG4" i="66" s="1"/>
  <c r="AT9" i="62"/>
  <c r="AJ6" i="62"/>
  <c r="AT3" i="62"/>
  <c r="AT8" i="62" s="1"/>
  <c r="AT10" i="62" s="1"/>
  <c r="AC338" i="63"/>
  <c r="AC340" i="63"/>
  <c r="AC342" i="63"/>
  <c r="AJ8" i="62"/>
  <c r="AO9" i="62"/>
  <c r="AC3" i="63"/>
  <c r="AC7" i="63"/>
  <c r="AC11" i="63"/>
  <c r="AC19" i="63"/>
  <c r="AC23" i="63"/>
  <c r="AC41" i="63"/>
  <c r="AC45" i="63"/>
  <c r="AC49" i="63"/>
  <c r="AC53" i="63"/>
  <c r="AC57" i="63"/>
  <c r="AC61" i="63"/>
  <c r="AC65" i="63"/>
  <c r="AC69" i="63"/>
  <c r="AC73" i="63"/>
  <c r="AC77" i="63"/>
  <c r="AC81" i="63"/>
  <c r="AC85" i="63"/>
  <c r="AC89" i="63"/>
  <c r="AC93" i="63"/>
  <c r="AC97" i="63"/>
  <c r="AC101" i="63"/>
  <c r="AC105" i="63"/>
  <c r="AC109" i="63"/>
  <c r="AC113" i="63"/>
  <c r="AC117" i="63"/>
  <c r="AC37" i="63"/>
  <c r="AC38" i="63"/>
  <c r="AC42" i="63"/>
  <c r="AI3" i="63" s="1"/>
  <c r="AC46" i="63"/>
  <c r="AC50" i="63"/>
  <c r="AC54" i="63"/>
  <c r="AC58" i="63"/>
  <c r="AC62" i="63"/>
  <c r="AC66" i="63"/>
  <c r="AC70" i="63"/>
  <c r="AC74" i="63"/>
  <c r="AC78" i="63"/>
  <c r="AC82" i="63"/>
  <c r="AC86" i="63"/>
  <c r="AC90" i="63"/>
  <c r="AC94" i="63"/>
  <c r="AC98" i="63"/>
  <c r="AC102" i="63"/>
  <c r="AC106" i="63"/>
  <c r="AC110" i="63"/>
  <c r="AC114" i="63"/>
  <c r="AC118" i="63"/>
  <c r="AC119" i="63"/>
  <c r="AC120" i="63"/>
  <c r="AC121" i="63"/>
  <c r="AC122" i="63"/>
  <c r="AC123" i="63"/>
  <c r="AC124" i="63"/>
  <c r="AC125" i="63"/>
  <c r="AC126" i="63"/>
  <c r="AC127" i="63"/>
  <c r="AC128" i="63"/>
  <c r="AC129" i="63"/>
  <c r="AC130" i="63"/>
  <c r="AC131" i="63"/>
  <c r="AC132" i="63"/>
  <c r="AC133" i="63"/>
  <c r="AC134" i="63"/>
  <c r="AC135" i="63"/>
  <c r="AC136" i="63"/>
  <c r="AC137" i="63"/>
  <c r="AC138" i="63"/>
  <c r="AC139" i="63"/>
  <c r="AC140" i="63"/>
  <c r="AC141" i="63"/>
  <c r="AC142" i="63"/>
  <c r="AC143" i="63"/>
  <c r="AC144" i="63"/>
  <c r="AC145" i="63"/>
  <c r="AC146" i="63"/>
  <c r="AC147" i="63"/>
  <c r="AC148" i="63"/>
  <c r="AC149" i="63"/>
  <c r="AC150" i="63"/>
  <c r="AC151" i="63"/>
  <c r="AC152" i="63"/>
  <c r="AC153" i="63"/>
  <c r="AC154" i="63"/>
  <c r="AC155" i="63"/>
  <c r="AC156" i="63"/>
  <c r="AC157" i="63"/>
  <c r="AC210" i="63"/>
  <c r="AC214" i="63"/>
  <c r="AI7" i="63" s="1"/>
  <c r="AC218" i="63"/>
  <c r="AC222" i="63"/>
  <c r="AC226" i="63"/>
  <c r="AC230" i="63"/>
  <c r="AC234" i="63"/>
  <c r="AC28" i="63"/>
  <c r="AC32" i="63"/>
  <c r="AC36" i="63"/>
  <c r="AC212" i="63"/>
  <c r="AC216" i="63"/>
  <c r="AC220" i="63"/>
  <c r="AC224" i="63"/>
  <c r="AC228" i="63"/>
  <c r="AC232" i="63"/>
  <c r="AC395" i="63"/>
  <c r="AC399" i="63"/>
  <c r="AC403" i="63"/>
  <c r="AC407" i="63"/>
  <c r="AC411" i="63"/>
  <c r="AC415" i="63"/>
  <c r="AC419" i="63"/>
  <c r="AC423" i="63"/>
  <c r="AC427" i="63"/>
  <c r="AC431" i="63"/>
  <c r="AC435" i="63"/>
  <c r="AC439" i="63"/>
  <c r="AC443" i="63"/>
  <c r="AC447" i="63"/>
  <c r="AC451" i="63"/>
  <c r="AC455" i="63"/>
  <c r="AC459" i="63"/>
  <c r="AC463" i="63"/>
  <c r="AC467" i="63"/>
  <c r="AC471" i="63"/>
  <c r="AC475" i="63"/>
  <c r="AC479" i="63"/>
  <c r="AC483" i="63"/>
  <c r="AC487" i="63"/>
  <c r="AC491" i="63"/>
  <c r="AC495" i="63"/>
  <c r="AC499" i="63"/>
  <c r="AC503" i="63"/>
  <c r="AC507" i="63"/>
  <c r="AC511" i="63"/>
  <c r="AC515" i="63"/>
  <c r="AC519" i="63"/>
  <c r="AC523" i="63"/>
  <c r="AC527" i="63"/>
  <c r="AC540" i="63"/>
  <c r="AC444" i="63"/>
  <c r="AC448" i="63"/>
  <c r="AC452" i="63"/>
  <c r="AC456" i="63"/>
  <c r="AC460" i="63"/>
  <c r="AC464" i="63"/>
  <c r="AC468" i="63"/>
  <c r="AC472" i="63"/>
  <c r="AC476" i="63"/>
  <c r="AC480" i="63"/>
  <c r="AC484" i="63"/>
  <c r="AC488" i="63"/>
  <c r="AC492" i="63"/>
  <c r="AC496" i="63"/>
  <c r="AC500" i="63"/>
  <c r="AC504" i="63"/>
  <c r="AC508" i="63"/>
  <c r="AC512" i="63"/>
  <c r="AC516" i="63"/>
  <c r="AC520" i="63"/>
  <c r="AC524" i="63"/>
  <c r="AC528" i="63"/>
  <c r="AC544" i="63"/>
  <c r="AC441" i="63"/>
  <c r="AC445" i="63"/>
  <c r="AC449" i="63"/>
  <c r="AC453" i="63"/>
  <c r="AC457" i="63"/>
  <c r="AC461" i="63"/>
  <c r="AC465" i="63"/>
  <c r="AC469" i="63"/>
  <c r="AC473" i="63"/>
  <c r="AC477" i="63"/>
  <c r="AC481" i="63"/>
  <c r="AC485" i="63"/>
  <c r="AC489" i="63"/>
  <c r="AC493" i="63"/>
  <c r="AC497" i="63"/>
  <c r="AC501" i="63"/>
  <c r="AC505" i="63"/>
  <c r="AC509" i="63"/>
  <c r="AC513" i="63"/>
  <c r="AC517" i="63"/>
  <c r="AC521" i="63"/>
  <c r="AC525" i="63"/>
  <c r="AC532" i="63"/>
  <c r="AC548" i="63"/>
  <c r="AC394" i="63"/>
  <c r="AC398" i="63"/>
  <c r="AC402" i="63"/>
  <c r="AC406" i="63"/>
  <c r="AC410" i="63"/>
  <c r="AC414" i="63"/>
  <c r="AC418" i="63"/>
  <c r="AC422" i="63"/>
  <c r="AC426" i="63"/>
  <c r="AC430" i="63"/>
  <c r="AC434" i="63"/>
  <c r="AC438" i="63"/>
  <c r="AC442" i="63"/>
  <c r="AC446" i="63"/>
  <c r="AC450" i="63"/>
  <c r="AC454" i="63"/>
  <c r="AC458" i="63"/>
  <c r="AC462" i="63"/>
  <c r="AC466" i="63"/>
  <c r="AC470" i="63"/>
  <c r="AC474" i="63"/>
  <c r="AC478" i="63"/>
  <c r="AC482" i="63"/>
  <c r="AC486" i="63"/>
  <c r="AC490" i="63"/>
  <c r="AC494" i="63"/>
  <c r="AC498" i="63"/>
  <c r="AC502" i="63"/>
  <c r="AC506" i="63"/>
  <c r="AC510" i="63"/>
  <c r="AC514" i="63"/>
  <c r="AC518" i="63"/>
  <c r="AC522" i="63"/>
  <c r="AC526" i="63"/>
  <c r="AC536" i="63"/>
  <c r="AC552" i="63"/>
  <c r="AC556" i="63"/>
  <c r="AC560" i="63"/>
  <c r="AC564" i="63"/>
  <c r="AC568" i="63"/>
  <c r="AC529" i="63"/>
  <c r="AC533" i="63"/>
  <c r="AC537" i="63"/>
  <c r="AC541" i="63"/>
  <c r="AC545" i="63"/>
  <c r="AC549" i="63"/>
  <c r="AC553" i="63"/>
  <c r="AC557" i="63"/>
  <c r="AC561" i="63"/>
  <c r="AC565" i="63"/>
  <c r="AC530" i="63"/>
  <c r="AC534" i="63"/>
  <c r="AC538" i="63"/>
  <c r="AC542" i="63"/>
  <c r="AC546" i="63"/>
  <c r="AC550" i="63"/>
  <c r="AC554" i="63"/>
  <c r="AC558" i="63"/>
  <c r="AC562" i="63"/>
  <c r="AC566" i="63"/>
  <c r="AO8" i="62"/>
  <c r="AC531" i="63"/>
  <c r="AC535" i="63"/>
  <c r="AC539" i="63"/>
  <c r="AC543" i="63"/>
  <c r="AC547" i="63"/>
  <c r="AC551" i="63"/>
  <c r="AC555" i="63"/>
  <c r="AC559" i="63"/>
  <c r="AC563" i="63"/>
  <c r="AC567" i="63"/>
  <c r="P58" i="54"/>
  <c r="P62" i="54" s="1"/>
  <c r="P58" i="55"/>
  <c r="P58" i="53"/>
  <c r="U58" i="54"/>
  <c r="U58" i="55"/>
  <c r="U58" i="53"/>
  <c r="X58" i="54"/>
  <c r="X62" i="54" s="1"/>
  <c r="X58" i="55"/>
  <c r="X58" i="53"/>
  <c r="AC58" i="54"/>
  <c r="AC62" i="54" s="1"/>
  <c r="AC58" i="55"/>
  <c r="AC58" i="53"/>
  <c r="AF58" i="54"/>
  <c r="AF58" i="55"/>
  <c r="AF58" i="53"/>
  <c r="Z58" i="54"/>
  <c r="Z62" i="54" s="1"/>
  <c r="Z52" i="55" s="1"/>
  <c r="Z58" i="55"/>
  <c r="Z58" i="53"/>
  <c r="O58" i="54"/>
  <c r="O62" i="54" s="1"/>
  <c r="O58" i="55"/>
  <c r="O58" i="53"/>
  <c r="S58" i="54"/>
  <c r="S58" i="55"/>
  <c r="S58" i="53"/>
  <c r="AA58" i="54"/>
  <c r="AA62" i="54" s="1"/>
  <c r="AA53" i="55" s="1"/>
  <c r="AA58" i="55"/>
  <c r="AA58" i="53"/>
  <c r="M58" i="54"/>
  <c r="M62" i="54" s="1"/>
  <c r="M58" i="55"/>
  <c r="M58" i="53"/>
  <c r="R58" i="54"/>
  <c r="R62" i="54" s="1"/>
  <c r="R58" i="55"/>
  <c r="R58" i="53"/>
  <c r="AE58" i="54"/>
  <c r="AE58" i="55"/>
  <c r="AE58" i="53"/>
  <c r="AK58" i="54"/>
  <c r="AK62" i="54" s="1"/>
  <c r="AK58" i="55"/>
  <c r="AK58" i="53"/>
  <c r="L58" i="54"/>
  <c r="L62" i="54" s="1"/>
  <c r="L58" i="55"/>
  <c r="L58" i="53"/>
  <c r="Q58" i="54"/>
  <c r="Q62" i="54" s="1"/>
  <c r="Q58" i="55"/>
  <c r="Q58" i="53"/>
  <c r="M51" i="58"/>
  <c r="Z54" i="55"/>
  <c r="Z50" i="55"/>
  <c r="Z53" i="55"/>
  <c r="Z51" i="55"/>
  <c r="Z41" i="55"/>
  <c r="Z39" i="55"/>
  <c r="Z31" i="55"/>
  <c r="Z40" i="55"/>
  <c r="Z42" i="55"/>
  <c r="Z34" i="55"/>
  <c r="Z23" i="55"/>
  <c r="Z21" i="55"/>
  <c r="Z30" i="55"/>
  <c r="Z26" i="55"/>
  <c r="Z13" i="55"/>
  <c r="Z11" i="55"/>
  <c r="Z16" i="55"/>
  <c r="Z14" i="55"/>
  <c r="Z10" i="55"/>
  <c r="Z9" i="55"/>
  <c r="Z7" i="55"/>
  <c r="Z8" i="55"/>
  <c r="AA54" i="55"/>
  <c r="AA49" i="55"/>
  <c r="AA50" i="55"/>
  <c r="AA36" i="55"/>
  <c r="AA40" i="55"/>
  <c r="AA28" i="55"/>
  <c r="AA33" i="55"/>
  <c r="AA16" i="55"/>
  <c r="AA23" i="55"/>
  <c r="AA12" i="55"/>
  <c r="AA30" i="55"/>
  <c r="AA11" i="55"/>
  <c r="AM61" i="53"/>
  <c r="AJ60" i="52"/>
  <c r="AI60" i="52"/>
  <c r="AH60" i="52"/>
  <c r="W60" i="52"/>
  <c r="F45" i="5"/>
  <c r="E45" i="5"/>
  <c r="F43" i="5"/>
  <c r="D43" i="5"/>
  <c r="E41" i="5"/>
  <c r="D41" i="5"/>
  <c r="F23" i="5"/>
  <c r="D23" i="5"/>
  <c r="AG60" i="52" s="1"/>
  <c r="F20" i="5"/>
  <c r="E20" i="5"/>
  <c r="D20" i="5"/>
  <c r="AD60" i="52" s="1"/>
  <c r="E18" i="5"/>
  <c r="D18" i="5"/>
  <c r="AB60" i="52" s="1"/>
  <c r="T41" i="4"/>
  <c r="S41" i="4"/>
  <c r="R41" i="4"/>
  <c r="Q41" i="4"/>
  <c r="P41" i="4"/>
  <c r="O41" i="4"/>
  <c r="N41" i="4"/>
  <c r="M41" i="4"/>
  <c r="L41" i="4"/>
  <c r="K41" i="4"/>
  <c r="J41" i="4"/>
  <c r="I41" i="4"/>
  <c r="T40" i="4"/>
  <c r="S40" i="4"/>
  <c r="R40" i="4"/>
  <c r="Q40" i="4"/>
  <c r="P40" i="4"/>
  <c r="O40" i="4"/>
  <c r="N40" i="4"/>
  <c r="M40" i="4"/>
  <c r="L40" i="4"/>
  <c r="K40" i="4"/>
  <c r="J40" i="4"/>
  <c r="I40" i="4"/>
  <c r="T39" i="4"/>
  <c r="S39" i="4"/>
  <c r="R39" i="4"/>
  <c r="Q39" i="4"/>
  <c r="P39" i="4"/>
  <c r="O39" i="4"/>
  <c r="N39" i="4"/>
  <c r="M39" i="4"/>
  <c r="L39" i="4"/>
  <c r="K39" i="4"/>
  <c r="J39" i="4"/>
  <c r="I39" i="4"/>
  <c r="T38" i="4"/>
  <c r="S38" i="4"/>
  <c r="R38" i="4"/>
  <c r="Q38" i="4"/>
  <c r="P38" i="4"/>
  <c r="O38" i="4"/>
  <c r="N38" i="4"/>
  <c r="M38" i="4"/>
  <c r="L38" i="4"/>
  <c r="K38" i="4"/>
  <c r="J38" i="4"/>
  <c r="I38" i="4"/>
  <c r="T37" i="4"/>
  <c r="S37" i="4"/>
  <c r="R37" i="4"/>
  <c r="Q37" i="4"/>
  <c r="P37" i="4"/>
  <c r="O37" i="4"/>
  <c r="N37" i="4"/>
  <c r="M37" i="4"/>
  <c r="L37" i="4"/>
  <c r="K37" i="4"/>
  <c r="J37" i="4"/>
  <c r="I37" i="4"/>
  <c r="T36" i="4"/>
  <c r="S36" i="4"/>
  <c r="R36" i="4"/>
  <c r="Q36" i="4"/>
  <c r="P36" i="4"/>
  <c r="O36" i="4"/>
  <c r="N36" i="4"/>
  <c r="M36" i="4"/>
  <c r="L36" i="4"/>
  <c r="K36" i="4"/>
  <c r="J36" i="4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T34" i="4"/>
  <c r="S34" i="4"/>
  <c r="R34" i="4"/>
  <c r="Q34" i="4"/>
  <c r="P34" i="4"/>
  <c r="O34" i="4"/>
  <c r="N34" i="4"/>
  <c r="M34" i="4"/>
  <c r="L34" i="4"/>
  <c r="K34" i="4"/>
  <c r="J34" i="4"/>
  <c r="I34" i="4"/>
  <c r="T33" i="4"/>
  <c r="S33" i="4"/>
  <c r="R33" i="4"/>
  <c r="Q33" i="4"/>
  <c r="P33" i="4"/>
  <c r="O33" i="4"/>
  <c r="N33" i="4"/>
  <c r="M33" i="4"/>
  <c r="L33" i="4"/>
  <c r="K33" i="4"/>
  <c r="J33" i="4"/>
  <c r="I33" i="4"/>
  <c r="T32" i="4"/>
  <c r="S32" i="4"/>
  <c r="R32" i="4"/>
  <c r="Q32" i="4"/>
  <c r="P32" i="4"/>
  <c r="O32" i="4"/>
  <c r="N32" i="4"/>
  <c r="M32" i="4"/>
  <c r="L32" i="4"/>
  <c r="K32" i="4"/>
  <c r="J32" i="4"/>
  <c r="I32" i="4"/>
  <c r="T31" i="4"/>
  <c r="S31" i="4"/>
  <c r="R31" i="4"/>
  <c r="Q31" i="4"/>
  <c r="P31" i="4"/>
  <c r="O31" i="4"/>
  <c r="N31" i="4"/>
  <c r="M31" i="4"/>
  <c r="L31" i="4"/>
  <c r="K31" i="4"/>
  <c r="J31" i="4"/>
  <c r="I31" i="4"/>
  <c r="T30" i="4"/>
  <c r="S30" i="4"/>
  <c r="R30" i="4"/>
  <c r="Q30" i="4"/>
  <c r="P30" i="4"/>
  <c r="O30" i="4"/>
  <c r="N30" i="4"/>
  <c r="M30" i="4"/>
  <c r="L30" i="4"/>
  <c r="K30" i="4"/>
  <c r="J30" i="4"/>
  <c r="I30" i="4"/>
  <c r="T29" i="4"/>
  <c r="S29" i="4"/>
  <c r="R29" i="4"/>
  <c r="Q29" i="4"/>
  <c r="P29" i="4"/>
  <c r="O29" i="4"/>
  <c r="N29" i="4"/>
  <c r="M29" i="4"/>
  <c r="L29" i="4"/>
  <c r="K29" i="4"/>
  <c r="J29" i="4"/>
  <c r="I29" i="4"/>
  <c r="T28" i="4"/>
  <c r="S28" i="4"/>
  <c r="R28" i="4"/>
  <c r="Q28" i="4"/>
  <c r="P28" i="4"/>
  <c r="O28" i="4"/>
  <c r="N28" i="4"/>
  <c r="M28" i="4"/>
  <c r="L28" i="4"/>
  <c r="K28" i="4"/>
  <c r="J28" i="4"/>
  <c r="I28" i="4"/>
  <c r="T27" i="4"/>
  <c r="S27" i="4"/>
  <c r="R27" i="4"/>
  <c r="Q27" i="4"/>
  <c r="P27" i="4"/>
  <c r="O27" i="4"/>
  <c r="N27" i="4"/>
  <c r="M27" i="4"/>
  <c r="L27" i="4"/>
  <c r="K27" i="4"/>
  <c r="J27" i="4"/>
  <c r="I27" i="4"/>
  <c r="T26" i="4"/>
  <c r="S26" i="4"/>
  <c r="R26" i="4"/>
  <c r="Q26" i="4"/>
  <c r="P26" i="4"/>
  <c r="O26" i="4"/>
  <c r="N26" i="4"/>
  <c r="M26" i="4"/>
  <c r="L26" i="4"/>
  <c r="K26" i="4"/>
  <c r="J26" i="4"/>
  <c r="I26" i="4"/>
  <c r="T25" i="4"/>
  <c r="S25" i="4"/>
  <c r="R25" i="4"/>
  <c r="Q25" i="4"/>
  <c r="P25" i="4"/>
  <c r="O25" i="4"/>
  <c r="N25" i="4"/>
  <c r="M25" i="4"/>
  <c r="L25" i="4"/>
  <c r="K25" i="4"/>
  <c r="J25" i="4"/>
  <c r="I25" i="4"/>
  <c r="T24" i="4"/>
  <c r="S24" i="4"/>
  <c r="R24" i="4"/>
  <c r="Q24" i="4"/>
  <c r="P24" i="4"/>
  <c r="O24" i="4"/>
  <c r="N24" i="4"/>
  <c r="M24" i="4"/>
  <c r="L24" i="4"/>
  <c r="K24" i="4"/>
  <c r="J24" i="4"/>
  <c r="I24" i="4"/>
  <c r="T23" i="4"/>
  <c r="S23" i="4"/>
  <c r="R23" i="4"/>
  <c r="Q23" i="4"/>
  <c r="P23" i="4"/>
  <c r="O23" i="4"/>
  <c r="N23" i="4"/>
  <c r="M23" i="4"/>
  <c r="L23" i="4"/>
  <c r="K23" i="4"/>
  <c r="J23" i="4"/>
  <c r="I23" i="4"/>
  <c r="T22" i="4"/>
  <c r="S22" i="4"/>
  <c r="R22" i="4"/>
  <c r="Q22" i="4"/>
  <c r="P22" i="4"/>
  <c r="O22" i="4"/>
  <c r="N22" i="4"/>
  <c r="M22" i="4"/>
  <c r="L22" i="4"/>
  <c r="K22" i="4"/>
  <c r="J22" i="4"/>
  <c r="I22" i="4"/>
  <c r="T21" i="4"/>
  <c r="S21" i="4"/>
  <c r="R21" i="4"/>
  <c r="Q21" i="4"/>
  <c r="P21" i="4"/>
  <c r="O21" i="4"/>
  <c r="N21" i="4"/>
  <c r="M21" i="4"/>
  <c r="L21" i="4"/>
  <c r="K21" i="4"/>
  <c r="J21" i="4"/>
  <c r="I21" i="4"/>
  <c r="T20" i="4"/>
  <c r="S20" i="4"/>
  <c r="R20" i="4"/>
  <c r="Q20" i="4"/>
  <c r="P20" i="4"/>
  <c r="O20" i="4"/>
  <c r="N20" i="4"/>
  <c r="M20" i="4"/>
  <c r="L20" i="4"/>
  <c r="K20" i="4"/>
  <c r="J20" i="4"/>
  <c r="I20" i="4"/>
  <c r="T19" i="4"/>
  <c r="S19" i="4"/>
  <c r="R19" i="4"/>
  <c r="Q19" i="4"/>
  <c r="P19" i="4"/>
  <c r="O19" i="4"/>
  <c r="N19" i="4"/>
  <c r="M19" i="4"/>
  <c r="L19" i="4"/>
  <c r="K19" i="4"/>
  <c r="J19" i="4"/>
  <c r="I19" i="4"/>
  <c r="T18" i="4"/>
  <c r="S18" i="4"/>
  <c r="R18" i="4"/>
  <c r="Q18" i="4"/>
  <c r="P18" i="4"/>
  <c r="O18" i="4"/>
  <c r="N18" i="4"/>
  <c r="M18" i="4"/>
  <c r="L18" i="4"/>
  <c r="K18" i="4"/>
  <c r="J18" i="4"/>
  <c r="I18" i="4"/>
  <c r="T17" i="4"/>
  <c r="S17" i="4"/>
  <c r="R17" i="4"/>
  <c r="Q17" i="4"/>
  <c r="P17" i="4"/>
  <c r="O17" i="4"/>
  <c r="N17" i="4"/>
  <c r="M17" i="4"/>
  <c r="L17" i="4"/>
  <c r="K17" i="4"/>
  <c r="J17" i="4"/>
  <c r="I17" i="4"/>
  <c r="T16" i="4"/>
  <c r="S16" i="4"/>
  <c r="R16" i="4"/>
  <c r="Q16" i="4"/>
  <c r="P16" i="4"/>
  <c r="O16" i="4"/>
  <c r="N16" i="4"/>
  <c r="M16" i="4"/>
  <c r="L16" i="4"/>
  <c r="K16" i="4"/>
  <c r="J16" i="4"/>
  <c r="I16" i="4"/>
  <c r="T15" i="4"/>
  <c r="S15" i="4"/>
  <c r="R15" i="4"/>
  <c r="Q15" i="4"/>
  <c r="P15" i="4"/>
  <c r="O15" i="4"/>
  <c r="N15" i="4"/>
  <c r="M15" i="4"/>
  <c r="L15" i="4"/>
  <c r="K15" i="4"/>
  <c r="J15" i="4"/>
  <c r="I15" i="4"/>
  <c r="T14" i="4"/>
  <c r="S14" i="4"/>
  <c r="R14" i="4"/>
  <c r="Q14" i="4"/>
  <c r="P14" i="4"/>
  <c r="O14" i="4"/>
  <c r="N14" i="4"/>
  <c r="M14" i="4"/>
  <c r="L14" i="4"/>
  <c r="K14" i="4"/>
  <c r="J14" i="4"/>
  <c r="I14" i="4"/>
  <c r="T13" i="4"/>
  <c r="S13" i="4"/>
  <c r="R13" i="4"/>
  <c r="Q13" i="4"/>
  <c r="P13" i="4"/>
  <c r="O13" i="4"/>
  <c r="N13" i="4"/>
  <c r="M13" i="4"/>
  <c r="L13" i="4"/>
  <c r="K13" i="4"/>
  <c r="J13" i="4"/>
  <c r="I13" i="4"/>
  <c r="T12" i="4"/>
  <c r="S12" i="4"/>
  <c r="R12" i="4"/>
  <c r="Q12" i="4"/>
  <c r="P12" i="4"/>
  <c r="O12" i="4"/>
  <c r="N12" i="4"/>
  <c r="M12" i="4"/>
  <c r="L12" i="4"/>
  <c r="K12" i="4"/>
  <c r="J12" i="4"/>
  <c r="I12" i="4"/>
  <c r="T11" i="4"/>
  <c r="S11" i="4"/>
  <c r="R11" i="4"/>
  <c r="Q11" i="4"/>
  <c r="P11" i="4"/>
  <c r="O11" i="4"/>
  <c r="N11" i="4"/>
  <c r="M11" i="4"/>
  <c r="L11" i="4"/>
  <c r="K11" i="4"/>
  <c r="J11" i="4"/>
  <c r="I11" i="4"/>
  <c r="T10" i="4"/>
  <c r="S10" i="4"/>
  <c r="R10" i="4"/>
  <c r="Q10" i="4"/>
  <c r="P10" i="4"/>
  <c r="O10" i="4"/>
  <c r="N10" i="4"/>
  <c r="M10" i="4"/>
  <c r="L10" i="4"/>
  <c r="K10" i="4"/>
  <c r="J10" i="4"/>
  <c r="I10" i="4"/>
  <c r="T9" i="4"/>
  <c r="S9" i="4"/>
  <c r="R9" i="4"/>
  <c r="Q9" i="4"/>
  <c r="P9" i="4"/>
  <c r="O9" i="4"/>
  <c r="N9" i="4"/>
  <c r="M9" i="4"/>
  <c r="L9" i="4"/>
  <c r="K9" i="4"/>
  <c r="J9" i="4"/>
  <c r="I9" i="4"/>
  <c r="T8" i="4"/>
  <c r="S8" i="4"/>
  <c r="R8" i="4"/>
  <c r="Q8" i="4"/>
  <c r="P8" i="4"/>
  <c r="O8" i="4"/>
  <c r="N8" i="4"/>
  <c r="M8" i="4"/>
  <c r="L8" i="4"/>
  <c r="K8" i="4"/>
  <c r="J8" i="4"/>
  <c r="I8" i="4"/>
  <c r="T7" i="4"/>
  <c r="S7" i="4"/>
  <c r="R7" i="4"/>
  <c r="Q7" i="4"/>
  <c r="P7" i="4"/>
  <c r="O7" i="4"/>
  <c r="N7" i="4"/>
  <c r="M7" i="4"/>
  <c r="L7" i="4"/>
  <c r="K7" i="4"/>
  <c r="J7" i="4"/>
  <c r="I7" i="4"/>
  <c r="T6" i="4"/>
  <c r="S6" i="4"/>
  <c r="R6" i="4"/>
  <c r="Q6" i="4"/>
  <c r="P6" i="4"/>
  <c r="O6" i="4"/>
  <c r="N6" i="4"/>
  <c r="M6" i="4"/>
  <c r="L6" i="4"/>
  <c r="K6" i="4"/>
  <c r="J6" i="4"/>
  <c r="I6" i="4"/>
  <c r="T5" i="4"/>
  <c r="S5" i="4"/>
  <c r="R5" i="4"/>
  <c r="Q5" i="4"/>
  <c r="P5" i="4"/>
  <c r="O5" i="4"/>
  <c r="N5" i="4"/>
  <c r="M5" i="4"/>
  <c r="L5" i="4"/>
  <c r="K5" i="4"/>
  <c r="J5" i="4"/>
  <c r="I5" i="4"/>
  <c r="T4" i="4"/>
  <c r="S4" i="4"/>
  <c r="R4" i="4"/>
  <c r="Q4" i="4"/>
  <c r="P4" i="4"/>
  <c r="O4" i="4"/>
  <c r="N4" i="4"/>
  <c r="M4" i="4"/>
  <c r="L4" i="4"/>
  <c r="K4" i="4"/>
  <c r="J4" i="4"/>
  <c r="I4" i="4"/>
  <c r="T3" i="4"/>
  <c r="S3" i="4"/>
  <c r="R3" i="4"/>
  <c r="Q3" i="4"/>
  <c r="P3" i="4"/>
  <c r="O3" i="4"/>
  <c r="N3" i="4"/>
  <c r="M3" i="4"/>
  <c r="L3" i="4"/>
  <c r="K3" i="4"/>
  <c r="J3" i="4"/>
  <c r="I3" i="4"/>
  <c r="T2" i="4"/>
  <c r="S2" i="4"/>
  <c r="R2" i="4"/>
  <c r="Q2" i="4"/>
  <c r="P2" i="4"/>
  <c r="O2" i="4"/>
  <c r="N2" i="4"/>
  <c r="M2" i="4"/>
  <c r="L2" i="4"/>
  <c r="K2" i="4"/>
  <c r="J2" i="4"/>
  <c r="I2" i="4"/>
  <c r="T52" i="3"/>
  <c r="S52" i="3"/>
  <c r="R52" i="3"/>
  <c r="Q52" i="3"/>
  <c r="P52" i="3"/>
  <c r="O52" i="3"/>
  <c r="N52" i="3"/>
  <c r="M52" i="3"/>
  <c r="L52" i="3"/>
  <c r="K52" i="3"/>
  <c r="J52" i="3"/>
  <c r="I52" i="3"/>
  <c r="T51" i="3"/>
  <c r="S51" i="3"/>
  <c r="R51" i="3"/>
  <c r="Q51" i="3"/>
  <c r="P51" i="3"/>
  <c r="O51" i="3"/>
  <c r="N51" i="3"/>
  <c r="M51" i="3"/>
  <c r="L51" i="3"/>
  <c r="K51" i="3"/>
  <c r="J51" i="3"/>
  <c r="I51" i="3"/>
  <c r="T50" i="3"/>
  <c r="S50" i="3"/>
  <c r="R50" i="3"/>
  <c r="Q50" i="3"/>
  <c r="P50" i="3"/>
  <c r="O50" i="3"/>
  <c r="N50" i="3"/>
  <c r="M50" i="3"/>
  <c r="L50" i="3"/>
  <c r="K50" i="3"/>
  <c r="J50" i="3"/>
  <c r="I50" i="3"/>
  <c r="T49" i="3"/>
  <c r="S49" i="3"/>
  <c r="R49" i="3"/>
  <c r="Q49" i="3"/>
  <c r="P49" i="3"/>
  <c r="O49" i="3"/>
  <c r="N49" i="3"/>
  <c r="M49" i="3"/>
  <c r="L49" i="3"/>
  <c r="K49" i="3"/>
  <c r="J49" i="3"/>
  <c r="I49" i="3"/>
  <c r="T48" i="3"/>
  <c r="S48" i="3"/>
  <c r="R48" i="3"/>
  <c r="Q48" i="3"/>
  <c r="P48" i="3"/>
  <c r="O48" i="3"/>
  <c r="N48" i="3"/>
  <c r="M48" i="3"/>
  <c r="L48" i="3"/>
  <c r="K48" i="3"/>
  <c r="J48" i="3"/>
  <c r="I48" i="3"/>
  <c r="T47" i="3"/>
  <c r="S47" i="3"/>
  <c r="R47" i="3"/>
  <c r="Q47" i="3"/>
  <c r="P47" i="3"/>
  <c r="O47" i="3"/>
  <c r="N47" i="3"/>
  <c r="M47" i="3"/>
  <c r="L47" i="3"/>
  <c r="K47" i="3"/>
  <c r="J47" i="3"/>
  <c r="I47" i="3"/>
  <c r="T46" i="3"/>
  <c r="S46" i="3"/>
  <c r="R46" i="3"/>
  <c r="Q46" i="3"/>
  <c r="P46" i="3"/>
  <c r="O46" i="3"/>
  <c r="N46" i="3"/>
  <c r="M46" i="3"/>
  <c r="L46" i="3"/>
  <c r="K46" i="3"/>
  <c r="J46" i="3"/>
  <c r="I46" i="3"/>
  <c r="T45" i="3"/>
  <c r="S45" i="3"/>
  <c r="R45" i="3"/>
  <c r="Q45" i="3"/>
  <c r="P45" i="3"/>
  <c r="O45" i="3"/>
  <c r="N45" i="3"/>
  <c r="M45" i="3"/>
  <c r="L45" i="3"/>
  <c r="K45" i="3"/>
  <c r="J45" i="3"/>
  <c r="I45" i="3"/>
  <c r="T44" i="3"/>
  <c r="S44" i="3"/>
  <c r="R44" i="3"/>
  <c r="Q44" i="3"/>
  <c r="P44" i="3"/>
  <c r="O44" i="3"/>
  <c r="N44" i="3"/>
  <c r="M44" i="3"/>
  <c r="L44" i="3"/>
  <c r="K44" i="3"/>
  <c r="J44" i="3"/>
  <c r="I44" i="3"/>
  <c r="T43" i="3"/>
  <c r="S43" i="3"/>
  <c r="R43" i="3"/>
  <c r="Q43" i="3"/>
  <c r="P43" i="3"/>
  <c r="O43" i="3"/>
  <c r="N43" i="3"/>
  <c r="M43" i="3"/>
  <c r="L43" i="3"/>
  <c r="K43" i="3"/>
  <c r="J43" i="3"/>
  <c r="I43" i="3"/>
  <c r="T42" i="3"/>
  <c r="S42" i="3"/>
  <c r="R42" i="3"/>
  <c r="Q42" i="3"/>
  <c r="P42" i="3"/>
  <c r="O42" i="3"/>
  <c r="N42" i="3"/>
  <c r="M42" i="3"/>
  <c r="L42" i="3"/>
  <c r="K42" i="3"/>
  <c r="J42" i="3"/>
  <c r="I42" i="3"/>
  <c r="T41" i="3"/>
  <c r="S41" i="3"/>
  <c r="R41" i="3"/>
  <c r="Q41" i="3"/>
  <c r="P41" i="3"/>
  <c r="O41" i="3"/>
  <c r="N41" i="3"/>
  <c r="M41" i="3"/>
  <c r="L41" i="3"/>
  <c r="K41" i="3"/>
  <c r="J41" i="3"/>
  <c r="I41" i="3"/>
  <c r="T40" i="3"/>
  <c r="S40" i="3"/>
  <c r="R40" i="3"/>
  <c r="Q40" i="3"/>
  <c r="P40" i="3"/>
  <c r="O40" i="3"/>
  <c r="N40" i="3"/>
  <c r="M40" i="3"/>
  <c r="L40" i="3"/>
  <c r="K40" i="3"/>
  <c r="J40" i="3"/>
  <c r="I40" i="3"/>
  <c r="T39" i="3"/>
  <c r="S39" i="3"/>
  <c r="R39" i="3"/>
  <c r="Q39" i="3"/>
  <c r="P39" i="3"/>
  <c r="O39" i="3"/>
  <c r="N39" i="3"/>
  <c r="M39" i="3"/>
  <c r="L39" i="3"/>
  <c r="K39" i="3"/>
  <c r="J39" i="3"/>
  <c r="I39" i="3"/>
  <c r="T38" i="3"/>
  <c r="S38" i="3"/>
  <c r="R38" i="3"/>
  <c r="Q38" i="3"/>
  <c r="P38" i="3"/>
  <c r="O38" i="3"/>
  <c r="N38" i="3"/>
  <c r="M38" i="3"/>
  <c r="L38" i="3"/>
  <c r="K38" i="3"/>
  <c r="J38" i="3"/>
  <c r="I38" i="3"/>
  <c r="T37" i="3"/>
  <c r="S37" i="3"/>
  <c r="R37" i="3"/>
  <c r="Q37" i="3"/>
  <c r="P37" i="3"/>
  <c r="O37" i="3"/>
  <c r="N37" i="3"/>
  <c r="M37" i="3"/>
  <c r="L37" i="3"/>
  <c r="K37" i="3"/>
  <c r="J37" i="3"/>
  <c r="I37" i="3"/>
  <c r="T36" i="3"/>
  <c r="S36" i="3"/>
  <c r="R36" i="3"/>
  <c r="Q36" i="3"/>
  <c r="P36" i="3"/>
  <c r="O36" i="3"/>
  <c r="N36" i="3"/>
  <c r="M36" i="3"/>
  <c r="L36" i="3"/>
  <c r="K36" i="3"/>
  <c r="J36" i="3"/>
  <c r="I36" i="3"/>
  <c r="T35" i="3"/>
  <c r="S35" i="3"/>
  <c r="R35" i="3"/>
  <c r="Q35" i="3"/>
  <c r="P35" i="3"/>
  <c r="O35" i="3"/>
  <c r="N35" i="3"/>
  <c r="M35" i="3"/>
  <c r="L35" i="3"/>
  <c r="K35" i="3"/>
  <c r="J35" i="3"/>
  <c r="I35" i="3"/>
  <c r="T34" i="3"/>
  <c r="S34" i="3"/>
  <c r="R34" i="3"/>
  <c r="Q34" i="3"/>
  <c r="P34" i="3"/>
  <c r="O34" i="3"/>
  <c r="N34" i="3"/>
  <c r="M34" i="3"/>
  <c r="L34" i="3"/>
  <c r="K34" i="3"/>
  <c r="J34" i="3"/>
  <c r="I34" i="3"/>
  <c r="T33" i="3"/>
  <c r="S33" i="3"/>
  <c r="R33" i="3"/>
  <c r="Q33" i="3"/>
  <c r="P33" i="3"/>
  <c r="O33" i="3"/>
  <c r="N33" i="3"/>
  <c r="M33" i="3"/>
  <c r="L33" i="3"/>
  <c r="K33" i="3"/>
  <c r="J33" i="3"/>
  <c r="I33" i="3"/>
  <c r="T32" i="3"/>
  <c r="S32" i="3"/>
  <c r="R32" i="3"/>
  <c r="Q32" i="3"/>
  <c r="P32" i="3"/>
  <c r="O32" i="3"/>
  <c r="N32" i="3"/>
  <c r="M32" i="3"/>
  <c r="L32" i="3"/>
  <c r="K32" i="3"/>
  <c r="J32" i="3"/>
  <c r="I32" i="3"/>
  <c r="T31" i="3"/>
  <c r="S31" i="3"/>
  <c r="R31" i="3"/>
  <c r="Q31" i="3"/>
  <c r="P31" i="3"/>
  <c r="O31" i="3"/>
  <c r="N31" i="3"/>
  <c r="M31" i="3"/>
  <c r="L31" i="3"/>
  <c r="K31" i="3"/>
  <c r="J31" i="3"/>
  <c r="I31" i="3"/>
  <c r="T30" i="3"/>
  <c r="S30" i="3"/>
  <c r="R30" i="3"/>
  <c r="Q30" i="3"/>
  <c r="P30" i="3"/>
  <c r="O30" i="3"/>
  <c r="N30" i="3"/>
  <c r="M30" i="3"/>
  <c r="L30" i="3"/>
  <c r="K30" i="3"/>
  <c r="J30" i="3"/>
  <c r="I30" i="3"/>
  <c r="T29" i="3"/>
  <c r="S29" i="3"/>
  <c r="R29" i="3"/>
  <c r="Q29" i="3"/>
  <c r="P29" i="3"/>
  <c r="O29" i="3"/>
  <c r="N29" i="3"/>
  <c r="M29" i="3"/>
  <c r="L29" i="3"/>
  <c r="K29" i="3"/>
  <c r="J29" i="3"/>
  <c r="I29" i="3"/>
  <c r="T28" i="3"/>
  <c r="S28" i="3"/>
  <c r="R28" i="3"/>
  <c r="Q28" i="3"/>
  <c r="P28" i="3"/>
  <c r="O28" i="3"/>
  <c r="N28" i="3"/>
  <c r="M28" i="3"/>
  <c r="L28" i="3"/>
  <c r="K28" i="3"/>
  <c r="J28" i="3"/>
  <c r="I28" i="3"/>
  <c r="T27" i="3"/>
  <c r="S27" i="3"/>
  <c r="R27" i="3"/>
  <c r="Q27" i="3"/>
  <c r="P27" i="3"/>
  <c r="O27" i="3"/>
  <c r="N27" i="3"/>
  <c r="M27" i="3"/>
  <c r="L27" i="3"/>
  <c r="K27" i="3"/>
  <c r="J27" i="3"/>
  <c r="I27" i="3"/>
  <c r="T26" i="3"/>
  <c r="S26" i="3"/>
  <c r="R26" i="3"/>
  <c r="Q26" i="3"/>
  <c r="P26" i="3"/>
  <c r="O26" i="3"/>
  <c r="N26" i="3"/>
  <c r="M26" i="3"/>
  <c r="L26" i="3"/>
  <c r="K26" i="3"/>
  <c r="J26" i="3"/>
  <c r="I26" i="3"/>
  <c r="T25" i="3"/>
  <c r="S25" i="3"/>
  <c r="R25" i="3"/>
  <c r="Q25" i="3"/>
  <c r="P25" i="3"/>
  <c r="O25" i="3"/>
  <c r="N25" i="3"/>
  <c r="M25" i="3"/>
  <c r="L25" i="3"/>
  <c r="K25" i="3"/>
  <c r="J25" i="3"/>
  <c r="I25" i="3"/>
  <c r="T24" i="3"/>
  <c r="S24" i="3"/>
  <c r="R24" i="3"/>
  <c r="Q24" i="3"/>
  <c r="P24" i="3"/>
  <c r="O24" i="3"/>
  <c r="N24" i="3"/>
  <c r="M24" i="3"/>
  <c r="L24" i="3"/>
  <c r="K24" i="3"/>
  <c r="J24" i="3"/>
  <c r="I24" i="3"/>
  <c r="T23" i="3"/>
  <c r="S23" i="3"/>
  <c r="R23" i="3"/>
  <c r="Q23" i="3"/>
  <c r="P23" i="3"/>
  <c r="O23" i="3"/>
  <c r="N23" i="3"/>
  <c r="M23" i="3"/>
  <c r="L23" i="3"/>
  <c r="K23" i="3"/>
  <c r="J23" i="3"/>
  <c r="I23" i="3"/>
  <c r="T22" i="3"/>
  <c r="S22" i="3"/>
  <c r="R22" i="3"/>
  <c r="Q22" i="3"/>
  <c r="P22" i="3"/>
  <c r="O22" i="3"/>
  <c r="N22" i="3"/>
  <c r="M22" i="3"/>
  <c r="L22" i="3"/>
  <c r="K22" i="3"/>
  <c r="J22" i="3"/>
  <c r="I22" i="3"/>
  <c r="T21" i="3"/>
  <c r="S21" i="3"/>
  <c r="R21" i="3"/>
  <c r="Q21" i="3"/>
  <c r="P21" i="3"/>
  <c r="O21" i="3"/>
  <c r="N21" i="3"/>
  <c r="M21" i="3"/>
  <c r="L21" i="3"/>
  <c r="K21" i="3"/>
  <c r="J21" i="3"/>
  <c r="I21" i="3"/>
  <c r="T20" i="3"/>
  <c r="S20" i="3"/>
  <c r="R20" i="3"/>
  <c r="Q20" i="3"/>
  <c r="P20" i="3"/>
  <c r="O20" i="3"/>
  <c r="N20" i="3"/>
  <c r="M20" i="3"/>
  <c r="L20" i="3"/>
  <c r="K20" i="3"/>
  <c r="J20" i="3"/>
  <c r="I20" i="3"/>
  <c r="T19" i="3"/>
  <c r="S19" i="3"/>
  <c r="R19" i="3"/>
  <c r="Q19" i="3"/>
  <c r="P19" i="3"/>
  <c r="O19" i="3"/>
  <c r="N19" i="3"/>
  <c r="M19" i="3"/>
  <c r="L19" i="3"/>
  <c r="K19" i="3"/>
  <c r="J19" i="3"/>
  <c r="I19" i="3"/>
  <c r="T18" i="3"/>
  <c r="S18" i="3"/>
  <c r="R18" i="3"/>
  <c r="Q18" i="3"/>
  <c r="P18" i="3"/>
  <c r="O18" i="3"/>
  <c r="N18" i="3"/>
  <c r="M18" i="3"/>
  <c r="L18" i="3"/>
  <c r="K18" i="3"/>
  <c r="J18" i="3"/>
  <c r="I18" i="3"/>
  <c r="T17" i="3"/>
  <c r="S17" i="3"/>
  <c r="R17" i="3"/>
  <c r="Q17" i="3"/>
  <c r="P17" i="3"/>
  <c r="O17" i="3"/>
  <c r="N17" i="3"/>
  <c r="M17" i="3"/>
  <c r="L17" i="3"/>
  <c r="K17" i="3"/>
  <c r="J17" i="3"/>
  <c r="I17" i="3"/>
  <c r="T16" i="3"/>
  <c r="S16" i="3"/>
  <c r="R16" i="3"/>
  <c r="Q16" i="3"/>
  <c r="P16" i="3"/>
  <c r="O16" i="3"/>
  <c r="N16" i="3"/>
  <c r="M16" i="3"/>
  <c r="L16" i="3"/>
  <c r="K16" i="3"/>
  <c r="J16" i="3"/>
  <c r="I16" i="3"/>
  <c r="T15" i="3"/>
  <c r="S15" i="3"/>
  <c r="R15" i="3"/>
  <c r="Q15" i="3"/>
  <c r="P15" i="3"/>
  <c r="O15" i="3"/>
  <c r="N15" i="3"/>
  <c r="M15" i="3"/>
  <c r="L15" i="3"/>
  <c r="K15" i="3"/>
  <c r="J15" i="3"/>
  <c r="I15" i="3"/>
  <c r="T14" i="3"/>
  <c r="S14" i="3"/>
  <c r="R14" i="3"/>
  <c r="Q14" i="3"/>
  <c r="P14" i="3"/>
  <c r="O14" i="3"/>
  <c r="N14" i="3"/>
  <c r="M14" i="3"/>
  <c r="L14" i="3"/>
  <c r="K14" i="3"/>
  <c r="J14" i="3"/>
  <c r="I14" i="3"/>
  <c r="T13" i="3"/>
  <c r="S13" i="3"/>
  <c r="R13" i="3"/>
  <c r="Q13" i="3"/>
  <c r="P13" i="3"/>
  <c r="O13" i="3"/>
  <c r="N13" i="3"/>
  <c r="M13" i="3"/>
  <c r="L13" i="3"/>
  <c r="K13" i="3"/>
  <c r="J13" i="3"/>
  <c r="I13" i="3"/>
  <c r="T12" i="3"/>
  <c r="S12" i="3"/>
  <c r="R12" i="3"/>
  <c r="Q12" i="3"/>
  <c r="P12" i="3"/>
  <c r="O12" i="3"/>
  <c r="N12" i="3"/>
  <c r="M12" i="3"/>
  <c r="L12" i="3"/>
  <c r="K12" i="3"/>
  <c r="J12" i="3"/>
  <c r="I12" i="3"/>
  <c r="T11" i="3"/>
  <c r="S11" i="3"/>
  <c r="R11" i="3"/>
  <c r="Q11" i="3"/>
  <c r="P11" i="3"/>
  <c r="O11" i="3"/>
  <c r="N11" i="3"/>
  <c r="M11" i="3"/>
  <c r="L11" i="3"/>
  <c r="K11" i="3"/>
  <c r="J11" i="3"/>
  <c r="I11" i="3"/>
  <c r="T10" i="3"/>
  <c r="S10" i="3"/>
  <c r="R10" i="3"/>
  <c r="Q10" i="3"/>
  <c r="P10" i="3"/>
  <c r="O10" i="3"/>
  <c r="N10" i="3"/>
  <c r="M10" i="3"/>
  <c r="L10" i="3"/>
  <c r="K10" i="3"/>
  <c r="J10" i="3"/>
  <c r="I10" i="3"/>
  <c r="T9" i="3"/>
  <c r="S9" i="3"/>
  <c r="R9" i="3"/>
  <c r="Q9" i="3"/>
  <c r="P9" i="3"/>
  <c r="O9" i="3"/>
  <c r="N9" i="3"/>
  <c r="M9" i="3"/>
  <c r="L9" i="3"/>
  <c r="K9" i="3"/>
  <c r="J9" i="3"/>
  <c r="I9" i="3"/>
  <c r="T8" i="3"/>
  <c r="S8" i="3"/>
  <c r="R8" i="3"/>
  <c r="Q8" i="3"/>
  <c r="P8" i="3"/>
  <c r="O8" i="3"/>
  <c r="N8" i="3"/>
  <c r="M8" i="3"/>
  <c r="L8" i="3"/>
  <c r="K8" i="3"/>
  <c r="J8" i="3"/>
  <c r="I8" i="3"/>
  <c r="T7" i="3"/>
  <c r="S7" i="3"/>
  <c r="R7" i="3"/>
  <c r="Q7" i="3"/>
  <c r="P7" i="3"/>
  <c r="O7" i="3"/>
  <c r="N7" i="3"/>
  <c r="M7" i="3"/>
  <c r="L7" i="3"/>
  <c r="K7" i="3"/>
  <c r="J7" i="3"/>
  <c r="I7" i="3"/>
  <c r="T6" i="3"/>
  <c r="S6" i="3"/>
  <c r="R6" i="3"/>
  <c r="Q6" i="3"/>
  <c r="P6" i="3"/>
  <c r="O6" i="3"/>
  <c r="N6" i="3"/>
  <c r="M6" i="3"/>
  <c r="L6" i="3"/>
  <c r="K6" i="3"/>
  <c r="J6" i="3"/>
  <c r="I6" i="3"/>
  <c r="T5" i="3"/>
  <c r="S5" i="3"/>
  <c r="R5" i="3"/>
  <c r="Q5" i="3"/>
  <c r="P5" i="3"/>
  <c r="O5" i="3"/>
  <c r="N5" i="3"/>
  <c r="M5" i="3"/>
  <c r="L5" i="3"/>
  <c r="K5" i="3"/>
  <c r="J5" i="3"/>
  <c r="I5" i="3"/>
  <c r="T4" i="3"/>
  <c r="S4" i="3"/>
  <c r="R4" i="3"/>
  <c r="Q4" i="3"/>
  <c r="P4" i="3"/>
  <c r="O4" i="3"/>
  <c r="N4" i="3"/>
  <c r="M4" i="3"/>
  <c r="L4" i="3"/>
  <c r="K4" i="3"/>
  <c r="J4" i="3"/>
  <c r="I4" i="3"/>
  <c r="T3" i="3"/>
  <c r="S3" i="3"/>
  <c r="R3" i="3"/>
  <c r="Q3" i="3"/>
  <c r="P3" i="3"/>
  <c r="O3" i="3"/>
  <c r="N3" i="3"/>
  <c r="M3" i="3"/>
  <c r="L3" i="3"/>
  <c r="K3" i="3"/>
  <c r="J3" i="3"/>
  <c r="I3" i="3"/>
  <c r="T2" i="3"/>
  <c r="S2" i="3"/>
  <c r="R2" i="3"/>
  <c r="Q2" i="3"/>
  <c r="P2" i="3"/>
  <c r="O2" i="3"/>
  <c r="N2" i="3"/>
  <c r="M2" i="3"/>
  <c r="L2" i="3"/>
  <c r="K2" i="3"/>
  <c r="J2" i="3"/>
  <c r="I2" i="3"/>
  <c r="H1" i="2"/>
  <c r="AA5" i="55" l="1"/>
  <c r="AA13" i="55"/>
  <c r="AA6" i="55"/>
  <c r="AA14" i="55"/>
  <c r="AA18" i="55"/>
  <c r="AA21" i="55"/>
  <c r="AA34" i="55"/>
  <c r="AA31" i="55"/>
  <c r="AA45" i="55"/>
  <c r="AA41" i="55"/>
  <c r="AA35" i="55"/>
  <c r="AA47" i="55"/>
  <c r="AA48" i="55"/>
  <c r="X9" i="66"/>
  <c r="AF9" i="66" s="1"/>
  <c r="AA7" i="55"/>
  <c r="AA26" i="55"/>
  <c r="AA8" i="55"/>
  <c r="AA15" i="55"/>
  <c r="AA22" i="55"/>
  <c r="AA24" i="55"/>
  <c r="AA20" i="55"/>
  <c r="AA32" i="55"/>
  <c r="AA39" i="55"/>
  <c r="AA44" i="55"/>
  <c r="AA38" i="55"/>
  <c r="AA52" i="55"/>
  <c r="AA51" i="55"/>
  <c r="Z6" i="55"/>
  <c r="Z20" i="55"/>
  <c r="Z24" i="55"/>
  <c r="Z32" i="55"/>
  <c r="Z15" i="55"/>
  <c r="Z25" i="55"/>
  <c r="Z44" i="55"/>
  <c r="Z33" i="55"/>
  <c r="Z43" i="55"/>
  <c r="Z46" i="55"/>
  <c r="AI6" i="63"/>
  <c r="U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2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AA9" i="55"/>
  <c r="AA19" i="55"/>
  <c r="AA10" i="55"/>
  <c r="AA17" i="55"/>
  <c r="AA27" i="55"/>
  <c r="AA29" i="55"/>
  <c r="AA25" i="55"/>
  <c r="AA37" i="55"/>
  <c r="AA42" i="55"/>
  <c r="AA46" i="55"/>
  <c r="AA43" i="55"/>
  <c r="AA55" i="55"/>
  <c r="Z5" i="55"/>
  <c r="Z12" i="55"/>
  <c r="Z28" i="55"/>
  <c r="Z18" i="55"/>
  <c r="Z17" i="55"/>
  <c r="Z29" i="55"/>
  <c r="Z38" i="55"/>
  <c r="Z35" i="55"/>
  <c r="Z49" i="55"/>
  <c r="Z48" i="55"/>
  <c r="AI8" i="63"/>
  <c r="AI2" i="63"/>
  <c r="F4" i="5"/>
  <c r="E4" i="5"/>
  <c r="Z22" i="55"/>
  <c r="Z19" i="55"/>
  <c r="Z27" i="55"/>
  <c r="Z36" i="55"/>
  <c r="Z47" i="55"/>
  <c r="Z37" i="55"/>
  <c r="Z45" i="55"/>
  <c r="Z55" i="55"/>
  <c r="Z5" i="66"/>
  <c r="AH5" i="66" s="1"/>
  <c r="X10" i="66"/>
  <c r="AF10" i="66" s="1"/>
  <c r="X11" i="66"/>
  <c r="AF11" i="66" s="1"/>
  <c r="X12" i="66"/>
  <c r="AF12" i="66" s="1"/>
  <c r="AJ10" i="62"/>
  <c r="AO10" i="62"/>
  <c r="AA60" i="55"/>
  <c r="AA60" i="54"/>
  <c r="AA60" i="53"/>
  <c r="AA62" i="52"/>
  <c r="AA48" i="59"/>
  <c r="AA48" i="58"/>
  <c r="AA48" i="57"/>
  <c r="AA48" i="56"/>
  <c r="AD58" i="54"/>
  <c r="AD58" i="55"/>
  <c r="AD58" i="53"/>
  <c r="AG60" i="55"/>
  <c r="AG60" i="54"/>
  <c r="AG60" i="53"/>
  <c r="AG62" i="52"/>
  <c r="Y47" i="59"/>
  <c r="Y47" i="58"/>
  <c r="Y47" i="57"/>
  <c r="Y47" i="56"/>
  <c r="R47" i="59"/>
  <c r="R47" i="58"/>
  <c r="R47" i="56"/>
  <c r="R47" i="57"/>
  <c r="Z60" i="55"/>
  <c r="Z60" i="54"/>
  <c r="Z60" i="53"/>
  <c r="Z62" i="52"/>
  <c r="AH58" i="54"/>
  <c r="AH58" i="55"/>
  <c r="AH58" i="53"/>
  <c r="AI59" i="55"/>
  <c r="AI59" i="54"/>
  <c r="AI59" i="53"/>
  <c r="AI61" i="52"/>
  <c r="AJ60" i="55"/>
  <c r="AJ60" i="54"/>
  <c r="AJ62" i="52"/>
  <c r="AJ60" i="53"/>
  <c r="AI60" i="55"/>
  <c r="AI60" i="54"/>
  <c r="AI60" i="53"/>
  <c r="AI62" i="52"/>
  <c r="AB58" i="54"/>
  <c r="AB58" i="55"/>
  <c r="AB58" i="53"/>
  <c r="AD60" i="55"/>
  <c r="AD60" i="54"/>
  <c r="AD60" i="53"/>
  <c r="AD62" i="52"/>
  <c r="W48" i="59"/>
  <c r="W48" i="58"/>
  <c r="W48" i="57"/>
  <c r="W48" i="56"/>
  <c r="U60" i="55"/>
  <c r="U60" i="54"/>
  <c r="U62" i="52"/>
  <c r="U60" i="53"/>
  <c r="U49" i="59"/>
  <c r="U49" i="58"/>
  <c r="U49" i="57"/>
  <c r="U49" i="56"/>
  <c r="AH60" i="55"/>
  <c r="AH60" i="54"/>
  <c r="AH62" i="52"/>
  <c r="AH60" i="53"/>
  <c r="AJ58" i="54"/>
  <c r="AJ62" i="54" s="1"/>
  <c r="AJ58" i="55"/>
  <c r="AJ58" i="53"/>
  <c r="Z48" i="59"/>
  <c r="Z48" i="58"/>
  <c r="Z48" i="57"/>
  <c r="Z48" i="56"/>
  <c r="AD59" i="55"/>
  <c r="AD59" i="54"/>
  <c r="AD59" i="53"/>
  <c r="AD61" i="52"/>
  <c r="W47" i="59"/>
  <c r="W47" i="58"/>
  <c r="W47" i="57"/>
  <c r="W47" i="56"/>
  <c r="Y49" i="59"/>
  <c r="Y49" i="58"/>
  <c r="Y49" i="57"/>
  <c r="Y49" i="56"/>
  <c r="AH59" i="55"/>
  <c r="AH59" i="54"/>
  <c r="AH59" i="53"/>
  <c r="AH61" i="52"/>
  <c r="D45" i="5"/>
  <c r="Z47" i="59"/>
  <c r="Z47" i="58"/>
  <c r="Z47" i="57"/>
  <c r="Z47" i="56"/>
  <c r="AB59" i="55"/>
  <c r="AB59" i="54"/>
  <c r="AB61" i="52"/>
  <c r="AB59" i="53"/>
  <c r="AG58" i="54"/>
  <c r="AG58" i="55"/>
  <c r="AG58" i="53"/>
  <c r="F41" i="5"/>
  <c r="AA49" i="59"/>
  <c r="AA49" i="58"/>
  <c r="AA49" i="57"/>
  <c r="AA49" i="56"/>
  <c r="V60" i="55"/>
  <c r="V60" i="54"/>
  <c r="V60" i="53"/>
  <c r="V62" i="52"/>
  <c r="W58" i="54"/>
  <c r="W62" i="54" s="1"/>
  <c r="W58" i="55"/>
  <c r="W58" i="53"/>
  <c r="AI58" i="54"/>
  <c r="AI62" i="54" s="1"/>
  <c r="AI58" i="55"/>
  <c r="AI58" i="53"/>
  <c r="AJ59" i="55"/>
  <c r="AJ59" i="54"/>
  <c r="AJ59" i="53"/>
  <c r="AJ61" i="52"/>
  <c r="Z49" i="59"/>
  <c r="Z49" i="58"/>
  <c r="Z49" i="57"/>
  <c r="Z49" i="56"/>
  <c r="U62" i="54"/>
  <c r="F28" i="5"/>
  <c r="D28" i="5"/>
  <c r="AL60" i="52" s="1"/>
  <c r="E28" i="5"/>
  <c r="F18" i="5"/>
  <c r="D37" i="5"/>
  <c r="I43" i="69" l="1"/>
  <c r="I43" i="56"/>
  <c r="I43" i="58"/>
  <c r="I43" i="59"/>
  <c r="I43" i="57"/>
  <c r="I39" i="69"/>
  <c r="I39" i="56"/>
  <c r="I39" i="58"/>
  <c r="I39" i="59"/>
  <c r="I39" i="57"/>
  <c r="I35" i="69"/>
  <c r="I35" i="56"/>
  <c r="I35" i="59"/>
  <c r="I35" i="57"/>
  <c r="I35" i="58"/>
  <c r="I31" i="69"/>
  <c r="I31" i="56"/>
  <c r="I31" i="58"/>
  <c r="I31" i="59"/>
  <c r="I31" i="57"/>
  <c r="I27" i="69"/>
  <c r="I27" i="56"/>
  <c r="I27" i="59"/>
  <c r="I27" i="57"/>
  <c r="I27" i="58"/>
  <c r="I23" i="69"/>
  <c r="I23" i="56"/>
  <c r="I23" i="58"/>
  <c r="I23" i="59"/>
  <c r="I23" i="57"/>
  <c r="I19" i="69"/>
  <c r="I19" i="56"/>
  <c r="I19" i="59"/>
  <c r="I19" i="57"/>
  <c r="I19" i="58"/>
  <c r="I15" i="69"/>
  <c r="I15" i="56"/>
  <c r="I15" i="58"/>
  <c r="I15" i="59"/>
  <c r="I15" i="57"/>
  <c r="I11" i="69"/>
  <c r="I11" i="56"/>
  <c r="I11" i="59"/>
  <c r="I11" i="57"/>
  <c r="I11" i="58"/>
  <c r="I7" i="69"/>
  <c r="I7" i="56"/>
  <c r="I7" i="58"/>
  <c r="I7" i="59"/>
  <c r="I7" i="57"/>
  <c r="I54" i="68"/>
  <c r="I54" i="60"/>
  <c r="I54" i="55"/>
  <c r="I54" i="53"/>
  <c r="I54" i="54"/>
  <c r="I54" i="52"/>
  <c r="I50" i="68"/>
  <c r="I50" i="60"/>
  <c r="I50" i="55"/>
  <c r="I50" i="54"/>
  <c r="I50" i="52"/>
  <c r="I50" i="53"/>
  <c r="I46" i="68"/>
  <c r="I46" i="60"/>
  <c r="I46" i="53"/>
  <c r="I46" i="54"/>
  <c r="I46" i="52"/>
  <c r="I46" i="55"/>
  <c r="I42" i="68"/>
  <c r="I42" i="60"/>
  <c r="I42" i="55"/>
  <c r="I42" i="53"/>
  <c r="I42" i="54"/>
  <c r="I42" i="52"/>
  <c r="I38" i="68"/>
  <c r="I38" i="60"/>
  <c r="I38" i="55"/>
  <c r="I38" i="54"/>
  <c r="I38" i="52"/>
  <c r="I38" i="53"/>
  <c r="I34" i="68"/>
  <c r="I34" i="60"/>
  <c r="I34" i="55"/>
  <c r="I34" i="53"/>
  <c r="I34" i="54"/>
  <c r="I34" i="52"/>
  <c r="I30" i="68"/>
  <c r="I30" i="60"/>
  <c r="I30" i="53"/>
  <c r="I30" i="54"/>
  <c r="I30" i="52"/>
  <c r="I30" i="55"/>
  <c r="I26" i="68"/>
  <c r="I26" i="55"/>
  <c r="I26" i="60"/>
  <c r="I26" i="54"/>
  <c r="I26" i="53"/>
  <c r="I26" i="52"/>
  <c r="I22" i="68"/>
  <c r="I22" i="60"/>
  <c r="I22" i="55"/>
  <c r="I22" i="53"/>
  <c r="I22" i="54"/>
  <c r="I22" i="52"/>
  <c r="I18" i="68"/>
  <c r="I18" i="60"/>
  <c r="I18" i="52"/>
  <c r="I18" i="53"/>
  <c r="I18" i="54"/>
  <c r="I18" i="55"/>
  <c r="I14" i="68"/>
  <c r="I14" i="60"/>
  <c r="I14" i="52"/>
  <c r="I14" i="55"/>
  <c r="I14" i="53"/>
  <c r="I14" i="54"/>
  <c r="I10" i="68"/>
  <c r="I10" i="60"/>
  <c r="I10" i="52"/>
  <c r="I10" i="55"/>
  <c r="I10" i="54"/>
  <c r="I10" i="53"/>
  <c r="I6" i="68"/>
  <c r="I6" i="60"/>
  <c r="I6" i="52"/>
  <c r="I6" i="55"/>
  <c r="I6" i="53"/>
  <c r="I6" i="54"/>
  <c r="I42" i="69"/>
  <c r="I42" i="58"/>
  <c r="I42" i="56"/>
  <c r="I42" i="59"/>
  <c r="I42" i="57"/>
  <c r="I38" i="69"/>
  <c r="I38" i="58"/>
  <c r="I38" i="56"/>
  <c r="I38" i="59"/>
  <c r="I38" i="57"/>
  <c r="I34" i="69"/>
  <c r="I34" i="58"/>
  <c r="I34" i="56"/>
  <c r="I34" i="59"/>
  <c r="I34" i="57"/>
  <c r="I30" i="69"/>
  <c r="I30" i="58"/>
  <c r="I30" i="56"/>
  <c r="I30" i="59"/>
  <c r="I30" i="57"/>
  <c r="I26" i="69"/>
  <c r="I26" i="58"/>
  <c r="I26" i="56"/>
  <c r="I26" i="59"/>
  <c r="I26" i="57"/>
  <c r="I22" i="69"/>
  <c r="I22" i="58"/>
  <c r="I22" i="56"/>
  <c r="I22" i="59"/>
  <c r="I22" i="57"/>
  <c r="I18" i="69"/>
  <c r="I18" i="58"/>
  <c r="I18" i="56"/>
  <c r="I18" i="59"/>
  <c r="I18" i="57"/>
  <c r="I14" i="69"/>
  <c r="I14" i="58"/>
  <c r="I14" i="56"/>
  <c r="I14" i="59"/>
  <c r="I14" i="57"/>
  <c r="I10" i="69"/>
  <c r="I10" i="58"/>
  <c r="I10" i="56"/>
  <c r="I10" i="59"/>
  <c r="I10" i="57"/>
  <c r="I6" i="69"/>
  <c r="I6" i="58"/>
  <c r="I6" i="56"/>
  <c r="I6" i="59"/>
  <c r="I6" i="57"/>
  <c r="I53" i="68"/>
  <c r="I53" i="55"/>
  <c r="I53" i="60"/>
  <c r="I53" i="53"/>
  <c r="I53" i="52"/>
  <c r="I53" i="54"/>
  <c r="I49" i="68"/>
  <c r="I49" i="55"/>
  <c r="I49" i="60"/>
  <c r="I49" i="52"/>
  <c r="I49" i="53"/>
  <c r="I49" i="54"/>
  <c r="I45" i="68"/>
  <c r="I45" i="55"/>
  <c r="I45" i="54"/>
  <c r="I45" i="53"/>
  <c r="I45" i="60"/>
  <c r="I45" i="52"/>
  <c r="I41" i="68"/>
  <c r="I41" i="55"/>
  <c r="I41" i="53"/>
  <c r="I41" i="60"/>
  <c r="I41" i="52"/>
  <c r="I41" i="54"/>
  <c r="I37" i="68"/>
  <c r="I37" i="55"/>
  <c r="I37" i="52"/>
  <c r="I37" i="53"/>
  <c r="I37" i="60"/>
  <c r="I37" i="54"/>
  <c r="I33" i="68"/>
  <c r="I33" i="55"/>
  <c r="I33" i="54"/>
  <c r="I33" i="53"/>
  <c r="I33" i="52"/>
  <c r="I33" i="60"/>
  <c r="I29" i="68"/>
  <c r="I29" i="55"/>
  <c r="I29" i="53"/>
  <c r="I29" i="60"/>
  <c r="I29" i="54"/>
  <c r="I29" i="52"/>
  <c r="I25" i="68"/>
  <c r="I25" i="55"/>
  <c r="I25" i="53"/>
  <c r="I25" i="52"/>
  <c r="I25" i="60"/>
  <c r="I25" i="54"/>
  <c r="I21" i="68"/>
  <c r="I21" i="55"/>
  <c r="I21" i="53"/>
  <c r="I21" i="54"/>
  <c r="I21" i="60"/>
  <c r="I21" i="52"/>
  <c r="I17" i="68"/>
  <c r="I17" i="55"/>
  <c r="I17" i="53"/>
  <c r="I17" i="60"/>
  <c r="I17" i="52"/>
  <c r="I17" i="54"/>
  <c r="I13" i="68"/>
  <c r="I13" i="55"/>
  <c r="I13" i="53"/>
  <c r="I13" i="60"/>
  <c r="I13" i="52"/>
  <c r="I13" i="54"/>
  <c r="I9" i="68"/>
  <c r="I9" i="55"/>
  <c r="I9" i="53"/>
  <c r="I9" i="54"/>
  <c r="I9" i="60"/>
  <c r="I9" i="52"/>
  <c r="P12" i="5"/>
  <c r="P15" i="5" s="1"/>
  <c r="I5" i="68"/>
  <c r="I5" i="55"/>
  <c r="I5" i="53"/>
  <c r="I5" i="60"/>
  <c r="I5" i="52"/>
  <c r="I5" i="54"/>
  <c r="I41" i="69"/>
  <c r="I41" i="57"/>
  <c r="I41" i="58"/>
  <c r="I41" i="56"/>
  <c r="I41" i="59"/>
  <c r="I37" i="69"/>
  <c r="I37" i="58"/>
  <c r="I37" i="59"/>
  <c r="I37" i="57"/>
  <c r="I37" i="56"/>
  <c r="I33" i="69"/>
  <c r="I33" i="59"/>
  <c r="I33" i="57"/>
  <c r="I33" i="58"/>
  <c r="I33" i="56"/>
  <c r="I29" i="69"/>
  <c r="I29" i="58"/>
  <c r="I29" i="56"/>
  <c r="I29" i="59"/>
  <c r="I29" i="57"/>
  <c r="I25" i="69"/>
  <c r="I25" i="58"/>
  <c r="I25" i="59"/>
  <c r="I25" i="57"/>
  <c r="I25" i="56"/>
  <c r="I21" i="69"/>
  <c r="I21" i="59"/>
  <c r="I21" i="57"/>
  <c r="I21" i="58"/>
  <c r="I21" i="56"/>
  <c r="I17" i="69"/>
  <c r="I17" i="58"/>
  <c r="I17" i="57"/>
  <c r="I17" i="56"/>
  <c r="I17" i="59"/>
  <c r="I13" i="69"/>
  <c r="I13" i="57"/>
  <c r="I13" i="58"/>
  <c r="I13" i="59"/>
  <c r="I13" i="56"/>
  <c r="I9" i="69"/>
  <c r="I9" i="59"/>
  <c r="I9" i="58"/>
  <c r="I9" i="56"/>
  <c r="I9" i="57"/>
  <c r="P14" i="5"/>
  <c r="P17" i="5" s="1"/>
  <c r="I5" i="69"/>
  <c r="I5" i="57"/>
  <c r="I5" i="58"/>
  <c r="I5" i="56"/>
  <c r="Z50" i="56" s="1"/>
  <c r="Z50" i="57" s="1"/>
  <c r="I5" i="59"/>
  <c r="I52" i="68"/>
  <c r="I52" i="54"/>
  <c r="I52" i="52"/>
  <c r="I52" i="55"/>
  <c r="I52" i="53"/>
  <c r="I52" i="60"/>
  <c r="I48" i="68"/>
  <c r="I48" i="54"/>
  <c r="I48" i="52"/>
  <c r="I48" i="53"/>
  <c r="I48" i="55"/>
  <c r="I48" i="60"/>
  <c r="I44" i="68"/>
  <c r="I44" i="54"/>
  <c r="I44" i="52"/>
  <c r="I44" i="55"/>
  <c r="I44" i="60"/>
  <c r="I44" i="53"/>
  <c r="I40" i="68"/>
  <c r="I40" i="54"/>
  <c r="I40" i="52"/>
  <c r="I40" i="55"/>
  <c r="I40" i="53"/>
  <c r="I40" i="60"/>
  <c r="I36" i="68"/>
  <c r="I36" i="54"/>
  <c r="I36" i="52"/>
  <c r="I36" i="53"/>
  <c r="I36" i="55"/>
  <c r="I36" i="60"/>
  <c r="I32" i="68"/>
  <c r="I32" i="54"/>
  <c r="I32" i="52"/>
  <c r="I32" i="55"/>
  <c r="I32" i="60"/>
  <c r="I32" i="53"/>
  <c r="I28" i="68"/>
  <c r="I28" i="60"/>
  <c r="I28" i="54"/>
  <c r="I28" i="52"/>
  <c r="I28" i="55"/>
  <c r="I28" i="53"/>
  <c r="I24" i="68"/>
  <c r="I24" i="54"/>
  <c r="I24" i="52"/>
  <c r="I24" i="55"/>
  <c r="I24" i="53"/>
  <c r="I24" i="60"/>
  <c r="I20" i="68"/>
  <c r="I20" i="54"/>
  <c r="I20" i="52"/>
  <c r="I20" i="55"/>
  <c r="I20" i="53"/>
  <c r="I20" i="60"/>
  <c r="I16" i="68"/>
  <c r="I16" i="54"/>
  <c r="I16" i="55"/>
  <c r="I16" i="53"/>
  <c r="I16" i="60"/>
  <c r="I16" i="52"/>
  <c r="I12" i="68"/>
  <c r="I12" i="54"/>
  <c r="I12" i="55"/>
  <c r="I12" i="53"/>
  <c r="I12" i="60"/>
  <c r="I12" i="52"/>
  <c r="I8" i="68"/>
  <c r="I8" i="54"/>
  <c r="I8" i="55"/>
  <c r="I8" i="53"/>
  <c r="I8" i="60"/>
  <c r="I8" i="52"/>
  <c r="I44" i="69"/>
  <c r="I44" i="59"/>
  <c r="I44" i="57"/>
  <c r="I44" i="56"/>
  <c r="I44" i="58"/>
  <c r="I40" i="69"/>
  <c r="I40" i="59"/>
  <c r="I40" i="57"/>
  <c r="I40" i="58"/>
  <c r="I40" i="56"/>
  <c r="I36" i="69"/>
  <c r="I36" i="59"/>
  <c r="I36" i="57"/>
  <c r="I36" i="56"/>
  <c r="I36" i="58"/>
  <c r="I32" i="69"/>
  <c r="I32" i="59"/>
  <c r="I32" i="57"/>
  <c r="I32" i="56"/>
  <c r="I32" i="58"/>
  <c r="I28" i="69"/>
  <c r="I28" i="59"/>
  <c r="I28" i="57"/>
  <c r="I28" i="58"/>
  <c r="I28" i="56"/>
  <c r="I24" i="69"/>
  <c r="I24" i="59"/>
  <c r="I24" i="57"/>
  <c r="I24" i="56"/>
  <c r="I24" i="58"/>
  <c r="I20" i="69"/>
  <c r="I20" i="59"/>
  <c r="I20" i="57"/>
  <c r="I20" i="56"/>
  <c r="I20" i="58"/>
  <c r="I16" i="69"/>
  <c r="I16" i="59"/>
  <c r="I16" i="57"/>
  <c r="I16" i="58"/>
  <c r="I16" i="56"/>
  <c r="I12" i="69"/>
  <c r="I12" i="59"/>
  <c r="I12" i="57"/>
  <c r="I12" i="56"/>
  <c r="I12" i="58"/>
  <c r="I8" i="69"/>
  <c r="I8" i="59"/>
  <c r="I8" i="57"/>
  <c r="I8" i="56"/>
  <c r="I8" i="58"/>
  <c r="I55" i="68"/>
  <c r="I55" i="60"/>
  <c r="I55" i="54"/>
  <c r="I55" i="53"/>
  <c r="I55" i="52"/>
  <c r="I55" i="55"/>
  <c r="I51" i="68"/>
  <c r="I51" i="60"/>
  <c r="I51" i="54"/>
  <c r="I51" i="53"/>
  <c r="I51" i="52"/>
  <c r="I51" i="55"/>
  <c r="I47" i="68"/>
  <c r="I47" i="60"/>
  <c r="I47" i="54"/>
  <c r="I47" i="53"/>
  <c r="I47" i="52"/>
  <c r="I47" i="55"/>
  <c r="I43" i="68"/>
  <c r="I43" i="60"/>
  <c r="I43" i="54"/>
  <c r="I43" i="53"/>
  <c r="I43" i="52"/>
  <c r="I43" i="55"/>
  <c r="I39" i="68"/>
  <c r="I39" i="60"/>
  <c r="I39" i="54"/>
  <c r="I39" i="53"/>
  <c r="I39" i="52"/>
  <c r="I39" i="55"/>
  <c r="I35" i="68"/>
  <c r="I35" i="60"/>
  <c r="I35" i="54"/>
  <c r="I35" i="53"/>
  <c r="I35" i="52"/>
  <c r="I35" i="55"/>
  <c r="I31" i="68"/>
  <c r="I31" i="60"/>
  <c r="I31" i="54"/>
  <c r="I31" i="53"/>
  <c r="I31" i="52"/>
  <c r="I31" i="55"/>
  <c r="I27" i="68"/>
  <c r="I27" i="53"/>
  <c r="I27" i="54"/>
  <c r="I27" i="52"/>
  <c r="I27" i="60"/>
  <c r="I27" i="55"/>
  <c r="I23" i="68"/>
  <c r="I23" i="54"/>
  <c r="I23" i="52"/>
  <c r="I23" i="60"/>
  <c r="I23" i="55"/>
  <c r="I23" i="53"/>
  <c r="I19" i="68"/>
  <c r="I19" i="54"/>
  <c r="I19" i="52"/>
  <c r="I19" i="55"/>
  <c r="I19" i="53"/>
  <c r="I19" i="60"/>
  <c r="I15" i="68"/>
  <c r="I15" i="54"/>
  <c r="I15" i="60"/>
  <c r="I15" i="55"/>
  <c r="I15" i="53"/>
  <c r="I15" i="52"/>
  <c r="I11" i="68"/>
  <c r="I11" i="60"/>
  <c r="I11" i="52"/>
  <c r="I11" i="54"/>
  <c r="I11" i="55"/>
  <c r="I11" i="53"/>
  <c r="P13" i="5"/>
  <c r="P16" i="5" s="1"/>
  <c r="I7" i="68"/>
  <c r="I7" i="54"/>
  <c r="I7" i="60"/>
  <c r="I7" i="52"/>
  <c r="I7" i="55"/>
  <c r="Z57" i="55" s="1"/>
  <c r="I7" i="53"/>
  <c r="Z51" i="57"/>
  <c r="R49" i="59"/>
  <c r="R49" i="58"/>
  <c r="R49" i="57"/>
  <c r="R49" i="56"/>
  <c r="R48" i="59"/>
  <c r="R48" i="58"/>
  <c r="R48" i="57"/>
  <c r="R48" i="56"/>
  <c r="AB60" i="55"/>
  <c r="AB60" i="54"/>
  <c r="AB62" i="52"/>
  <c r="AB60" i="53"/>
  <c r="Z51" i="58"/>
  <c r="AH62" i="54"/>
  <c r="R51" i="57"/>
  <c r="R50" i="57" s="1"/>
  <c r="AL58" i="54"/>
  <c r="AL58" i="55"/>
  <c r="AL58" i="53"/>
  <c r="AL60" i="55"/>
  <c r="AL60" i="54"/>
  <c r="AL62" i="52"/>
  <c r="AL60" i="53"/>
  <c r="S47" i="59"/>
  <c r="S47" i="58"/>
  <c r="S47" i="57"/>
  <c r="S47" i="56"/>
  <c r="AL59" i="55"/>
  <c r="AL59" i="54"/>
  <c r="AL59" i="53"/>
  <c r="AL61" i="52"/>
  <c r="W49" i="59"/>
  <c r="W49" i="58"/>
  <c r="W49" i="57"/>
  <c r="W49" i="56"/>
  <c r="AA47" i="59"/>
  <c r="AA47" i="58"/>
  <c r="AA47" i="57"/>
  <c r="AA47" i="56"/>
  <c r="R51" i="58"/>
  <c r="R50" i="58" s="1"/>
  <c r="F37" i="5"/>
  <c r="E37" i="5"/>
  <c r="AS71" i="68" l="1"/>
  <c r="AR71" i="68"/>
  <c r="AY71" i="68"/>
  <c r="AI71" i="68"/>
  <c r="AP71" i="68"/>
  <c r="AV71" i="68"/>
  <c r="AU71" i="68"/>
  <c r="AX71" i="68"/>
  <c r="AN71" i="68"/>
  <c r="AQ71" i="68"/>
  <c r="AT71" i="68"/>
  <c r="AO71" i="68"/>
  <c r="BD71" i="68"/>
  <c r="AJ71" i="68"/>
  <c r="AM71" i="68"/>
  <c r="AL71" i="68"/>
  <c r="AK71" i="68"/>
  <c r="AZ71" i="68"/>
  <c r="BC71" i="68"/>
  <c r="BB71" i="68"/>
  <c r="AW71" i="68"/>
  <c r="BA71" i="68"/>
  <c r="AT95" i="68"/>
  <c r="BA95" i="68"/>
  <c r="AK95" i="68"/>
  <c r="AQ95" i="68"/>
  <c r="AR95" i="68"/>
  <c r="BD95" i="68"/>
  <c r="AV95" i="68"/>
  <c r="AW95" i="68"/>
  <c r="AY95" i="68"/>
  <c r="AZ95" i="68"/>
  <c r="AN95" i="68"/>
  <c r="AS95" i="68"/>
  <c r="AU95" i="68"/>
  <c r="AJ95" i="68"/>
  <c r="BB95" i="68"/>
  <c r="AO95" i="68"/>
  <c r="AM95" i="68"/>
  <c r="AX95" i="68"/>
  <c r="AL95" i="68"/>
  <c r="BC95" i="68"/>
  <c r="AI95" i="68"/>
  <c r="AP95" i="68"/>
  <c r="AY111" i="68"/>
  <c r="AI111" i="68"/>
  <c r="AP111" i="68"/>
  <c r="AS111" i="68"/>
  <c r="AJ111" i="68"/>
  <c r="AU111" i="68"/>
  <c r="BB111" i="68"/>
  <c r="AL111" i="68"/>
  <c r="AO111" i="68"/>
  <c r="AV111" i="68"/>
  <c r="AQ111" i="68"/>
  <c r="AX111" i="68"/>
  <c r="BA111" i="68"/>
  <c r="AK111" i="68"/>
  <c r="AR111" i="68"/>
  <c r="BC111" i="68"/>
  <c r="AZ111" i="68"/>
  <c r="AM111" i="68"/>
  <c r="AN111" i="68"/>
  <c r="AT111" i="68"/>
  <c r="AW111" i="68"/>
  <c r="BD111" i="68"/>
  <c r="AS80" i="68"/>
  <c r="AR80" i="68"/>
  <c r="AY80" i="68"/>
  <c r="AI80" i="68"/>
  <c r="AP80" i="68"/>
  <c r="BD80" i="68"/>
  <c r="AN80" i="68"/>
  <c r="AU80" i="68"/>
  <c r="BB80" i="68"/>
  <c r="AL80" i="68"/>
  <c r="AZ80" i="68"/>
  <c r="AJ80" i="68"/>
  <c r="AQ80" i="68"/>
  <c r="AX80" i="68"/>
  <c r="AW80" i="68"/>
  <c r="BC80" i="68"/>
  <c r="AM80" i="68"/>
  <c r="AK80" i="68"/>
  <c r="AT80" i="68"/>
  <c r="BA80" i="68"/>
  <c r="AV80" i="68"/>
  <c r="AO80" i="68"/>
  <c r="BC88" i="68"/>
  <c r="BB88" i="68"/>
  <c r="AL88" i="68"/>
  <c r="AO88" i="68"/>
  <c r="AR88" i="68"/>
  <c r="AI88" i="68"/>
  <c r="AN88" i="68"/>
  <c r="AX88" i="68"/>
  <c r="BA88" i="68"/>
  <c r="AK88" i="68"/>
  <c r="AJ88" i="68"/>
  <c r="R88" i="68"/>
  <c r="AT88" i="68"/>
  <c r="AW88" i="68"/>
  <c r="P88" i="68"/>
  <c r="AY88" i="68"/>
  <c r="BD88" i="68"/>
  <c r="AP88" i="68"/>
  <c r="AV88" i="68"/>
  <c r="AS88" i="68"/>
  <c r="AM88" i="68"/>
  <c r="AZ88" i="68"/>
  <c r="AU88" i="68"/>
  <c r="AQ88" i="68"/>
  <c r="AF82" i="69"/>
  <c r="Y82" i="69"/>
  <c r="AA82" i="69"/>
  <c r="AC82" i="69"/>
  <c r="AD82" i="69"/>
  <c r="AH82" i="69"/>
  <c r="AG82" i="69"/>
  <c r="X82" i="69"/>
  <c r="AE82" i="69"/>
  <c r="AB82" i="69"/>
  <c r="Z82" i="69"/>
  <c r="AY61" i="68"/>
  <c r="AO61" i="68"/>
  <c r="AW61" i="68"/>
  <c r="AI61" i="68"/>
  <c r="BD61" i="68"/>
  <c r="AN61" i="68"/>
  <c r="AT61" i="68"/>
  <c r="AK61" i="68"/>
  <c r="AU61" i="68"/>
  <c r="AR61" i="68"/>
  <c r="AP61" i="68"/>
  <c r="AM61" i="68"/>
  <c r="AJ61" i="68"/>
  <c r="AL61" i="68"/>
  <c r="BC61" i="68"/>
  <c r="AQ61" i="68"/>
  <c r="AZ61" i="68"/>
  <c r="BB61" i="68"/>
  <c r="AS61" i="68"/>
  <c r="AV61" i="68"/>
  <c r="AX61" i="68"/>
  <c r="BA61" i="68"/>
  <c r="AG59" i="69"/>
  <c r="Z59" i="69"/>
  <c r="AH59" i="69"/>
  <c r="AD59" i="69"/>
  <c r="AA59" i="69"/>
  <c r="AF59" i="69"/>
  <c r="AC59" i="69"/>
  <c r="AE59" i="69"/>
  <c r="X59" i="69"/>
  <c r="AB59" i="69"/>
  <c r="Y59" i="69"/>
  <c r="M72" i="52"/>
  <c r="AE60" i="69"/>
  <c r="AB60" i="69"/>
  <c r="X60" i="69"/>
  <c r="AF60" i="69"/>
  <c r="AG60" i="69"/>
  <c r="AC60" i="69"/>
  <c r="Z60" i="69"/>
  <c r="AD60" i="69"/>
  <c r="AA60" i="69"/>
  <c r="AH60" i="69"/>
  <c r="Y60" i="69"/>
  <c r="AA76" i="69"/>
  <c r="AE76" i="69"/>
  <c r="AF76" i="69"/>
  <c r="Y76" i="69"/>
  <c r="AC76" i="69"/>
  <c r="AH76" i="69"/>
  <c r="AB76" i="69"/>
  <c r="AD76" i="69"/>
  <c r="X76" i="69"/>
  <c r="Z76" i="69"/>
  <c r="AG76" i="69"/>
  <c r="Z50" i="58"/>
  <c r="M68" i="52"/>
  <c r="AG53" i="69"/>
  <c r="AB53" i="69"/>
  <c r="AH53" i="69"/>
  <c r="AC53" i="69"/>
  <c r="AE53" i="69"/>
  <c r="Y53" i="69"/>
  <c r="AA53" i="69"/>
  <c r="AF53" i="69"/>
  <c r="AD53" i="69"/>
  <c r="X53" i="69"/>
  <c r="Z53" i="69"/>
  <c r="AH69" i="69"/>
  <c r="AB69" i="69"/>
  <c r="AE69" i="69"/>
  <c r="AA69" i="69"/>
  <c r="AC69" i="69"/>
  <c r="AD69" i="69"/>
  <c r="AF69" i="69"/>
  <c r="Z69" i="69"/>
  <c r="Y69" i="69"/>
  <c r="AG69" i="69"/>
  <c r="X69" i="69"/>
  <c r="AE85" i="69"/>
  <c r="Y85" i="69"/>
  <c r="AF85" i="69"/>
  <c r="AC85" i="69"/>
  <c r="AB85" i="69"/>
  <c r="AH85" i="69"/>
  <c r="X85" i="69"/>
  <c r="AA85" i="69"/>
  <c r="Z85" i="69"/>
  <c r="AG85" i="69"/>
  <c r="AD85" i="69"/>
  <c r="AE54" i="69"/>
  <c r="X54" i="69"/>
  <c r="AF54" i="69"/>
  <c r="AB54" i="69"/>
  <c r="AH54" i="69"/>
  <c r="Y54" i="69"/>
  <c r="Z54" i="69"/>
  <c r="AC54" i="69"/>
  <c r="AD54" i="69"/>
  <c r="AA54" i="69"/>
  <c r="AG54" i="69"/>
  <c r="AC70" i="69"/>
  <c r="X70" i="69"/>
  <c r="AE70" i="69"/>
  <c r="AA70" i="69"/>
  <c r="AF70" i="69"/>
  <c r="Z70" i="69"/>
  <c r="AB70" i="69"/>
  <c r="AD70" i="69"/>
  <c r="AH70" i="69"/>
  <c r="AG70" i="69"/>
  <c r="Y70" i="69"/>
  <c r="AG86" i="69"/>
  <c r="AA86" i="69"/>
  <c r="Z86" i="69"/>
  <c r="AB86" i="69"/>
  <c r="AH86" i="69"/>
  <c r="AC86" i="69"/>
  <c r="AF86" i="69"/>
  <c r="Y86" i="69"/>
  <c r="X86" i="69"/>
  <c r="AE86" i="69"/>
  <c r="AD86" i="69"/>
  <c r="BA69" i="68"/>
  <c r="AW69" i="68"/>
  <c r="AK69" i="68"/>
  <c r="BD69" i="68"/>
  <c r="AN69" i="68"/>
  <c r="AU69" i="68"/>
  <c r="BB69" i="68"/>
  <c r="AL69" i="68"/>
  <c r="AO69" i="68"/>
  <c r="AS69" i="68"/>
  <c r="AV69" i="68"/>
  <c r="AY69" i="68"/>
  <c r="AX69" i="68"/>
  <c r="AR69" i="68"/>
  <c r="AQ69" i="68"/>
  <c r="AT69" i="68"/>
  <c r="AJ69" i="68"/>
  <c r="AM69" i="68"/>
  <c r="AP69" i="68"/>
  <c r="AZ69" i="68"/>
  <c r="BC69" i="68"/>
  <c r="AI69" i="68"/>
  <c r="BA77" i="68"/>
  <c r="AW77" i="68"/>
  <c r="AV77" i="68"/>
  <c r="BC77" i="68"/>
  <c r="AM77" i="68"/>
  <c r="AT77" i="68"/>
  <c r="AO77" i="68"/>
  <c r="AK77" i="68"/>
  <c r="BD77" i="68"/>
  <c r="AJ77" i="68"/>
  <c r="AI77" i="68"/>
  <c r="AL77" i="68"/>
  <c r="AS77" i="68"/>
  <c r="AZ77" i="68"/>
  <c r="AY77" i="68"/>
  <c r="BB77" i="68"/>
  <c r="AR77" i="68"/>
  <c r="AU77" i="68"/>
  <c r="AX77" i="68"/>
  <c r="AN77" i="68"/>
  <c r="AQ77" i="68"/>
  <c r="AP77" i="68"/>
  <c r="AI85" i="68"/>
  <c r="AP85" i="68"/>
  <c r="AS85" i="68"/>
  <c r="AV85" i="68"/>
  <c r="AM85" i="68"/>
  <c r="AQ85" i="68"/>
  <c r="AT85" i="68"/>
  <c r="AO85" i="68"/>
  <c r="BC85" i="68"/>
  <c r="AJ85" i="68"/>
  <c r="AY85" i="68"/>
  <c r="AL85" i="68"/>
  <c r="AK85" i="68"/>
  <c r="AU85" i="68"/>
  <c r="BB85" i="68"/>
  <c r="BA85" i="68"/>
  <c r="BD85" i="68"/>
  <c r="AZ85" i="68"/>
  <c r="AX85" i="68"/>
  <c r="AW85" i="68"/>
  <c r="AN85" i="68"/>
  <c r="AR85" i="68"/>
  <c r="AI93" i="68"/>
  <c r="BB93" i="68"/>
  <c r="AL93" i="68"/>
  <c r="AO93" i="68"/>
  <c r="AN93" i="68"/>
  <c r="AZ93" i="68"/>
  <c r="AX93" i="68"/>
  <c r="AW93" i="68"/>
  <c r="AV93" i="68"/>
  <c r="AR93" i="68"/>
  <c r="AT93" i="68"/>
  <c r="AS93" i="68"/>
  <c r="BC93" i="68"/>
  <c r="AJ93" i="68"/>
  <c r="AY93" i="68"/>
  <c r="AP93" i="68"/>
  <c r="AK93" i="68"/>
  <c r="AU93" i="68"/>
  <c r="BA93" i="68"/>
  <c r="BD93" i="68"/>
  <c r="AM93" i="68"/>
  <c r="AQ93" i="68"/>
  <c r="AW101" i="68"/>
  <c r="BD101" i="68"/>
  <c r="AN101" i="68"/>
  <c r="AU101" i="68"/>
  <c r="AT101" i="68"/>
  <c r="AX101" i="68"/>
  <c r="AK101" i="68"/>
  <c r="AJ101" i="68"/>
  <c r="AM101" i="68"/>
  <c r="BB101" i="68"/>
  <c r="BA101" i="68"/>
  <c r="AZ101" i="68"/>
  <c r="BC101" i="68"/>
  <c r="AI101" i="68"/>
  <c r="AS101" i="68"/>
  <c r="AV101" i="68"/>
  <c r="AY101" i="68"/>
  <c r="AP101" i="68"/>
  <c r="AO101" i="68"/>
  <c r="AR101" i="68"/>
  <c r="AQ101" i="68"/>
  <c r="AL101" i="68"/>
  <c r="AU109" i="68"/>
  <c r="BB109" i="68"/>
  <c r="AL109" i="68"/>
  <c r="AO109" i="68"/>
  <c r="AN109" i="68"/>
  <c r="AM109" i="68"/>
  <c r="AP109" i="68"/>
  <c r="AK109" i="68"/>
  <c r="AJ109" i="68"/>
  <c r="BC109" i="68"/>
  <c r="AI109" i="68"/>
  <c r="BA109" i="68"/>
  <c r="AR109" i="68"/>
  <c r="AV109" i="68"/>
  <c r="AY109" i="68"/>
  <c r="AX109" i="68"/>
  <c r="AW109" i="68"/>
  <c r="BD109" i="68"/>
  <c r="AQ109" i="68"/>
  <c r="AT109" i="68"/>
  <c r="AS109" i="68"/>
  <c r="AZ109" i="68"/>
  <c r="AH63" i="69"/>
  <c r="AG63" i="69"/>
  <c r="AB63" i="69"/>
  <c r="X63" i="69"/>
  <c r="AD63" i="69"/>
  <c r="AC63" i="69"/>
  <c r="AE63" i="69"/>
  <c r="AF63" i="69"/>
  <c r="AA63" i="69"/>
  <c r="Y63" i="69"/>
  <c r="Z63" i="69"/>
  <c r="AB79" i="69"/>
  <c r="Z79" i="69"/>
  <c r="AF79" i="69"/>
  <c r="AE79" i="69"/>
  <c r="AG79" i="69"/>
  <c r="AD79" i="69"/>
  <c r="AC79" i="69"/>
  <c r="X79" i="69"/>
  <c r="AH79" i="69"/>
  <c r="Y79" i="69"/>
  <c r="AA79" i="69"/>
  <c r="AW62" i="68"/>
  <c r="BA62" i="68"/>
  <c r="AS62" i="68"/>
  <c r="AK62" i="68"/>
  <c r="AM62" i="68"/>
  <c r="BC62" i="68"/>
  <c r="AV62" i="68"/>
  <c r="BB62" i="68"/>
  <c r="AL62" i="68"/>
  <c r="AY62" i="68"/>
  <c r="AO62" i="68"/>
  <c r="H8" i="70" s="1"/>
  <c r="AZ62" i="68"/>
  <c r="AX62" i="68"/>
  <c r="AR62" i="68"/>
  <c r="AT62" i="68"/>
  <c r="AN62" i="68"/>
  <c r="AP62" i="68"/>
  <c r="AI62" i="68"/>
  <c r="AU62" i="68"/>
  <c r="BD62" i="68"/>
  <c r="AJ62" i="68"/>
  <c r="AQ62" i="68"/>
  <c r="AS70" i="68"/>
  <c r="BA70" i="68"/>
  <c r="AK70" i="68"/>
  <c r="AV70" i="68"/>
  <c r="BC70" i="68"/>
  <c r="AM70" i="68"/>
  <c r="AT70" i="68"/>
  <c r="BD70" i="68"/>
  <c r="AJ70" i="68"/>
  <c r="AI70" i="68"/>
  <c r="AL70" i="68"/>
  <c r="AO70" i="68"/>
  <c r="AZ70" i="68"/>
  <c r="AY70" i="68"/>
  <c r="BB70" i="68"/>
  <c r="AW70" i="68"/>
  <c r="AR70" i="68"/>
  <c r="AU70" i="68"/>
  <c r="AX70" i="68"/>
  <c r="AN70" i="68"/>
  <c r="AQ70" i="68"/>
  <c r="AP70" i="68"/>
  <c r="AS78" i="68"/>
  <c r="BA78" i="68"/>
  <c r="AK78" i="68"/>
  <c r="BD78" i="68"/>
  <c r="AN78" i="68"/>
  <c r="AU78" i="68"/>
  <c r="BB78" i="68"/>
  <c r="AL78" i="68"/>
  <c r="AR78" i="68"/>
  <c r="AQ78" i="68"/>
  <c r="AT78" i="68"/>
  <c r="AY78" i="68"/>
  <c r="AO78" i="68"/>
  <c r="AJ78" i="68"/>
  <c r="AM78" i="68"/>
  <c r="AP78" i="68"/>
  <c r="AW78" i="68"/>
  <c r="AZ78" i="68"/>
  <c r="BC78" i="68"/>
  <c r="AI78" i="68"/>
  <c r="AV78" i="68"/>
  <c r="AX78" i="68"/>
  <c r="AU86" i="68"/>
  <c r="AX86" i="68"/>
  <c r="BA86" i="68"/>
  <c r="AK86" i="68"/>
  <c r="AJ86" i="68"/>
  <c r="R86" i="68"/>
  <c r="BB86" i="68"/>
  <c r="AW86" i="68"/>
  <c r="AZ86" i="68"/>
  <c r="AI86" i="68"/>
  <c r="AT86" i="68"/>
  <c r="AS86" i="68"/>
  <c r="AR86" i="68"/>
  <c r="BD86" i="68"/>
  <c r="AM86" i="68"/>
  <c r="BC86" i="68"/>
  <c r="AP86" i="68"/>
  <c r="AO86" i="68"/>
  <c r="AY86" i="68"/>
  <c r="AV86" i="68"/>
  <c r="AL86" i="68"/>
  <c r="P86" i="68"/>
  <c r="AQ86" i="68"/>
  <c r="AN86" i="68"/>
  <c r="AU94" i="68"/>
  <c r="AX94" i="68"/>
  <c r="BA94" i="68"/>
  <c r="AK94" i="68"/>
  <c r="AY94" i="68"/>
  <c r="AV94" i="68"/>
  <c r="AM94" i="68"/>
  <c r="AP94" i="68"/>
  <c r="AO94" i="68"/>
  <c r="AQ94" i="68"/>
  <c r="AL94" i="68"/>
  <c r="AZ94" i="68"/>
  <c r="AI94" i="68"/>
  <c r="BC94" i="68"/>
  <c r="BB94" i="68"/>
  <c r="AW94" i="68"/>
  <c r="AR94" i="68"/>
  <c r="BD94" i="68"/>
  <c r="AT94" i="68"/>
  <c r="AS94" i="68"/>
  <c r="AJ94" i="68"/>
  <c r="AN94" i="68"/>
  <c r="AW102" i="68"/>
  <c r="BD102" i="68"/>
  <c r="AN102" i="68"/>
  <c r="AU102" i="68"/>
  <c r="AX102" i="68"/>
  <c r="BA102" i="68"/>
  <c r="AZ102" i="68"/>
  <c r="BC102" i="68"/>
  <c r="AI102" i="68"/>
  <c r="AL102" i="68"/>
  <c r="AS102" i="68"/>
  <c r="AV102" i="68"/>
  <c r="AY102" i="68"/>
  <c r="AT102" i="68"/>
  <c r="AO102" i="68"/>
  <c r="AR102" i="68"/>
  <c r="AQ102" i="68"/>
  <c r="BB102" i="68"/>
  <c r="AK102" i="68"/>
  <c r="AJ102" i="68"/>
  <c r="AM102" i="68"/>
  <c r="AP102" i="68"/>
  <c r="AQ110" i="68"/>
  <c r="AX110" i="68"/>
  <c r="BA110" i="68"/>
  <c r="AK110" i="68"/>
  <c r="AN110" i="68"/>
  <c r="AY110" i="68"/>
  <c r="BB110" i="68"/>
  <c r="AW110" i="68"/>
  <c r="AR110" i="68"/>
  <c r="AU110" i="68"/>
  <c r="AT110" i="68"/>
  <c r="AS110" i="68"/>
  <c r="BD110" i="68"/>
  <c r="AM110" i="68"/>
  <c r="AP110" i="68"/>
  <c r="AO110" i="68"/>
  <c r="AZ110" i="68"/>
  <c r="BC110" i="68"/>
  <c r="AI110" i="68"/>
  <c r="AL110" i="68"/>
  <c r="AV110" i="68"/>
  <c r="AJ110" i="68"/>
  <c r="X50" i="56"/>
  <c r="AD64" i="69"/>
  <c r="AF64" i="69"/>
  <c r="AA64" i="69"/>
  <c r="Y64" i="69"/>
  <c r="AB64" i="69"/>
  <c r="Z64" i="69"/>
  <c r="AH64" i="69"/>
  <c r="X64" i="69"/>
  <c r="AG64" i="69"/>
  <c r="AE64" i="69"/>
  <c r="AC64" i="69"/>
  <c r="Y80" i="69"/>
  <c r="AG80" i="69"/>
  <c r="Z80" i="69"/>
  <c r="AD80" i="69"/>
  <c r="AE80" i="69"/>
  <c r="AH80" i="69"/>
  <c r="AA80" i="69"/>
  <c r="AC80" i="69"/>
  <c r="AB80" i="69"/>
  <c r="AF80" i="69"/>
  <c r="X80" i="69"/>
  <c r="M67" i="52"/>
  <c r="AW67" i="68"/>
  <c r="AS67" i="68"/>
  <c r="AV67" i="68"/>
  <c r="BC67" i="68"/>
  <c r="AM67" i="68"/>
  <c r="AT67" i="68"/>
  <c r="AO67" i="68"/>
  <c r="AR67" i="68"/>
  <c r="AU67" i="68"/>
  <c r="AX67" i="68"/>
  <c r="AN67" i="68"/>
  <c r="AQ67" i="68"/>
  <c r="AP67" i="68"/>
  <c r="BD67" i="68"/>
  <c r="AJ67" i="68"/>
  <c r="AI67" i="68"/>
  <c r="AL67" i="68"/>
  <c r="AK67" i="68"/>
  <c r="AZ67" i="68"/>
  <c r="AY67" i="68"/>
  <c r="BB67" i="68"/>
  <c r="BA67" i="68"/>
  <c r="AR75" i="68"/>
  <c r="AY75" i="68"/>
  <c r="AI75" i="68"/>
  <c r="AP75" i="68"/>
  <c r="BD75" i="68"/>
  <c r="AN75" i="68"/>
  <c r="AU75" i="68"/>
  <c r="BB75" i="68"/>
  <c r="AL75" i="68"/>
  <c r="AO75" i="68"/>
  <c r="AZ75" i="68"/>
  <c r="AJ75" i="68"/>
  <c r="AQ75" i="68"/>
  <c r="AX75" i="68"/>
  <c r="BA75" i="68"/>
  <c r="AM75" i="68"/>
  <c r="AT75" i="68"/>
  <c r="AV75" i="68"/>
  <c r="AW75" i="68"/>
  <c r="AK75" i="68"/>
  <c r="BC75" i="68"/>
  <c r="AS75" i="68"/>
  <c r="AS83" i="68"/>
  <c r="AV83" i="68"/>
  <c r="BC83" i="68"/>
  <c r="AM83" i="68"/>
  <c r="AX83" i="68"/>
  <c r="P83" i="68"/>
  <c r="AZ83" i="68"/>
  <c r="AY83" i="68"/>
  <c r="R83" i="68"/>
  <c r="AL83" i="68"/>
  <c r="AW83" i="68"/>
  <c r="AR83" i="68"/>
  <c r="AU83" i="68"/>
  <c r="BB83" i="68"/>
  <c r="AO83" i="68"/>
  <c r="AN83" i="68"/>
  <c r="AQ83" i="68"/>
  <c r="AT83" i="68"/>
  <c r="AK83" i="68"/>
  <c r="BD83" i="68"/>
  <c r="AJ83" i="68"/>
  <c r="AI83" i="68"/>
  <c r="AP83" i="68"/>
  <c r="BA83" i="68"/>
  <c r="AY91" i="68"/>
  <c r="BB91" i="68"/>
  <c r="AL91" i="68"/>
  <c r="AO91" i="68"/>
  <c r="AN91" i="68"/>
  <c r="AZ91" i="68"/>
  <c r="AI91" i="68"/>
  <c r="BA91" i="68"/>
  <c r="BD91" i="68"/>
  <c r="AM91" i="68"/>
  <c r="AQ91" i="68"/>
  <c r="AX91" i="68"/>
  <c r="AW91" i="68"/>
  <c r="AV91" i="68"/>
  <c r="AR91" i="68"/>
  <c r="AT91" i="68"/>
  <c r="AS91" i="68"/>
  <c r="BC91" i="68"/>
  <c r="AJ91" i="68"/>
  <c r="AP91" i="68"/>
  <c r="AK91" i="68"/>
  <c r="AU91" i="68"/>
  <c r="AS99" i="68"/>
  <c r="AZ99" i="68"/>
  <c r="AQ99" i="68"/>
  <c r="AR99" i="68"/>
  <c r="AN99" i="68"/>
  <c r="AO99" i="68"/>
  <c r="BC99" i="68"/>
  <c r="AM99" i="68"/>
  <c r="AJ99" i="68"/>
  <c r="AL99" i="68"/>
  <c r="BA99" i="68"/>
  <c r="AK99" i="68"/>
  <c r="AY99" i="68"/>
  <c r="AI99" i="68"/>
  <c r="AX99" i="68"/>
  <c r="AV99" i="68"/>
  <c r="BD99" i="68"/>
  <c r="AU99" i="68"/>
  <c r="BB99" i="68"/>
  <c r="AW99" i="68"/>
  <c r="AP99" i="68"/>
  <c r="AT99" i="68"/>
  <c r="AP107" i="68"/>
  <c r="AO107" i="68"/>
  <c r="AV107" i="68"/>
  <c r="BC107" i="68"/>
  <c r="AM107" i="68"/>
  <c r="AX107" i="68"/>
  <c r="AW107" i="68"/>
  <c r="AZ107" i="68"/>
  <c r="AY107" i="68"/>
  <c r="BB107" i="68"/>
  <c r="AS107" i="68"/>
  <c r="AR107" i="68"/>
  <c r="AU107" i="68"/>
  <c r="AL107" i="68"/>
  <c r="AK107" i="68"/>
  <c r="AN107" i="68"/>
  <c r="AQ107" i="68"/>
  <c r="AT107" i="68"/>
  <c r="BA107" i="68"/>
  <c r="BD107" i="68"/>
  <c r="AJ107" i="68"/>
  <c r="AI107" i="68"/>
  <c r="AC57" i="69"/>
  <c r="X57" i="69"/>
  <c r="Z57" i="69"/>
  <c r="AG57" i="69"/>
  <c r="AE57" i="69"/>
  <c r="Y57" i="69"/>
  <c r="AA57" i="69"/>
  <c r="AF57" i="69"/>
  <c r="AD57" i="69"/>
  <c r="AB57" i="69"/>
  <c r="AH57" i="69"/>
  <c r="AB73" i="69"/>
  <c r="Z73" i="69"/>
  <c r="Y73" i="69"/>
  <c r="AD73" i="69"/>
  <c r="AG73" i="69"/>
  <c r="AF73" i="69"/>
  <c r="AA73" i="69"/>
  <c r="X73" i="69"/>
  <c r="AE73" i="69"/>
  <c r="AH73" i="69"/>
  <c r="AC73" i="69"/>
  <c r="AA89" i="69"/>
  <c r="AH89" i="69"/>
  <c r="AF89" i="69"/>
  <c r="AC89" i="69"/>
  <c r="X89" i="69"/>
  <c r="Y89" i="69"/>
  <c r="AB89" i="69"/>
  <c r="AE89" i="69"/>
  <c r="Z89" i="69"/>
  <c r="AG89" i="69"/>
  <c r="AD89" i="69"/>
  <c r="AS68" i="68"/>
  <c r="AV68" i="68"/>
  <c r="BC68" i="68"/>
  <c r="AM68" i="68"/>
  <c r="AT68" i="68"/>
  <c r="AR68" i="68"/>
  <c r="AY68" i="68"/>
  <c r="AI68" i="68"/>
  <c r="AP68" i="68"/>
  <c r="BD68" i="68"/>
  <c r="AN68" i="68"/>
  <c r="AU68" i="68"/>
  <c r="BB68" i="68"/>
  <c r="AL68" i="68"/>
  <c r="AQ68" i="68"/>
  <c r="AW68" i="68"/>
  <c r="AO68" i="68"/>
  <c r="AX68" i="68"/>
  <c r="AK68" i="68"/>
  <c r="AZ68" i="68"/>
  <c r="BA68" i="68"/>
  <c r="AJ68" i="68"/>
  <c r="AS76" i="68"/>
  <c r="BD76" i="68"/>
  <c r="AN76" i="68"/>
  <c r="AU76" i="68"/>
  <c r="BB76" i="68"/>
  <c r="AL76" i="68"/>
  <c r="AZ76" i="68"/>
  <c r="AJ76" i="68"/>
  <c r="AQ76" i="68"/>
  <c r="AX76" i="68"/>
  <c r="AV76" i="68"/>
  <c r="BC76" i="68"/>
  <c r="AM76" i="68"/>
  <c r="AT76" i="68"/>
  <c r="AW76" i="68"/>
  <c r="AY76" i="68"/>
  <c r="BA76" i="68"/>
  <c r="AI76" i="68"/>
  <c r="AP76" i="68"/>
  <c r="AR76" i="68"/>
  <c r="AK76" i="68"/>
  <c r="AO76" i="68"/>
  <c r="AS84" i="68"/>
  <c r="AZ84" i="68"/>
  <c r="AJ84" i="68"/>
  <c r="AM84" i="68"/>
  <c r="AX84" i="68"/>
  <c r="AV84" i="68"/>
  <c r="AY84" i="68"/>
  <c r="AI84" i="68"/>
  <c r="AT84" i="68"/>
  <c r="BB84" i="68"/>
  <c r="AR84" i="68"/>
  <c r="AU84" i="68"/>
  <c r="R84" i="68"/>
  <c r="AP84" i="68"/>
  <c r="AW84" i="68"/>
  <c r="AO84" i="68"/>
  <c r="AN84" i="68"/>
  <c r="AQ84" i="68"/>
  <c r="P84" i="68"/>
  <c r="AK84" i="68"/>
  <c r="BD84" i="68"/>
  <c r="BC84" i="68"/>
  <c r="BA84" i="68"/>
  <c r="AL84" i="68"/>
  <c r="AM92" i="68"/>
  <c r="AP92" i="68"/>
  <c r="AS92" i="68"/>
  <c r="AR92" i="68"/>
  <c r="AI92" i="68"/>
  <c r="AX92" i="68"/>
  <c r="BA92" i="68"/>
  <c r="AK92" i="68"/>
  <c r="AY92" i="68"/>
  <c r="AV92" i="68"/>
  <c r="AW92" i="68"/>
  <c r="AQ92" i="68"/>
  <c r="BB92" i="68"/>
  <c r="AO92" i="68"/>
  <c r="BD92" i="68"/>
  <c r="AU92" i="68"/>
  <c r="AT92" i="68"/>
  <c r="AZ92" i="68"/>
  <c r="AN92" i="68"/>
  <c r="BC92" i="68"/>
  <c r="AL92" i="68"/>
  <c r="AJ92" i="68"/>
  <c r="AO100" i="68"/>
  <c r="AV100" i="68"/>
  <c r="BC100" i="68"/>
  <c r="AM100" i="68"/>
  <c r="AL100" i="68"/>
  <c r="AW100" i="68"/>
  <c r="BD100" i="68"/>
  <c r="AN100" i="68"/>
  <c r="AU100" i="68"/>
  <c r="AP100" i="68"/>
  <c r="AT100" i="68"/>
  <c r="AZ100" i="68"/>
  <c r="AQ100" i="68"/>
  <c r="BA100" i="68"/>
  <c r="AR100" i="68"/>
  <c r="AI100" i="68"/>
  <c r="AS100" i="68"/>
  <c r="AJ100" i="68"/>
  <c r="BB100" i="68"/>
  <c r="AK100" i="68"/>
  <c r="AY100" i="68"/>
  <c r="AX100" i="68"/>
  <c r="BA108" i="68"/>
  <c r="AK108" i="68"/>
  <c r="AR108" i="68"/>
  <c r="AY108" i="68"/>
  <c r="AI108" i="68"/>
  <c r="AX108" i="68"/>
  <c r="AS108" i="68"/>
  <c r="AZ108" i="68"/>
  <c r="AJ108" i="68"/>
  <c r="AQ108" i="68"/>
  <c r="BB108" i="68"/>
  <c r="AO108" i="68"/>
  <c r="BC108" i="68"/>
  <c r="AL108" i="68"/>
  <c r="BD108" i="68"/>
  <c r="AU108" i="68"/>
  <c r="AT108" i="68"/>
  <c r="AV108" i="68"/>
  <c r="AM108" i="68"/>
  <c r="AW108" i="68"/>
  <c r="AN108" i="68"/>
  <c r="AP108" i="68"/>
  <c r="Y46" i="57"/>
  <c r="X46" i="57"/>
  <c r="AE58" i="69"/>
  <c r="AF58" i="69"/>
  <c r="AB58" i="69"/>
  <c r="X58" i="69"/>
  <c r="AD58" i="69"/>
  <c r="AC58" i="69"/>
  <c r="Z58" i="69"/>
  <c r="AG58" i="69"/>
  <c r="AH58" i="69"/>
  <c r="AA58" i="69"/>
  <c r="Y58" i="69"/>
  <c r="AG74" i="69"/>
  <c r="AD74" i="69"/>
  <c r="X74" i="69"/>
  <c r="AB74" i="69"/>
  <c r="Y74" i="69"/>
  <c r="AH74" i="69"/>
  <c r="AC74" i="69"/>
  <c r="Z74" i="69"/>
  <c r="AA74" i="69"/>
  <c r="AE74" i="69"/>
  <c r="AF74" i="69"/>
  <c r="AE57" i="53"/>
  <c r="AG57" i="53"/>
  <c r="AA57" i="53"/>
  <c r="AA62" i="53" s="1"/>
  <c r="AF57" i="53"/>
  <c r="Z57" i="53"/>
  <c r="Z62" i="53" s="1"/>
  <c r="AG51" i="69"/>
  <c r="AH51" i="69"/>
  <c r="AD51" i="69"/>
  <c r="Z51" i="69"/>
  <c r="AA51" i="69"/>
  <c r="X51" i="69"/>
  <c r="AC51" i="69"/>
  <c r="AB51" i="69"/>
  <c r="AE51" i="69"/>
  <c r="I8" i="71" s="1"/>
  <c r="AF51" i="69"/>
  <c r="Y51" i="69"/>
  <c r="AF67" i="69"/>
  <c r="AD67" i="69"/>
  <c r="Y67" i="69"/>
  <c r="AA67" i="69"/>
  <c r="AB67" i="69"/>
  <c r="Z67" i="69"/>
  <c r="AG67" i="69"/>
  <c r="X67" i="69"/>
  <c r="AE67" i="69"/>
  <c r="AC67" i="69"/>
  <c r="AH67" i="69"/>
  <c r="Z83" i="69"/>
  <c r="AD83" i="69"/>
  <c r="AB83" i="69"/>
  <c r="Y83" i="69"/>
  <c r="AH83" i="69"/>
  <c r="X83" i="69"/>
  <c r="AG83" i="69"/>
  <c r="AF83" i="69"/>
  <c r="AC83" i="69"/>
  <c r="AA83" i="69"/>
  <c r="AE83" i="69"/>
  <c r="M74" i="52"/>
  <c r="AE52" i="69"/>
  <c r="AF52" i="69"/>
  <c r="AB52" i="69"/>
  <c r="X52" i="69"/>
  <c r="AG52" i="69"/>
  <c r="AD52" i="69"/>
  <c r="AC52" i="69"/>
  <c r="AH52" i="69"/>
  <c r="AA52" i="69"/>
  <c r="Y52" i="69"/>
  <c r="Z52" i="69"/>
  <c r="AG68" i="69"/>
  <c r="AD68" i="69"/>
  <c r="X68" i="69"/>
  <c r="AE68" i="69"/>
  <c r="Y68" i="69"/>
  <c r="AB68" i="69"/>
  <c r="Z68" i="69"/>
  <c r="AF68" i="69"/>
  <c r="AA68" i="69"/>
  <c r="AH68" i="69"/>
  <c r="AC68" i="69"/>
  <c r="AD84" i="69"/>
  <c r="AC84" i="69"/>
  <c r="AB84" i="69"/>
  <c r="AE84" i="69"/>
  <c r="X84" i="69"/>
  <c r="Y84" i="69"/>
  <c r="AG84" i="69"/>
  <c r="AA84" i="69"/>
  <c r="AF84" i="69"/>
  <c r="AH84" i="69"/>
  <c r="Z84" i="69"/>
  <c r="M8" i="52"/>
  <c r="M7" i="52"/>
  <c r="M11" i="52"/>
  <c r="M18" i="52"/>
  <c r="M16" i="52"/>
  <c r="M17" i="52"/>
  <c r="M15" i="52"/>
  <c r="M12" i="52"/>
  <c r="AW79" i="68"/>
  <c r="AO79" i="68"/>
  <c r="AZ79" i="68"/>
  <c r="AJ79" i="68"/>
  <c r="AQ79" i="68"/>
  <c r="AX79" i="68"/>
  <c r="AK79" i="68"/>
  <c r="AV79" i="68"/>
  <c r="AY79" i="68"/>
  <c r="BB79" i="68"/>
  <c r="AR79" i="68"/>
  <c r="AU79" i="68"/>
  <c r="AT79" i="68"/>
  <c r="AS79" i="68"/>
  <c r="AN79" i="68"/>
  <c r="AM79" i="68"/>
  <c r="AP79" i="68"/>
  <c r="BA79" i="68"/>
  <c r="BD79" i="68"/>
  <c r="BC79" i="68"/>
  <c r="AI79" i="68"/>
  <c r="AL79" i="68"/>
  <c r="AT87" i="68"/>
  <c r="AW87" i="68"/>
  <c r="P87" i="68"/>
  <c r="BC87" i="68"/>
  <c r="AR87" i="68"/>
  <c r="AI87" i="68"/>
  <c r="AP87" i="68"/>
  <c r="AS87" i="68"/>
  <c r="BD87" i="68"/>
  <c r="AU87" i="68"/>
  <c r="AJ87" i="68"/>
  <c r="BB87" i="68"/>
  <c r="AL87" i="68"/>
  <c r="AO87" i="68"/>
  <c r="AV87" i="68"/>
  <c r="AM87" i="68"/>
  <c r="AK87" i="68"/>
  <c r="AY87" i="68"/>
  <c r="AN87" i="68"/>
  <c r="AX87" i="68"/>
  <c r="AZ87" i="68"/>
  <c r="BA87" i="68"/>
  <c r="AQ87" i="68"/>
  <c r="R87" i="68"/>
  <c r="AW103" i="68"/>
  <c r="BD103" i="68"/>
  <c r="AN103" i="68"/>
  <c r="AU103" i="68"/>
  <c r="BB103" i="68"/>
  <c r="AP103" i="68"/>
  <c r="AS103" i="68"/>
  <c r="AV103" i="68"/>
  <c r="AY103" i="68"/>
  <c r="AL103" i="68"/>
  <c r="AO103" i="68"/>
  <c r="AR103" i="68"/>
  <c r="AQ103" i="68"/>
  <c r="AX103" i="68"/>
  <c r="AK103" i="68"/>
  <c r="AJ103" i="68"/>
  <c r="AM103" i="68"/>
  <c r="AT103" i="68"/>
  <c r="BA103" i="68"/>
  <c r="AZ103" i="68"/>
  <c r="BC103" i="68"/>
  <c r="AI103" i="68"/>
  <c r="Y65" i="69"/>
  <c r="AG65" i="69"/>
  <c r="AE65" i="69"/>
  <c r="AC65" i="69"/>
  <c r="AF65" i="69"/>
  <c r="AA65" i="69"/>
  <c r="X65" i="69"/>
  <c r="AD65" i="69"/>
  <c r="AB65" i="69"/>
  <c r="AH65" i="69"/>
  <c r="Z65" i="69"/>
  <c r="AE81" i="69"/>
  <c r="AD81" i="69"/>
  <c r="Z81" i="69"/>
  <c r="AA81" i="69"/>
  <c r="AG81" i="69"/>
  <c r="AH81" i="69"/>
  <c r="X81" i="69"/>
  <c r="AC81" i="69"/>
  <c r="AB81" i="69"/>
  <c r="Y81" i="69"/>
  <c r="AF81" i="69"/>
  <c r="BA64" i="68"/>
  <c r="AS64" i="68"/>
  <c r="AK64" i="68"/>
  <c r="AZ64" i="68"/>
  <c r="AJ64" i="68"/>
  <c r="AP64" i="68"/>
  <c r="AV64" i="68"/>
  <c r="BB64" i="68"/>
  <c r="AL64" i="68"/>
  <c r="AR64" i="68"/>
  <c r="AX64" i="68"/>
  <c r="AU64" i="68"/>
  <c r="AW64" i="68"/>
  <c r="AI64" i="68"/>
  <c r="AN64" i="68"/>
  <c r="AY64" i="68"/>
  <c r="AT64" i="68"/>
  <c r="AM64" i="68"/>
  <c r="BC64" i="68"/>
  <c r="BD64" i="68"/>
  <c r="AO64" i="68"/>
  <c r="AQ64" i="68"/>
  <c r="AS72" i="68"/>
  <c r="AZ72" i="68"/>
  <c r="AJ72" i="68"/>
  <c r="AQ72" i="68"/>
  <c r="AX72" i="68"/>
  <c r="AV72" i="68"/>
  <c r="BC72" i="68"/>
  <c r="AM72" i="68"/>
  <c r="AT72" i="68"/>
  <c r="AR72" i="68"/>
  <c r="AY72" i="68"/>
  <c r="AI72" i="68"/>
  <c r="AP72" i="68"/>
  <c r="AW72" i="68"/>
  <c r="AO72" i="68"/>
  <c r="AU72" i="68"/>
  <c r="AK72" i="68"/>
  <c r="BB72" i="68"/>
  <c r="BA72" i="68"/>
  <c r="BD72" i="68"/>
  <c r="AL72" i="68"/>
  <c r="AN72" i="68"/>
  <c r="BA96" i="68"/>
  <c r="AK96" i="68"/>
  <c r="AQ96" i="68"/>
  <c r="AV96" i="68"/>
  <c r="AL96" i="68"/>
  <c r="AJ96" i="68"/>
  <c r="AS96" i="68"/>
  <c r="AY96" i="68"/>
  <c r="AI96" i="68"/>
  <c r="BB96" i="68"/>
  <c r="AP96" i="68"/>
  <c r="AO96" i="68"/>
  <c r="BD96" i="68"/>
  <c r="AZ96" i="68"/>
  <c r="BC96" i="68"/>
  <c r="AN96" i="68"/>
  <c r="AU96" i="68"/>
  <c r="AT96" i="68"/>
  <c r="AX96" i="68"/>
  <c r="AW96" i="68"/>
  <c r="AM96" i="68"/>
  <c r="AR96" i="68"/>
  <c r="AW104" i="68"/>
  <c r="BD104" i="68"/>
  <c r="AN104" i="68"/>
  <c r="AU104" i="68"/>
  <c r="AP104" i="68"/>
  <c r="AO104" i="68"/>
  <c r="AV104" i="68"/>
  <c r="BC104" i="68"/>
  <c r="AM104" i="68"/>
  <c r="AL104" i="68"/>
  <c r="BA104" i="68"/>
  <c r="AR104" i="68"/>
  <c r="AI104" i="68"/>
  <c r="AS104" i="68"/>
  <c r="AJ104" i="68"/>
  <c r="BB104" i="68"/>
  <c r="AT104" i="68"/>
  <c r="AK104" i="68"/>
  <c r="AY104" i="68"/>
  <c r="AX104" i="68"/>
  <c r="AZ104" i="68"/>
  <c r="AQ104" i="68"/>
  <c r="AB46" i="56"/>
  <c r="U50" i="56"/>
  <c r="P46" i="56"/>
  <c r="Y46" i="56"/>
  <c r="T50" i="56"/>
  <c r="Q46" i="56"/>
  <c r="X46" i="56"/>
  <c r="X51" i="56" s="1"/>
  <c r="N46" i="56"/>
  <c r="O46" i="56"/>
  <c r="M50" i="56"/>
  <c r="S46" i="56"/>
  <c r="Z46" i="56"/>
  <c r="Z51" i="56" s="1"/>
  <c r="V50" i="56"/>
  <c r="R46" i="56"/>
  <c r="R51" i="56" s="1"/>
  <c r="AA46" i="56"/>
  <c r="V46" i="56"/>
  <c r="V51" i="56" s="1"/>
  <c r="P50" i="56"/>
  <c r="L46" i="56"/>
  <c r="T46" i="56"/>
  <c r="T51" i="56" s="1"/>
  <c r="N50" i="56"/>
  <c r="M46" i="56"/>
  <c r="M51" i="56" s="1"/>
  <c r="U46" i="56"/>
  <c r="U51" i="56" s="1"/>
  <c r="O50" i="56"/>
  <c r="W46" i="56"/>
  <c r="AE66" i="69"/>
  <c r="Z66" i="69"/>
  <c r="AC66" i="69"/>
  <c r="AA66" i="69"/>
  <c r="Y66" i="69"/>
  <c r="AH66" i="69"/>
  <c r="AD66" i="69"/>
  <c r="AG66" i="69"/>
  <c r="AF66" i="69"/>
  <c r="AB66" i="69"/>
  <c r="X66" i="69"/>
  <c r="X59" i="52"/>
  <c r="X64" i="52" s="1"/>
  <c r="W59" i="52"/>
  <c r="W64" i="52" s="1"/>
  <c r="AE59" i="52"/>
  <c r="AE64" i="52" s="1"/>
  <c r="O59" i="52"/>
  <c r="O64" i="52" s="1"/>
  <c r="R59" i="52"/>
  <c r="R64" i="52" s="1"/>
  <c r="Y59" i="52"/>
  <c r="Q59" i="52"/>
  <c r="Q64" i="52" s="1"/>
  <c r="V59" i="52"/>
  <c r="AC59" i="52"/>
  <c r="AC64" i="52" s="1"/>
  <c r="AI59" i="52"/>
  <c r="AI64" i="52" s="1"/>
  <c r="AH59" i="52"/>
  <c r="AH64" i="52" s="1"/>
  <c r="P59" i="52"/>
  <c r="P64" i="52" s="1"/>
  <c r="U59" i="52"/>
  <c r="U64" i="52" s="1"/>
  <c r="AA59" i="52"/>
  <c r="AF59" i="52"/>
  <c r="AF64" i="52" s="1"/>
  <c r="L59" i="52"/>
  <c r="L64" i="52" s="1"/>
  <c r="S59" i="52"/>
  <c r="S64" i="52" s="1"/>
  <c r="Z59" i="52"/>
  <c r="M26" i="52"/>
  <c r="M33" i="52"/>
  <c r="M41" i="52"/>
  <c r="M49" i="52"/>
  <c r="M27" i="52"/>
  <c r="M30" i="52"/>
  <c r="M38" i="52"/>
  <c r="M46" i="52"/>
  <c r="M47" i="52"/>
  <c r="M36" i="52"/>
  <c r="M35" i="52"/>
  <c r="M43" i="52"/>
  <c r="M51" i="52"/>
  <c r="M29" i="52"/>
  <c r="M32" i="52"/>
  <c r="M40" i="52"/>
  <c r="M48" i="52"/>
  <c r="M28" i="52"/>
  <c r="M39" i="52"/>
  <c r="M22" i="52"/>
  <c r="M52" i="52"/>
  <c r="M54" i="52"/>
  <c r="M23" i="52"/>
  <c r="M24" i="52"/>
  <c r="M37" i="52"/>
  <c r="M45" i="52"/>
  <c r="M53" i="52"/>
  <c r="M21" i="52"/>
  <c r="M34" i="52"/>
  <c r="M42" i="52"/>
  <c r="M50" i="52"/>
  <c r="M31" i="52"/>
  <c r="M55" i="52"/>
  <c r="M25" i="52"/>
  <c r="M44" i="52"/>
  <c r="Y75" i="69"/>
  <c r="AG75" i="69"/>
  <c r="X75" i="69"/>
  <c r="AE75" i="69"/>
  <c r="AB75" i="69"/>
  <c r="AH75" i="69"/>
  <c r="AD75" i="69"/>
  <c r="AF75" i="69"/>
  <c r="Z75" i="69"/>
  <c r="AA75" i="69"/>
  <c r="AC75" i="69"/>
  <c r="AY63" i="68"/>
  <c r="AO63" i="68"/>
  <c r="AQ63" i="68"/>
  <c r="AV63" i="68"/>
  <c r="BB63" i="68"/>
  <c r="AL63" i="68"/>
  <c r="AK63" i="68"/>
  <c r="AI63" i="68"/>
  <c r="AR63" i="68"/>
  <c r="AT63" i="68"/>
  <c r="AM63" i="68"/>
  <c r="F8" i="70" s="1"/>
  <c r="AN63" i="68"/>
  <c r="AP63" i="68"/>
  <c r="AS63" i="68"/>
  <c r="AU63" i="68"/>
  <c r="BD63" i="68"/>
  <c r="AJ63" i="68"/>
  <c r="BA63" i="68"/>
  <c r="BC63" i="68"/>
  <c r="AZ63" i="68"/>
  <c r="AX63" i="68"/>
  <c r="AW63" i="68"/>
  <c r="P10" i="70" s="1"/>
  <c r="Y61" i="69"/>
  <c r="AE61" i="69"/>
  <c r="Z61" i="69"/>
  <c r="AG61" i="69"/>
  <c r="X61" i="69"/>
  <c r="AC61" i="69"/>
  <c r="AA61" i="69"/>
  <c r="AF61" i="69"/>
  <c r="AH61" i="69"/>
  <c r="AB61" i="69"/>
  <c r="AD61" i="69"/>
  <c r="X77" i="69"/>
  <c r="AA77" i="69"/>
  <c r="AE77" i="69"/>
  <c r="AD77" i="69"/>
  <c r="AG77" i="69"/>
  <c r="AF77" i="69"/>
  <c r="Z77" i="69"/>
  <c r="AB77" i="69"/>
  <c r="AC77" i="69"/>
  <c r="AH77" i="69"/>
  <c r="Y77" i="69"/>
  <c r="AE50" i="69"/>
  <c r="AB50" i="69"/>
  <c r="X50" i="69"/>
  <c r="AF50" i="69"/>
  <c r="AC50" i="69"/>
  <c r="AH50" i="69"/>
  <c r="AG50" i="69"/>
  <c r="Z50" i="69"/>
  <c r="AA50" i="69"/>
  <c r="Y50" i="69"/>
  <c r="AD50" i="69"/>
  <c r="AE62" i="69"/>
  <c r="AF62" i="69"/>
  <c r="AB62" i="69"/>
  <c r="X62" i="69"/>
  <c r="Z62" i="69"/>
  <c r="AH62" i="69"/>
  <c r="Y62" i="69"/>
  <c r="AC62" i="69"/>
  <c r="AA62" i="69"/>
  <c r="AG62" i="69"/>
  <c r="AD62" i="69"/>
  <c r="AH78" i="69"/>
  <c r="AG78" i="69"/>
  <c r="AF78" i="69"/>
  <c r="X78" i="69"/>
  <c r="AB78" i="69"/>
  <c r="Z78" i="69"/>
  <c r="AD78" i="69"/>
  <c r="AC78" i="69"/>
  <c r="AE78" i="69"/>
  <c r="Y78" i="69"/>
  <c r="AA78" i="69"/>
  <c r="AA57" i="55"/>
  <c r="BA65" i="68"/>
  <c r="AW65" i="68"/>
  <c r="AK65" i="68"/>
  <c r="AZ65" i="68"/>
  <c r="AJ65" i="68"/>
  <c r="AQ65" i="68"/>
  <c r="AX65" i="68"/>
  <c r="AR65" i="68"/>
  <c r="AU65" i="68"/>
  <c r="AT65" i="68"/>
  <c r="AO65" i="68"/>
  <c r="AN65" i="68"/>
  <c r="AM65" i="68"/>
  <c r="AP65" i="68"/>
  <c r="AS65" i="68"/>
  <c r="BD65" i="68"/>
  <c r="BC65" i="68"/>
  <c r="AI65" i="68"/>
  <c r="AL65" i="68"/>
  <c r="AV65" i="68"/>
  <c r="AY65" i="68"/>
  <c r="BB65" i="68"/>
  <c r="BA73" i="68"/>
  <c r="AW73" i="68"/>
  <c r="AR73" i="68"/>
  <c r="AY73" i="68"/>
  <c r="AI73" i="68"/>
  <c r="AP73" i="68"/>
  <c r="AO73" i="68"/>
  <c r="AZ73" i="68"/>
  <c r="BC73" i="68"/>
  <c r="BB73" i="68"/>
  <c r="AS73" i="68"/>
  <c r="AV73" i="68"/>
  <c r="AU73" i="68"/>
  <c r="AX73" i="68"/>
  <c r="AK73" i="68"/>
  <c r="AN73" i="68"/>
  <c r="AQ73" i="68"/>
  <c r="AT73" i="68"/>
  <c r="BD73" i="68"/>
  <c r="AJ73" i="68"/>
  <c r="AM73" i="68"/>
  <c r="AL73" i="68"/>
  <c r="M71" i="52"/>
  <c r="M69" i="52" s="1"/>
  <c r="M75" i="52" s="1"/>
  <c r="BA81" i="68"/>
  <c r="P81" i="68"/>
  <c r="AW81" i="68"/>
  <c r="AZ81" i="68"/>
  <c r="AJ81" i="68"/>
  <c r="AQ81" i="68"/>
  <c r="BB81" i="68"/>
  <c r="AL81" i="68"/>
  <c r="AN81" i="68"/>
  <c r="AM81" i="68"/>
  <c r="AT81" i="68"/>
  <c r="AS81" i="68"/>
  <c r="BD81" i="68"/>
  <c r="BC81" i="68"/>
  <c r="AI81" i="68"/>
  <c r="AP81" i="68"/>
  <c r="AV81" i="68"/>
  <c r="AY81" i="68"/>
  <c r="R81" i="68"/>
  <c r="AK81" i="68"/>
  <c r="AR81" i="68"/>
  <c r="AU81" i="68"/>
  <c r="AX81" i="68"/>
  <c r="AO81" i="68"/>
  <c r="AY89" i="68"/>
  <c r="AQ89" i="68"/>
  <c r="BB89" i="68"/>
  <c r="AL89" i="68"/>
  <c r="AO89" i="68"/>
  <c r="AV89" i="68"/>
  <c r="AM89" i="68"/>
  <c r="AI89" i="68"/>
  <c r="R89" i="68"/>
  <c r="BA89" i="68"/>
  <c r="P89" i="68"/>
  <c r="AU89" i="68"/>
  <c r="AX89" i="68"/>
  <c r="AW89" i="68"/>
  <c r="BD89" i="68"/>
  <c r="AZ89" i="68"/>
  <c r="AT89" i="68"/>
  <c r="AS89" i="68"/>
  <c r="AN89" i="68"/>
  <c r="AR89" i="68"/>
  <c r="AP89" i="68"/>
  <c r="AK89" i="68"/>
  <c r="BC89" i="68"/>
  <c r="AJ89" i="68"/>
  <c r="AL97" i="68"/>
  <c r="AW97" i="68"/>
  <c r="BC97" i="68"/>
  <c r="AM97" i="68"/>
  <c r="AJ97" i="68"/>
  <c r="AT97" i="68"/>
  <c r="AO97" i="68"/>
  <c r="AQ97" i="68"/>
  <c r="AX97" i="68"/>
  <c r="AN97" i="68"/>
  <c r="BB97" i="68"/>
  <c r="AK97" i="68"/>
  <c r="AI97" i="68"/>
  <c r="AP97" i="68"/>
  <c r="BA97" i="68"/>
  <c r="AY97" i="68"/>
  <c r="AZ97" i="68"/>
  <c r="AV97" i="68"/>
  <c r="AS97" i="68"/>
  <c r="AU97" i="68"/>
  <c r="AR97" i="68"/>
  <c r="BD97" i="68"/>
  <c r="M73" i="52"/>
  <c r="BA105" i="68"/>
  <c r="AK105" i="68"/>
  <c r="AR105" i="68"/>
  <c r="AY105" i="68"/>
  <c r="AI105" i="68"/>
  <c r="AX105" i="68"/>
  <c r="BD105" i="68"/>
  <c r="AJ105" i="68"/>
  <c r="AM105" i="68"/>
  <c r="AL105" i="68"/>
  <c r="AW105" i="68"/>
  <c r="AZ105" i="68"/>
  <c r="BC105" i="68"/>
  <c r="AT105" i="68"/>
  <c r="AS105" i="68"/>
  <c r="AV105" i="68"/>
  <c r="AU105" i="68"/>
  <c r="AP105" i="68"/>
  <c r="AO105" i="68"/>
  <c r="AN105" i="68"/>
  <c r="AQ105" i="68"/>
  <c r="BB105" i="68"/>
  <c r="AG55" i="69"/>
  <c r="AD55" i="69"/>
  <c r="Z55" i="69"/>
  <c r="AH55" i="69"/>
  <c r="AA55" i="69"/>
  <c r="AE55" i="69"/>
  <c r="AB55" i="69"/>
  <c r="AC55" i="69"/>
  <c r="AF55" i="69"/>
  <c r="X55" i="69"/>
  <c r="Y55" i="69"/>
  <c r="AC71" i="69"/>
  <c r="AB71" i="69"/>
  <c r="AF71" i="69"/>
  <c r="AD71" i="69"/>
  <c r="X71" i="69"/>
  <c r="AG71" i="69"/>
  <c r="Z71" i="69"/>
  <c r="AE71" i="69"/>
  <c r="AA71" i="69"/>
  <c r="AH71" i="69"/>
  <c r="Y71" i="69"/>
  <c r="AB87" i="69"/>
  <c r="X87" i="69"/>
  <c r="AC87" i="69"/>
  <c r="Z87" i="69"/>
  <c r="AE87" i="69"/>
  <c r="AD87" i="69"/>
  <c r="AA87" i="69"/>
  <c r="AH87" i="69"/>
  <c r="AF87" i="69"/>
  <c r="AG87" i="69"/>
  <c r="Y87" i="69"/>
  <c r="AS66" i="68"/>
  <c r="BA66" i="68"/>
  <c r="AK66" i="68"/>
  <c r="AR66" i="68"/>
  <c r="AY66" i="68"/>
  <c r="AI66" i="68"/>
  <c r="AP66" i="68"/>
  <c r="AW66" i="68"/>
  <c r="AZ66" i="68"/>
  <c r="BC66" i="68"/>
  <c r="BB66" i="68"/>
  <c r="AV66" i="68"/>
  <c r="AU66" i="68"/>
  <c r="AX66" i="68"/>
  <c r="AN66" i="68"/>
  <c r="AQ66" i="68"/>
  <c r="AT66" i="68"/>
  <c r="AO66" i="68"/>
  <c r="BD66" i="68"/>
  <c r="AJ66" i="68"/>
  <c r="AM66" i="68"/>
  <c r="AL66" i="68"/>
  <c r="AS74" i="68"/>
  <c r="BA74" i="68"/>
  <c r="AK74" i="68"/>
  <c r="AO74" i="68"/>
  <c r="AZ74" i="68"/>
  <c r="AJ74" i="68"/>
  <c r="AQ74" i="68"/>
  <c r="AX74" i="68"/>
  <c r="AN74" i="68"/>
  <c r="AM74" i="68"/>
  <c r="AP74" i="68"/>
  <c r="BD74" i="68"/>
  <c r="BC74" i="68"/>
  <c r="AI74" i="68"/>
  <c r="AL74" i="68"/>
  <c r="AW74" i="68"/>
  <c r="AV74" i="68"/>
  <c r="AY74" i="68"/>
  <c r="BB74" i="68"/>
  <c r="AR74" i="68"/>
  <c r="AU74" i="68"/>
  <c r="AT74" i="68"/>
  <c r="AS82" i="68"/>
  <c r="BA82" i="68"/>
  <c r="AK82" i="68"/>
  <c r="AR82" i="68"/>
  <c r="AY82" i="68"/>
  <c r="AI82" i="68"/>
  <c r="AT82" i="68"/>
  <c r="P82" i="68"/>
  <c r="AO82" i="68"/>
  <c r="AV82" i="68"/>
  <c r="AU82" i="68"/>
  <c r="BB82" i="68"/>
  <c r="AN82" i="68"/>
  <c r="AQ82" i="68"/>
  <c r="AX82" i="68"/>
  <c r="AW82" i="68"/>
  <c r="BD82" i="68"/>
  <c r="AJ82" i="68"/>
  <c r="AM82" i="68"/>
  <c r="AP82" i="68"/>
  <c r="AZ82" i="68"/>
  <c r="BC82" i="68"/>
  <c r="R82" i="68"/>
  <c r="AL82" i="68"/>
  <c r="AU90" i="68"/>
  <c r="AM90" i="68"/>
  <c r="BB90" i="68"/>
  <c r="AL90" i="68"/>
  <c r="AO90" i="68"/>
  <c r="AJ90" i="68"/>
  <c r="BD90" i="68"/>
  <c r="AX90" i="68"/>
  <c r="AW90" i="68"/>
  <c r="AR90" i="68"/>
  <c r="AV90" i="68"/>
  <c r="AT90" i="68"/>
  <c r="AS90" i="68"/>
  <c r="AY90" i="68"/>
  <c r="AN90" i="68"/>
  <c r="AP90" i="68"/>
  <c r="AK90" i="68"/>
  <c r="AQ90" i="68"/>
  <c r="BA90" i="68"/>
  <c r="AZ90" i="68"/>
  <c r="AI90" i="68"/>
  <c r="BC90" i="68"/>
  <c r="AP98" i="68"/>
  <c r="AS98" i="68"/>
  <c r="AY98" i="68"/>
  <c r="AI98" i="68"/>
  <c r="BB98" i="68"/>
  <c r="AJ98" i="68"/>
  <c r="BA98" i="68"/>
  <c r="BC98" i="68"/>
  <c r="BD98" i="68"/>
  <c r="AL98" i="68"/>
  <c r="AW98" i="68"/>
  <c r="AU98" i="68"/>
  <c r="AV98" i="68"/>
  <c r="AZ98" i="68"/>
  <c r="AO98" i="68"/>
  <c r="AQ98" i="68"/>
  <c r="AN98" i="68"/>
  <c r="AX98" i="68"/>
  <c r="AK98" i="68"/>
  <c r="AM98" i="68"/>
  <c r="AT98" i="68"/>
  <c r="AR98" i="68"/>
  <c r="BB106" i="68"/>
  <c r="BA106" i="68"/>
  <c r="AK106" i="68"/>
  <c r="AR106" i="68"/>
  <c r="AY106" i="68"/>
  <c r="AI106" i="68"/>
  <c r="AL106" i="68"/>
  <c r="AW106" i="68"/>
  <c r="AZ106" i="68"/>
  <c r="BC106" i="68"/>
  <c r="AX106" i="68"/>
  <c r="AS106" i="68"/>
  <c r="AV106" i="68"/>
  <c r="AU106" i="68"/>
  <c r="AT106" i="68"/>
  <c r="AO106" i="68"/>
  <c r="AN106" i="68"/>
  <c r="AQ106" i="68"/>
  <c r="AP106" i="68"/>
  <c r="BD106" i="68"/>
  <c r="AJ106" i="68"/>
  <c r="AM106" i="68"/>
  <c r="AE56" i="69"/>
  <c r="AF56" i="69"/>
  <c r="AB56" i="69"/>
  <c r="X56" i="69"/>
  <c r="AG56" i="69"/>
  <c r="Z56" i="69"/>
  <c r="Y56" i="69"/>
  <c r="AA56" i="69"/>
  <c r="AC56" i="69"/>
  <c r="AD56" i="69"/>
  <c r="AH56" i="69"/>
  <c r="AC72" i="69"/>
  <c r="AF72" i="69"/>
  <c r="Y72" i="69"/>
  <c r="AH72" i="69"/>
  <c r="AB72" i="69"/>
  <c r="AE72" i="69"/>
  <c r="AD72" i="69"/>
  <c r="X72" i="69"/>
  <c r="AA72" i="69"/>
  <c r="Z72" i="69"/>
  <c r="AG72" i="69"/>
  <c r="AH88" i="69"/>
  <c r="Z88" i="69"/>
  <c r="AE88" i="69"/>
  <c r="AB88" i="69"/>
  <c r="AG88" i="69"/>
  <c r="AA88" i="69"/>
  <c r="AD88" i="69"/>
  <c r="AC88" i="69"/>
  <c r="AF88" i="69"/>
  <c r="Y88" i="69"/>
  <c r="X88" i="69"/>
  <c r="L47" i="59"/>
  <c r="L47" i="58"/>
  <c r="L51" i="58" s="1"/>
  <c r="L47" i="57"/>
  <c r="L51" i="57" s="1"/>
  <c r="L47" i="56"/>
  <c r="S48" i="59"/>
  <c r="S48" i="58"/>
  <c r="S48" i="57"/>
  <c r="S48" i="56"/>
  <c r="S49" i="59"/>
  <c r="S49" i="58"/>
  <c r="S49" i="57"/>
  <c r="S49" i="56"/>
  <c r="N60" i="52"/>
  <c r="D35" i="5"/>
  <c r="D8" i="71" l="1"/>
  <c r="D6" i="71"/>
  <c r="D10" i="71"/>
  <c r="J10" i="71"/>
  <c r="J8" i="71"/>
  <c r="S17" i="53"/>
  <c r="S13" i="53"/>
  <c r="S16" i="53"/>
  <c r="S14" i="53"/>
  <c r="S21" i="53"/>
  <c r="S33" i="53"/>
  <c r="S48" i="53"/>
  <c r="S37" i="53"/>
  <c r="S52" i="53"/>
  <c r="S35" i="53"/>
  <c r="S25" i="53"/>
  <c r="S55" i="53"/>
  <c r="S30" i="53"/>
  <c r="S23" i="53"/>
  <c r="S11" i="53"/>
  <c r="S7" i="53"/>
  <c r="S9" i="53"/>
  <c r="S12" i="53"/>
  <c r="S26" i="53"/>
  <c r="S49" i="53"/>
  <c r="S31" i="53"/>
  <c r="S53" i="53"/>
  <c r="S47" i="53"/>
  <c r="S42" i="53"/>
  <c r="S27" i="53"/>
  <c r="S50" i="53"/>
  <c r="S20" i="53"/>
  <c r="S10" i="53"/>
  <c r="S24" i="53"/>
  <c r="S32" i="53"/>
  <c r="S36" i="53"/>
  <c r="S28" i="53"/>
  <c r="S18" i="53"/>
  <c r="S22" i="53"/>
  <c r="S5" i="53"/>
  <c r="S29" i="53"/>
  <c r="S8" i="53"/>
  <c r="S43" i="53"/>
  <c r="S34" i="53"/>
  <c r="S51" i="53"/>
  <c r="S38" i="53"/>
  <c r="S40" i="53"/>
  <c r="S46" i="53"/>
  <c r="S44" i="53"/>
  <c r="S15" i="53"/>
  <c r="S19" i="53"/>
  <c r="S6" i="53"/>
  <c r="S54" i="53"/>
  <c r="S41" i="53"/>
  <c r="S39" i="53"/>
  <c r="S45" i="53"/>
  <c r="X48" i="53"/>
  <c r="X49" i="53"/>
  <c r="X20" i="53"/>
  <c r="X47" i="53"/>
  <c r="X36" i="53"/>
  <c r="X28" i="53"/>
  <c r="X13" i="53"/>
  <c r="X39" i="53"/>
  <c r="X14" i="53"/>
  <c r="X24" i="53"/>
  <c r="X5" i="53"/>
  <c r="X10" i="53"/>
  <c r="X8" i="53"/>
  <c r="X52" i="53"/>
  <c r="X30" i="53"/>
  <c r="X19" i="53"/>
  <c r="X7" i="53"/>
  <c r="X16" i="53"/>
  <c r="X16" i="55" s="1"/>
  <c r="X45" i="53"/>
  <c r="X44" i="53"/>
  <c r="X17" i="53"/>
  <c r="X42" i="53"/>
  <c r="X34" i="53"/>
  <c r="X23" i="53"/>
  <c r="X11" i="53"/>
  <c r="X31" i="53"/>
  <c r="X41" i="53"/>
  <c r="X21" i="53"/>
  <c r="X46" i="53"/>
  <c r="X43" i="53"/>
  <c r="X6" i="53"/>
  <c r="X25" i="53"/>
  <c r="X38" i="53"/>
  <c r="X15" i="53"/>
  <c r="X29" i="53"/>
  <c r="X54" i="53"/>
  <c r="X27" i="53"/>
  <c r="X55" i="53"/>
  <c r="X40" i="53"/>
  <c r="X32" i="53"/>
  <c r="X18" i="53"/>
  <c r="X9" i="53"/>
  <c r="X26" i="53"/>
  <c r="X37" i="53"/>
  <c r="X12" i="53"/>
  <c r="X35" i="53"/>
  <c r="X33" i="53"/>
  <c r="X53" i="53"/>
  <c r="X50" i="53"/>
  <c r="X51" i="53"/>
  <c r="X22" i="53"/>
  <c r="V11" i="57"/>
  <c r="V6" i="57"/>
  <c r="V12" i="57"/>
  <c r="V24" i="57"/>
  <c r="V22" i="57"/>
  <c r="V28" i="57"/>
  <c r="V42" i="57"/>
  <c r="V32" i="57"/>
  <c r="V23" i="57"/>
  <c r="V21" i="57"/>
  <c r="V5" i="57"/>
  <c r="V31" i="57"/>
  <c r="V15" i="57"/>
  <c r="V36" i="57"/>
  <c r="V7" i="57"/>
  <c r="V13" i="57"/>
  <c r="V8" i="57"/>
  <c r="V40" i="57"/>
  <c r="V38" i="57"/>
  <c r="V44" i="57"/>
  <c r="V19" i="57"/>
  <c r="V16" i="57"/>
  <c r="V39" i="57"/>
  <c r="V37" i="57"/>
  <c r="V43" i="57"/>
  <c r="V26" i="57"/>
  <c r="V34" i="57"/>
  <c r="V18" i="57"/>
  <c r="V9" i="57"/>
  <c r="V27" i="57"/>
  <c r="V25" i="57"/>
  <c r="V14" i="57"/>
  <c r="V29" i="57"/>
  <c r="V35" i="57"/>
  <c r="V33" i="57"/>
  <c r="V20" i="57"/>
  <c r="V17" i="57"/>
  <c r="V10" i="57"/>
  <c r="V41" i="57"/>
  <c r="V30" i="57"/>
  <c r="Q8" i="70"/>
  <c r="Q6" i="70"/>
  <c r="Q10" i="70"/>
  <c r="C8" i="70"/>
  <c r="C6" i="70"/>
  <c r="C10" i="70"/>
  <c r="W8" i="70"/>
  <c r="W10" i="70"/>
  <c r="W6" i="70"/>
  <c r="H8" i="71"/>
  <c r="H10" i="71"/>
  <c r="H6" i="71"/>
  <c r="K10" i="71"/>
  <c r="K6" i="71"/>
  <c r="K8" i="71"/>
  <c r="B8" i="71"/>
  <c r="B10" i="71"/>
  <c r="M55" i="53"/>
  <c r="M55" i="55" s="1"/>
  <c r="M48" i="53"/>
  <c r="M48" i="55" s="1"/>
  <c r="M26" i="53"/>
  <c r="M26" i="55" s="1"/>
  <c r="L31" i="53"/>
  <c r="L10" i="53"/>
  <c r="L8" i="53"/>
  <c r="L30" i="53"/>
  <c r="L9" i="53"/>
  <c r="L51" i="53"/>
  <c r="L23" i="53"/>
  <c r="L35" i="53"/>
  <c r="L49" i="53"/>
  <c r="L46" i="53"/>
  <c r="L37" i="53"/>
  <c r="L50" i="53"/>
  <c r="L41" i="53"/>
  <c r="L19" i="53"/>
  <c r="L28" i="53"/>
  <c r="L6" i="53"/>
  <c r="L25" i="53"/>
  <c r="L5" i="53"/>
  <c r="L44" i="53"/>
  <c r="L36" i="53"/>
  <c r="L55" i="53"/>
  <c r="L47" i="53"/>
  <c r="L39" i="53"/>
  <c r="L53" i="53"/>
  <c r="L54" i="53"/>
  <c r="L33" i="53"/>
  <c r="L17" i="53"/>
  <c r="L13" i="53"/>
  <c r="L34" i="53"/>
  <c r="L22" i="53"/>
  <c r="L42" i="53"/>
  <c r="L11" i="53"/>
  <c r="L26" i="53"/>
  <c r="L14" i="53"/>
  <c r="L20" i="53"/>
  <c r="L32" i="53"/>
  <c r="L18" i="53"/>
  <c r="L15" i="53"/>
  <c r="L21" i="53"/>
  <c r="L38" i="53"/>
  <c r="L48" i="53"/>
  <c r="L40" i="53"/>
  <c r="L16" i="53"/>
  <c r="L7" i="53"/>
  <c r="L43" i="53"/>
  <c r="L12" i="53"/>
  <c r="L27" i="53"/>
  <c r="L45" i="53"/>
  <c r="L29" i="53"/>
  <c r="L52" i="53"/>
  <c r="L24" i="53"/>
  <c r="L24" i="55" s="1"/>
  <c r="P32" i="53"/>
  <c r="P18" i="53"/>
  <c r="P9" i="53"/>
  <c r="P16" i="53"/>
  <c r="P7" i="53"/>
  <c r="P10" i="53"/>
  <c r="P6" i="53"/>
  <c r="P14" i="53"/>
  <c r="P48" i="53"/>
  <c r="P41" i="53"/>
  <c r="P46" i="53"/>
  <c r="P39" i="53"/>
  <c r="P47" i="53"/>
  <c r="P30" i="53"/>
  <c r="P15" i="53"/>
  <c r="P26" i="53"/>
  <c r="P29" i="53"/>
  <c r="P29" i="55" s="1"/>
  <c r="P5" i="53"/>
  <c r="P33" i="53"/>
  <c r="P31" i="53"/>
  <c r="P38" i="53"/>
  <c r="P44" i="53"/>
  <c r="P35" i="53"/>
  <c r="P43" i="53"/>
  <c r="P49" i="53"/>
  <c r="P40" i="53"/>
  <c r="P23" i="53"/>
  <c r="P21" i="53"/>
  <c r="P22" i="53"/>
  <c r="P19" i="53"/>
  <c r="P51" i="53"/>
  <c r="P37" i="53"/>
  <c r="P50" i="53"/>
  <c r="P28" i="53"/>
  <c r="P13" i="53"/>
  <c r="P24" i="53"/>
  <c r="P17" i="53"/>
  <c r="P27" i="53"/>
  <c r="P25" i="53"/>
  <c r="P20" i="53"/>
  <c r="P54" i="53"/>
  <c r="P42" i="53"/>
  <c r="P52" i="53"/>
  <c r="P36" i="53"/>
  <c r="P34" i="53"/>
  <c r="P53" i="53"/>
  <c r="P11" i="53"/>
  <c r="P12" i="53"/>
  <c r="P8" i="53"/>
  <c r="P55" i="53"/>
  <c r="P45" i="53"/>
  <c r="Y60" i="52"/>
  <c r="V60" i="52"/>
  <c r="O17" i="53"/>
  <c r="O13" i="53"/>
  <c r="O29" i="53"/>
  <c r="O9" i="53"/>
  <c r="O10" i="53"/>
  <c r="O37" i="53"/>
  <c r="O27" i="53"/>
  <c r="O50" i="53"/>
  <c r="O51" i="53"/>
  <c r="O34" i="53"/>
  <c r="O52" i="53"/>
  <c r="O39" i="53"/>
  <c r="O42" i="53"/>
  <c r="O14" i="53"/>
  <c r="O22" i="53"/>
  <c r="O30" i="53"/>
  <c r="O36" i="53"/>
  <c r="O23" i="53"/>
  <c r="O11" i="53"/>
  <c r="O24" i="53"/>
  <c r="O7" i="53"/>
  <c r="O16" i="53"/>
  <c r="O46" i="53"/>
  <c r="O44" i="53"/>
  <c r="O55" i="53"/>
  <c r="O32" i="53"/>
  <c r="O54" i="53"/>
  <c r="O28" i="53"/>
  <c r="O40" i="53"/>
  <c r="O47" i="53"/>
  <c r="O20" i="53"/>
  <c r="O12" i="53"/>
  <c r="O43" i="53"/>
  <c r="O31" i="53"/>
  <c r="O33" i="53"/>
  <c r="O25" i="53"/>
  <c r="O18" i="53"/>
  <c r="O19" i="53"/>
  <c r="O21" i="53"/>
  <c r="O5" i="53"/>
  <c r="O8" i="53"/>
  <c r="O26" i="53"/>
  <c r="O49" i="53"/>
  <c r="O41" i="53"/>
  <c r="O48" i="53"/>
  <c r="O35" i="53"/>
  <c r="O38" i="53"/>
  <c r="O45" i="53"/>
  <c r="O15" i="53"/>
  <c r="O6" i="53"/>
  <c r="O53" i="53"/>
  <c r="O50" i="58"/>
  <c r="O50" i="57"/>
  <c r="T5" i="57"/>
  <c r="T7" i="57"/>
  <c r="T23" i="57"/>
  <c r="T21" i="57"/>
  <c r="T27" i="57"/>
  <c r="T25" i="57"/>
  <c r="T14" i="57"/>
  <c r="T29" i="57"/>
  <c r="T35" i="57"/>
  <c r="T33" i="57"/>
  <c r="T9" i="57"/>
  <c r="T36" i="57"/>
  <c r="T40" i="57"/>
  <c r="T19" i="57"/>
  <c r="T12" i="57"/>
  <c r="T18" i="57"/>
  <c r="T39" i="57"/>
  <c r="T37" i="57"/>
  <c r="T43" i="57"/>
  <c r="T41" i="57"/>
  <c r="T31" i="57"/>
  <c r="T26" i="57"/>
  <c r="T15" i="57"/>
  <c r="T30" i="57"/>
  <c r="T11" i="57"/>
  <c r="T34" i="57"/>
  <c r="T44" i="57"/>
  <c r="T13" i="57"/>
  <c r="T8" i="57"/>
  <c r="T10" i="57"/>
  <c r="T20" i="57"/>
  <c r="T17" i="57"/>
  <c r="T24" i="57"/>
  <c r="T22" i="57"/>
  <c r="T28" i="57"/>
  <c r="T42" i="57"/>
  <c r="T32" i="57"/>
  <c r="T6" i="57"/>
  <c r="T38" i="57"/>
  <c r="T16" i="57"/>
  <c r="P51" i="56"/>
  <c r="M16" i="53"/>
  <c r="M16" i="55" s="1"/>
  <c r="F6" i="71"/>
  <c r="Z43" i="54"/>
  <c r="Y43" i="68" s="1"/>
  <c r="Y99" i="68" s="1"/>
  <c r="Z50" i="54"/>
  <c r="Y50" i="68" s="1"/>
  <c r="Y106" i="68" s="1"/>
  <c r="Z35" i="54"/>
  <c r="Y35" i="68" s="1"/>
  <c r="Y91" i="68" s="1"/>
  <c r="Z33" i="54"/>
  <c r="Y33" i="68" s="1"/>
  <c r="Y89" i="68" s="1"/>
  <c r="Z14" i="54"/>
  <c r="Y14" i="68" s="1"/>
  <c r="Y70" i="68" s="1"/>
  <c r="Z32" i="54"/>
  <c r="Y32" i="68" s="1"/>
  <c r="Y88" i="68" s="1"/>
  <c r="Z17" i="54"/>
  <c r="Y17" i="68" s="1"/>
  <c r="Y73" i="68" s="1"/>
  <c r="Z18" i="54"/>
  <c r="Y18" i="68" s="1"/>
  <c r="Y74" i="68" s="1"/>
  <c r="Z23" i="54"/>
  <c r="Y23" i="68" s="1"/>
  <c r="Y79" i="68" s="1"/>
  <c r="Z42" i="54"/>
  <c r="Y42" i="68" s="1"/>
  <c r="Y98" i="68" s="1"/>
  <c r="Z10" i="54"/>
  <c r="Y10" i="68" s="1"/>
  <c r="Y66" i="68" s="1"/>
  <c r="Z19" i="54"/>
  <c r="Y19" i="68" s="1"/>
  <c r="Y75" i="68" s="1"/>
  <c r="Z39" i="54"/>
  <c r="Y39" i="68" s="1"/>
  <c r="Y95" i="68" s="1"/>
  <c r="Z54" i="54"/>
  <c r="Y54" i="68" s="1"/>
  <c r="Y110" i="68" s="1"/>
  <c r="Z53" i="54"/>
  <c r="Y53" i="68" s="1"/>
  <c r="Y109" i="68" s="1"/>
  <c r="Z47" i="54"/>
  <c r="Y47" i="68" s="1"/>
  <c r="Y103" i="68" s="1"/>
  <c r="Z45" i="54"/>
  <c r="Y45" i="68" s="1"/>
  <c r="Y101" i="68" s="1"/>
  <c r="Z29" i="54"/>
  <c r="Y29" i="68" s="1"/>
  <c r="Y85" i="68" s="1"/>
  <c r="Z52" i="54"/>
  <c r="Y52" i="68" s="1"/>
  <c r="Y108" i="68" s="1"/>
  <c r="Z28" i="54"/>
  <c r="Y28" i="68" s="1"/>
  <c r="Y84" i="68" s="1"/>
  <c r="Z13" i="54"/>
  <c r="Y13" i="68" s="1"/>
  <c r="Y69" i="68" s="1"/>
  <c r="Z8" i="54"/>
  <c r="Y8" i="68" s="1"/>
  <c r="Y64" i="68" s="1"/>
  <c r="Z16" i="54"/>
  <c r="Y16" i="68" s="1"/>
  <c r="Y72" i="68" s="1"/>
  <c r="Z30" i="54"/>
  <c r="Y30" i="68" s="1"/>
  <c r="Y86" i="68" s="1"/>
  <c r="Z6" i="54"/>
  <c r="Y6" i="68" s="1"/>
  <c r="Y62" i="68" s="1"/>
  <c r="Z12" i="54"/>
  <c r="Y12" i="68" s="1"/>
  <c r="Y68" i="68" s="1"/>
  <c r="Z46" i="54"/>
  <c r="Y46" i="68" s="1"/>
  <c r="Y102" i="68" s="1"/>
  <c r="Z37" i="54"/>
  <c r="Y37" i="68" s="1"/>
  <c r="Y93" i="68" s="1"/>
  <c r="Z36" i="54"/>
  <c r="Y36" i="68" s="1"/>
  <c r="Y92" i="68" s="1"/>
  <c r="Z20" i="54"/>
  <c r="Y20" i="68" s="1"/>
  <c r="Y76" i="68" s="1"/>
  <c r="Z31" i="54"/>
  <c r="Y31" i="68" s="1"/>
  <c r="Y87" i="68" s="1"/>
  <c r="Z15" i="54"/>
  <c r="Y15" i="68" s="1"/>
  <c r="Y71" i="68" s="1"/>
  <c r="Z27" i="54"/>
  <c r="Y27" i="68" s="1"/>
  <c r="Y83" i="68" s="1"/>
  <c r="Z51" i="54"/>
  <c r="Y51" i="68" s="1"/>
  <c r="Y107" i="68" s="1"/>
  <c r="Z48" i="54"/>
  <c r="Y48" i="68" s="1"/>
  <c r="Y104" i="68" s="1"/>
  <c r="Z44" i="54"/>
  <c r="Y44" i="68" s="1"/>
  <c r="Y100" i="68" s="1"/>
  <c r="Z41" i="54"/>
  <c r="Y41" i="68" s="1"/>
  <c r="Y97" i="68" s="1"/>
  <c r="Z25" i="54"/>
  <c r="Y25" i="68" s="1"/>
  <c r="Y81" i="68" s="1"/>
  <c r="Z40" i="54"/>
  <c r="Y40" i="68" s="1"/>
  <c r="Y96" i="68" s="1"/>
  <c r="Z24" i="54"/>
  <c r="Y24" i="68" s="1"/>
  <c r="Y80" i="68" s="1"/>
  <c r="Z34" i="54"/>
  <c r="Y34" i="68" s="1"/>
  <c r="Y90" i="68" s="1"/>
  <c r="Z49" i="54"/>
  <c r="Y49" i="68" s="1"/>
  <c r="Y105" i="68" s="1"/>
  <c r="Z11" i="54"/>
  <c r="Y11" i="68" s="1"/>
  <c r="Y67" i="68" s="1"/>
  <c r="Z22" i="54"/>
  <c r="Y22" i="68" s="1"/>
  <c r="Y78" i="68" s="1"/>
  <c r="Z38" i="54"/>
  <c r="Y38" i="68" s="1"/>
  <c r="Y94" i="68" s="1"/>
  <c r="Z9" i="54"/>
  <c r="Y9" i="68" s="1"/>
  <c r="Y65" i="68" s="1"/>
  <c r="Z55" i="54"/>
  <c r="Y55" i="68" s="1"/>
  <c r="Y111" i="68" s="1"/>
  <c r="Z21" i="54"/>
  <c r="Y21" i="68" s="1"/>
  <c r="Y77" i="68" s="1"/>
  <c r="Z26" i="54"/>
  <c r="Y26" i="68" s="1"/>
  <c r="Y82" i="68" s="1"/>
  <c r="Z7" i="54"/>
  <c r="Y7" i="68" s="1"/>
  <c r="Y63" i="68" s="1"/>
  <c r="Z5" i="54"/>
  <c r="R10" i="70"/>
  <c r="O8" i="70"/>
  <c r="O10" i="70"/>
  <c r="O6" i="70"/>
  <c r="J8" i="70"/>
  <c r="J10" i="70"/>
  <c r="J6" i="70"/>
  <c r="F10" i="70"/>
  <c r="F6" i="70"/>
  <c r="D6" i="70"/>
  <c r="D8" i="70"/>
  <c r="D10" i="70"/>
  <c r="B8" i="70"/>
  <c r="B10" i="70"/>
  <c r="B6" i="70"/>
  <c r="U13" i="53"/>
  <c r="U21" i="53"/>
  <c r="U20" i="53"/>
  <c r="U17" i="53"/>
  <c r="U22" i="53"/>
  <c r="U27" i="53"/>
  <c r="U54" i="53"/>
  <c r="U44" i="53"/>
  <c r="U32" i="53"/>
  <c r="U30" i="53"/>
  <c r="U36" i="53"/>
  <c r="U34" i="53"/>
  <c r="U23" i="53"/>
  <c r="U11" i="53"/>
  <c r="U16" i="53"/>
  <c r="U19" i="53"/>
  <c r="U12" i="53"/>
  <c r="U10" i="53"/>
  <c r="U49" i="53"/>
  <c r="U47" i="53"/>
  <c r="U41" i="53"/>
  <c r="U52" i="53"/>
  <c r="U46" i="53"/>
  <c r="U31" i="53"/>
  <c r="U50" i="53"/>
  <c r="U15" i="53"/>
  <c r="U24" i="53"/>
  <c r="U29" i="53"/>
  <c r="U35" i="53"/>
  <c r="U38" i="53"/>
  <c r="U51" i="53"/>
  <c r="U45" i="53"/>
  <c r="U53" i="53"/>
  <c r="U18" i="53"/>
  <c r="U9" i="53"/>
  <c r="U7" i="53"/>
  <c r="U14" i="53"/>
  <c r="U8" i="53"/>
  <c r="U25" i="53"/>
  <c r="U28" i="53"/>
  <c r="U48" i="53"/>
  <c r="U42" i="53"/>
  <c r="U33" i="53"/>
  <c r="U26" i="53"/>
  <c r="U37" i="53"/>
  <c r="U43" i="53"/>
  <c r="U5" i="53"/>
  <c r="U6" i="53"/>
  <c r="U39" i="53"/>
  <c r="U55" i="53"/>
  <c r="U40" i="53"/>
  <c r="R33" i="53"/>
  <c r="R33" i="55" s="1"/>
  <c r="R19" i="53"/>
  <c r="R19" i="55" s="1"/>
  <c r="R27" i="53"/>
  <c r="R27" i="55" s="1"/>
  <c r="R30" i="53"/>
  <c r="R30" i="55" s="1"/>
  <c r="R13" i="53"/>
  <c r="R13" i="55" s="1"/>
  <c r="R23" i="53"/>
  <c r="R23" i="55" s="1"/>
  <c r="R5" i="53"/>
  <c r="R9" i="53"/>
  <c r="R9" i="55" s="1"/>
  <c r="R51" i="53"/>
  <c r="R51" i="55" s="1"/>
  <c r="R50" i="53"/>
  <c r="R50" i="55" s="1"/>
  <c r="R34" i="53"/>
  <c r="R34" i="55" s="1"/>
  <c r="R43" i="53"/>
  <c r="R43" i="55" s="1"/>
  <c r="R42" i="53"/>
  <c r="R42" i="55" s="1"/>
  <c r="R10" i="53"/>
  <c r="R10" i="55" s="1"/>
  <c r="R7" i="53"/>
  <c r="R7" i="55" s="1"/>
  <c r="R53" i="53"/>
  <c r="R53" i="55" s="1"/>
  <c r="R41" i="53"/>
  <c r="R41" i="55" s="1"/>
  <c r="R31" i="53"/>
  <c r="R31" i="55" s="1"/>
  <c r="R14" i="53"/>
  <c r="R14" i="55" s="1"/>
  <c r="R25" i="53"/>
  <c r="R25" i="55" s="1"/>
  <c r="R24" i="53"/>
  <c r="R24" i="55" s="1"/>
  <c r="R8" i="53"/>
  <c r="R8" i="55" s="1"/>
  <c r="R11" i="53"/>
  <c r="R11" i="55" s="1"/>
  <c r="R32" i="53"/>
  <c r="R32" i="55" s="1"/>
  <c r="R49" i="53"/>
  <c r="R49" i="55" s="1"/>
  <c r="R44" i="53"/>
  <c r="R44" i="55" s="1"/>
  <c r="R39" i="53"/>
  <c r="R39" i="55" s="1"/>
  <c r="R48" i="53"/>
  <c r="R48" i="55" s="1"/>
  <c r="R38" i="53"/>
  <c r="R38" i="55" s="1"/>
  <c r="R47" i="53"/>
  <c r="R47" i="55" s="1"/>
  <c r="R22" i="53"/>
  <c r="R22" i="55" s="1"/>
  <c r="R17" i="53"/>
  <c r="R17" i="55" s="1"/>
  <c r="R28" i="53"/>
  <c r="R28" i="55" s="1"/>
  <c r="R15" i="53"/>
  <c r="R15" i="55" s="1"/>
  <c r="R52" i="53"/>
  <c r="R52" i="55" s="1"/>
  <c r="R29" i="53"/>
  <c r="R29" i="55" s="1"/>
  <c r="R12" i="53"/>
  <c r="R12" i="55" s="1"/>
  <c r="R20" i="53"/>
  <c r="R20" i="55" s="1"/>
  <c r="R21" i="53"/>
  <c r="R21" i="55" s="1"/>
  <c r="R6" i="53"/>
  <c r="R6" i="55" s="1"/>
  <c r="R16" i="53"/>
  <c r="R16" i="55" s="1"/>
  <c r="R26" i="53"/>
  <c r="R26" i="55" s="1"/>
  <c r="R46" i="53"/>
  <c r="R46" i="55" s="1"/>
  <c r="R36" i="53"/>
  <c r="R36" i="55" s="1"/>
  <c r="R55" i="53"/>
  <c r="R55" i="55" s="1"/>
  <c r="R37" i="53"/>
  <c r="R37" i="55" s="1"/>
  <c r="R45" i="53"/>
  <c r="R45" i="55" s="1"/>
  <c r="R40" i="53"/>
  <c r="R40" i="55" s="1"/>
  <c r="R18" i="53"/>
  <c r="R18" i="55" s="1"/>
  <c r="R35" i="53"/>
  <c r="R35" i="55" s="1"/>
  <c r="R54" i="53"/>
  <c r="R54" i="55" s="1"/>
  <c r="N51" i="56"/>
  <c r="S8" i="70"/>
  <c r="S6" i="70"/>
  <c r="S10" i="70"/>
  <c r="N8" i="70"/>
  <c r="N10" i="70"/>
  <c r="N6" i="70"/>
  <c r="R8" i="70"/>
  <c r="R6" i="70"/>
  <c r="C6" i="71"/>
  <c r="C8" i="71"/>
  <c r="C10" i="71"/>
  <c r="L8" i="71"/>
  <c r="L10" i="71"/>
  <c r="L6" i="71"/>
  <c r="F10" i="71"/>
  <c r="F8" i="71"/>
  <c r="M31" i="53"/>
  <c r="M31" i="55" s="1"/>
  <c r="M43" i="53"/>
  <c r="M43" i="55" s="1"/>
  <c r="M59" i="52"/>
  <c r="M64" i="52" s="1"/>
  <c r="AH16" i="53"/>
  <c r="AH14" i="53"/>
  <c r="AH9" i="53"/>
  <c r="AH6" i="53"/>
  <c r="AH20" i="53"/>
  <c r="AH36" i="53"/>
  <c r="AH27" i="53"/>
  <c r="AH25" i="53"/>
  <c r="AH44" i="53"/>
  <c r="AH30" i="53"/>
  <c r="AH48" i="53"/>
  <c r="AH34" i="53"/>
  <c r="AH37" i="53"/>
  <c r="AH17" i="53"/>
  <c r="AH17" i="55" s="1"/>
  <c r="AH55" i="53"/>
  <c r="AH55" i="55" s="1"/>
  <c r="AH45" i="53"/>
  <c r="AH45" i="55" s="1"/>
  <c r="AH29" i="53"/>
  <c r="AH12" i="53"/>
  <c r="AH32" i="53"/>
  <c r="AH18" i="53"/>
  <c r="AH11" i="53"/>
  <c r="AH38" i="53"/>
  <c r="AH41" i="53"/>
  <c r="AH42" i="53"/>
  <c r="AH49" i="53"/>
  <c r="AH50" i="53"/>
  <c r="AH33" i="53"/>
  <c r="AH35" i="53"/>
  <c r="AH19" i="53"/>
  <c r="AH19" i="55" s="1"/>
  <c r="AH8" i="53"/>
  <c r="AH8" i="55" s="1"/>
  <c r="AH5" i="53"/>
  <c r="AH28" i="53"/>
  <c r="AH28" i="55" s="1"/>
  <c r="AH47" i="53"/>
  <c r="AH47" i="55" s="1"/>
  <c r="AH52" i="53"/>
  <c r="AH52" i="55" s="1"/>
  <c r="AH24" i="53"/>
  <c r="AH22" i="53"/>
  <c r="AH10" i="53"/>
  <c r="AH15" i="53"/>
  <c r="AH13" i="53"/>
  <c r="AH7" i="53"/>
  <c r="AH39" i="53"/>
  <c r="AH40" i="53"/>
  <c r="AH26" i="53"/>
  <c r="AH46" i="53"/>
  <c r="AH31" i="53"/>
  <c r="AH53" i="53"/>
  <c r="AH51" i="53"/>
  <c r="AH21" i="53"/>
  <c r="AH21" i="55" s="1"/>
  <c r="AH23" i="53"/>
  <c r="AH23" i="55" s="1"/>
  <c r="AH43" i="53"/>
  <c r="AH43" i="55" s="1"/>
  <c r="AH54" i="53"/>
  <c r="AH54" i="55" s="1"/>
  <c r="Q31" i="53"/>
  <c r="Q10" i="53"/>
  <c r="Q30" i="53"/>
  <c r="Q8" i="53"/>
  <c r="Q17" i="53"/>
  <c r="Q50" i="53"/>
  <c r="Q41" i="53"/>
  <c r="Q23" i="53"/>
  <c r="Q21" i="53"/>
  <c r="Q47" i="53"/>
  <c r="Q29" i="53"/>
  <c r="Q42" i="53"/>
  <c r="Q53" i="53"/>
  <c r="Q7" i="53"/>
  <c r="Q19" i="53"/>
  <c r="Q32" i="53"/>
  <c r="Q25" i="53"/>
  <c r="Q6" i="53"/>
  <c r="Q5" i="53"/>
  <c r="Q15" i="53"/>
  <c r="Q22" i="53"/>
  <c r="Q35" i="53"/>
  <c r="Q45" i="53"/>
  <c r="Q39" i="53"/>
  <c r="Q49" i="53"/>
  <c r="Q43" i="53"/>
  <c r="Q33" i="53"/>
  <c r="Q9" i="53"/>
  <c r="Q20" i="53"/>
  <c r="Q11" i="53"/>
  <c r="Q34" i="53"/>
  <c r="Q48" i="53"/>
  <c r="Q52" i="53"/>
  <c r="Q26" i="53"/>
  <c r="Q14" i="53"/>
  <c r="Q27" i="53"/>
  <c r="Q18" i="53"/>
  <c r="Q28" i="53"/>
  <c r="Q36" i="53"/>
  <c r="Q51" i="53"/>
  <c r="Q40" i="53"/>
  <c r="Q55" i="53"/>
  <c r="Q46" i="53"/>
  <c r="Q16" i="53"/>
  <c r="Q54" i="53"/>
  <c r="Q24" i="53"/>
  <c r="Q12" i="53"/>
  <c r="Q13" i="53"/>
  <c r="Q44" i="53"/>
  <c r="Q38" i="53"/>
  <c r="Q37" i="53"/>
  <c r="U7" i="57"/>
  <c r="U13" i="57"/>
  <c r="U15" i="57"/>
  <c r="U17" i="57"/>
  <c r="U44" i="57"/>
  <c r="U30" i="57"/>
  <c r="U27" i="57"/>
  <c r="U29" i="57"/>
  <c r="U20" i="57"/>
  <c r="U22" i="57"/>
  <c r="U11" i="57"/>
  <c r="U32" i="57"/>
  <c r="U14" i="57"/>
  <c r="U36" i="57"/>
  <c r="U12" i="57"/>
  <c r="U18" i="57"/>
  <c r="U9" i="57"/>
  <c r="U35" i="57"/>
  <c r="U37" i="57"/>
  <c r="U28" i="57"/>
  <c r="U33" i="57"/>
  <c r="U40" i="57"/>
  <c r="U42" i="57"/>
  <c r="U39" i="57"/>
  <c r="U41" i="57"/>
  <c r="U34" i="57"/>
  <c r="U8" i="57"/>
  <c r="U10" i="57"/>
  <c r="U5" i="57"/>
  <c r="U19" i="57"/>
  <c r="U21" i="57"/>
  <c r="U31" i="57"/>
  <c r="U16" i="57"/>
  <c r="U24" i="57"/>
  <c r="U26" i="57"/>
  <c r="U23" i="57"/>
  <c r="U25" i="57"/>
  <c r="U6" i="57"/>
  <c r="U43" i="57"/>
  <c r="U38" i="57"/>
  <c r="R10" i="57"/>
  <c r="R5" i="57"/>
  <c r="R37" i="57"/>
  <c r="R35" i="57"/>
  <c r="R41" i="57"/>
  <c r="R39" i="57"/>
  <c r="R26" i="57"/>
  <c r="R24" i="57"/>
  <c r="R30" i="57"/>
  <c r="R44" i="57"/>
  <c r="R19" i="57"/>
  <c r="R29" i="57"/>
  <c r="R28" i="57"/>
  <c r="R11" i="57"/>
  <c r="R6" i="57"/>
  <c r="R12" i="57"/>
  <c r="R17" i="57"/>
  <c r="R15" i="57"/>
  <c r="R22" i="57"/>
  <c r="R20" i="57"/>
  <c r="R42" i="57"/>
  <c r="R40" i="57"/>
  <c r="R14" i="57"/>
  <c r="R18" i="57"/>
  <c r="R9" i="57"/>
  <c r="R25" i="57"/>
  <c r="R43" i="57"/>
  <c r="R7" i="57"/>
  <c r="R13" i="57"/>
  <c r="R8" i="57"/>
  <c r="R34" i="57"/>
  <c r="R32" i="57"/>
  <c r="R38" i="57"/>
  <c r="R36" i="57"/>
  <c r="R27" i="57"/>
  <c r="R16" i="57"/>
  <c r="R31" i="57"/>
  <c r="R21" i="57"/>
  <c r="R23" i="57"/>
  <c r="R33" i="57"/>
  <c r="M50" i="57"/>
  <c r="M50" i="58"/>
  <c r="U50" i="57"/>
  <c r="U50" i="58"/>
  <c r="M18" i="53"/>
  <c r="M18" i="55" s="1"/>
  <c r="L8" i="70"/>
  <c r="L10" i="70"/>
  <c r="L6" i="70"/>
  <c r="V8" i="70"/>
  <c r="V6" i="70"/>
  <c r="V10" i="70"/>
  <c r="I8" i="70"/>
  <c r="I10" i="70"/>
  <c r="I6" i="70"/>
  <c r="M8" i="70"/>
  <c r="M10" i="70"/>
  <c r="M6" i="70"/>
  <c r="P8" i="70"/>
  <c r="P6" i="70"/>
  <c r="M54" i="53"/>
  <c r="M54" i="55" s="1"/>
  <c r="M36" i="53"/>
  <c r="M36" i="55" s="1"/>
  <c r="AC17" i="53"/>
  <c r="AC13" i="53"/>
  <c r="AC16" i="53"/>
  <c r="AC7" i="53"/>
  <c r="AC21" i="53"/>
  <c r="AC31" i="53"/>
  <c r="AC38" i="53"/>
  <c r="AC35" i="53"/>
  <c r="AC42" i="53"/>
  <c r="AC45" i="53"/>
  <c r="AC44" i="53"/>
  <c r="AC33" i="53"/>
  <c r="AC32" i="53"/>
  <c r="AC27" i="53"/>
  <c r="AC23" i="53"/>
  <c r="AC11" i="53"/>
  <c r="AC14" i="53"/>
  <c r="AC5" i="53"/>
  <c r="AC10" i="53"/>
  <c r="AC51" i="53"/>
  <c r="AC47" i="53"/>
  <c r="AC41" i="53"/>
  <c r="AC55" i="53"/>
  <c r="AC30" i="53"/>
  <c r="AC46" i="53"/>
  <c r="AC49" i="53"/>
  <c r="AC48" i="53"/>
  <c r="AC20" i="53"/>
  <c r="AC19" i="53"/>
  <c r="AC12" i="53"/>
  <c r="AC6" i="53"/>
  <c r="AC52" i="53"/>
  <c r="AC25" i="53"/>
  <c r="AC43" i="53"/>
  <c r="AC18" i="53"/>
  <c r="AC9" i="53"/>
  <c r="AC29" i="53"/>
  <c r="AC24" i="53"/>
  <c r="AC8" i="53"/>
  <c r="AC37" i="53"/>
  <c r="AC36" i="53"/>
  <c r="AC28" i="53"/>
  <c r="AC40" i="53"/>
  <c r="AC50" i="53"/>
  <c r="AC26" i="53"/>
  <c r="AC34" i="53"/>
  <c r="AC15" i="53"/>
  <c r="AC22" i="53"/>
  <c r="AC53" i="53"/>
  <c r="AC39" i="53"/>
  <c r="AC54" i="53"/>
  <c r="N50" i="57"/>
  <c r="N50" i="58"/>
  <c r="Z11" i="57"/>
  <c r="Z6" i="57"/>
  <c r="Z29" i="57"/>
  <c r="Z43" i="57"/>
  <c r="Z33" i="57"/>
  <c r="Z28" i="57"/>
  <c r="Z17" i="57"/>
  <c r="Z15" i="57"/>
  <c r="Z22" i="57"/>
  <c r="Z20" i="57"/>
  <c r="Z10" i="57"/>
  <c r="Z16" i="57"/>
  <c r="Z35" i="57"/>
  <c r="Z7" i="57"/>
  <c r="Z13" i="57"/>
  <c r="Z26" i="57"/>
  <c r="Z24" i="57"/>
  <c r="Z30" i="57"/>
  <c r="Z44" i="57"/>
  <c r="Z34" i="57"/>
  <c r="Z32" i="57"/>
  <c r="Z38" i="57"/>
  <c r="Z36" i="57"/>
  <c r="Z8" i="57"/>
  <c r="Z27" i="57"/>
  <c r="Z37" i="57"/>
  <c r="Z39" i="57"/>
  <c r="Z12" i="57"/>
  <c r="Z18" i="57"/>
  <c r="Z9" i="57"/>
  <c r="Z42" i="57"/>
  <c r="Z40" i="57"/>
  <c r="Z14" i="57"/>
  <c r="Z21" i="57"/>
  <c r="Z19" i="57"/>
  <c r="Z25" i="57"/>
  <c r="Z23" i="57"/>
  <c r="Z5" i="57"/>
  <c r="Z31" i="57"/>
  <c r="Z41" i="57"/>
  <c r="E8" i="71"/>
  <c r="E10" i="71"/>
  <c r="E6" i="71"/>
  <c r="G6" i="71"/>
  <c r="G8" i="71"/>
  <c r="G10" i="71"/>
  <c r="I6" i="71"/>
  <c r="I10" i="71"/>
  <c r="M44" i="53"/>
  <c r="M44" i="55" s="1"/>
  <c r="M50" i="53"/>
  <c r="M50" i="55" s="1"/>
  <c r="M23" i="53"/>
  <c r="M23" i="55" s="1"/>
  <c r="M39" i="53"/>
  <c r="M39" i="55" s="1"/>
  <c r="M32" i="53"/>
  <c r="M38" i="53"/>
  <c r="M38" i="55" s="1"/>
  <c r="M41" i="53"/>
  <c r="M41" i="55" s="1"/>
  <c r="AI17" i="53"/>
  <c r="AI23" i="53"/>
  <c r="AI8" i="53"/>
  <c r="AI19" i="53"/>
  <c r="AI11" i="53"/>
  <c r="AI9" i="53"/>
  <c r="AI25" i="53"/>
  <c r="AI51" i="53"/>
  <c r="AI42" i="53"/>
  <c r="AI28" i="53"/>
  <c r="AI47" i="53"/>
  <c r="AI41" i="53"/>
  <c r="AI27" i="53"/>
  <c r="AI10" i="53"/>
  <c r="AI10" i="55" s="1"/>
  <c r="AI16" i="53"/>
  <c r="AI16" i="55" s="1"/>
  <c r="AI40" i="53"/>
  <c r="AI40" i="55" s="1"/>
  <c r="AI46" i="53"/>
  <c r="AI46" i="55" s="1"/>
  <c r="AI14" i="53"/>
  <c r="AI20" i="53"/>
  <c r="AI6" i="53"/>
  <c r="AI18" i="53"/>
  <c r="AI7" i="53"/>
  <c r="AI43" i="53"/>
  <c r="AI54" i="53"/>
  <c r="AI48" i="53"/>
  <c r="AI39" i="53"/>
  <c r="AI37" i="53"/>
  <c r="AI52" i="53"/>
  <c r="AI50" i="53"/>
  <c r="AI22" i="53"/>
  <c r="AI22" i="55" s="1"/>
  <c r="AI30" i="53"/>
  <c r="AI30" i="55" s="1"/>
  <c r="AI45" i="53"/>
  <c r="AI45" i="55" s="1"/>
  <c r="AI34" i="53"/>
  <c r="AI34" i="55" s="1"/>
  <c r="AI32" i="53"/>
  <c r="AI32" i="55" s="1"/>
  <c r="AI29" i="53"/>
  <c r="AI29" i="55" s="1"/>
  <c r="AI12" i="53"/>
  <c r="AI12" i="55" s="1"/>
  <c r="AI15" i="53"/>
  <c r="AI15" i="55" s="1"/>
  <c r="AI38" i="53"/>
  <c r="AI13" i="53"/>
  <c r="AI13" i="55" s="1"/>
  <c r="AI5" i="53"/>
  <c r="AI36" i="53"/>
  <c r="AI36" i="55" s="1"/>
  <c r="AI35" i="53"/>
  <c r="AI35" i="55" s="1"/>
  <c r="AI33" i="53"/>
  <c r="AI33" i="55" s="1"/>
  <c r="AI44" i="53"/>
  <c r="AI44" i="55" s="1"/>
  <c r="AI53" i="53"/>
  <c r="AI53" i="55" s="1"/>
  <c r="AI26" i="53"/>
  <c r="AI26" i="55" s="1"/>
  <c r="AI31" i="53"/>
  <c r="AI31" i="55" s="1"/>
  <c r="AI24" i="53"/>
  <c r="AI24" i="55" s="1"/>
  <c r="AI21" i="53"/>
  <c r="AI21" i="55" s="1"/>
  <c r="AI49" i="53"/>
  <c r="AI49" i="55" s="1"/>
  <c r="AI55" i="53"/>
  <c r="AI55" i="55" s="1"/>
  <c r="Y64" i="52"/>
  <c r="W14" i="53"/>
  <c r="W14" i="55" s="1"/>
  <c r="W17" i="53"/>
  <c r="W17" i="55" s="1"/>
  <c r="W6" i="53"/>
  <c r="W6" i="55" s="1"/>
  <c r="W18" i="53"/>
  <c r="W18" i="55" s="1"/>
  <c r="W23" i="53"/>
  <c r="W23" i="55" s="1"/>
  <c r="W54" i="53"/>
  <c r="W54" i="55" s="1"/>
  <c r="W32" i="53"/>
  <c r="W32" i="55" s="1"/>
  <c r="W47" i="53"/>
  <c r="W47" i="55" s="1"/>
  <c r="W28" i="53"/>
  <c r="W28" i="55" s="1"/>
  <c r="W51" i="53"/>
  <c r="W51" i="55" s="1"/>
  <c r="W48" i="53"/>
  <c r="W48" i="55" s="1"/>
  <c r="W50" i="53"/>
  <c r="W50" i="55" s="1"/>
  <c r="W8" i="53"/>
  <c r="W8" i="55" s="1"/>
  <c r="W25" i="53"/>
  <c r="W25" i="55" s="1"/>
  <c r="W36" i="53"/>
  <c r="W36" i="55" s="1"/>
  <c r="W26" i="53"/>
  <c r="W26" i="55" s="1"/>
  <c r="W27" i="53"/>
  <c r="W27" i="55" s="1"/>
  <c r="W29" i="53"/>
  <c r="W29" i="55" s="1"/>
  <c r="W12" i="53"/>
  <c r="W12" i="55" s="1"/>
  <c r="W16" i="53"/>
  <c r="W16" i="55" s="1"/>
  <c r="W15" i="53"/>
  <c r="W15" i="55" s="1"/>
  <c r="W13" i="53"/>
  <c r="W13" i="55" s="1"/>
  <c r="W11" i="53"/>
  <c r="W11" i="55" s="1"/>
  <c r="W43" i="53"/>
  <c r="W43" i="55" s="1"/>
  <c r="W41" i="53"/>
  <c r="W41" i="55" s="1"/>
  <c r="W44" i="53"/>
  <c r="W44" i="55" s="1"/>
  <c r="W49" i="53"/>
  <c r="W49" i="55" s="1"/>
  <c r="W52" i="53"/>
  <c r="W52" i="55" s="1"/>
  <c r="W45" i="53"/>
  <c r="W45" i="55" s="1"/>
  <c r="W39" i="53"/>
  <c r="W39" i="55" s="1"/>
  <c r="W20" i="53"/>
  <c r="W20" i="55" s="1"/>
  <c r="W5" i="53"/>
  <c r="W30" i="53"/>
  <c r="W30" i="55" s="1"/>
  <c r="W35" i="53"/>
  <c r="W35" i="55" s="1"/>
  <c r="W22" i="53"/>
  <c r="W10" i="53"/>
  <c r="W9" i="53"/>
  <c r="W24" i="53"/>
  <c r="W7" i="53"/>
  <c r="W37" i="53"/>
  <c r="W40" i="53"/>
  <c r="W42" i="53"/>
  <c r="W34" i="53"/>
  <c r="W46" i="53"/>
  <c r="W38" i="53"/>
  <c r="W33" i="53"/>
  <c r="W55" i="53"/>
  <c r="W19" i="53"/>
  <c r="W19" i="55" s="1"/>
  <c r="W21" i="53"/>
  <c r="W21" i="55" s="1"/>
  <c r="W31" i="53"/>
  <c r="W31" i="55" s="1"/>
  <c r="W53" i="53"/>
  <c r="W53" i="55" s="1"/>
  <c r="M18" i="57"/>
  <c r="M9" i="57"/>
  <c r="M29" i="57"/>
  <c r="M43" i="57"/>
  <c r="M33" i="57"/>
  <c r="M28" i="57"/>
  <c r="M17" i="57"/>
  <c r="M15" i="57"/>
  <c r="M22" i="57"/>
  <c r="M20" i="57"/>
  <c r="M7" i="57"/>
  <c r="M13" i="57"/>
  <c r="M8" i="57"/>
  <c r="M27" i="57"/>
  <c r="M16" i="57"/>
  <c r="M31" i="57"/>
  <c r="M37" i="57"/>
  <c r="M35" i="57"/>
  <c r="M10" i="57"/>
  <c r="M5" i="57"/>
  <c r="M26" i="57"/>
  <c r="M24" i="57"/>
  <c r="M30" i="57"/>
  <c r="M44" i="57"/>
  <c r="M34" i="57"/>
  <c r="M32" i="57"/>
  <c r="M38" i="57"/>
  <c r="M36" i="57"/>
  <c r="M41" i="57"/>
  <c r="M11" i="57"/>
  <c r="M6" i="57"/>
  <c r="M12" i="57"/>
  <c r="M42" i="57"/>
  <c r="M40" i="57"/>
  <c r="M14" i="57"/>
  <c r="M21" i="57"/>
  <c r="M19" i="57"/>
  <c r="M25" i="57"/>
  <c r="M23" i="57"/>
  <c r="M39" i="57"/>
  <c r="P50" i="57"/>
  <c r="P50" i="58"/>
  <c r="V50" i="58"/>
  <c r="V50" i="57"/>
  <c r="O51" i="56"/>
  <c r="T50" i="57"/>
  <c r="T50" i="58"/>
  <c r="M15" i="53"/>
  <c r="M11" i="53"/>
  <c r="M11" i="55" s="1"/>
  <c r="J6" i="71"/>
  <c r="B6" i="71"/>
  <c r="AA45" i="54"/>
  <c r="Z45" i="68" s="1"/>
  <c r="Z101" i="68" s="1"/>
  <c r="AA49" i="54"/>
  <c r="Z49" i="68" s="1"/>
  <c r="Z105" i="68" s="1"/>
  <c r="AA52" i="54"/>
  <c r="Z52" i="68" s="1"/>
  <c r="Z108" i="68" s="1"/>
  <c r="AA28" i="54"/>
  <c r="Z28" i="68" s="1"/>
  <c r="Z84" i="68" s="1"/>
  <c r="AA13" i="54"/>
  <c r="Z13" i="68" s="1"/>
  <c r="Z69" i="68" s="1"/>
  <c r="AA39" i="54"/>
  <c r="Z39" i="68" s="1"/>
  <c r="Z95" i="68" s="1"/>
  <c r="AA23" i="54"/>
  <c r="Z23" i="68" s="1"/>
  <c r="Z79" i="68" s="1"/>
  <c r="AA33" i="54"/>
  <c r="Z33" i="68" s="1"/>
  <c r="Z89" i="68" s="1"/>
  <c r="AA46" i="54"/>
  <c r="Z46" i="68" s="1"/>
  <c r="Z102" i="68" s="1"/>
  <c r="AA10" i="54"/>
  <c r="Z10" i="68" s="1"/>
  <c r="Z66" i="68" s="1"/>
  <c r="AA29" i="54"/>
  <c r="Z29" i="68" s="1"/>
  <c r="Z85" i="68" s="1"/>
  <c r="AA5" i="54"/>
  <c r="AA8" i="54"/>
  <c r="Z8" i="68" s="1"/>
  <c r="Z64" i="68" s="1"/>
  <c r="AA34" i="54"/>
  <c r="Z34" i="68" s="1"/>
  <c r="Z90" i="68" s="1"/>
  <c r="AA17" i="54"/>
  <c r="Z17" i="68" s="1"/>
  <c r="Z73" i="68" s="1"/>
  <c r="AA12" i="54"/>
  <c r="Z12" i="68" s="1"/>
  <c r="Z68" i="68" s="1"/>
  <c r="AA41" i="54"/>
  <c r="Z41" i="68" s="1"/>
  <c r="Z97" i="68" s="1"/>
  <c r="AA42" i="54"/>
  <c r="Z42" i="68" s="1"/>
  <c r="Z98" i="68" s="1"/>
  <c r="AA43" i="54"/>
  <c r="Z43" i="68" s="1"/>
  <c r="Z99" i="68" s="1"/>
  <c r="AA40" i="54"/>
  <c r="Z40" i="68" s="1"/>
  <c r="Z96" i="68" s="1"/>
  <c r="AA24" i="54"/>
  <c r="Z24" i="68" s="1"/>
  <c r="Z80" i="68" s="1"/>
  <c r="AA51" i="54"/>
  <c r="Z51" i="68" s="1"/>
  <c r="Z107" i="68" s="1"/>
  <c r="AA35" i="54"/>
  <c r="Z35" i="68" s="1"/>
  <c r="Z91" i="68" s="1"/>
  <c r="AA19" i="54"/>
  <c r="Z19" i="68" s="1"/>
  <c r="Z75" i="68" s="1"/>
  <c r="AA25" i="54"/>
  <c r="Z25" i="68" s="1"/>
  <c r="Z81" i="68" s="1"/>
  <c r="AA30" i="54"/>
  <c r="Z30" i="68" s="1"/>
  <c r="Z86" i="68" s="1"/>
  <c r="AA6" i="54"/>
  <c r="Z6" i="68" s="1"/>
  <c r="Z62" i="68" s="1"/>
  <c r="AA21" i="54"/>
  <c r="Z21" i="68" s="1"/>
  <c r="Z77" i="68" s="1"/>
  <c r="AA37" i="54"/>
  <c r="Z37" i="68" s="1"/>
  <c r="Z93" i="68" s="1"/>
  <c r="AA50" i="54"/>
  <c r="Z50" i="68" s="1"/>
  <c r="Z106" i="68" s="1"/>
  <c r="AA44" i="54"/>
  <c r="Z44" i="68" s="1"/>
  <c r="Z100" i="68" s="1"/>
  <c r="AA7" i="54"/>
  <c r="Z7" i="68" s="1"/>
  <c r="Z63" i="68" s="1"/>
  <c r="AA9" i="54"/>
  <c r="Z9" i="68" s="1"/>
  <c r="Z65" i="68" s="1"/>
  <c r="AA53" i="54"/>
  <c r="Z53" i="68" s="1"/>
  <c r="Z109" i="68" s="1"/>
  <c r="AA55" i="54"/>
  <c r="Z55" i="68" s="1"/>
  <c r="Z111" i="68" s="1"/>
  <c r="AA38" i="54"/>
  <c r="Z38" i="68" s="1"/>
  <c r="Z94" i="68" s="1"/>
  <c r="AA36" i="54"/>
  <c r="Z36" i="68" s="1"/>
  <c r="Z92" i="68" s="1"/>
  <c r="AA20" i="54"/>
  <c r="Z20" i="68" s="1"/>
  <c r="Z76" i="68" s="1"/>
  <c r="AA47" i="54"/>
  <c r="Z47" i="68" s="1"/>
  <c r="Z103" i="68" s="1"/>
  <c r="AA31" i="54"/>
  <c r="Z31" i="68" s="1"/>
  <c r="Z87" i="68" s="1"/>
  <c r="AA16" i="54"/>
  <c r="Z16" i="68" s="1"/>
  <c r="Z72" i="68" s="1"/>
  <c r="AA11" i="54"/>
  <c r="Z11" i="68" s="1"/>
  <c r="Z67" i="68" s="1"/>
  <c r="AA22" i="54"/>
  <c r="Z22" i="68" s="1"/>
  <c r="Z78" i="68" s="1"/>
  <c r="AA54" i="54"/>
  <c r="Z54" i="68" s="1"/>
  <c r="Z110" i="68" s="1"/>
  <c r="AA14" i="54"/>
  <c r="Z14" i="68" s="1"/>
  <c r="Z70" i="68" s="1"/>
  <c r="AA26" i="54"/>
  <c r="Z26" i="68" s="1"/>
  <c r="Z82" i="68" s="1"/>
  <c r="AA48" i="54"/>
  <c r="Z48" i="68" s="1"/>
  <c r="Z104" i="68" s="1"/>
  <c r="AA32" i="54"/>
  <c r="Z32" i="68" s="1"/>
  <c r="Z88" i="68" s="1"/>
  <c r="AA27" i="54"/>
  <c r="Z27" i="68" s="1"/>
  <c r="Z83" i="68" s="1"/>
  <c r="AA15" i="54"/>
  <c r="Z15" i="68" s="1"/>
  <c r="Z71" i="68" s="1"/>
  <c r="AA18" i="54"/>
  <c r="Z18" i="68" s="1"/>
  <c r="Z74" i="68" s="1"/>
  <c r="T8" i="70"/>
  <c r="T10" i="70"/>
  <c r="T6" i="70"/>
  <c r="U8" i="70"/>
  <c r="U10" i="70"/>
  <c r="U6" i="70"/>
  <c r="E8" i="70"/>
  <c r="E10" i="70"/>
  <c r="E6" i="70"/>
  <c r="K8" i="70"/>
  <c r="K6" i="70"/>
  <c r="K10" i="70"/>
  <c r="G8" i="70"/>
  <c r="G6" i="70"/>
  <c r="G10" i="70"/>
  <c r="H10" i="70"/>
  <c r="H6" i="70"/>
  <c r="Q47" i="59"/>
  <c r="Q47" i="58"/>
  <c r="Q47" i="57"/>
  <c r="Q47" i="56"/>
  <c r="L50" i="56"/>
  <c r="L50" i="58" s="1"/>
  <c r="N58" i="54"/>
  <c r="N62" i="54" s="1"/>
  <c r="N58" i="55"/>
  <c r="N58" i="53"/>
  <c r="F35" i="5"/>
  <c r="D46" i="5"/>
  <c r="D10" i="5"/>
  <c r="T60" i="52" s="1"/>
  <c r="M25" i="58" l="1"/>
  <c r="M25" i="59"/>
  <c r="M35" i="58"/>
  <c r="M35" i="59"/>
  <c r="W9" i="55"/>
  <c r="AA9" i="57"/>
  <c r="Z9" i="58"/>
  <c r="AA9" i="58" s="1"/>
  <c r="Z9" i="59"/>
  <c r="AA9" i="59" s="1"/>
  <c r="Z38" i="59"/>
  <c r="AA38" i="59" s="1"/>
  <c r="AA38" i="57"/>
  <c r="Z38" i="58"/>
  <c r="AA38" i="58" s="1"/>
  <c r="Z28" i="58"/>
  <c r="AA28" i="58" s="1"/>
  <c r="AA28" i="57"/>
  <c r="Z28" i="59"/>
  <c r="AA28" i="59" s="1"/>
  <c r="AD54" i="53"/>
  <c r="AC54" i="55"/>
  <c r="AD54" i="55" s="1"/>
  <c r="AD18" i="53"/>
  <c r="AC18" i="55"/>
  <c r="AD18" i="55" s="1"/>
  <c r="R27" i="58"/>
  <c r="S27" i="58" s="1"/>
  <c r="S27" i="57"/>
  <c r="R27" i="59"/>
  <c r="S27" i="59" s="1"/>
  <c r="R14" i="58"/>
  <c r="S14" i="58" s="1"/>
  <c r="S14" i="57"/>
  <c r="R14" i="59"/>
  <c r="S14" i="59" s="1"/>
  <c r="R19" i="58"/>
  <c r="S19" i="58" s="1"/>
  <c r="R19" i="59"/>
  <c r="S19" i="59" s="1"/>
  <c r="S19" i="57"/>
  <c r="U43" i="58"/>
  <c r="U43" i="59"/>
  <c r="S43" i="69"/>
  <c r="S88" i="69" s="1"/>
  <c r="U8" i="59"/>
  <c r="U8" i="58"/>
  <c r="S8" i="69"/>
  <c r="S53" i="69" s="1"/>
  <c r="U12" i="59"/>
  <c r="S12" i="69" s="1"/>
  <c r="S57" i="69" s="1"/>
  <c r="U12" i="58"/>
  <c r="U27" i="58"/>
  <c r="S27" i="69" s="1"/>
  <c r="S72" i="69" s="1"/>
  <c r="U27" i="59"/>
  <c r="Q24" i="55"/>
  <c r="Q26" i="55"/>
  <c r="Q43" i="55"/>
  <c r="Q7" i="55"/>
  <c r="Q50" i="55"/>
  <c r="AH31" i="55"/>
  <c r="AH10" i="55"/>
  <c r="AH11" i="54"/>
  <c r="AH11" i="55"/>
  <c r="AH20" i="55"/>
  <c r="U39" i="55"/>
  <c r="X8" i="70"/>
  <c r="T6" i="58"/>
  <c r="W6" i="57"/>
  <c r="T6" i="59"/>
  <c r="T34" i="59"/>
  <c r="W34" i="57"/>
  <c r="T34" i="58"/>
  <c r="W34" i="58" s="1"/>
  <c r="T19" i="59"/>
  <c r="W19" i="57"/>
  <c r="T19" i="58"/>
  <c r="T7" i="58"/>
  <c r="R7" i="69" s="1"/>
  <c r="R52" i="69" s="1"/>
  <c r="W7" i="57"/>
  <c r="T7" i="59"/>
  <c r="O38" i="55"/>
  <c r="O38" i="68"/>
  <c r="O94" i="68" s="1"/>
  <c r="O33" i="55"/>
  <c r="O54" i="55"/>
  <c r="O11" i="55"/>
  <c r="O52" i="54"/>
  <c r="O52" i="68" s="1"/>
  <c r="O108" i="68" s="1"/>
  <c r="O52" i="55"/>
  <c r="O29" i="55"/>
  <c r="P34" i="55"/>
  <c r="P17" i="55"/>
  <c r="P49" i="55"/>
  <c r="P47" i="55"/>
  <c r="P32" i="54"/>
  <c r="P32" i="55"/>
  <c r="L7" i="55"/>
  <c r="L32" i="55"/>
  <c r="L53" i="55"/>
  <c r="L6" i="55"/>
  <c r="L30" i="55"/>
  <c r="V33" i="58"/>
  <c r="V33" i="59"/>
  <c r="V34" i="58"/>
  <c r="V34" i="59"/>
  <c r="T34" i="69" s="1"/>
  <c r="T79" i="69" s="1"/>
  <c r="V38" i="58"/>
  <c r="V38" i="59"/>
  <c r="V5" i="58"/>
  <c r="V46" i="57"/>
  <c r="V5" i="59"/>
  <c r="V12" i="58"/>
  <c r="V12" i="59"/>
  <c r="X9" i="55"/>
  <c r="X43" i="55"/>
  <c r="X24" i="55"/>
  <c r="X49" i="55"/>
  <c r="V9" i="69"/>
  <c r="V54" i="69" s="1"/>
  <c r="V38" i="69"/>
  <c r="V83" i="69" s="1"/>
  <c r="T38" i="69"/>
  <c r="T83" i="69" s="1"/>
  <c r="M35" i="69"/>
  <c r="M80" i="69" s="1"/>
  <c r="O12" i="57"/>
  <c r="O18" i="57"/>
  <c r="O33" i="57"/>
  <c r="O28" i="57"/>
  <c r="O17" i="57"/>
  <c r="O15" i="57"/>
  <c r="O22" i="57"/>
  <c r="O20" i="57"/>
  <c r="O42" i="57"/>
  <c r="O40" i="57"/>
  <c r="O13" i="57"/>
  <c r="O8" i="57"/>
  <c r="O10" i="57"/>
  <c r="O30" i="57"/>
  <c r="O44" i="57"/>
  <c r="O34" i="57"/>
  <c r="O32" i="57"/>
  <c r="O38" i="57"/>
  <c r="O36" i="57"/>
  <c r="O27" i="57"/>
  <c r="O5" i="57"/>
  <c r="O16" i="57"/>
  <c r="O37" i="57"/>
  <c r="O41" i="57"/>
  <c r="O39" i="57"/>
  <c r="O24" i="57"/>
  <c r="O9" i="57"/>
  <c r="O11" i="57"/>
  <c r="O6" i="57"/>
  <c r="O14" i="57"/>
  <c r="O21" i="57"/>
  <c r="O19" i="57"/>
  <c r="O25" i="57"/>
  <c r="O23" i="57"/>
  <c r="O29" i="57"/>
  <c r="O43" i="57"/>
  <c r="O7" i="57"/>
  <c r="O31" i="57"/>
  <c r="O35" i="57"/>
  <c r="O26" i="57"/>
  <c r="M19" i="59"/>
  <c r="M19" i="58"/>
  <c r="M42" i="58"/>
  <c r="M42" i="59"/>
  <c r="M41" i="58"/>
  <c r="M41" i="59"/>
  <c r="M34" i="58"/>
  <c r="M34" i="59"/>
  <c r="M26" i="58"/>
  <c r="M26" i="69" s="1"/>
  <c r="M71" i="69" s="1"/>
  <c r="M26" i="59"/>
  <c r="M37" i="58"/>
  <c r="M37" i="59"/>
  <c r="M8" i="58"/>
  <c r="M8" i="59"/>
  <c r="M22" i="58"/>
  <c r="M22" i="59"/>
  <c r="M33" i="58"/>
  <c r="M33" i="59"/>
  <c r="M18" i="58"/>
  <c r="M18" i="59"/>
  <c r="W46" i="55"/>
  <c r="W37" i="55"/>
  <c r="W10" i="55"/>
  <c r="W5" i="55"/>
  <c r="W57" i="53"/>
  <c r="W62" i="53" s="1"/>
  <c r="W21" i="54" s="1"/>
  <c r="V21" i="68" s="1"/>
  <c r="V77" i="68" s="1"/>
  <c r="Y23" i="53"/>
  <c r="Y11" i="53"/>
  <c r="Y16" i="53"/>
  <c r="Y7" i="53"/>
  <c r="Y7" i="55" s="1"/>
  <c r="Y8" i="53"/>
  <c r="Y14" i="53"/>
  <c r="Y31" i="53"/>
  <c r="Y28" i="53"/>
  <c r="Y28" i="55" s="1"/>
  <c r="Y37" i="53"/>
  <c r="Y41" i="53"/>
  <c r="Y49" i="53"/>
  <c r="Y45" i="53"/>
  <c r="Y45" i="55" s="1"/>
  <c r="Y53" i="53"/>
  <c r="Y21" i="53"/>
  <c r="Y19" i="53"/>
  <c r="Y44" i="53"/>
  <c r="Y36" i="53"/>
  <c r="Y18" i="53"/>
  <c r="Y9" i="53"/>
  <c r="Y29" i="53"/>
  <c r="Y29" i="55" s="1"/>
  <c r="Y5" i="53"/>
  <c r="Y6" i="53"/>
  <c r="Y27" i="53"/>
  <c r="Y26" i="53"/>
  <c r="Y26" i="55" s="1"/>
  <c r="Y34" i="53"/>
  <c r="Y35" i="53"/>
  <c r="Y38" i="53"/>
  <c r="Y39" i="53"/>
  <c r="Y39" i="55" s="1"/>
  <c r="Y42" i="53"/>
  <c r="Y30" i="53"/>
  <c r="Y15" i="53"/>
  <c r="Y17" i="53"/>
  <c r="Y22" i="53"/>
  <c r="Y33" i="53"/>
  <c r="Y55" i="53"/>
  <c r="Y43" i="53"/>
  <c r="Y54" i="53"/>
  <c r="Y51" i="53"/>
  <c r="Y13" i="53"/>
  <c r="Y10" i="53"/>
  <c r="Y25" i="53"/>
  <c r="Y32" i="53"/>
  <c r="Y40" i="53"/>
  <c r="Y24" i="53"/>
  <c r="Y20" i="53"/>
  <c r="Y50" i="53"/>
  <c r="Y47" i="53"/>
  <c r="Y46" i="53"/>
  <c r="Y12" i="53"/>
  <c r="Y48" i="53"/>
  <c r="Y52" i="53"/>
  <c r="AI57" i="53"/>
  <c r="AI62" i="53" s="1"/>
  <c r="AI52" i="54" s="1"/>
  <c r="AE52" i="68" s="1"/>
  <c r="AE108" i="68" s="1"/>
  <c r="AI5" i="55"/>
  <c r="AI52" i="55"/>
  <c r="AI54" i="55"/>
  <c r="AI6" i="55"/>
  <c r="AI41" i="55"/>
  <c r="AI51" i="55"/>
  <c r="AI19" i="55"/>
  <c r="AA23" i="57"/>
  <c r="Z23" i="58"/>
  <c r="Z23" i="59"/>
  <c r="AA23" i="59" s="1"/>
  <c r="AA14" i="57"/>
  <c r="Z14" i="58"/>
  <c r="Z14" i="59"/>
  <c r="AA14" i="59" s="1"/>
  <c r="AA18" i="57"/>
  <c r="Z18" i="58"/>
  <c r="Z18" i="59"/>
  <c r="AA18" i="59" s="1"/>
  <c r="Z27" i="59"/>
  <c r="AA27" i="59" s="1"/>
  <c r="AA27" i="57"/>
  <c r="Z27" i="58"/>
  <c r="AA32" i="57"/>
  <c r="Z32" i="59"/>
  <c r="AA32" i="59" s="1"/>
  <c r="Z32" i="58"/>
  <c r="AA24" i="57"/>
  <c r="Z24" i="58"/>
  <c r="Z24" i="59"/>
  <c r="AA24" i="59" s="1"/>
  <c r="Z35" i="59"/>
  <c r="AA35" i="59" s="1"/>
  <c r="AA35" i="57"/>
  <c r="Z35" i="58"/>
  <c r="Z22" i="59"/>
  <c r="AA22" i="59" s="1"/>
  <c r="Z22" i="58"/>
  <c r="AA22" i="57"/>
  <c r="Z33" i="59"/>
  <c r="AA33" i="59" s="1"/>
  <c r="Z33" i="58"/>
  <c r="AA33" i="57"/>
  <c r="Z11" i="59"/>
  <c r="AA11" i="59" s="1"/>
  <c r="Z11" i="58"/>
  <c r="AA11" i="57"/>
  <c r="AD39" i="53"/>
  <c r="AC39" i="55"/>
  <c r="AD39" i="55" s="1"/>
  <c r="AC34" i="55"/>
  <c r="AD34" i="55" s="1"/>
  <c r="AD34" i="53"/>
  <c r="AC28" i="55"/>
  <c r="AD28" i="55" s="1"/>
  <c r="AD28" i="53"/>
  <c r="AC24" i="55"/>
  <c r="AD24" i="55" s="1"/>
  <c r="AD24" i="53"/>
  <c r="AC43" i="55"/>
  <c r="AD43" i="55" s="1"/>
  <c r="AD43" i="53"/>
  <c r="AD12" i="53"/>
  <c r="AC12" i="55"/>
  <c r="AD12" i="55" s="1"/>
  <c r="AC49" i="55"/>
  <c r="AD49" i="55" s="1"/>
  <c r="AD49" i="53"/>
  <c r="AC41" i="55"/>
  <c r="AD41" i="55" s="1"/>
  <c r="AD41" i="53"/>
  <c r="AC57" i="53"/>
  <c r="AC62" i="53" s="1"/>
  <c r="AC52" i="54" s="1"/>
  <c r="AD52" i="54" s="1"/>
  <c r="AC5" i="55"/>
  <c r="AD5" i="53"/>
  <c r="AD27" i="53"/>
  <c r="AC27" i="55"/>
  <c r="AD27" i="55" s="1"/>
  <c r="AD45" i="53"/>
  <c r="AC45" i="55"/>
  <c r="AD45" i="55" s="1"/>
  <c r="AC31" i="55"/>
  <c r="AD31" i="55" s="1"/>
  <c r="AD31" i="53"/>
  <c r="AD13" i="53"/>
  <c r="AC13" i="55"/>
  <c r="AD13" i="55" s="1"/>
  <c r="R21" i="58"/>
  <c r="S21" i="57"/>
  <c r="R21" i="59"/>
  <c r="S21" i="59" s="1"/>
  <c r="S36" i="57"/>
  <c r="R36" i="58"/>
  <c r="R36" i="59"/>
  <c r="S36" i="59" s="1"/>
  <c r="S8" i="57"/>
  <c r="R8" i="58"/>
  <c r="R8" i="59"/>
  <c r="S8" i="59" s="1"/>
  <c r="R25" i="59"/>
  <c r="S25" i="59" s="1"/>
  <c r="R25" i="58"/>
  <c r="S25" i="57"/>
  <c r="S40" i="57"/>
  <c r="R40" i="58"/>
  <c r="R40" i="59"/>
  <c r="S40" i="59" s="1"/>
  <c r="S15" i="57"/>
  <c r="R15" i="59"/>
  <c r="S15" i="59" s="1"/>
  <c r="R15" i="58"/>
  <c r="S11" i="57"/>
  <c r="R11" i="59"/>
  <c r="S11" i="59" s="1"/>
  <c r="R11" i="58"/>
  <c r="S44" i="57"/>
  <c r="R44" i="59"/>
  <c r="S44" i="59" s="1"/>
  <c r="R44" i="58"/>
  <c r="S39" i="57"/>
  <c r="R39" i="58"/>
  <c r="R39" i="59"/>
  <c r="S39" i="59" s="1"/>
  <c r="S5" i="57"/>
  <c r="R46" i="57"/>
  <c r="R5" i="59"/>
  <c r="R5" i="58"/>
  <c r="U6" i="59"/>
  <c r="U6" i="58"/>
  <c r="S6" i="69" s="1"/>
  <c r="S51" i="69" s="1"/>
  <c r="U24" i="59"/>
  <c r="U24" i="58"/>
  <c r="S24" i="69" s="1"/>
  <c r="S69" i="69" s="1"/>
  <c r="U19" i="58"/>
  <c r="S19" i="69" s="1"/>
  <c r="S64" i="69" s="1"/>
  <c r="U19" i="59"/>
  <c r="U34" i="58"/>
  <c r="S34" i="69" s="1"/>
  <c r="S79" i="69" s="1"/>
  <c r="U34" i="59"/>
  <c r="U40" i="58"/>
  <c r="U40" i="59"/>
  <c r="S40" i="69"/>
  <c r="S85" i="69" s="1"/>
  <c r="U35" i="58"/>
  <c r="U35" i="59"/>
  <c r="S35" i="69"/>
  <c r="S80" i="69" s="1"/>
  <c r="U36" i="59"/>
  <c r="S36" i="69" s="1"/>
  <c r="S81" i="69" s="1"/>
  <c r="U36" i="58"/>
  <c r="U22" i="59"/>
  <c r="U22" i="58"/>
  <c r="S22" i="69" s="1"/>
  <c r="S67" i="69" s="1"/>
  <c r="U30" i="59"/>
  <c r="U30" i="58"/>
  <c r="S30" i="69"/>
  <c r="S75" i="69" s="1"/>
  <c r="U13" i="58"/>
  <c r="U13" i="59"/>
  <c r="S13" i="69"/>
  <c r="S58" i="69" s="1"/>
  <c r="Q44" i="55"/>
  <c r="Q54" i="55"/>
  <c r="Q40" i="55"/>
  <c r="Q18" i="55"/>
  <c r="Q52" i="55"/>
  <c r="Q20" i="55"/>
  <c r="Q49" i="55"/>
  <c r="Q22" i="55"/>
  <c r="Q25" i="55"/>
  <c r="Q53" i="55"/>
  <c r="Q21" i="55"/>
  <c r="Q17" i="55"/>
  <c r="Q31" i="55"/>
  <c r="AH46" i="55"/>
  <c r="AH7" i="54"/>
  <c r="AD7" i="68" s="1"/>
  <c r="AD63" i="68" s="1"/>
  <c r="AH7" i="55"/>
  <c r="AH22" i="55"/>
  <c r="AH35" i="55"/>
  <c r="AH42" i="55"/>
  <c r="AH18" i="55"/>
  <c r="AH34" i="55"/>
  <c r="AH25" i="54"/>
  <c r="AD25" i="68" s="1"/>
  <c r="AD81" i="68" s="1"/>
  <c r="AH25" i="55"/>
  <c r="AH6" i="55"/>
  <c r="M22" i="53"/>
  <c r="M22" i="55" s="1"/>
  <c r="M19" i="53"/>
  <c r="M6" i="53"/>
  <c r="M5" i="53"/>
  <c r="M14" i="53"/>
  <c r="M13" i="53"/>
  <c r="M10" i="53"/>
  <c r="M9" i="53"/>
  <c r="M20" i="53"/>
  <c r="M40" i="53"/>
  <c r="M7" i="53"/>
  <c r="U6" i="55"/>
  <c r="U6" i="54"/>
  <c r="T6" i="68" s="1"/>
  <c r="T62" i="68" s="1"/>
  <c r="U26" i="55"/>
  <c r="U28" i="55"/>
  <c r="U28" i="54"/>
  <c r="T28" i="68" s="1"/>
  <c r="T84" i="68" s="1"/>
  <c r="U7" i="55"/>
  <c r="U45" i="55"/>
  <c r="U45" i="54"/>
  <c r="T45" i="68" s="1"/>
  <c r="T101" i="68" s="1"/>
  <c r="U29" i="55"/>
  <c r="U31" i="55"/>
  <c r="U31" i="54"/>
  <c r="T31" i="68" s="1"/>
  <c r="T87" i="68" s="1"/>
  <c r="U47" i="55"/>
  <c r="U19" i="55"/>
  <c r="U19" i="54"/>
  <c r="T19" i="68" s="1"/>
  <c r="T75" i="68" s="1"/>
  <c r="U34" i="55"/>
  <c r="U44" i="55"/>
  <c r="U44" i="54"/>
  <c r="T44" i="68" s="1"/>
  <c r="T100" i="68" s="1"/>
  <c r="U17" i="55"/>
  <c r="M30" i="53"/>
  <c r="X10" i="70"/>
  <c r="P7" i="57"/>
  <c r="P13" i="57"/>
  <c r="P35" i="57"/>
  <c r="P33" i="57"/>
  <c r="P20" i="57"/>
  <c r="P17" i="57"/>
  <c r="P24" i="57"/>
  <c r="P22" i="57"/>
  <c r="P28" i="57"/>
  <c r="P42" i="57"/>
  <c r="P11" i="57"/>
  <c r="P6" i="57"/>
  <c r="P19" i="57"/>
  <c r="P16" i="57"/>
  <c r="P39" i="57"/>
  <c r="P37" i="57"/>
  <c r="P43" i="57"/>
  <c r="P41" i="57"/>
  <c r="P31" i="57"/>
  <c r="P26" i="57"/>
  <c r="P12" i="57"/>
  <c r="P18" i="57"/>
  <c r="P9" i="57"/>
  <c r="P15" i="57"/>
  <c r="P30" i="57"/>
  <c r="P36" i="57"/>
  <c r="P34" i="57"/>
  <c r="P40" i="57"/>
  <c r="P38" i="57"/>
  <c r="P44" i="57"/>
  <c r="P8" i="57"/>
  <c r="P10" i="57"/>
  <c r="P5" i="57"/>
  <c r="P32" i="57"/>
  <c r="P23" i="57"/>
  <c r="P21" i="57"/>
  <c r="P27" i="57"/>
  <c r="P25" i="57"/>
  <c r="P14" i="57"/>
  <c r="P29" i="57"/>
  <c r="T32" i="59"/>
  <c r="T32" i="58"/>
  <c r="R32" i="69" s="1"/>
  <c r="R77" i="69" s="1"/>
  <c r="W32" i="57"/>
  <c r="T24" i="59"/>
  <c r="T24" i="58"/>
  <c r="W24" i="57"/>
  <c r="T8" i="59"/>
  <c r="W8" i="57"/>
  <c r="T8" i="58"/>
  <c r="W11" i="57"/>
  <c r="T11" i="58"/>
  <c r="T11" i="59"/>
  <c r="W11" i="59" s="1"/>
  <c r="T31" i="59"/>
  <c r="T31" i="58"/>
  <c r="W31" i="57"/>
  <c r="T39" i="59"/>
  <c r="W39" i="59" s="1"/>
  <c r="T39" i="58"/>
  <c r="W39" i="57"/>
  <c r="W40" i="57"/>
  <c r="T40" i="59"/>
  <c r="T40" i="58"/>
  <c r="T35" i="58"/>
  <c r="W35" i="57"/>
  <c r="T35" i="59"/>
  <c r="W35" i="59" s="1"/>
  <c r="T27" i="58"/>
  <c r="W27" i="57"/>
  <c r="T27" i="59"/>
  <c r="T5" i="58"/>
  <c r="T5" i="59"/>
  <c r="W5" i="57"/>
  <c r="T46" i="57"/>
  <c r="O6" i="55"/>
  <c r="O35" i="55"/>
  <c r="O26" i="55"/>
  <c r="O19" i="55"/>
  <c r="O31" i="55"/>
  <c r="O47" i="55"/>
  <c r="O32" i="55"/>
  <c r="O16" i="55"/>
  <c r="O23" i="55"/>
  <c r="O23" i="54"/>
  <c r="O23" i="68" s="1"/>
  <c r="O79" i="68" s="1"/>
  <c r="O14" i="55"/>
  <c r="O34" i="55"/>
  <c r="O37" i="55"/>
  <c r="O37" i="54"/>
  <c r="O37" i="68" s="1"/>
  <c r="O93" i="68" s="1"/>
  <c r="O13" i="55"/>
  <c r="Y58" i="55"/>
  <c r="Y58" i="53"/>
  <c r="Y58" i="54"/>
  <c r="Y62" i="54" s="1"/>
  <c r="P12" i="54"/>
  <c r="P12" i="68" s="1"/>
  <c r="P68" i="68" s="1"/>
  <c r="P12" i="55"/>
  <c r="P36" i="55"/>
  <c r="P20" i="55"/>
  <c r="P24" i="55"/>
  <c r="P37" i="55"/>
  <c r="P21" i="55"/>
  <c r="P43" i="55"/>
  <c r="P31" i="55"/>
  <c r="P26" i="55"/>
  <c r="P39" i="55"/>
  <c r="P14" i="55"/>
  <c r="P16" i="55"/>
  <c r="L27" i="55"/>
  <c r="L27" i="54"/>
  <c r="L27" i="68" s="1"/>
  <c r="L83" i="68" s="1"/>
  <c r="L16" i="55"/>
  <c r="L21" i="55"/>
  <c r="L21" i="54"/>
  <c r="L21" i="68" s="1"/>
  <c r="L77" i="68" s="1"/>
  <c r="L20" i="55"/>
  <c r="L42" i="55"/>
  <c r="L42" i="54"/>
  <c r="L42" i="68" s="1"/>
  <c r="L98" i="68" s="1"/>
  <c r="L17" i="55"/>
  <c r="L39" i="55"/>
  <c r="L39" i="54"/>
  <c r="L39" i="68" s="1"/>
  <c r="L95" i="68" s="1"/>
  <c r="L44" i="55"/>
  <c r="L28" i="55"/>
  <c r="L28" i="54"/>
  <c r="L28" i="68" s="1"/>
  <c r="L84" i="68" s="1"/>
  <c r="L37" i="55"/>
  <c r="L23" i="54"/>
  <c r="L23" i="68" s="1"/>
  <c r="L79" i="68" s="1"/>
  <c r="L23" i="55"/>
  <c r="L8" i="55"/>
  <c r="M27" i="53"/>
  <c r="M52" i="53"/>
  <c r="M10" i="71"/>
  <c r="V10" i="58"/>
  <c r="V10" i="59"/>
  <c r="V35" i="59"/>
  <c r="V35" i="58"/>
  <c r="T35" i="69" s="1"/>
  <c r="T80" i="69" s="1"/>
  <c r="V27" i="59"/>
  <c r="V27" i="58"/>
  <c r="T27" i="69" s="1"/>
  <c r="T72" i="69" s="1"/>
  <c r="V26" i="58"/>
  <c r="V26" i="59"/>
  <c r="V16" i="58"/>
  <c r="V16" i="59"/>
  <c r="V40" i="58"/>
  <c r="V40" i="59"/>
  <c r="V36" i="59"/>
  <c r="V36" i="58"/>
  <c r="T36" i="69" s="1"/>
  <c r="T81" i="69" s="1"/>
  <c r="V21" i="59"/>
  <c r="V21" i="58"/>
  <c r="V28" i="59"/>
  <c r="V28" i="58"/>
  <c r="V6" i="59"/>
  <c r="V6" i="58"/>
  <c r="T6" i="69" s="1"/>
  <c r="T51" i="69" s="1"/>
  <c r="X50" i="55"/>
  <c r="X12" i="55"/>
  <c r="X12" i="54"/>
  <c r="W12" i="68" s="1"/>
  <c r="W68" i="68" s="1"/>
  <c r="X18" i="55"/>
  <c r="X27" i="55"/>
  <c r="X27" i="54"/>
  <c r="W27" i="68" s="1"/>
  <c r="W83" i="68" s="1"/>
  <c r="X38" i="55"/>
  <c r="X46" i="55"/>
  <c r="X46" i="54"/>
  <c r="W46" i="68" s="1"/>
  <c r="W102" i="68" s="1"/>
  <c r="X11" i="55"/>
  <c r="X17" i="55"/>
  <c r="X17" i="54"/>
  <c r="W17" i="68" s="1"/>
  <c r="W73" i="68" s="1"/>
  <c r="X7" i="55"/>
  <c r="X8" i="55"/>
  <c r="X8" i="54"/>
  <c r="W8" i="68" s="1"/>
  <c r="W64" i="68" s="1"/>
  <c r="X14" i="55"/>
  <c r="X36" i="55"/>
  <c r="X36" i="54"/>
  <c r="W36" i="68" s="1"/>
  <c r="W92" i="68" s="1"/>
  <c r="X48" i="55"/>
  <c r="M29" i="53"/>
  <c r="M40" i="58"/>
  <c r="M40" i="69" s="1"/>
  <c r="M85" i="69" s="1"/>
  <c r="M40" i="59"/>
  <c r="M32" i="58"/>
  <c r="M32" i="59"/>
  <c r="M27" i="58"/>
  <c r="M27" i="59"/>
  <c r="M28" i="59"/>
  <c r="M28" i="58"/>
  <c r="M28" i="69" s="1"/>
  <c r="M73" i="69" s="1"/>
  <c r="W38" i="54"/>
  <c r="V38" i="68" s="1"/>
  <c r="V94" i="68" s="1"/>
  <c r="W38" i="55"/>
  <c r="AI50" i="55"/>
  <c r="AI48" i="55"/>
  <c r="AI18" i="55"/>
  <c r="AI27" i="54"/>
  <c r="AE27" i="68" s="1"/>
  <c r="AE83" i="68" s="1"/>
  <c r="AI27" i="55"/>
  <c r="AI42" i="55"/>
  <c r="AI11" i="54"/>
  <c r="AE11" i="68" s="1"/>
  <c r="AE67" i="68" s="1"/>
  <c r="AI11" i="55"/>
  <c r="AI17" i="55"/>
  <c r="M32" i="55"/>
  <c r="Z5" i="59"/>
  <c r="AA5" i="57"/>
  <c r="Z5" i="58"/>
  <c r="Z46" i="57"/>
  <c r="Z21" i="59"/>
  <c r="AA21" i="59" s="1"/>
  <c r="AA21" i="57"/>
  <c r="Z21" i="58"/>
  <c r="Z37" i="59"/>
  <c r="AA37" i="59" s="1"/>
  <c r="AA37" i="57"/>
  <c r="Z37" i="58"/>
  <c r="AA37" i="58" s="1"/>
  <c r="Z30" i="59"/>
  <c r="AA30" i="59" s="1"/>
  <c r="AA30" i="57"/>
  <c r="Z30" i="58"/>
  <c r="AA30" i="58" s="1"/>
  <c r="Z20" i="58"/>
  <c r="AA20" i="58" s="1"/>
  <c r="AA20" i="57"/>
  <c r="Z20" i="59"/>
  <c r="AA20" i="59" s="1"/>
  <c r="Z6" i="58"/>
  <c r="AA6" i="57"/>
  <c r="Z6" i="59"/>
  <c r="AA6" i="59" s="1"/>
  <c r="AC15" i="55"/>
  <c r="AD15" i="55" s="1"/>
  <c r="AD15" i="53"/>
  <c r="AD40" i="53"/>
  <c r="AC40" i="55"/>
  <c r="AD40" i="55" s="1"/>
  <c r="AD8" i="53"/>
  <c r="AC8" i="55"/>
  <c r="AD8" i="55" s="1"/>
  <c r="AC6" i="55"/>
  <c r="AD6" i="55" s="1"/>
  <c r="AD6" i="53"/>
  <c r="AD48" i="53"/>
  <c r="AC48" i="55"/>
  <c r="AD48" i="55" s="1"/>
  <c r="AC48" i="54"/>
  <c r="AD55" i="53"/>
  <c r="AC55" i="55"/>
  <c r="AD55" i="55" s="1"/>
  <c r="AD10" i="53"/>
  <c r="AC10" i="55"/>
  <c r="AD10" i="55" s="1"/>
  <c r="AD23" i="53"/>
  <c r="AC23" i="55"/>
  <c r="AD23" i="55" s="1"/>
  <c r="AC44" i="55"/>
  <c r="AD44" i="55" s="1"/>
  <c r="AD44" i="53"/>
  <c r="AD38" i="53"/>
  <c r="AC38" i="55"/>
  <c r="AD38" i="55" s="1"/>
  <c r="AC38" i="54"/>
  <c r="AD16" i="53"/>
  <c r="AC16" i="55"/>
  <c r="AD16" i="55" s="1"/>
  <c r="S23" i="57"/>
  <c r="R23" i="59"/>
  <c r="S23" i="59" s="1"/>
  <c r="R23" i="58"/>
  <c r="S23" i="58" s="1"/>
  <c r="R43" i="58"/>
  <c r="R43" i="59"/>
  <c r="S43" i="59" s="1"/>
  <c r="S43" i="57"/>
  <c r="R6" i="58"/>
  <c r="S6" i="57"/>
  <c r="R6" i="59"/>
  <c r="S6" i="59" s="1"/>
  <c r="R37" i="58"/>
  <c r="S37" i="58" s="1"/>
  <c r="S37" i="57"/>
  <c r="R37" i="59"/>
  <c r="S37" i="59" s="1"/>
  <c r="U21" i="59"/>
  <c r="S21" i="69" s="1"/>
  <c r="S66" i="69" s="1"/>
  <c r="U21" i="58"/>
  <c r="U37" i="59"/>
  <c r="U37" i="58"/>
  <c r="S37" i="69" s="1"/>
  <c r="S82" i="69" s="1"/>
  <c r="U15" i="59"/>
  <c r="U15" i="58"/>
  <c r="S15" i="69"/>
  <c r="S60" i="69" s="1"/>
  <c r="Q28" i="55"/>
  <c r="Q6" i="55"/>
  <c r="Q6" i="54"/>
  <c r="Q6" i="68" s="1"/>
  <c r="Q62" i="68" s="1"/>
  <c r="AH49" i="55"/>
  <c r="AH37" i="55"/>
  <c r="U48" i="55"/>
  <c r="U53" i="55"/>
  <c r="U53" i="54"/>
  <c r="T53" i="68" s="1"/>
  <c r="T109" i="68" s="1"/>
  <c r="U41" i="55"/>
  <c r="U32" i="55"/>
  <c r="U32" i="54"/>
  <c r="T32" i="68" s="1"/>
  <c r="T88" i="68" s="1"/>
  <c r="W22" i="57"/>
  <c r="T22" i="59"/>
  <c r="T22" i="58"/>
  <c r="W26" i="57"/>
  <c r="T26" i="59"/>
  <c r="T26" i="58"/>
  <c r="T25" i="59"/>
  <c r="T25" i="58"/>
  <c r="W25" i="57"/>
  <c r="O21" i="55"/>
  <c r="V58" i="53"/>
  <c r="V58" i="55"/>
  <c r="V58" i="54"/>
  <c r="V62" i="54" s="1"/>
  <c r="P54" i="55"/>
  <c r="P22" i="55"/>
  <c r="P38" i="55"/>
  <c r="P48" i="55"/>
  <c r="L45" i="55"/>
  <c r="L11" i="55"/>
  <c r="L11" i="54"/>
  <c r="L11" i="68" s="1"/>
  <c r="L67" i="68" s="1"/>
  <c r="L50" i="55"/>
  <c r="V41" i="58"/>
  <c r="T41" i="69" s="1"/>
  <c r="T86" i="69" s="1"/>
  <c r="V41" i="59"/>
  <c r="V25" i="58"/>
  <c r="V25" i="59"/>
  <c r="V39" i="58"/>
  <c r="T39" i="69" s="1"/>
  <c r="T84" i="69" s="1"/>
  <c r="V39" i="59"/>
  <c r="V7" i="58"/>
  <c r="V7" i="59"/>
  <c r="V42" i="58"/>
  <c r="T42" i="69" s="1"/>
  <c r="T87" i="69" s="1"/>
  <c r="V42" i="59"/>
  <c r="X35" i="55"/>
  <c r="X55" i="55"/>
  <c r="X15" i="55"/>
  <c r="X31" i="55"/>
  <c r="X42" i="55"/>
  <c r="X52" i="55"/>
  <c r="X28" i="55"/>
  <c r="W45" i="54"/>
  <c r="V45" i="68" s="1"/>
  <c r="V101" i="68" s="1"/>
  <c r="Q37" i="69"/>
  <c r="Q82" i="69" s="1"/>
  <c r="V37" i="69"/>
  <c r="V82" i="69" s="1"/>
  <c r="V20" i="69"/>
  <c r="V65" i="69" s="1"/>
  <c r="Q27" i="69"/>
  <c r="Q72" i="69" s="1"/>
  <c r="T5" i="69"/>
  <c r="T50" i="69" s="1"/>
  <c r="R6" i="69"/>
  <c r="R51" i="69" s="1"/>
  <c r="AD11" i="68"/>
  <c r="AD67" i="68" s="1"/>
  <c r="M8" i="69"/>
  <c r="M53" i="69" s="1"/>
  <c r="M25" i="69"/>
  <c r="M70" i="69" s="1"/>
  <c r="M15" i="55"/>
  <c r="M39" i="58"/>
  <c r="M39" i="69" s="1"/>
  <c r="M84" i="69" s="1"/>
  <c r="M39" i="59"/>
  <c r="M21" i="58"/>
  <c r="M21" i="59"/>
  <c r="M12" i="58"/>
  <c r="M12" i="69" s="1"/>
  <c r="M57" i="69" s="1"/>
  <c r="M12" i="59"/>
  <c r="M36" i="58"/>
  <c r="M36" i="59"/>
  <c r="M44" i="59"/>
  <c r="M44" i="58"/>
  <c r="M5" i="59"/>
  <c r="M5" i="58"/>
  <c r="M46" i="57"/>
  <c r="M31" i="58"/>
  <c r="M31" i="59"/>
  <c r="M13" i="58"/>
  <c r="M13" i="59"/>
  <c r="M15" i="58"/>
  <c r="M15" i="59"/>
  <c r="M43" i="58"/>
  <c r="M43" i="59"/>
  <c r="W55" i="55"/>
  <c r="W34" i="55"/>
  <c r="W7" i="55"/>
  <c r="W22" i="55"/>
  <c r="AI37" i="55"/>
  <c r="AI43" i="55"/>
  <c r="AI43" i="54"/>
  <c r="AE43" i="68" s="1"/>
  <c r="AE99" i="68" s="1"/>
  <c r="AI20" i="55"/>
  <c r="AI47" i="55"/>
  <c r="AI25" i="55"/>
  <c r="AI8" i="55"/>
  <c r="Z41" i="58"/>
  <c r="Z41" i="59"/>
  <c r="AA41" i="59" s="1"/>
  <c r="AA41" i="57"/>
  <c r="Z25" i="58"/>
  <c r="Z25" i="59"/>
  <c r="AA25" i="59" s="1"/>
  <c r="AA25" i="57"/>
  <c r="Z40" i="58"/>
  <c r="Z40" i="59"/>
  <c r="AA40" i="59" s="1"/>
  <c r="AA40" i="57"/>
  <c r="Z12" i="58"/>
  <c r="AA12" i="57"/>
  <c r="Z12" i="59"/>
  <c r="AA12" i="59" s="1"/>
  <c r="AA8" i="57"/>
  <c r="Z8" i="58"/>
  <c r="Z8" i="59"/>
  <c r="AA8" i="59" s="1"/>
  <c r="AA34" i="57"/>
  <c r="Z34" i="58"/>
  <c r="Z34" i="59"/>
  <c r="AA34" i="59" s="1"/>
  <c r="AA26" i="57"/>
  <c r="Z26" i="58"/>
  <c r="Z26" i="59"/>
  <c r="AA26" i="59" s="1"/>
  <c r="Z16" i="58"/>
  <c r="Z16" i="59"/>
  <c r="AA16" i="59" s="1"/>
  <c r="AA16" i="57"/>
  <c r="AA15" i="57"/>
  <c r="Z15" i="58"/>
  <c r="Z15" i="59"/>
  <c r="AA15" i="59" s="1"/>
  <c r="AA43" i="57"/>
  <c r="Z43" i="58"/>
  <c r="Z43" i="59"/>
  <c r="AA43" i="59" s="1"/>
  <c r="AD53" i="53"/>
  <c r="AC53" i="55"/>
  <c r="AD53" i="55" s="1"/>
  <c r="AD26" i="53"/>
  <c r="AC26" i="55"/>
  <c r="AD26" i="55" s="1"/>
  <c r="AC26" i="54"/>
  <c r="AD36" i="53"/>
  <c r="AC36" i="55"/>
  <c r="AD36" i="55" s="1"/>
  <c r="AD29" i="53"/>
  <c r="AC29" i="55"/>
  <c r="AD29" i="55" s="1"/>
  <c r="AD25" i="53"/>
  <c r="AC25" i="55"/>
  <c r="AD25" i="55" s="1"/>
  <c r="AD19" i="53"/>
  <c r="AC19" i="55"/>
  <c r="AD19" i="55" s="1"/>
  <c r="AC19" i="54"/>
  <c r="AD46" i="53"/>
  <c r="AC46" i="55"/>
  <c r="AD46" i="55" s="1"/>
  <c r="AD47" i="53"/>
  <c r="AC47" i="55"/>
  <c r="AD47" i="55" s="1"/>
  <c r="AD14" i="53"/>
  <c r="AC14" i="55"/>
  <c r="AD14" i="55" s="1"/>
  <c r="AC32" i="55"/>
  <c r="AD32" i="55" s="1"/>
  <c r="AD32" i="53"/>
  <c r="AC32" i="54"/>
  <c r="AC42" i="55"/>
  <c r="AD42" i="55" s="1"/>
  <c r="AD42" i="53"/>
  <c r="AC21" i="54"/>
  <c r="AD21" i="54" s="1"/>
  <c r="AD21" i="53"/>
  <c r="AC21" i="55"/>
  <c r="AD21" i="55" s="1"/>
  <c r="AC17" i="55"/>
  <c r="AD17" i="55" s="1"/>
  <c r="AD17" i="53"/>
  <c r="M25" i="53"/>
  <c r="M12" i="53"/>
  <c r="R31" i="59"/>
  <c r="S31" i="59" s="1"/>
  <c r="S31" i="57"/>
  <c r="R31" i="58"/>
  <c r="R38" i="59"/>
  <c r="S38" i="59" s="1"/>
  <c r="S38" i="57"/>
  <c r="R38" i="58"/>
  <c r="R13" i="59"/>
  <c r="S13" i="59" s="1"/>
  <c r="S13" i="57"/>
  <c r="R13" i="58"/>
  <c r="S9" i="57"/>
  <c r="R9" i="59"/>
  <c r="S9" i="59" s="1"/>
  <c r="R9" i="58"/>
  <c r="R42" i="59"/>
  <c r="S42" i="59" s="1"/>
  <c r="R42" i="58"/>
  <c r="S42" i="57"/>
  <c r="R17" i="59"/>
  <c r="S17" i="59" s="1"/>
  <c r="R17" i="58"/>
  <c r="S17" i="57"/>
  <c r="S28" i="57"/>
  <c r="R28" i="59"/>
  <c r="S28" i="59" s="1"/>
  <c r="R28" i="58"/>
  <c r="R30" i="59"/>
  <c r="S30" i="59" s="1"/>
  <c r="R30" i="58"/>
  <c r="S30" i="57"/>
  <c r="R41" i="59"/>
  <c r="S41" i="59" s="1"/>
  <c r="S41" i="57"/>
  <c r="R41" i="58"/>
  <c r="S10" i="57"/>
  <c r="R10" i="59"/>
  <c r="S10" i="59" s="1"/>
  <c r="R10" i="58"/>
  <c r="U25" i="58"/>
  <c r="S25" i="69" s="1"/>
  <c r="S70" i="69" s="1"/>
  <c r="U25" i="59"/>
  <c r="U16" i="58"/>
  <c r="U16" i="59"/>
  <c r="U46" i="57"/>
  <c r="U5" i="59"/>
  <c r="U5" i="58"/>
  <c r="S5" i="69"/>
  <c r="S50" i="69" s="1"/>
  <c r="U41" i="59"/>
  <c r="S41" i="69" s="1"/>
  <c r="S86" i="69" s="1"/>
  <c r="U41" i="58"/>
  <c r="U33" i="58"/>
  <c r="S33" i="69" s="1"/>
  <c r="S78" i="69" s="1"/>
  <c r="U33" i="59"/>
  <c r="U9" i="59"/>
  <c r="U9" i="58"/>
  <c r="S9" i="69"/>
  <c r="S54" i="69" s="1"/>
  <c r="U14" i="59"/>
  <c r="U14" i="58"/>
  <c r="S14" i="69" s="1"/>
  <c r="S59" i="69" s="1"/>
  <c r="U20" i="58"/>
  <c r="S20" i="69" s="1"/>
  <c r="S65" i="69" s="1"/>
  <c r="U20" i="59"/>
  <c r="U44" i="58"/>
  <c r="S44" i="69" s="1"/>
  <c r="S89" i="69" s="1"/>
  <c r="U44" i="59"/>
  <c r="U7" i="59"/>
  <c r="U7" i="58"/>
  <c r="S7" i="69"/>
  <c r="S52" i="69" s="1"/>
  <c r="Q13" i="55"/>
  <c r="Q16" i="55"/>
  <c r="Q16" i="54"/>
  <c r="Q16" i="68" s="1"/>
  <c r="Q72" i="68" s="1"/>
  <c r="Q51" i="55"/>
  <c r="Q27" i="55"/>
  <c r="Q27" i="54"/>
  <c r="Q27" i="68" s="1"/>
  <c r="Q83" i="68" s="1"/>
  <c r="Q48" i="55"/>
  <c r="Q9" i="55"/>
  <c r="Q9" i="54"/>
  <c r="Q9" i="68" s="1"/>
  <c r="Q65" i="68" s="1"/>
  <c r="Q39" i="55"/>
  <c r="Q15" i="55"/>
  <c r="Q15" i="54"/>
  <c r="Q15" i="68" s="1"/>
  <c r="Q71" i="68" s="1"/>
  <c r="Q32" i="55"/>
  <c r="Q42" i="55"/>
  <c r="Q42" i="54"/>
  <c r="Q42" i="68" s="1"/>
  <c r="Q98" i="68" s="1"/>
  <c r="Q23" i="55"/>
  <c r="Q8" i="55"/>
  <c r="Q8" i="54"/>
  <c r="Q8" i="68" s="1"/>
  <c r="Q64" i="68" s="1"/>
  <c r="AH51" i="55"/>
  <c r="AH26" i="55"/>
  <c r="AH26" i="54"/>
  <c r="AD26" i="68" s="1"/>
  <c r="AD82" i="68" s="1"/>
  <c r="AH13" i="55"/>
  <c r="AH13" i="54"/>
  <c r="AD13" i="68" s="1"/>
  <c r="AD69" i="68" s="1"/>
  <c r="AH24" i="54"/>
  <c r="AH24" i="55"/>
  <c r="AH57" i="53"/>
  <c r="AH62" i="53" s="1"/>
  <c r="AH46" i="54" s="1"/>
  <c r="AD46" i="68" s="1"/>
  <c r="AD102" i="68" s="1"/>
  <c r="AH5" i="55"/>
  <c r="AH33" i="54"/>
  <c r="AH33" i="55"/>
  <c r="AH41" i="54"/>
  <c r="AH41" i="55"/>
  <c r="AH32" i="54"/>
  <c r="AH32" i="55"/>
  <c r="AH48" i="55"/>
  <c r="AH48" i="54"/>
  <c r="AD48" i="68" s="1"/>
  <c r="AD104" i="68" s="1"/>
  <c r="AH27" i="54"/>
  <c r="AH27" i="55"/>
  <c r="AH9" i="54"/>
  <c r="AH9" i="55"/>
  <c r="M49" i="53"/>
  <c r="M24" i="53"/>
  <c r="N10" i="57"/>
  <c r="N5" i="57"/>
  <c r="N7" i="57"/>
  <c r="N44" i="57"/>
  <c r="N19" i="57"/>
  <c r="N16" i="57"/>
  <c r="N39" i="57"/>
  <c r="N37" i="57"/>
  <c r="N43" i="57"/>
  <c r="N41" i="57"/>
  <c r="N18" i="57"/>
  <c r="N11" i="57"/>
  <c r="N42" i="57"/>
  <c r="N23" i="57"/>
  <c r="N21" i="57"/>
  <c r="N25" i="57"/>
  <c r="N6" i="57"/>
  <c r="N12" i="57"/>
  <c r="N14" i="57"/>
  <c r="N29" i="57"/>
  <c r="N35" i="57"/>
  <c r="N33" i="57"/>
  <c r="N20" i="57"/>
  <c r="N17" i="57"/>
  <c r="N24" i="57"/>
  <c r="N22" i="57"/>
  <c r="N9" i="57"/>
  <c r="N28" i="57"/>
  <c r="N32" i="57"/>
  <c r="N27" i="57"/>
  <c r="N13" i="57"/>
  <c r="N8" i="57"/>
  <c r="N31" i="57"/>
  <c r="N26" i="57"/>
  <c r="N15" i="57"/>
  <c r="N30" i="57"/>
  <c r="N36" i="57"/>
  <c r="N34" i="57"/>
  <c r="N40" i="57"/>
  <c r="N38" i="57"/>
  <c r="U40" i="55"/>
  <c r="U40" i="54"/>
  <c r="T40" i="68" s="1"/>
  <c r="T96" i="68" s="1"/>
  <c r="U57" i="53"/>
  <c r="U62" i="53" s="1"/>
  <c r="U50" i="54" s="1"/>
  <c r="U5" i="55"/>
  <c r="U33" i="55"/>
  <c r="U33" i="54"/>
  <c r="U25" i="55"/>
  <c r="U9" i="55"/>
  <c r="U9" i="54"/>
  <c r="U51" i="55"/>
  <c r="U24" i="55"/>
  <c r="U24" i="54"/>
  <c r="T24" i="68" s="1"/>
  <c r="T80" i="68" s="1"/>
  <c r="U46" i="55"/>
  <c r="U49" i="55"/>
  <c r="U49" i="54"/>
  <c r="T49" i="68" s="1"/>
  <c r="T105" i="68" s="1"/>
  <c r="U16" i="55"/>
  <c r="U36" i="55"/>
  <c r="U36" i="54"/>
  <c r="T36" i="68" s="1"/>
  <c r="T92" i="68" s="1"/>
  <c r="U54" i="55"/>
  <c r="U20" i="55"/>
  <c r="U20" i="54"/>
  <c r="T20" i="68" s="1"/>
  <c r="T76" i="68" s="1"/>
  <c r="M28" i="53"/>
  <c r="W16" i="57"/>
  <c r="T16" i="58"/>
  <c r="T16" i="59"/>
  <c r="W16" i="59" s="1"/>
  <c r="T42" i="59"/>
  <c r="W42" i="59" s="1"/>
  <c r="T42" i="58"/>
  <c r="W42" i="57"/>
  <c r="T17" i="59"/>
  <c r="T17" i="58"/>
  <c r="W17" i="57"/>
  <c r="T13" i="59"/>
  <c r="T13" i="58"/>
  <c r="W13" i="57"/>
  <c r="T30" i="58"/>
  <c r="W30" i="57"/>
  <c r="T30" i="59"/>
  <c r="T41" i="58"/>
  <c r="W41" i="57"/>
  <c r="T41" i="59"/>
  <c r="T18" i="58"/>
  <c r="W18" i="57"/>
  <c r="T18" i="59"/>
  <c r="T36" i="59"/>
  <c r="T36" i="58"/>
  <c r="W36" i="57"/>
  <c r="T29" i="58"/>
  <c r="T29" i="59"/>
  <c r="W29" i="57"/>
  <c r="W21" i="57"/>
  <c r="T21" i="59"/>
  <c r="T21" i="58"/>
  <c r="R21" i="69" s="1"/>
  <c r="R66" i="69" s="1"/>
  <c r="O15" i="55"/>
  <c r="O15" i="54"/>
  <c r="O15" i="68" s="1"/>
  <c r="O71" i="68" s="1"/>
  <c r="O48" i="55"/>
  <c r="O8" i="55"/>
  <c r="O8" i="54"/>
  <c r="O8" i="68" s="1"/>
  <c r="O64" i="68" s="1"/>
  <c r="O18" i="55"/>
  <c r="O43" i="55"/>
  <c r="O43" i="54"/>
  <c r="O43" i="68" s="1"/>
  <c r="O99" i="68" s="1"/>
  <c r="O40" i="55"/>
  <c r="O55" i="54"/>
  <c r="O55" i="68" s="1"/>
  <c r="O111" i="68" s="1"/>
  <c r="O55" i="55"/>
  <c r="O7" i="55"/>
  <c r="O36" i="55"/>
  <c r="O42" i="55"/>
  <c r="O51" i="55"/>
  <c r="O10" i="55"/>
  <c r="O17" i="54"/>
  <c r="O17" i="68" s="1"/>
  <c r="O73" i="68" s="1"/>
  <c r="O17" i="55"/>
  <c r="P45" i="55"/>
  <c r="P45" i="54"/>
  <c r="P45" i="68" s="1"/>
  <c r="P101" i="68" s="1"/>
  <c r="P11" i="55"/>
  <c r="P52" i="54"/>
  <c r="P52" i="68" s="1"/>
  <c r="P108" i="68" s="1"/>
  <c r="P52" i="55"/>
  <c r="P25" i="55"/>
  <c r="P13" i="55"/>
  <c r="P51" i="54"/>
  <c r="P51" i="68" s="1"/>
  <c r="P107" i="68" s="1"/>
  <c r="P51" i="55"/>
  <c r="P23" i="55"/>
  <c r="P35" i="55"/>
  <c r="P33" i="55"/>
  <c r="P33" i="54"/>
  <c r="P15" i="55"/>
  <c r="P46" i="55"/>
  <c r="P6" i="55"/>
  <c r="P9" i="55"/>
  <c r="L52" i="55"/>
  <c r="L52" i="54"/>
  <c r="L52" i="68" s="1"/>
  <c r="L108" i="68" s="1"/>
  <c r="L12" i="55"/>
  <c r="L12" i="54"/>
  <c r="L12" i="68" s="1"/>
  <c r="L68" i="68" s="1"/>
  <c r="L40" i="55"/>
  <c r="L40" i="54"/>
  <c r="L40" i="68" s="1"/>
  <c r="L96" i="68" s="1"/>
  <c r="L15" i="55"/>
  <c r="L15" i="54"/>
  <c r="L15" i="68" s="1"/>
  <c r="L71" i="68" s="1"/>
  <c r="L14" i="55"/>
  <c r="L14" i="54"/>
  <c r="L14" i="68" s="1"/>
  <c r="L70" i="68" s="1"/>
  <c r="L22" i="55"/>
  <c r="L22" i="54"/>
  <c r="L22" i="68" s="1"/>
  <c r="L78" i="68" s="1"/>
  <c r="L33" i="55"/>
  <c r="L33" i="54"/>
  <c r="L33" i="68" s="1"/>
  <c r="L89" i="68" s="1"/>
  <c r="L47" i="55"/>
  <c r="L47" i="54"/>
  <c r="L47" i="68" s="1"/>
  <c r="L103" i="68" s="1"/>
  <c r="L57" i="53"/>
  <c r="L62" i="53" s="1"/>
  <c r="L24" i="54" s="1"/>
  <c r="L24" i="68" s="1"/>
  <c r="L80" i="68" s="1"/>
  <c r="L5" i="55"/>
  <c r="L5" i="54"/>
  <c r="L19" i="55"/>
  <c r="L19" i="54"/>
  <c r="L46" i="54"/>
  <c r="L46" i="55"/>
  <c r="L46" i="68"/>
  <c r="L102" i="68" s="1"/>
  <c r="L51" i="55"/>
  <c r="L51" i="54"/>
  <c r="L51" i="68" s="1"/>
  <c r="L107" i="68" s="1"/>
  <c r="L10" i="55"/>
  <c r="L10" i="68" s="1"/>
  <c r="L66" i="68" s="1"/>
  <c r="L10" i="54"/>
  <c r="M47" i="53"/>
  <c r="M37" i="53"/>
  <c r="M8" i="71"/>
  <c r="M17" i="53"/>
  <c r="V17" i="58"/>
  <c r="V17" i="59"/>
  <c r="V29" i="58"/>
  <c r="V29" i="59"/>
  <c r="V9" i="58"/>
  <c r="V9" i="59"/>
  <c r="V43" i="59"/>
  <c r="V43" i="58"/>
  <c r="T43" i="69" s="1"/>
  <c r="T88" i="69" s="1"/>
  <c r="V19" i="58"/>
  <c r="V19" i="59"/>
  <c r="V8" i="58"/>
  <c r="V8" i="59"/>
  <c r="V15" i="59"/>
  <c r="V15" i="58"/>
  <c r="T15" i="69" s="1"/>
  <c r="T60" i="69" s="1"/>
  <c r="V23" i="58"/>
  <c r="V23" i="59"/>
  <c r="V22" i="58"/>
  <c r="V22" i="59"/>
  <c r="V11" i="58"/>
  <c r="V11" i="59"/>
  <c r="X53" i="55"/>
  <c r="X53" i="54"/>
  <c r="W53" i="68" s="1"/>
  <c r="W109" i="68" s="1"/>
  <c r="X37" i="55"/>
  <c r="X32" i="55"/>
  <c r="X32" i="54"/>
  <c r="W32" i="68" s="1"/>
  <c r="W88" i="68" s="1"/>
  <c r="X54" i="55"/>
  <c r="X25" i="55"/>
  <c r="X25" i="54"/>
  <c r="W25" i="68" s="1"/>
  <c r="W81" i="68" s="1"/>
  <c r="X21" i="55"/>
  <c r="X23" i="55"/>
  <c r="X23" i="54"/>
  <c r="W23" i="68" s="1"/>
  <c r="W79" i="68" s="1"/>
  <c r="X44" i="55"/>
  <c r="X19" i="55"/>
  <c r="X19" i="54"/>
  <c r="W19" i="68" s="1"/>
  <c r="W75" i="68" s="1"/>
  <c r="X10" i="55"/>
  <c r="X39" i="55"/>
  <c r="X39" i="54"/>
  <c r="W39" i="68" s="1"/>
  <c r="W95" i="68" s="1"/>
  <c r="X47" i="55"/>
  <c r="S57" i="53"/>
  <c r="M45" i="53"/>
  <c r="M11" i="58"/>
  <c r="M11" i="69" s="1"/>
  <c r="M56" i="69" s="1"/>
  <c r="M11" i="59"/>
  <c r="M24" i="58"/>
  <c r="M24" i="59"/>
  <c r="M24" i="69" s="1"/>
  <c r="M69" i="69" s="1"/>
  <c r="M20" i="58"/>
  <c r="M20" i="59"/>
  <c r="M9" i="58"/>
  <c r="M9" i="59"/>
  <c r="M9" i="69" s="1"/>
  <c r="M54" i="69" s="1"/>
  <c r="W40" i="55"/>
  <c r="Z7" i="59"/>
  <c r="AA7" i="59" s="1"/>
  <c r="AA7" i="57"/>
  <c r="Z7" i="58"/>
  <c r="AA7" i="58" s="1"/>
  <c r="R34" i="58"/>
  <c r="S34" i="57"/>
  <c r="R34" i="59"/>
  <c r="S34" i="59" s="1"/>
  <c r="R22" i="58"/>
  <c r="S22" i="58" s="1"/>
  <c r="S22" i="57"/>
  <c r="R22" i="59"/>
  <c r="S22" i="59" s="1"/>
  <c r="R26" i="58"/>
  <c r="S26" i="58" s="1"/>
  <c r="S26" i="57"/>
  <c r="R26" i="59"/>
  <c r="S26" i="59" s="1"/>
  <c r="U26" i="58"/>
  <c r="U26" i="59"/>
  <c r="U42" i="59"/>
  <c r="U42" i="58"/>
  <c r="S42" i="69" s="1"/>
  <c r="S87" i="69" s="1"/>
  <c r="U11" i="58"/>
  <c r="S11" i="69" s="1"/>
  <c r="S56" i="69" s="1"/>
  <c r="U11" i="59"/>
  <c r="Q38" i="55"/>
  <c r="Q55" i="55"/>
  <c r="Q11" i="55"/>
  <c r="Q35" i="55"/>
  <c r="Q47" i="55"/>
  <c r="Q10" i="55"/>
  <c r="AH39" i="54"/>
  <c r="AD39" i="68" s="1"/>
  <c r="AD95" i="68" s="1"/>
  <c r="AH39" i="55"/>
  <c r="AH29" i="54"/>
  <c r="AD29" i="68" s="1"/>
  <c r="AD85" i="68" s="1"/>
  <c r="AH29" i="55"/>
  <c r="AH44" i="54"/>
  <c r="AD44" i="68" s="1"/>
  <c r="AD100" i="68" s="1"/>
  <c r="AH44" i="55"/>
  <c r="AH16" i="54"/>
  <c r="AD16" i="68" s="1"/>
  <c r="AD72" i="68" s="1"/>
  <c r="AH16" i="55"/>
  <c r="U37" i="55"/>
  <c r="U37" i="54"/>
  <c r="U14" i="55"/>
  <c r="U14" i="54"/>
  <c r="U35" i="55"/>
  <c r="U35" i="54"/>
  <c r="U50" i="55"/>
  <c r="T50" i="68" s="1"/>
  <c r="T106" i="68" s="1"/>
  <c r="U12" i="55"/>
  <c r="U12" i="54"/>
  <c r="U23" i="55"/>
  <c r="U23" i="54"/>
  <c r="U22" i="55"/>
  <c r="U22" i="54"/>
  <c r="U13" i="55"/>
  <c r="U13" i="54"/>
  <c r="X6" i="70"/>
  <c r="W10" i="57"/>
  <c r="T10" i="59"/>
  <c r="W10" i="59" s="1"/>
  <c r="T10" i="58"/>
  <c r="W37" i="57"/>
  <c r="T37" i="59"/>
  <c r="T37" i="58"/>
  <c r="W37" i="58" s="1"/>
  <c r="T33" i="58"/>
  <c r="W33" i="58" s="1"/>
  <c r="W33" i="57"/>
  <c r="T33" i="59"/>
  <c r="O53" i="55"/>
  <c r="O49" i="55"/>
  <c r="O20" i="55"/>
  <c r="O46" i="55"/>
  <c r="O22" i="55"/>
  <c r="O27" i="55"/>
  <c r="P8" i="55"/>
  <c r="P50" i="54"/>
  <c r="P50" i="68" s="1"/>
  <c r="P106" i="68" s="1"/>
  <c r="P50" i="55"/>
  <c r="P7" i="55"/>
  <c r="L38" i="55"/>
  <c r="L38" i="54"/>
  <c r="L13" i="55"/>
  <c r="L13" i="54"/>
  <c r="L36" i="55"/>
  <c r="L36" i="54"/>
  <c r="L35" i="55"/>
  <c r="L35" i="54"/>
  <c r="L35" i="68"/>
  <c r="L91" i="68" s="1"/>
  <c r="X51" i="55"/>
  <c r="AI53" i="54"/>
  <c r="AE53" i="68" s="1"/>
  <c r="AE109" i="68" s="1"/>
  <c r="AH47" i="54"/>
  <c r="AD47" i="68" s="1"/>
  <c r="AD103" i="68" s="1"/>
  <c r="Q22" i="69"/>
  <c r="Q67" i="69" s="1"/>
  <c r="V7" i="69"/>
  <c r="V52" i="69" s="1"/>
  <c r="V28" i="69"/>
  <c r="V73" i="69" s="1"/>
  <c r="M33" i="69"/>
  <c r="M78" i="69" s="1"/>
  <c r="M27" i="69"/>
  <c r="M72" i="69" s="1"/>
  <c r="M32" i="69"/>
  <c r="M77" i="69" s="1"/>
  <c r="M20" i="69"/>
  <c r="M65" i="69" s="1"/>
  <c r="M41" i="69"/>
  <c r="M86" i="69" s="1"/>
  <c r="Z5" i="68"/>
  <c r="Z61" i="68" s="1"/>
  <c r="AA57" i="54"/>
  <c r="M6" i="71"/>
  <c r="M23" i="58"/>
  <c r="M23" i="69" s="1"/>
  <c r="M68" i="69" s="1"/>
  <c r="M23" i="59"/>
  <c r="M14" i="59"/>
  <c r="M14" i="58"/>
  <c r="M6" i="59"/>
  <c r="M6" i="58"/>
  <c r="M38" i="58"/>
  <c r="M38" i="69" s="1"/>
  <c r="M83" i="69" s="1"/>
  <c r="M38" i="59"/>
  <c r="M30" i="58"/>
  <c r="M30" i="69" s="1"/>
  <c r="M75" i="69" s="1"/>
  <c r="M30" i="59"/>
  <c r="M10" i="58"/>
  <c r="M10" i="69" s="1"/>
  <c r="M55" i="69" s="1"/>
  <c r="M10" i="59"/>
  <c r="M16" i="58"/>
  <c r="M16" i="69" s="1"/>
  <c r="M61" i="69" s="1"/>
  <c r="M16" i="59"/>
  <c r="M7" i="58"/>
  <c r="M7" i="69" s="1"/>
  <c r="M52" i="69" s="1"/>
  <c r="M7" i="59"/>
  <c r="M17" i="58"/>
  <c r="M17" i="69" s="1"/>
  <c r="M62" i="69" s="1"/>
  <c r="M17" i="59"/>
  <c r="M29" i="58"/>
  <c r="M29" i="69" s="1"/>
  <c r="M74" i="69" s="1"/>
  <c r="M29" i="59"/>
  <c r="W33" i="54"/>
  <c r="V33" i="68" s="1"/>
  <c r="V89" i="68" s="1"/>
  <c r="W33" i="55"/>
  <c r="W42" i="55"/>
  <c r="W24" i="55"/>
  <c r="AI38" i="55"/>
  <c r="AI39" i="54"/>
  <c r="AE39" i="68" s="1"/>
  <c r="AE95" i="68" s="1"/>
  <c r="AI39" i="55"/>
  <c r="AI7" i="55"/>
  <c r="AI14" i="54"/>
  <c r="AE14" i="68" s="1"/>
  <c r="AE70" i="68" s="1"/>
  <c r="AI14" i="55"/>
  <c r="AI28" i="55"/>
  <c r="AI9" i="55"/>
  <c r="AI23" i="55"/>
  <c r="M35" i="53"/>
  <c r="M53" i="53"/>
  <c r="AA31" i="57"/>
  <c r="Z31" i="58"/>
  <c r="Z31" i="59"/>
  <c r="AA31" i="59" s="1"/>
  <c r="Z19" i="59"/>
  <c r="AA19" i="59" s="1"/>
  <c r="AA19" i="57"/>
  <c r="Z19" i="58"/>
  <c r="Z42" i="59"/>
  <c r="AA42" i="59" s="1"/>
  <c r="Z42" i="58"/>
  <c r="AA42" i="57"/>
  <c r="AA39" i="57"/>
  <c r="Z39" i="58"/>
  <c r="Z39" i="59"/>
  <c r="AA39" i="59" s="1"/>
  <c r="Z36" i="58"/>
  <c r="AA36" i="57"/>
  <c r="Z36" i="59"/>
  <c r="AA36" i="59" s="1"/>
  <c r="Z44" i="58"/>
  <c r="AA44" i="57"/>
  <c r="Z44" i="59"/>
  <c r="AA44" i="59" s="1"/>
  <c r="Z13" i="58"/>
  <c r="Z13" i="59"/>
  <c r="AA13" i="59" s="1"/>
  <c r="AA13" i="57"/>
  <c r="Z10" i="59"/>
  <c r="AA10" i="59" s="1"/>
  <c r="AA10" i="57"/>
  <c r="Z10" i="58"/>
  <c r="AA17" i="57"/>
  <c r="Z17" i="58"/>
  <c r="Z17" i="59"/>
  <c r="AA17" i="59" s="1"/>
  <c r="AA29" i="57"/>
  <c r="Z29" i="58"/>
  <c r="Z29" i="59"/>
  <c r="AA29" i="59" s="1"/>
  <c r="AD22" i="53"/>
  <c r="AC22" i="55"/>
  <c r="AD22" i="55" s="1"/>
  <c r="AC50" i="55"/>
  <c r="AD50" i="55" s="1"/>
  <c r="AD50" i="53"/>
  <c r="AC37" i="55"/>
  <c r="AD37" i="55" s="1"/>
  <c r="AD37" i="53"/>
  <c r="AC37" i="54"/>
  <c r="AC9" i="55"/>
  <c r="AD9" i="55" s="1"/>
  <c r="AD9" i="53"/>
  <c r="AC52" i="55"/>
  <c r="AD52" i="55" s="1"/>
  <c r="AD52" i="53"/>
  <c r="AD20" i="53"/>
  <c r="AC20" i="55"/>
  <c r="AD20" i="55" s="1"/>
  <c r="AC30" i="55"/>
  <c r="AD30" i="55" s="1"/>
  <c r="AD30" i="53"/>
  <c r="AC30" i="54"/>
  <c r="AD51" i="53"/>
  <c r="AC51" i="55"/>
  <c r="AD51" i="55" s="1"/>
  <c r="AC11" i="55"/>
  <c r="AD11" i="55" s="1"/>
  <c r="AD11" i="53"/>
  <c r="AD33" i="53"/>
  <c r="AC33" i="55"/>
  <c r="AD33" i="55" s="1"/>
  <c r="AD35" i="53"/>
  <c r="AC35" i="55"/>
  <c r="AD35" i="55" s="1"/>
  <c r="AC7" i="55"/>
  <c r="AD7" i="55" s="1"/>
  <c r="AD7" i="53"/>
  <c r="M33" i="53"/>
  <c r="R33" i="59"/>
  <c r="S33" i="59" s="1"/>
  <c r="R33" i="58"/>
  <c r="S33" i="57"/>
  <c r="R16" i="58"/>
  <c r="S16" i="57"/>
  <c r="R16" i="59"/>
  <c r="S16" i="59" s="1"/>
  <c r="R32" i="58"/>
  <c r="S32" i="57"/>
  <c r="R32" i="59"/>
  <c r="S32" i="59" s="1"/>
  <c r="R7" i="58"/>
  <c r="S7" i="57"/>
  <c r="R7" i="59"/>
  <c r="S7" i="59" s="1"/>
  <c r="R18" i="59"/>
  <c r="S18" i="59" s="1"/>
  <c r="R18" i="58"/>
  <c r="S18" i="57"/>
  <c r="R20" i="59"/>
  <c r="S20" i="59" s="1"/>
  <c r="R20" i="58"/>
  <c r="S20" i="57"/>
  <c r="R12" i="59"/>
  <c r="S12" i="59" s="1"/>
  <c r="R12" i="58"/>
  <c r="S12" i="57"/>
  <c r="R29" i="58"/>
  <c r="S29" i="57"/>
  <c r="R29" i="59"/>
  <c r="S29" i="59" s="1"/>
  <c r="R24" i="58"/>
  <c r="S24" i="57"/>
  <c r="R24" i="59"/>
  <c r="S24" i="59" s="1"/>
  <c r="R35" i="58"/>
  <c r="S35" i="57"/>
  <c r="R35" i="59"/>
  <c r="S35" i="59" s="1"/>
  <c r="U38" i="58"/>
  <c r="U38" i="59"/>
  <c r="S38" i="69" s="1"/>
  <c r="S83" i="69" s="1"/>
  <c r="U23" i="59"/>
  <c r="U23" i="58"/>
  <c r="U31" i="59"/>
  <c r="U31" i="58"/>
  <c r="U10" i="58"/>
  <c r="S10" i="69" s="1"/>
  <c r="S55" i="69" s="1"/>
  <c r="U10" i="59"/>
  <c r="U39" i="58"/>
  <c r="U39" i="59"/>
  <c r="S39" i="69"/>
  <c r="S84" i="69" s="1"/>
  <c r="U28" i="58"/>
  <c r="U28" i="59"/>
  <c r="S28" i="69" s="1"/>
  <c r="S73" i="69" s="1"/>
  <c r="U18" i="58"/>
  <c r="S18" i="69" s="1"/>
  <c r="S63" i="69" s="1"/>
  <c r="U18" i="59"/>
  <c r="U32" i="58"/>
  <c r="U32" i="59"/>
  <c r="U29" i="59"/>
  <c r="U29" i="58"/>
  <c r="S29" i="69" s="1"/>
  <c r="S74" i="69" s="1"/>
  <c r="U17" i="58"/>
  <c r="S17" i="69" s="1"/>
  <c r="S62" i="69" s="1"/>
  <c r="U17" i="59"/>
  <c r="Q37" i="55"/>
  <c r="Q37" i="54"/>
  <c r="Q37" i="68" s="1"/>
  <c r="Q93" i="68" s="1"/>
  <c r="Q12" i="55"/>
  <c r="Q46" i="55"/>
  <c r="Q46" i="54"/>
  <c r="Q46" i="68" s="1"/>
  <c r="Q102" i="68" s="1"/>
  <c r="Q36" i="55"/>
  <c r="Q14" i="55"/>
  <c r="Q14" i="54"/>
  <c r="Q14" i="68" s="1"/>
  <c r="Q70" i="68" s="1"/>
  <c r="Q34" i="55"/>
  <c r="Q33" i="55"/>
  <c r="Q33" i="54"/>
  <c r="Q33" i="68" s="1"/>
  <c r="Q89" i="68" s="1"/>
  <c r="Q45" i="55"/>
  <c r="Q57" i="53"/>
  <c r="Q62" i="53" s="1"/>
  <c r="Q19" i="54" s="1"/>
  <c r="Q5" i="55"/>
  <c r="Q57" i="55" s="1"/>
  <c r="Q19" i="55"/>
  <c r="Q19" i="68"/>
  <c r="Q75" i="68" s="1"/>
  <c r="Q29" i="55"/>
  <c r="Q41" i="54"/>
  <c r="Q41" i="68" s="1"/>
  <c r="Q97" i="68" s="1"/>
  <c r="Q41" i="55"/>
  <c r="Q30" i="55"/>
  <c r="Q30" i="54"/>
  <c r="Q30" i="68"/>
  <c r="Q86" i="68" s="1"/>
  <c r="AH53" i="54"/>
  <c r="AH53" i="55"/>
  <c r="AH40" i="54"/>
  <c r="AH40" i="55"/>
  <c r="AH15" i="54"/>
  <c r="AH15" i="55"/>
  <c r="AH50" i="55"/>
  <c r="AH50" i="54"/>
  <c r="AD50" i="68" s="1"/>
  <c r="AD106" i="68" s="1"/>
  <c r="AH38" i="54"/>
  <c r="AH38" i="55"/>
  <c r="AH12" i="54"/>
  <c r="AH12" i="55"/>
  <c r="AH30" i="54"/>
  <c r="AH30" i="55"/>
  <c r="AH36" i="54"/>
  <c r="AH36" i="55"/>
  <c r="AH14" i="54"/>
  <c r="AH14" i="55"/>
  <c r="M46" i="53"/>
  <c r="M21" i="53"/>
  <c r="R5" i="55"/>
  <c r="R57" i="55" s="1"/>
  <c r="R57" i="53"/>
  <c r="U55" i="55"/>
  <c r="U55" i="54"/>
  <c r="T55" i="68" s="1"/>
  <c r="T111" i="68" s="1"/>
  <c r="U43" i="55"/>
  <c r="U43" i="54"/>
  <c r="T43" i="68" s="1"/>
  <c r="T99" i="68" s="1"/>
  <c r="U42" i="55"/>
  <c r="U42" i="54"/>
  <c r="T42" i="68" s="1"/>
  <c r="T98" i="68" s="1"/>
  <c r="U8" i="55"/>
  <c r="U8" i="54"/>
  <c r="T8" i="68" s="1"/>
  <c r="T64" i="68" s="1"/>
  <c r="U18" i="55"/>
  <c r="U18" i="54"/>
  <c r="T18" i="68" s="1"/>
  <c r="T74" i="68" s="1"/>
  <c r="U38" i="55"/>
  <c r="U38" i="54"/>
  <c r="T38" i="68" s="1"/>
  <c r="T94" i="68" s="1"/>
  <c r="U15" i="55"/>
  <c r="U15" i="54"/>
  <c r="U52" i="55"/>
  <c r="U52" i="54"/>
  <c r="U10" i="55"/>
  <c r="U10" i="54"/>
  <c r="U11" i="55"/>
  <c r="U11" i="54"/>
  <c r="U30" i="55"/>
  <c r="U30" i="54"/>
  <c r="U27" i="55"/>
  <c r="U27" i="54"/>
  <c r="U21" i="55"/>
  <c r="U21" i="54"/>
  <c r="M42" i="53"/>
  <c r="Z57" i="54"/>
  <c r="Y5" i="68"/>
  <c r="Y61" i="68" s="1"/>
  <c r="M8" i="53"/>
  <c r="T38" i="58"/>
  <c r="W38" i="57"/>
  <c r="T38" i="59"/>
  <c r="W38" i="59" s="1"/>
  <c r="T28" i="58"/>
  <c r="W28" i="57"/>
  <c r="T28" i="59"/>
  <c r="W28" i="59" s="1"/>
  <c r="T20" i="58"/>
  <c r="W20" i="57"/>
  <c r="T20" i="59"/>
  <c r="T44" i="59"/>
  <c r="T44" i="58"/>
  <c r="W44" i="57"/>
  <c r="T15" i="58"/>
  <c r="W15" i="57"/>
  <c r="T15" i="59"/>
  <c r="W15" i="59" s="1"/>
  <c r="T43" i="58"/>
  <c r="W43" i="57"/>
  <c r="T43" i="59"/>
  <c r="W43" i="59" s="1"/>
  <c r="T12" i="58"/>
  <c r="W12" i="57"/>
  <c r="T12" i="59"/>
  <c r="T9" i="59"/>
  <c r="T9" i="58"/>
  <c r="W9" i="57"/>
  <c r="T14" i="59"/>
  <c r="T14" i="58"/>
  <c r="W14" i="57"/>
  <c r="T23" i="59"/>
  <c r="W23" i="57"/>
  <c r="T23" i="58"/>
  <c r="O45" i="55"/>
  <c r="O41" i="55"/>
  <c r="O5" i="54"/>
  <c r="O5" i="55"/>
  <c r="O57" i="53"/>
  <c r="O62" i="53" s="1"/>
  <c r="O38" i="54" s="1"/>
  <c r="O25" i="55"/>
  <c r="O25" i="54"/>
  <c r="O25" i="68" s="1"/>
  <c r="O81" i="68" s="1"/>
  <c r="O12" i="55"/>
  <c r="O12" i="54"/>
  <c r="O12" i="68" s="1"/>
  <c r="O68" i="68" s="1"/>
  <c r="O28" i="55"/>
  <c r="O28" i="54"/>
  <c r="O28" i="68" s="1"/>
  <c r="O84" i="68" s="1"/>
  <c r="O44" i="55"/>
  <c r="O24" i="55"/>
  <c r="O24" i="54"/>
  <c r="O24" i="68" s="1"/>
  <c r="O80" i="68" s="1"/>
  <c r="O30" i="55"/>
  <c r="O39" i="55"/>
  <c r="O50" i="55"/>
  <c r="O9" i="55"/>
  <c r="V64" i="52"/>
  <c r="P55" i="55"/>
  <c r="P53" i="55"/>
  <c r="P53" i="54"/>
  <c r="P53" i="68" s="1"/>
  <c r="P109" i="68" s="1"/>
  <c r="P42" i="55"/>
  <c r="P42" i="54"/>
  <c r="P42" i="68"/>
  <c r="P98" i="68" s="1"/>
  <c r="P27" i="55"/>
  <c r="P27" i="54"/>
  <c r="P28" i="55"/>
  <c r="P28" i="54"/>
  <c r="P19" i="55"/>
  <c r="P19" i="54"/>
  <c r="P19" i="68" s="1"/>
  <c r="P75" i="68" s="1"/>
  <c r="P40" i="55"/>
  <c r="P44" i="55"/>
  <c r="P44" i="54"/>
  <c r="P5" i="55"/>
  <c r="P57" i="55" s="1"/>
  <c r="P57" i="53"/>
  <c r="P62" i="53" s="1"/>
  <c r="P29" i="54" s="1"/>
  <c r="P29" i="68" s="1"/>
  <c r="P85" i="68" s="1"/>
  <c r="P5" i="54"/>
  <c r="P30" i="55"/>
  <c r="P30" i="54"/>
  <c r="P41" i="55"/>
  <c r="P41" i="54"/>
  <c r="P41" i="68" s="1"/>
  <c r="P97" i="68" s="1"/>
  <c r="P10" i="55"/>
  <c r="P10" i="68" s="1"/>
  <c r="P66" i="68" s="1"/>
  <c r="P10" i="54"/>
  <c r="P18" i="55"/>
  <c r="P18" i="54"/>
  <c r="P18" i="68" s="1"/>
  <c r="P74" i="68" s="1"/>
  <c r="L29" i="55"/>
  <c r="L29" i="54"/>
  <c r="L43" i="55"/>
  <c r="L43" i="54"/>
  <c r="L48" i="55"/>
  <c r="L48" i="54"/>
  <c r="L18" i="55"/>
  <c r="L18" i="54"/>
  <c r="L26" i="55"/>
  <c r="L26" i="54"/>
  <c r="L34" i="55"/>
  <c r="L34" i="54"/>
  <c r="L54" i="55"/>
  <c r="L54" i="54"/>
  <c r="L55" i="55"/>
  <c r="L55" i="54"/>
  <c r="L25" i="55"/>
  <c r="L25" i="54"/>
  <c r="L41" i="54"/>
  <c r="L41" i="68" s="1"/>
  <c r="L97" i="68" s="1"/>
  <c r="L41" i="55"/>
  <c r="L49" i="54"/>
  <c r="L49" i="68" s="1"/>
  <c r="L105" i="68" s="1"/>
  <c r="L49" i="55"/>
  <c r="L9" i="54"/>
  <c r="L9" i="55"/>
  <c r="L9" i="68"/>
  <c r="L65" i="68" s="1"/>
  <c r="L31" i="54"/>
  <c r="L31" i="55"/>
  <c r="L31" i="68" s="1"/>
  <c r="L87" i="68" s="1"/>
  <c r="M51" i="53"/>
  <c r="M34" i="53"/>
  <c r="V30" i="58"/>
  <c r="T30" i="69" s="1"/>
  <c r="T75" i="69" s="1"/>
  <c r="V30" i="59"/>
  <c r="V20" i="59"/>
  <c r="V20" i="58"/>
  <c r="V14" i="58"/>
  <c r="T14" i="69" s="1"/>
  <c r="T59" i="69" s="1"/>
  <c r="V14" i="59"/>
  <c r="V18" i="58"/>
  <c r="T18" i="69" s="1"/>
  <c r="T63" i="69" s="1"/>
  <c r="V18" i="59"/>
  <c r="V37" i="59"/>
  <c r="V37" i="58"/>
  <c r="V44" i="59"/>
  <c r="V44" i="58"/>
  <c r="V13" i="59"/>
  <c r="V13" i="58"/>
  <c r="V31" i="59"/>
  <c r="V31" i="58"/>
  <c r="V32" i="59"/>
  <c r="V32" i="58"/>
  <c r="V24" i="59"/>
  <c r="V24" i="58"/>
  <c r="X22" i="55"/>
  <c r="X33" i="55"/>
  <c r="X26" i="55"/>
  <c r="X40" i="55"/>
  <c r="X29" i="55"/>
  <c r="X6" i="55"/>
  <c r="X41" i="55"/>
  <c r="X34" i="55"/>
  <c r="X45" i="55"/>
  <c r="X30" i="55"/>
  <c r="X5" i="55"/>
  <c r="X57" i="53"/>
  <c r="X62" i="53" s="1"/>
  <c r="X16" i="54" s="1"/>
  <c r="W16" i="68" s="1"/>
  <c r="W72" i="68" s="1"/>
  <c r="X5" i="54"/>
  <c r="X13" i="55"/>
  <c r="X13" i="54"/>
  <c r="W13" i="68" s="1"/>
  <c r="W69" i="68" s="1"/>
  <c r="X20" i="55"/>
  <c r="X20" i="54"/>
  <c r="W20" i="68" s="1"/>
  <c r="W76" i="68" s="1"/>
  <c r="N62" i="52"/>
  <c r="N60" i="55"/>
  <c r="N60" i="54"/>
  <c r="N60" i="53"/>
  <c r="L50" i="57"/>
  <c r="Q49" i="59"/>
  <c r="Q49" i="58"/>
  <c r="Q49" i="57"/>
  <c r="Q49" i="56"/>
  <c r="L49" i="59"/>
  <c r="L49" i="58"/>
  <c r="L49" i="57"/>
  <c r="L49" i="56"/>
  <c r="L48" i="59"/>
  <c r="L48" i="58"/>
  <c r="L48" i="57"/>
  <c r="L48" i="56"/>
  <c r="AB47" i="59"/>
  <c r="AB47" i="58"/>
  <c r="X51" i="58" s="1"/>
  <c r="AB47" i="57"/>
  <c r="AB47" i="56"/>
  <c r="L51" i="56"/>
  <c r="N61" i="52"/>
  <c r="N59" i="55"/>
  <c r="N59" i="54"/>
  <c r="N59" i="53"/>
  <c r="T58" i="54"/>
  <c r="T58" i="55"/>
  <c r="T58" i="53"/>
  <c r="F46" i="5"/>
  <c r="E35" i="5"/>
  <c r="E10" i="5"/>
  <c r="F10" i="5"/>
  <c r="D47" i="5"/>
  <c r="D29" i="5"/>
  <c r="M51" i="55" l="1"/>
  <c r="W9" i="58"/>
  <c r="R9" i="69"/>
  <c r="R54" i="69" s="1"/>
  <c r="AA39" i="58"/>
  <c r="V39" i="69"/>
  <c r="V84" i="69" s="1"/>
  <c r="U57" i="55"/>
  <c r="N8" i="59"/>
  <c r="N8" i="58"/>
  <c r="N8" i="69"/>
  <c r="N53" i="69" s="1"/>
  <c r="N25" i="58"/>
  <c r="N25" i="69" s="1"/>
  <c r="N70" i="69" s="1"/>
  <c r="N25" i="59"/>
  <c r="M24" i="55"/>
  <c r="M24" i="54"/>
  <c r="M24" i="68" s="1"/>
  <c r="M80" i="68" s="1"/>
  <c r="AA48" i="68"/>
  <c r="AA104" i="68" s="1"/>
  <c r="AD48" i="54"/>
  <c r="AA21" i="58"/>
  <c r="V21" i="69"/>
  <c r="V66" i="69" s="1"/>
  <c r="I14" i="71"/>
  <c r="L14" i="71"/>
  <c r="C14" i="71"/>
  <c r="D14" i="71"/>
  <c r="F14" i="71"/>
  <c r="G14" i="71"/>
  <c r="H14" i="71"/>
  <c r="B14" i="71"/>
  <c r="M14" i="71"/>
  <c r="E14" i="71"/>
  <c r="K14" i="71"/>
  <c r="J14" i="71"/>
  <c r="T46" i="58"/>
  <c r="W5" i="58"/>
  <c r="R5" i="69"/>
  <c r="R50" i="69" s="1"/>
  <c r="P10" i="59"/>
  <c r="P10" i="58"/>
  <c r="P37" i="58"/>
  <c r="P37" i="59"/>
  <c r="P37" i="69"/>
  <c r="P82" i="69" s="1"/>
  <c r="AC49" i="54"/>
  <c r="AA22" i="58"/>
  <c r="V22" i="69"/>
  <c r="V67" i="69" s="1"/>
  <c r="AA32" i="58"/>
  <c r="V32" i="69"/>
  <c r="V77" i="69" s="1"/>
  <c r="AI54" i="54"/>
  <c r="AE54" i="68" s="1"/>
  <c r="AE110" i="68" s="1"/>
  <c r="Y46" i="55"/>
  <c r="Y24" i="55"/>
  <c r="Y43" i="55"/>
  <c r="Y17" i="55"/>
  <c r="Y17" i="54"/>
  <c r="X17" i="68" s="1"/>
  <c r="X73" i="68" s="1"/>
  <c r="Y44" i="55"/>
  <c r="W37" i="54"/>
  <c r="V37" i="68" s="1"/>
  <c r="V93" i="68" s="1"/>
  <c r="O43" i="59"/>
  <c r="O43" i="58"/>
  <c r="O43" i="69" s="1"/>
  <c r="O88" i="69" s="1"/>
  <c r="O11" i="59"/>
  <c r="O11" i="58"/>
  <c r="O11" i="69" s="1"/>
  <c r="O56" i="69" s="1"/>
  <c r="O27" i="58"/>
  <c r="O27" i="59"/>
  <c r="O27" i="69"/>
  <c r="O72" i="69" s="1"/>
  <c r="O8" i="59"/>
  <c r="O8" i="58"/>
  <c r="O8" i="69" s="1"/>
  <c r="O53" i="69" s="1"/>
  <c r="O28" i="58"/>
  <c r="O28" i="69" s="1"/>
  <c r="O73" i="69" s="1"/>
  <c r="O28" i="59"/>
  <c r="W9" i="54"/>
  <c r="V9" i="68" s="1"/>
  <c r="V65" i="68" s="1"/>
  <c r="X45" i="54"/>
  <c r="W45" i="68" s="1"/>
  <c r="W101" i="68" s="1"/>
  <c r="X41" i="54"/>
  <c r="W41" i="68" s="1"/>
  <c r="W97" i="68" s="1"/>
  <c r="X29" i="54"/>
  <c r="W29" i="68" s="1"/>
  <c r="W85" i="68" s="1"/>
  <c r="X26" i="54"/>
  <c r="W26" i="68" s="1"/>
  <c r="W82" i="68" s="1"/>
  <c r="X22" i="54"/>
  <c r="W22" i="68" s="1"/>
  <c r="W78" i="68" s="1"/>
  <c r="W32" i="58"/>
  <c r="T32" i="69"/>
  <c r="T77" i="69" s="1"/>
  <c r="T13" i="69"/>
  <c r="T58" i="69" s="1"/>
  <c r="T37" i="69"/>
  <c r="T82" i="69" s="1"/>
  <c r="L25" i="68"/>
  <c r="L81" i="68" s="1"/>
  <c r="L54" i="68"/>
  <c r="L110" i="68" s="1"/>
  <c r="L26" i="68"/>
  <c r="L82" i="68" s="1"/>
  <c r="L48" i="68"/>
  <c r="L104" i="68" s="1"/>
  <c r="L29" i="68"/>
  <c r="L85" i="68" s="1"/>
  <c r="P44" i="68"/>
  <c r="P100" i="68" s="1"/>
  <c r="V29" i="53"/>
  <c r="V12" i="53"/>
  <c r="V11" i="53"/>
  <c r="V6" i="53"/>
  <c r="V7" i="53"/>
  <c r="V50" i="53"/>
  <c r="V53" i="53"/>
  <c r="V31" i="53"/>
  <c r="V46" i="53"/>
  <c r="V35" i="53"/>
  <c r="V54" i="53"/>
  <c r="V39" i="53"/>
  <c r="V16" i="53"/>
  <c r="V20" i="53"/>
  <c r="V13" i="53"/>
  <c r="V37" i="53"/>
  <c r="V45" i="53"/>
  <c r="V49" i="53"/>
  <c r="V24" i="53"/>
  <c r="V22" i="53"/>
  <c r="V10" i="53"/>
  <c r="V17" i="53"/>
  <c r="V15" i="53"/>
  <c r="V5" i="53"/>
  <c r="V26" i="53"/>
  <c r="V27" i="53"/>
  <c r="V51" i="53"/>
  <c r="V32" i="53"/>
  <c r="V55" i="53"/>
  <c r="V36" i="53"/>
  <c r="V52" i="53"/>
  <c r="V19" i="53"/>
  <c r="V23" i="53"/>
  <c r="V9" i="53"/>
  <c r="V40" i="53"/>
  <c r="V43" i="53"/>
  <c r="V44" i="53"/>
  <c r="V28" i="53"/>
  <c r="V25" i="53"/>
  <c r="V33" i="53"/>
  <c r="V14" i="53"/>
  <c r="V8" i="53"/>
  <c r="V30" i="53"/>
  <c r="V47" i="53"/>
  <c r="V41" i="53"/>
  <c r="V42" i="53"/>
  <c r="V21" i="53"/>
  <c r="V18" i="53"/>
  <c r="V34" i="53"/>
  <c r="V48" i="53"/>
  <c r="V38" i="53"/>
  <c r="O39" i="54"/>
  <c r="O39" i="68" s="1"/>
  <c r="O95" i="68" s="1"/>
  <c r="O44" i="54"/>
  <c r="O44" i="68" s="1"/>
  <c r="O100" i="68" s="1"/>
  <c r="O41" i="54"/>
  <c r="O41" i="68" s="1"/>
  <c r="O97" i="68" s="1"/>
  <c r="R23" i="69"/>
  <c r="R68" i="69" s="1"/>
  <c r="W23" i="58"/>
  <c r="R14" i="69"/>
  <c r="R59" i="69" s="1"/>
  <c r="W14" i="58"/>
  <c r="W9" i="59"/>
  <c r="W44" i="59"/>
  <c r="T27" i="68"/>
  <c r="T83" i="68" s="1"/>
  <c r="T11" i="68"/>
  <c r="T67" i="68" s="1"/>
  <c r="T52" i="68"/>
  <c r="T108" i="68" s="1"/>
  <c r="M46" i="55"/>
  <c r="M46" i="54"/>
  <c r="M46" i="68" s="1"/>
  <c r="M102" i="68" s="1"/>
  <c r="AD36" i="68"/>
  <c r="AD92" i="68" s="1"/>
  <c r="AD12" i="68"/>
  <c r="AD68" i="68" s="1"/>
  <c r="AD40" i="68"/>
  <c r="AD96" i="68" s="1"/>
  <c r="S32" i="69"/>
  <c r="S77" i="69" s="1"/>
  <c r="S31" i="69"/>
  <c r="S76" i="69" s="1"/>
  <c r="S24" i="58"/>
  <c r="Q24" i="69"/>
  <c r="Q69" i="69" s="1"/>
  <c r="S20" i="58"/>
  <c r="Q20" i="69"/>
  <c r="Q65" i="69" s="1"/>
  <c r="AC35" i="54"/>
  <c r="AC51" i="54"/>
  <c r="AC9" i="54"/>
  <c r="AA17" i="58"/>
  <c r="V17" i="69"/>
  <c r="V62" i="69" s="1"/>
  <c r="AA19" i="58"/>
  <c r="V19" i="69"/>
  <c r="V64" i="69" s="1"/>
  <c r="AA31" i="58"/>
  <c r="V31" i="69"/>
  <c r="V76" i="69" s="1"/>
  <c r="AI23" i="54"/>
  <c r="AE23" i="68" s="1"/>
  <c r="AE79" i="68" s="1"/>
  <c r="AI28" i="54"/>
  <c r="AE28" i="68" s="1"/>
  <c r="AE84" i="68" s="1"/>
  <c r="AI38" i="54"/>
  <c r="AE38" i="68" s="1"/>
  <c r="AE94" i="68" s="1"/>
  <c r="W42" i="54"/>
  <c r="V42" i="68" s="1"/>
  <c r="V98" i="68" s="1"/>
  <c r="M14" i="69"/>
  <c r="M59" i="69" s="1"/>
  <c r="W14" i="54"/>
  <c r="V14" i="68" s="1"/>
  <c r="V70" i="68" s="1"/>
  <c r="W41" i="54"/>
  <c r="V41" i="68" s="1"/>
  <c r="V97" i="68" s="1"/>
  <c r="L13" i="68"/>
  <c r="L69" i="68" s="1"/>
  <c r="O27" i="54"/>
  <c r="O27" i="68" s="1"/>
  <c r="O83" i="68" s="1"/>
  <c r="O49" i="54"/>
  <c r="O49" i="68" s="1"/>
  <c r="O105" i="68" s="1"/>
  <c r="W33" i="59"/>
  <c r="W37" i="59"/>
  <c r="T22" i="68"/>
  <c r="T78" i="68" s="1"/>
  <c r="T12" i="68"/>
  <c r="T68" i="68" s="1"/>
  <c r="T35" i="68"/>
  <c r="T91" i="68" s="1"/>
  <c r="T37" i="68"/>
  <c r="T93" i="68" s="1"/>
  <c r="Q47" i="54"/>
  <c r="Q47" i="68" s="1"/>
  <c r="Q103" i="68" s="1"/>
  <c r="Q11" i="54"/>
  <c r="Q11" i="68" s="1"/>
  <c r="Q67" i="68" s="1"/>
  <c r="Q38" i="54"/>
  <c r="Q38" i="68" s="1"/>
  <c r="Q94" i="68" s="1"/>
  <c r="S26" i="69"/>
  <c r="S71" i="69" s="1"/>
  <c r="T22" i="69"/>
  <c r="T67" i="69" s="1"/>
  <c r="T19" i="69"/>
  <c r="T64" i="69" s="1"/>
  <c r="T9" i="69"/>
  <c r="T54" i="69" s="1"/>
  <c r="T17" i="69"/>
  <c r="T62" i="69" s="1"/>
  <c r="M47" i="55"/>
  <c r="M47" i="54"/>
  <c r="M47" i="68" s="1"/>
  <c r="M103" i="68" s="1"/>
  <c r="L5" i="68"/>
  <c r="L61" i="68" s="1"/>
  <c r="P9" i="54"/>
  <c r="P9" i="68" s="1"/>
  <c r="P65" i="68" s="1"/>
  <c r="P46" i="54"/>
  <c r="P46" i="68" s="1"/>
  <c r="P102" i="68" s="1"/>
  <c r="P23" i="54"/>
  <c r="P23" i="68" s="1"/>
  <c r="P79" i="68" s="1"/>
  <c r="P25" i="54"/>
  <c r="O42" i="54"/>
  <c r="O42" i="68" s="1"/>
  <c r="O98" i="68" s="1"/>
  <c r="O7" i="54"/>
  <c r="O7" i="68" s="1"/>
  <c r="O63" i="68" s="1"/>
  <c r="R36" i="69"/>
  <c r="R81" i="69" s="1"/>
  <c r="W36" i="58"/>
  <c r="W18" i="58"/>
  <c r="R18" i="69"/>
  <c r="R63" i="69" s="1"/>
  <c r="W30" i="59"/>
  <c r="W13" i="58"/>
  <c r="R13" i="69"/>
  <c r="R58" i="69" s="1"/>
  <c r="W17" i="59"/>
  <c r="T9" i="68"/>
  <c r="T65" i="68" s="1"/>
  <c r="T33" i="68"/>
  <c r="T89" i="68" s="1"/>
  <c r="N40" i="58"/>
  <c r="N40" i="59"/>
  <c r="N15" i="58"/>
  <c r="N15" i="69" s="1"/>
  <c r="N60" i="69" s="1"/>
  <c r="N15" i="59"/>
  <c r="N13" i="58"/>
  <c r="N13" i="59"/>
  <c r="N9" i="58"/>
  <c r="N9" i="69" s="1"/>
  <c r="N54" i="69" s="1"/>
  <c r="N9" i="59"/>
  <c r="N20" i="58"/>
  <c r="N20" i="59"/>
  <c r="N14" i="58"/>
  <c r="N14" i="69" s="1"/>
  <c r="N59" i="69" s="1"/>
  <c r="N14" i="59"/>
  <c r="N21" i="58"/>
  <c r="N21" i="59"/>
  <c r="N18" i="59"/>
  <c r="N18" i="58"/>
  <c r="N39" i="58"/>
  <c r="N39" i="59"/>
  <c r="N39" i="69" s="1"/>
  <c r="N84" i="69" s="1"/>
  <c r="N7" i="58"/>
  <c r="N7" i="59"/>
  <c r="N7" i="69"/>
  <c r="N52" i="69" s="1"/>
  <c r="M49" i="55"/>
  <c r="AD27" i="68"/>
  <c r="AD83" i="68" s="1"/>
  <c r="AD32" i="68"/>
  <c r="AD88" i="68" s="1"/>
  <c r="AD33" i="68"/>
  <c r="AD89" i="68" s="1"/>
  <c r="AD24" i="68"/>
  <c r="AD80" i="68" s="1"/>
  <c r="I11" i="71"/>
  <c r="I9" i="71"/>
  <c r="S10" i="58"/>
  <c r="Q10" i="69"/>
  <c r="Q55" i="69" s="1"/>
  <c r="S42" i="58"/>
  <c r="Q42" i="69"/>
  <c r="Q87" i="69" s="1"/>
  <c r="S38" i="58"/>
  <c r="Q38" i="69"/>
  <c r="Q83" i="69" s="1"/>
  <c r="AA21" i="68"/>
  <c r="AA77" i="68" s="1"/>
  <c r="AC42" i="54"/>
  <c r="AC46" i="54"/>
  <c r="AC36" i="54"/>
  <c r="AA40" i="58"/>
  <c r="V40" i="69"/>
  <c r="V85" i="69" s="1"/>
  <c r="AI8" i="54"/>
  <c r="AE8" i="68" s="1"/>
  <c r="AE64" i="68" s="1"/>
  <c r="AI47" i="54"/>
  <c r="AE47" i="68" s="1"/>
  <c r="AE103" i="68" s="1"/>
  <c r="W22" i="54"/>
  <c r="V22" i="68" s="1"/>
  <c r="V78" i="68" s="1"/>
  <c r="W34" i="54"/>
  <c r="V34" i="68" s="1"/>
  <c r="V90" i="68" s="1"/>
  <c r="M43" i="69"/>
  <c r="M88" i="69" s="1"/>
  <c r="M13" i="69"/>
  <c r="M58" i="69" s="1"/>
  <c r="M5" i="69"/>
  <c r="M50" i="69" s="1"/>
  <c r="M46" i="58"/>
  <c r="W23" i="54"/>
  <c r="V23" i="68" s="1"/>
  <c r="V79" i="68" s="1"/>
  <c r="AI21" i="54"/>
  <c r="AE21" i="68" s="1"/>
  <c r="AE77" i="68" s="1"/>
  <c r="X28" i="54"/>
  <c r="W28" i="68" s="1"/>
  <c r="W84" i="68" s="1"/>
  <c r="X42" i="54"/>
  <c r="W42" i="68" s="1"/>
  <c r="W98" i="68" s="1"/>
  <c r="X15" i="54"/>
  <c r="W15" i="68" s="1"/>
  <c r="W71" i="68" s="1"/>
  <c r="X35" i="54"/>
  <c r="W35" i="68" s="1"/>
  <c r="W91" i="68" s="1"/>
  <c r="P48" i="54"/>
  <c r="P48" i="68" s="1"/>
  <c r="P104" i="68" s="1"/>
  <c r="P22" i="54"/>
  <c r="P22" i="68" s="1"/>
  <c r="P78" i="68" s="1"/>
  <c r="P54" i="54"/>
  <c r="P54" i="68" s="1"/>
  <c r="P110" i="68" s="1"/>
  <c r="O21" i="54"/>
  <c r="O21" i="68" s="1"/>
  <c r="O77" i="68" s="1"/>
  <c r="W25" i="59"/>
  <c r="W22" i="58"/>
  <c r="AH37" i="54"/>
  <c r="AD37" i="68" s="1"/>
  <c r="AD93" i="68" s="1"/>
  <c r="S43" i="58"/>
  <c r="Q43" i="69"/>
  <c r="Q88" i="69" s="1"/>
  <c r="AC16" i="54"/>
  <c r="AC10" i="54"/>
  <c r="AC55" i="54"/>
  <c r="AC15" i="54"/>
  <c r="AA46" i="57"/>
  <c r="AI18" i="54"/>
  <c r="AE18" i="68" s="1"/>
  <c r="AE74" i="68" s="1"/>
  <c r="AI50" i="54"/>
  <c r="AE50" i="68" s="1"/>
  <c r="AE106" i="68" s="1"/>
  <c r="M29" i="55"/>
  <c r="W40" i="58"/>
  <c r="T40" i="69"/>
  <c r="T85" i="69" s="1"/>
  <c r="T26" i="69"/>
  <c r="T71" i="69" s="1"/>
  <c r="M52" i="55"/>
  <c r="M52" i="54"/>
  <c r="M52" i="68" s="1"/>
  <c r="M108" i="68" s="1"/>
  <c r="L8" i="54"/>
  <c r="L8" i="68" s="1"/>
  <c r="L64" i="68" s="1"/>
  <c r="P39" i="54"/>
  <c r="P39" i="68" s="1"/>
  <c r="P95" i="68" s="1"/>
  <c r="P31" i="54"/>
  <c r="P37" i="54"/>
  <c r="P37" i="68" s="1"/>
  <c r="P93" i="68" s="1"/>
  <c r="P36" i="54"/>
  <c r="P36" i="68" s="1"/>
  <c r="P92" i="68" s="1"/>
  <c r="O13" i="54"/>
  <c r="O13" i="68" s="1"/>
  <c r="O69" i="68" s="1"/>
  <c r="O14" i="54"/>
  <c r="O14" i="68" s="1"/>
  <c r="O70" i="68" s="1"/>
  <c r="O47" i="54"/>
  <c r="O47" i="68" s="1"/>
  <c r="O103" i="68" s="1"/>
  <c r="O35" i="54"/>
  <c r="O35" i="68" s="1"/>
  <c r="O91" i="68" s="1"/>
  <c r="W27" i="59"/>
  <c r="R11" i="69"/>
  <c r="R56" i="69" s="1"/>
  <c r="W8" i="59"/>
  <c r="P14" i="58"/>
  <c r="P14" i="69" s="1"/>
  <c r="P59" i="69" s="1"/>
  <c r="P14" i="59"/>
  <c r="P23" i="58"/>
  <c r="P23" i="59"/>
  <c r="P8" i="58"/>
  <c r="P8" i="69" s="1"/>
  <c r="P53" i="69" s="1"/>
  <c r="P8" i="59"/>
  <c r="P34" i="59"/>
  <c r="P34" i="58"/>
  <c r="P9" i="59"/>
  <c r="P9" i="58"/>
  <c r="P31" i="58"/>
  <c r="P31" i="69" s="1"/>
  <c r="P76" i="69" s="1"/>
  <c r="P31" i="59"/>
  <c r="P39" i="58"/>
  <c r="P39" i="59"/>
  <c r="P39" i="69" s="1"/>
  <c r="P84" i="69" s="1"/>
  <c r="P11" i="58"/>
  <c r="P11" i="59"/>
  <c r="P11" i="69"/>
  <c r="P56" i="69" s="1"/>
  <c r="P24" i="58"/>
  <c r="P24" i="69" s="1"/>
  <c r="P69" i="69" s="1"/>
  <c r="P24" i="59"/>
  <c r="P35" i="58"/>
  <c r="P35" i="69" s="1"/>
  <c r="P80" i="69" s="1"/>
  <c r="P35" i="59"/>
  <c r="M30" i="55"/>
  <c r="M30" i="54"/>
  <c r="M30" i="68" s="1"/>
  <c r="M86" i="68" s="1"/>
  <c r="M9" i="55"/>
  <c r="M9" i="54"/>
  <c r="M57" i="53"/>
  <c r="M62" i="53" s="1"/>
  <c r="M5" i="55"/>
  <c r="M5" i="54"/>
  <c r="Q31" i="54"/>
  <c r="Q31" i="68" s="1"/>
  <c r="Q87" i="68" s="1"/>
  <c r="Q53" i="54"/>
  <c r="Q53" i="68" s="1"/>
  <c r="Q109" i="68" s="1"/>
  <c r="Q22" i="54"/>
  <c r="Q22" i="68" s="1"/>
  <c r="Q78" i="68" s="1"/>
  <c r="Q20" i="54"/>
  <c r="Q20" i="68" s="1"/>
  <c r="Q76" i="68" s="1"/>
  <c r="Q18" i="54"/>
  <c r="Q18" i="68" s="1"/>
  <c r="Q74" i="68" s="1"/>
  <c r="Q54" i="54"/>
  <c r="Q54" i="68" s="1"/>
  <c r="Q110" i="68" s="1"/>
  <c r="S46" i="57"/>
  <c r="S44" i="58"/>
  <c r="Q44" i="69"/>
  <c r="Q89" i="69" s="1"/>
  <c r="S8" i="58"/>
  <c r="Q8" i="69"/>
  <c r="Q53" i="69" s="1"/>
  <c r="AC13" i="54"/>
  <c r="AC5" i="54"/>
  <c r="AC41" i="54"/>
  <c r="AC24" i="54"/>
  <c r="AA33" i="58"/>
  <c r="V33" i="69"/>
  <c r="V78" i="69" s="1"/>
  <c r="AA23" i="58"/>
  <c r="V23" i="69"/>
  <c r="V68" i="69" s="1"/>
  <c r="AI51" i="54"/>
  <c r="AE51" i="68" s="1"/>
  <c r="AE107" i="68" s="1"/>
  <c r="Y52" i="55"/>
  <c r="Y47" i="55"/>
  <c r="Y40" i="55"/>
  <c r="Y13" i="54"/>
  <c r="X13" i="68" s="1"/>
  <c r="X69" i="68" s="1"/>
  <c r="Y13" i="55"/>
  <c r="Y55" i="55"/>
  <c r="Y15" i="55"/>
  <c r="Y38" i="55"/>
  <c r="Y27" i="55"/>
  <c r="Y9" i="55"/>
  <c r="Y19" i="55"/>
  <c r="Y49" i="55"/>
  <c r="Y31" i="55"/>
  <c r="Y16" i="55"/>
  <c r="Y16" i="54"/>
  <c r="X16" i="68" s="1"/>
  <c r="X72" i="68" s="1"/>
  <c r="W57" i="55"/>
  <c r="M18" i="69"/>
  <c r="M63" i="69" s="1"/>
  <c r="M22" i="69"/>
  <c r="M67" i="69" s="1"/>
  <c r="M37" i="69"/>
  <c r="M82" i="69" s="1"/>
  <c r="M34" i="69"/>
  <c r="M79" i="69" s="1"/>
  <c r="M42" i="69"/>
  <c r="M87" i="69" s="1"/>
  <c r="O35" i="58"/>
  <c r="O35" i="59"/>
  <c r="O29" i="58"/>
  <c r="O29" i="69" s="1"/>
  <c r="O74" i="69" s="1"/>
  <c r="O29" i="59"/>
  <c r="O21" i="58"/>
  <c r="O21" i="69" s="1"/>
  <c r="O66" i="69" s="1"/>
  <c r="O21" i="59"/>
  <c r="O9" i="58"/>
  <c r="O9" i="59"/>
  <c r="O9" i="69" s="1"/>
  <c r="O54" i="69" s="1"/>
  <c r="O37" i="59"/>
  <c r="O37" i="58"/>
  <c r="O36" i="58"/>
  <c r="O36" i="69" s="1"/>
  <c r="O81" i="69" s="1"/>
  <c r="O36" i="59"/>
  <c r="O44" i="58"/>
  <c r="O44" i="59"/>
  <c r="O44" i="69" s="1"/>
  <c r="O89" i="69" s="1"/>
  <c r="O13" i="58"/>
  <c r="O13" i="59"/>
  <c r="O13" i="69"/>
  <c r="O58" i="69" s="1"/>
  <c r="O22" i="59"/>
  <c r="O22" i="58"/>
  <c r="O22" i="69" s="1"/>
  <c r="O67" i="69" s="1"/>
  <c r="O33" i="59"/>
  <c r="O33" i="58"/>
  <c r="O33" i="69" s="1"/>
  <c r="O78" i="69" s="1"/>
  <c r="Q19" i="69"/>
  <c r="Q64" i="69" s="1"/>
  <c r="X49" i="54"/>
  <c r="W49" i="68" s="1"/>
  <c r="W105" i="68" s="1"/>
  <c r="X43" i="54"/>
  <c r="W43" i="68" s="1"/>
  <c r="W99" i="68" s="1"/>
  <c r="V46" i="58"/>
  <c r="L53" i="54"/>
  <c r="L53" i="68" s="1"/>
  <c r="L109" i="68" s="1"/>
  <c r="L7" i="54"/>
  <c r="L7" i="68" s="1"/>
  <c r="L63" i="68" s="1"/>
  <c r="O29" i="54"/>
  <c r="O29" i="68" s="1"/>
  <c r="O85" i="68" s="1"/>
  <c r="O54" i="54"/>
  <c r="O54" i="68" s="1"/>
  <c r="O110" i="68" s="1"/>
  <c r="R19" i="69"/>
  <c r="R64" i="69" s="1"/>
  <c r="W19" i="58"/>
  <c r="W6" i="58"/>
  <c r="AH20" i="54"/>
  <c r="AD20" i="68" s="1"/>
  <c r="AD76" i="68" s="1"/>
  <c r="AH10" i="54"/>
  <c r="AD10" i="68" s="1"/>
  <c r="AD66" i="68" s="1"/>
  <c r="Q50" i="54"/>
  <c r="Q50" i="68" s="1"/>
  <c r="Q106" i="68" s="1"/>
  <c r="Q43" i="54"/>
  <c r="Q43" i="68" s="1"/>
  <c r="Q99" i="68" s="1"/>
  <c r="Q24" i="54"/>
  <c r="Q24" i="68" s="1"/>
  <c r="Q80" i="68" s="1"/>
  <c r="W5" i="68"/>
  <c r="W61" i="68" s="1"/>
  <c r="O5" i="68"/>
  <c r="O61" i="68" s="1"/>
  <c r="W12" i="58"/>
  <c r="R12" i="69"/>
  <c r="R57" i="69" s="1"/>
  <c r="R44" i="69"/>
  <c r="R89" i="69" s="1"/>
  <c r="W44" i="58"/>
  <c r="O9" i="70"/>
  <c r="O15" i="70" s="1"/>
  <c r="O11" i="70"/>
  <c r="O7" i="70"/>
  <c r="O13" i="70" s="1"/>
  <c r="M21" i="55"/>
  <c r="M21" i="54"/>
  <c r="S7" i="58"/>
  <c r="Q7" i="69"/>
  <c r="Q52" i="69" s="1"/>
  <c r="AA30" i="68"/>
  <c r="AA86" i="68" s="1"/>
  <c r="AD30" i="54"/>
  <c r="AD37" i="54"/>
  <c r="AA37" i="68"/>
  <c r="AA93" i="68" s="1"/>
  <c r="AA13" i="58"/>
  <c r="V13" i="69"/>
  <c r="V58" i="69" s="1"/>
  <c r="M35" i="55"/>
  <c r="M35" i="54"/>
  <c r="R17" i="69"/>
  <c r="R62" i="69" s="1"/>
  <c r="W17" i="58"/>
  <c r="M28" i="55"/>
  <c r="M28" i="54"/>
  <c r="N38" i="58"/>
  <c r="N38" i="59"/>
  <c r="N38" i="69"/>
  <c r="N83" i="69" s="1"/>
  <c r="N28" i="58"/>
  <c r="N28" i="69" s="1"/>
  <c r="N73" i="69" s="1"/>
  <c r="N28" i="59"/>
  <c r="N29" i="58"/>
  <c r="N29" i="59"/>
  <c r="N37" i="59"/>
  <c r="N37" i="58"/>
  <c r="N37" i="69" s="1"/>
  <c r="N82" i="69" s="1"/>
  <c r="S30" i="58"/>
  <c r="Q30" i="69"/>
  <c r="Q75" i="69" s="1"/>
  <c r="M25" i="55"/>
  <c r="M25" i="54"/>
  <c r="AD26" i="54"/>
  <c r="AA26" i="68"/>
  <c r="AA82" i="68" s="1"/>
  <c r="AA26" i="58"/>
  <c r="V26" i="69"/>
  <c r="V71" i="69" s="1"/>
  <c r="AA25" i="58"/>
  <c r="V25" i="69"/>
  <c r="V70" i="69" s="1"/>
  <c r="V5" i="69"/>
  <c r="V50" i="69" s="1"/>
  <c r="Z46" i="58"/>
  <c r="AA5" i="58"/>
  <c r="W40" i="59"/>
  <c r="W24" i="59"/>
  <c r="P21" i="59"/>
  <c r="P21" i="58"/>
  <c r="P21" i="69" s="1"/>
  <c r="P66" i="69" s="1"/>
  <c r="P15" i="58"/>
  <c r="P15" i="69" s="1"/>
  <c r="P60" i="69" s="1"/>
  <c r="P15" i="59"/>
  <c r="P6" i="58"/>
  <c r="P6" i="59"/>
  <c r="P6" i="69" s="1"/>
  <c r="P51" i="69" s="1"/>
  <c r="P22" i="58"/>
  <c r="P22" i="59"/>
  <c r="P22" i="69"/>
  <c r="P67" i="69" s="1"/>
  <c r="M20" i="55"/>
  <c r="M20" i="54"/>
  <c r="S11" i="58"/>
  <c r="Q11" i="69"/>
  <c r="Q56" i="69" s="1"/>
  <c r="S21" i="58"/>
  <c r="Q21" i="69"/>
  <c r="Q66" i="69" s="1"/>
  <c r="AC31" i="54"/>
  <c r="AC28" i="54"/>
  <c r="W29" i="54"/>
  <c r="V29" i="68" s="1"/>
  <c r="V85" i="68" s="1"/>
  <c r="W36" i="54"/>
  <c r="V36" i="68" s="1"/>
  <c r="V92" i="68" s="1"/>
  <c r="W50" i="54"/>
  <c r="V50" i="68" s="1"/>
  <c r="V106" i="68" s="1"/>
  <c r="W44" i="54"/>
  <c r="V44" i="68" s="1"/>
  <c r="V100" i="68" s="1"/>
  <c r="W17" i="54"/>
  <c r="V17" i="68" s="1"/>
  <c r="V73" i="68" s="1"/>
  <c r="W35" i="54"/>
  <c r="V35" i="68" s="1"/>
  <c r="V91" i="68" s="1"/>
  <c r="W53" i="54"/>
  <c r="V53" i="68" s="1"/>
  <c r="V109" i="68" s="1"/>
  <c r="W51" i="54"/>
  <c r="V51" i="68" s="1"/>
  <c r="V107" i="68" s="1"/>
  <c r="W48" i="54"/>
  <c r="V48" i="68" s="1"/>
  <c r="V104" i="68" s="1"/>
  <c r="W11" i="54"/>
  <c r="V11" i="68" s="1"/>
  <c r="V67" i="68" s="1"/>
  <c r="W6" i="54"/>
  <c r="V6" i="68" s="1"/>
  <c r="V62" i="68" s="1"/>
  <c r="W16" i="54"/>
  <c r="V16" i="68" s="1"/>
  <c r="V72" i="68" s="1"/>
  <c r="W52" i="54"/>
  <c r="V52" i="68" s="1"/>
  <c r="V108" i="68" s="1"/>
  <c r="W25" i="54"/>
  <c r="V25" i="68" s="1"/>
  <c r="V81" i="68" s="1"/>
  <c r="W49" i="54"/>
  <c r="V49" i="68" s="1"/>
  <c r="V105" i="68" s="1"/>
  <c r="W18" i="54"/>
  <c r="V18" i="68" s="1"/>
  <c r="V74" i="68" s="1"/>
  <c r="W54" i="54"/>
  <c r="V54" i="68" s="1"/>
  <c r="V110" i="68" s="1"/>
  <c r="W5" i="54"/>
  <c r="W47" i="54"/>
  <c r="V47" i="68" s="1"/>
  <c r="V103" i="68" s="1"/>
  <c r="W13" i="54"/>
  <c r="V13" i="68" s="1"/>
  <c r="V69" i="68" s="1"/>
  <c r="W39" i="54"/>
  <c r="V39" i="68" s="1"/>
  <c r="V95" i="68" s="1"/>
  <c r="W19" i="54"/>
  <c r="V19" i="68" s="1"/>
  <c r="V75" i="68" s="1"/>
  <c r="W26" i="54"/>
  <c r="V26" i="68" s="1"/>
  <c r="V82" i="68" s="1"/>
  <c r="W32" i="54"/>
  <c r="V32" i="68" s="1"/>
  <c r="V88" i="68" s="1"/>
  <c r="W20" i="54"/>
  <c r="V20" i="68" s="1"/>
  <c r="V76" i="68" s="1"/>
  <c r="W43" i="54"/>
  <c r="V43" i="68" s="1"/>
  <c r="V99" i="68" s="1"/>
  <c r="W8" i="54"/>
  <c r="V8" i="68" s="1"/>
  <c r="V64" i="68" s="1"/>
  <c r="W27" i="54"/>
  <c r="V27" i="68" s="1"/>
  <c r="V83" i="68" s="1"/>
  <c r="W12" i="54"/>
  <c r="V12" i="68" s="1"/>
  <c r="V68" i="68" s="1"/>
  <c r="W31" i="54"/>
  <c r="V31" i="68" s="1"/>
  <c r="V87" i="68" s="1"/>
  <c r="O26" i="59"/>
  <c r="O26" i="58"/>
  <c r="O26" i="69" s="1"/>
  <c r="O71" i="69" s="1"/>
  <c r="O19" i="58"/>
  <c r="O19" i="69" s="1"/>
  <c r="O64" i="69" s="1"/>
  <c r="O19" i="59"/>
  <c r="O41" i="59"/>
  <c r="O41" i="58"/>
  <c r="O34" i="59"/>
  <c r="O34" i="58"/>
  <c r="O34" i="69"/>
  <c r="O79" i="69" s="1"/>
  <c r="O20" i="58"/>
  <c r="O20" i="69" s="1"/>
  <c r="O65" i="69" s="1"/>
  <c r="O20" i="59"/>
  <c r="AI15" i="54"/>
  <c r="AE15" i="68" s="1"/>
  <c r="AE71" i="68" s="1"/>
  <c r="X57" i="55"/>
  <c r="P5" i="68"/>
  <c r="P61" i="68" s="1"/>
  <c r="W14" i="59"/>
  <c r="W12" i="59"/>
  <c r="R15" i="69"/>
  <c r="R60" i="69" s="1"/>
  <c r="W15" i="58"/>
  <c r="W20" i="59"/>
  <c r="W38" i="58"/>
  <c r="R38" i="69"/>
  <c r="R83" i="69" s="1"/>
  <c r="M42" i="54"/>
  <c r="M42" i="68" s="1"/>
  <c r="M98" i="68" s="1"/>
  <c r="M42" i="55"/>
  <c r="S62" i="53"/>
  <c r="R62" i="53"/>
  <c r="Q45" i="54"/>
  <c r="Q45" i="68" s="1"/>
  <c r="Q101" i="68" s="1"/>
  <c r="Q34" i="54"/>
  <c r="Q34" i="68" s="1"/>
  <c r="Q90" i="68" s="1"/>
  <c r="Q36" i="54"/>
  <c r="Q36" i="68" s="1"/>
  <c r="Q92" i="68" s="1"/>
  <c r="Q12" i="54"/>
  <c r="Q12" i="68" s="1"/>
  <c r="Q68" i="68" s="1"/>
  <c r="S35" i="58"/>
  <c r="Q35" i="69"/>
  <c r="Q80" i="69" s="1"/>
  <c r="S12" i="58"/>
  <c r="Q12" i="69"/>
  <c r="Q57" i="69" s="1"/>
  <c r="S16" i="58"/>
  <c r="Q16" i="69"/>
  <c r="Q61" i="69" s="1"/>
  <c r="M33" i="54"/>
  <c r="M33" i="55"/>
  <c r="M33" i="68" s="1"/>
  <c r="M89" i="68" s="1"/>
  <c r="AC7" i="54"/>
  <c r="AC11" i="54"/>
  <c r="AA52" i="68"/>
  <c r="AA108" i="68" s="1"/>
  <c r="AC22" i="54"/>
  <c r="AA29" i="58"/>
  <c r="V29" i="69"/>
  <c r="V74" i="69" s="1"/>
  <c r="AA36" i="58"/>
  <c r="V36" i="69"/>
  <c r="V81" i="69" s="1"/>
  <c r="AI7" i="54"/>
  <c r="AE7" i="68" s="1"/>
  <c r="AE63" i="68" s="1"/>
  <c r="AI46" i="54"/>
  <c r="AE46" i="68" s="1"/>
  <c r="AE102" i="68" s="1"/>
  <c r="W30" i="54"/>
  <c r="V30" i="68" s="1"/>
  <c r="V86" i="68" s="1"/>
  <c r="X51" i="54"/>
  <c r="W51" i="68" s="1"/>
  <c r="W107" i="68" s="1"/>
  <c r="P7" i="54"/>
  <c r="P7" i="68" s="1"/>
  <c r="P63" i="68" s="1"/>
  <c r="P8" i="54"/>
  <c r="P8" i="68" s="1"/>
  <c r="P64" i="68" s="1"/>
  <c r="O22" i="54"/>
  <c r="O22" i="68" s="1"/>
  <c r="O78" i="68" s="1"/>
  <c r="O46" i="54"/>
  <c r="O46" i="68" s="1"/>
  <c r="O102" i="68" s="1"/>
  <c r="S34" i="58"/>
  <c r="Q34" i="69"/>
  <c r="Q79" i="69" s="1"/>
  <c r="X47" i="54"/>
  <c r="W47" i="68" s="1"/>
  <c r="W103" i="68" s="1"/>
  <c r="X10" i="54"/>
  <c r="W10" i="68" s="1"/>
  <c r="W66" i="68" s="1"/>
  <c r="X44" i="54"/>
  <c r="W44" i="68" s="1"/>
  <c r="W100" i="68" s="1"/>
  <c r="X21" i="54"/>
  <c r="W21" i="68" s="1"/>
  <c r="W77" i="68" s="1"/>
  <c r="X54" i="54"/>
  <c r="W54" i="68" s="1"/>
  <c r="W110" i="68" s="1"/>
  <c r="X37" i="54"/>
  <c r="W37" i="68" s="1"/>
  <c r="W93" i="68" s="1"/>
  <c r="M17" i="54"/>
  <c r="M17" i="55"/>
  <c r="M17" i="68" s="1"/>
  <c r="M73" i="68" s="1"/>
  <c r="L57" i="55"/>
  <c r="P15" i="54"/>
  <c r="P15" i="68" s="1"/>
  <c r="P71" i="68" s="1"/>
  <c r="P35" i="54"/>
  <c r="P35" i="68" s="1"/>
  <c r="P91" i="68" s="1"/>
  <c r="P11" i="54"/>
  <c r="P11" i="68" s="1"/>
  <c r="P67" i="68" s="1"/>
  <c r="O51" i="54"/>
  <c r="O51" i="68" s="1"/>
  <c r="O107" i="68" s="1"/>
  <c r="O36" i="54"/>
  <c r="O36" i="68" s="1"/>
  <c r="O92" i="68" s="1"/>
  <c r="O18" i="54"/>
  <c r="O18" i="68" s="1"/>
  <c r="O74" i="68" s="1"/>
  <c r="O48" i="54"/>
  <c r="O48" i="68" s="1"/>
  <c r="O104" i="68" s="1"/>
  <c r="W29" i="59"/>
  <c r="W36" i="59"/>
  <c r="W41" i="59"/>
  <c r="W13" i="59"/>
  <c r="R16" i="69"/>
  <c r="R61" i="69" s="1"/>
  <c r="N34" i="59"/>
  <c r="N34" i="58"/>
  <c r="N34" i="69" s="1"/>
  <c r="N79" i="69" s="1"/>
  <c r="N26" i="58"/>
  <c r="N26" i="59"/>
  <c r="N26" i="69"/>
  <c r="N71" i="69" s="1"/>
  <c r="N27" i="59"/>
  <c r="N27" i="58"/>
  <c r="N22" i="58"/>
  <c r="N22" i="59"/>
  <c r="N33" i="58"/>
  <c r="N33" i="69" s="1"/>
  <c r="N78" i="69" s="1"/>
  <c r="N33" i="59"/>
  <c r="N12" i="59"/>
  <c r="N12" i="58"/>
  <c r="N12" i="69" s="1"/>
  <c r="N57" i="69" s="1"/>
  <c r="N23" i="59"/>
  <c r="N23" i="58"/>
  <c r="N41" i="58"/>
  <c r="N41" i="59"/>
  <c r="N41" i="69" s="1"/>
  <c r="N86" i="69" s="1"/>
  <c r="N16" i="58"/>
  <c r="N16" i="59"/>
  <c r="N16" i="69"/>
  <c r="N61" i="69" s="1"/>
  <c r="N5" i="59"/>
  <c r="N5" i="58"/>
  <c r="N46" i="57"/>
  <c r="AH57" i="55"/>
  <c r="Q23" i="54"/>
  <c r="Q23" i="68" s="1"/>
  <c r="Q79" i="68" s="1"/>
  <c r="Q32" i="54"/>
  <c r="Q32" i="68" s="1"/>
  <c r="Q88" i="68" s="1"/>
  <c r="Q39" i="54"/>
  <c r="Q39" i="68" s="1"/>
  <c r="Q95" i="68" s="1"/>
  <c r="Q48" i="54"/>
  <c r="Q48" i="68" s="1"/>
  <c r="Q104" i="68" s="1"/>
  <c r="Q51" i="54"/>
  <c r="Q51" i="68" s="1"/>
  <c r="Q107" i="68" s="1"/>
  <c r="Q13" i="54"/>
  <c r="Q13" i="68" s="1"/>
  <c r="Q69" i="68" s="1"/>
  <c r="U46" i="58"/>
  <c r="S16" i="69"/>
  <c r="S61" i="69" s="1"/>
  <c r="I7" i="71" s="1"/>
  <c r="I13" i="71" s="1"/>
  <c r="S28" i="58"/>
  <c r="Q28" i="69"/>
  <c r="Q73" i="69" s="1"/>
  <c r="S17" i="58"/>
  <c r="Q17" i="69"/>
  <c r="Q62" i="69" s="1"/>
  <c r="S13" i="58"/>
  <c r="Q13" i="69"/>
  <c r="Q58" i="69" s="1"/>
  <c r="AC17" i="54"/>
  <c r="AC47" i="54"/>
  <c r="AC29" i="54"/>
  <c r="AA15" i="58"/>
  <c r="V15" i="69"/>
  <c r="V60" i="69" s="1"/>
  <c r="AA16" i="58"/>
  <c r="V16" i="69"/>
  <c r="V61" i="69" s="1"/>
  <c r="AA8" i="58"/>
  <c r="V8" i="69"/>
  <c r="V53" i="69" s="1"/>
  <c r="AA12" i="58"/>
  <c r="V12" i="69"/>
  <c r="V57" i="69" s="1"/>
  <c r="AI20" i="54"/>
  <c r="AE20" i="68" s="1"/>
  <c r="AE76" i="68" s="1"/>
  <c r="AI37" i="54"/>
  <c r="AE37" i="68" s="1"/>
  <c r="AE93" i="68" s="1"/>
  <c r="M46" i="59"/>
  <c r="M36" i="69"/>
  <c r="M81" i="69" s="1"/>
  <c r="M21" i="69"/>
  <c r="M66" i="69" s="1"/>
  <c r="J9" i="71"/>
  <c r="J11" i="71"/>
  <c r="V30" i="69"/>
  <c r="V75" i="69" s="1"/>
  <c r="Q14" i="69"/>
  <c r="Q59" i="69" s="1"/>
  <c r="W7" i="58"/>
  <c r="T25" i="69"/>
  <c r="T70" i="69" s="1"/>
  <c r="L50" i="54"/>
  <c r="L50" i="68" s="1"/>
  <c r="L106" i="68" s="1"/>
  <c r="L45" i="54"/>
  <c r="L45" i="68" s="1"/>
  <c r="L101" i="68" s="1"/>
  <c r="P38" i="54"/>
  <c r="P38" i="68" s="1"/>
  <c r="P94" i="68" s="1"/>
  <c r="W26" i="58"/>
  <c r="W22" i="59"/>
  <c r="U41" i="54"/>
  <c r="T41" i="68" s="1"/>
  <c r="T97" i="68" s="1"/>
  <c r="U48" i="54"/>
  <c r="T48" i="68" s="1"/>
  <c r="T104" i="68" s="1"/>
  <c r="Q28" i="54"/>
  <c r="Q28" i="68" s="1"/>
  <c r="Q84" i="68" s="1"/>
  <c r="S6" i="58"/>
  <c r="Q6" i="69"/>
  <c r="Q51" i="69" s="1"/>
  <c r="AC23" i="54"/>
  <c r="AC40" i="54"/>
  <c r="AA6" i="58"/>
  <c r="V6" i="69"/>
  <c r="V51" i="69" s="1"/>
  <c r="Z46" i="59"/>
  <c r="AA5" i="59"/>
  <c r="AA46" i="59" s="1"/>
  <c r="AI17" i="54"/>
  <c r="AE17" i="68" s="1"/>
  <c r="AE73" i="68" s="1"/>
  <c r="AI42" i="54"/>
  <c r="AE42" i="68" s="1"/>
  <c r="AE98" i="68" s="1"/>
  <c r="X48" i="54"/>
  <c r="W48" i="68" s="1"/>
  <c r="W104" i="68" s="1"/>
  <c r="X14" i="54"/>
  <c r="W14" i="68" s="1"/>
  <c r="W70" i="68" s="1"/>
  <c r="X7" i="54"/>
  <c r="W7" i="68" s="1"/>
  <c r="W63" i="68" s="1"/>
  <c r="X11" i="54"/>
  <c r="W11" i="68" s="1"/>
  <c r="W67" i="68" s="1"/>
  <c r="X38" i="54"/>
  <c r="W38" i="68" s="1"/>
  <c r="W94" i="68" s="1"/>
  <c r="X18" i="54"/>
  <c r="W18" i="68" s="1"/>
  <c r="W74" i="68" s="1"/>
  <c r="X50" i="54"/>
  <c r="W50" i="68" s="1"/>
  <c r="W106" i="68" s="1"/>
  <c r="W28" i="58"/>
  <c r="T28" i="69"/>
  <c r="T73" i="69" s="1"/>
  <c r="M27" i="54"/>
  <c r="M27" i="68" s="1"/>
  <c r="M83" i="68" s="1"/>
  <c r="M27" i="55"/>
  <c r="L44" i="54"/>
  <c r="L44" i="68" s="1"/>
  <c r="L100" i="68" s="1"/>
  <c r="L17" i="54"/>
  <c r="L17" i="68" s="1"/>
  <c r="L73" i="68" s="1"/>
  <c r="L20" i="54"/>
  <c r="L20" i="68" s="1"/>
  <c r="L76" i="68" s="1"/>
  <c r="L16" i="54"/>
  <c r="L16" i="68" s="1"/>
  <c r="L72" i="68" s="1"/>
  <c r="P14" i="54"/>
  <c r="P14" i="68" s="1"/>
  <c r="P70" i="68" s="1"/>
  <c r="P21" i="54"/>
  <c r="P21" i="68" s="1"/>
  <c r="P77" i="68" s="1"/>
  <c r="P20" i="54"/>
  <c r="P20" i="68" s="1"/>
  <c r="P76" i="68" s="1"/>
  <c r="O32" i="54"/>
  <c r="O32" i="68" s="1"/>
  <c r="O88" i="68" s="1"/>
  <c r="O19" i="54"/>
  <c r="O19" i="68" s="1"/>
  <c r="O75" i="68" s="1"/>
  <c r="W46" i="57"/>
  <c r="R35" i="69"/>
  <c r="R80" i="69" s="1"/>
  <c r="W35" i="58"/>
  <c r="W31" i="58"/>
  <c r="R31" i="69"/>
  <c r="R76" i="69" s="1"/>
  <c r="P25" i="58"/>
  <c r="P25" i="69" s="1"/>
  <c r="P70" i="69" s="1"/>
  <c r="P25" i="59"/>
  <c r="P32" i="59"/>
  <c r="P32" i="58"/>
  <c r="P32" i="69" s="1"/>
  <c r="P77" i="69" s="1"/>
  <c r="P44" i="58"/>
  <c r="P44" i="69" s="1"/>
  <c r="P89" i="69" s="1"/>
  <c r="P44" i="59"/>
  <c r="P36" i="58"/>
  <c r="P36" i="59"/>
  <c r="P18" i="58"/>
  <c r="P18" i="69" s="1"/>
  <c r="P63" i="69" s="1"/>
  <c r="P18" i="59"/>
  <c r="P41" i="58"/>
  <c r="P41" i="69" s="1"/>
  <c r="P86" i="69" s="1"/>
  <c r="P41" i="59"/>
  <c r="P16" i="58"/>
  <c r="P16" i="59"/>
  <c r="P16" i="69"/>
  <c r="P61" i="69" s="1"/>
  <c r="P42" i="58"/>
  <c r="P42" i="59"/>
  <c r="P42" i="69"/>
  <c r="P87" i="69" s="1"/>
  <c r="P17" i="58"/>
  <c r="P17" i="69" s="1"/>
  <c r="P62" i="69" s="1"/>
  <c r="P17" i="59"/>
  <c r="P13" i="58"/>
  <c r="P13" i="69" s="1"/>
  <c r="P58" i="69" s="1"/>
  <c r="P13" i="59"/>
  <c r="U17" i="54"/>
  <c r="T17" i="68" s="1"/>
  <c r="T73" i="68" s="1"/>
  <c r="U34" i="54"/>
  <c r="T34" i="68" s="1"/>
  <c r="T90" i="68" s="1"/>
  <c r="U47" i="54"/>
  <c r="T47" i="68" s="1"/>
  <c r="T103" i="68" s="1"/>
  <c r="U29" i="54"/>
  <c r="T29" i="68" s="1"/>
  <c r="T85" i="68" s="1"/>
  <c r="U7" i="54"/>
  <c r="T7" i="68" s="1"/>
  <c r="T63" i="68" s="1"/>
  <c r="U26" i="54"/>
  <c r="T26" i="68" s="1"/>
  <c r="T82" i="68" s="1"/>
  <c r="M7" i="55"/>
  <c r="M7" i="54"/>
  <c r="M10" i="55"/>
  <c r="M10" i="54"/>
  <c r="M10" i="68"/>
  <c r="M66" i="68" s="1"/>
  <c r="M6" i="55"/>
  <c r="M6" i="54"/>
  <c r="AH6" i="54"/>
  <c r="AD6" i="68" s="1"/>
  <c r="AD62" i="68" s="1"/>
  <c r="AH34" i="54"/>
  <c r="AD34" i="68" s="1"/>
  <c r="AD90" i="68" s="1"/>
  <c r="AH42" i="54"/>
  <c r="AD42" i="68" s="1"/>
  <c r="AD98" i="68" s="1"/>
  <c r="AH22" i="54"/>
  <c r="AD22" i="68" s="1"/>
  <c r="AD78" i="68" s="1"/>
  <c r="Q5" i="69"/>
  <c r="Q50" i="69" s="1"/>
  <c r="S5" i="58"/>
  <c r="R46" i="58"/>
  <c r="S25" i="58"/>
  <c r="Q25" i="69"/>
  <c r="Q70" i="69" s="1"/>
  <c r="AC27" i="54"/>
  <c r="AD57" i="53"/>
  <c r="AC43" i="54"/>
  <c r="AC39" i="54"/>
  <c r="AA11" i="58"/>
  <c r="V11" i="69"/>
  <c r="V56" i="69" s="1"/>
  <c r="AA35" i="58"/>
  <c r="V35" i="69"/>
  <c r="V80" i="69" s="1"/>
  <c r="AA24" i="58"/>
  <c r="V24" i="69"/>
  <c r="V69" i="69" s="1"/>
  <c r="AA14" i="58"/>
  <c r="V14" i="69"/>
  <c r="V59" i="69" s="1"/>
  <c r="AI6" i="54"/>
  <c r="AE6" i="68" s="1"/>
  <c r="AE62" i="68" s="1"/>
  <c r="Y48" i="55"/>
  <c r="Y50" i="55"/>
  <c r="Y50" i="54"/>
  <c r="X50" i="68" s="1"/>
  <c r="X106" i="68" s="1"/>
  <c r="Y32" i="55"/>
  <c r="Y51" i="55"/>
  <c r="Y51" i="54"/>
  <c r="X51" i="68" s="1"/>
  <c r="X107" i="68" s="1"/>
  <c r="Y33" i="55"/>
  <c r="Y30" i="55"/>
  <c r="Y35" i="55"/>
  <c r="Y6" i="55"/>
  <c r="Y18" i="55"/>
  <c r="Y21" i="55"/>
  <c r="Y21" i="54"/>
  <c r="X21" i="68" s="1"/>
  <c r="X77" i="68" s="1"/>
  <c r="Y41" i="55"/>
  <c r="Y14" i="55"/>
  <c r="Y11" i="55"/>
  <c r="W10" i="54"/>
  <c r="V10" i="68" s="1"/>
  <c r="V66" i="68" s="1"/>
  <c r="W46" i="54"/>
  <c r="V46" i="68" s="1"/>
  <c r="V102" i="68" s="1"/>
  <c r="M19" i="69"/>
  <c r="M64" i="69" s="1"/>
  <c r="O31" i="58"/>
  <c r="O31" i="59"/>
  <c r="O23" i="59"/>
  <c r="O23" i="69" s="1"/>
  <c r="O68" i="69" s="1"/>
  <c r="O23" i="58"/>
  <c r="O14" i="59"/>
  <c r="O14" i="58"/>
  <c r="O14" i="69" s="1"/>
  <c r="O59" i="69" s="1"/>
  <c r="O24" i="58"/>
  <c r="O24" i="59"/>
  <c r="O16" i="59"/>
  <c r="O16" i="58"/>
  <c r="O38" i="59"/>
  <c r="O38" i="58"/>
  <c r="O38" i="69" s="1"/>
  <c r="O83" i="69" s="1"/>
  <c r="O30" i="58"/>
  <c r="O30" i="59"/>
  <c r="O30" i="69"/>
  <c r="O75" i="69" s="1"/>
  <c r="O40" i="58"/>
  <c r="O40" i="69" s="1"/>
  <c r="O85" i="69" s="1"/>
  <c r="O40" i="59"/>
  <c r="O15" i="58"/>
  <c r="O15" i="69" s="1"/>
  <c r="O60" i="69" s="1"/>
  <c r="O15" i="59"/>
  <c r="O18" i="58"/>
  <c r="O18" i="59"/>
  <c r="O18" i="69" s="1"/>
  <c r="O63" i="69" s="1"/>
  <c r="W28" i="54"/>
  <c r="V28" i="68" s="1"/>
  <c r="V84" i="68" s="1"/>
  <c r="T12" i="69"/>
  <c r="T57" i="69" s="1"/>
  <c r="L30" i="54"/>
  <c r="L30" i="68" s="1"/>
  <c r="L86" i="68" s="1"/>
  <c r="P47" i="54"/>
  <c r="P47" i="68" s="1"/>
  <c r="P103" i="68" s="1"/>
  <c r="P34" i="54"/>
  <c r="P34" i="68" s="1"/>
  <c r="P90" i="68" s="1"/>
  <c r="O11" i="54"/>
  <c r="O11" i="68" s="1"/>
  <c r="O67" i="68" s="1"/>
  <c r="O33" i="54"/>
  <c r="O33" i="68" s="1"/>
  <c r="O89" i="68" s="1"/>
  <c r="W7" i="59"/>
  <c r="W34" i="59"/>
  <c r="R37" i="69"/>
  <c r="R82" i="69" s="1"/>
  <c r="Q26" i="69"/>
  <c r="Q71" i="69" s="1"/>
  <c r="R20" i="69"/>
  <c r="R65" i="69" s="1"/>
  <c r="W20" i="58"/>
  <c r="S29" i="58"/>
  <c r="Q29" i="69"/>
  <c r="Q74" i="69" s="1"/>
  <c r="S18" i="58"/>
  <c r="Q18" i="69"/>
  <c r="Q63" i="69" s="1"/>
  <c r="S33" i="58"/>
  <c r="Q33" i="69"/>
  <c r="Q78" i="69" s="1"/>
  <c r="M45" i="55"/>
  <c r="M45" i="54"/>
  <c r="M37" i="55"/>
  <c r="M37" i="54"/>
  <c r="M37" i="68" s="1"/>
  <c r="M93" i="68" s="1"/>
  <c r="W41" i="58"/>
  <c r="R41" i="69"/>
  <c r="R86" i="69" s="1"/>
  <c r="N30" i="58"/>
  <c r="N30" i="69" s="1"/>
  <c r="N75" i="69" s="1"/>
  <c r="N30" i="59"/>
  <c r="N17" i="59"/>
  <c r="N17" i="58"/>
  <c r="N17" i="69" s="1"/>
  <c r="N62" i="69" s="1"/>
  <c r="N11" i="59"/>
  <c r="N11" i="58"/>
  <c r="N44" i="59"/>
  <c r="N44" i="58"/>
  <c r="N44" i="69"/>
  <c r="N89" i="69" s="1"/>
  <c r="S41" i="58"/>
  <c r="Q41" i="69"/>
  <c r="Q86" i="69" s="1"/>
  <c r="S31" i="58"/>
  <c r="Q31" i="69"/>
  <c r="Q76" i="69" s="1"/>
  <c r="AD32" i="54"/>
  <c r="AA32" i="68"/>
  <c r="AA88" i="68" s="1"/>
  <c r="AD19" i="54"/>
  <c r="AA19" i="68"/>
  <c r="AA75" i="68" s="1"/>
  <c r="W25" i="58"/>
  <c r="R25" i="69"/>
  <c r="R70" i="69" s="1"/>
  <c r="AA38" i="68"/>
  <c r="AA94" i="68" s="1"/>
  <c r="AD38" i="54"/>
  <c r="W21" i="58"/>
  <c r="T21" i="69"/>
  <c r="T66" i="69" s="1"/>
  <c r="P29" i="59"/>
  <c r="P29" i="58"/>
  <c r="P29" i="69" s="1"/>
  <c r="P74" i="69" s="1"/>
  <c r="P40" i="58"/>
  <c r="P40" i="69" s="1"/>
  <c r="P85" i="69" s="1"/>
  <c r="P40" i="59"/>
  <c r="P26" i="58"/>
  <c r="P26" i="69" s="1"/>
  <c r="P71" i="69" s="1"/>
  <c r="P26" i="59"/>
  <c r="P33" i="59"/>
  <c r="P33" i="58"/>
  <c r="P33" i="69"/>
  <c r="P78" i="69" s="1"/>
  <c r="M14" i="55"/>
  <c r="M14" i="54"/>
  <c r="S36" i="58"/>
  <c r="Q36" i="69"/>
  <c r="Q81" i="69" s="1"/>
  <c r="AI31" i="54"/>
  <c r="AE31" i="68" s="1"/>
  <c r="AE87" i="68" s="1"/>
  <c r="AI26" i="54"/>
  <c r="AE26" i="68" s="1"/>
  <c r="AE82" i="68" s="1"/>
  <c r="AI44" i="54"/>
  <c r="AE44" i="68" s="1"/>
  <c r="AE100" i="68" s="1"/>
  <c r="AI24" i="54"/>
  <c r="AE24" i="68" s="1"/>
  <c r="AE80" i="68" s="1"/>
  <c r="AI30" i="54"/>
  <c r="AE30" i="68" s="1"/>
  <c r="AE86" i="68" s="1"/>
  <c r="AI32" i="54"/>
  <c r="AE32" i="68" s="1"/>
  <c r="AE88" i="68" s="1"/>
  <c r="AI33" i="54"/>
  <c r="AE33" i="68" s="1"/>
  <c r="AE89" i="68" s="1"/>
  <c r="AI12" i="54"/>
  <c r="AE12" i="68" s="1"/>
  <c r="AE68" i="68" s="1"/>
  <c r="AI10" i="54"/>
  <c r="AE10" i="68" s="1"/>
  <c r="AE66" i="68" s="1"/>
  <c r="AI34" i="54"/>
  <c r="AE34" i="68" s="1"/>
  <c r="AE90" i="68" s="1"/>
  <c r="AI29" i="54"/>
  <c r="AE29" i="68" s="1"/>
  <c r="AE85" i="68" s="1"/>
  <c r="AI16" i="54"/>
  <c r="AE16" i="68" s="1"/>
  <c r="AE72" i="68" s="1"/>
  <c r="AI55" i="54"/>
  <c r="AE55" i="68" s="1"/>
  <c r="AE111" i="68" s="1"/>
  <c r="AI13" i="54"/>
  <c r="AE13" i="68" s="1"/>
  <c r="AE69" i="68" s="1"/>
  <c r="AI35" i="54"/>
  <c r="AE35" i="68" s="1"/>
  <c r="AE91" i="68" s="1"/>
  <c r="AI5" i="54"/>
  <c r="AI45" i="54"/>
  <c r="AE45" i="68" s="1"/>
  <c r="AE101" i="68" s="1"/>
  <c r="AI40" i="54"/>
  <c r="AE40" i="68" s="1"/>
  <c r="AE96" i="68" s="1"/>
  <c r="AI22" i="54"/>
  <c r="AE22" i="68" s="1"/>
  <c r="AE78" i="68" s="1"/>
  <c r="AI49" i="54"/>
  <c r="AE49" i="68" s="1"/>
  <c r="AE105" i="68" s="1"/>
  <c r="AI36" i="54"/>
  <c r="AE36" i="68" s="1"/>
  <c r="AE92" i="68" s="1"/>
  <c r="Y10" i="55"/>
  <c r="AC18" i="54"/>
  <c r="R10" i="69"/>
  <c r="R55" i="69" s="1"/>
  <c r="Y7" i="54"/>
  <c r="X7" i="68" s="1"/>
  <c r="X63" i="68" s="1"/>
  <c r="X30" i="54"/>
  <c r="W30" i="68" s="1"/>
  <c r="W86" i="68" s="1"/>
  <c r="X34" i="54"/>
  <c r="W34" i="68" s="1"/>
  <c r="W90" i="68" s="1"/>
  <c r="X6" i="54"/>
  <c r="W6" i="68" s="1"/>
  <c r="W62" i="68" s="1"/>
  <c r="X40" i="54"/>
  <c r="W40" i="68" s="1"/>
  <c r="W96" i="68" s="1"/>
  <c r="X33" i="54"/>
  <c r="W33" i="68" s="1"/>
  <c r="W89" i="68" s="1"/>
  <c r="W24" i="58"/>
  <c r="T24" i="69"/>
  <c r="T69" i="69" s="1"/>
  <c r="T31" i="69"/>
  <c r="T76" i="69" s="1"/>
  <c r="T44" i="69"/>
  <c r="T89" i="69" s="1"/>
  <c r="T20" i="69"/>
  <c r="T65" i="69" s="1"/>
  <c r="M34" i="55"/>
  <c r="M34" i="54"/>
  <c r="L55" i="68"/>
  <c r="L111" i="68" s="1"/>
  <c r="L34" i="68"/>
  <c r="L90" i="68" s="1"/>
  <c r="L18" i="68"/>
  <c r="L74" i="68" s="1"/>
  <c r="L43" i="68"/>
  <c r="L99" i="68" s="1"/>
  <c r="P40" i="54"/>
  <c r="P40" i="68" s="1"/>
  <c r="P96" i="68" s="1"/>
  <c r="P55" i="54"/>
  <c r="P55" i="68" s="1"/>
  <c r="P111" i="68" s="1"/>
  <c r="O9" i="54"/>
  <c r="O9" i="68" s="1"/>
  <c r="O65" i="68" s="1"/>
  <c r="O50" i="54"/>
  <c r="O50" i="68" s="1"/>
  <c r="O106" i="68" s="1"/>
  <c r="O30" i="54"/>
  <c r="O30" i="68" s="1"/>
  <c r="O86" i="68" s="1"/>
  <c r="O57" i="55"/>
  <c r="O45" i="54"/>
  <c r="O45" i="68" s="1"/>
  <c r="O101" i="68" s="1"/>
  <c r="W23" i="59"/>
  <c r="W43" i="58"/>
  <c r="R43" i="69"/>
  <c r="R88" i="69" s="1"/>
  <c r="R28" i="69"/>
  <c r="R73" i="69" s="1"/>
  <c r="M8" i="55"/>
  <c r="M8" i="54"/>
  <c r="T21" i="68"/>
  <c r="T77" i="68" s="1"/>
  <c r="T30" i="68"/>
  <c r="T86" i="68" s="1"/>
  <c r="T10" i="68"/>
  <c r="T66" i="68" s="1"/>
  <c r="T15" i="68"/>
  <c r="T71" i="68" s="1"/>
  <c r="AD14" i="68"/>
  <c r="AD70" i="68" s="1"/>
  <c r="AD30" i="68"/>
  <c r="AD86" i="68" s="1"/>
  <c r="AD38" i="68"/>
  <c r="AD94" i="68" s="1"/>
  <c r="AD15" i="68"/>
  <c r="AD71" i="68" s="1"/>
  <c r="AD53" i="68"/>
  <c r="AD109" i="68" s="1"/>
  <c r="Q29" i="54"/>
  <c r="Q29" i="68" s="1"/>
  <c r="Q85" i="68" s="1"/>
  <c r="Q5" i="54"/>
  <c r="S23" i="69"/>
  <c r="S68" i="69" s="1"/>
  <c r="S32" i="58"/>
  <c r="Q32" i="69"/>
  <c r="Q77" i="69" s="1"/>
  <c r="AC33" i="54"/>
  <c r="AC20" i="54"/>
  <c r="AC50" i="54"/>
  <c r="AA10" i="58"/>
  <c r="V10" i="69"/>
  <c r="V55" i="69" s="1"/>
  <c r="AA44" i="58"/>
  <c r="V44" i="69"/>
  <c r="V89" i="69" s="1"/>
  <c r="AA42" i="58"/>
  <c r="V42" i="69"/>
  <c r="V87" i="69" s="1"/>
  <c r="M53" i="55"/>
  <c r="M53" i="54"/>
  <c r="M53" i="68" s="1"/>
  <c r="M109" i="68" s="1"/>
  <c r="AI9" i="54"/>
  <c r="AE9" i="68" s="1"/>
  <c r="AE65" i="68" s="1"/>
  <c r="W24" i="54"/>
  <c r="V24" i="68" s="1"/>
  <c r="V80" i="68" s="1"/>
  <c r="M6" i="69"/>
  <c r="M51" i="69" s="1"/>
  <c r="P11" i="70"/>
  <c r="P9" i="70"/>
  <c r="P15" i="70" s="1"/>
  <c r="P7" i="70"/>
  <c r="P13" i="70" s="1"/>
  <c r="R33" i="69"/>
  <c r="R78" i="69" s="1"/>
  <c r="R34" i="69"/>
  <c r="R79" i="69" s="1"/>
  <c r="L36" i="68"/>
  <c r="L92" i="68" s="1"/>
  <c r="L38" i="68"/>
  <c r="L94" i="68" s="1"/>
  <c r="O20" i="54"/>
  <c r="O20" i="68" s="1"/>
  <c r="O76" i="68" s="1"/>
  <c r="O53" i="54"/>
  <c r="O53" i="68" s="1"/>
  <c r="O109" i="68" s="1"/>
  <c r="W10" i="58"/>
  <c r="T13" i="68"/>
  <c r="T69" i="68" s="1"/>
  <c r="T23" i="68"/>
  <c r="T79" i="68" s="1"/>
  <c r="T14" i="68"/>
  <c r="T70" i="68" s="1"/>
  <c r="Q10" i="54"/>
  <c r="Q10" i="68" s="1"/>
  <c r="Q66" i="68" s="1"/>
  <c r="Q35" i="54"/>
  <c r="Q35" i="68" s="1"/>
  <c r="Q91" i="68" s="1"/>
  <c r="Q55" i="54"/>
  <c r="Q55" i="68" s="1"/>
  <c r="Q111" i="68" s="1"/>
  <c r="W40" i="54"/>
  <c r="V40" i="68" s="1"/>
  <c r="V96" i="68" s="1"/>
  <c r="W11" i="58"/>
  <c r="T11" i="69"/>
  <c r="T56" i="69" s="1"/>
  <c r="T23" i="69"/>
  <c r="T68" i="69" s="1"/>
  <c r="T8" i="69"/>
  <c r="T53" i="69" s="1"/>
  <c r="T29" i="69"/>
  <c r="T74" i="69" s="1"/>
  <c r="M15" i="71"/>
  <c r="C15" i="71"/>
  <c r="H15" i="71"/>
  <c r="L15" i="71"/>
  <c r="F15" i="71"/>
  <c r="J15" i="71"/>
  <c r="E15" i="71"/>
  <c r="K15" i="71"/>
  <c r="D15" i="71"/>
  <c r="B15" i="71"/>
  <c r="G15" i="71"/>
  <c r="I15" i="71"/>
  <c r="L19" i="68"/>
  <c r="L75" i="68" s="1"/>
  <c r="P6" i="54"/>
  <c r="P6" i="68" s="1"/>
  <c r="P62" i="68" s="1"/>
  <c r="P13" i="54"/>
  <c r="P13" i="68" s="1"/>
  <c r="P69" i="68" s="1"/>
  <c r="O10" i="54"/>
  <c r="O10" i="68" s="1"/>
  <c r="O66" i="68" s="1"/>
  <c r="O40" i="54"/>
  <c r="O40" i="68" s="1"/>
  <c r="O96" i="68" s="1"/>
  <c r="W21" i="59"/>
  <c r="R29" i="69"/>
  <c r="R74" i="69" s="1"/>
  <c r="W29" i="58"/>
  <c r="W18" i="59"/>
  <c r="W30" i="58"/>
  <c r="R30" i="69"/>
  <c r="R75" i="69" s="1"/>
  <c r="R42" i="69"/>
  <c r="R87" i="69" s="1"/>
  <c r="W42" i="58"/>
  <c r="U54" i="54"/>
  <c r="U16" i="54"/>
  <c r="U46" i="54"/>
  <c r="T46" i="68" s="1"/>
  <c r="T102" i="68" s="1"/>
  <c r="U51" i="54"/>
  <c r="U25" i="54"/>
  <c r="T25" i="68" s="1"/>
  <c r="T81" i="68" s="1"/>
  <c r="U5" i="54"/>
  <c r="N36" i="58"/>
  <c r="N36" i="69" s="1"/>
  <c r="N81" i="69" s="1"/>
  <c r="N36" i="59"/>
  <c r="N31" i="58"/>
  <c r="N31" i="59"/>
  <c r="N32" i="58"/>
  <c r="N32" i="69" s="1"/>
  <c r="N77" i="69" s="1"/>
  <c r="N32" i="59"/>
  <c r="N24" i="58"/>
  <c r="N24" i="59"/>
  <c r="N35" i="58"/>
  <c r="N35" i="69" s="1"/>
  <c r="N80" i="69" s="1"/>
  <c r="N35" i="59"/>
  <c r="N6" i="58"/>
  <c r="N6" i="59"/>
  <c r="N42" i="59"/>
  <c r="N42" i="58"/>
  <c r="N43" i="58"/>
  <c r="N43" i="59"/>
  <c r="N43" i="69"/>
  <c r="N88" i="69" s="1"/>
  <c r="N19" i="58"/>
  <c r="N19" i="59"/>
  <c r="N19" i="69"/>
  <c r="N64" i="69" s="1"/>
  <c r="N10" i="58"/>
  <c r="N10" i="69" s="1"/>
  <c r="N55" i="69" s="1"/>
  <c r="N10" i="59"/>
  <c r="AD9" i="68"/>
  <c r="AD65" i="68" s="1"/>
  <c r="AD41" i="68"/>
  <c r="AD97" i="68" s="1"/>
  <c r="AH52" i="54"/>
  <c r="AD52" i="68" s="1"/>
  <c r="AD108" i="68" s="1"/>
  <c r="AH8" i="54"/>
  <c r="AD8" i="68" s="1"/>
  <c r="AD64" i="68" s="1"/>
  <c r="AH5" i="54"/>
  <c r="AH55" i="54"/>
  <c r="AD55" i="68" s="1"/>
  <c r="AD111" i="68" s="1"/>
  <c r="AH28" i="54"/>
  <c r="AD28" i="68" s="1"/>
  <c r="AD84" i="68" s="1"/>
  <c r="AH17" i="54"/>
  <c r="AD17" i="68" s="1"/>
  <c r="AD73" i="68" s="1"/>
  <c r="AH23" i="54"/>
  <c r="AD23" i="68" s="1"/>
  <c r="AD79" i="68" s="1"/>
  <c r="AH54" i="54"/>
  <c r="AD54" i="68" s="1"/>
  <c r="AD110" i="68" s="1"/>
  <c r="AH43" i="54"/>
  <c r="AD43" i="68" s="1"/>
  <c r="AD99" i="68" s="1"/>
  <c r="AH21" i="54"/>
  <c r="AD21" i="68" s="1"/>
  <c r="AD77" i="68" s="1"/>
  <c r="AH45" i="54"/>
  <c r="AD45" i="68" s="1"/>
  <c r="AD101" i="68" s="1"/>
  <c r="AH51" i="54"/>
  <c r="AD51" i="68" s="1"/>
  <c r="AD107" i="68" s="1"/>
  <c r="U46" i="59"/>
  <c r="S9" i="58"/>
  <c r="Q9" i="69"/>
  <c r="Q54" i="69" s="1"/>
  <c r="M12" i="54"/>
  <c r="M12" i="55"/>
  <c r="AC14" i="54"/>
  <c r="AC25" i="54"/>
  <c r="AC53" i="54"/>
  <c r="AA43" i="58"/>
  <c r="V43" i="69"/>
  <c r="V88" i="69" s="1"/>
  <c r="AA34" i="58"/>
  <c r="V34" i="69"/>
  <c r="V79" i="69" s="1"/>
  <c r="AA41" i="58"/>
  <c r="V41" i="69"/>
  <c r="V86" i="69" s="1"/>
  <c r="AI25" i="54"/>
  <c r="AE25" i="68" s="1"/>
  <c r="AE81" i="68" s="1"/>
  <c r="W7" i="54"/>
  <c r="V7" i="68" s="1"/>
  <c r="V63" i="68" s="1"/>
  <c r="W55" i="54"/>
  <c r="V55" i="68" s="1"/>
  <c r="V111" i="68" s="1"/>
  <c r="M15" i="69"/>
  <c r="M60" i="69" s="1"/>
  <c r="M31" i="69"/>
  <c r="M76" i="69" s="1"/>
  <c r="M44" i="69"/>
  <c r="M89" i="69" s="1"/>
  <c r="R22" i="69"/>
  <c r="R67" i="69" s="1"/>
  <c r="T7" i="69"/>
  <c r="T52" i="69" s="1"/>
  <c r="J7" i="71" s="1"/>
  <c r="J13" i="71" s="1"/>
  <c r="AH19" i="54"/>
  <c r="AD19" i="68" s="1"/>
  <c r="AD75" i="68" s="1"/>
  <c r="X52" i="54"/>
  <c r="W52" i="68" s="1"/>
  <c r="W108" i="68" s="1"/>
  <c r="X31" i="54"/>
  <c r="W31" i="68" s="1"/>
  <c r="W87" i="68" s="1"/>
  <c r="X55" i="54"/>
  <c r="W55" i="68" s="1"/>
  <c r="W111" i="68" s="1"/>
  <c r="W26" i="59"/>
  <c r="AH49" i="54"/>
  <c r="AD49" i="68" s="1"/>
  <c r="AD105" i="68" s="1"/>
  <c r="AC44" i="54"/>
  <c r="AC6" i="54"/>
  <c r="AC8" i="54"/>
  <c r="AI48" i="54"/>
  <c r="AE48" i="68" s="1"/>
  <c r="AE104" i="68" s="1"/>
  <c r="W16" i="58"/>
  <c r="T16" i="69"/>
  <c r="T61" i="69" s="1"/>
  <c r="T10" i="69"/>
  <c r="T55" i="69" s="1"/>
  <c r="L37" i="54"/>
  <c r="L37" i="68" s="1"/>
  <c r="L93" i="68" s="1"/>
  <c r="P16" i="54"/>
  <c r="P16" i="68" s="1"/>
  <c r="P72" i="68" s="1"/>
  <c r="P26" i="54"/>
  <c r="P43" i="54"/>
  <c r="P43" i="68" s="1"/>
  <c r="P99" i="68" s="1"/>
  <c r="P24" i="54"/>
  <c r="P24" i="68" s="1"/>
  <c r="P80" i="68" s="1"/>
  <c r="O34" i="54"/>
  <c r="O34" i="68" s="1"/>
  <c r="O90" i="68" s="1"/>
  <c r="O16" i="54"/>
  <c r="O16" i="68" s="1"/>
  <c r="O72" i="68" s="1"/>
  <c r="O31" i="54"/>
  <c r="O31" i="68" s="1"/>
  <c r="O87" i="68" s="1"/>
  <c r="O26" i="54"/>
  <c r="O26" i="68" s="1"/>
  <c r="O82" i="68" s="1"/>
  <c r="O6" i="54"/>
  <c r="O6" i="68" s="1"/>
  <c r="O62" i="68" s="1"/>
  <c r="W5" i="59"/>
  <c r="T46" i="59"/>
  <c r="W27" i="58"/>
  <c r="R27" i="69"/>
  <c r="R72" i="69" s="1"/>
  <c r="R40" i="69"/>
  <c r="R85" i="69" s="1"/>
  <c r="W39" i="58"/>
  <c r="R39" i="69"/>
  <c r="R84" i="69" s="1"/>
  <c r="W31" i="59"/>
  <c r="W8" i="58"/>
  <c r="R8" i="69"/>
  <c r="R53" i="69" s="1"/>
  <c r="R24" i="69"/>
  <c r="R69" i="69" s="1"/>
  <c r="W32" i="59"/>
  <c r="P27" i="58"/>
  <c r="P27" i="69" s="1"/>
  <c r="P72" i="69" s="1"/>
  <c r="P27" i="59"/>
  <c r="P5" i="58"/>
  <c r="P5" i="59"/>
  <c r="P46" i="59" s="1"/>
  <c r="P46" i="57"/>
  <c r="P38" i="59"/>
  <c r="P38" i="58"/>
  <c r="P38" i="69" s="1"/>
  <c r="P83" i="69" s="1"/>
  <c r="P30" i="59"/>
  <c r="P30" i="58"/>
  <c r="P12" i="59"/>
  <c r="P12" i="58"/>
  <c r="P12" i="69" s="1"/>
  <c r="P57" i="69" s="1"/>
  <c r="P43" i="58"/>
  <c r="P43" i="69" s="1"/>
  <c r="P88" i="69" s="1"/>
  <c r="P43" i="59"/>
  <c r="P19" i="58"/>
  <c r="P19" i="69" s="1"/>
  <c r="P64" i="69" s="1"/>
  <c r="P19" i="59"/>
  <c r="P28" i="58"/>
  <c r="P28" i="59"/>
  <c r="P28" i="69"/>
  <c r="P73" i="69" s="1"/>
  <c r="P20" i="58"/>
  <c r="P20" i="59"/>
  <c r="P20" i="69"/>
  <c r="P65" i="69" s="1"/>
  <c r="P7" i="58"/>
  <c r="P7" i="69" s="1"/>
  <c r="P52" i="69" s="1"/>
  <c r="P7" i="59"/>
  <c r="M40" i="55"/>
  <c r="M40" i="54"/>
  <c r="M40" i="68" s="1"/>
  <c r="M96" i="68" s="1"/>
  <c r="M13" i="55"/>
  <c r="M13" i="54"/>
  <c r="M19" i="55"/>
  <c r="M19" i="54"/>
  <c r="M19" i="68" s="1"/>
  <c r="M75" i="68" s="1"/>
  <c r="AH18" i="54"/>
  <c r="AD18" i="68" s="1"/>
  <c r="AD74" i="68" s="1"/>
  <c r="AH35" i="54"/>
  <c r="AD35" i="68" s="1"/>
  <c r="AD91" i="68" s="1"/>
  <c r="Q17" i="54"/>
  <c r="Q17" i="68" s="1"/>
  <c r="Q73" i="68" s="1"/>
  <c r="Q21" i="54"/>
  <c r="Q21" i="68" s="1"/>
  <c r="Q77" i="68" s="1"/>
  <c r="Q25" i="54"/>
  <c r="Q25" i="68" s="1"/>
  <c r="Q81" i="68" s="1"/>
  <c r="Q49" i="54"/>
  <c r="Q49" i="68" s="1"/>
  <c r="Q105" i="68" s="1"/>
  <c r="Q52" i="54"/>
  <c r="Q52" i="68" s="1"/>
  <c r="Q108" i="68" s="1"/>
  <c r="Q40" i="54"/>
  <c r="Q40" i="68" s="1"/>
  <c r="Q96" i="68" s="1"/>
  <c r="Q44" i="54"/>
  <c r="Q44" i="68" s="1"/>
  <c r="Q100" i="68" s="1"/>
  <c r="S5" i="59"/>
  <c r="S46" i="59" s="1"/>
  <c r="R46" i="59"/>
  <c r="S39" i="58"/>
  <c r="Q39" i="69"/>
  <c r="Q84" i="69" s="1"/>
  <c r="S15" i="58"/>
  <c r="Q15" i="69"/>
  <c r="Q60" i="69" s="1"/>
  <c r="S40" i="58"/>
  <c r="Q40" i="69"/>
  <c r="Q85" i="69" s="1"/>
  <c r="AC45" i="54"/>
  <c r="AC57" i="55"/>
  <c r="AD5" i="55"/>
  <c r="AD57" i="55" s="1"/>
  <c r="AC12" i="54"/>
  <c r="AC34" i="54"/>
  <c r="AA27" i="58"/>
  <c r="V27" i="69"/>
  <c r="V72" i="69" s="1"/>
  <c r="AA18" i="58"/>
  <c r="V18" i="69"/>
  <c r="V63" i="69" s="1"/>
  <c r="AI19" i="54"/>
  <c r="AE19" i="68" s="1"/>
  <c r="AE75" i="68" s="1"/>
  <c r="AI41" i="54"/>
  <c r="AE41" i="68" s="1"/>
  <c r="AE97" i="68" s="1"/>
  <c r="AI57" i="55"/>
  <c r="Y12" i="55"/>
  <c r="Y20" i="55"/>
  <c r="Y20" i="54"/>
  <c r="Y25" i="55"/>
  <c r="Y54" i="55"/>
  <c r="Y54" i="54"/>
  <c r="Y22" i="55"/>
  <c r="Y22" i="54"/>
  <c r="X22" i="68" s="1"/>
  <c r="X78" i="68" s="1"/>
  <c r="Y42" i="55"/>
  <c r="Y34" i="55"/>
  <c r="Y57" i="53"/>
  <c r="Y62" i="53" s="1"/>
  <c r="Y24" i="54" s="1"/>
  <c r="X24" i="68" s="1"/>
  <c r="X80" i="68" s="1"/>
  <c r="Y5" i="55"/>
  <c r="Y36" i="54"/>
  <c r="X36" i="68" s="1"/>
  <c r="X92" i="68" s="1"/>
  <c r="Y36" i="55"/>
  <c r="Y53" i="55"/>
  <c r="Y37" i="55"/>
  <c r="Y37" i="54"/>
  <c r="X37" i="68" s="1"/>
  <c r="X93" i="68" s="1"/>
  <c r="Y8" i="55"/>
  <c r="Y23" i="55"/>
  <c r="Y23" i="54"/>
  <c r="X23" i="68" s="1"/>
  <c r="X79" i="68" s="1"/>
  <c r="O7" i="58"/>
  <c r="O7" i="69" s="1"/>
  <c r="O52" i="69" s="1"/>
  <c r="O7" i="59"/>
  <c r="O25" i="58"/>
  <c r="O25" i="59"/>
  <c r="O25" i="69"/>
  <c r="O70" i="69" s="1"/>
  <c r="O6" i="58"/>
  <c r="O6" i="59"/>
  <c r="O6" i="69"/>
  <c r="O51" i="69" s="1"/>
  <c r="O39" i="58"/>
  <c r="O39" i="69" s="1"/>
  <c r="O84" i="69" s="1"/>
  <c r="O39" i="59"/>
  <c r="O46" i="57"/>
  <c r="O5" i="59"/>
  <c r="O5" i="58"/>
  <c r="O46" i="58" s="1"/>
  <c r="O32" i="58"/>
  <c r="O32" i="59"/>
  <c r="O32" i="69"/>
  <c r="O77" i="69" s="1"/>
  <c r="O10" i="58"/>
  <c r="O10" i="59"/>
  <c r="O10" i="69"/>
  <c r="O55" i="69" s="1"/>
  <c r="O42" i="59"/>
  <c r="O42" i="58"/>
  <c r="O42" i="69" s="1"/>
  <c r="O87" i="69" s="1"/>
  <c r="O17" i="58"/>
  <c r="O17" i="69" s="1"/>
  <c r="O62" i="69" s="1"/>
  <c r="O17" i="59"/>
  <c r="O12" i="59"/>
  <c r="O12" i="58"/>
  <c r="O12" i="69"/>
  <c r="O57" i="69" s="1"/>
  <c r="W15" i="54"/>
  <c r="V15" i="68" s="1"/>
  <c r="V71" i="68" s="1"/>
  <c r="X24" i="54"/>
  <c r="W24" i="68" s="1"/>
  <c r="W80" i="68" s="1"/>
  <c r="X9" i="54"/>
  <c r="W9" i="68" s="1"/>
  <c r="W65" i="68" s="1"/>
  <c r="V46" i="59"/>
  <c r="T33" i="69"/>
  <c r="T78" i="69" s="1"/>
  <c r="L6" i="54"/>
  <c r="L6" i="68" s="1"/>
  <c r="L62" i="68" s="1"/>
  <c r="L32" i="54"/>
  <c r="L32" i="68" s="1"/>
  <c r="L88" i="68" s="1"/>
  <c r="P49" i="54"/>
  <c r="P49" i="68" s="1"/>
  <c r="P105" i="68" s="1"/>
  <c r="P17" i="54"/>
  <c r="P17" i="68" s="1"/>
  <c r="P73" i="68" s="1"/>
  <c r="W19" i="59"/>
  <c r="W6" i="59"/>
  <c r="U39" i="54"/>
  <c r="T39" i="68" s="1"/>
  <c r="T95" i="68" s="1"/>
  <c r="AH31" i="54"/>
  <c r="AD31" i="68" s="1"/>
  <c r="AD87" i="68" s="1"/>
  <c r="Q7" i="54"/>
  <c r="Q7" i="68" s="1"/>
  <c r="Q63" i="68" s="1"/>
  <c r="Q26" i="54"/>
  <c r="Q26" i="68" s="1"/>
  <c r="Q82" i="68" s="1"/>
  <c r="AC54" i="54"/>
  <c r="R26" i="69"/>
  <c r="R71" i="69" s="1"/>
  <c r="Q23" i="69"/>
  <c r="Q68" i="69" s="1"/>
  <c r="E42" i="5"/>
  <c r="E21" i="5"/>
  <c r="T62" i="52"/>
  <c r="T60" i="55"/>
  <c r="T60" i="54"/>
  <c r="T60" i="53"/>
  <c r="T61" i="52"/>
  <c r="T59" i="55"/>
  <c r="T59" i="54"/>
  <c r="T59" i="53"/>
  <c r="Q48" i="59"/>
  <c r="Q48" i="58"/>
  <c r="Q48" i="57"/>
  <c r="Q48" i="56"/>
  <c r="AM60" i="52"/>
  <c r="AM58" i="55"/>
  <c r="AM58" i="53"/>
  <c r="AM58" i="54" s="1"/>
  <c r="AB49" i="59"/>
  <c r="AB49" i="58"/>
  <c r="AB49" i="57"/>
  <c r="AB49" i="56"/>
  <c r="L12" i="57"/>
  <c r="L8" i="57"/>
  <c r="L11" i="57"/>
  <c r="L7" i="57"/>
  <c r="L18" i="57"/>
  <c r="L10" i="57"/>
  <c r="L6" i="57"/>
  <c r="L13" i="57"/>
  <c r="L9" i="57"/>
  <c r="L5" i="57"/>
  <c r="L27" i="57"/>
  <c r="L43" i="57"/>
  <c r="L24" i="57"/>
  <c r="L40" i="57"/>
  <c r="L25" i="57"/>
  <c r="L41" i="57"/>
  <c r="L22" i="57"/>
  <c r="L38" i="57"/>
  <c r="L14" i="57"/>
  <c r="L31" i="57"/>
  <c r="L28" i="57"/>
  <c r="L44" i="57"/>
  <c r="L29" i="57"/>
  <c r="L26" i="57"/>
  <c r="L42" i="57"/>
  <c r="L19" i="57"/>
  <c r="L35" i="57"/>
  <c r="L15" i="57"/>
  <c r="L32" i="57"/>
  <c r="L16" i="57"/>
  <c r="L33" i="57"/>
  <c r="L30" i="57"/>
  <c r="L23" i="57"/>
  <c r="L39" i="57"/>
  <c r="L20" i="57"/>
  <c r="L36" i="57"/>
  <c r="L21" i="57"/>
  <c r="L37" i="57"/>
  <c r="L17" i="57"/>
  <c r="L34" i="57"/>
  <c r="F29" i="5"/>
  <c r="F47" i="5"/>
  <c r="AD44" i="54" l="1"/>
  <c r="AA44" i="68"/>
  <c r="AA100" i="68" s="1"/>
  <c r="AE5" i="68"/>
  <c r="AE61" i="68" s="1"/>
  <c r="AI57" i="54"/>
  <c r="AD40" i="54"/>
  <c r="AA40" i="68"/>
  <c r="AA96" i="68" s="1"/>
  <c r="AA46" i="58"/>
  <c r="C7" i="71"/>
  <c r="C13" i="71" s="1"/>
  <c r="V41" i="55"/>
  <c r="AB41" i="55" s="1"/>
  <c r="AB41" i="53"/>
  <c r="V23" i="55"/>
  <c r="AB23" i="55" s="1"/>
  <c r="V23" i="54"/>
  <c r="AB23" i="54" s="1"/>
  <c r="AB23" i="53"/>
  <c r="V10" i="55"/>
  <c r="AB10" i="55" s="1"/>
  <c r="AB10" i="53"/>
  <c r="AB46" i="53"/>
  <c r="V46" i="55"/>
  <c r="AB46" i="55" s="1"/>
  <c r="V46" i="54"/>
  <c r="U46" i="68" s="1"/>
  <c r="U102" i="68" s="1"/>
  <c r="V29" i="55"/>
  <c r="AB29" i="55" s="1"/>
  <c r="AB29" i="53"/>
  <c r="O46" i="59"/>
  <c r="Y57" i="55"/>
  <c r="P5" i="69"/>
  <c r="P50" i="69" s="1"/>
  <c r="P46" i="58"/>
  <c r="AA53" i="68"/>
  <c r="AA109" i="68" s="1"/>
  <c r="AD53" i="54"/>
  <c r="M12" i="68"/>
  <c r="M68" i="68" s="1"/>
  <c r="T5" i="68"/>
  <c r="T61" i="68" s="1"/>
  <c r="U57" i="54"/>
  <c r="T16" i="68"/>
  <c r="T72" i="68" s="1"/>
  <c r="AA50" i="68"/>
  <c r="AA106" i="68" s="1"/>
  <c r="AD50" i="54"/>
  <c r="Y45" i="54"/>
  <c r="X45" i="68" s="1"/>
  <c r="X101" i="68" s="1"/>
  <c r="O24" i="69"/>
  <c r="O69" i="69" s="1"/>
  <c r="O31" i="69"/>
  <c r="O76" i="69" s="1"/>
  <c r="AD39" i="54"/>
  <c r="AA39" i="68"/>
  <c r="AA95" i="68" s="1"/>
  <c r="G11" i="71"/>
  <c r="G7" i="71"/>
  <c r="G13" i="71" s="1"/>
  <c r="G9" i="71"/>
  <c r="P36" i="69"/>
  <c r="P81" i="69" s="1"/>
  <c r="AD23" i="54"/>
  <c r="AA23" i="68"/>
  <c r="AA79" i="68" s="1"/>
  <c r="AD17" i="54"/>
  <c r="AA17" i="68"/>
  <c r="AA73" i="68" s="1"/>
  <c r="N22" i="69"/>
  <c r="N67" i="69" s="1"/>
  <c r="AA11" i="68"/>
  <c r="AA67" i="68" s="1"/>
  <c r="AD11" i="54"/>
  <c r="S17" i="54"/>
  <c r="S49" i="54"/>
  <c r="S13" i="54"/>
  <c r="S32" i="54"/>
  <c r="S34" i="54"/>
  <c r="S5" i="54"/>
  <c r="S22" i="54"/>
  <c r="S12" i="54"/>
  <c r="S18" i="54"/>
  <c r="S42" i="54"/>
  <c r="S44" i="54"/>
  <c r="S25" i="54"/>
  <c r="S52" i="54"/>
  <c r="S21" i="54"/>
  <c r="S19" i="54"/>
  <c r="S53" i="54"/>
  <c r="S40" i="54"/>
  <c r="S33" i="54"/>
  <c r="S11" i="54"/>
  <c r="S41" i="54"/>
  <c r="S16" i="54"/>
  <c r="S29" i="54"/>
  <c r="S30" i="54"/>
  <c r="S10" i="54"/>
  <c r="S7" i="54"/>
  <c r="S45" i="54"/>
  <c r="S39" i="54"/>
  <c r="S14" i="54"/>
  <c r="S38" i="54"/>
  <c r="S24" i="54"/>
  <c r="S51" i="54"/>
  <c r="S54" i="54"/>
  <c r="S55" i="54"/>
  <c r="S6" i="54"/>
  <c r="S27" i="54"/>
  <c r="S28" i="54"/>
  <c r="S36" i="54"/>
  <c r="S31" i="54"/>
  <c r="S48" i="54"/>
  <c r="S9" i="54"/>
  <c r="S46" i="54"/>
  <c r="S43" i="54"/>
  <c r="S8" i="54"/>
  <c r="S26" i="54"/>
  <c r="S50" i="54"/>
  <c r="S37" i="54"/>
  <c r="S47" i="54"/>
  <c r="S35" i="54"/>
  <c r="S23" i="54"/>
  <c r="S15" i="54"/>
  <c r="S20" i="54"/>
  <c r="F11" i="70"/>
  <c r="F9" i="70"/>
  <c r="F7" i="70"/>
  <c r="F13" i="70" s="1"/>
  <c r="L7" i="70"/>
  <c r="L13" i="70" s="1"/>
  <c r="AD31" i="54"/>
  <c r="AA31" i="68"/>
  <c r="AA87" i="68" s="1"/>
  <c r="M25" i="68"/>
  <c r="M81" i="68" s="1"/>
  <c r="N29" i="69"/>
  <c r="N74" i="69" s="1"/>
  <c r="M21" i="68"/>
  <c r="M77" i="68" s="1"/>
  <c r="M7" i="70"/>
  <c r="M13" i="70" s="1"/>
  <c r="M11" i="70"/>
  <c r="M9" i="70"/>
  <c r="O37" i="69"/>
  <c r="O82" i="69" s="1"/>
  <c r="O35" i="69"/>
  <c r="O80" i="69" s="1"/>
  <c r="Y49" i="54"/>
  <c r="X49" i="68" s="1"/>
  <c r="X105" i="68" s="1"/>
  <c r="Y55" i="54"/>
  <c r="X55" i="68" s="1"/>
  <c r="X111" i="68" s="1"/>
  <c r="AA41" i="68"/>
  <c r="AA97" i="68" s="1"/>
  <c r="AD41" i="54"/>
  <c r="M22" i="54"/>
  <c r="M22" i="68" s="1"/>
  <c r="M78" i="68" s="1"/>
  <c r="M54" i="54"/>
  <c r="M54" i="68" s="1"/>
  <c r="M110" i="68" s="1"/>
  <c r="M41" i="54"/>
  <c r="M41" i="68" s="1"/>
  <c r="M97" i="68" s="1"/>
  <c r="M38" i="54"/>
  <c r="M38" i="68" s="1"/>
  <c r="M94" i="68" s="1"/>
  <c r="M39" i="54"/>
  <c r="M39" i="68" s="1"/>
  <c r="M95" i="68" s="1"/>
  <c r="M11" i="54"/>
  <c r="M11" i="68" s="1"/>
  <c r="M67" i="68" s="1"/>
  <c r="M23" i="54"/>
  <c r="M23" i="68" s="1"/>
  <c r="M79" i="68" s="1"/>
  <c r="M18" i="54"/>
  <c r="M18" i="68" s="1"/>
  <c r="M74" i="68" s="1"/>
  <c r="M44" i="54"/>
  <c r="M44" i="68" s="1"/>
  <c r="M100" i="68" s="1"/>
  <c r="M31" i="54"/>
  <c r="M31" i="68" s="1"/>
  <c r="M87" i="68" s="1"/>
  <c r="M50" i="54"/>
  <c r="M50" i="68" s="1"/>
  <c r="M106" i="68" s="1"/>
  <c r="M16" i="54"/>
  <c r="M16" i="68" s="1"/>
  <c r="M72" i="68" s="1"/>
  <c r="M15" i="54"/>
  <c r="M15" i="68" s="1"/>
  <c r="M71" i="68" s="1"/>
  <c r="M55" i="54"/>
  <c r="M55" i="68" s="1"/>
  <c r="M111" i="68" s="1"/>
  <c r="M32" i="54"/>
  <c r="M32" i="68" s="1"/>
  <c r="M88" i="68" s="1"/>
  <c r="M36" i="54"/>
  <c r="M36" i="68" s="1"/>
  <c r="M92" i="68" s="1"/>
  <c r="M43" i="54"/>
  <c r="M43" i="68" s="1"/>
  <c r="M99" i="68" s="1"/>
  <c r="M48" i="54"/>
  <c r="M48" i="68" s="1"/>
  <c r="M104" i="68" s="1"/>
  <c r="M26" i="54"/>
  <c r="M26" i="68" s="1"/>
  <c r="M82" i="68" s="1"/>
  <c r="P9" i="69"/>
  <c r="P54" i="69" s="1"/>
  <c r="P23" i="69"/>
  <c r="P68" i="69" s="1"/>
  <c r="AD10" i="54"/>
  <c r="AA10" i="68"/>
  <c r="AA66" i="68" s="1"/>
  <c r="AA46" i="68"/>
  <c r="AA102" i="68" s="1"/>
  <c r="AD46" i="54"/>
  <c r="N21" i="69"/>
  <c r="N66" i="69" s="1"/>
  <c r="N20" i="69"/>
  <c r="N65" i="69" s="1"/>
  <c r="N13" i="69"/>
  <c r="N58" i="69" s="1"/>
  <c r="N40" i="69"/>
  <c r="N85" i="69" s="1"/>
  <c r="AA51" i="68"/>
  <c r="AA107" i="68" s="1"/>
  <c r="AD51" i="54"/>
  <c r="V18" i="55"/>
  <c r="AB18" i="55" s="1"/>
  <c r="AB18" i="53"/>
  <c r="V18" i="54"/>
  <c r="V47" i="55"/>
  <c r="AB47" i="55" s="1"/>
  <c r="AB47" i="53"/>
  <c r="V33" i="55"/>
  <c r="AB33" i="55" s="1"/>
  <c r="AB33" i="53"/>
  <c r="V43" i="55"/>
  <c r="AB43" i="55" s="1"/>
  <c r="AB43" i="53"/>
  <c r="V19" i="55"/>
  <c r="AB19" i="55" s="1"/>
  <c r="AB19" i="53"/>
  <c r="V32" i="55"/>
  <c r="AB32" i="55" s="1"/>
  <c r="V32" i="54"/>
  <c r="AB32" i="53"/>
  <c r="AB5" i="53"/>
  <c r="V57" i="53"/>
  <c r="V62" i="53" s="1"/>
  <c r="V55" i="54" s="1"/>
  <c r="V5" i="55"/>
  <c r="AB22" i="53"/>
  <c r="V22" i="55"/>
  <c r="AB22" i="55" s="1"/>
  <c r="V22" i="54"/>
  <c r="V37" i="55"/>
  <c r="AB37" i="55" s="1"/>
  <c r="AB37" i="53"/>
  <c r="V39" i="55"/>
  <c r="AB39" i="55" s="1"/>
  <c r="AB39" i="53"/>
  <c r="V39" i="54"/>
  <c r="U39" i="68" s="1"/>
  <c r="U95" i="68" s="1"/>
  <c r="V31" i="55"/>
  <c r="AB31" i="55" s="1"/>
  <c r="AB31" i="53"/>
  <c r="AB6" i="53"/>
  <c r="V6" i="55"/>
  <c r="AB6" i="55" s="1"/>
  <c r="AD49" i="54"/>
  <c r="AA49" i="68"/>
  <c r="AA105" i="68" s="1"/>
  <c r="H11" i="71"/>
  <c r="H9" i="71"/>
  <c r="H7" i="71"/>
  <c r="H13" i="71" s="1"/>
  <c r="M51" i="54"/>
  <c r="M51" i="68" s="1"/>
  <c r="M107" i="68" s="1"/>
  <c r="AD18" i="54"/>
  <c r="AA18" i="68"/>
  <c r="AA74" i="68" s="1"/>
  <c r="AA27" i="68"/>
  <c r="AA83" i="68" s="1"/>
  <c r="AD27" i="54"/>
  <c r="R41" i="54"/>
  <c r="R41" i="68" s="1"/>
  <c r="R97" i="68" s="1"/>
  <c r="R16" i="54"/>
  <c r="R16" i="68" s="1"/>
  <c r="R72" i="68" s="1"/>
  <c r="R29" i="54"/>
  <c r="R29" i="68" s="1"/>
  <c r="R85" i="68" s="1"/>
  <c r="R11" i="54"/>
  <c r="R11" i="68" s="1"/>
  <c r="R67" i="68" s="1"/>
  <c r="R30" i="54"/>
  <c r="R39" i="54"/>
  <c r="R39" i="68" s="1"/>
  <c r="R95" i="68" s="1"/>
  <c r="R14" i="54"/>
  <c r="R14" i="68" s="1"/>
  <c r="R70" i="68" s="1"/>
  <c r="R53" i="54"/>
  <c r="R53" i="68" s="1"/>
  <c r="R109" i="68" s="1"/>
  <c r="R40" i="54"/>
  <c r="R40" i="68" s="1"/>
  <c r="R96" i="68" s="1"/>
  <c r="R34" i="54"/>
  <c r="R34" i="68" s="1"/>
  <c r="R90" i="68" s="1"/>
  <c r="R5" i="54"/>
  <c r="R18" i="54"/>
  <c r="R18" i="68" s="1"/>
  <c r="R74" i="68" s="1"/>
  <c r="R55" i="54"/>
  <c r="R55" i="68" s="1"/>
  <c r="R111" i="68" s="1"/>
  <c r="R38" i="54"/>
  <c r="R38" i="68" s="1"/>
  <c r="R94" i="68" s="1"/>
  <c r="R27" i="54"/>
  <c r="R45" i="54"/>
  <c r="R45" i="68" s="1"/>
  <c r="R101" i="68" s="1"/>
  <c r="R13" i="54"/>
  <c r="R13" i="68" s="1"/>
  <c r="R69" i="68" s="1"/>
  <c r="R52" i="54"/>
  <c r="R52" i="68" s="1"/>
  <c r="R108" i="68" s="1"/>
  <c r="R21" i="54"/>
  <c r="R21" i="68" s="1"/>
  <c r="R77" i="68" s="1"/>
  <c r="R25" i="54"/>
  <c r="R42" i="54"/>
  <c r="R42" i="68" s="1"/>
  <c r="R98" i="68" s="1"/>
  <c r="R51" i="54"/>
  <c r="R51" i="68" s="1"/>
  <c r="R107" i="68" s="1"/>
  <c r="R54" i="54"/>
  <c r="R54" i="68" s="1"/>
  <c r="R110" i="68" s="1"/>
  <c r="R6" i="54"/>
  <c r="R6" i="68" s="1"/>
  <c r="R62" i="68" s="1"/>
  <c r="R24" i="54"/>
  <c r="R24" i="68" s="1"/>
  <c r="R80" i="68" s="1"/>
  <c r="R7" i="54"/>
  <c r="R7" i="68" s="1"/>
  <c r="R63" i="68" s="1"/>
  <c r="R46" i="54"/>
  <c r="R46" i="68" s="1"/>
  <c r="R102" i="68" s="1"/>
  <c r="R49" i="54"/>
  <c r="R49" i="68" s="1"/>
  <c r="R105" i="68" s="1"/>
  <c r="R36" i="54"/>
  <c r="R36" i="68" s="1"/>
  <c r="R92" i="68" s="1"/>
  <c r="R35" i="54"/>
  <c r="R35" i="68" s="1"/>
  <c r="R91" i="68" s="1"/>
  <c r="R22" i="54"/>
  <c r="R22" i="68" s="1"/>
  <c r="R78" i="68" s="1"/>
  <c r="R12" i="54"/>
  <c r="R12" i="68" s="1"/>
  <c r="R68" i="68" s="1"/>
  <c r="R32" i="54"/>
  <c r="R47" i="54"/>
  <c r="R47" i="68" s="1"/>
  <c r="R103" i="68" s="1"/>
  <c r="R8" i="54"/>
  <c r="R8" i="68" s="1"/>
  <c r="R64" i="68" s="1"/>
  <c r="R17" i="54"/>
  <c r="R17" i="68" s="1"/>
  <c r="R73" i="68" s="1"/>
  <c r="R9" i="54"/>
  <c r="R9" i="68" s="1"/>
  <c r="R65" i="68" s="1"/>
  <c r="R48" i="54"/>
  <c r="R48" i="68" s="1"/>
  <c r="R104" i="68" s="1"/>
  <c r="R28" i="54"/>
  <c r="R33" i="54"/>
  <c r="R26" i="54"/>
  <c r="R23" i="54"/>
  <c r="R23" i="68" s="1"/>
  <c r="R79" i="68" s="1"/>
  <c r="R43" i="54"/>
  <c r="R43" i="68" s="1"/>
  <c r="R99" i="68" s="1"/>
  <c r="R20" i="54"/>
  <c r="R20" i="68" s="1"/>
  <c r="R76" i="68" s="1"/>
  <c r="R50" i="54"/>
  <c r="R50" i="68" s="1"/>
  <c r="R106" i="68" s="1"/>
  <c r="R15" i="54"/>
  <c r="R15" i="68" s="1"/>
  <c r="R71" i="68" s="1"/>
  <c r="R37" i="54"/>
  <c r="R37" i="68" s="1"/>
  <c r="R93" i="68" s="1"/>
  <c r="R44" i="54"/>
  <c r="R44" i="68" s="1"/>
  <c r="R100" i="68" s="1"/>
  <c r="R31" i="54"/>
  <c r="R10" i="54"/>
  <c r="R10" i="68" s="1"/>
  <c r="R66" i="68" s="1"/>
  <c r="R19" i="54"/>
  <c r="R19" i="68" s="1"/>
  <c r="R75" i="68" s="1"/>
  <c r="AD28" i="54"/>
  <c r="AA28" i="68"/>
  <c r="AA84" i="68" s="1"/>
  <c r="M57" i="55"/>
  <c r="AD55" i="54"/>
  <c r="AA55" i="68"/>
  <c r="AA111" i="68" s="1"/>
  <c r="AD36" i="54"/>
  <c r="AA36" i="68"/>
  <c r="AA92" i="68" s="1"/>
  <c r="AB34" i="53"/>
  <c r="V34" i="55"/>
  <c r="AB34" i="55" s="1"/>
  <c r="V34" i="54"/>
  <c r="V44" i="54"/>
  <c r="V44" i="55"/>
  <c r="AB44" i="55" s="1"/>
  <c r="AB44" i="53"/>
  <c r="U44" i="68"/>
  <c r="U100" i="68" s="1"/>
  <c r="V26" i="55"/>
  <c r="AB26" i="55" s="1"/>
  <c r="AB26" i="53"/>
  <c r="V26" i="54"/>
  <c r="V45" i="55"/>
  <c r="AB45" i="55" s="1"/>
  <c r="AB45" i="53"/>
  <c r="V45" i="54"/>
  <c r="AB7" i="53"/>
  <c r="V7" i="55"/>
  <c r="AB7" i="55" s="1"/>
  <c r="V7" i="54"/>
  <c r="Y9" i="54"/>
  <c r="X9" i="68" s="1"/>
  <c r="X65" i="68" s="1"/>
  <c r="Y5" i="54"/>
  <c r="Y42" i="54"/>
  <c r="X42" i="68" s="1"/>
  <c r="X98" i="68" s="1"/>
  <c r="Y11" i="54"/>
  <c r="X11" i="68" s="1"/>
  <c r="X67" i="68" s="1"/>
  <c r="Y41" i="54"/>
  <c r="X41" i="68" s="1"/>
  <c r="X97" i="68" s="1"/>
  <c r="Y27" i="54"/>
  <c r="X27" i="68" s="1"/>
  <c r="X83" i="68" s="1"/>
  <c r="Y18" i="54"/>
  <c r="X18" i="68" s="1"/>
  <c r="X74" i="68" s="1"/>
  <c r="Y38" i="54"/>
  <c r="X38" i="68" s="1"/>
  <c r="X94" i="68" s="1"/>
  <c r="Y30" i="54"/>
  <c r="X30" i="68" s="1"/>
  <c r="X86" i="68" s="1"/>
  <c r="Y8" i="54"/>
  <c r="X8" i="68" s="1"/>
  <c r="X64" i="68" s="1"/>
  <c r="Y35" i="54"/>
  <c r="X35" i="68" s="1"/>
  <c r="X91" i="68" s="1"/>
  <c r="Y14" i="54"/>
  <c r="X14" i="68" s="1"/>
  <c r="X70" i="68" s="1"/>
  <c r="Y28" i="54"/>
  <c r="X28" i="68" s="1"/>
  <c r="X84" i="68" s="1"/>
  <c r="Y29" i="54"/>
  <c r="X29" i="68" s="1"/>
  <c r="X85" i="68" s="1"/>
  <c r="Y53" i="54"/>
  <c r="X53" i="68" s="1"/>
  <c r="X109" i="68" s="1"/>
  <c r="Y34" i="54"/>
  <c r="X34" i="68" s="1"/>
  <c r="X90" i="68" s="1"/>
  <c r="Y6" i="54"/>
  <c r="X6" i="68" s="1"/>
  <c r="X62" i="68" s="1"/>
  <c r="Y25" i="54"/>
  <c r="X25" i="68" s="1"/>
  <c r="X81" i="68" s="1"/>
  <c r="Y12" i="54"/>
  <c r="X12" i="68" s="1"/>
  <c r="X68" i="68" s="1"/>
  <c r="AA34" i="68"/>
  <c r="AA90" i="68" s="1"/>
  <c r="AD34" i="54"/>
  <c r="AD45" i="54"/>
  <c r="AA45" i="68"/>
  <c r="AA101" i="68" s="1"/>
  <c r="M13" i="68"/>
  <c r="M69" i="68" s="1"/>
  <c r="AD8" i="54"/>
  <c r="AA8" i="68"/>
  <c r="AA64" i="68" s="1"/>
  <c r="AA25" i="68"/>
  <c r="AA81" i="68" s="1"/>
  <c r="AD25" i="54"/>
  <c r="AD5" i="68"/>
  <c r="AD61" i="68" s="1"/>
  <c r="AH57" i="54"/>
  <c r="N6" i="69"/>
  <c r="N51" i="69" s="1"/>
  <c r="N24" i="69"/>
  <c r="N69" i="69" s="1"/>
  <c r="N31" i="69"/>
  <c r="N76" i="69" s="1"/>
  <c r="T54" i="68"/>
  <c r="T110" i="68" s="1"/>
  <c r="AD20" i="54"/>
  <c r="AA20" i="68"/>
  <c r="AA76" i="68" s="1"/>
  <c r="M8" i="68"/>
  <c r="M64" i="68" s="1"/>
  <c r="Y26" i="54"/>
  <c r="X26" i="68" s="1"/>
  <c r="X82" i="68" s="1"/>
  <c r="Y39" i="54"/>
  <c r="X39" i="68" s="1"/>
  <c r="X95" i="68" s="1"/>
  <c r="Y10" i="54"/>
  <c r="X10" i="68" s="1"/>
  <c r="X66" i="68" s="1"/>
  <c r="M14" i="68"/>
  <c r="M70" i="68" s="1"/>
  <c r="M45" i="68"/>
  <c r="M101" i="68" s="1"/>
  <c r="O16" i="69"/>
  <c r="O61" i="69" s="1"/>
  <c r="Y33" i="54"/>
  <c r="X33" i="68" s="1"/>
  <c r="X89" i="68" s="1"/>
  <c r="AA43" i="68"/>
  <c r="AA99" i="68" s="1"/>
  <c r="AD43" i="54"/>
  <c r="M6" i="68"/>
  <c r="M62" i="68" s="1"/>
  <c r="N5" i="69"/>
  <c r="N50" i="69" s="1"/>
  <c r="N46" i="58"/>
  <c r="N23" i="69"/>
  <c r="N68" i="69" s="1"/>
  <c r="N27" i="69"/>
  <c r="N72" i="69" s="1"/>
  <c r="AD7" i="54"/>
  <c r="AA7" i="68"/>
  <c r="AA63" i="68" s="1"/>
  <c r="V5" i="68"/>
  <c r="V61" i="68" s="1"/>
  <c r="W57" i="54"/>
  <c r="M20" i="68"/>
  <c r="M76" i="68" s="1"/>
  <c r="L11" i="71"/>
  <c r="L7" i="71"/>
  <c r="L13" i="71" s="1"/>
  <c r="L9" i="71"/>
  <c r="O57" i="54"/>
  <c r="Y40" i="54"/>
  <c r="X40" i="68" s="1"/>
  <c r="X96" i="68" s="1"/>
  <c r="Y52" i="54"/>
  <c r="X52" i="68" s="1"/>
  <c r="X108" i="68" s="1"/>
  <c r="AA5" i="68"/>
  <c r="AA61" i="68" s="1"/>
  <c r="AD5" i="54"/>
  <c r="AC57" i="54"/>
  <c r="M9" i="68"/>
  <c r="M65" i="68" s="1"/>
  <c r="M29" i="54"/>
  <c r="M29" i="68" s="1"/>
  <c r="M85" i="68" s="1"/>
  <c r="AD16" i="54"/>
  <c r="AA16" i="68"/>
  <c r="AA72" i="68" s="1"/>
  <c r="AD42" i="54"/>
  <c r="AA42" i="68"/>
  <c r="AA98" i="68" s="1"/>
  <c r="N18" i="69"/>
  <c r="N63" i="69" s="1"/>
  <c r="L57" i="54"/>
  <c r="AD35" i="54"/>
  <c r="AA35" i="68"/>
  <c r="AA91" i="68" s="1"/>
  <c r="V38" i="54"/>
  <c r="AB38" i="54" s="1"/>
  <c r="V38" i="55"/>
  <c r="AB38" i="55" s="1"/>
  <c r="AB38" i="53"/>
  <c r="V21" i="55"/>
  <c r="AB21" i="55" s="1"/>
  <c r="AB21" i="53"/>
  <c r="V21" i="54"/>
  <c r="AB21" i="54" s="1"/>
  <c r="AB30" i="53"/>
  <c r="V30" i="55"/>
  <c r="AB30" i="55" s="1"/>
  <c r="V30" i="54"/>
  <c r="V25" i="55"/>
  <c r="AB25" i="55" s="1"/>
  <c r="AB25" i="53"/>
  <c r="V25" i="54"/>
  <c r="AB25" i="54" s="1"/>
  <c r="AB40" i="53"/>
  <c r="V40" i="54"/>
  <c r="V40" i="55"/>
  <c r="AB40" i="55" s="1"/>
  <c r="V52" i="55"/>
  <c r="AB52" i="55" s="1"/>
  <c r="AB52" i="53"/>
  <c r="V52" i="54"/>
  <c r="V51" i="55"/>
  <c r="AB51" i="55" s="1"/>
  <c r="AB51" i="53"/>
  <c r="V51" i="54"/>
  <c r="U51" i="68" s="1"/>
  <c r="U107" i="68" s="1"/>
  <c r="V15" i="55"/>
  <c r="AB15" i="55" s="1"/>
  <c r="AB15" i="53"/>
  <c r="V15" i="54"/>
  <c r="V24" i="55"/>
  <c r="AB24" i="55" s="1"/>
  <c r="AB24" i="53"/>
  <c r="V24" i="54"/>
  <c r="V13" i="55"/>
  <c r="AB13" i="55" s="1"/>
  <c r="V13" i="54"/>
  <c r="AB13" i="53"/>
  <c r="V54" i="55"/>
  <c r="AB54" i="55" s="1"/>
  <c r="AB54" i="53"/>
  <c r="V54" i="54"/>
  <c r="U54" i="68" s="1"/>
  <c r="U110" i="68" s="1"/>
  <c r="V53" i="55"/>
  <c r="AB53" i="55" s="1"/>
  <c r="V53" i="54"/>
  <c r="AB53" i="54" s="1"/>
  <c r="AB53" i="53"/>
  <c r="AB11" i="53"/>
  <c r="V11" i="55"/>
  <c r="AB11" i="55" s="1"/>
  <c r="V11" i="54"/>
  <c r="Y43" i="54"/>
  <c r="X43" i="68" s="1"/>
  <c r="X99" i="68" s="1"/>
  <c r="Y46" i="54"/>
  <c r="X46" i="68" s="1"/>
  <c r="X102" i="68" s="1"/>
  <c r="P14" i="70"/>
  <c r="W46" i="58"/>
  <c r="AD54" i="54"/>
  <c r="AA54" i="68"/>
  <c r="AA110" i="68" s="1"/>
  <c r="S46" i="58"/>
  <c r="AD47" i="54"/>
  <c r="AA47" i="68"/>
  <c r="AA103" i="68" s="1"/>
  <c r="P57" i="54"/>
  <c r="X57" i="54"/>
  <c r="AD24" i="54"/>
  <c r="AA24" i="68"/>
  <c r="AA80" i="68" s="1"/>
  <c r="AD9" i="54"/>
  <c r="AA9" i="68"/>
  <c r="AA65" i="68" s="1"/>
  <c r="V14" i="55"/>
  <c r="AB14" i="55" s="1"/>
  <c r="AB14" i="53"/>
  <c r="V14" i="54"/>
  <c r="V55" i="55"/>
  <c r="AB55" i="55" s="1"/>
  <c r="AB55" i="53"/>
  <c r="U55" i="68"/>
  <c r="U111" i="68" s="1"/>
  <c r="V16" i="54"/>
  <c r="AB16" i="54" s="1"/>
  <c r="V16" i="55"/>
  <c r="AB16" i="55" s="1"/>
  <c r="AB16" i="53"/>
  <c r="U16" i="68"/>
  <c r="U72" i="68" s="1"/>
  <c r="AB39" i="54"/>
  <c r="O5" i="69"/>
  <c r="O50" i="69" s="1"/>
  <c r="X54" i="68"/>
  <c r="X110" i="68" s="1"/>
  <c r="X20" i="68"/>
  <c r="X76" i="68" s="1"/>
  <c r="AA12" i="68"/>
  <c r="AA68" i="68" s="1"/>
  <c r="AD12" i="54"/>
  <c r="P30" i="69"/>
  <c r="P75" i="69" s="1"/>
  <c r="W46" i="59"/>
  <c r="AD6" i="54"/>
  <c r="AA6" i="68"/>
  <c r="AA62" i="68" s="1"/>
  <c r="AD14" i="54"/>
  <c r="AA14" i="68"/>
  <c r="AA70" i="68" s="1"/>
  <c r="N42" i="69"/>
  <c r="N87" i="69" s="1"/>
  <c r="T51" i="68"/>
  <c r="T107" i="68" s="1"/>
  <c r="AB51" i="54"/>
  <c r="AD33" i="54"/>
  <c r="AA33" i="68"/>
  <c r="AA89" i="68" s="1"/>
  <c r="Q5" i="68"/>
  <c r="Q61" i="68" s="1"/>
  <c r="Q57" i="54"/>
  <c r="M34" i="68"/>
  <c r="M90" i="68" s="1"/>
  <c r="N11" i="69"/>
  <c r="N56" i="69" s="1"/>
  <c r="Y32" i="54"/>
  <c r="X32" i="68" s="1"/>
  <c r="X88" i="68" s="1"/>
  <c r="Y48" i="54"/>
  <c r="X48" i="68" s="1"/>
  <c r="X104" i="68" s="1"/>
  <c r="M7" i="68"/>
  <c r="M63" i="68" s="1"/>
  <c r="AD29" i="54"/>
  <c r="AA29" i="68"/>
  <c r="AA85" i="68" s="1"/>
  <c r="N46" i="59"/>
  <c r="AA22" i="68"/>
  <c r="AA78" i="68" s="1"/>
  <c r="AD22" i="54"/>
  <c r="O41" i="69"/>
  <c r="O86" i="69" s="1"/>
  <c r="M28" i="68"/>
  <c r="M84" i="68" s="1"/>
  <c r="M35" i="68"/>
  <c r="M91" i="68" s="1"/>
  <c r="E7" i="70"/>
  <c r="E13" i="70" s="1"/>
  <c r="E11" i="70"/>
  <c r="E9" i="70"/>
  <c r="Y31" i="54"/>
  <c r="X31" i="68" s="1"/>
  <c r="X87" i="68" s="1"/>
  <c r="Y19" i="54"/>
  <c r="X19" i="68" s="1"/>
  <c r="X75" i="68" s="1"/>
  <c r="Y15" i="54"/>
  <c r="X15" i="68" s="1"/>
  <c r="X71" i="68" s="1"/>
  <c r="Y47" i="54"/>
  <c r="X47" i="68" s="1"/>
  <c r="X103" i="68" s="1"/>
  <c r="AD13" i="54"/>
  <c r="AA13" i="68"/>
  <c r="AA69" i="68" s="1"/>
  <c r="M5" i="68"/>
  <c r="M61" i="68" s="1"/>
  <c r="P34" i="69"/>
  <c r="P79" i="69" s="1"/>
  <c r="AD15" i="54"/>
  <c r="AA15" i="68"/>
  <c r="AA71" i="68" s="1"/>
  <c r="C9" i="71"/>
  <c r="C11" i="71"/>
  <c r="M49" i="54"/>
  <c r="M49" i="68" s="1"/>
  <c r="M105" i="68" s="1"/>
  <c r="B9" i="70"/>
  <c r="B11" i="70"/>
  <c r="B7" i="70"/>
  <c r="B13" i="70" s="1"/>
  <c r="V48" i="55"/>
  <c r="AB48" i="55" s="1"/>
  <c r="AB48" i="53"/>
  <c r="V48" i="54"/>
  <c r="V42" i="55"/>
  <c r="AB42" i="55" s="1"/>
  <c r="AB42" i="53"/>
  <c r="V42" i="54"/>
  <c r="V8" i="54"/>
  <c r="AB8" i="54" s="1"/>
  <c r="V8" i="55"/>
  <c r="AB8" i="55" s="1"/>
  <c r="AB8" i="53"/>
  <c r="V28" i="55"/>
  <c r="AB28" i="55" s="1"/>
  <c r="AB28" i="53"/>
  <c r="V28" i="54"/>
  <c r="AB9" i="53"/>
  <c r="V9" i="55"/>
  <c r="AB9" i="55" s="1"/>
  <c r="V9" i="54"/>
  <c r="V36" i="55"/>
  <c r="AB36" i="55" s="1"/>
  <c r="AB36" i="53"/>
  <c r="V36" i="54"/>
  <c r="AB27" i="53"/>
  <c r="V27" i="55"/>
  <c r="AB27" i="55" s="1"/>
  <c r="V27" i="54"/>
  <c r="AB17" i="53"/>
  <c r="V17" i="55"/>
  <c r="AB17" i="55" s="1"/>
  <c r="V17" i="54"/>
  <c r="V49" i="55"/>
  <c r="AB49" i="55" s="1"/>
  <c r="AB49" i="53"/>
  <c r="V49" i="54"/>
  <c r="V20" i="55"/>
  <c r="AB20" i="55" s="1"/>
  <c r="AB20" i="53"/>
  <c r="V20" i="54"/>
  <c r="V35" i="55"/>
  <c r="AB35" i="55" s="1"/>
  <c r="V35" i="54"/>
  <c r="AB35" i="53"/>
  <c r="V50" i="55"/>
  <c r="AB50" i="55" s="1"/>
  <c r="V50" i="54"/>
  <c r="AB50" i="53"/>
  <c r="V12" i="55"/>
  <c r="AB12" i="55" s="1"/>
  <c r="AB12" i="53"/>
  <c r="V12" i="54"/>
  <c r="Y44" i="54"/>
  <c r="X44" i="68" s="1"/>
  <c r="X100" i="68" s="1"/>
  <c r="O14" i="70"/>
  <c r="P10" i="69"/>
  <c r="P55" i="69" s="1"/>
  <c r="X48" i="59"/>
  <c r="X48" i="58"/>
  <c r="X48" i="57"/>
  <c r="X51" i="57" s="1"/>
  <c r="X48" i="56"/>
  <c r="Q34" i="57"/>
  <c r="AB34" i="57" s="1"/>
  <c r="L34" i="58"/>
  <c r="Q34" i="58" s="1"/>
  <c r="L34" i="59"/>
  <c r="Q34" i="59" s="1"/>
  <c r="Q36" i="57"/>
  <c r="AB36" i="57" s="1"/>
  <c r="L36" i="58"/>
  <c r="Q36" i="58" s="1"/>
  <c r="L36" i="59"/>
  <c r="Q36" i="59" s="1"/>
  <c r="Q30" i="57"/>
  <c r="AB30" i="57" s="1"/>
  <c r="L30" i="58"/>
  <c r="Q30" i="58" s="1"/>
  <c r="L30" i="59"/>
  <c r="Q30" i="59" s="1"/>
  <c r="Q15" i="57"/>
  <c r="AB15" i="57" s="1"/>
  <c r="L15" i="58"/>
  <c r="Q15" i="58" s="1"/>
  <c r="L15" i="59"/>
  <c r="Q15" i="59" s="1"/>
  <c r="Q26" i="57"/>
  <c r="AB26" i="57" s="1"/>
  <c r="L26" i="58"/>
  <c r="Q26" i="58" s="1"/>
  <c r="L26" i="59"/>
  <c r="Q26" i="59" s="1"/>
  <c r="Q31" i="57"/>
  <c r="AB31" i="57" s="1"/>
  <c r="L31" i="58"/>
  <c r="Q31" i="58" s="1"/>
  <c r="L31" i="59"/>
  <c r="Q31" i="59" s="1"/>
  <c r="Q41" i="57"/>
  <c r="AB41" i="57" s="1"/>
  <c r="L41" i="58"/>
  <c r="Q41" i="58" s="1"/>
  <c r="L41" i="59"/>
  <c r="Q41" i="59" s="1"/>
  <c r="Q43" i="57"/>
  <c r="AB43" i="57" s="1"/>
  <c r="L43" i="58"/>
  <c r="Q43" i="58" s="1"/>
  <c r="L43" i="59"/>
  <c r="Q43" i="59" s="1"/>
  <c r="Q13" i="57"/>
  <c r="AB13" i="57" s="1"/>
  <c r="L13" i="58"/>
  <c r="Q13" i="58" s="1"/>
  <c r="L13" i="59"/>
  <c r="Q13" i="59" s="1"/>
  <c r="Q7" i="57"/>
  <c r="AB7" i="57" s="1"/>
  <c r="L7" i="58"/>
  <c r="Q7" i="58" s="1"/>
  <c r="L7" i="59"/>
  <c r="Q7" i="59" s="1"/>
  <c r="AM62" i="52"/>
  <c r="AM60" i="55"/>
  <c r="AM60" i="54"/>
  <c r="AM60" i="53"/>
  <c r="Q17" i="57"/>
  <c r="AB17" i="57" s="1"/>
  <c r="L17" i="58"/>
  <c r="Q17" i="58" s="1"/>
  <c r="L17" i="59"/>
  <c r="Q17" i="59" s="1"/>
  <c r="Q20" i="57"/>
  <c r="AB20" i="57" s="1"/>
  <c r="L20" i="58"/>
  <c r="Q20" i="58" s="1"/>
  <c r="L20" i="59"/>
  <c r="Q20" i="59" s="1"/>
  <c r="Q33" i="57"/>
  <c r="AB33" i="57" s="1"/>
  <c r="L33" i="58"/>
  <c r="Q33" i="58" s="1"/>
  <c r="L33" i="59"/>
  <c r="Q33" i="59" s="1"/>
  <c r="Q35" i="57"/>
  <c r="AB35" i="57" s="1"/>
  <c r="L35" i="58"/>
  <c r="Q35" i="58" s="1"/>
  <c r="L35" i="59"/>
  <c r="Q35" i="59" s="1"/>
  <c r="Q29" i="57"/>
  <c r="AB29" i="57" s="1"/>
  <c r="L29" i="58"/>
  <c r="Q29" i="58" s="1"/>
  <c r="L29" i="59"/>
  <c r="Q29" i="59" s="1"/>
  <c r="Q14" i="57"/>
  <c r="AB14" i="57" s="1"/>
  <c r="L14" i="58"/>
  <c r="Q14" i="58" s="1"/>
  <c r="L14" i="59"/>
  <c r="Q14" i="59" s="1"/>
  <c r="Q25" i="57"/>
  <c r="AB25" i="57" s="1"/>
  <c r="L25" i="58"/>
  <c r="Q25" i="58" s="1"/>
  <c r="L25" i="59"/>
  <c r="Q25" i="59" s="1"/>
  <c r="Q27" i="57"/>
  <c r="AB27" i="57" s="1"/>
  <c r="L27" i="58"/>
  <c r="Q27" i="58" s="1"/>
  <c r="L27" i="59"/>
  <c r="Q27" i="59" s="1"/>
  <c r="Q6" i="57"/>
  <c r="AB6" i="57" s="1"/>
  <c r="L6" i="58"/>
  <c r="Q6" i="58" s="1"/>
  <c r="L6" i="59"/>
  <c r="Q6" i="59" s="1"/>
  <c r="Q11" i="57"/>
  <c r="AB11" i="57" s="1"/>
  <c r="L11" i="58"/>
  <c r="Q11" i="58" s="1"/>
  <c r="L11" i="59"/>
  <c r="Q11" i="59" s="1"/>
  <c r="AE61" i="52"/>
  <c r="AE59" i="55"/>
  <c r="AE59" i="54"/>
  <c r="AO58" i="54" s="1"/>
  <c r="AE59" i="53"/>
  <c r="Q37" i="57"/>
  <c r="AB37" i="57" s="1"/>
  <c r="L37" i="58"/>
  <c r="Q37" i="58" s="1"/>
  <c r="L37" i="59"/>
  <c r="Q37" i="59" s="1"/>
  <c r="Q39" i="57"/>
  <c r="AB39" i="57" s="1"/>
  <c r="L39" i="58"/>
  <c r="Q39" i="58" s="1"/>
  <c r="L39" i="59"/>
  <c r="Q39" i="59" s="1"/>
  <c r="Q16" i="57"/>
  <c r="AB16" i="57" s="1"/>
  <c r="L16" i="58"/>
  <c r="Q16" i="58" s="1"/>
  <c r="L16" i="59"/>
  <c r="Q16" i="59" s="1"/>
  <c r="Q19" i="57"/>
  <c r="AB19" i="57" s="1"/>
  <c r="L19" i="58"/>
  <c r="Q19" i="58" s="1"/>
  <c r="L19" i="59"/>
  <c r="Q19" i="59" s="1"/>
  <c r="Q44" i="57"/>
  <c r="AB44" i="57" s="1"/>
  <c r="L44" i="58"/>
  <c r="Q44" i="58" s="1"/>
  <c r="L44" i="59"/>
  <c r="Q44" i="59" s="1"/>
  <c r="Q38" i="57"/>
  <c r="AB38" i="57" s="1"/>
  <c r="L38" i="58"/>
  <c r="Q38" i="58" s="1"/>
  <c r="L38" i="59"/>
  <c r="Q38" i="59" s="1"/>
  <c r="Q40" i="57"/>
  <c r="AB40" i="57" s="1"/>
  <c r="L40" i="58"/>
  <c r="Q40" i="58" s="1"/>
  <c r="L40" i="59"/>
  <c r="Q40" i="59" s="1"/>
  <c r="Q5" i="57"/>
  <c r="L5" i="58"/>
  <c r="L5" i="59"/>
  <c r="L46" i="57"/>
  <c r="Q10" i="57"/>
  <c r="AB10" i="57" s="1"/>
  <c r="L10" i="58"/>
  <c r="Q10" i="58" s="1"/>
  <c r="L10" i="59"/>
  <c r="Q10" i="59" s="1"/>
  <c r="Q8" i="57"/>
  <c r="AB8" i="57" s="1"/>
  <c r="L8" i="58"/>
  <c r="Q8" i="58" s="1"/>
  <c r="L8" i="59"/>
  <c r="Q8" i="59" s="1"/>
  <c r="Q21" i="57"/>
  <c r="AB21" i="57" s="1"/>
  <c r="L21" i="58"/>
  <c r="Q21" i="58" s="1"/>
  <c r="L21" i="59"/>
  <c r="Q21" i="59" s="1"/>
  <c r="Q23" i="57"/>
  <c r="AB23" i="57" s="1"/>
  <c r="L23" i="58"/>
  <c r="Q23" i="58" s="1"/>
  <c r="L23" i="59"/>
  <c r="Q23" i="59" s="1"/>
  <c r="Q32" i="57"/>
  <c r="AB32" i="57" s="1"/>
  <c r="L32" i="58"/>
  <c r="Q32" i="58" s="1"/>
  <c r="L32" i="59"/>
  <c r="Q32" i="59" s="1"/>
  <c r="Q42" i="57"/>
  <c r="AB42" i="57" s="1"/>
  <c r="L42" i="58"/>
  <c r="Q42" i="58" s="1"/>
  <c r="L42" i="59"/>
  <c r="Q42" i="59" s="1"/>
  <c r="Q28" i="57"/>
  <c r="AB28" i="57" s="1"/>
  <c r="L28" i="58"/>
  <c r="Q28" i="58" s="1"/>
  <c r="L28" i="59"/>
  <c r="Q28" i="59" s="1"/>
  <c r="Q22" i="57"/>
  <c r="AB22" i="57" s="1"/>
  <c r="L22" i="58"/>
  <c r="Q22" i="58" s="1"/>
  <c r="L22" i="59"/>
  <c r="Q22" i="59" s="1"/>
  <c r="Q24" i="57"/>
  <c r="AB24" i="57" s="1"/>
  <c r="L24" i="58"/>
  <c r="Q24" i="58" s="1"/>
  <c r="L24" i="59"/>
  <c r="Q24" i="59" s="1"/>
  <c r="Q9" i="57"/>
  <c r="AB9" i="57" s="1"/>
  <c r="L9" i="58"/>
  <c r="Q9" i="58" s="1"/>
  <c r="L9" i="59"/>
  <c r="Q9" i="59" s="1"/>
  <c r="Q18" i="57"/>
  <c r="AB18" i="57" s="1"/>
  <c r="L18" i="58"/>
  <c r="Q18" i="58" s="1"/>
  <c r="L18" i="59"/>
  <c r="Q18" i="59" s="1"/>
  <c r="Q12" i="57"/>
  <c r="AB12" i="57" s="1"/>
  <c r="L12" i="58"/>
  <c r="Q12" i="58" s="1"/>
  <c r="L12" i="59"/>
  <c r="Q12" i="59" s="1"/>
  <c r="E43" i="5"/>
  <c r="E23" i="5"/>
  <c r="U20" i="68" l="1"/>
  <c r="U76" i="68" s="1"/>
  <c r="AB20" i="54"/>
  <c r="U36" i="68"/>
  <c r="U92" i="68" s="1"/>
  <c r="AB36" i="54"/>
  <c r="U48" i="68"/>
  <c r="U104" i="68" s="1"/>
  <c r="AB48" i="54"/>
  <c r="E15" i="70"/>
  <c r="E14" i="70"/>
  <c r="AB32" i="54"/>
  <c r="U32" i="68"/>
  <c r="U88" i="68" s="1"/>
  <c r="AB27" i="54"/>
  <c r="U27" i="68"/>
  <c r="U83" i="68" s="1"/>
  <c r="U8" i="68"/>
  <c r="U64" i="68" s="1"/>
  <c r="U42" i="68"/>
  <c r="U98" i="68" s="1"/>
  <c r="AB42" i="54"/>
  <c r="B15" i="70"/>
  <c r="B14" i="70"/>
  <c r="M57" i="54"/>
  <c r="G11" i="70"/>
  <c r="G7" i="70"/>
  <c r="G13" i="70" s="1"/>
  <c r="G9" i="70"/>
  <c r="E11" i="71"/>
  <c r="E9" i="71"/>
  <c r="E7" i="71"/>
  <c r="E13" i="71" s="1"/>
  <c r="U53" i="68"/>
  <c r="U109" i="68" s="1"/>
  <c r="U13" i="68"/>
  <c r="U69" i="68" s="1"/>
  <c r="AB13" i="54"/>
  <c r="AB40" i="54"/>
  <c r="AD57" i="54"/>
  <c r="D11" i="71"/>
  <c r="D9" i="71"/>
  <c r="T7" i="70"/>
  <c r="T13" i="70" s="1"/>
  <c r="T11" i="70"/>
  <c r="T9" i="70"/>
  <c r="U26" i="68"/>
  <c r="U82" i="68" s="1"/>
  <c r="AB26" i="54"/>
  <c r="AB55" i="54"/>
  <c r="V47" i="54"/>
  <c r="S57" i="54"/>
  <c r="J11" i="70"/>
  <c r="J7" i="70"/>
  <c r="J13" i="70" s="1"/>
  <c r="J9" i="70"/>
  <c r="V29" i="54"/>
  <c r="D7" i="71"/>
  <c r="D13" i="71" s="1"/>
  <c r="X5" i="68"/>
  <c r="X61" i="68" s="1"/>
  <c r="Y57" i="54"/>
  <c r="AB22" i="54"/>
  <c r="U22" i="68"/>
  <c r="U78" i="68" s="1"/>
  <c r="U18" i="68"/>
  <c r="U74" i="68" s="1"/>
  <c r="AB18" i="54"/>
  <c r="U35" i="68"/>
  <c r="U91" i="68" s="1"/>
  <c r="AB35" i="54"/>
  <c r="U17" i="68"/>
  <c r="U73" i="68" s="1"/>
  <c r="AB17" i="54"/>
  <c r="U28" i="68"/>
  <c r="U84" i="68" s="1"/>
  <c r="AB28" i="54"/>
  <c r="AB46" i="54"/>
  <c r="U11" i="68"/>
  <c r="U67" i="68" s="1"/>
  <c r="AB11" i="54"/>
  <c r="AB15" i="54"/>
  <c r="U15" i="68"/>
  <c r="U71" i="68" s="1"/>
  <c r="U21" i="68"/>
  <c r="U77" i="68" s="1"/>
  <c r="Q11" i="70"/>
  <c r="Q9" i="70"/>
  <c r="Q7" i="70"/>
  <c r="Q13" i="70" s="1"/>
  <c r="U45" i="68"/>
  <c r="U101" i="68" s="1"/>
  <c r="AB45" i="54"/>
  <c r="R57" i="54"/>
  <c r="S62" i="54" s="1"/>
  <c r="R5" i="68"/>
  <c r="R61" i="68" s="1"/>
  <c r="V31" i="54"/>
  <c r="AB57" i="53"/>
  <c r="V43" i="54"/>
  <c r="V33" i="54"/>
  <c r="F15" i="70"/>
  <c r="F14" i="70"/>
  <c r="F7" i="71"/>
  <c r="F13" i="71" s="1"/>
  <c r="F11" i="71"/>
  <c r="V41" i="54"/>
  <c r="C7" i="70"/>
  <c r="C13" i="70" s="1"/>
  <c r="C11" i="70"/>
  <c r="C9" i="70"/>
  <c r="AB52" i="54"/>
  <c r="U52" i="68"/>
  <c r="U108" i="68" s="1"/>
  <c r="U34" i="68"/>
  <c r="U90" i="68" s="1"/>
  <c r="AB34" i="54"/>
  <c r="AB5" i="55"/>
  <c r="AB57" i="55" s="1"/>
  <c r="V57" i="55"/>
  <c r="M15" i="70"/>
  <c r="M14" i="70"/>
  <c r="U12" i="68"/>
  <c r="U68" i="68" s="1"/>
  <c r="AB12" i="54"/>
  <c r="U50" i="68"/>
  <c r="U106" i="68" s="1"/>
  <c r="AB50" i="54"/>
  <c r="U49" i="68"/>
  <c r="U105" i="68" s="1"/>
  <c r="AB49" i="54"/>
  <c r="U9" i="68"/>
  <c r="U65" i="68" s="1"/>
  <c r="AB9" i="54"/>
  <c r="U14" i="68"/>
  <c r="U70" i="68" s="1"/>
  <c r="AB14" i="54"/>
  <c r="U24" i="68"/>
  <c r="U80" i="68" s="1"/>
  <c r="AB24" i="54"/>
  <c r="U40" i="68"/>
  <c r="U96" i="68" s="1"/>
  <c r="U25" i="68"/>
  <c r="U81" i="68" s="1"/>
  <c r="U30" i="68"/>
  <c r="U86" i="68" s="1"/>
  <c r="AB30" i="54"/>
  <c r="U38" i="68"/>
  <c r="U94" i="68" s="1"/>
  <c r="L11" i="70"/>
  <c r="L9" i="70"/>
  <c r="AB54" i="54"/>
  <c r="U7" i="68"/>
  <c r="U63" i="68" s="1"/>
  <c r="AB7" i="54"/>
  <c r="AB44" i="54"/>
  <c r="V6" i="54"/>
  <c r="V37" i="54"/>
  <c r="V5" i="54"/>
  <c r="V19" i="54"/>
  <c r="V10" i="54"/>
  <c r="U23" i="68"/>
  <c r="U79" i="68" s="1"/>
  <c r="U11" i="70"/>
  <c r="U7" i="70"/>
  <c r="U13" i="70" s="1"/>
  <c r="U9" i="70"/>
  <c r="F9" i="71"/>
  <c r="L5" i="69"/>
  <c r="L50" i="69" s="1"/>
  <c r="B9" i="71" s="1"/>
  <c r="B11" i="71"/>
  <c r="L8" i="69"/>
  <c r="L53" i="69" s="1"/>
  <c r="L19" i="69"/>
  <c r="L64" i="69" s="1"/>
  <c r="L36" i="69"/>
  <c r="L81" i="69" s="1"/>
  <c r="L25" i="69"/>
  <c r="L70" i="69" s="1"/>
  <c r="L41" i="69"/>
  <c r="L86" i="69" s="1"/>
  <c r="L30" i="69"/>
  <c r="L75" i="69" s="1"/>
  <c r="L12" i="69"/>
  <c r="L57" i="69" s="1"/>
  <c r="L22" i="69"/>
  <c r="L67" i="69" s="1"/>
  <c r="L23" i="69"/>
  <c r="L68" i="69" s="1"/>
  <c r="L16" i="69"/>
  <c r="L61" i="69" s="1"/>
  <c r="L10" i="69"/>
  <c r="L55" i="69" s="1"/>
  <c r="L39" i="69"/>
  <c r="L84" i="69" s="1"/>
  <c r="L11" i="69"/>
  <c r="L56" i="69" s="1"/>
  <c r="L14" i="69"/>
  <c r="L59" i="69" s="1"/>
  <c r="L7" i="69"/>
  <c r="L52" i="69" s="1"/>
  <c r="L31" i="69"/>
  <c r="L76" i="69" s="1"/>
  <c r="L34" i="69"/>
  <c r="L79" i="69" s="1"/>
  <c r="L18" i="69"/>
  <c r="L63" i="69" s="1"/>
  <c r="L28" i="69"/>
  <c r="L73" i="69" s="1"/>
  <c r="L21" i="69"/>
  <c r="L66" i="69" s="1"/>
  <c r="L37" i="69"/>
  <c r="L82" i="69" s="1"/>
  <c r="L35" i="69"/>
  <c r="L80" i="69" s="1"/>
  <c r="L6" i="69"/>
  <c r="L51" i="69" s="1"/>
  <c r="L20" i="69"/>
  <c r="L65" i="69" s="1"/>
  <c r="L13" i="69"/>
  <c r="L58" i="69" s="1"/>
  <c r="L26" i="69"/>
  <c r="L71" i="69" s="1"/>
  <c r="L9" i="69"/>
  <c r="L54" i="69" s="1"/>
  <c r="L42" i="69"/>
  <c r="L87" i="69" s="1"/>
  <c r="L40" i="69"/>
  <c r="L85" i="69" s="1"/>
  <c r="L29" i="69"/>
  <c r="L74" i="69" s="1"/>
  <c r="L38" i="69"/>
  <c r="L83" i="69" s="1"/>
  <c r="L17" i="69"/>
  <c r="L62" i="69" s="1"/>
  <c r="L27" i="69"/>
  <c r="L72" i="69" s="1"/>
  <c r="L43" i="69"/>
  <c r="L88" i="69" s="1"/>
  <c r="L15" i="69"/>
  <c r="L60" i="69" s="1"/>
  <c r="L24" i="69"/>
  <c r="L69" i="69" s="1"/>
  <c r="L32" i="69"/>
  <c r="L77" i="69" s="1"/>
  <c r="L44" i="69"/>
  <c r="L89" i="69" s="1"/>
  <c r="L33" i="69"/>
  <c r="L78" i="69" s="1"/>
  <c r="X18" i="58"/>
  <c r="Y18" i="58" s="1"/>
  <c r="X18" i="59"/>
  <c r="X28" i="58"/>
  <c r="Y28" i="58" s="1"/>
  <c r="AB28" i="58" s="1"/>
  <c r="X28" i="59"/>
  <c r="X21" i="58"/>
  <c r="Y21" i="58" s="1"/>
  <c r="X21" i="59"/>
  <c r="Q5" i="59"/>
  <c r="L46" i="59"/>
  <c r="X38" i="58"/>
  <c r="Y38" i="58" s="1"/>
  <c r="X38" i="59"/>
  <c r="X39" i="58"/>
  <c r="Y39" i="58" s="1"/>
  <c r="AB39" i="58" s="1"/>
  <c r="X39" i="59"/>
  <c r="X27" i="58"/>
  <c r="Y27" i="58" s="1"/>
  <c r="X27" i="59"/>
  <c r="X35" i="58"/>
  <c r="Y35" i="58" s="1"/>
  <c r="AB35" i="58" s="1"/>
  <c r="X35" i="59"/>
  <c r="X7" i="58"/>
  <c r="Y7" i="58" s="1"/>
  <c r="AB7" i="58" s="1"/>
  <c r="X7" i="59"/>
  <c r="X31" i="58"/>
  <c r="Y31" i="58" s="1"/>
  <c r="X31" i="59"/>
  <c r="X36" i="58"/>
  <c r="Y36" i="58" s="1"/>
  <c r="X36" i="59"/>
  <c r="AG61" i="52"/>
  <c r="AG59" i="55"/>
  <c r="AG59" i="54"/>
  <c r="AG59" i="53"/>
  <c r="X12" i="58"/>
  <c r="Y12" i="58" s="1"/>
  <c r="AB12" i="58" s="1"/>
  <c r="X12" i="59"/>
  <c r="X22" i="58"/>
  <c r="Y22" i="58" s="1"/>
  <c r="AB22" i="58" s="1"/>
  <c r="X22" i="59"/>
  <c r="X23" i="58"/>
  <c r="Y23" i="58" s="1"/>
  <c r="AB23" i="58" s="1"/>
  <c r="X23" i="59"/>
  <c r="Q5" i="58"/>
  <c r="L46" i="58"/>
  <c r="X40" i="58"/>
  <c r="Y40" i="58" s="1"/>
  <c r="AB40" i="58" s="1"/>
  <c r="X40" i="59"/>
  <c r="X16" i="58"/>
  <c r="Y16" i="58" s="1"/>
  <c r="AB16" i="58" s="1"/>
  <c r="X16" i="59"/>
  <c r="X6" i="58"/>
  <c r="Y6" i="58" s="1"/>
  <c r="AB6" i="58" s="1"/>
  <c r="X6" i="59"/>
  <c r="X29" i="58"/>
  <c r="Y29" i="58" s="1"/>
  <c r="AB29" i="58" s="1"/>
  <c r="X29" i="59"/>
  <c r="X17" i="58"/>
  <c r="Y17" i="58" s="1"/>
  <c r="AB17" i="58" s="1"/>
  <c r="X17" i="59"/>
  <c r="X41" i="58"/>
  <c r="Y41" i="58" s="1"/>
  <c r="AB41" i="58" s="1"/>
  <c r="X41" i="59"/>
  <c r="X30" i="58"/>
  <c r="Y30" i="58" s="1"/>
  <c r="AB30" i="58" s="1"/>
  <c r="X30" i="59"/>
  <c r="X24" i="58"/>
  <c r="Y24" i="58" s="1"/>
  <c r="AB24" i="58" s="1"/>
  <c r="X24" i="59"/>
  <c r="X32" i="58"/>
  <c r="Y32" i="58" s="1"/>
  <c r="AB32" i="58" s="1"/>
  <c r="X32" i="59"/>
  <c r="X10" i="58"/>
  <c r="Y10" i="58" s="1"/>
  <c r="AB10" i="58" s="1"/>
  <c r="X10" i="59"/>
  <c r="AB5" i="57"/>
  <c r="Q46" i="57"/>
  <c r="X19" i="58"/>
  <c r="Y19" i="58" s="1"/>
  <c r="AB19" i="58" s="1"/>
  <c r="X19" i="59"/>
  <c r="X11" i="58"/>
  <c r="Y11" i="58" s="1"/>
  <c r="AB11" i="58" s="1"/>
  <c r="X11" i="59"/>
  <c r="X14" i="58"/>
  <c r="Y14" i="58" s="1"/>
  <c r="AB14" i="58" s="1"/>
  <c r="X14" i="59"/>
  <c r="X20" i="58"/>
  <c r="Y20" i="58" s="1"/>
  <c r="AB20" i="58" s="1"/>
  <c r="X20" i="59"/>
  <c r="X43" i="58"/>
  <c r="Y43" i="58" s="1"/>
  <c r="AB43" i="58" s="1"/>
  <c r="X43" i="59"/>
  <c r="X15" i="58"/>
  <c r="Y15" i="58" s="1"/>
  <c r="AB15" i="58" s="1"/>
  <c r="X15" i="59"/>
  <c r="Y48" i="59"/>
  <c r="Y48" i="58"/>
  <c r="Y48" i="57"/>
  <c r="Y48" i="56"/>
  <c r="AB18" i="58"/>
  <c r="X9" i="58"/>
  <c r="Y9" i="58" s="1"/>
  <c r="AB9" i="58" s="1"/>
  <c r="X9" i="59"/>
  <c r="X42" i="58"/>
  <c r="Y42" i="58" s="1"/>
  <c r="AB42" i="58" s="1"/>
  <c r="X42" i="59"/>
  <c r="AB21" i="58"/>
  <c r="X8" i="58"/>
  <c r="Y8" i="58" s="1"/>
  <c r="AB8" i="58" s="1"/>
  <c r="X8" i="59"/>
  <c r="AB38" i="58"/>
  <c r="X44" i="58"/>
  <c r="Y44" i="58" s="1"/>
  <c r="AB44" i="58" s="1"/>
  <c r="X44" i="59"/>
  <c r="X37" i="58"/>
  <c r="Y37" i="58" s="1"/>
  <c r="AB37" i="58" s="1"/>
  <c r="X37" i="59"/>
  <c r="AB27" i="58"/>
  <c r="X25" i="58"/>
  <c r="Y25" i="58" s="1"/>
  <c r="AB25" i="58" s="1"/>
  <c r="X25" i="59"/>
  <c r="X33" i="58"/>
  <c r="Y33" i="58" s="1"/>
  <c r="AB33" i="58" s="1"/>
  <c r="X33" i="59"/>
  <c r="X13" i="58"/>
  <c r="Y13" i="58" s="1"/>
  <c r="AB13" i="58" s="1"/>
  <c r="X13" i="59"/>
  <c r="AB31" i="58"/>
  <c r="X26" i="58"/>
  <c r="Y26" i="58" s="1"/>
  <c r="AB26" i="58" s="1"/>
  <c r="X26" i="59"/>
  <c r="AB36" i="58"/>
  <c r="X34" i="58"/>
  <c r="Y34" i="58" s="1"/>
  <c r="AB34" i="58" s="1"/>
  <c r="X34" i="59"/>
  <c r="E29" i="5"/>
  <c r="E47" i="5"/>
  <c r="E46" i="5"/>
  <c r="L15" i="70" l="1"/>
  <c r="L14" i="70"/>
  <c r="AB43" i="54"/>
  <c r="U43" i="68"/>
  <c r="U99" i="68" s="1"/>
  <c r="U5" i="68"/>
  <c r="U61" i="68" s="1"/>
  <c r="V57" i="54"/>
  <c r="AB5" i="54"/>
  <c r="U29" i="68"/>
  <c r="U85" i="68" s="1"/>
  <c r="AB29" i="54"/>
  <c r="AB19" i="54"/>
  <c r="U19" i="68"/>
  <c r="U75" i="68" s="1"/>
  <c r="Q15" i="70"/>
  <c r="Q14" i="70"/>
  <c r="AB37" i="54"/>
  <c r="U37" i="68"/>
  <c r="U93" i="68" s="1"/>
  <c r="U41" i="68"/>
  <c r="U97" i="68" s="1"/>
  <c r="AB41" i="54"/>
  <c r="U31" i="68"/>
  <c r="U87" i="68" s="1"/>
  <c r="AB31" i="54"/>
  <c r="J15" i="70"/>
  <c r="J14" i="70"/>
  <c r="AB47" i="54"/>
  <c r="U47" i="68"/>
  <c r="U103" i="68" s="1"/>
  <c r="T15" i="70"/>
  <c r="T14" i="70"/>
  <c r="S52" i="55"/>
  <c r="S52" i="68" s="1"/>
  <c r="S108" i="68" s="1"/>
  <c r="S18" i="55"/>
  <c r="S18" i="68" s="1"/>
  <c r="S74" i="68" s="1"/>
  <c r="S16" i="55"/>
  <c r="S16" i="68" s="1"/>
  <c r="S72" i="68" s="1"/>
  <c r="S34" i="55"/>
  <c r="S34" i="68" s="1"/>
  <c r="S90" i="68" s="1"/>
  <c r="S27" i="55"/>
  <c r="S27" i="68" s="1"/>
  <c r="S83" i="68" s="1"/>
  <c r="S53" i="55"/>
  <c r="S53" i="68" s="1"/>
  <c r="S109" i="68" s="1"/>
  <c r="S40" i="55"/>
  <c r="S40" i="68" s="1"/>
  <c r="S96" i="68" s="1"/>
  <c r="S26" i="55"/>
  <c r="S26" i="68" s="1"/>
  <c r="S82" i="68" s="1"/>
  <c r="S12" i="55"/>
  <c r="S12" i="68" s="1"/>
  <c r="S68" i="68" s="1"/>
  <c r="S44" i="55"/>
  <c r="S44" i="68" s="1"/>
  <c r="S100" i="68" s="1"/>
  <c r="S30" i="55"/>
  <c r="S30" i="68" s="1"/>
  <c r="S86" i="68" s="1"/>
  <c r="S32" i="55"/>
  <c r="S32" i="68" s="1"/>
  <c r="S88" i="68" s="1"/>
  <c r="S25" i="55"/>
  <c r="S25" i="68" s="1"/>
  <c r="S81" i="68" s="1"/>
  <c r="S35" i="55"/>
  <c r="S35" i="68" s="1"/>
  <c r="S91" i="68" s="1"/>
  <c r="S17" i="55"/>
  <c r="S17" i="68" s="1"/>
  <c r="S73" i="68" s="1"/>
  <c r="S29" i="55"/>
  <c r="S29" i="68" s="1"/>
  <c r="S85" i="68" s="1"/>
  <c r="S50" i="55"/>
  <c r="S50" i="68" s="1"/>
  <c r="S106" i="68" s="1"/>
  <c r="S19" i="55"/>
  <c r="S19" i="68" s="1"/>
  <c r="S75" i="68" s="1"/>
  <c r="S15" i="55"/>
  <c r="S15" i="68" s="1"/>
  <c r="S71" i="68" s="1"/>
  <c r="S55" i="55"/>
  <c r="S55" i="68" s="1"/>
  <c r="S111" i="68" s="1"/>
  <c r="S6" i="55"/>
  <c r="S6" i="68" s="1"/>
  <c r="S62" i="68" s="1"/>
  <c r="S47" i="55"/>
  <c r="S47" i="68" s="1"/>
  <c r="S103" i="68" s="1"/>
  <c r="S5" i="55"/>
  <c r="S33" i="55"/>
  <c r="S33" i="68" s="1"/>
  <c r="S89" i="68" s="1"/>
  <c r="S11" i="55"/>
  <c r="S11" i="68" s="1"/>
  <c r="S67" i="68" s="1"/>
  <c r="S14" i="55"/>
  <c r="S14" i="68" s="1"/>
  <c r="S70" i="68" s="1"/>
  <c r="S7" i="55"/>
  <c r="S7" i="68" s="1"/>
  <c r="S63" i="68" s="1"/>
  <c r="S42" i="55"/>
  <c r="S42" i="68" s="1"/>
  <c r="S98" i="68" s="1"/>
  <c r="S51" i="55"/>
  <c r="S51" i="68" s="1"/>
  <c r="S107" i="68" s="1"/>
  <c r="S10" i="55"/>
  <c r="S10" i="68" s="1"/>
  <c r="S66" i="68" s="1"/>
  <c r="S36" i="55"/>
  <c r="S36" i="68" s="1"/>
  <c r="S92" i="68" s="1"/>
  <c r="S48" i="55"/>
  <c r="S48" i="68" s="1"/>
  <c r="S104" i="68" s="1"/>
  <c r="S38" i="55"/>
  <c r="S38" i="68" s="1"/>
  <c r="S94" i="68" s="1"/>
  <c r="S31" i="55"/>
  <c r="S31" i="68" s="1"/>
  <c r="S87" i="68" s="1"/>
  <c r="S49" i="55"/>
  <c r="S49" i="68" s="1"/>
  <c r="S105" i="68" s="1"/>
  <c r="S45" i="55"/>
  <c r="S45" i="68" s="1"/>
  <c r="S101" i="68" s="1"/>
  <c r="S41" i="55"/>
  <c r="S41" i="68" s="1"/>
  <c r="S97" i="68" s="1"/>
  <c r="S21" i="55"/>
  <c r="S21" i="68" s="1"/>
  <c r="S77" i="68" s="1"/>
  <c r="S23" i="55"/>
  <c r="S23" i="68" s="1"/>
  <c r="S79" i="68" s="1"/>
  <c r="S8" i="55"/>
  <c r="S8" i="68" s="1"/>
  <c r="S64" i="68" s="1"/>
  <c r="S37" i="55"/>
  <c r="S37" i="68" s="1"/>
  <c r="S93" i="68" s="1"/>
  <c r="S43" i="55"/>
  <c r="S43" i="68" s="1"/>
  <c r="S99" i="68" s="1"/>
  <c r="S9" i="55"/>
  <c r="S9" i="68" s="1"/>
  <c r="S65" i="68" s="1"/>
  <c r="S54" i="55"/>
  <c r="S54" i="68" s="1"/>
  <c r="S110" i="68" s="1"/>
  <c r="S46" i="55"/>
  <c r="S46" i="68" s="1"/>
  <c r="S102" i="68" s="1"/>
  <c r="S20" i="55"/>
  <c r="S20" i="68" s="1"/>
  <c r="S76" i="68" s="1"/>
  <c r="S13" i="55"/>
  <c r="S13" i="68" s="1"/>
  <c r="S69" i="68" s="1"/>
  <c r="S28" i="55"/>
  <c r="S28" i="68" s="1"/>
  <c r="S84" i="68" s="1"/>
  <c r="S22" i="55"/>
  <c r="S22" i="68" s="1"/>
  <c r="S78" i="68" s="1"/>
  <c r="S39" i="55"/>
  <c r="S39" i="68" s="1"/>
  <c r="S95" i="68" s="1"/>
  <c r="S24" i="55"/>
  <c r="S24" i="68" s="1"/>
  <c r="S80" i="68" s="1"/>
  <c r="U15" i="70"/>
  <c r="U14" i="70"/>
  <c r="AB10" i="54"/>
  <c r="U10" i="68"/>
  <c r="U66" i="68" s="1"/>
  <c r="U6" i="68"/>
  <c r="U62" i="68" s="1"/>
  <c r="AB6" i="54"/>
  <c r="C15" i="70"/>
  <c r="C14" i="70"/>
  <c r="AB33" i="54"/>
  <c r="U33" i="68"/>
  <c r="U89" i="68" s="1"/>
  <c r="H11" i="70"/>
  <c r="H9" i="70"/>
  <c r="H7" i="70"/>
  <c r="H13" i="70" s="1"/>
  <c r="N7" i="70"/>
  <c r="N13" i="70" s="1"/>
  <c r="N9" i="70"/>
  <c r="N11" i="70"/>
  <c r="G14" i="70"/>
  <c r="G15" i="70"/>
  <c r="B7" i="71"/>
  <c r="B13" i="71" s="1"/>
  <c r="Y34" i="59"/>
  <c r="AB34" i="59" s="1"/>
  <c r="U34" i="69"/>
  <c r="U79" i="69" s="1"/>
  <c r="Y37" i="59"/>
  <c r="AB37" i="59" s="1"/>
  <c r="U37" i="69"/>
  <c r="U82" i="69" s="1"/>
  <c r="Y9" i="59"/>
  <c r="AB9" i="59" s="1"/>
  <c r="U9" i="69"/>
  <c r="U54" i="69" s="1"/>
  <c r="Y33" i="59"/>
  <c r="AB33" i="59" s="1"/>
  <c r="S24" i="73" s="1"/>
  <c r="U33" i="69"/>
  <c r="U78" i="69" s="1"/>
  <c r="Y25" i="59"/>
  <c r="AB25" i="59" s="1"/>
  <c r="S14" i="73" s="1"/>
  <c r="U25" i="69"/>
  <c r="U70" i="69" s="1"/>
  <c r="Y42" i="59"/>
  <c r="AB42" i="59" s="1"/>
  <c r="S30" i="73" s="1"/>
  <c r="U42" i="69"/>
  <c r="U87" i="69" s="1"/>
  <c r="Y43" i="59"/>
  <c r="AB43" i="59" s="1"/>
  <c r="S32" i="73" s="1"/>
  <c r="U43" i="69"/>
  <c r="U88" i="69" s="1"/>
  <c r="Y26" i="59"/>
  <c r="AB26" i="59" s="1"/>
  <c r="AA502" i="63" s="1"/>
  <c r="U26" i="69"/>
  <c r="U71" i="69" s="1"/>
  <c r="Y44" i="59"/>
  <c r="AB44" i="59" s="1"/>
  <c r="S33" i="73" s="1"/>
  <c r="U44" i="69"/>
  <c r="U89" i="69" s="1"/>
  <c r="Y15" i="59"/>
  <c r="AB15" i="59" s="1"/>
  <c r="AA422" i="63" s="1"/>
  <c r="U15" i="69"/>
  <c r="U60" i="69" s="1"/>
  <c r="Y20" i="59"/>
  <c r="AB20" i="59" s="1"/>
  <c r="U20" i="69"/>
  <c r="U65" i="69" s="1"/>
  <c r="Y19" i="59"/>
  <c r="AB19" i="59" s="1"/>
  <c r="S10" i="73" s="1"/>
  <c r="U19" i="69"/>
  <c r="U64" i="69" s="1"/>
  <c r="Y30" i="59"/>
  <c r="AB30" i="59" s="1"/>
  <c r="U30" i="69"/>
  <c r="U75" i="69" s="1"/>
  <c r="Y17" i="59"/>
  <c r="AB17" i="59" s="1"/>
  <c r="U17" i="69"/>
  <c r="U62" i="69" s="1"/>
  <c r="Y6" i="59"/>
  <c r="AB6" i="59" s="1"/>
  <c r="G6" i="73" s="1"/>
  <c r="U6" i="69"/>
  <c r="U51" i="69" s="1"/>
  <c r="Y40" i="59"/>
  <c r="AB40" i="59" s="1"/>
  <c r="S29" i="73" s="1"/>
  <c r="U40" i="69"/>
  <c r="U85" i="69" s="1"/>
  <c r="Y23" i="59"/>
  <c r="AB23" i="59" s="1"/>
  <c r="S12" i="73" s="1"/>
  <c r="U23" i="69"/>
  <c r="U68" i="69" s="1"/>
  <c r="Y12" i="59"/>
  <c r="AB12" i="59" s="1"/>
  <c r="S7" i="73" s="1"/>
  <c r="U12" i="69"/>
  <c r="U57" i="69" s="1"/>
  <c r="Y31" i="59"/>
  <c r="AB31" i="59" s="1"/>
  <c r="S22" i="73" s="1"/>
  <c r="U31" i="69"/>
  <c r="U76" i="69" s="1"/>
  <c r="Y35" i="59"/>
  <c r="AB35" i="59" s="1"/>
  <c r="U35" i="69"/>
  <c r="U80" i="69" s="1"/>
  <c r="Y39" i="59"/>
  <c r="AB39" i="59" s="1"/>
  <c r="S28" i="73" s="1"/>
  <c r="U39" i="69"/>
  <c r="U84" i="69" s="1"/>
  <c r="Y28" i="59"/>
  <c r="AB28" i="59" s="1"/>
  <c r="S18" i="73" s="1"/>
  <c r="U28" i="69"/>
  <c r="U73" i="69" s="1"/>
  <c r="Y10" i="59"/>
  <c r="AB10" i="59" s="1"/>
  <c r="S5" i="73" s="1"/>
  <c r="U10" i="69"/>
  <c r="U55" i="69" s="1"/>
  <c r="Y11" i="59"/>
  <c r="AB11" i="59" s="1"/>
  <c r="S6" i="73" s="1"/>
  <c r="U11" i="69"/>
  <c r="U56" i="69" s="1"/>
  <c r="Y29" i="59"/>
  <c r="AB29" i="59" s="1"/>
  <c r="S19" i="73" s="1"/>
  <c r="U29" i="69"/>
  <c r="U74" i="69" s="1"/>
  <c r="Y21" i="59"/>
  <c r="AB21" i="59" s="1"/>
  <c r="U21" i="69"/>
  <c r="U66" i="69" s="1"/>
  <c r="Y24" i="59"/>
  <c r="AB24" i="59" s="1"/>
  <c r="S13" i="73" s="1"/>
  <c r="U24" i="69"/>
  <c r="U69" i="69" s="1"/>
  <c r="Y41" i="59"/>
  <c r="AB41" i="59" s="1"/>
  <c r="S31" i="73" s="1"/>
  <c r="U41" i="69"/>
  <c r="U86" i="69" s="1"/>
  <c r="Y16" i="59"/>
  <c r="AB16" i="59" s="1"/>
  <c r="AA440" i="63" s="1"/>
  <c r="U16" i="69"/>
  <c r="U61" i="69" s="1"/>
  <c r="Y22" i="59"/>
  <c r="AB22" i="59" s="1"/>
  <c r="U22" i="69"/>
  <c r="U67" i="69" s="1"/>
  <c r="Y36" i="59"/>
  <c r="AB36" i="59" s="1"/>
  <c r="U36" i="69"/>
  <c r="U81" i="69" s="1"/>
  <c r="Y7" i="59"/>
  <c r="AB7" i="59" s="1"/>
  <c r="U7" i="69"/>
  <c r="U52" i="69" s="1"/>
  <c r="Y27" i="59"/>
  <c r="AB27" i="59" s="1"/>
  <c r="S17" i="73" s="1"/>
  <c r="U27" i="69"/>
  <c r="U72" i="69" s="1"/>
  <c r="Y38" i="59"/>
  <c r="AB38" i="59" s="1"/>
  <c r="S27" i="73" s="1"/>
  <c r="U38" i="69"/>
  <c r="U83" i="69" s="1"/>
  <c r="Y18" i="59"/>
  <c r="AB18" i="59" s="1"/>
  <c r="S8" i="73" s="1"/>
  <c r="U18" i="69"/>
  <c r="U63" i="69" s="1"/>
  <c r="Y13" i="59"/>
  <c r="AB13" i="59" s="1"/>
  <c r="U13" i="69"/>
  <c r="U58" i="69" s="1"/>
  <c r="Y8" i="59"/>
  <c r="AB8" i="59" s="1"/>
  <c r="U8" i="69"/>
  <c r="U53" i="69" s="1"/>
  <c r="Y14" i="59"/>
  <c r="AB14" i="59" s="1"/>
  <c r="U14" i="69"/>
  <c r="U59" i="69" s="1"/>
  <c r="Y32" i="59"/>
  <c r="AB32" i="59" s="1"/>
  <c r="S23" i="73" s="1"/>
  <c r="U32" i="69"/>
  <c r="U77" i="69" s="1"/>
  <c r="AA543" i="63"/>
  <c r="AA890" i="62"/>
  <c r="AG890" i="62" s="1"/>
  <c r="AA881" i="62"/>
  <c r="AG881" i="62" s="1"/>
  <c r="AB48" i="59"/>
  <c r="AB48" i="58"/>
  <c r="AB48" i="57"/>
  <c r="AB48" i="56"/>
  <c r="AM61" i="52"/>
  <c r="AM59" i="55"/>
  <c r="AM59" i="54"/>
  <c r="AM59" i="53"/>
  <c r="X5" i="58"/>
  <c r="X5" i="59"/>
  <c r="AB46" i="57"/>
  <c r="Q46" i="58"/>
  <c r="Q46" i="59"/>
  <c r="AA868" i="62" l="1"/>
  <c r="AG868" i="62" s="1"/>
  <c r="AA235" i="63"/>
  <c r="G15" i="73"/>
  <c r="G10" i="73"/>
  <c r="AA791" i="62"/>
  <c r="AG791" i="62" s="1"/>
  <c r="S9" i="73"/>
  <c r="AA468" i="62"/>
  <c r="AG468" i="62" s="1"/>
  <c r="G14" i="73"/>
  <c r="G9" i="73"/>
  <c r="S25" i="73"/>
  <c r="S15" i="73"/>
  <c r="S20" i="73"/>
  <c r="AA550" i="63"/>
  <c r="S21" i="73"/>
  <c r="S26" i="73"/>
  <c r="S16" i="73"/>
  <c r="AA407" i="63"/>
  <c r="S11" i="73"/>
  <c r="AA220" i="62"/>
  <c r="AG220" i="62" s="1"/>
  <c r="AA1089" i="62"/>
  <c r="AG1089" i="62" s="1"/>
  <c r="AA427" i="63"/>
  <c r="AA452" i="62"/>
  <c r="AG452" i="62" s="1"/>
  <c r="AA226" i="62"/>
  <c r="AG226" i="62" s="1"/>
  <c r="AA41" i="62"/>
  <c r="AG41" i="62" s="1"/>
  <c r="AA307" i="62"/>
  <c r="AG307" i="62" s="1"/>
  <c r="AA1098" i="62"/>
  <c r="AG1098" i="62" s="1"/>
  <c r="AA311" i="62"/>
  <c r="L311" i="66" s="1"/>
  <c r="O311" i="66" s="1"/>
  <c r="AA571" i="62"/>
  <c r="AG571" i="62" s="1"/>
  <c r="AA399" i="62"/>
  <c r="L399" i="66" s="1"/>
  <c r="O399" i="66" s="1"/>
  <c r="AA231" i="63"/>
  <c r="AA222" i="62"/>
  <c r="AG222" i="62" s="1"/>
  <c r="AA390" i="62"/>
  <c r="AG390" i="62" s="1"/>
  <c r="AA576" i="62"/>
  <c r="AG576" i="62" s="1"/>
  <c r="AA478" i="62"/>
  <c r="L478" i="66" s="1"/>
  <c r="O478" i="66" s="1"/>
  <c r="AA317" i="62"/>
  <c r="AG317" i="62" s="1"/>
  <c r="AA217" i="62"/>
  <c r="L217" i="66" s="1"/>
  <c r="O217" i="66" s="1"/>
  <c r="AA210" i="63"/>
  <c r="AA844" i="62"/>
  <c r="AG844" i="62" s="1"/>
  <c r="AA434" i="63"/>
  <c r="AA56" i="62"/>
  <c r="L56" i="66" s="1"/>
  <c r="O56" i="66" s="1"/>
  <c r="AA1093" i="62"/>
  <c r="AG1093" i="62" s="1"/>
  <c r="AA1087" i="62"/>
  <c r="AG1087" i="62" s="1"/>
  <c r="N14" i="70"/>
  <c r="N15" i="70"/>
  <c r="AB57" i="54"/>
  <c r="S5" i="68"/>
  <c r="S61" i="68" s="1"/>
  <c r="S57" i="55"/>
  <c r="AA315" i="62"/>
  <c r="AG315" i="62" s="1"/>
  <c r="AA589" i="62"/>
  <c r="AG589" i="62" s="1"/>
  <c r="AA241" i="62"/>
  <c r="AG241" i="62" s="1"/>
  <c r="AA826" i="62"/>
  <c r="AG826" i="62" s="1"/>
  <c r="AA1092" i="62"/>
  <c r="AG1092" i="62" s="1"/>
  <c r="H15" i="70"/>
  <c r="H14" i="70"/>
  <c r="AA402" i="62"/>
  <c r="AA107" i="62"/>
  <c r="AG107" i="62" s="1"/>
  <c r="AA408" i="62"/>
  <c r="L408" i="66" s="1"/>
  <c r="O408" i="66" s="1"/>
  <c r="AA218" i="63"/>
  <c r="AA441" i="63"/>
  <c r="AA1097" i="62"/>
  <c r="L1097" i="66" s="1"/>
  <c r="O1097" i="66" s="1"/>
  <c r="AA473" i="62"/>
  <c r="AG473" i="62" s="1"/>
  <c r="AA214" i="62"/>
  <c r="AG214" i="62" s="1"/>
  <c r="AA235" i="62"/>
  <c r="AG235" i="62" s="1"/>
  <c r="AA44" i="62"/>
  <c r="L44" i="66" s="1"/>
  <c r="O44" i="66" s="1"/>
  <c r="AA574" i="62"/>
  <c r="AG574" i="62" s="1"/>
  <c r="AA405" i="62"/>
  <c r="AG405" i="62" s="1"/>
  <c r="AA224" i="63"/>
  <c r="AA831" i="62"/>
  <c r="AG831" i="62" s="1"/>
  <c r="AA781" i="62"/>
  <c r="AG781" i="62" s="1"/>
  <c r="AA411" i="63"/>
  <c r="AA955" i="62"/>
  <c r="AG955" i="62" s="1"/>
  <c r="AA1084" i="62"/>
  <c r="L1084" i="66" s="1"/>
  <c r="O1084" i="66" s="1"/>
  <c r="AA1094" i="62"/>
  <c r="L1094" i="66" s="1"/>
  <c r="O1094" i="66" s="1"/>
  <c r="K9" i="70"/>
  <c r="K11" i="70"/>
  <c r="K7" i="70"/>
  <c r="K13" i="70" s="1"/>
  <c r="AA319" i="62"/>
  <c r="L319" i="66" s="1"/>
  <c r="O319" i="66" s="1"/>
  <c r="AA42" i="62"/>
  <c r="AG42" i="62" s="1"/>
  <c r="AA481" i="62"/>
  <c r="AG481" i="62" s="1"/>
  <c r="AA230" i="62"/>
  <c r="AA47" i="62"/>
  <c r="L47" i="66" s="1"/>
  <c r="O47" i="66" s="1"/>
  <c r="AA316" i="62"/>
  <c r="AG316" i="62" s="1"/>
  <c r="AA573" i="62"/>
  <c r="AG573" i="62" s="1"/>
  <c r="AA108" i="62"/>
  <c r="AG108" i="62" s="1"/>
  <c r="AA392" i="62"/>
  <c r="AG392" i="62" s="1"/>
  <c r="AA590" i="62"/>
  <c r="AG590" i="62" s="1"/>
  <c r="AA233" i="62"/>
  <c r="L233" i="66" s="1"/>
  <c r="O233" i="66" s="1"/>
  <c r="AA472" i="62"/>
  <c r="AA214" i="63"/>
  <c r="AA228" i="63"/>
  <c r="AA829" i="62"/>
  <c r="AG829" i="62" s="1"/>
  <c r="AA423" i="63"/>
  <c r="AA438" i="63"/>
  <c r="AA778" i="62"/>
  <c r="L778" i="66" s="1"/>
  <c r="O778" i="66" s="1"/>
  <c r="AA469" i="62"/>
  <c r="AG469" i="62" s="1"/>
  <c r="AA297" i="62"/>
  <c r="L297" i="66" s="1"/>
  <c r="O297" i="66" s="1"/>
  <c r="AA817" i="62"/>
  <c r="AG817" i="62" s="1"/>
  <c r="AA864" i="62"/>
  <c r="AG864" i="62" s="1"/>
  <c r="AA875" i="62"/>
  <c r="AG875" i="62" s="1"/>
  <c r="AA522" i="63"/>
  <c r="AA779" i="62"/>
  <c r="L779" i="66" s="1"/>
  <c r="O779" i="66" s="1"/>
  <c r="AA459" i="62"/>
  <c r="L459" i="66" s="1"/>
  <c r="O459" i="66" s="1"/>
  <c r="AA288" i="62"/>
  <c r="AG288" i="62" s="1"/>
  <c r="AA38" i="62"/>
  <c r="AG38" i="62" s="1"/>
  <c r="AA398" i="62"/>
  <c r="AG398" i="62" s="1"/>
  <c r="AA242" i="62"/>
  <c r="AG242" i="62" s="1"/>
  <c r="AA414" i="62"/>
  <c r="AA485" i="62"/>
  <c r="AA219" i="62"/>
  <c r="AG219" i="62" s="1"/>
  <c r="AA415" i="62"/>
  <c r="AG415" i="62" s="1"/>
  <c r="AA572" i="62"/>
  <c r="AG572" i="62" s="1"/>
  <c r="AA236" i="62"/>
  <c r="AG236" i="62" s="1"/>
  <c r="AA479" i="62"/>
  <c r="AG479" i="62" s="1"/>
  <c r="AA101" i="62"/>
  <c r="AG101" i="62" s="1"/>
  <c r="AA322" i="62"/>
  <c r="AA587" i="62"/>
  <c r="AG587" i="62" s="1"/>
  <c r="AA220" i="63"/>
  <c r="AA842" i="62"/>
  <c r="AG842" i="62" s="1"/>
  <c r="AA430" i="63"/>
  <c r="AA756" i="62"/>
  <c r="L756" i="66" s="1"/>
  <c r="O756" i="66" s="1"/>
  <c r="AA287" i="62"/>
  <c r="AG287" i="62" s="1"/>
  <c r="AA446" i="62"/>
  <c r="AG446" i="62" s="1"/>
  <c r="AA278" i="62"/>
  <c r="AA921" i="62"/>
  <c r="AG921" i="62" s="1"/>
  <c r="AA479" i="63"/>
  <c r="AA801" i="62"/>
  <c r="AG801" i="62" s="1"/>
  <c r="AA576" i="63"/>
  <c r="AA1071" i="62"/>
  <c r="AG1071" i="62" s="1"/>
  <c r="AA1025" i="62"/>
  <c r="L1025" i="66" s="1"/>
  <c r="O1025" i="66" s="1"/>
  <c r="AA445" i="63"/>
  <c r="AA850" i="62"/>
  <c r="AG850" i="62" s="1"/>
  <c r="AA457" i="63"/>
  <c r="AA421" i="63"/>
  <c r="AA420" i="63"/>
  <c r="AA415" i="63"/>
  <c r="AA410" i="63"/>
  <c r="AA822" i="62"/>
  <c r="AG822" i="62" s="1"/>
  <c r="AA813" i="62"/>
  <c r="AG813" i="62" s="1"/>
  <c r="AA418" i="63"/>
  <c r="AA412" i="63"/>
  <c r="AA819" i="62"/>
  <c r="AG819" i="62" s="1"/>
  <c r="AA814" i="62"/>
  <c r="AG814" i="62" s="1"/>
  <c r="AA812" i="62"/>
  <c r="AG812" i="62" s="1"/>
  <c r="AA784" i="62"/>
  <c r="AA789" i="62"/>
  <c r="AG789" i="62" s="1"/>
  <c r="AA790" i="62"/>
  <c r="AA350" i="62"/>
  <c r="AG350" i="62" s="1"/>
  <c r="AA512" i="62"/>
  <c r="AA55" i="62"/>
  <c r="L55" i="66" s="1"/>
  <c r="O55" i="66" s="1"/>
  <c r="AA296" i="62"/>
  <c r="AA458" i="62"/>
  <c r="AG458" i="62" s="1"/>
  <c r="AA116" i="62"/>
  <c r="L116" i="66" s="1"/>
  <c r="O116" i="66" s="1"/>
  <c r="AA305" i="62"/>
  <c r="AG305" i="62" s="1"/>
  <c r="AA502" i="62"/>
  <c r="AA290" i="62"/>
  <c r="L290" i="66" s="1"/>
  <c r="O290" i="66" s="1"/>
  <c r="AA818" i="62"/>
  <c r="AG818" i="62" s="1"/>
  <c r="AA414" i="63"/>
  <c r="AA932" i="62"/>
  <c r="AG932" i="62" s="1"/>
  <c r="AA964" i="62"/>
  <c r="AG964" i="62" s="1"/>
  <c r="AA912" i="62"/>
  <c r="AG912" i="62" s="1"/>
  <c r="AA889" i="62"/>
  <c r="AG889" i="62" s="1"/>
  <c r="AA933" i="62"/>
  <c r="AG933" i="62" s="1"/>
  <c r="AA918" i="62"/>
  <c r="AG918" i="62" s="1"/>
  <c r="AA891" i="62"/>
  <c r="AG891" i="62" s="1"/>
  <c r="AA463" i="63"/>
  <c r="AA486" i="63"/>
  <c r="AA506" i="63"/>
  <c r="AA527" i="63"/>
  <c r="AA995" i="62"/>
  <c r="L995" i="66" s="1"/>
  <c r="O995" i="66" s="1"/>
  <c r="AA795" i="62"/>
  <c r="AA775" i="62"/>
  <c r="L775" i="66" s="1"/>
  <c r="O775" i="66" s="1"/>
  <c r="AA794" i="62"/>
  <c r="AG794" i="62" s="1"/>
  <c r="AA774" i="62"/>
  <c r="AG774" i="62" s="1"/>
  <c r="AA754" i="62"/>
  <c r="AA773" i="62"/>
  <c r="AA753" i="62"/>
  <c r="L753" i="66" s="1"/>
  <c r="O753" i="66" s="1"/>
  <c r="AA780" i="62"/>
  <c r="AA788" i="62"/>
  <c r="L788" i="66" s="1"/>
  <c r="O788" i="66" s="1"/>
  <c r="AA783" i="62"/>
  <c r="AA763" i="62"/>
  <c r="AG763" i="62" s="1"/>
  <c r="AA786" i="62"/>
  <c r="AA762" i="62"/>
  <c r="L762" i="66" s="1"/>
  <c r="O762" i="66" s="1"/>
  <c r="AA785" i="62"/>
  <c r="AG785" i="62" s="1"/>
  <c r="AA765" i="62"/>
  <c r="AG765" i="62" s="1"/>
  <c r="AA752" i="62"/>
  <c r="L875" i="66" s="1"/>
  <c r="AA792" i="62"/>
  <c r="AG792" i="62" s="1"/>
  <c r="AA353" i="63"/>
  <c r="AA503" i="62"/>
  <c r="AG503" i="62" s="1"/>
  <c r="AA444" i="62"/>
  <c r="AA302" i="62"/>
  <c r="AA121" i="62"/>
  <c r="AA510" i="62"/>
  <c r="AG510" i="62" s="1"/>
  <c r="AA455" i="62"/>
  <c r="AG455" i="62" s="1"/>
  <c r="AA344" i="62"/>
  <c r="AG344" i="62" s="1"/>
  <c r="AA289" i="62"/>
  <c r="L289" i="66" s="1"/>
  <c r="O289" i="66" s="1"/>
  <c r="AA120" i="62"/>
  <c r="L120" i="66" s="1"/>
  <c r="O120" i="66" s="1"/>
  <c r="AA52" i="62"/>
  <c r="L52" i="66" s="1"/>
  <c r="O52" i="66" s="1"/>
  <c r="AA462" i="62"/>
  <c r="L462" i="66" s="1"/>
  <c r="O462" i="66" s="1"/>
  <c r="AA351" i="62"/>
  <c r="AA304" i="62"/>
  <c r="L304" i="66" s="1"/>
  <c r="O304" i="66" s="1"/>
  <c r="AA280" i="62"/>
  <c r="L280" i="66" s="1"/>
  <c r="O280" i="66" s="1"/>
  <c r="AA59" i="62"/>
  <c r="AA453" i="62"/>
  <c r="AA118" i="62"/>
  <c r="AG118" i="62" s="1"/>
  <c r="AA291" i="62"/>
  <c r="AG291" i="62" s="1"/>
  <c r="AA461" i="62"/>
  <c r="AA54" i="62"/>
  <c r="AA460" i="62"/>
  <c r="L460" i="66" s="1"/>
  <c r="O460" i="66" s="1"/>
  <c r="AA341" i="62"/>
  <c r="AG341" i="62" s="1"/>
  <c r="AA286" i="62"/>
  <c r="L286" i="66" s="1"/>
  <c r="O286" i="66" s="1"/>
  <c r="AA61" i="62"/>
  <c r="L61" i="66" s="1"/>
  <c r="O61" i="66" s="1"/>
  <c r="AA467" i="62"/>
  <c r="AG467" i="62" s="1"/>
  <c r="AA352" i="62"/>
  <c r="AA301" i="62"/>
  <c r="AA281" i="62"/>
  <c r="AG281" i="62" s="1"/>
  <c r="AA60" i="62"/>
  <c r="L60" i="66" s="1"/>
  <c r="O60" i="66" s="1"/>
  <c r="AA505" i="62"/>
  <c r="AG505" i="62" s="1"/>
  <c r="AA454" i="62"/>
  <c r="L454" i="66" s="1"/>
  <c r="O454" i="66" s="1"/>
  <c r="AA339" i="62"/>
  <c r="L339" i="66" s="1"/>
  <c r="O339" i="66" s="1"/>
  <c r="AA292" i="62"/>
  <c r="AG292" i="62" s="1"/>
  <c r="AA123" i="62"/>
  <c r="AA516" i="62"/>
  <c r="L686" i="66" s="1"/>
  <c r="AA279" i="62"/>
  <c r="L279" i="66" s="1"/>
  <c r="O279" i="66" s="1"/>
  <c r="AA465" i="62"/>
  <c r="L465" i="66" s="1"/>
  <c r="O465" i="66" s="1"/>
  <c r="AA50" i="62"/>
  <c r="AA303" i="62"/>
  <c r="AG303" i="62" s="1"/>
  <c r="AA346" i="62"/>
  <c r="AA565" i="63"/>
  <c r="AA564" i="63"/>
  <c r="AA551" i="63"/>
  <c r="AA542" i="63"/>
  <c r="AA530" i="63"/>
  <c r="AA519" i="63"/>
  <c r="AA510" i="63"/>
  <c r="AA498" i="63"/>
  <c r="AA487" i="63"/>
  <c r="AA478" i="63"/>
  <c r="AA466" i="63"/>
  <c r="AA943" i="62"/>
  <c r="AG943" i="62" s="1"/>
  <c r="AA907" i="62"/>
  <c r="AG907" i="62" s="1"/>
  <c r="AA966" i="62"/>
  <c r="AG966" i="62" s="1"/>
  <c r="AA922" i="62"/>
  <c r="AG922" i="62" s="1"/>
  <c r="AA886" i="62"/>
  <c r="AG886" i="62" s="1"/>
  <c r="AA945" i="62"/>
  <c r="AG945" i="62" s="1"/>
  <c r="AA917" i="62"/>
  <c r="AG917" i="62" s="1"/>
  <c r="AA897" i="62"/>
  <c r="AG897" i="62" s="1"/>
  <c r="AA873" i="62"/>
  <c r="AG873" i="62" s="1"/>
  <c r="AA928" i="62"/>
  <c r="AG928" i="62" s="1"/>
  <c r="AA916" i="62"/>
  <c r="AG916" i="62" s="1"/>
  <c r="AA876" i="62"/>
  <c r="AG876" i="62" s="1"/>
  <c r="AA968" i="62"/>
  <c r="AG968" i="62" s="1"/>
  <c r="AA888" i="62"/>
  <c r="AG888" i="62" s="1"/>
  <c r="AA558" i="63"/>
  <c r="AA546" i="63"/>
  <c r="AA535" i="63"/>
  <c r="AA526" i="63"/>
  <c r="AA514" i="63"/>
  <c r="AA503" i="63"/>
  <c r="AA494" i="63"/>
  <c r="AA482" i="63"/>
  <c r="AA471" i="63"/>
  <c r="AA462" i="63"/>
  <c r="AA923" i="62"/>
  <c r="AG923" i="62" s="1"/>
  <c r="AA879" i="62"/>
  <c r="AG879" i="62" s="1"/>
  <c r="AA950" i="62"/>
  <c r="AG950" i="62" s="1"/>
  <c r="AA902" i="62"/>
  <c r="AG902" i="62" s="1"/>
  <c r="AA965" i="62"/>
  <c r="AG965" i="62" s="1"/>
  <c r="AA929" i="62"/>
  <c r="AG929" i="62" s="1"/>
  <c r="AA905" i="62"/>
  <c r="AG905" i="62" s="1"/>
  <c r="AA885" i="62"/>
  <c r="AG885" i="62" s="1"/>
  <c r="AA865" i="62"/>
  <c r="AG865" i="62" s="1"/>
  <c r="AA880" i="62"/>
  <c r="AG880" i="62" s="1"/>
  <c r="AA924" i="62"/>
  <c r="AG924" i="62" s="1"/>
  <c r="AA948" i="62"/>
  <c r="AG948" i="62" s="1"/>
  <c r="AA920" i="62"/>
  <c r="AG920" i="62" s="1"/>
  <c r="AA884" i="62"/>
  <c r="AG884" i="62" s="1"/>
  <c r="AA776" i="62"/>
  <c r="L776" i="66" s="1"/>
  <c r="O776" i="66" s="1"/>
  <c r="AA757" i="62"/>
  <c r="AG757" i="62" s="1"/>
  <c r="AA758" i="62"/>
  <c r="AA759" i="62"/>
  <c r="AG759" i="62" s="1"/>
  <c r="AA393" i="63"/>
  <c r="AA508" i="62"/>
  <c r="AA114" i="62"/>
  <c r="AA115" i="62"/>
  <c r="AG115" i="62" s="1"/>
  <c r="AA308" i="62"/>
  <c r="AA470" i="62"/>
  <c r="AG470" i="62" s="1"/>
  <c r="AA124" i="62"/>
  <c r="AG124" i="62" s="1"/>
  <c r="AA348" i="62"/>
  <c r="AG348" i="62" s="1"/>
  <c r="AA514" i="62"/>
  <c r="AG514" i="62" s="1"/>
  <c r="AA306" i="62"/>
  <c r="L306" i="66" s="1"/>
  <c r="O306" i="66" s="1"/>
  <c r="AA824" i="62"/>
  <c r="AG824" i="62" s="1"/>
  <c r="AA815" i="62"/>
  <c r="AG815" i="62" s="1"/>
  <c r="AA416" i="63"/>
  <c r="AA904" i="62"/>
  <c r="AG904" i="62" s="1"/>
  <c r="AA908" i="62"/>
  <c r="AG908" i="62" s="1"/>
  <c r="AA944" i="62"/>
  <c r="AG944" i="62" s="1"/>
  <c r="AA901" i="62"/>
  <c r="AG901" i="62" s="1"/>
  <c r="AA961" i="62"/>
  <c r="AG961" i="62" s="1"/>
  <c r="AA934" i="62"/>
  <c r="AG934" i="62" s="1"/>
  <c r="AA911" i="62"/>
  <c r="AG911" i="62" s="1"/>
  <c r="AA470" i="63"/>
  <c r="AA490" i="63"/>
  <c r="AA511" i="63"/>
  <c r="AA534" i="63"/>
  <c r="AA554" i="63"/>
  <c r="AA854" i="62"/>
  <c r="AG854" i="62" s="1"/>
  <c r="AA650" i="62"/>
  <c r="AG650" i="62" s="1"/>
  <c r="AA234" i="63"/>
  <c r="AA226" i="63"/>
  <c r="AA219" i="63"/>
  <c r="AA212" i="63"/>
  <c r="AA575" i="62"/>
  <c r="AG575" i="62" s="1"/>
  <c r="AA413" i="62"/>
  <c r="L413" i="66" s="1"/>
  <c r="O413" i="66" s="1"/>
  <c r="AA318" i="62"/>
  <c r="L318" i="66" s="1"/>
  <c r="O318" i="66" s="1"/>
  <c r="AA221" i="62"/>
  <c r="AG221" i="62" s="1"/>
  <c r="AA45" i="62"/>
  <c r="AG45" i="62" s="1"/>
  <c r="AA586" i="62"/>
  <c r="AG586" i="62" s="1"/>
  <c r="AA416" i="62"/>
  <c r="AG416" i="62" s="1"/>
  <c r="AA321" i="62"/>
  <c r="AA228" i="62"/>
  <c r="L228" i="66" s="1"/>
  <c r="O228" i="66" s="1"/>
  <c r="AA48" i="62"/>
  <c r="AA569" i="62"/>
  <c r="AG569" i="62" s="1"/>
  <c r="AA403" i="62"/>
  <c r="L403" i="66" s="1"/>
  <c r="O403" i="66" s="1"/>
  <c r="AA239" i="62"/>
  <c r="AG239" i="62" s="1"/>
  <c r="AA215" i="62"/>
  <c r="AA39" i="62"/>
  <c r="L39" i="66" s="1"/>
  <c r="O39" i="66" s="1"/>
  <c r="AA230" i="63"/>
  <c r="AA223" i="63"/>
  <c r="AA215" i="63"/>
  <c r="AA591" i="62"/>
  <c r="AG591" i="62" s="1"/>
  <c r="AA484" i="62"/>
  <c r="AG484" i="62" s="1"/>
  <c r="AA397" i="62"/>
  <c r="AG397" i="62" s="1"/>
  <c r="AA237" i="62"/>
  <c r="AG237" i="62" s="1"/>
  <c r="AA109" i="62"/>
  <c r="AA594" i="62"/>
  <c r="AG594" i="62" s="1"/>
  <c r="AA570" i="62"/>
  <c r="AG570" i="62" s="1"/>
  <c r="AA404" i="62"/>
  <c r="AA240" i="62"/>
  <c r="AA212" i="62"/>
  <c r="L212" i="66" s="1"/>
  <c r="O212" i="66" s="1"/>
  <c r="AA40" i="62"/>
  <c r="L40" i="66" s="1"/>
  <c r="O40" i="66" s="1"/>
  <c r="AA581" i="62"/>
  <c r="AG581" i="62" s="1"/>
  <c r="AA474" i="62"/>
  <c r="AG474" i="62" s="1"/>
  <c r="AA391" i="62"/>
  <c r="AA223" i="62"/>
  <c r="AG223" i="62" s="1"/>
  <c r="AA103" i="62"/>
  <c r="AG103" i="62" s="1"/>
  <c r="AA772" i="62"/>
  <c r="AA769" i="62"/>
  <c r="L769" i="66" s="1"/>
  <c r="O769" i="66" s="1"/>
  <c r="AA770" i="62"/>
  <c r="AG770" i="62" s="1"/>
  <c r="AA767" i="62"/>
  <c r="AA457" i="62"/>
  <c r="L457" i="66" s="1"/>
  <c r="O457" i="66" s="1"/>
  <c r="AA58" i="62"/>
  <c r="AA295" i="62"/>
  <c r="AG295" i="62" s="1"/>
  <c r="AA276" i="62"/>
  <c r="AA347" i="62"/>
  <c r="AA509" i="62"/>
  <c r="AG509" i="62" s="1"/>
  <c r="AA285" i="62"/>
  <c r="L285" i="66" s="1"/>
  <c r="O285" i="66" s="1"/>
  <c r="AA451" i="62"/>
  <c r="AA113" i="62"/>
  <c r="AG113" i="62" s="1"/>
  <c r="AA353" i="62"/>
  <c r="AG353" i="62" s="1"/>
  <c r="AA816" i="62"/>
  <c r="AG816" i="62" s="1"/>
  <c r="AA823" i="62"/>
  <c r="AG823" i="62" s="1"/>
  <c r="AA419" i="63"/>
  <c r="AA952" i="62"/>
  <c r="AG952" i="62" s="1"/>
  <c r="AA940" i="62"/>
  <c r="AG940" i="62" s="1"/>
  <c r="AA869" i="62"/>
  <c r="AG869" i="62" s="1"/>
  <c r="AA913" i="62"/>
  <c r="AG913" i="62" s="1"/>
  <c r="AA870" i="62"/>
  <c r="AG870" i="62" s="1"/>
  <c r="AA954" i="62"/>
  <c r="AG954" i="62" s="1"/>
  <c r="AA939" i="62"/>
  <c r="AG939" i="62" s="1"/>
  <c r="AA474" i="63"/>
  <c r="AA495" i="63"/>
  <c r="AA518" i="63"/>
  <c r="AA538" i="63"/>
  <c r="AA560" i="63"/>
  <c r="AA385" i="63"/>
  <c r="AA836" i="62"/>
  <c r="AG836" i="62" s="1"/>
  <c r="AA837" i="62"/>
  <c r="AG837" i="62" s="1"/>
  <c r="AA827" i="62"/>
  <c r="AG827" i="62" s="1"/>
  <c r="AA425" i="63"/>
  <c r="AA433" i="63"/>
  <c r="AA439" i="63"/>
  <c r="AA832" i="62"/>
  <c r="AG832" i="62" s="1"/>
  <c r="AA830" i="62"/>
  <c r="AG830" i="62" s="1"/>
  <c r="AA843" i="62"/>
  <c r="AG843" i="62" s="1"/>
  <c r="AA429" i="63"/>
  <c r="AA435" i="63"/>
  <c r="AA106" i="62"/>
  <c r="AA477" i="62"/>
  <c r="L477" i="66" s="1"/>
  <c r="O477" i="66" s="1"/>
  <c r="AA210" i="62"/>
  <c r="AA406" i="62"/>
  <c r="AA46" i="62"/>
  <c r="AA410" i="62"/>
  <c r="L410" i="66" s="1"/>
  <c r="O410" i="66" s="1"/>
  <c r="AA43" i="62"/>
  <c r="L43" i="66" s="1"/>
  <c r="O43" i="66" s="1"/>
  <c r="AA111" i="62"/>
  <c r="L111" i="66" s="1"/>
  <c r="O111" i="66" s="1"/>
  <c r="AA231" i="62"/>
  <c r="AA320" i="62"/>
  <c r="AG320" i="62" s="1"/>
  <c r="AA407" i="62"/>
  <c r="AA486" i="62"/>
  <c r="L633" i="66" s="1"/>
  <c r="AA585" i="62"/>
  <c r="AG585" i="62" s="1"/>
  <c r="AA584" i="62"/>
  <c r="AG584" i="62" s="1"/>
  <c r="AA104" i="62"/>
  <c r="L104" i="66" s="1"/>
  <c r="O104" i="66" s="1"/>
  <c r="AA224" i="62"/>
  <c r="L224" i="66" s="1"/>
  <c r="O224" i="66" s="1"/>
  <c r="AA309" i="62"/>
  <c r="L309" i="66" s="1"/>
  <c r="O309" i="66" s="1"/>
  <c r="AA400" i="62"/>
  <c r="AG400" i="62" s="1"/>
  <c r="AA475" i="62"/>
  <c r="L475" i="66" s="1"/>
  <c r="O475" i="66" s="1"/>
  <c r="AA578" i="62"/>
  <c r="AG578" i="62" s="1"/>
  <c r="AA592" i="62"/>
  <c r="AG592" i="62" s="1"/>
  <c r="AA105" i="62"/>
  <c r="L105" i="66" s="1"/>
  <c r="O105" i="66" s="1"/>
  <c r="AA225" i="62"/>
  <c r="AG225" i="62" s="1"/>
  <c r="AA314" i="62"/>
  <c r="AA401" i="62"/>
  <c r="AA476" i="62"/>
  <c r="AG476" i="62" s="1"/>
  <c r="AA583" i="62"/>
  <c r="AG583" i="62" s="1"/>
  <c r="AA211" i="63"/>
  <c r="AA216" i="63"/>
  <c r="AA222" i="63"/>
  <c r="AA227" i="63"/>
  <c r="AA232" i="63"/>
  <c r="AA828" i="62"/>
  <c r="AG828" i="62" s="1"/>
  <c r="AA833" i="62"/>
  <c r="AG833" i="62" s="1"/>
  <c r="AA834" i="62"/>
  <c r="AG834" i="62" s="1"/>
  <c r="AA839" i="62"/>
  <c r="AG839" i="62" s="1"/>
  <c r="AA426" i="63"/>
  <c r="AA431" i="63"/>
  <c r="AA437" i="63"/>
  <c r="AA442" i="63"/>
  <c r="AA471" i="62"/>
  <c r="AA57" i="62"/>
  <c r="L57" i="66" s="1"/>
  <c r="O57" i="66" s="1"/>
  <c r="AA125" i="62"/>
  <c r="AA294" i="62"/>
  <c r="L294" i="66" s="1"/>
  <c r="O294" i="66" s="1"/>
  <c r="AA349" i="62"/>
  <c r="AG349" i="62" s="1"/>
  <c r="AA456" i="62"/>
  <c r="AG456" i="62" s="1"/>
  <c r="AA515" i="62"/>
  <c r="AA1050" i="62"/>
  <c r="AA446" i="63"/>
  <c r="AA1088" i="62"/>
  <c r="L1088" i="66" s="1"/>
  <c r="O1088" i="66" s="1"/>
  <c r="AA1090" i="62"/>
  <c r="L1090" i="66" s="1"/>
  <c r="O1090" i="66" s="1"/>
  <c r="AA1091" i="62"/>
  <c r="L1091" i="66" s="1"/>
  <c r="O1091" i="66" s="1"/>
  <c r="AA406" i="63"/>
  <c r="AA173" i="63"/>
  <c r="AA529" i="62"/>
  <c r="AG529" i="62" s="1"/>
  <c r="AA1095" i="62"/>
  <c r="AG1095" i="62" s="1"/>
  <c r="AA507" i="62"/>
  <c r="L507" i="66" s="1"/>
  <c r="O507" i="66" s="1"/>
  <c r="AA1068" i="62"/>
  <c r="L1079" i="66" s="1"/>
  <c r="AA852" i="62"/>
  <c r="AG852" i="62" s="1"/>
  <c r="AA455" i="63"/>
  <c r="AA196" i="63"/>
  <c r="AA102" i="62"/>
  <c r="L102" i="66" s="1"/>
  <c r="O102" i="66" s="1"/>
  <c r="AA238" i="62"/>
  <c r="L238" i="66" s="1"/>
  <c r="O238" i="66" s="1"/>
  <c r="AA218" i="62"/>
  <c r="AA110" i="62"/>
  <c r="AG110" i="62" s="1"/>
  <c r="AA323" i="62"/>
  <c r="L323" i="66" s="1"/>
  <c r="O323" i="66" s="1"/>
  <c r="AA234" i="62"/>
  <c r="AG234" i="62" s="1"/>
  <c r="AA98" i="62"/>
  <c r="L98" i="66" s="1"/>
  <c r="O98" i="66" s="1"/>
  <c r="AA394" i="62"/>
  <c r="AA588" i="62"/>
  <c r="AG588" i="62" s="1"/>
  <c r="AA99" i="62"/>
  <c r="AA211" i="62"/>
  <c r="AA227" i="62"/>
  <c r="AG227" i="62" s="1"/>
  <c r="AA312" i="62"/>
  <c r="AG312" i="62" s="1"/>
  <c r="AA395" i="62"/>
  <c r="AG395" i="62" s="1"/>
  <c r="AA411" i="62"/>
  <c r="AA482" i="62"/>
  <c r="AG482" i="62" s="1"/>
  <c r="AA577" i="62"/>
  <c r="AG577" i="62" s="1"/>
  <c r="AA593" i="62"/>
  <c r="AG593" i="62" s="1"/>
  <c r="AA100" i="62"/>
  <c r="AG100" i="62" s="1"/>
  <c r="AA216" i="62"/>
  <c r="AA232" i="62"/>
  <c r="AG232" i="62" s="1"/>
  <c r="AA313" i="62"/>
  <c r="AG313" i="62" s="1"/>
  <c r="AA396" i="62"/>
  <c r="AA412" i="62"/>
  <c r="AG412" i="62" s="1"/>
  <c r="AA483" i="62"/>
  <c r="AG483" i="62" s="1"/>
  <c r="AA582" i="62"/>
  <c r="AG582" i="62" s="1"/>
  <c r="AA580" i="62"/>
  <c r="AG580" i="62" s="1"/>
  <c r="AA49" i="62"/>
  <c r="AG49" i="62" s="1"/>
  <c r="AA213" i="62"/>
  <c r="AG213" i="62" s="1"/>
  <c r="AA229" i="62"/>
  <c r="AA310" i="62"/>
  <c r="AA393" i="62"/>
  <c r="AG393" i="62" s="1"/>
  <c r="AA409" i="62"/>
  <c r="AG409" i="62" s="1"/>
  <c r="AA480" i="62"/>
  <c r="AA579" i="62"/>
  <c r="AG579" i="62" s="1"/>
  <c r="AA213" i="63"/>
  <c r="AA217" i="63"/>
  <c r="AA221" i="63"/>
  <c r="AA225" i="63"/>
  <c r="AA229" i="63"/>
  <c r="AA233" i="63"/>
  <c r="AA840" i="62"/>
  <c r="AG840" i="62" s="1"/>
  <c r="AA825" i="62"/>
  <c r="AG825" i="62" s="1"/>
  <c r="AA841" i="62"/>
  <c r="AG841" i="62" s="1"/>
  <c r="AA838" i="62"/>
  <c r="AG838" i="62" s="1"/>
  <c r="AA835" i="62"/>
  <c r="AG835" i="62" s="1"/>
  <c r="AA424" i="63"/>
  <c r="AA428" i="63"/>
  <c r="AA432" i="63"/>
  <c r="AA436" i="63"/>
  <c r="AA760" i="62"/>
  <c r="AG760" i="62" s="1"/>
  <c r="AA764" i="62"/>
  <c r="L764" i="66" s="1"/>
  <c r="O764" i="66" s="1"/>
  <c r="AA768" i="62"/>
  <c r="AG768" i="62" s="1"/>
  <c r="AA761" i="62"/>
  <c r="L761" i="66" s="1"/>
  <c r="O761" i="66" s="1"/>
  <c r="AA777" i="62"/>
  <c r="AG777" i="62" s="1"/>
  <c r="AA793" i="62"/>
  <c r="AA766" i="62"/>
  <c r="AG766" i="62" s="1"/>
  <c r="AA782" i="62"/>
  <c r="AG782" i="62" s="1"/>
  <c r="AA755" i="62"/>
  <c r="AA771" i="62"/>
  <c r="AG771" i="62" s="1"/>
  <c r="AA787" i="62"/>
  <c r="L787" i="66" s="1"/>
  <c r="O787" i="66" s="1"/>
  <c r="AA283" i="62"/>
  <c r="AA122" i="62"/>
  <c r="AA445" i="62"/>
  <c r="AG445" i="62" s="1"/>
  <c r="AA299" i="62"/>
  <c r="AG299" i="62" s="1"/>
  <c r="AA449" i="62"/>
  <c r="AA504" i="62"/>
  <c r="AG504" i="62" s="1"/>
  <c r="AA342" i="62"/>
  <c r="L342" i="66" s="1"/>
  <c r="O342" i="66" s="1"/>
  <c r="AA51" i="62"/>
  <c r="AG51" i="62" s="1"/>
  <c r="AA119" i="62"/>
  <c r="AA284" i="62"/>
  <c r="AG284" i="62" s="1"/>
  <c r="AA300" i="62"/>
  <c r="L300" i="66" s="1"/>
  <c r="O300" i="66" s="1"/>
  <c r="AA343" i="62"/>
  <c r="AG343" i="62" s="1"/>
  <c r="AA450" i="62"/>
  <c r="AA466" i="62"/>
  <c r="AG466" i="62" s="1"/>
  <c r="AA513" i="62"/>
  <c r="AA112" i="62"/>
  <c r="AG112" i="62" s="1"/>
  <c r="AA277" i="62"/>
  <c r="AG277" i="62" s="1"/>
  <c r="AA293" i="62"/>
  <c r="AG293" i="62" s="1"/>
  <c r="AA340" i="62"/>
  <c r="L340" i="66" s="1"/>
  <c r="O340" i="66" s="1"/>
  <c r="AA447" i="62"/>
  <c r="L447" i="66" s="1"/>
  <c r="O447" i="66" s="1"/>
  <c r="AA463" i="62"/>
  <c r="AA506" i="62"/>
  <c r="AG506" i="62" s="1"/>
  <c r="AA53" i="62"/>
  <c r="AA117" i="62"/>
  <c r="L117" i="66" s="1"/>
  <c r="O117" i="66" s="1"/>
  <c r="AA282" i="62"/>
  <c r="AA298" i="62"/>
  <c r="AG298" i="62" s="1"/>
  <c r="AA345" i="62"/>
  <c r="AA448" i="62"/>
  <c r="L448" i="66" s="1"/>
  <c r="O448" i="66" s="1"/>
  <c r="AA464" i="62"/>
  <c r="AA511" i="62"/>
  <c r="AG511" i="62" s="1"/>
  <c r="AA820" i="62"/>
  <c r="AG820" i="62" s="1"/>
  <c r="AA821" i="62"/>
  <c r="AG821" i="62" s="1"/>
  <c r="AA811" i="62"/>
  <c r="AG811" i="62" s="1"/>
  <c r="AA409" i="63"/>
  <c r="AA413" i="63"/>
  <c r="AA417" i="63"/>
  <c r="AA872" i="62"/>
  <c r="AG872" i="62" s="1"/>
  <c r="AA936" i="62"/>
  <c r="AG936" i="62" s="1"/>
  <c r="AA900" i="62"/>
  <c r="AG900" i="62" s="1"/>
  <c r="AA892" i="62"/>
  <c r="AG892" i="62" s="1"/>
  <c r="AA956" i="62"/>
  <c r="AG956" i="62" s="1"/>
  <c r="AA896" i="62"/>
  <c r="AG896" i="62" s="1"/>
  <c r="AA960" i="62"/>
  <c r="AG960" i="62" s="1"/>
  <c r="AA877" i="62"/>
  <c r="AG877" i="62" s="1"/>
  <c r="AA893" i="62"/>
  <c r="AG893" i="62" s="1"/>
  <c r="AA909" i="62"/>
  <c r="AG909" i="62" s="1"/>
  <c r="AA925" i="62"/>
  <c r="AG925" i="62" s="1"/>
  <c r="AA949" i="62"/>
  <c r="AG949" i="62" s="1"/>
  <c r="AA874" i="62"/>
  <c r="AG874" i="62" s="1"/>
  <c r="AA906" i="62"/>
  <c r="AG906" i="62" s="1"/>
  <c r="AA938" i="62"/>
  <c r="AG938" i="62" s="1"/>
  <c r="AA970" i="62"/>
  <c r="AG970" i="62" s="1"/>
  <c r="AA895" i="62"/>
  <c r="AG895" i="62" s="1"/>
  <c r="AA927" i="62"/>
  <c r="AG927" i="62" s="1"/>
  <c r="AA959" i="62"/>
  <c r="AG959" i="62" s="1"/>
  <c r="AA467" i="63"/>
  <c r="AA475" i="63"/>
  <c r="AA483" i="63"/>
  <c r="AA491" i="63"/>
  <c r="AA499" i="63"/>
  <c r="AA507" i="63"/>
  <c r="AA515" i="63"/>
  <c r="AA523" i="63"/>
  <c r="AA531" i="63"/>
  <c r="AA539" i="63"/>
  <c r="AA547" i="63"/>
  <c r="AA555" i="63"/>
  <c r="AA1048" i="62"/>
  <c r="AG1048" i="62" s="1"/>
  <c r="AA1033" i="62"/>
  <c r="AA1039" i="62"/>
  <c r="AA1096" i="62"/>
  <c r="AG1096" i="62" s="1"/>
  <c r="AA1085" i="62"/>
  <c r="AG1085" i="62" s="1"/>
  <c r="AA1086" i="62"/>
  <c r="AG1086" i="62" s="1"/>
  <c r="AA1083" i="62"/>
  <c r="AA1099" i="62"/>
  <c r="L1099" i="66" s="1"/>
  <c r="O1099" i="66" s="1"/>
  <c r="AA356" i="63"/>
  <c r="AA719" i="62"/>
  <c r="AG719" i="62" s="1"/>
  <c r="AA546" i="62"/>
  <c r="AG546" i="62" s="1"/>
  <c r="AA176" i="63"/>
  <c r="AA624" i="62"/>
  <c r="AG624" i="62" s="1"/>
  <c r="AA358" i="63"/>
  <c r="U5" i="69"/>
  <c r="U50" i="69" s="1"/>
  <c r="AA395" i="63"/>
  <c r="AA989" i="62"/>
  <c r="AG989" i="62" s="1"/>
  <c r="AA1058" i="62"/>
  <c r="AG1058" i="62" s="1"/>
  <c r="AA180" i="63"/>
  <c r="AA281" i="63"/>
  <c r="AA638" i="62"/>
  <c r="AG638" i="62" s="1"/>
  <c r="AA326" i="63"/>
  <c r="AA396" i="63"/>
  <c r="AA1028" i="62"/>
  <c r="AG1028" i="62" s="1"/>
  <c r="AA1014" i="62"/>
  <c r="L1014" i="66" s="1"/>
  <c r="O1014" i="66" s="1"/>
  <c r="AA1035" i="62"/>
  <c r="AG1035" i="62" s="1"/>
  <c r="AA271" i="63"/>
  <c r="AA162" i="63"/>
  <c r="AA183" i="63"/>
  <c r="AA388" i="63"/>
  <c r="AA334" i="63"/>
  <c r="AA519" i="62"/>
  <c r="AG519" i="62" s="1"/>
  <c r="AA283" i="63"/>
  <c r="AA543" i="62"/>
  <c r="AG543" i="62" s="1"/>
  <c r="AA181" i="63"/>
  <c r="AA364" i="63"/>
  <c r="AA640" i="62"/>
  <c r="AG640" i="62" s="1"/>
  <c r="AA170" i="63"/>
  <c r="AA289" i="63"/>
  <c r="AA627" i="62"/>
  <c r="AG627" i="62" s="1"/>
  <c r="AA713" i="62"/>
  <c r="AG713" i="62" s="1"/>
  <c r="AA270" i="63"/>
  <c r="AA524" i="62"/>
  <c r="AG524" i="62" s="1"/>
  <c r="AA646" i="62"/>
  <c r="AG646" i="62" s="1"/>
  <c r="AA629" i="62"/>
  <c r="AG629" i="62" s="1"/>
  <c r="AA633" i="62"/>
  <c r="AG633" i="62" s="1"/>
  <c r="AA653" i="62"/>
  <c r="AG653" i="62" s="1"/>
  <c r="AA272" i="63"/>
  <c r="AA530" i="62"/>
  <c r="AG530" i="62" s="1"/>
  <c r="AA648" i="62"/>
  <c r="AG648" i="62" s="1"/>
  <c r="AA178" i="63"/>
  <c r="AA365" i="63"/>
  <c r="AA635" i="62"/>
  <c r="AG635" i="62" s="1"/>
  <c r="AA159" i="63"/>
  <c r="AA286" i="63"/>
  <c r="AA532" i="62"/>
  <c r="AG532" i="62" s="1"/>
  <c r="AA714" i="62"/>
  <c r="AG714" i="62" s="1"/>
  <c r="AA809" i="62"/>
  <c r="AG809" i="62" s="1"/>
  <c r="AA985" i="62"/>
  <c r="AG985" i="62" s="1"/>
  <c r="AA1010" i="62"/>
  <c r="AG1010" i="62" s="1"/>
  <c r="AA991" i="62"/>
  <c r="AA291" i="63"/>
  <c r="AA641" i="62"/>
  <c r="AG641" i="62" s="1"/>
  <c r="AA168" i="63"/>
  <c r="AA725" i="62"/>
  <c r="AG725" i="62" s="1"/>
  <c r="AA288" i="63"/>
  <c r="AA538" i="62"/>
  <c r="AG538" i="62" s="1"/>
  <c r="AA716" i="62"/>
  <c r="AG716" i="62" s="1"/>
  <c r="AA273" i="63"/>
  <c r="AA521" i="62"/>
  <c r="AG521" i="62" s="1"/>
  <c r="AA643" i="62"/>
  <c r="AG643" i="62" s="1"/>
  <c r="AA175" i="63"/>
  <c r="AA294" i="63"/>
  <c r="AA540" i="62"/>
  <c r="AG540" i="62" s="1"/>
  <c r="AA204" i="63"/>
  <c r="AA405" i="63"/>
  <c r="AA401" i="63"/>
  <c r="AA397" i="63"/>
  <c r="AA807" i="62"/>
  <c r="AG807" i="62" s="1"/>
  <c r="AA806" i="62"/>
  <c r="AG806" i="62" s="1"/>
  <c r="AA805" i="62"/>
  <c r="AG805" i="62" s="1"/>
  <c r="AA796" i="62"/>
  <c r="AG796" i="62" s="1"/>
  <c r="AA404" i="63"/>
  <c r="AA399" i="63"/>
  <c r="AA394" i="63"/>
  <c r="AA802" i="62"/>
  <c r="AG802" i="62" s="1"/>
  <c r="AA797" i="62"/>
  <c r="AG797" i="62" s="1"/>
  <c r="AA408" i="63"/>
  <c r="AA403" i="63"/>
  <c r="AA398" i="63"/>
  <c r="AA803" i="62"/>
  <c r="AG803" i="62" s="1"/>
  <c r="AA798" i="62"/>
  <c r="AG798" i="62" s="1"/>
  <c r="AA800" i="62"/>
  <c r="AG800" i="62" s="1"/>
  <c r="AA706" i="62"/>
  <c r="AG706" i="62" s="1"/>
  <c r="AA560" i="62"/>
  <c r="AG560" i="62" s="1"/>
  <c r="AA350" i="63"/>
  <c r="AA203" i="63"/>
  <c r="AA705" i="62"/>
  <c r="AG705" i="62" s="1"/>
  <c r="AA703" i="62"/>
  <c r="AG703" i="62" s="1"/>
  <c r="AA553" i="62"/>
  <c r="AG553" i="62" s="1"/>
  <c r="AA345" i="63"/>
  <c r="AA198" i="63"/>
  <c r="AA708" i="62"/>
  <c r="AG708" i="62" s="1"/>
  <c r="AA562" i="62"/>
  <c r="AG562" i="62" s="1"/>
  <c r="AA380" i="63"/>
  <c r="AA209" i="63"/>
  <c r="AA709" i="62"/>
  <c r="AG709" i="62" s="1"/>
  <c r="AA685" i="62"/>
  <c r="AG685" i="62" s="1"/>
  <c r="AA551" i="62"/>
  <c r="AG551" i="62" s="1"/>
  <c r="AA331" i="63"/>
  <c r="AA698" i="62"/>
  <c r="AG698" i="62" s="1"/>
  <c r="AA552" i="62"/>
  <c r="AG552" i="62" s="1"/>
  <c r="AA342" i="63"/>
  <c r="AA195" i="63"/>
  <c r="AA697" i="62"/>
  <c r="AG697" i="62" s="1"/>
  <c r="AA695" i="62"/>
  <c r="AG695" i="62" s="1"/>
  <c r="AA545" i="62"/>
  <c r="AG545" i="62" s="1"/>
  <c r="AA337" i="63"/>
  <c r="AA190" i="63"/>
  <c r="AA700" i="62"/>
  <c r="AG700" i="62" s="1"/>
  <c r="AA554" i="62"/>
  <c r="AG554" i="62" s="1"/>
  <c r="AA348" i="63"/>
  <c r="AA201" i="63"/>
  <c r="AA689" i="62"/>
  <c r="AG689" i="62" s="1"/>
  <c r="AA383" i="63"/>
  <c r="AA335" i="63"/>
  <c r="AA748" i="62"/>
  <c r="AG748" i="62" s="1"/>
  <c r="AA544" i="62"/>
  <c r="AG544" i="62" s="1"/>
  <c r="AA187" i="63"/>
  <c r="AA687" i="62"/>
  <c r="AG687" i="62" s="1"/>
  <c r="AA329" i="63"/>
  <c r="AA692" i="62"/>
  <c r="AG692" i="62" s="1"/>
  <c r="AA340" i="63"/>
  <c r="AA387" i="63"/>
  <c r="AA192" i="63"/>
  <c r="AA740" i="62"/>
  <c r="AG740" i="62" s="1"/>
  <c r="AA386" i="63"/>
  <c r="AA743" i="62"/>
  <c r="AG743" i="62" s="1"/>
  <c r="AA561" i="62"/>
  <c r="AG561" i="62" s="1"/>
  <c r="AA206" i="63"/>
  <c r="AA684" i="62"/>
  <c r="AG684" i="62" s="1"/>
  <c r="AA332" i="63"/>
  <c r="AA327" i="63"/>
  <c r="AA391" i="63"/>
  <c r="AA1081" i="62"/>
  <c r="AG1081" i="62" s="1"/>
  <c r="AA1076" i="62"/>
  <c r="AG1076" i="62" s="1"/>
  <c r="AA569" i="63"/>
  <c r="AA1080" i="62"/>
  <c r="AG1080" i="62" s="1"/>
  <c r="AA1073" i="62"/>
  <c r="AG1073" i="62" s="1"/>
  <c r="AA1078" i="62"/>
  <c r="AG1078" i="62" s="1"/>
  <c r="AA1079" i="62"/>
  <c r="AG1079" i="62" s="1"/>
  <c r="AA571" i="63"/>
  <c r="AA1063" i="62"/>
  <c r="AA1047" i="62"/>
  <c r="AG1047" i="62" s="1"/>
  <c r="AA1031" i="62"/>
  <c r="AG1031" i="62" s="1"/>
  <c r="AA1015" i="62"/>
  <c r="AG1015" i="62" s="1"/>
  <c r="AA999" i="62"/>
  <c r="AA983" i="62"/>
  <c r="AG983" i="62" s="1"/>
  <c r="AA1054" i="62"/>
  <c r="AG1054" i="62" s="1"/>
  <c r="AA1038" i="62"/>
  <c r="L1038" i="66" s="1"/>
  <c r="O1038" i="66" s="1"/>
  <c r="AA1022" i="62"/>
  <c r="AG1022" i="62" s="1"/>
  <c r="AA1006" i="62"/>
  <c r="L1006" i="66" s="1"/>
  <c r="O1006" i="66" s="1"/>
  <c r="AA990" i="62"/>
  <c r="AG990" i="62" s="1"/>
  <c r="AA974" i="62"/>
  <c r="AG974" i="62" s="1"/>
  <c r="AA1061" i="62"/>
  <c r="AA1045" i="62"/>
  <c r="L1045" i="66" s="1"/>
  <c r="O1045" i="66" s="1"/>
  <c r="AA1029" i="62"/>
  <c r="AG1029" i="62" s="1"/>
  <c r="AA1013" i="62"/>
  <c r="L1013" i="66" s="1"/>
  <c r="O1013" i="66" s="1"/>
  <c r="AA997" i="62"/>
  <c r="L997" i="66" s="1"/>
  <c r="O997" i="66" s="1"/>
  <c r="AA981" i="62"/>
  <c r="AG981" i="62" s="1"/>
  <c r="AA1040" i="62"/>
  <c r="AG1040" i="62" s="1"/>
  <c r="AA976" i="62"/>
  <c r="L976" i="66" s="1"/>
  <c r="O976" i="66" s="1"/>
  <c r="AA1036" i="62"/>
  <c r="AG1036" i="62" s="1"/>
  <c r="AA972" i="62"/>
  <c r="AG972" i="62" s="1"/>
  <c r="AA1064" i="62"/>
  <c r="AA1000" i="62"/>
  <c r="AG1000" i="62" s="1"/>
  <c r="AA980" i="62"/>
  <c r="AA1070" i="62"/>
  <c r="AG1070" i="62" s="1"/>
  <c r="AA1051" i="62"/>
  <c r="AG1051" i="62" s="1"/>
  <c r="AA1027" i="62"/>
  <c r="AG1027" i="62" s="1"/>
  <c r="AA1007" i="62"/>
  <c r="AG1007" i="62" s="1"/>
  <c r="AA987" i="62"/>
  <c r="L987" i="66" s="1"/>
  <c r="O987" i="66" s="1"/>
  <c r="AA1066" i="62"/>
  <c r="AG1066" i="62" s="1"/>
  <c r="AA1046" i="62"/>
  <c r="AG1046" i="62" s="1"/>
  <c r="AA1026" i="62"/>
  <c r="L1026" i="66" s="1"/>
  <c r="O1026" i="66" s="1"/>
  <c r="AA1002" i="62"/>
  <c r="AG1002" i="62" s="1"/>
  <c r="AA982" i="62"/>
  <c r="AG982" i="62" s="1"/>
  <c r="AA1065" i="62"/>
  <c r="L1065" i="66" s="1"/>
  <c r="O1065" i="66" s="1"/>
  <c r="AA1041" i="62"/>
  <c r="AG1041" i="62" s="1"/>
  <c r="AA1021" i="62"/>
  <c r="AA1001" i="62"/>
  <c r="AG1001" i="62" s="1"/>
  <c r="AA977" i="62"/>
  <c r="AG977" i="62" s="1"/>
  <c r="AA1008" i="62"/>
  <c r="AA1052" i="62"/>
  <c r="AA1060" i="62"/>
  <c r="L1060" i="66" s="1"/>
  <c r="O1060" i="66" s="1"/>
  <c r="AA1032" i="62"/>
  <c r="AG1032" i="62" s="1"/>
  <c r="AA1012" i="62"/>
  <c r="AG1012" i="62" s="1"/>
  <c r="AA577" i="63"/>
  <c r="AA1067" i="62"/>
  <c r="L1067" i="66" s="1"/>
  <c r="O1067" i="66" s="1"/>
  <c r="AA1043" i="62"/>
  <c r="AG1043" i="62" s="1"/>
  <c r="AA1023" i="62"/>
  <c r="AA1003" i="62"/>
  <c r="AG1003" i="62" s="1"/>
  <c r="AA979" i="62"/>
  <c r="AG979" i="62" s="1"/>
  <c r="AA1062" i="62"/>
  <c r="AG1062" i="62" s="1"/>
  <c r="AA1042" i="62"/>
  <c r="AA1018" i="62"/>
  <c r="AG1018" i="62" s="1"/>
  <c r="AA998" i="62"/>
  <c r="AA978" i="62"/>
  <c r="AG978" i="62" s="1"/>
  <c r="AA1057" i="62"/>
  <c r="AA1037" i="62"/>
  <c r="AG1037" i="62" s="1"/>
  <c r="AA1017" i="62"/>
  <c r="AA993" i="62"/>
  <c r="AG993" i="62" s="1"/>
  <c r="AA973" i="62"/>
  <c r="AA992" i="62"/>
  <c r="AG992" i="62" s="1"/>
  <c r="AA1020" i="62"/>
  <c r="AG1020" i="62" s="1"/>
  <c r="AA996" i="62"/>
  <c r="AG996" i="62" s="1"/>
  <c r="AA1016" i="62"/>
  <c r="L1016" i="66" s="1"/>
  <c r="O1016" i="66" s="1"/>
  <c r="AA460" i="63"/>
  <c r="AA456" i="63"/>
  <c r="AA452" i="63"/>
  <c r="AA448" i="63"/>
  <c r="AA444" i="63"/>
  <c r="AA855" i="62"/>
  <c r="AG855" i="62" s="1"/>
  <c r="AA858" i="62"/>
  <c r="AG858" i="62" s="1"/>
  <c r="AA861" i="62"/>
  <c r="AG861" i="62" s="1"/>
  <c r="AA845" i="62"/>
  <c r="L831" i="66" s="1"/>
  <c r="AA856" i="62"/>
  <c r="AG856" i="62" s="1"/>
  <c r="AA459" i="63"/>
  <c r="AA454" i="63"/>
  <c r="AA449" i="63"/>
  <c r="AA443" i="63"/>
  <c r="AA847" i="62"/>
  <c r="AG847" i="62" s="1"/>
  <c r="AA846" i="62"/>
  <c r="AG846" i="62" s="1"/>
  <c r="AA848" i="62"/>
  <c r="AG848" i="62" s="1"/>
  <c r="AA458" i="63"/>
  <c r="AA453" i="63"/>
  <c r="AA447" i="63"/>
  <c r="AA863" i="62"/>
  <c r="AG863" i="62" s="1"/>
  <c r="AA862" i="62"/>
  <c r="AG862" i="62" s="1"/>
  <c r="AA857" i="62"/>
  <c r="AG857" i="62" s="1"/>
  <c r="AA860" i="62"/>
  <c r="AG860" i="62" s="1"/>
  <c r="AA567" i="63"/>
  <c r="AA563" i="63"/>
  <c r="AA559" i="63"/>
  <c r="AA568" i="63"/>
  <c r="AA562" i="63"/>
  <c r="AA557" i="63"/>
  <c r="AA553" i="63"/>
  <c r="AA549" i="63"/>
  <c r="AA545" i="63"/>
  <c r="AA541" i="63"/>
  <c r="AA537" i="63"/>
  <c r="AA533" i="63"/>
  <c r="AA529" i="63"/>
  <c r="AA525" i="63"/>
  <c r="AA521" i="63"/>
  <c r="AA517" i="63"/>
  <c r="AA513" i="63"/>
  <c r="AA509" i="63"/>
  <c r="AA505" i="63"/>
  <c r="AA501" i="63"/>
  <c r="AA497" i="63"/>
  <c r="AA493" i="63"/>
  <c r="AA489" i="63"/>
  <c r="AA485" i="63"/>
  <c r="AA481" i="63"/>
  <c r="AA477" i="63"/>
  <c r="AA473" i="63"/>
  <c r="AA469" i="63"/>
  <c r="AA465" i="63"/>
  <c r="AA967" i="62"/>
  <c r="AG967" i="62" s="1"/>
  <c r="AA951" i="62"/>
  <c r="AG951" i="62" s="1"/>
  <c r="AA935" i="62"/>
  <c r="AG935" i="62" s="1"/>
  <c r="AA919" i="62"/>
  <c r="AG919" i="62" s="1"/>
  <c r="AA903" i="62"/>
  <c r="AG903" i="62" s="1"/>
  <c r="AA887" i="62"/>
  <c r="AG887" i="62" s="1"/>
  <c r="AA871" i="62"/>
  <c r="AG871" i="62" s="1"/>
  <c r="AA962" i="62"/>
  <c r="AG962" i="62" s="1"/>
  <c r="AA946" i="62"/>
  <c r="AG946" i="62" s="1"/>
  <c r="AA930" i="62"/>
  <c r="AG930" i="62" s="1"/>
  <c r="AA914" i="62"/>
  <c r="AG914" i="62" s="1"/>
  <c r="AA898" i="62"/>
  <c r="AG898" i="62" s="1"/>
  <c r="AA882" i="62"/>
  <c r="AG882" i="62" s="1"/>
  <c r="AA866" i="62"/>
  <c r="AG866" i="62" s="1"/>
  <c r="AA957" i="62"/>
  <c r="AG957" i="62" s="1"/>
  <c r="AA941" i="62"/>
  <c r="AG941" i="62" s="1"/>
  <c r="AA566" i="63"/>
  <c r="AA561" i="63"/>
  <c r="AA556" i="63"/>
  <c r="AA552" i="63"/>
  <c r="AA548" i="63"/>
  <c r="AA544" i="63"/>
  <c r="AA540" i="63"/>
  <c r="AA536" i="63"/>
  <c r="AA532" i="63"/>
  <c r="AA528" i="63"/>
  <c r="AA524" i="63"/>
  <c r="AA520" i="63"/>
  <c r="AA516" i="63"/>
  <c r="AA512" i="63"/>
  <c r="AA508" i="63"/>
  <c r="AA504" i="63"/>
  <c r="AA500" i="63"/>
  <c r="AA496" i="63"/>
  <c r="AA492" i="63"/>
  <c r="AA488" i="63"/>
  <c r="AA484" i="63"/>
  <c r="AA480" i="63"/>
  <c r="AA476" i="63"/>
  <c r="AA472" i="63"/>
  <c r="AA468" i="63"/>
  <c r="AA464" i="63"/>
  <c r="AA963" i="62"/>
  <c r="AG963" i="62" s="1"/>
  <c r="AA947" i="62"/>
  <c r="AG947" i="62" s="1"/>
  <c r="AA931" i="62"/>
  <c r="AG931" i="62" s="1"/>
  <c r="AA915" i="62"/>
  <c r="AG915" i="62" s="1"/>
  <c r="AA899" i="62"/>
  <c r="AG899" i="62" s="1"/>
  <c r="AA883" i="62"/>
  <c r="AG883" i="62" s="1"/>
  <c r="AA867" i="62"/>
  <c r="AG867" i="62" s="1"/>
  <c r="AA958" i="62"/>
  <c r="AG958" i="62" s="1"/>
  <c r="AA942" i="62"/>
  <c r="AG942" i="62" s="1"/>
  <c r="AA926" i="62"/>
  <c r="AG926" i="62" s="1"/>
  <c r="AA910" i="62"/>
  <c r="AG910" i="62" s="1"/>
  <c r="AA894" i="62"/>
  <c r="AG894" i="62" s="1"/>
  <c r="AA878" i="62"/>
  <c r="AG878" i="62" s="1"/>
  <c r="AA969" i="62"/>
  <c r="AG969" i="62" s="1"/>
  <c r="AA953" i="62"/>
  <c r="AG953" i="62" s="1"/>
  <c r="AA937" i="62"/>
  <c r="AG937" i="62" s="1"/>
  <c r="AA808" i="62"/>
  <c r="AG808" i="62" s="1"/>
  <c r="AA810" i="62"/>
  <c r="AG810" i="62" s="1"/>
  <c r="AA400" i="63"/>
  <c r="AA1044" i="62"/>
  <c r="AG1044" i="62" s="1"/>
  <c r="AA988" i="62"/>
  <c r="L988" i="66" s="1"/>
  <c r="O988" i="66" s="1"/>
  <c r="AA1024" i="62"/>
  <c r="AG1024" i="62" s="1"/>
  <c r="AA1005" i="62"/>
  <c r="AG1005" i="62" s="1"/>
  <c r="AA1049" i="62"/>
  <c r="AA986" i="62"/>
  <c r="L986" i="66" s="1"/>
  <c r="O986" i="66" s="1"/>
  <c r="AA1030" i="62"/>
  <c r="AA971" i="62"/>
  <c r="AG971" i="62" s="1"/>
  <c r="AA1011" i="62"/>
  <c r="AG1011" i="62" s="1"/>
  <c r="AA1055" i="62"/>
  <c r="L1055" i="66" s="1"/>
  <c r="O1055" i="66" s="1"/>
  <c r="AA849" i="62"/>
  <c r="AG849" i="62" s="1"/>
  <c r="AA851" i="62"/>
  <c r="AG851" i="62" s="1"/>
  <c r="AA450" i="63"/>
  <c r="AA461" i="63"/>
  <c r="AA185" i="63"/>
  <c r="AA742" i="62"/>
  <c r="AG742" i="62" s="1"/>
  <c r="AA711" i="62"/>
  <c r="AG711" i="62" s="1"/>
  <c r="AA568" i="62"/>
  <c r="AG568" i="62" s="1"/>
  <c r="AA574" i="63"/>
  <c r="AA804" i="62"/>
  <c r="AG804" i="62" s="1"/>
  <c r="AA799" i="62"/>
  <c r="AG799" i="62" s="1"/>
  <c r="AA402" i="63"/>
  <c r="AA984" i="62"/>
  <c r="L984" i="66" s="1"/>
  <c r="O984" i="66" s="1"/>
  <c r="AA1004" i="62"/>
  <c r="AA1056" i="62"/>
  <c r="AA1009" i="62"/>
  <c r="AG1009" i="62" s="1"/>
  <c r="AA1053" i="62"/>
  <c r="AA994" i="62"/>
  <c r="AG994" i="62" s="1"/>
  <c r="AA1034" i="62"/>
  <c r="AG1034" i="62" s="1"/>
  <c r="AA975" i="62"/>
  <c r="AG975" i="62" s="1"/>
  <c r="AA1019" i="62"/>
  <c r="L1019" i="66" s="1"/>
  <c r="O1019" i="66" s="1"/>
  <c r="AA1059" i="62"/>
  <c r="AG1059" i="62" s="1"/>
  <c r="AA853" i="62"/>
  <c r="AG853" i="62" s="1"/>
  <c r="AA859" i="62"/>
  <c r="AG859" i="62" s="1"/>
  <c r="AA451" i="63"/>
  <c r="AA193" i="63"/>
  <c r="AA750" i="62"/>
  <c r="AG750" i="62" s="1"/>
  <c r="AA745" i="62"/>
  <c r="AG745" i="62" s="1"/>
  <c r="AA690" i="62"/>
  <c r="AG690" i="62" s="1"/>
  <c r="AA582" i="63"/>
  <c r="AA625" i="62"/>
  <c r="AG625" i="62" s="1"/>
  <c r="AA275" i="63"/>
  <c r="AA523" i="62"/>
  <c r="AG523" i="62" s="1"/>
  <c r="AA359" i="63"/>
  <c r="AA165" i="63"/>
  <c r="AA280" i="63"/>
  <c r="AA522" i="62"/>
  <c r="AG522" i="62" s="1"/>
  <c r="AA632" i="62"/>
  <c r="AG632" i="62" s="1"/>
  <c r="AA724" i="62"/>
  <c r="AG724" i="62" s="1"/>
  <c r="AA265" i="63"/>
  <c r="AA357" i="63"/>
  <c r="AA537" i="62"/>
  <c r="AG537" i="62" s="1"/>
  <c r="AA651" i="62"/>
  <c r="AG651" i="62" s="1"/>
  <c r="AA167" i="63"/>
  <c r="AA278" i="63"/>
  <c r="AA366" i="63"/>
  <c r="AA630" i="62"/>
  <c r="AG630" i="62" s="1"/>
  <c r="AA722" i="62"/>
  <c r="AG722" i="62" s="1"/>
  <c r="AA531" i="62"/>
  <c r="AG531" i="62" s="1"/>
  <c r="AA279" i="63"/>
  <c r="AA645" i="62"/>
  <c r="AG645" i="62" s="1"/>
  <c r="AA164" i="63"/>
  <c r="AA355" i="63"/>
  <c r="AA649" i="62"/>
  <c r="AG649" i="62" s="1"/>
  <c r="AA287" i="63"/>
  <c r="AA637" i="62"/>
  <c r="AG637" i="62" s="1"/>
  <c r="AA161" i="63"/>
  <c r="AA177" i="63"/>
  <c r="AA276" i="63"/>
  <c r="AA292" i="63"/>
  <c r="AA518" i="62"/>
  <c r="AG518" i="62" s="1"/>
  <c r="AA534" i="62"/>
  <c r="AG534" i="62" s="1"/>
  <c r="AA628" i="62"/>
  <c r="AG628" i="62" s="1"/>
  <c r="AA644" i="62"/>
  <c r="AG644" i="62" s="1"/>
  <c r="AA720" i="62"/>
  <c r="AG720" i="62" s="1"/>
  <c r="AA166" i="63"/>
  <c r="AA182" i="63"/>
  <c r="AA277" i="63"/>
  <c r="AA293" i="63"/>
  <c r="AA517" i="62"/>
  <c r="AG517" i="62" s="1"/>
  <c r="AA533" i="62"/>
  <c r="AG533" i="62" s="1"/>
  <c r="AA631" i="62"/>
  <c r="AG631" i="62" s="1"/>
  <c r="AA647" i="62"/>
  <c r="AG647" i="62" s="1"/>
  <c r="AA723" i="62"/>
  <c r="AG723" i="62" s="1"/>
  <c r="AA163" i="63"/>
  <c r="AA179" i="63"/>
  <c r="AA274" i="63"/>
  <c r="AA290" i="63"/>
  <c r="AA362" i="63"/>
  <c r="AA528" i="62"/>
  <c r="AG528" i="62" s="1"/>
  <c r="AA626" i="62"/>
  <c r="AG626" i="62" s="1"/>
  <c r="AA642" i="62"/>
  <c r="AG642" i="62" s="1"/>
  <c r="AA718" i="62"/>
  <c r="AG718" i="62" s="1"/>
  <c r="AA347" i="63"/>
  <c r="AA208" i="63"/>
  <c r="AA567" i="62"/>
  <c r="AG567" i="62" s="1"/>
  <c r="AA339" i="63"/>
  <c r="AA200" i="63"/>
  <c r="AA559" i="62"/>
  <c r="AG559" i="62" s="1"/>
  <c r="AA747" i="62"/>
  <c r="AG747" i="62" s="1"/>
  <c r="AA197" i="63"/>
  <c r="AA328" i="63"/>
  <c r="AA344" i="63"/>
  <c r="AA384" i="63"/>
  <c r="AA550" i="62"/>
  <c r="AG550" i="62" s="1"/>
  <c r="AA566" i="62"/>
  <c r="AG566" i="62" s="1"/>
  <c r="AA696" i="62"/>
  <c r="AG696" i="62" s="1"/>
  <c r="AA712" i="62"/>
  <c r="AG712" i="62" s="1"/>
  <c r="AA186" i="63"/>
  <c r="AA202" i="63"/>
  <c r="AA333" i="63"/>
  <c r="AA349" i="63"/>
  <c r="AA389" i="63"/>
  <c r="AA557" i="62"/>
  <c r="AG557" i="62" s="1"/>
  <c r="AA691" i="62"/>
  <c r="AG691" i="62" s="1"/>
  <c r="AA707" i="62"/>
  <c r="AG707" i="62" s="1"/>
  <c r="AA749" i="62"/>
  <c r="AG749" i="62" s="1"/>
  <c r="AA739" i="62"/>
  <c r="AG739" i="62" s="1"/>
  <c r="AA191" i="63"/>
  <c r="AA207" i="63"/>
  <c r="AA338" i="63"/>
  <c r="AA382" i="63"/>
  <c r="AA548" i="62"/>
  <c r="AG548" i="62" s="1"/>
  <c r="AA564" i="62"/>
  <c r="AG564" i="62" s="1"/>
  <c r="AA694" i="62"/>
  <c r="AG694" i="62" s="1"/>
  <c r="AA710" i="62"/>
  <c r="AG710" i="62" s="1"/>
  <c r="AA579" i="63"/>
  <c r="AA572" i="63"/>
  <c r="AA1075" i="62"/>
  <c r="AG1075" i="62" s="1"/>
  <c r="AA573" i="63"/>
  <c r="AA1074" i="62"/>
  <c r="AG1074" i="62" s="1"/>
  <c r="AA570" i="63"/>
  <c r="AA1069" i="62"/>
  <c r="AG1069" i="62" s="1"/>
  <c r="AA172" i="63"/>
  <c r="AA160" i="63"/>
  <c r="AA535" i="62"/>
  <c r="AG535" i="62" s="1"/>
  <c r="AA363" i="63"/>
  <c r="AA267" i="63"/>
  <c r="AA539" i="62"/>
  <c r="AG539" i="62" s="1"/>
  <c r="AA184" i="63"/>
  <c r="AA527" i="62"/>
  <c r="AG527" i="62" s="1"/>
  <c r="AA717" i="62"/>
  <c r="AG717" i="62" s="1"/>
  <c r="AA169" i="63"/>
  <c r="AA268" i="63"/>
  <c r="AA284" i="63"/>
  <c r="AA360" i="63"/>
  <c r="AA526" i="62"/>
  <c r="AG526" i="62" s="1"/>
  <c r="AA542" i="62"/>
  <c r="AG542" i="62" s="1"/>
  <c r="AA636" i="62"/>
  <c r="AG636" i="62" s="1"/>
  <c r="AA652" i="62"/>
  <c r="AG652" i="62" s="1"/>
  <c r="AA158" i="63"/>
  <c r="AA174" i="63"/>
  <c r="AA269" i="63"/>
  <c r="AA285" i="63"/>
  <c r="AA361" i="63"/>
  <c r="AA525" i="62"/>
  <c r="AG525" i="62" s="1"/>
  <c r="AA541" i="62"/>
  <c r="AG541" i="62" s="1"/>
  <c r="AA639" i="62"/>
  <c r="AG639" i="62" s="1"/>
  <c r="AA715" i="62"/>
  <c r="AG715" i="62" s="1"/>
  <c r="AA721" i="62"/>
  <c r="AG721" i="62" s="1"/>
  <c r="AA171" i="63"/>
  <c r="AA266" i="63"/>
  <c r="AA282" i="63"/>
  <c r="AA354" i="63"/>
  <c r="AA520" i="62"/>
  <c r="AG520" i="62" s="1"/>
  <c r="AA536" i="62"/>
  <c r="AG536" i="62" s="1"/>
  <c r="AA634" i="62"/>
  <c r="AG634" i="62" s="1"/>
  <c r="AA188" i="63"/>
  <c r="AA563" i="62"/>
  <c r="AG563" i="62" s="1"/>
  <c r="AA351" i="63"/>
  <c r="AA547" i="62"/>
  <c r="AG547" i="62" s="1"/>
  <c r="AA555" i="62"/>
  <c r="AG555" i="62" s="1"/>
  <c r="AA343" i="63"/>
  <c r="AA693" i="62"/>
  <c r="AG693" i="62" s="1"/>
  <c r="AA189" i="63"/>
  <c r="AA205" i="63"/>
  <c r="AA336" i="63"/>
  <c r="AA352" i="63"/>
  <c r="AA392" i="63"/>
  <c r="AA558" i="62"/>
  <c r="AG558" i="62" s="1"/>
  <c r="AA688" i="62"/>
  <c r="AG688" i="62" s="1"/>
  <c r="AA704" i="62"/>
  <c r="AG704" i="62" s="1"/>
  <c r="AA746" i="62"/>
  <c r="AG746" i="62" s="1"/>
  <c r="AA194" i="63"/>
  <c r="AA325" i="63"/>
  <c r="AA341" i="63"/>
  <c r="AA381" i="63"/>
  <c r="AA549" i="62"/>
  <c r="AG549" i="62" s="1"/>
  <c r="AA565" i="62"/>
  <c r="AG565" i="62" s="1"/>
  <c r="AA699" i="62"/>
  <c r="AG699" i="62" s="1"/>
  <c r="AA741" i="62"/>
  <c r="AG741" i="62" s="1"/>
  <c r="AA701" i="62"/>
  <c r="AG701" i="62" s="1"/>
  <c r="AA751" i="62"/>
  <c r="AG751" i="62" s="1"/>
  <c r="AA199" i="63"/>
  <c r="AA330" i="63"/>
  <c r="AA346" i="63"/>
  <c r="AA390" i="63"/>
  <c r="AA556" i="62"/>
  <c r="AG556" i="62" s="1"/>
  <c r="AA686" i="62"/>
  <c r="AG686" i="62" s="1"/>
  <c r="AA702" i="62"/>
  <c r="AG702" i="62" s="1"/>
  <c r="AA744" i="62"/>
  <c r="AG744" i="62" s="1"/>
  <c r="AA575" i="63"/>
  <c r="AA580" i="63"/>
  <c r="AA1072" i="62"/>
  <c r="AG1072" i="62" s="1"/>
  <c r="AA581" i="63"/>
  <c r="AA1082" i="62"/>
  <c r="AG1082" i="62" s="1"/>
  <c r="AA578" i="63"/>
  <c r="AA1077" i="62"/>
  <c r="AG1077" i="62" s="1"/>
  <c r="AG402" i="62"/>
  <c r="L402" i="66"/>
  <c r="O402" i="66" s="1"/>
  <c r="AG478" i="62"/>
  <c r="L220" i="66"/>
  <c r="O220" i="66" s="1"/>
  <c r="L416" i="66"/>
  <c r="O416" i="66" s="1"/>
  <c r="L397" i="66"/>
  <c r="O397" i="66" s="1"/>
  <c r="AG300" i="62"/>
  <c r="AG976" i="62"/>
  <c r="L1040" i="66"/>
  <c r="O1040" i="66" s="1"/>
  <c r="AG311" i="62"/>
  <c r="AG318" i="62"/>
  <c r="L792" i="66"/>
  <c r="O792" i="66" s="1"/>
  <c r="L303" i="66"/>
  <c r="O303" i="66" s="1"/>
  <c r="AG279" i="62"/>
  <c r="AG454" i="62"/>
  <c r="L470" i="66"/>
  <c r="O470" i="66" s="1"/>
  <c r="AG289" i="62"/>
  <c r="L1029" i="66"/>
  <c r="O1029" i="66" s="1"/>
  <c r="AG39" i="62"/>
  <c r="L718" i="66"/>
  <c r="L629" i="66"/>
  <c r="L573" i="66"/>
  <c r="L634" i="66"/>
  <c r="L578" i="66"/>
  <c r="O578" i="66" s="1"/>
  <c r="L631" i="66"/>
  <c r="L571" i="66"/>
  <c r="L534" i="66"/>
  <c r="L624" i="66"/>
  <c r="L592" i="66"/>
  <c r="L524" i="66"/>
  <c r="O524" i="66" s="1"/>
  <c r="L644" i="66"/>
  <c r="AG309" i="62"/>
  <c r="AG788" i="62"/>
  <c r="AG762" i="62"/>
  <c r="L794" i="66"/>
  <c r="O794" i="66" s="1"/>
  <c r="L746" i="66"/>
  <c r="L711" i="66"/>
  <c r="L744" i="66"/>
  <c r="L562" i="66"/>
  <c r="L691" i="66"/>
  <c r="L555" i="66"/>
  <c r="L563" i="66"/>
  <c r="L684" i="66"/>
  <c r="L557" i="66"/>
  <c r="L516" i="66"/>
  <c r="O516" i="66" s="1"/>
  <c r="L292" i="66"/>
  <c r="O292" i="66" s="1"/>
  <c r="AG286" i="62"/>
  <c r="L996" i="66"/>
  <c r="O996" i="66" s="1"/>
  <c r="AG1068" i="62"/>
  <c r="AG986" i="62"/>
  <c r="L474" i="66"/>
  <c r="O474" i="66" s="1"/>
  <c r="L100" i="66"/>
  <c r="O100" i="66" s="1"/>
  <c r="L768" i="66"/>
  <c r="O768" i="66" s="1"/>
  <c r="L504" i="66"/>
  <c r="O504" i="66" s="1"/>
  <c r="AG290" i="62"/>
  <c r="L353" i="66"/>
  <c r="O353" i="66" s="1"/>
  <c r="L1028" i="66"/>
  <c r="O1028" i="66" s="1"/>
  <c r="AG1038" i="62"/>
  <c r="AG1067" i="62"/>
  <c r="AG1091" i="62"/>
  <c r="Y5" i="59"/>
  <c r="X46" i="59"/>
  <c r="Y5" i="58"/>
  <c r="X46" i="58"/>
  <c r="L299" i="66" l="1"/>
  <c r="O299" i="66" s="1"/>
  <c r="L320" i="66"/>
  <c r="O320" i="66" s="1"/>
  <c r="L1073" i="66"/>
  <c r="O1073" i="66" s="1"/>
  <c r="L108" i="66"/>
  <c r="O108" i="66" s="1"/>
  <c r="AG460" i="62"/>
  <c r="AG465" i="62"/>
  <c r="AG40" i="62"/>
  <c r="L467" i="66"/>
  <c r="O467" i="66" s="1"/>
  <c r="AG787" i="62"/>
  <c r="L232" i="66"/>
  <c r="O232" i="66" s="1"/>
  <c r="L107" i="66"/>
  <c r="O107" i="66" s="1"/>
  <c r="L1069" i="66"/>
  <c r="O573" i="66"/>
  <c r="L481" i="66"/>
  <c r="O481" i="66" s="1"/>
  <c r="AG769" i="62"/>
  <c r="L315" i="66"/>
  <c r="O315" i="66" s="1"/>
  <c r="L978" i="66"/>
  <c r="O978" i="66" s="1"/>
  <c r="AG285" i="62"/>
  <c r="AG775" i="62"/>
  <c r="L213" i="66"/>
  <c r="O213" i="66" s="1"/>
  <c r="L975" i="66"/>
  <c r="O975" i="66" s="1"/>
  <c r="AG217" i="62"/>
  <c r="L503" i="66"/>
  <c r="O503" i="66" s="1"/>
  <c r="L115" i="66"/>
  <c r="O115" i="66" s="1"/>
  <c r="L771" i="66"/>
  <c r="O771" i="66" s="1"/>
  <c r="L1092" i="66"/>
  <c r="O1092" i="66" s="1"/>
  <c r="L1076" i="66"/>
  <c r="AG447" i="62"/>
  <c r="O684" i="66"/>
  <c r="L295" i="66"/>
  <c r="O295" i="66" s="1"/>
  <c r="L476" i="66"/>
  <c r="O476" i="66" s="1"/>
  <c r="L1046" i="66"/>
  <c r="O1046" i="66" s="1"/>
  <c r="L390" i="66"/>
  <c r="O390" i="66" s="1"/>
  <c r="AG56" i="62"/>
  <c r="L770" i="66"/>
  <c r="O770" i="66" s="1"/>
  <c r="L236" i="66"/>
  <c r="O236" i="66" s="1"/>
  <c r="L223" i="66"/>
  <c r="O223" i="66" s="1"/>
  <c r="L112" i="66"/>
  <c r="O112" i="66" s="1"/>
  <c r="O571" i="66"/>
  <c r="AG105" i="62"/>
  <c r="L348" i="66"/>
  <c r="O348" i="66" s="1"/>
  <c r="AG1084" i="62"/>
  <c r="L974" i="66"/>
  <c r="O974" i="66" s="1"/>
  <c r="L1048" i="66"/>
  <c r="O1048" i="66" s="1"/>
  <c r="L456" i="66"/>
  <c r="O456" i="66" s="1"/>
  <c r="L510" i="66"/>
  <c r="O510" i="66" s="1"/>
  <c r="AG297" i="62"/>
  <c r="AG342" i="62"/>
  <c r="L445" i="66"/>
  <c r="O445" i="66" s="1"/>
  <c r="L766" i="66"/>
  <c r="O766" i="66" s="1"/>
  <c r="L409" i="66"/>
  <c r="O409" i="66" s="1"/>
  <c r="L483" i="66"/>
  <c r="O483" i="66" s="1"/>
  <c r="L235" i="66"/>
  <c r="O235" i="66" s="1"/>
  <c r="L1089" i="66"/>
  <c r="O1089" i="66" s="1"/>
  <c r="L1015" i="66"/>
  <c r="O1015" i="66" s="1"/>
  <c r="L1068" i="66"/>
  <c r="O1068" i="66" s="1"/>
  <c r="L1072" i="66"/>
  <c r="O1072" i="66" s="1"/>
  <c r="L1077" i="66"/>
  <c r="L1075" i="66"/>
  <c r="L468" i="66"/>
  <c r="O468" i="66" s="1"/>
  <c r="AG57" i="62"/>
  <c r="L118" i="66"/>
  <c r="O118" i="66" s="1"/>
  <c r="L45" i="66"/>
  <c r="O45" i="66" s="1"/>
  <c r="AG228" i="62"/>
  <c r="L1085" i="66"/>
  <c r="O1085" i="66" s="1"/>
  <c r="AG1013" i="62"/>
  <c r="AG60" i="62"/>
  <c r="AG304" i="62"/>
  <c r="L763" i="66"/>
  <c r="O763" i="66" s="1"/>
  <c r="AG753" i="62"/>
  <c r="L41" i="66"/>
  <c r="O41" i="66" s="1"/>
  <c r="AG44" i="62"/>
  <c r="L226" i="66"/>
  <c r="O226" i="66" s="1"/>
  <c r="AG477" i="62"/>
  <c r="AG1097" i="62"/>
  <c r="L1009" i="66"/>
  <c r="O1009" i="66" s="1"/>
  <c r="L1000" i="66"/>
  <c r="O1000" i="66" s="1"/>
  <c r="AG120" i="62"/>
  <c r="L51" i="66"/>
  <c r="O51" i="66" s="1"/>
  <c r="L759" i="66"/>
  <c r="O759" i="66" s="1"/>
  <c r="L765" i="66"/>
  <c r="O765" i="66" s="1"/>
  <c r="AG233" i="62"/>
  <c r="L317" i="66"/>
  <c r="O317" i="66" s="1"/>
  <c r="L239" i="66"/>
  <c r="O239" i="66" s="1"/>
  <c r="L222" i="66"/>
  <c r="O222" i="66" s="1"/>
  <c r="L1078" i="66"/>
  <c r="L1081" i="66"/>
  <c r="O1081" i="66" s="1"/>
  <c r="L1074" i="66"/>
  <c r="L1071" i="66"/>
  <c r="O1071" i="66" s="1"/>
  <c r="L509" i="66"/>
  <c r="O509" i="66" s="1"/>
  <c r="L1070" i="66"/>
  <c r="L1080" i="66"/>
  <c r="O1080" i="66" s="1"/>
  <c r="L1082" i="66"/>
  <c r="O1082" i="66" s="1"/>
  <c r="L458" i="66"/>
  <c r="O458" i="66" s="1"/>
  <c r="AG212" i="62"/>
  <c r="L1043" i="66"/>
  <c r="O1043" i="66" s="1"/>
  <c r="AG448" i="62"/>
  <c r="L288" i="66"/>
  <c r="O288" i="66" s="1"/>
  <c r="L227" i="66"/>
  <c r="O227" i="66" s="1"/>
  <c r="AG1055" i="62"/>
  <c r="L977" i="66"/>
  <c r="O977" i="66" s="1"/>
  <c r="O831" i="66"/>
  <c r="AG1025" i="62"/>
  <c r="L287" i="66"/>
  <c r="O287" i="66" s="1"/>
  <c r="AG1094" i="62"/>
  <c r="AG399" i="62"/>
  <c r="AG987" i="62"/>
  <c r="L1018" i="66"/>
  <c r="O1018" i="66" s="1"/>
  <c r="AG995" i="62"/>
  <c r="AG779" i="62"/>
  <c r="L398" i="66"/>
  <c r="O398" i="66" s="1"/>
  <c r="AG47" i="62"/>
  <c r="L847" i="66"/>
  <c r="O847" i="66" s="1"/>
  <c r="AG408" i="62"/>
  <c r="AG319" i="62"/>
  <c r="AG55" i="62"/>
  <c r="L1093" i="66"/>
  <c r="O1093" i="66" s="1"/>
  <c r="L825" i="66"/>
  <c r="O825" i="66" s="1"/>
  <c r="L818" i="66"/>
  <c r="O818" i="66" s="1"/>
  <c r="L307" i="66"/>
  <c r="O307" i="66" s="1"/>
  <c r="L479" i="66"/>
  <c r="O479" i="66" s="1"/>
  <c r="L392" i="66"/>
  <c r="O392" i="66" s="1"/>
  <c r="L305" i="66"/>
  <c r="O305" i="66" s="1"/>
  <c r="L781" i="66"/>
  <c r="O781" i="66" s="1"/>
  <c r="L473" i="66"/>
  <c r="O473" i="66" s="1"/>
  <c r="L813" i="66"/>
  <c r="O813" i="66" s="1"/>
  <c r="L834" i="66"/>
  <c r="O834" i="66" s="1"/>
  <c r="L219" i="66"/>
  <c r="O219" i="66" s="1"/>
  <c r="L789" i="66"/>
  <c r="O789" i="66" s="1"/>
  <c r="L791" i="66"/>
  <c r="O791" i="66" s="1"/>
  <c r="AG1006" i="62"/>
  <c r="L452" i="66"/>
  <c r="O452" i="66" s="1"/>
  <c r="AG778" i="62"/>
  <c r="L968" i="66"/>
  <c r="O968" i="66" s="1"/>
  <c r="L893" i="66"/>
  <c r="O893" i="66" s="1"/>
  <c r="L241" i="66"/>
  <c r="O241" i="66" s="1"/>
  <c r="L1086" i="66"/>
  <c r="O1086" i="66" s="1"/>
  <c r="L214" i="66"/>
  <c r="O214" i="66" s="1"/>
  <c r="L1098" i="66"/>
  <c r="O1098" i="66" s="1"/>
  <c r="L1087" i="66"/>
  <c r="O1087" i="66" s="1"/>
  <c r="L42" i="66"/>
  <c r="O42" i="66" s="1"/>
  <c r="AG459" i="62"/>
  <c r="L879" i="66"/>
  <c r="O879" i="66" s="1"/>
  <c r="L925" i="66"/>
  <c r="O925" i="66" s="1"/>
  <c r="AG1016" i="62"/>
  <c r="L1041" i="66"/>
  <c r="O1041" i="66" s="1"/>
  <c r="L101" i="66"/>
  <c r="O101" i="66" s="1"/>
  <c r="L446" i="66"/>
  <c r="O446" i="66" s="1"/>
  <c r="L889" i="66"/>
  <c r="O889" i="66" s="1"/>
  <c r="L957" i="66"/>
  <c r="O957" i="66" s="1"/>
  <c r="L405" i="66"/>
  <c r="O405" i="66" s="1"/>
  <c r="L415" i="66"/>
  <c r="O415" i="66" s="1"/>
  <c r="L316" i="66"/>
  <c r="O316" i="66" s="1"/>
  <c r="L242" i="66"/>
  <c r="O242" i="66" s="1"/>
  <c r="AG1014" i="62"/>
  <c r="L1007" i="66"/>
  <c r="O1007" i="66" s="1"/>
  <c r="K14" i="70"/>
  <c r="K15" i="70"/>
  <c r="I9" i="70"/>
  <c r="I7" i="70"/>
  <c r="I13" i="70" s="1"/>
  <c r="I11" i="70"/>
  <c r="AG475" i="62"/>
  <c r="AG1056" i="62"/>
  <c r="L1056" i="66"/>
  <c r="O1056" i="66" s="1"/>
  <c r="AG1049" i="62"/>
  <c r="L1049" i="66"/>
  <c r="O1049" i="66" s="1"/>
  <c r="AG1017" i="62"/>
  <c r="L1017" i="66"/>
  <c r="O1017" i="66" s="1"/>
  <c r="AG998" i="62"/>
  <c r="L998" i="66"/>
  <c r="O998" i="66" s="1"/>
  <c r="K11" i="71"/>
  <c r="M11" i="71" s="1"/>
  <c r="K9" i="71"/>
  <c r="M9" i="71" s="1"/>
  <c r="L345" i="66"/>
  <c r="O345" i="66" s="1"/>
  <c r="AG345" i="62"/>
  <c r="AG793" i="62"/>
  <c r="L793" i="66"/>
  <c r="O793" i="66" s="1"/>
  <c r="AG216" i="62"/>
  <c r="L216" i="66"/>
  <c r="O216" i="66" s="1"/>
  <c r="L394" i="66"/>
  <c r="O394" i="66" s="1"/>
  <c r="AG394" i="62"/>
  <c r="AG401" i="62"/>
  <c r="L401" i="66"/>
  <c r="O401" i="66" s="1"/>
  <c r="AG46" i="62"/>
  <c r="L46" i="66"/>
  <c r="O46" i="66" s="1"/>
  <c r="AG106" i="62"/>
  <c r="L106" i="66"/>
  <c r="O106" i="66" s="1"/>
  <c r="L758" i="66"/>
  <c r="O758" i="66" s="1"/>
  <c r="AG758" i="62"/>
  <c r="AG512" i="62"/>
  <c r="L512" i="66"/>
  <c r="O512" i="66" s="1"/>
  <c r="AG485" i="62"/>
  <c r="L485" i="66"/>
  <c r="O485" i="66" s="1"/>
  <c r="L472" i="66"/>
  <c r="O472" i="66" s="1"/>
  <c r="AG472" i="62"/>
  <c r="AG61" i="62"/>
  <c r="L281" i="66"/>
  <c r="O281" i="66" s="1"/>
  <c r="AG339" i="62"/>
  <c r="L349" i="66"/>
  <c r="O349" i="66" s="1"/>
  <c r="O592" i="66"/>
  <c r="L38" i="66"/>
  <c r="O38" i="66" s="1"/>
  <c r="L484" i="66"/>
  <c r="O484" i="66" s="1"/>
  <c r="AG1004" i="62"/>
  <c r="L1004" i="66"/>
  <c r="O1004" i="66" s="1"/>
  <c r="AG845" i="62"/>
  <c r="L858" i="66"/>
  <c r="O858" i="66" s="1"/>
  <c r="L826" i="66"/>
  <c r="O826" i="66" s="1"/>
  <c r="L859" i="66"/>
  <c r="O859" i="66" s="1"/>
  <c r="L799" i="66"/>
  <c r="O799" i="66" s="1"/>
  <c r="L853" i="66"/>
  <c r="O853" i="66" s="1"/>
  <c r="L1052" i="66"/>
  <c r="O1052" i="66" s="1"/>
  <c r="AG1052" i="62"/>
  <c r="AG1083" i="62"/>
  <c r="L1083" i="66"/>
  <c r="O1083" i="66" s="1"/>
  <c r="AG122" i="62"/>
  <c r="L122" i="66"/>
  <c r="O122" i="66" s="1"/>
  <c r="AG310" i="62"/>
  <c r="L310" i="66"/>
  <c r="O310" i="66" s="1"/>
  <c r="AG396" i="62"/>
  <c r="L396" i="66"/>
  <c r="O396" i="66" s="1"/>
  <c r="AG218" i="62"/>
  <c r="L218" i="66"/>
  <c r="O218" i="66" s="1"/>
  <c r="AG301" i="62"/>
  <c r="L301" i="66"/>
  <c r="O301" i="66" s="1"/>
  <c r="L461" i="66"/>
  <c r="O461" i="66" s="1"/>
  <c r="AG461" i="62"/>
  <c r="AG59" i="62"/>
  <c r="L59" i="66"/>
  <c r="O59" i="66" s="1"/>
  <c r="AG302" i="62"/>
  <c r="L302" i="66"/>
  <c r="O302" i="66" s="1"/>
  <c r="AG795" i="62"/>
  <c r="L795" i="66"/>
  <c r="O795" i="66" s="1"/>
  <c r="AG322" i="62"/>
  <c r="L322" i="66"/>
  <c r="O322" i="66" s="1"/>
  <c r="AG414" i="62"/>
  <c r="L414" i="66"/>
  <c r="O414" i="66" s="1"/>
  <c r="L817" i="66"/>
  <c r="O817" i="66" s="1"/>
  <c r="L842" i="66"/>
  <c r="O842" i="66" s="1"/>
  <c r="AG306" i="62"/>
  <c r="L344" i="66"/>
  <c r="O344" i="66" s="1"/>
  <c r="L393" i="66"/>
  <c r="O393" i="66" s="1"/>
  <c r="L49" i="66"/>
  <c r="O49" i="66" s="1"/>
  <c r="AG403" i="62"/>
  <c r="L985" i="66"/>
  <c r="O985" i="66" s="1"/>
  <c r="AG340" i="62"/>
  <c r="L564" i="66"/>
  <c r="L546" i="66"/>
  <c r="O546" i="66" s="1"/>
  <c r="L688" i="66"/>
  <c r="O688" i="66" s="1"/>
  <c r="L652" i="66"/>
  <c r="O652" i="66" s="1"/>
  <c r="L519" i="66"/>
  <c r="O519" i="66" s="1"/>
  <c r="L538" i="66"/>
  <c r="O538" i="66" s="1"/>
  <c r="L635" i="66"/>
  <c r="O635" i="66" s="1"/>
  <c r="L638" i="66"/>
  <c r="O638" i="66" s="1"/>
  <c r="AG1099" i="62"/>
  <c r="AG457" i="62"/>
  <c r="L221" i="66"/>
  <c r="O221" i="66" s="1"/>
  <c r="L1095" i="66"/>
  <c r="O1095" i="66" s="1"/>
  <c r="AG294" i="62"/>
  <c r="AG98" i="62"/>
  <c r="K7" i="71"/>
  <c r="K13" i="71" s="1"/>
  <c r="AG1064" i="62"/>
  <c r="L1064" i="66"/>
  <c r="O1064" i="66" s="1"/>
  <c r="AG53" i="62"/>
  <c r="L53" i="66"/>
  <c r="O53" i="66" s="1"/>
  <c r="AG513" i="62"/>
  <c r="L513" i="66"/>
  <c r="O513" i="66" s="1"/>
  <c r="AG471" i="62"/>
  <c r="L471" i="66"/>
  <c r="O471" i="66" s="1"/>
  <c r="AG231" i="62"/>
  <c r="L231" i="66"/>
  <c r="O231" i="66" s="1"/>
  <c r="AG58" i="62"/>
  <c r="L58" i="66"/>
  <c r="O58" i="66" s="1"/>
  <c r="AG391" i="62"/>
  <c r="L391" i="66"/>
  <c r="O391" i="66" s="1"/>
  <c r="L321" i="66"/>
  <c r="O321" i="66" s="1"/>
  <c r="AG321" i="62"/>
  <c r="AG114" i="62"/>
  <c r="L114" i="66"/>
  <c r="O114" i="66" s="1"/>
  <c r="L346" i="66"/>
  <c r="O346" i="66" s="1"/>
  <c r="AG346" i="62"/>
  <c r="L54" i="66"/>
  <c r="O54" i="66" s="1"/>
  <c r="AG54" i="62"/>
  <c r="L453" i="66"/>
  <c r="O453" i="66" s="1"/>
  <c r="AG453" i="62"/>
  <c r="AG351" i="62"/>
  <c r="L351" i="66"/>
  <c r="O351" i="66" s="1"/>
  <c r="AG121" i="62"/>
  <c r="L121" i="66"/>
  <c r="O121" i="66" s="1"/>
  <c r="AG783" i="62"/>
  <c r="L783" i="66"/>
  <c r="O783" i="66" s="1"/>
  <c r="L773" i="66"/>
  <c r="O773" i="66" s="1"/>
  <c r="AG773" i="62"/>
  <c r="L784" i="66"/>
  <c r="O784" i="66" s="1"/>
  <c r="AG784" i="62"/>
  <c r="AG230" i="62"/>
  <c r="L230" i="66"/>
  <c r="O230" i="66" s="1"/>
  <c r="AG1060" i="62"/>
  <c r="L412" i="66"/>
  <c r="O412" i="66" s="1"/>
  <c r="L1096" i="66"/>
  <c r="O1096" i="66" s="1"/>
  <c r="L124" i="66"/>
  <c r="O124" i="66" s="1"/>
  <c r="L1021" i="66"/>
  <c r="O1021" i="66" s="1"/>
  <c r="AG1021" i="62"/>
  <c r="L1039" i="66"/>
  <c r="O1039" i="66" s="1"/>
  <c r="AG1039" i="62"/>
  <c r="AG755" i="62"/>
  <c r="L755" i="66"/>
  <c r="O755" i="66" s="1"/>
  <c r="L411" i="66"/>
  <c r="O411" i="66" s="1"/>
  <c r="AG411" i="62"/>
  <c r="L211" i="66"/>
  <c r="O211" i="66" s="1"/>
  <c r="AG211" i="62"/>
  <c r="AG1050" i="62"/>
  <c r="L1050" i="66"/>
  <c r="O1050" i="66" s="1"/>
  <c r="AG314" i="62"/>
  <c r="L314" i="66"/>
  <c r="O314" i="66" s="1"/>
  <c r="AG486" i="62"/>
  <c r="L650" i="66"/>
  <c r="O650" i="66" s="1"/>
  <c r="L641" i="66"/>
  <c r="O641" i="66" s="1"/>
  <c r="L625" i="66"/>
  <c r="O625" i="66" s="1"/>
  <c r="L581" i="66"/>
  <c r="O581" i="66" s="1"/>
  <c r="L720" i="66"/>
  <c r="O720" i="66" s="1"/>
  <c r="L645" i="66"/>
  <c r="O645" i="66" s="1"/>
  <c r="L630" i="66"/>
  <c r="O630" i="66" s="1"/>
  <c r="L586" i="66"/>
  <c r="O586" i="66" s="1"/>
  <c r="L570" i="66"/>
  <c r="O570" i="66" s="1"/>
  <c r="L643" i="66"/>
  <c r="O643" i="66" s="1"/>
  <c r="L627" i="66"/>
  <c r="O627" i="66" s="1"/>
  <c r="L579" i="66"/>
  <c r="O579" i="66" s="1"/>
  <c r="L713" i="66"/>
  <c r="L572" i="66"/>
  <c r="O572" i="66" s="1"/>
  <c r="L530" i="66"/>
  <c r="L640" i="66"/>
  <c r="O640" i="66" s="1"/>
  <c r="L543" i="66"/>
  <c r="O543" i="66" s="1"/>
  <c r="L527" i="66"/>
  <c r="O527" i="66" s="1"/>
  <c r="L584" i="66"/>
  <c r="L532" i="66"/>
  <c r="O532" i="66" s="1"/>
  <c r="L724" i="66"/>
  <c r="O724" i="66" s="1"/>
  <c r="L521" i="66"/>
  <c r="O521" i="66" s="1"/>
  <c r="L628" i="66"/>
  <c r="O628" i="66" s="1"/>
  <c r="L517" i="66"/>
  <c r="O517" i="66" s="1"/>
  <c r="L722" i="66"/>
  <c r="O722" i="66" s="1"/>
  <c r="L646" i="66"/>
  <c r="O646" i="66" s="1"/>
  <c r="L637" i="66"/>
  <c r="O637" i="66" s="1"/>
  <c r="L593" i="66"/>
  <c r="O593" i="66" s="1"/>
  <c r="L577" i="66"/>
  <c r="O577" i="66" s="1"/>
  <c r="L717" i="66"/>
  <c r="O717" i="66" s="1"/>
  <c r="L642" i="66"/>
  <c r="O642" i="66" s="1"/>
  <c r="L626" i="66"/>
  <c r="O626" i="66" s="1"/>
  <c r="L582" i="66"/>
  <c r="O582" i="66" s="1"/>
  <c r="L723" i="66"/>
  <c r="O723" i="66" s="1"/>
  <c r="L639" i="66"/>
  <c r="O639" i="66" s="1"/>
  <c r="L591" i="66"/>
  <c r="O591" i="66" s="1"/>
  <c r="L575" i="66"/>
  <c r="O575" i="66" s="1"/>
  <c r="L649" i="66"/>
  <c r="O649" i="66" s="1"/>
  <c r="L542" i="66"/>
  <c r="O542" i="66" s="1"/>
  <c r="L526" i="66"/>
  <c r="O526" i="66" s="1"/>
  <c r="L632" i="66"/>
  <c r="O632" i="66" s="1"/>
  <c r="L539" i="66"/>
  <c r="O539" i="66" s="1"/>
  <c r="L523" i="66"/>
  <c r="O523" i="66" s="1"/>
  <c r="L576" i="66"/>
  <c r="O576" i="66" s="1"/>
  <c r="L528" i="66"/>
  <c r="O528" i="66" s="1"/>
  <c r="L636" i="66"/>
  <c r="O636" i="66" s="1"/>
  <c r="L716" i="66"/>
  <c r="O716" i="66" s="1"/>
  <c r="L541" i="66"/>
  <c r="O541" i="66" s="1"/>
  <c r="L486" i="66"/>
  <c r="O486" i="66" s="1"/>
  <c r="L719" i="66"/>
  <c r="O719" i="66" s="1"/>
  <c r="L589" i="66"/>
  <c r="O589" i="66" s="1"/>
  <c r="L653" i="66"/>
  <c r="O653" i="66" s="1"/>
  <c r="L594" i="66"/>
  <c r="O594" i="66" s="1"/>
  <c r="L715" i="66"/>
  <c r="O715" i="66" s="1"/>
  <c r="L587" i="66"/>
  <c r="O587" i="66" s="1"/>
  <c r="L588" i="66"/>
  <c r="O588" i="66" s="1"/>
  <c r="L522" i="66"/>
  <c r="L535" i="66"/>
  <c r="O535" i="66" s="1"/>
  <c r="L540" i="66"/>
  <c r="O540" i="66" s="1"/>
  <c r="L537" i="66"/>
  <c r="O537" i="66" s="1"/>
  <c r="L533" i="66"/>
  <c r="O533" i="66" s="1"/>
  <c r="L580" i="66"/>
  <c r="O580" i="66" s="1"/>
  <c r="L647" i="66"/>
  <c r="O647" i="66" s="1"/>
  <c r="L585" i="66"/>
  <c r="O585" i="66" s="1"/>
  <c r="L648" i="66"/>
  <c r="L590" i="66"/>
  <c r="O590" i="66" s="1"/>
  <c r="L651" i="66"/>
  <c r="O651" i="66" s="1"/>
  <c r="L583" i="66"/>
  <c r="O583" i="66" s="1"/>
  <c r="L518" i="66"/>
  <c r="O518" i="66" s="1"/>
  <c r="L531" i="66"/>
  <c r="O531" i="66" s="1"/>
  <c r="L536" i="66"/>
  <c r="O536" i="66" s="1"/>
  <c r="L529" i="66"/>
  <c r="O529" i="66" s="1"/>
  <c r="L525" i="66"/>
  <c r="O525" i="66" s="1"/>
  <c r="L406" i="66"/>
  <c r="O406" i="66" s="1"/>
  <c r="AG406" i="62"/>
  <c r="AG347" i="62"/>
  <c r="L347" i="66"/>
  <c r="O347" i="66" s="1"/>
  <c r="AG772" i="62"/>
  <c r="L772" i="66"/>
  <c r="O772" i="66" s="1"/>
  <c r="AG240" i="62"/>
  <c r="L240" i="66"/>
  <c r="O240" i="66" s="1"/>
  <c r="AG109" i="62"/>
  <c r="L109" i="66"/>
  <c r="O109" i="66" s="1"/>
  <c r="L508" i="66"/>
  <c r="O508" i="66" s="1"/>
  <c r="AG508" i="62"/>
  <c r="L742" i="66"/>
  <c r="O742" i="66" s="1"/>
  <c r="L698" i="66"/>
  <c r="O698" i="66" s="1"/>
  <c r="L751" i="66"/>
  <c r="O751" i="66" s="1"/>
  <c r="L695" i="66"/>
  <c r="O695" i="66" s="1"/>
  <c r="L741" i="66"/>
  <c r="O741" i="66" s="1"/>
  <c r="L701" i="66"/>
  <c r="O701" i="66" s="1"/>
  <c r="L685" i="66"/>
  <c r="O685" i="66" s="1"/>
  <c r="L739" i="66"/>
  <c r="O739" i="66" s="1"/>
  <c r="L567" i="66"/>
  <c r="O567" i="66" s="1"/>
  <c r="L558" i="66"/>
  <c r="O558" i="66" s="1"/>
  <c r="L565" i="66"/>
  <c r="O565" i="66" s="1"/>
  <c r="L547" i="66"/>
  <c r="O547" i="66" s="1"/>
  <c r="L560" i="66"/>
  <c r="O560" i="66" s="1"/>
  <c r="L544" i="66"/>
  <c r="L545" i="66"/>
  <c r="O545" i="66" s="1"/>
  <c r="AG516" i="62"/>
  <c r="L710" i="66"/>
  <c r="O710" i="66" s="1"/>
  <c r="L694" i="66"/>
  <c r="O694" i="66" s="1"/>
  <c r="L743" i="66"/>
  <c r="O743" i="66" s="1"/>
  <c r="L687" i="66"/>
  <c r="O687" i="66" s="1"/>
  <c r="L712" i="66"/>
  <c r="O712" i="66" s="1"/>
  <c r="L696" i="66"/>
  <c r="O696" i="66" s="1"/>
  <c r="L566" i="66"/>
  <c r="O566" i="66" s="1"/>
  <c r="L707" i="66"/>
  <c r="O707" i="66" s="1"/>
  <c r="L705" i="66"/>
  <c r="O705" i="66" s="1"/>
  <c r="L554" i="66"/>
  <c r="O554" i="66" s="1"/>
  <c r="L559" i="66"/>
  <c r="O559" i="66" s="1"/>
  <c r="L748" i="66"/>
  <c r="O748" i="66" s="1"/>
  <c r="L556" i="66"/>
  <c r="O556" i="66" s="1"/>
  <c r="L692" i="66"/>
  <c r="O692" i="66" s="1"/>
  <c r="L702" i="66"/>
  <c r="O702" i="66" s="1"/>
  <c r="L703" i="66"/>
  <c r="O703" i="66" s="1"/>
  <c r="L704" i="66"/>
  <c r="O704" i="66" s="1"/>
  <c r="L747" i="66"/>
  <c r="O747" i="66" s="1"/>
  <c r="L689" i="66"/>
  <c r="O689" i="66" s="1"/>
  <c r="L551" i="66"/>
  <c r="L548" i="66"/>
  <c r="O548" i="66" s="1"/>
  <c r="L708" i="66"/>
  <c r="O708" i="66" s="1"/>
  <c r="L745" i="66"/>
  <c r="O745" i="66" s="1"/>
  <c r="L690" i="66"/>
  <c r="O690" i="66" s="1"/>
  <c r="L749" i="66"/>
  <c r="O749" i="66" s="1"/>
  <c r="L699" i="66"/>
  <c r="O699" i="66" s="1"/>
  <c r="L550" i="66"/>
  <c r="O550" i="66" s="1"/>
  <c r="L561" i="66"/>
  <c r="O561" i="66" s="1"/>
  <c r="L568" i="66"/>
  <c r="O568" i="66" s="1"/>
  <c r="L750" i="66"/>
  <c r="O750" i="66" s="1"/>
  <c r="L693" i="66"/>
  <c r="O693" i="66" s="1"/>
  <c r="L740" i="66"/>
  <c r="O740" i="66" s="1"/>
  <c r="L700" i="66"/>
  <c r="O700" i="66" s="1"/>
  <c r="AG754" i="62"/>
  <c r="L754" i="66"/>
  <c r="O754" i="66" s="1"/>
  <c r="AG278" i="62"/>
  <c r="L278" i="66"/>
  <c r="O278" i="66" s="1"/>
  <c r="L802" i="66"/>
  <c r="O802" i="66" s="1"/>
  <c r="AG462" i="62"/>
  <c r="AG764" i="62"/>
  <c r="L553" i="66"/>
  <c r="O553" i="66" s="1"/>
  <c r="L815" i="66"/>
  <c r="O815" i="66" s="1"/>
  <c r="L810" i="66"/>
  <c r="O810" i="66" s="1"/>
  <c r="L850" i="66"/>
  <c r="O850" i="66" s="1"/>
  <c r="AG116" i="62"/>
  <c r="L777" i="66"/>
  <c r="O777" i="66" s="1"/>
  <c r="L760" i="66"/>
  <c r="O760" i="66" s="1"/>
  <c r="L983" i="66"/>
  <c r="O983" i="66" s="1"/>
  <c r="L549" i="66"/>
  <c r="O549" i="66" s="1"/>
  <c r="L552" i="66"/>
  <c r="O552" i="66" s="1"/>
  <c r="L697" i="66"/>
  <c r="O697" i="66" s="1"/>
  <c r="L709" i="66"/>
  <c r="O709" i="66" s="1"/>
  <c r="L706" i="66"/>
  <c r="O706" i="66" s="1"/>
  <c r="L350" i="66"/>
  <c r="O350" i="66" s="1"/>
  <c r="L757" i="66"/>
  <c r="O757" i="66" s="1"/>
  <c r="L520" i="66"/>
  <c r="O520" i="66" s="1"/>
  <c r="L569" i="66"/>
  <c r="O569" i="66" s="1"/>
  <c r="L721" i="66"/>
  <c r="O721" i="66" s="1"/>
  <c r="L574" i="66"/>
  <c r="O574" i="66" s="1"/>
  <c r="L725" i="66"/>
  <c r="O725" i="66" s="1"/>
  <c r="L714" i="66"/>
  <c r="O714" i="66" s="1"/>
  <c r="AG1045" i="62"/>
  <c r="L469" i="66"/>
  <c r="O469" i="66" s="1"/>
  <c r="L785" i="66"/>
  <c r="O785" i="66" s="1"/>
  <c r="AG756" i="62"/>
  <c r="AG224" i="62"/>
  <c r="L482" i="66"/>
  <c r="O482" i="66" s="1"/>
  <c r="AG507" i="62"/>
  <c r="L113" i="66"/>
  <c r="O113" i="66" s="1"/>
  <c r="AG111" i="62"/>
  <c r="L110" i="66"/>
  <c r="O110" i="66" s="1"/>
  <c r="O1078" i="66"/>
  <c r="O875" i="66"/>
  <c r="AG1053" i="62"/>
  <c r="L1053" i="66"/>
  <c r="O1053" i="66" s="1"/>
  <c r="AG1057" i="62"/>
  <c r="L1057" i="66"/>
  <c r="O1057" i="66" s="1"/>
  <c r="AG1008" i="62"/>
  <c r="L1008" i="66"/>
  <c r="O1008" i="66" s="1"/>
  <c r="AG980" i="62"/>
  <c r="L980" i="66"/>
  <c r="O980" i="66" s="1"/>
  <c r="AG1063" i="62"/>
  <c r="L1063" i="66"/>
  <c r="O1063" i="66" s="1"/>
  <c r="AG464" i="62"/>
  <c r="L464" i="66"/>
  <c r="O464" i="66" s="1"/>
  <c r="AG463" i="62"/>
  <c r="L463" i="66"/>
  <c r="O463" i="66" s="1"/>
  <c r="AG119" i="62"/>
  <c r="L119" i="66"/>
  <c r="O119" i="66" s="1"/>
  <c r="AG283" i="62"/>
  <c r="L283" i="66"/>
  <c r="O283" i="66" s="1"/>
  <c r="AG215" i="62"/>
  <c r="L215" i="66"/>
  <c r="O215" i="66" s="1"/>
  <c r="AG48" i="62"/>
  <c r="L48" i="66"/>
  <c r="O48" i="66" s="1"/>
  <c r="AG308" i="62"/>
  <c r="L308" i="66"/>
  <c r="O308" i="66" s="1"/>
  <c r="AG752" i="62"/>
  <c r="L963" i="66"/>
  <c r="O963" i="66" s="1"/>
  <c r="L955" i="66"/>
  <c r="O955" i="66" s="1"/>
  <c r="L947" i="66"/>
  <c r="O947" i="66" s="1"/>
  <c r="L939" i="66"/>
  <c r="O939" i="66" s="1"/>
  <c r="L931" i="66"/>
  <c r="O931" i="66" s="1"/>
  <c r="L923" i="66"/>
  <c r="O923" i="66" s="1"/>
  <c r="L915" i="66"/>
  <c r="O915" i="66" s="1"/>
  <c r="L907" i="66"/>
  <c r="O907" i="66" s="1"/>
  <c r="L899" i="66"/>
  <c r="L891" i="66"/>
  <c r="O891" i="66" s="1"/>
  <c r="L946" i="66"/>
  <c r="O946" i="66" s="1"/>
  <c r="L914" i="66"/>
  <c r="O914" i="66" s="1"/>
  <c r="L883" i="66"/>
  <c r="O883" i="66" s="1"/>
  <c r="L873" i="66"/>
  <c r="O873" i="66" s="1"/>
  <c r="L865" i="66"/>
  <c r="O865" i="66" s="1"/>
  <c r="L940" i="66"/>
  <c r="O940" i="66" s="1"/>
  <c r="L908" i="66"/>
  <c r="O908" i="66" s="1"/>
  <c r="L888" i="66"/>
  <c r="O888" i="66" s="1"/>
  <c r="L958" i="66"/>
  <c r="O958" i="66" s="1"/>
  <c r="L926" i="66"/>
  <c r="O926" i="66" s="1"/>
  <c r="L894" i="66"/>
  <c r="O894" i="66" s="1"/>
  <c r="L878" i="66"/>
  <c r="O878" i="66" s="1"/>
  <c r="L870" i="66"/>
  <c r="O870" i="66" s="1"/>
  <c r="L752" i="66"/>
  <c r="O752" i="66" s="1"/>
  <c r="L912" i="66"/>
  <c r="O912" i="66" s="1"/>
  <c r="L952" i="66"/>
  <c r="O952" i="66" s="1"/>
  <c r="L884" i="66"/>
  <c r="O884" i="66" s="1"/>
  <c r="L969" i="66"/>
  <c r="O969" i="66" s="1"/>
  <c r="L961" i="66"/>
  <c r="O961" i="66" s="1"/>
  <c r="L953" i="66"/>
  <c r="O953" i="66" s="1"/>
  <c r="L945" i="66"/>
  <c r="O945" i="66" s="1"/>
  <c r="L937" i="66"/>
  <c r="O937" i="66" s="1"/>
  <c r="L929" i="66"/>
  <c r="O929" i="66" s="1"/>
  <c r="L921" i="66"/>
  <c r="O921" i="66" s="1"/>
  <c r="L913" i="66"/>
  <c r="O913" i="66" s="1"/>
  <c r="L905" i="66"/>
  <c r="O905" i="66" s="1"/>
  <c r="L897" i="66"/>
  <c r="O897" i="66" s="1"/>
  <c r="L970" i="66"/>
  <c r="O970" i="66" s="1"/>
  <c r="L938" i="66"/>
  <c r="O938" i="66" s="1"/>
  <c r="L906" i="66"/>
  <c r="O906" i="66" s="1"/>
  <c r="L882" i="66"/>
  <c r="O882" i="66" s="1"/>
  <c r="L871" i="66"/>
  <c r="O871" i="66" s="1"/>
  <c r="L964" i="66"/>
  <c r="O964" i="66" s="1"/>
  <c r="L932" i="66"/>
  <c r="O932" i="66" s="1"/>
  <c r="L900" i="66"/>
  <c r="O900" i="66" s="1"/>
  <c r="L881" i="66"/>
  <c r="O881" i="66" s="1"/>
  <c r="L950" i="66"/>
  <c r="O950" i="66" s="1"/>
  <c r="L918" i="66"/>
  <c r="O918" i="66" s="1"/>
  <c r="L887" i="66"/>
  <c r="O887" i="66" s="1"/>
  <c r="L876" i="66"/>
  <c r="O876" i="66" s="1"/>
  <c r="L868" i="66"/>
  <c r="O868" i="66" s="1"/>
  <c r="L960" i="66"/>
  <c r="O960" i="66" s="1"/>
  <c r="L896" i="66"/>
  <c r="O896" i="66" s="1"/>
  <c r="L936" i="66"/>
  <c r="O936" i="66" s="1"/>
  <c r="L967" i="66"/>
  <c r="O967" i="66" s="1"/>
  <c r="L959" i="66"/>
  <c r="O959" i="66" s="1"/>
  <c r="L951" i="66"/>
  <c r="O951" i="66" s="1"/>
  <c r="L943" i="66"/>
  <c r="O943" i="66" s="1"/>
  <c r="L935" i="66"/>
  <c r="O935" i="66" s="1"/>
  <c r="L927" i="66"/>
  <c r="O927" i="66" s="1"/>
  <c r="L919" i="66"/>
  <c r="O919" i="66" s="1"/>
  <c r="L911" i="66"/>
  <c r="O911" i="66" s="1"/>
  <c r="L903" i="66"/>
  <c r="O903" i="66" s="1"/>
  <c r="L895" i="66"/>
  <c r="O895" i="66" s="1"/>
  <c r="L962" i="66"/>
  <c r="O962" i="66" s="1"/>
  <c r="L930" i="66"/>
  <c r="O930" i="66" s="1"/>
  <c r="L898" i="66"/>
  <c r="O898" i="66" s="1"/>
  <c r="L877" i="66"/>
  <c r="O877" i="66" s="1"/>
  <c r="L869" i="66"/>
  <c r="O869" i="66" s="1"/>
  <c r="L956" i="66"/>
  <c r="O956" i="66" s="1"/>
  <c r="L924" i="66"/>
  <c r="O924" i="66" s="1"/>
  <c r="L892" i="66"/>
  <c r="O892" i="66" s="1"/>
  <c r="L880" i="66"/>
  <c r="O880" i="66" s="1"/>
  <c r="L942" i="66"/>
  <c r="O942" i="66" s="1"/>
  <c r="L910" i="66"/>
  <c r="O910" i="66" s="1"/>
  <c r="L886" i="66"/>
  <c r="O886" i="66" s="1"/>
  <c r="L874" i="66"/>
  <c r="O874" i="66" s="1"/>
  <c r="L866" i="66"/>
  <c r="O866" i="66" s="1"/>
  <c r="L944" i="66"/>
  <c r="O944" i="66" s="1"/>
  <c r="L885" i="66"/>
  <c r="O885" i="66" s="1"/>
  <c r="L920" i="66"/>
  <c r="O920" i="66" s="1"/>
  <c r="AG790" i="62"/>
  <c r="L790" i="66"/>
  <c r="O790" i="66" s="1"/>
  <c r="AG1019" i="62"/>
  <c r="L1022" i="66"/>
  <c r="O1022" i="66" s="1"/>
  <c r="AG984" i="62"/>
  <c r="AG761" i="62"/>
  <c r="L313" i="66"/>
  <c r="O313" i="66" s="1"/>
  <c r="L505" i="66"/>
  <c r="O505" i="66" s="1"/>
  <c r="L928" i="66"/>
  <c r="O928" i="66" s="1"/>
  <c r="L902" i="66"/>
  <c r="O902" i="66" s="1"/>
  <c r="L916" i="66"/>
  <c r="O916" i="66" s="1"/>
  <c r="L890" i="66"/>
  <c r="O890" i="66" s="1"/>
  <c r="L901" i="66"/>
  <c r="O901" i="66" s="1"/>
  <c r="L933" i="66"/>
  <c r="O933" i="66" s="1"/>
  <c r="L965" i="66"/>
  <c r="O965" i="66" s="1"/>
  <c r="L103" i="66"/>
  <c r="O103" i="66" s="1"/>
  <c r="AG997" i="62"/>
  <c r="L455" i="66"/>
  <c r="O455" i="66" s="1"/>
  <c r="AG104" i="62"/>
  <c r="AG1030" i="62"/>
  <c r="L1030" i="66"/>
  <c r="O1030" i="66" s="1"/>
  <c r="AG1042" i="62"/>
  <c r="L1042" i="66"/>
  <c r="O1042" i="66" s="1"/>
  <c r="AG999" i="62"/>
  <c r="L999" i="66"/>
  <c r="O999" i="66" s="1"/>
  <c r="AG229" i="62"/>
  <c r="L229" i="66"/>
  <c r="O229" i="66" s="1"/>
  <c r="AG99" i="62"/>
  <c r="L99" i="66"/>
  <c r="O99" i="66" s="1"/>
  <c r="AG210" i="62"/>
  <c r="L210" i="66"/>
  <c r="O210" i="66" s="1"/>
  <c r="AG451" i="62"/>
  <c r="L451" i="66"/>
  <c r="O451" i="66" s="1"/>
  <c r="AG767" i="62"/>
  <c r="L767" i="66"/>
  <c r="O767" i="66" s="1"/>
  <c r="AG404" i="62"/>
  <c r="L404" i="66"/>
  <c r="O404" i="66" s="1"/>
  <c r="AG123" i="62"/>
  <c r="L123" i="66"/>
  <c r="O123" i="66" s="1"/>
  <c r="AG296" i="62"/>
  <c r="L296" i="66"/>
  <c r="O296" i="66" s="1"/>
  <c r="L989" i="66"/>
  <c r="O989" i="66" s="1"/>
  <c r="AG1090" i="62"/>
  <c r="L277" i="66"/>
  <c r="O277" i="66" s="1"/>
  <c r="L864" i="66"/>
  <c r="O864" i="66" s="1"/>
  <c r="L934" i="66"/>
  <c r="O934" i="66" s="1"/>
  <c r="L948" i="66"/>
  <c r="O948" i="66" s="1"/>
  <c r="L922" i="66"/>
  <c r="O922" i="66" s="1"/>
  <c r="L909" i="66"/>
  <c r="O909" i="66" s="1"/>
  <c r="L941" i="66"/>
  <c r="O941" i="66" s="1"/>
  <c r="L225" i="66"/>
  <c r="O225" i="66" s="1"/>
  <c r="L291" i="66"/>
  <c r="O291" i="66" s="1"/>
  <c r="L237" i="66"/>
  <c r="O237" i="66" s="1"/>
  <c r="L395" i="66"/>
  <c r="O395" i="66" s="1"/>
  <c r="AG238" i="62"/>
  <c r="AG1026" i="62"/>
  <c r="L1012" i="66"/>
  <c r="O1012" i="66" s="1"/>
  <c r="L514" i="66"/>
  <c r="O514" i="66" s="1"/>
  <c r="AG413" i="62"/>
  <c r="AG973" i="62"/>
  <c r="L973" i="66"/>
  <c r="O973" i="66" s="1"/>
  <c r="AG1023" i="62"/>
  <c r="L1023" i="66"/>
  <c r="O1023" i="66" s="1"/>
  <c r="AG1061" i="62"/>
  <c r="L1061" i="66"/>
  <c r="O1061" i="66" s="1"/>
  <c r="AG991" i="62"/>
  <c r="L991" i="66"/>
  <c r="O991" i="66" s="1"/>
  <c r="AG1033" i="62"/>
  <c r="L1033" i="66"/>
  <c r="O1033" i="66" s="1"/>
  <c r="AG282" i="62"/>
  <c r="L282" i="66"/>
  <c r="O282" i="66" s="1"/>
  <c r="AG450" i="62"/>
  <c r="L450" i="66"/>
  <c r="O450" i="66" s="1"/>
  <c r="AG449" i="62"/>
  <c r="L449" i="66"/>
  <c r="O449" i="66" s="1"/>
  <c r="AG480" i="62"/>
  <c r="L480" i="66"/>
  <c r="O480" i="66" s="1"/>
  <c r="AG515" i="62"/>
  <c r="L515" i="66"/>
  <c r="O515" i="66" s="1"/>
  <c r="AG125" i="62"/>
  <c r="L125" i="66"/>
  <c r="O125" i="66" s="1"/>
  <c r="AG407" i="62"/>
  <c r="L407" i="66"/>
  <c r="O407" i="66" s="1"/>
  <c r="AG276" i="62"/>
  <c r="L276" i="66"/>
  <c r="O276" i="66" s="1"/>
  <c r="AG50" i="62"/>
  <c r="L50" i="66"/>
  <c r="O50" i="66" s="1"/>
  <c r="AG352" i="62"/>
  <c r="L352" i="66"/>
  <c r="O352" i="66" s="1"/>
  <c r="AG444" i="62"/>
  <c r="L444" i="66"/>
  <c r="O444" i="66" s="1"/>
  <c r="AG786" i="62"/>
  <c r="L786" i="66"/>
  <c r="O786" i="66" s="1"/>
  <c r="AG780" i="62"/>
  <c r="L780" i="66"/>
  <c r="O780" i="66" s="1"/>
  <c r="AG502" i="62"/>
  <c r="L502" i="66"/>
  <c r="O502" i="66" s="1"/>
  <c r="AG52" i="62"/>
  <c r="L1024" i="66"/>
  <c r="O1024" i="66" s="1"/>
  <c r="AG280" i="62"/>
  <c r="L782" i="66"/>
  <c r="O782" i="66" s="1"/>
  <c r="AG43" i="62"/>
  <c r="L904" i="66"/>
  <c r="O904" i="66" s="1"/>
  <c r="L872" i="66"/>
  <c r="O872" i="66" s="1"/>
  <c r="L966" i="66"/>
  <c r="O966" i="66" s="1"/>
  <c r="L867" i="66"/>
  <c r="O867" i="66" s="1"/>
  <c r="L954" i="66"/>
  <c r="O954" i="66" s="1"/>
  <c r="L917" i="66"/>
  <c r="O917" i="66" s="1"/>
  <c r="L949" i="66"/>
  <c r="O949" i="66" s="1"/>
  <c r="L774" i="66"/>
  <c r="O774" i="66" s="1"/>
  <c r="L1036" i="66"/>
  <c r="O1036" i="66" s="1"/>
  <c r="L341" i="66"/>
  <c r="O341" i="66" s="1"/>
  <c r="AG776" i="62"/>
  <c r="L234" i="66"/>
  <c r="O234" i="66" s="1"/>
  <c r="O530" i="66"/>
  <c r="O713" i="66"/>
  <c r="O534" i="66"/>
  <c r="O629" i="66"/>
  <c r="O564" i="66"/>
  <c r="O624" i="66"/>
  <c r="O522" i="66"/>
  <c r="AG1065" i="62"/>
  <c r="L1032" i="66"/>
  <c r="O1032" i="66" s="1"/>
  <c r="O563" i="66"/>
  <c r="O551" i="66"/>
  <c r="O691" i="66"/>
  <c r="O744" i="66"/>
  <c r="L1027" i="66"/>
  <c r="O1027" i="66" s="1"/>
  <c r="L1062" i="66"/>
  <c r="O1062" i="66" s="1"/>
  <c r="AG988" i="62"/>
  <c r="AG117" i="62"/>
  <c r="L312" i="66"/>
  <c r="O312" i="66" s="1"/>
  <c r="AG410" i="62"/>
  <c r="AG102" i="62"/>
  <c r="AG323" i="62"/>
  <c r="AG1088" i="62"/>
  <c r="L1010" i="66"/>
  <c r="O1010" i="66" s="1"/>
  <c r="L993" i="66"/>
  <c r="O993" i="66" s="1"/>
  <c r="L343" i="66"/>
  <c r="O343" i="66" s="1"/>
  <c r="L400" i="66"/>
  <c r="O400" i="66" s="1"/>
  <c r="O1074" i="66"/>
  <c r="O584" i="66"/>
  <c r="O899" i="66"/>
  <c r="O686" i="66"/>
  <c r="O746" i="66"/>
  <c r="AP5" i="62"/>
  <c r="AQ5" i="62" s="1"/>
  <c r="L1059" i="66"/>
  <c r="O1059" i="66" s="1"/>
  <c r="L805" i="66"/>
  <c r="O805" i="66" s="1"/>
  <c r="L841" i="66"/>
  <c r="O841" i="66" s="1"/>
  <c r="L829" i="66"/>
  <c r="O829" i="66" s="1"/>
  <c r="L833" i="66"/>
  <c r="O833" i="66" s="1"/>
  <c r="L803" i="66"/>
  <c r="O803" i="66" s="1"/>
  <c r="L819" i="66"/>
  <c r="O819" i="66" s="1"/>
  <c r="L835" i="66"/>
  <c r="O835" i="66" s="1"/>
  <c r="L851" i="66"/>
  <c r="O851" i="66" s="1"/>
  <c r="L861" i="66"/>
  <c r="O861" i="66" s="1"/>
  <c r="L804" i="66"/>
  <c r="O804" i="66" s="1"/>
  <c r="L812" i="66"/>
  <c r="O812" i="66" s="1"/>
  <c r="L820" i="66"/>
  <c r="O820" i="66" s="1"/>
  <c r="L828" i="66"/>
  <c r="O828" i="66" s="1"/>
  <c r="L836" i="66"/>
  <c r="O836" i="66" s="1"/>
  <c r="L844" i="66"/>
  <c r="O844" i="66" s="1"/>
  <c r="L852" i="66"/>
  <c r="O852" i="66" s="1"/>
  <c r="L860" i="66"/>
  <c r="O860" i="66" s="1"/>
  <c r="L1035" i="66"/>
  <c r="O1035" i="66" s="1"/>
  <c r="L1003" i="66"/>
  <c r="O1003" i="66" s="1"/>
  <c r="L971" i="66"/>
  <c r="O971" i="66" s="1"/>
  <c r="L1037" i="66"/>
  <c r="O1037" i="66" s="1"/>
  <c r="L1005" i="66"/>
  <c r="O1005" i="66" s="1"/>
  <c r="O1075" i="66"/>
  <c r="L992" i="66"/>
  <c r="O992" i="66" s="1"/>
  <c r="L511" i="66"/>
  <c r="O511" i="66" s="1"/>
  <c r="L298" i="66"/>
  <c r="O298" i="66" s="1"/>
  <c r="L1058" i="66"/>
  <c r="O1058" i="66" s="1"/>
  <c r="L994" i="66"/>
  <c r="O994" i="66" s="1"/>
  <c r="L466" i="66"/>
  <c r="O466" i="66" s="1"/>
  <c r="L284" i="66"/>
  <c r="O284" i="66" s="1"/>
  <c r="L821" i="66"/>
  <c r="O821" i="66" s="1"/>
  <c r="L857" i="66"/>
  <c r="O857" i="66" s="1"/>
  <c r="L845" i="66"/>
  <c r="O845" i="66" s="1"/>
  <c r="L849" i="66"/>
  <c r="O849" i="66" s="1"/>
  <c r="L807" i="66"/>
  <c r="O807" i="66" s="1"/>
  <c r="L823" i="66"/>
  <c r="O823" i="66" s="1"/>
  <c r="L839" i="66"/>
  <c r="O839" i="66" s="1"/>
  <c r="L855" i="66"/>
  <c r="O855" i="66" s="1"/>
  <c r="L863" i="66"/>
  <c r="O863" i="66" s="1"/>
  <c r="L806" i="66"/>
  <c r="O806" i="66" s="1"/>
  <c r="L814" i="66"/>
  <c r="O814" i="66" s="1"/>
  <c r="L822" i="66"/>
  <c r="O822" i="66" s="1"/>
  <c r="L830" i="66"/>
  <c r="O830" i="66" s="1"/>
  <c r="L838" i="66"/>
  <c r="O838" i="66" s="1"/>
  <c r="L846" i="66"/>
  <c r="O846" i="66" s="1"/>
  <c r="L854" i="66"/>
  <c r="O854" i="66" s="1"/>
  <c r="L862" i="66"/>
  <c r="O862" i="66" s="1"/>
  <c r="L1047" i="66"/>
  <c r="O1047" i="66" s="1"/>
  <c r="L1002" i="66"/>
  <c r="O1002" i="66" s="1"/>
  <c r="O1070" i="66"/>
  <c r="L506" i="66"/>
  <c r="O506" i="66" s="1"/>
  <c r="L293" i="66"/>
  <c r="O293" i="66" s="1"/>
  <c r="O634" i="66"/>
  <c r="O648" i="66"/>
  <c r="L981" i="66"/>
  <c r="O981" i="66" s="1"/>
  <c r="L972" i="66"/>
  <c r="O972" i="66" s="1"/>
  <c r="L837" i="66"/>
  <c r="O837" i="66" s="1"/>
  <c r="L809" i="66"/>
  <c r="O809" i="66" s="1"/>
  <c r="L798" i="66"/>
  <c r="O798" i="66" s="1"/>
  <c r="L801" i="66"/>
  <c r="O801" i="66" s="1"/>
  <c r="L796" i="66"/>
  <c r="O796" i="66" s="1"/>
  <c r="L811" i="66"/>
  <c r="O811" i="66" s="1"/>
  <c r="L827" i="66"/>
  <c r="O827" i="66" s="1"/>
  <c r="L843" i="66"/>
  <c r="O843" i="66" s="1"/>
  <c r="L797" i="66"/>
  <c r="O797" i="66" s="1"/>
  <c r="L800" i="66"/>
  <c r="O800" i="66" s="1"/>
  <c r="L808" i="66"/>
  <c r="O808" i="66" s="1"/>
  <c r="L816" i="66"/>
  <c r="O816" i="66" s="1"/>
  <c r="L824" i="66"/>
  <c r="O824" i="66" s="1"/>
  <c r="L832" i="66"/>
  <c r="O832" i="66" s="1"/>
  <c r="L840" i="66"/>
  <c r="O840" i="66" s="1"/>
  <c r="L848" i="66"/>
  <c r="O848" i="66" s="1"/>
  <c r="L856" i="66"/>
  <c r="O856" i="66" s="1"/>
  <c r="O1069" i="66"/>
  <c r="O1076" i="66"/>
  <c r="O633" i="66"/>
  <c r="AC10" i="66"/>
  <c r="L1054" i="66"/>
  <c r="O1054" i="66" s="1"/>
  <c r="L1020" i="66"/>
  <c r="O1020" i="66" s="1"/>
  <c r="O1077" i="66"/>
  <c r="O555" i="66"/>
  <c r="O562" i="66"/>
  <c r="O711" i="66"/>
  <c r="L1051" i="66"/>
  <c r="O1051" i="66" s="1"/>
  <c r="L990" i="66"/>
  <c r="O990" i="66" s="1"/>
  <c r="L1031" i="66"/>
  <c r="O1031" i="66" s="1"/>
  <c r="L1066" i="66"/>
  <c r="O1066" i="66" s="1"/>
  <c r="L1034" i="66"/>
  <c r="O1034" i="66" s="1"/>
  <c r="L1001" i="66"/>
  <c r="O1001" i="66" s="1"/>
  <c r="O1079" i="66"/>
  <c r="O644" i="66"/>
  <c r="O631" i="66"/>
  <c r="L1011" i="66"/>
  <c r="O1011" i="66" s="1"/>
  <c r="L979" i="66"/>
  <c r="O979" i="66" s="1"/>
  <c r="L982" i="66"/>
  <c r="O982" i="66" s="1"/>
  <c r="L1044" i="66"/>
  <c r="O1044" i="66" s="1"/>
  <c r="O557" i="66"/>
  <c r="O544" i="66"/>
  <c r="O718" i="66"/>
  <c r="M7" i="71"/>
  <c r="M13" i="71" s="1"/>
  <c r="Y46" i="58"/>
  <c r="AB5" i="58"/>
  <c r="AB46" i="58" s="1"/>
  <c r="Y46" i="59"/>
  <c r="AB5" i="59"/>
  <c r="G5" i="73" s="1"/>
  <c r="AC12" i="66" l="1"/>
  <c r="AC9" i="66"/>
  <c r="T12" i="66"/>
  <c r="AP4" i="62"/>
  <c r="AQ4" i="62" s="1"/>
  <c r="AP7" i="62"/>
  <c r="AQ7" i="62" s="1"/>
  <c r="AP6" i="62"/>
  <c r="AQ6" i="62" s="1"/>
  <c r="AC11" i="66"/>
  <c r="T10" i="66"/>
  <c r="W12" i="66"/>
  <c r="I14" i="70"/>
  <c r="I15" i="70"/>
  <c r="AP3" i="62"/>
  <c r="AQ3" i="62" s="1"/>
  <c r="AC7" i="66"/>
  <c r="T7" i="66"/>
  <c r="W9" i="66"/>
  <c r="T9" i="66"/>
  <c r="W10" i="66"/>
  <c r="W11" i="66"/>
  <c r="T11" i="66"/>
  <c r="W7" i="66"/>
  <c r="AB46" i="59"/>
  <c r="Z12" i="66" l="1"/>
  <c r="Z10" i="66"/>
  <c r="AH10" i="66" s="1"/>
  <c r="AH12" i="66"/>
  <c r="Z7" i="66"/>
  <c r="AH7" i="66" s="1"/>
  <c r="AP9" i="62"/>
  <c r="AP8" i="62"/>
  <c r="AQ8" i="62" s="1"/>
  <c r="Z9" i="66"/>
  <c r="AH9" i="66" s="1"/>
  <c r="AQ9" i="62"/>
  <c r="Z11" i="66"/>
  <c r="AH11" i="66" s="1"/>
  <c r="AP10" i="62" l="1"/>
  <c r="AQ10" i="62" s="1"/>
  <c r="J2" i="66"/>
  <c r="K2" i="66"/>
  <c r="M2" i="66"/>
  <c r="N2" i="66"/>
  <c r="J3" i="66"/>
  <c r="K3" i="66"/>
  <c r="M3" i="66"/>
  <c r="N3" i="66"/>
  <c r="J4" i="66"/>
  <c r="K4" i="66"/>
  <c r="M4" i="66"/>
  <c r="N4" i="66"/>
  <c r="J5" i="66"/>
  <c r="K5" i="66"/>
  <c r="M5" i="66"/>
  <c r="N5" i="66"/>
  <c r="R5" i="66"/>
  <c r="S5" i="66"/>
  <c r="U5" i="66"/>
  <c r="V5" i="66"/>
  <c r="X5" i="66"/>
  <c r="Y5" i="66"/>
  <c r="AA5" i="66"/>
  <c r="AB5" i="66"/>
  <c r="AF5" i="66"/>
  <c r="AG5" i="66"/>
  <c r="AI5" i="66"/>
  <c r="AJ5" i="66"/>
  <c r="J6" i="66"/>
  <c r="K6" i="66"/>
  <c r="M6" i="66"/>
  <c r="N6" i="66"/>
  <c r="J7" i="66"/>
  <c r="K7" i="66"/>
  <c r="M7" i="66"/>
  <c r="N7" i="66"/>
  <c r="R7" i="66"/>
  <c r="S7" i="66"/>
  <c r="U7" i="66"/>
  <c r="V7" i="66"/>
  <c r="X7" i="66"/>
  <c r="Y7" i="66"/>
  <c r="AA7" i="66"/>
  <c r="AB7" i="66"/>
  <c r="AD7" i="66"/>
  <c r="AE7" i="66"/>
  <c r="AF7" i="66"/>
  <c r="AG7" i="66"/>
  <c r="AI7" i="66"/>
  <c r="AJ7" i="66"/>
  <c r="J8" i="66"/>
  <c r="K8" i="66"/>
  <c r="M8" i="66"/>
  <c r="N8" i="66"/>
  <c r="J9" i="66"/>
  <c r="K9" i="66"/>
  <c r="M9" i="66"/>
  <c r="N9" i="66"/>
  <c r="S9" i="66"/>
  <c r="V9" i="66"/>
  <c r="Y9" i="66"/>
  <c r="AB9" i="66"/>
  <c r="AE9" i="66"/>
  <c r="AG9" i="66"/>
  <c r="AJ9" i="66"/>
  <c r="J10" i="66"/>
  <c r="K10" i="66"/>
  <c r="M10" i="66"/>
  <c r="N10" i="66"/>
  <c r="S10" i="66"/>
  <c r="V10" i="66"/>
  <c r="Y10" i="66"/>
  <c r="AB10" i="66"/>
  <c r="AE10" i="66"/>
  <c r="AG10" i="66"/>
  <c r="AJ10" i="66"/>
  <c r="J11" i="66"/>
  <c r="K11" i="66"/>
  <c r="M11" i="66"/>
  <c r="N11" i="66"/>
  <c r="S11" i="66"/>
  <c r="V11" i="66"/>
  <c r="Y11" i="66"/>
  <c r="AB11" i="66"/>
  <c r="AE11" i="66"/>
  <c r="AG11" i="66"/>
  <c r="AJ11" i="66"/>
  <c r="J12" i="66"/>
  <c r="K12" i="66"/>
  <c r="M12" i="66"/>
  <c r="N12" i="66"/>
  <c r="S12" i="66"/>
  <c r="V12" i="66"/>
  <c r="Y12" i="66"/>
  <c r="AB12" i="66"/>
  <c r="AG12" i="66"/>
  <c r="AJ12" i="66"/>
  <c r="J13" i="66"/>
  <c r="K13" i="66"/>
  <c r="M13" i="66"/>
  <c r="N13" i="66"/>
  <c r="K14" i="66"/>
  <c r="N14" i="66"/>
  <c r="K15" i="66"/>
  <c r="N15" i="66"/>
  <c r="K16" i="66"/>
  <c r="N16" i="66"/>
  <c r="K17" i="66"/>
  <c r="N17" i="66"/>
  <c r="K18" i="66"/>
  <c r="N18" i="66"/>
  <c r="K19" i="66"/>
  <c r="N19" i="66"/>
  <c r="K20" i="66"/>
  <c r="N20" i="66"/>
  <c r="K21" i="66"/>
  <c r="N21" i="66"/>
  <c r="K22" i="66"/>
  <c r="N22" i="66"/>
  <c r="K23" i="66"/>
  <c r="N23" i="66"/>
  <c r="K24" i="66"/>
  <c r="N24" i="66"/>
  <c r="K25" i="66"/>
  <c r="N25" i="66"/>
  <c r="J26" i="66"/>
  <c r="K26" i="66"/>
  <c r="M26" i="66"/>
  <c r="N26" i="66"/>
  <c r="J27" i="66"/>
  <c r="K27" i="66"/>
  <c r="M27" i="66"/>
  <c r="N27" i="66"/>
  <c r="J28" i="66"/>
  <c r="K28" i="66"/>
  <c r="M28" i="66"/>
  <c r="N28" i="66"/>
  <c r="J29" i="66"/>
  <c r="K29" i="66"/>
  <c r="M29" i="66"/>
  <c r="N29" i="66"/>
  <c r="J30" i="66"/>
  <c r="K30" i="66"/>
  <c r="M30" i="66"/>
  <c r="N30" i="66"/>
  <c r="J31" i="66"/>
  <c r="K31" i="66"/>
  <c r="M31" i="66"/>
  <c r="N31" i="66"/>
  <c r="J32" i="66"/>
  <c r="K32" i="66"/>
  <c r="M32" i="66"/>
  <c r="N32" i="66"/>
  <c r="J33" i="66"/>
  <c r="K33" i="66"/>
  <c r="M33" i="66"/>
  <c r="N33" i="66"/>
  <c r="J34" i="66"/>
  <c r="K34" i="66"/>
  <c r="M34" i="66"/>
  <c r="N34" i="66"/>
  <c r="J35" i="66"/>
  <c r="K35" i="66"/>
  <c r="M35" i="66"/>
  <c r="N35" i="66"/>
  <c r="J36" i="66"/>
  <c r="K36" i="66"/>
  <c r="M36" i="66"/>
  <c r="N36" i="66"/>
  <c r="J37" i="66"/>
  <c r="K37" i="66"/>
  <c r="M37" i="66"/>
  <c r="N37" i="66"/>
  <c r="J38" i="66"/>
  <c r="K38" i="66"/>
  <c r="M38" i="66"/>
  <c r="N38" i="66"/>
  <c r="J39" i="66"/>
  <c r="K39" i="66"/>
  <c r="M39" i="66"/>
  <c r="N39" i="66"/>
  <c r="J40" i="66"/>
  <c r="K40" i="66"/>
  <c r="M40" i="66"/>
  <c r="N40" i="66"/>
  <c r="J41" i="66"/>
  <c r="K41" i="66"/>
  <c r="M41" i="66"/>
  <c r="N41" i="66"/>
  <c r="J42" i="66"/>
  <c r="K42" i="66"/>
  <c r="M42" i="66"/>
  <c r="N42" i="66"/>
  <c r="J43" i="66"/>
  <c r="K43" i="66"/>
  <c r="M43" i="66"/>
  <c r="N43" i="66"/>
  <c r="J44" i="66"/>
  <c r="K44" i="66"/>
  <c r="M44" i="66"/>
  <c r="N44" i="66"/>
  <c r="J45" i="66"/>
  <c r="K45" i="66"/>
  <c r="M45" i="66"/>
  <c r="N45" i="66"/>
  <c r="J46" i="66"/>
  <c r="K46" i="66"/>
  <c r="M46" i="66"/>
  <c r="N46" i="66"/>
  <c r="J47" i="66"/>
  <c r="K47" i="66"/>
  <c r="M47" i="66"/>
  <c r="N47" i="66"/>
  <c r="J48" i="66"/>
  <c r="K48" i="66"/>
  <c r="M48" i="66"/>
  <c r="N48" i="66"/>
  <c r="J49" i="66"/>
  <c r="K49" i="66"/>
  <c r="M49" i="66"/>
  <c r="N49" i="66"/>
  <c r="J50" i="66"/>
  <c r="K50" i="66"/>
  <c r="M50" i="66"/>
  <c r="N50" i="66"/>
  <c r="J51" i="66"/>
  <c r="K51" i="66"/>
  <c r="M51" i="66"/>
  <c r="N51" i="66"/>
  <c r="J52" i="66"/>
  <c r="K52" i="66"/>
  <c r="M52" i="66"/>
  <c r="N52" i="66"/>
  <c r="J53" i="66"/>
  <c r="K53" i="66"/>
  <c r="M53" i="66"/>
  <c r="N53" i="66"/>
  <c r="J54" i="66"/>
  <c r="K54" i="66"/>
  <c r="M54" i="66"/>
  <c r="N54" i="66"/>
  <c r="J55" i="66"/>
  <c r="K55" i="66"/>
  <c r="M55" i="66"/>
  <c r="N55" i="66"/>
  <c r="J56" i="66"/>
  <c r="K56" i="66"/>
  <c r="M56" i="66"/>
  <c r="N56" i="66"/>
  <c r="J57" i="66"/>
  <c r="K57" i="66"/>
  <c r="M57" i="66"/>
  <c r="N57" i="66"/>
  <c r="J58" i="66"/>
  <c r="K58" i="66"/>
  <c r="M58" i="66"/>
  <c r="N58" i="66"/>
  <c r="J59" i="66"/>
  <c r="K59" i="66"/>
  <c r="M59" i="66"/>
  <c r="N59" i="66"/>
  <c r="J60" i="66"/>
  <c r="K60" i="66"/>
  <c r="M60" i="66"/>
  <c r="N60" i="66"/>
  <c r="J61" i="66"/>
  <c r="K61" i="66"/>
  <c r="M61" i="66"/>
  <c r="N61" i="66"/>
  <c r="J62" i="66"/>
  <c r="K62" i="66"/>
  <c r="M62" i="66"/>
  <c r="N62" i="66"/>
  <c r="J63" i="66"/>
  <c r="K63" i="66"/>
  <c r="M63" i="66"/>
  <c r="N63" i="66"/>
  <c r="J64" i="66"/>
  <c r="K64" i="66"/>
  <c r="M64" i="66"/>
  <c r="N64" i="66"/>
  <c r="J65" i="66"/>
  <c r="K65" i="66"/>
  <c r="M65" i="66"/>
  <c r="N65" i="66"/>
  <c r="J66" i="66"/>
  <c r="K66" i="66"/>
  <c r="M66" i="66"/>
  <c r="N66" i="66"/>
  <c r="J67" i="66"/>
  <c r="K67" i="66"/>
  <c r="M67" i="66"/>
  <c r="N67" i="66"/>
  <c r="J68" i="66"/>
  <c r="K68" i="66"/>
  <c r="M68" i="66"/>
  <c r="N68" i="66"/>
  <c r="J69" i="66"/>
  <c r="K69" i="66"/>
  <c r="M69" i="66"/>
  <c r="N69" i="66"/>
  <c r="J70" i="66"/>
  <c r="K70" i="66"/>
  <c r="M70" i="66"/>
  <c r="N70" i="66"/>
  <c r="J71" i="66"/>
  <c r="K71" i="66"/>
  <c r="M71" i="66"/>
  <c r="N71" i="66"/>
  <c r="J72" i="66"/>
  <c r="K72" i="66"/>
  <c r="M72" i="66"/>
  <c r="N72" i="66"/>
  <c r="J73" i="66"/>
  <c r="K73" i="66"/>
  <c r="M73" i="66"/>
  <c r="N73" i="66"/>
  <c r="K74" i="66"/>
  <c r="N74" i="66"/>
  <c r="K75" i="66"/>
  <c r="N75" i="66"/>
  <c r="K76" i="66"/>
  <c r="N76" i="66"/>
  <c r="K77" i="66"/>
  <c r="N77" i="66"/>
  <c r="K78" i="66"/>
  <c r="N78" i="66"/>
  <c r="K79" i="66"/>
  <c r="N79" i="66"/>
  <c r="K80" i="66"/>
  <c r="N80" i="66"/>
  <c r="K81" i="66"/>
  <c r="N81" i="66"/>
  <c r="K82" i="66"/>
  <c r="N82" i="66"/>
  <c r="K83" i="66"/>
  <c r="N83" i="66"/>
  <c r="K84" i="66"/>
  <c r="N84" i="66"/>
  <c r="K85" i="66"/>
  <c r="N85" i="66"/>
  <c r="J86" i="66"/>
  <c r="K86" i="66"/>
  <c r="M86" i="66"/>
  <c r="N86" i="66"/>
  <c r="J87" i="66"/>
  <c r="K87" i="66"/>
  <c r="M87" i="66"/>
  <c r="N87" i="66"/>
  <c r="J88" i="66"/>
  <c r="K88" i="66"/>
  <c r="M88" i="66"/>
  <c r="N88" i="66"/>
  <c r="J89" i="66"/>
  <c r="K89" i="66"/>
  <c r="M89" i="66"/>
  <c r="N89" i="66"/>
  <c r="J90" i="66"/>
  <c r="K90" i="66"/>
  <c r="M90" i="66"/>
  <c r="N90" i="66"/>
  <c r="J91" i="66"/>
  <c r="K91" i="66"/>
  <c r="M91" i="66"/>
  <c r="N91" i="66"/>
  <c r="J92" i="66"/>
  <c r="K92" i="66"/>
  <c r="M92" i="66"/>
  <c r="N92" i="66"/>
  <c r="J93" i="66"/>
  <c r="K93" i="66"/>
  <c r="M93" i="66"/>
  <c r="N93" i="66"/>
  <c r="J94" i="66"/>
  <c r="K94" i="66"/>
  <c r="M94" i="66"/>
  <c r="N94" i="66"/>
  <c r="J95" i="66"/>
  <c r="K95" i="66"/>
  <c r="M95" i="66"/>
  <c r="N95" i="66"/>
  <c r="J96" i="66"/>
  <c r="K96" i="66"/>
  <c r="M96" i="66"/>
  <c r="N96" i="66"/>
  <c r="J97" i="66"/>
  <c r="K97" i="66"/>
  <c r="M97" i="66"/>
  <c r="N97" i="66"/>
  <c r="J98" i="66"/>
  <c r="K98" i="66"/>
  <c r="M98" i="66"/>
  <c r="N98" i="66"/>
  <c r="J99" i="66"/>
  <c r="K99" i="66"/>
  <c r="M99" i="66"/>
  <c r="N99" i="66"/>
  <c r="J100" i="66"/>
  <c r="K100" i="66"/>
  <c r="M100" i="66"/>
  <c r="N100" i="66"/>
  <c r="J101" i="66"/>
  <c r="K101" i="66"/>
  <c r="M101" i="66"/>
  <c r="N101" i="66"/>
  <c r="J102" i="66"/>
  <c r="K102" i="66"/>
  <c r="M102" i="66"/>
  <c r="N102" i="66"/>
  <c r="J103" i="66"/>
  <c r="K103" i="66"/>
  <c r="M103" i="66"/>
  <c r="N103" i="66"/>
  <c r="J104" i="66"/>
  <c r="K104" i="66"/>
  <c r="M104" i="66"/>
  <c r="N104" i="66"/>
  <c r="J105" i="66"/>
  <c r="K105" i="66"/>
  <c r="M105" i="66"/>
  <c r="N105" i="66"/>
  <c r="J106" i="66"/>
  <c r="K106" i="66"/>
  <c r="M106" i="66"/>
  <c r="N106" i="66"/>
  <c r="J107" i="66"/>
  <c r="K107" i="66"/>
  <c r="M107" i="66"/>
  <c r="N107" i="66"/>
  <c r="J108" i="66"/>
  <c r="K108" i="66"/>
  <c r="M108" i="66"/>
  <c r="N108" i="66"/>
  <c r="J109" i="66"/>
  <c r="K109" i="66"/>
  <c r="M109" i="66"/>
  <c r="N109" i="66"/>
  <c r="J110" i="66"/>
  <c r="K110" i="66"/>
  <c r="M110" i="66"/>
  <c r="N110" i="66"/>
  <c r="J111" i="66"/>
  <c r="K111" i="66"/>
  <c r="M111" i="66"/>
  <c r="N111" i="66"/>
  <c r="J112" i="66"/>
  <c r="K112" i="66"/>
  <c r="M112" i="66"/>
  <c r="N112" i="66"/>
  <c r="J113" i="66"/>
  <c r="K113" i="66"/>
  <c r="M113" i="66"/>
  <c r="N113" i="66"/>
  <c r="J114" i="66"/>
  <c r="K114" i="66"/>
  <c r="M114" i="66"/>
  <c r="N114" i="66"/>
  <c r="J115" i="66"/>
  <c r="K115" i="66"/>
  <c r="M115" i="66"/>
  <c r="N115" i="66"/>
  <c r="J116" i="66"/>
  <c r="K116" i="66"/>
  <c r="M116" i="66"/>
  <c r="N116" i="66"/>
  <c r="J117" i="66"/>
  <c r="K117" i="66"/>
  <c r="M117" i="66"/>
  <c r="N117" i="66"/>
  <c r="J118" i="66"/>
  <c r="K118" i="66"/>
  <c r="M118" i="66"/>
  <c r="N118" i="66"/>
  <c r="J119" i="66"/>
  <c r="K119" i="66"/>
  <c r="M119" i="66"/>
  <c r="N119" i="66"/>
  <c r="J120" i="66"/>
  <c r="K120" i="66"/>
  <c r="M120" i="66"/>
  <c r="N120" i="66"/>
  <c r="J121" i="66"/>
  <c r="K121" i="66"/>
  <c r="M121" i="66"/>
  <c r="N121" i="66"/>
  <c r="J122" i="66"/>
  <c r="K122" i="66"/>
  <c r="M122" i="66"/>
  <c r="N122" i="66"/>
  <c r="J123" i="66"/>
  <c r="K123" i="66"/>
  <c r="M123" i="66"/>
  <c r="N123" i="66"/>
  <c r="J124" i="66"/>
  <c r="K124" i="66"/>
  <c r="M124" i="66"/>
  <c r="N124" i="66"/>
  <c r="J125" i="66"/>
  <c r="K125" i="66"/>
  <c r="M125" i="66"/>
  <c r="N125" i="66"/>
  <c r="J126" i="66"/>
  <c r="M126" i="66"/>
  <c r="J127" i="66"/>
  <c r="M127" i="66"/>
  <c r="J128" i="66"/>
  <c r="M128" i="66"/>
  <c r="J129" i="66"/>
  <c r="M129" i="66"/>
  <c r="J130" i="66"/>
  <c r="M130" i="66"/>
  <c r="J131" i="66"/>
  <c r="M131" i="66"/>
  <c r="J132" i="66"/>
  <c r="M132" i="66"/>
  <c r="J133" i="66"/>
  <c r="M133" i="66"/>
  <c r="J134" i="66"/>
  <c r="M134" i="66"/>
  <c r="J135" i="66"/>
  <c r="M135" i="66"/>
  <c r="J136" i="66"/>
  <c r="M136" i="66"/>
  <c r="J137" i="66"/>
  <c r="M137" i="66"/>
  <c r="J138" i="66"/>
  <c r="M138" i="66"/>
  <c r="J139" i="66"/>
  <c r="M139" i="66"/>
  <c r="J140" i="66"/>
  <c r="M140" i="66"/>
  <c r="J141" i="66"/>
  <c r="M141" i="66"/>
  <c r="J142" i="66"/>
  <c r="M142" i="66"/>
  <c r="J143" i="66"/>
  <c r="M143" i="66"/>
  <c r="J144" i="66"/>
  <c r="M144" i="66"/>
  <c r="J145" i="66"/>
  <c r="M145" i="66"/>
  <c r="J146" i="66"/>
  <c r="M146" i="66"/>
  <c r="J147" i="66"/>
  <c r="M147" i="66"/>
  <c r="J148" i="66"/>
  <c r="M148" i="66"/>
  <c r="J149" i="66"/>
  <c r="M149" i="66"/>
  <c r="J150" i="66"/>
  <c r="M150" i="66"/>
  <c r="J151" i="66"/>
  <c r="M151" i="66"/>
  <c r="J152" i="66"/>
  <c r="M152" i="66"/>
  <c r="J153" i="66"/>
  <c r="M153" i="66"/>
  <c r="J154" i="66"/>
  <c r="M154" i="66"/>
  <c r="J155" i="66"/>
  <c r="M155" i="66"/>
  <c r="J156" i="66"/>
  <c r="M156" i="66"/>
  <c r="J157" i="66"/>
  <c r="M157" i="66"/>
  <c r="J158" i="66"/>
  <c r="M158" i="66"/>
  <c r="J159" i="66"/>
  <c r="M159" i="66"/>
  <c r="J160" i="66"/>
  <c r="M160" i="66"/>
  <c r="J161" i="66"/>
  <c r="M161" i="66"/>
  <c r="J162" i="66"/>
  <c r="M162" i="66"/>
  <c r="J163" i="66"/>
  <c r="M163" i="66"/>
  <c r="J164" i="66"/>
  <c r="M164" i="66"/>
  <c r="J165" i="66"/>
  <c r="M165" i="66"/>
  <c r="J166" i="66"/>
  <c r="M166" i="66"/>
  <c r="J167" i="66"/>
  <c r="M167" i="66"/>
  <c r="J168" i="66"/>
  <c r="M168" i="66"/>
  <c r="J169" i="66"/>
  <c r="M169" i="66"/>
  <c r="J170" i="66"/>
  <c r="M170" i="66"/>
  <c r="J171" i="66"/>
  <c r="M171" i="66"/>
  <c r="J172" i="66"/>
  <c r="M172" i="66"/>
  <c r="J173" i="66"/>
  <c r="M173" i="66"/>
  <c r="J174" i="66"/>
  <c r="M174" i="66"/>
  <c r="J175" i="66"/>
  <c r="M175" i="66"/>
  <c r="J176" i="66"/>
  <c r="M176" i="66"/>
  <c r="J177" i="66"/>
  <c r="M177" i="66"/>
  <c r="J178" i="66"/>
  <c r="M178" i="66"/>
  <c r="J179" i="66"/>
  <c r="M179" i="66"/>
  <c r="J180" i="66"/>
  <c r="M180" i="66"/>
  <c r="J181" i="66"/>
  <c r="M181" i="66"/>
  <c r="J182" i="66"/>
  <c r="M182" i="66"/>
  <c r="J183" i="66"/>
  <c r="M183" i="66"/>
  <c r="J184" i="66"/>
  <c r="M184" i="66"/>
  <c r="J185" i="66"/>
  <c r="M185" i="66"/>
  <c r="J186" i="66"/>
  <c r="M186" i="66"/>
  <c r="J187" i="66"/>
  <c r="M187" i="66"/>
  <c r="J188" i="66"/>
  <c r="M188" i="66"/>
  <c r="J189" i="66"/>
  <c r="M189" i="66"/>
  <c r="J190" i="66"/>
  <c r="M190" i="66"/>
  <c r="J191" i="66"/>
  <c r="M191" i="66"/>
  <c r="J192" i="66"/>
  <c r="M192" i="66"/>
  <c r="J193" i="66"/>
  <c r="M193" i="66"/>
  <c r="J194" i="66"/>
  <c r="M194" i="66"/>
  <c r="J195" i="66"/>
  <c r="M195" i="66"/>
  <c r="J196" i="66"/>
  <c r="M196" i="66"/>
  <c r="J197" i="66"/>
  <c r="M197" i="66"/>
  <c r="J198" i="66"/>
  <c r="M198" i="66"/>
  <c r="J199" i="66"/>
  <c r="M199" i="66"/>
  <c r="J200" i="66"/>
  <c r="M200" i="66"/>
  <c r="J201" i="66"/>
  <c r="M201" i="66"/>
  <c r="J202" i="66"/>
  <c r="M202" i="66"/>
  <c r="J203" i="66"/>
  <c r="M203" i="66"/>
  <c r="J204" i="66"/>
  <c r="M204" i="66"/>
  <c r="J205" i="66"/>
  <c r="M205" i="66"/>
  <c r="J206" i="66"/>
  <c r="M206" i="66"/>
  <c r="J207" i="66"/>
  <c r="M207" i="66"/>
  <c r="J208" i="66"/>
  <c r="M208" i="66"/>
  <c r="J209" i="66"/>
  <c r="M209" i="66"/>
  <c r="K210" i="66"/>
  <c r="N210" i="66"/>
  <c r="K211" i="66"/>
  <c r="N211" i="66"/>
  <c r="K212" i="66"/>
  <c r="N212" i="66"/>
  <c r="K213" i="66"/>
  <c r="N213" i="66"/>
  <c r="K214" i="66"/>
  <c r="N214" i="66"/>
  <c r="K215" i="66"/>
  <c r="N215" i="66"/>
  <c r="K216" i="66"/>
  <c r="N216" i="66"/>
  <c r="K217" i="66"/>
  <c r="N217" i="66"/>
  <c r="K218" i="66"/>
  <c r="N218" i="66"/>
  <c r="K219" i="66"/>
  <c r="N219" i="66"/>
  <c r="K220" i="66"/>
  <c r="N220" i="66"/>
  <c r="K221" i="66"/>
  <c r="N221" i="66"/>
  <c r="K222" i="66"/>
  <c r="N222" i="66"/>
  <c r="K223" i="66"/>
  <c r="N223" i="66"/>
  <c r="K224" i="66"/>
  <c r="N224" i="66"/>
  <c r="K225" i="66"/>
  <c r="N225" i="66"/>
  <c r="K226" i="66"/>
  <c r="N226" i="66"/>
  <c r="K227" i="66"/>
  <c r="N227" i="66"/>
  <c r="K228" i="66"/>
  <c r="N228" i="66"/>
  <c r="K229" i="66"/>
  <c r="N229" i="66"/>
  <c r="K230" i="66"/>
  <c r="N230" i="66"/>
  <c r="K231" i="66"/>
  <c r="N231" i="66"/>
  <c r="K232" i="66"/>
  <c r="N232" i="66"/>
  <c r="K233" i="66"/>
  <c r="N233" i="66"/>
  <c r="K234" i="66"/>
  <c r="N234" i="66"/>
  <c r="K235" i="66"/>
  <c r="N235" i="66"/>
  <c r="K236" i="66"/>
  <c r="N236" i="66"/>
  <c r="K237" i="66"/>
  <c r="N237" i="66"/>
  <c r="K238" i="66"/>
  <c r="N238" i="66"/>
  <c r="K239" i="66"/>
  <c r="N239" i="66"/>
  <c r="K240" i="66"/>
  <c r="N240" i="66"/>
  <c r="K241" i="66"/>
  <c r="N241" i="66"/>
  <c r="K242" i="66"/>
  <c r="N242" i="66"/>
  <c r="J243" i="66"/>
  <c r="M243" i="66"/>
  <c r="J244" i="66"/>
  <c r="M244" i="66"/>
  <c r="J245" i="66"/>
  <c r="M245" i="66"/>
  <c r="J246" i="66"/>
  <c r="M246" i="66"/>
  <c r="J247" i="66"/>
  <c r="M247" i="66"/>
  <c r="J248" i="66"/>
  <c r="M248" i="66"/>
  <c r="J249" i="66"/>
  <c r="M249" i="66"/>
  <c r="J250" i="66"/>
  <c r="M250" i="66"/>
  <c r="J251" i="66"/>
  <c r="M251" i="66"/>
  <c r="J252" i="66"/>
  <c r="M252" i="66"/>
  <c r="J253" i="66"/>
  <c r="M253" i="66"/>
  <c r="J254" i="66"/>
  <c r="M254" i="66"/>
  <c r="J255" i="66"/>
  <c r="M255" i="66"/>
  <c r="J256" i="66"/>
  <c r="M256" i="66"/>
  <c r="J257" i="66"/>
  <c r="M257" i="66"/>
  <c r="J258" i="66"/>
  <c r="M258" i="66"/>
  <c r="J259" i="66"/>
  <c r="M259" i="66"/>
  <c r="J260" i="66"/>
  <c r="M260" i="66"/>
  <c r="J261" i="66"/>
  <c r="M261" i="66"/>
  <c r="J262" i="66"/>
  <c r="M262" i="66"/>
  <c r="J263" i="66"/>
  <c r="M263" i="66"/>
  <c r="J264" i="66"/>
  <c r="M264" i="66"/>
  <c r="J265" i="66"/>
  <c r="M265" i="66"/>
  <c r="J266" i="66"/>
  <c r="M266" i="66"/>
  <c r="J267" i="66"/>
  <c r="M267" i="66"/>
  <c r="J268" i="66"/>
  <c r="M268" i="66"/>
  <c r="J269" i="66"/>
  <c r="M269" i="66"/>
  <c r="J270" i="66"/>
  <c r="M270" i="66"/>
  <c r="J271" i="66"/>
  <c r="M271" i="66"/>
  <c r="J272" i="66"/>
  <c r="M272" i="66"/>
  <c r="J273" i="66"/>
  <c r="M273" i="66"/>
  <c r="J274" i="66"/>
  <c r="M274" i="66"/>
  <c r="J275" i="66"/>
  <c r="M275" i="66"/>
  <c r="K276" i="66"/>
  <c r="N276" i="66"/>
  <c r="K277" i="66"/>
  <c r="N277" i="66"/>
  <c r="K278" i="66"/>
  <c r="N278" i="66"/>
  <c r="K279" i="66"/>
  <c r="N279" i="66"/>
  <c r="K280" i="66"/>
  <c r="N280" i="66"/>
  <c r="K281" i="66"/>
  <c r="N281" i="66"/>
  <c r="K282" i="66"/>
  <c r="N282" i="66"/>
  <c r="K283" i="66"/>
  <c r="N283" i="66"/>
  <c r="K284" i="66"/>
  <c r="N284" i="66"/>
  <c r="K285" i="66"/>
  <c r="N285" i="66"/>
  <c r="K286" i="66"/>
  <c r="N286" i="66"/>
  <c r="K287" i="66"/>
  <c r="N287" i="66"/>
  <c r="K288" i="66"/>
  <c r="N288" i="66"/>
  <c r="K289" i="66"/>
  <c r="N289" i="66"/>
  <c r="K290" i="66"/>
  <c r="N290" i="66"/>
  <c r="K291" i="66"/>
  <c r="N291" i="66"/>
  <c r="K292" i="66"/>
  <c r="N292" i="66"/>
  <c r="K293" i="66"/>
  <c r="N293" i="66"/>
  <c r="K294" i="66"/>
  <c r="N294" i="66"/>
  <c r="K295" i="66"/>
  <c r="N295" i="66"/>
  <c r="K296" i="66"/>
  <c r="N296" i="66"/>
  <c r="K297" i="66"/>
  <c r="N297" i="66"/>
  <c r="K298" i="66"/>
  <c r="N298" i="66"/>
  <c r="K299" i="66"/>
  <c r="N299" i="66"/>
  <c r="K300" i="66"/>
  <c r="N300" i="66"/>
  <c r="K301" i="66"/>
  <c r="N301" i="66"/>
  <c r="K302" i="66"/>
  <c r="N302" i="66"/>
  <c r="K303" i="66"/>
  <c r="N303" i="66"/>
  <c r="K304" i="66"/>
  <c r="N304" i="66"/>
  <c r="K305" i="66"/>
  <c r="N305" i="66"/>
  <c r="K306" i="66"/>
  <c r="N306" i="66"/>
  <c r="K307" i="66"/>
  <c r="N307" i="66"/>
  <c r="K308" i="66"/>
  <c r="N308" i="66"/>
  <c r="K309" i="66"/>
  <c r="N309" i="66"/>
  <c r="K310" i="66"/>
  <c r="N310" i="66"/>
  <c r="K311" i="66"/>
  <c r="N311" i="66"/>
  <c r="K312" i="66"/>
  <c r="N312" i="66"/>
  <c r="K313" i="66"/>
  <c r="N313" i="66"/>
  <c r="K314" i="66"/>
  <c r="N314" i="66"/>
  <c r="K315" i="66"/>
  <c r="N315" i="66"/>
  <c r="K316" i="66"/>
  <c r="N316" i="66"/>
  <c r="K317" i="66"/>
  <c r="N317" i="66"/>
  <c r="K318" i="66"/>
  <c r="N318" i="66"/>
  <c r="K319" i="66"/>
  <c r="N319" i="66"/>
  <c r="K320" i="66"/>
  <c r="N320" i="66"/>
  <c r="K321" i="66"/>
  <c r="N321" i="66"/>
  <c r="K322" i="66"/>
  <c r="N322" i="66"/>
  <c r="K323" i="66"/>
  <c r="N323" i="66"/>
  <c r="J324" i="66"/>
  <c r="M324" i="66"/>
  <c r="J325" i="66"/>
  <c r="M325" i="66"/>
  <c r="J326" i="66"/>
  <c r="M326" i="66"/>
  <c r="J327" i="66"/>
  <c r="M327" i="66"/>
  <c r="J328" i="66"/>
  <c r="M328" i="66"/>
  <c r="J329" i="66"/>
  <c r="M329" i="66"/>
  <c r="J330" i="66"/>
  <c r="M330" i="66"/>
  <c r="J331" i="66"/>
  <c r="M331" i="66"/>
  <c r="J332" i="66"/>
  <c r="M332" i="66"/>
  <c r="J333" i="66"/>
  <c r="M333" i="66"/>
  <c r="J334" i="66"/>
  <c r="M334" i="66"/>
  <c r="J335" i="66"/>
  <c r="M335" i="66"/>
  <c r="J336" i="66"/>
  <c r="M336" i="66"/>
  <c r="J337" i="66"/>
  <c r="M337" i="66"/>
  <c r="J338" i="66"/>
  <c r="M338" i="66"/>
  <c r="K339" i="66"/>
  <c r="N339" i="66"/>
  <c r="K340" i="66"/>
  <c r="N340" i="66"/>
  <c r="K341" i="66"/>
  <c r="N341" i="66"/>
  <c r="K342" i="66"/>
  <c r="N342" i="66"/>
  <c r="K343" i="66"/>
  <c r="N343" i="66"/>
  <c r="K344" i="66"/>
  <c r="N344" i="66"/>
  <c r="K345" i="66"/>
  <c r="N345" i="66"/>
  <c r="K346" i="66"/>
  <c r="N346" i="66"/>
  <c r="K347" i="66"/>
  <c r="N347" i="66"/>
  <c r="K348" i="66"/>
  <c r="N348" i="66"/>
  <c r="K349" i="66"/>
  <c r="N349" i="66"/>
  <c r="K350" i="66"/>
  <c r="N350" i="66"/>
  <c r="K351" i="66"/>
  <c r="N351" i="66"/>
  <c r="K352" i="66"/>
  <c r="N352" i="66"/>
  <c r="K353" i="66"/>
  <c r="N353" i="66"/>
  <c r="K354" i="66"/>
  <c r="N354" i="66"/>
  <c r="K355" i="66"/>
  <c r="N355" i="66"/>
  <c r="K356" i="66"/>
  <c r="N356" i="66"/>
  <c r="K357" i="66"/>
  <c r="N357" i="66"/>
  <c r="K358" i="66"/>
  <c r="N358" i="66"/>
  <c r="K359" i="66"/>
  <c r="N359" i="66"/>
  <c r="K360" i="66"/>
  <c r="N360" i="66"/>
  <c r="K361" i="66"/>
  <c r="N361" i="66"/>
  <c r="K362" i="66"/>
  <c r="N362" i="66"/>
  <c r="K363" i="66"/>
  <c r="N363" i="66"/>
  <c r="K364" i="66"/>
  <c r="N364" i="66"/>
  <c r="K365" i="66"/>
  <c r="N365" i="66"/>
  <c r="J366" i="66"/>
  <c r="M366" i="66"/>
  <c r="J367" i="66"/>
  <c r="M367" i="66"/>
  <c r="J368" i="66"/>
  <c r="M368" i="66"/>
  <c r="J369" i="66"/>
  <c r="M369" i="66"/>
  <c r="J370" i="66"/>
  <c r="M370" i="66"/>
  <c r="J371" i="66"/>
  <c r="M371" i="66"/>
  <c r="J372" i="66"/>
  <c r="M372" i="66"/>
  <c r="J373" i="66"/>
  <c r="M373" i="66"/>
  <c r="J374" i="66"/>
  <c r="M374" i="66"/>
  <c r="J375" i="66"/>
  <c r="M375" i="66"/>
  <c r="J376" i="66"/>
  <c r="M376" i="66"/>
  <c r="J377" i="66"/>
  <c r="M377" i="66"/>
  <c r="K378" i="66"/>
  <c r="N378" i="66"/>
  <c r="K379" i="66"/>
  <c r="N379" i="66"/>
  <c r="K380" i="66"/>
  <c r="N380" i="66"/>
  <c r="K381" i="66"/>
  <c r="N381" i="66"/>
  <c r="K382" i="66"/>
  <c r="N382" i="66"/>
  <c r="K383" i="66"/>
  <c r="N383" i="66"/>
  <c r="K384" i="66"/>
  <c r="N384" i="66"/>
  <c r="K385" i="66"/>
  <c r="N385" i="66"/>
  <c r="K386" i="66"/>
  <c r="N386" i="66"/>
  <c r="K387" i="66"/>
  <c r="N387" i="66"/>
  <c r="K388" i="66"/>
  <c r="N388" i="66"/>
  <c r="K389" i="66"/>
  <c r="N389" i="66"/>
  <c r="K390" i="66"/>
  <c r="N390" i="66"/>
  <c r="K391" i="66"/>
  <c r="N391" i="66"/>
  <c r="K392" i="66"/>
  <c r="N392" i="66"/>
  <c r="K393" i="66"/>
  <c r="N393" i="66"/>
  <c r="K394" i="66"/>
  <c r="N394" i="66"/>
  <c r="K395" i="66"/>
  <c r="N395" i="66"/>
  <c r="K396" i="66"/>
  <c r="N396" i="66"/>
  <c r="K397" i="66"/>
  <c r="N397" i="66"/>
  <c r="K398" i="66"/>
  <c r="N398" i="66"/>
  <c r="K399" i="66"/>
  <c r="N399" i="66"/>
  <c r="K400" i="66"/>
  <c r="N400" i="66"/>
  <c r="K401" i="66"/>
  <c r="N401" i="66"/>
  <c r="K402" i="66"/>
  <c r="N402" i="66"/>
  <c r="K403" i="66"/>
  <c r="N403" i="66"/>
  <c r="K404" i="66"/>
  <c r="N404" i="66"/>
  <c r="K405" i="66"/>
  <c r="N405" i="66"/>
  <c r="K406" i="66"/>
  <c r="N406" i="66"/>
  <c r="K407" i="66"/>
  <c r="N407" i="66"/>
  <c r="K408" i="66"/>
  <c r="N408" i="66"/>
  <c r="K409" i="66"/>
  <c r="N409" i="66"/>
  <c r="K410" i="66"/>
  <c r="N410" i="66"/>
  <c r="K411" i="66"/>
  <c r="N411" i="66"/>
  <c r="K412" i="66"/>
  <c r="N412" i="66"/>
  <c r="K413" i="66"/>
  <c r="N413" i="66"/>
  <c r="K414" i="66"/>
  <c r="N414" i="66"/>
  <c r="K415" i="66"/>
  <c r="N415" i="66"/>
  <c r="K416" i="66"/>
  <c r="N416" i="66"/>
  <c r="J417" i="66"/>
  <c r="M417" i="66"/>
  <c r="J418" i="66"/>
  <c r="M418" i="66"/>
  <c r="J419" i="66"/>
  <c r="M419" i="66"/>
  <c r="J420" i="66"/>
  <c r="M420" i="66"/>
  <c r="J421" i="66"/>
  <c r="M421" i="66"/>
  <c r="J422" i="66"/>
  <c r="M422" i="66"/>
  <c r="J423" i="66"/>
  <c r="M423" i="66"/>
  <c r="J424" i="66"/>
  <c r="M424" i="66"/>
  <c r="J425" i="66"/>
  <c r="M425" i="66"/>
  <c r="J426" i="66"/>
  <c r="M426" i="66"/>
  <c r="J427" i="66"/>
  <c r="M427" i="66"/>
  <c r="J428" i="66"/>
  <c r="M428" i="66"/>
  <c r="J429" i="66"/>
  <c r="M429" i="66"/>
  <c r="J430" i="66"/>
  <c r="M430" i="66"/>
  <c r="J431" i="66"/>
  <c r="M431" i="66"/>
  <c r="J432" i="66"/>
  <c r="M432" i="66"/>
  <c r="J433" i="66"/>
  <c r="M433" i="66"/>
  <c r="J434" i="66"/>
  <c r="M434" i="66"/>
  <c r="J435" i="66"/>
  <c r="M435" i="66"/>
  <c r="J436" i="66"/>
  <c r="M436" i="66"/>
  <c r="J437" i="66"/>
  <c r="M437" i="66"/>
  <c r="J438" i="66"/>
  <c r="M438" i="66"/>
  <c r="J439" i="66"/>
  <c r="M439" i="66"/>
  <c r="J440" i="66"/>
  <c r="M440" i="66"/>
  <c r="J441" i="66"/>
  <c r="M441" i="66"/>
  <c r="J442" i="66"/>
  <c r="M442" i="66"/>
  <c r="J443" i="66"/>
  <c r="M443" i="66"/>
  <c r="K444" i="66"/>
  <c r="N444" i="66"/>
  <c r="K445" i="66"/>
  <c r="N445" i="66"/>
  <c r="K446" i="66"/>
  <c r="N446" i="66"/>
  <c r="K447" i="66"/>
  <c r="N447" i="66"/>
  <c r="K448" i="66"/>
  <c r="N448" i="66"/>
  <c r="K449" i="66"/>
  <c r="N449" i="66"/>
  <c r="K450" i="66"/>
  <c r="N450" i="66"/>
  <c r="K451" i="66"/>
  <c r="N451" i="66"/>
  <c r="K452" i="66"/>
  <c r="N452" i="66"/>
  <c r="K453" i="66"/>
  <c r="N453" i="66"/>
  <c r="K454" i="66"/>
  <c r="N454" i="66"/>
  <c r="K455" i="66"/>
  <c r="N455" i="66"/>
  <c r="K456" i="66"/>
  <c r="N456" i="66"/>
  <c r="K457" i="66"/>
  <c r="N457" i="66"/>
  <c r="K458" i="66"/>
  <c r="N458" i="66"/>
  <c r="K459" i="66"/>
  <c r="N459" i="66"/>
  <c r="K460" i="66"/>
  <c r="N460" i="66"/>
  <c r="K461" i="66"/>
  <c r="N461" i="66"/>
  <c r="K462" i="66"/>
  <c r="N462" i="66"/>
  <c r="K463" i="66"/>
  <c r="N463" i="66"/>
  <c r="K464" i="66"/>
  <c r="N464" i="66"/>
  <c r="K465" i="66"/>
  <c r="N465" i="66"/>
  <c r="K466" i="66"/>
  <c r="N466" i="66"/>
  <c r="K467" i="66"/>
  <c r="N467" i="66"/>
  <c r="K468" i="66"/>
  <c r="N468" i="66"/>
  <c r="K469" i="66"/>
  <c r="N469" i="66"/>
  <c r="K470" i="66"/>
  <c r="N470" i="66"/>
  <c r="K471" i="66"/>
  <c r="N471" i="66"/>
  <c r="K472" i="66"/>
  <c r="N472" i="66"/>
  <c r="K473" i="66"/>
  <c r="N473" i="66"/>
  <c r="K474" i="66"/>
  <c r="N474" i="66"/>
  <c r="K475" i="66"/>
  <c r="N475" i="66"/>
  <c r="K476" i="66"/>
  <c r="N476" i="66"/>
  <c r="K477" i="66"/>
  <c r="N477" i="66"/>
  <c r="K478" i="66"/>
  <c r="N478" i="66"/>
  <c r="K479" i="66"/>
  <c r="N479" i="66"/>
  <c r="K480" i="66"/>
  <c r="N480" i="66"/>
  <c r="K481" i="66"/>
  <c r="N481" i="66"/>
  <c r="K482" i="66"/>
  <c r="N482" i="66"/>
  <c r="K483" i="66"/>
  <c r="N483" i="66"/>
  <c r="K484" i="66"/>
  <c r="N484" i="66"/>
  <c r="K485" i="66"/>
  <c r="N485" i="66"/>
  <c r="K486" i="66"/>
  <c r="N486" i="66"/>
  <c r="J487" i="66"/>
  <c r="M487" i="66"/>
  <c r="J488" i="66"/>
  <c r="M488" i="66"/>
  <c r="J489" i="66"/>
  <c r="M489" i="66"/>
  <c r="J490" i="66"/>
  <c r="M490" i="66"/>
  <c r="J491" i="66"/>
  <c r="M491" i="66"/>
  <c r="J492" i="66"/>
  <c r="M492" i="66"/>
  <c r="J493" i="66"/>
  <c r="M493" i="66"/>
  <c r="J494" i="66"/>
  <c r="M494" i="66"/>
  <c r="J495" i="66"/>
  <c r="M495" i="66"/>
  <c r="J496" i="66"/>
  <c r="M496" i="66"/>
  <c r="J497" i="66"/>
  <c r="M497" i="66"/>
  <c r="J498" i="66"/>
  <c r="M498" i="66"/>
  <c r="J499" i="66"/>
  <c r="M499" i="66"/>
  <c r="J500" i="66"/>
  <c r="M500" i="66"/>
  <c r="J501" i="66"/>
  <c r="M501" i="66"/>
  <c r="K502" i="66"/>
  <c r="N502" i="66"/>
  <c r="K503" i="66"/>
  <c r="N503" i="66"/>
  <c r="K504" i="66"/>
  <c r="N504" i="66"/>
  <c r="K505" i="66"/>
  <c r="N505" i="66"/>
  <c r="K506" i="66"/>
  <c r="N506" i="66"/>
  <c r="K507" i="66"/>
  <c r="N507" i="66"/>
  <c r="K508" i="66"/>
  <c r="N508" i="66"/>
  <c r="K509" i="66"/>
  <c r="N509" i="66"/>
  <c r="K510" i="66"/>
  <c r="N510" i="66"/>
  <c r="K511" i="66"/>
  <c r="N511" i="66"/>
  <c r="K512" i="66"/>
  <c r="N512" i="66"/>
  <c r="K513" i="66"/>
  <c r="N513" i="66"/>
  <c r="K514" i="66"/>
  <c r="N514" i="66"/>
  <c r="K515" i="66"/>
  <c r="N515" i="66"/>
  <c r="K516" i="66"/>
  <c r="N516" i="66"/>
  <c r="K517" i="66"/>
  <c r="N517" i="66"/>
  <c r="K518" i="66"/>
  <c r="N518" i="66"/>
  <c r="K519" i="66"/>
  <c r="N519" i="66"/>
  <c r="K520" i="66"/>
  <c r="N520" i="66"/>
  <c r="K521" i="66"/>
  <c r="N521" i="66"/>
  <c r="K522" i="66"/>
  <c r="N522" i="66"/>
  <c r="K523" i="66"/>
  <c r="N523" i="66"/>
  <c r="K524" i="66"/>
  <c r="N524" i="66"/>
  <c r="K525" i="66"/>
  <c r="N525" i="66"/>
  <c r="K526" i="66"/>
  <c r="N526" i="66"/>
  <c r="K527" i="66"/>
  <c r="N527" i="66"/>
  <c r="K528" i="66"/>
  <c r="N528" i="66"/>
  <c r="K529" i="66"/>
  <c r="N529" i="66"/>
  <c r="K530" i="66"/>
  <c r="N530" i="66"/>
  <c r="K531" i="66"/>
  <c r="N531" i="66"/>
  <c r="K532" i="66"/>
  <c r="N532" i="66"/>
  <c r="K533" i="66"/>
  <c r="N533" i="66"/>
  <c r="K534" i="66"/>
  <c r="N534" i="66"/>
  <c r="K535" i="66"/>
  <c r="N535" i="66"/>
  <c r="K536" i="66"/>
  <c r="N536" i="66"/>
  <c r="K537" i="66"/>
  <c r="N537" i="66"/>
  <c r="K538" i="66"/>
  <c r="N538" i="66"/>
  <c r="K539" i="66"/>
  <c r="N539" i="66"/>
  <c r="K540" i="66"/>
  <c r="N540" i="66"/>
  <c r="K541" i="66"/>
  <c r="N541" i="66"/>
  <c r="K542" i="66"/>
  <c r="N542" i="66"/>
  <c r="K543" i="66"/>
  <c r="N543" i="66"/>
  <c r="K544" i="66"/>
  <c r="N544" i="66"/>
  <c r="K545" i="66"/>
  <c r="N545" i="66"/>
  <c r="K546" i="66"/>
  <c r="N546" i="66"/>
  <c r="K547" i="66"/>
  <c r="N547" i="66"/>
  <c r="K548" i="66"/>
  <c r="N548" i="66"/>
  <c r="K549" i="66"/>
  <c r="N549" i="66"/>
  <c r="K550" i="66"/>
  <c r="N550" i="66"/>
  <c r="K551" i="66"/>
  <c r="N551" i="66"/>
  <c r="K552" i="66"/>
  <c r="N552" i="66"/>
  <c r="K553" i="66"/>
  <c r="N553" i="66"/>
  <c r="K554" i="66"/>
  <c r="N554" i="66"/>
  <c r="K555" i="66"/>
  <c r="N555" i="66"/>
  <c r="K556" i="66"/>
  <c r="N556" i="66"/>
  <c r="K557" i="66"/>
  <c r="N557" i="66"/>
  <c r="K558" i="66"/>
  <c r="N558" i="66"/>
  <c r="K559" i="66"/>
  <c r="N559" i="66"/>
  <c r="K560" i="66"/>
  <c r="N560" i="66"/>
  <c r="K561" i="66"/>
  <c r="N561" i="66"/>
  <c r="K562" i="66"/>
  <c r="N562" i="66"/>
  <c r="K563" i="66"/>
  <c r="N563" i="66"/>
  <c r="K564" i="66"/>
  <c r="N564" i="66"/>
  <c r="K565" i="66"/>
  <c r="N565" i="66"/>
  <c r="K566" i="66"/>
  <c r="N566" i="66"/>
  <c r="K567" i="66"/>
  <c r="N567" i="66"/>
  <c r="K568" i="66"/>
  <c r="N568" i="66"/>
  <c r="K569" i="66"/>
  <c r="N569" i="66"/>
  <c r="K570" i="66"/>
  <c r="N570" i="66"/>
  <c r="K571" i="66"/>
  <c r="N571" i="66"/>
  <c r="K572" i="66"/>
  <c r="N572" i="66"/>
  <c r="K573" i="66"/>
  <c r="N573" i="66"/>
  <c r="K574" i="66"/>
  <c r="N574" i="66"/>
  <c r="K575" i="66"/>
  <c r="N575" i="66"/>
  <c r="K576" i="66"/>
  <c r="N576" i="66"/>
  <c r="K577" i="66"/>
  <c r="N577" i="66"/>
  <c r="K578" i="66"/>
  <c r="N578" i="66"/>
  <c r="K579" i="66"/>
  <c r="N579" i="66"/>
  <c r="K580" i="66"/>
  <c r="N580" i="66"/>
  <c r="K581" i="66"/>
  <c r="N581" i="66"/>
  <c r="K582" i="66"/>
  <c r="N582" i="66"/>
  <c r="K583" i="66"/>
  <c r="N583" i="66"/>
  <c r="K584" i="66"/>
  <c r="N584" i="66"/>
  <c r="K585" i="66"/>
  <c r="N585" i="66"/>
  <c r="K586" i="66"/>
  <c r="N586" i="66"/>
  <c r="K587" i="66"/>
  <c r="N587" i="66"/>
  <c r="K588" i="66"/>
  <c r="N588" i="66"/>
  <c r="K589" i="66"/>
  <c r="N589" i="66"/>
  <c r="K590" i="66"/>
  <c r="N590" i="66"/>
  <c r="K591" i="66"/>
  <c r="N591" i="66"/>
  <c r="K592" i="66"/>
  <c r="N592" i="66"/>
  <c r="K593" i="66"/>
  <c r="N593" i="66"/>
  <c r="K594" i="66"/>
  <c r="N594" i="66"/>
  <c r="J595" i="66"/>
  <c r="M595" i="66"/>
  <c r="J596" i="66"/>
  <c r="M596" i="66"/>
  <c r="J597" i="66"/>
  <c r="M597" i="66"/>
  <c r="J598" i="66"/>
  <c r="M598" i="66"/>
  <c r="J599" i="66"/>
  <c r="M599" i="66"/>
  <c r="J600" i="66"/>
  <c r="M600" i="66"/>
  <c r="J601" i="66"/>
  <c r="M601" i="66"/>
  <c r="J602" i="66"/>
  <c r="M602" i="66"/>
  <c r="J603" i="66"/>
  <c r="M603" i="66"/>
  <c r="J604" i="66"/>
  <c r="M604" i="66"/>
  <c r="J605" i="66"/>
  <c r="M605" i="66"/>
  <c r="J606" i="66"/>
  <c r="M606" i="66"/>
  <c r="J607" i="66"/>
  <c r="M607" i="66"/>
  <c r="J608" i="66"/>
  <c r="M608" i="66"/>
  <c r="J609" i="66"/>
  <c r="M609" i="66"/>
  <c r="J610" i="66"/>
  <c r="M610" i="66"/>
  <c r="J611" i="66"/>
  <c r="M611" i="66"/>
  <c r="J612" i="66"/>
  <c r="M612" i="66"/>
  <c r="J613" i="66"/>
  <c r="M613" i="66"/>
  <c r="J614" i="66"/>
  <c r="M614" i="66"/>
  <c r="J615" i="66"/>
  <c r="M615" i="66"/>
  <c r="J616" i="66"/>
  <c r="M616" i="66"/>
  <c r="J617" i="66"/>
  <c r="M617" i="66"/>
  <c r="J618" i="66"/>
  <c r="M618" i="66"/>
  <c r="J619" i="66"/>
  <c r="M619" i="66"/>
  <c r="J620" i="66"/>
  <c r="M620" i="66"/>
  <c r="J621" i="66"/>
  <c r="M621" i="66"/>
  <c r="J622" i="66"/>
  <c r="M622" i="66"/>
  <c r="J623" i="66"/>
  <c r="M623" i="66"/>
  <c r="K624" i="66"/>
  <c r="N624" i="66"/>
  <c r="K625" i="66"/>
  <c r="N625" i="66"/>
  <c r="K626" i="66"/>
  <c r="N626" i="66"/>
  <c r="K627" i="66"/>
  <c r="N627" i="66"/>
  <c r="K628" i="66"/>
  <c r="N628" i="66"/>
  <c r="K629" i="66"/>
  <c r="N629" i="66"/>
  <c r="K630" i="66"/>
  <c r="N630" i="66"/>
  <c r="K631" i="66"/>
  <c r="N631" i="66"/>
  <c r="K632" i="66"/>
  <c r="N632" i="66"/>
  <c r="K633" i="66"/>
  <c r="N633" i="66"/>
  <c r="K634" i="66"/>
  <c r="N634" i="66"/>
  <c r="K635" i="66"/>
  <c r="N635" i="66"/>
  <c r="K636" i="66"/>
  <c r="N636" i="66"/>
  <c r="K637" i="66"/>
  <c r="N637" i="66"/>
  <c r="K638" i="66"/>
  <c r="N638" i="66"/>
  <c r="K639" i="66"/>
  <c r="N639" i="66"/>
  <c r="K640" i="66"/>
  <c r="N640" i="66"/>
  <c r="K641" i="66"/>
  <c r="N641" i="66"/>
  <c r="K642" i="66"/>
  <c r="N642" i="66"/>
  <c r="K643" i="66"/>
  <c r="N643" i="66"/>
  <c r="K644" i="66"/>
  <c r="N644" i="66"/>
  <c r="K645" i="66"/>
  <c r="N645" i="66"/>
  <c r="K646" i="66"/>
  <c r="N646" i="66"/>
  <c r="K647" i="66"/>
  <c r="N647" i="66"/>
  <c r="K648" i="66"/>
  <c r="N648" i="66"/>
  <c r="K649" i="66"/>
  <c r="N649" i="66"/>
  <c r="K650" i="66"/>
  <c r="N650" i="66"/>
  <c r="K651" i="66"/>
  <c r="N651" i="66"/>
  <c r="K652" i="66"/>
  <c r="N652" i="66"/>
  <c r="K653" i="66"/>
  <c r="N653" i="66"/>
  <c r="J654" i="66"/>
  <c r="M654" i="66"/>
  <c r="J655" i="66"/>
  <c r="M655" i="66"/>
  <c r="J656" i="66"/>
  <c r="M656" i="66"/>
  <c r="J657" i="66"/>
  <c r="M657" i="66"/>
  <c r="J658" i="66"/>
  <c r="M658" i="66"/>
  <c r="J659" i="66"/>
  <c r="M659" i="66"/>
  <c r="J660" i="66"/>
  <c r="M660" i="66"/>
  <c r="J661" i="66"/>
  <c r="M661" i="66"/>
  <c r="J662" i="66"/>
  <c r="M662" i="66"/>
  <c r="J663" i="66"/>
  <c r="M663" i="66"/>
  <c r="J664" i="66"/>
  <c r="M664" i="66"/>
  <c r="J665" i="66"/>
  <c r="M665" i="66"/>
  <c r="J666" i="66"/>
  <c r="M666" i="66"/>
  <c r="J667" i="66"/>
  <c r="M667" i="66"/>
  <c r="J668" i="66"/>
  <c r="M668" i="66"/>
  <c r="J669" i="66"/>
  <c r="M669" i="66"/>
  <c r="J670" i="66"/>
  <c r="M670" i="66"/>
  <c r="J671" i="66"/>
  <c r="M671" i="66"/>
  <c r="J672" i="66"/>
  <c r="M672" i="66"/>
  <c r="J673" i="66"/>
  <c r="M673" i="66"/>
  <c r="J674" i="66"/>
  <c r="M674" i="66"/>
  <c r="J675" i="66"/>
  <c r="M675" i="66"/>
  <c r="J676" i="66"/>
  <c r="M676" i="66"/>
  <c r="J677" i="66"/>
  <c r="M677" i="66"/>
  <c r="J678" i="66"/>
  <c r="M678" i="66"/>
  <c r="J679" i="66"/>
  <c r="M679" i="66"/>
  <c r="J680" i="66"/>
  <c r="M680" i="66"/>
  <c r="J681" i="66"/>
  <c r="M681" i="66"/>
  <c r="J682" i="66"/>
  <c r="M682" i="66"/>
  <c r="J683" i="66"/>
  <c r="M683" i="66"/>
  <c r="K684" i="66"/>
  <c r="N684" i="66"/>
  <c r="K685" i="66"/>
  <c r="N685" i="66"/>
  <c r="K686" i="66"/>
  <c r="N686" i="66"/>
  <c r="K687" i="66"/>
  <c r="N687" i="66"/>
  <c r="K688" i="66"/>
  <c r="N688" i="66"/>
  <c r="K689" i="66"/>
  <c r="N689" i="66"/>
  <c r="K690" i="66"/>
  <c r="N690" i="66"/>
  <c r="K691" i="66"/>
  <c r="N691" i="66"/>
  <c r="K692" i="66"/>
  <c r="N692" i="66"/>
  <c r="K693" i="66"/>
  <c r="N693" i="66"/>
  <c r="K694" i="66"/>
  <c r="N694" i="66"/>
  <c r="K695" i="66"/>
  <c r="N695" i="66"/>
  <c r="K696" i="66"/>
  <c r="N696" i="66"/>
  <c r="K697" i="66"/>
  <c r="N697" i="66"/>
  <c r="K698" i="66"/>
  <c r="N698" i="66"/>
  <c r="K699" i="66"/>
  <c r="N699" i="66"/>
  <c r="K700" i="66"/>
  <c r="N700" i="66"/>
  <c r="K701" i="66"/>
  <c r="N701" i="66"/>
  <c r="K702" i="66"/>
  <c r="N702" i="66"/>
  <c r="K703" i="66"/>
  <c r="N703" i="66"/>
  <c r="K704" i="66"/>
  <c r="N704" i="66"/>
  <c r="K705" i="66"/>
  <c r="N705" i="66"/>
  <c r="K706" i="66"/>
  <c r="N706" i="66"/>
  <c r="K707" i="66"/>
  <c r="N707" i="66"/>
  <c r="K708" i="66"/>
  <c r="N708" i="66"/>
  <c r="K709" i="66"/>
  <c r="N709" i="66"/>
  <c r="K710" i="66"/>
  <c r="N710" i="66"/>
  <c r="K711" i="66"/>
  <c r="N711" i="66"/>
  <c r="K712" i="66"/>
  <c r="N712" i="66"/>
  <c r="K713" i="66"/>
  <c r="N713" i="66"/>
  <c r="K714" i="66"/>
  <c r="N714" i="66"/>
  <c r="K715" i="66"/>
  <c r="N715" i="66"/>
  <c r="K716" i="66"/>
  <c r="N716" i="66"/>
  <c r="K717" i="66"/>
  <c r="N717" i="66"/>
  <c r="K718" i="66"/>
  <c r="N718" i="66"/>
  <c r="K719" i="66"/>
  <c r="N719" i="66"/>
  <c r="K720" i="66"/>
  <c r="N720" i="66"/>
  <c r="K721" i="66"/>
  <c r="N721" i="66"/>
  <c r="K722" i="66"/>
  <c r="N722" i="66"/>
  <c r="K723" i="66"/>
  <c r="N723" i="66"/>
  <c r="K724" i="66"/>
  <c r="N724" i="66"/>
  <c r="K725" i="66"/>
  <c r="N725" i="66"/>
  <c r="J726" i="66"/>
  <c r="M726" i="66"/>
  <c r="J727" i="66"/>
  <c r="M727" i="66"/>
  <c r="J728" i="66"/>
  <c r="M728" i="66"/>
  <c r="J729" i="66"/>
  <c r="M729" i="66"/>
  <c r="J730" i="66"/>
  <c r="M730" i="66"/>
  <c r="J731" i="66"/>
  <c r="M731" i="66"/>
  <c r="J732" i="66"/>
  <c r="M732" i="66"/>
  <c r="J733" i="66"/>
  <c r="M733" i="66"/>
  <c r="J734" i="66"/>
  <c r="M734" i="66"/>
  <c r="J735" i="66"/>
  <c r="M735" i="66"/>
  <c r="J736" i="66"/>
  <c r="M736" i="66"/>
  <c r="J737" i="66"/>
  <c r="M737" i="66"/>
  <c r="J738" i="66"/>
  <c r="M738" i="66"/>
  <c r="K739" i="66"/>
  <c r="N739" i="66"/>
  <c r="K740" i="66"/>
  <c r="N740" i="66"/>
  <c r="K741" i="66"/>
  <c r="N741" i="66"/>
  <c r="K742" i="66"/>
  <c r="N742" i="66"/>
  <c r="K743" i="66"/>
  <c r="N743" i="66"/>
  <c r="K744" i="66"/>
  <c r="N744" i="66"/>
  <c r="K745" i="66"/>
  <c r="N745" i="66"/>
  <c r="K746" i="66"/>
  <c r="N746" i="66"/>
  <c r="K747" i="66"/>
  <c r="N747" i="66"/>
  <c r="K748" i="66"/>
  <c r="N748" i="66"/>
  <c r="K749" i="66"/>
  <c r="N749" i="66"/>
  <c r="K750" i="66"/>
  <c r="N750" i="66"/>
  <c r="K751" i="66"/>
  <c r="N751" i="66"/>
  <c r="K752" i="66"/>
  <c r="N752" i="66"/>
  <c r="K753" i="66"/>
  <c r="N753" i="66"/>
  <c r="K754" i="66"/>
  <c r="N754" i="66"/>
  <c r="K755" i="66"/>
  <c r="N755" i="66"/>
  <c r="K756" i="66"/>
  <c r="N756" i="66"/>
  <c r="K757" i="66"/>
  <c r="N757" i="66"/>
  <c r="K758" i="66"/>
  <c r="N758" i="66"/>
  <c r="K759" i="66"/>
  <c r="N759" i="66"/>
  <c r="K760" i="66"/>
  <c r="N760" i="66"/>
  <c r="K761" i="66"/>
  <c r="N761" i="66"/>
  <c r="K762" i="66"/>
  <c r="N762" i="66"/>
  <c r="K763" i="66"/>
  <c r="N763" i="66"/>
  <c r="K764" i="66"/>
  <c r="N764" i="66"/>
  <c r="K765" i="66"/>
  <c r="N765" i="66"/>
  <c r="K766" i="66"/>
  <c r="N766" i="66"/>
  <c r="K767" i="66"/>
  <c r="N767" i="66"/>
  <c r="K768" i="66"/>
  <c r="N768" i="66"/>
  <c r="K769" i="66"/>
  <c r="N769" i="66"/>
  <c r="K770" i="66"/>
  <c r="N770" i="66"/>
  <c r="K771" i="66"/>
  <c r="N771" i="66"/>
  <c r="K772" i="66"/>
  <c r="N772" i="66"/>
  <c r="K773" i="66"/>
  <c r="N773" i="66"/>
  <c r="K774" i="66"/>
  <c r="N774" i="66"/>
  <c r="K775" i="66"/>
  <c r="N775" i="66"/>
  <c r="K776" i="66"/>
  <c r="N776" i="66"/>
  <c r="K777" i="66"/>
  <c r="N777" i="66"/>
  <c r="K778" i="66"/>
  <c r="N778" i="66"/>
  <c r="K779" i="66"/>
  <c r="N779" i="66"/>
  <c r="K780" i="66"/>
  <c r="N780" i="66"/>
  <c r="K781" i="66"/>
  <c r="N781" i="66"/>
  <c r="K782" i="66"/>
  <c r="N782" i="66"/>
  <c r="K783" i="66"/>
  <c r="N783" i="66"/>
  <c r="K784" i="66"/>
  <c r="N784" i="66"/>
  <c r="K785" i="66"/>
  <c r="N785" i="66"/>
  <c r="K786" i="66"/>
  <c r="N786" i="66"/>
  <c r="K787" i="66"/>
  <c r="N787" i="66"/>
  <c r="K788" i="66"/>
  <c r="N788" i="66"/>
  <c r="K789" i="66"/>
  <c r="N789" i="66"/>
  <c r="K790" i="66"/>
  <c r="N790" i="66"/>
  <c r="K791" i="66"/>
  <c r="N791" i="66"/>
  <c r="K792" i="66"/>
  <c r="N792" i="66"/>
  <c r="K793" i="66"/>
  <c r="N793" i="66"/>
  <c r="K794" i="66"/>
  <c r="N794" i="66"/>
  <c r="K795" i="66"/>
  <c r="N795" i="66"/>
  <c r="K796" i="66"/>
  <c r="N796" i="66"/>
  <c r="K797" i="66"/>
  <c r="N797" i="66"/>
  <c r="K798" i="66"/>
  <c r="N798" i="66"/>
  <c r="K799" i="66"/>
  <c r="N799" i="66"/>
  <c r="K800" i="66"/>
  <c r="N800" i="66"/>
  <c r="K801" i="66"/>
  <c r="N801" i="66"/>
  <c r="K802" i="66"/>
  <c r="N802" i="66"/>
  <c r="K803" i="66"/>
  <c r="N803" i="66"/>
  <c r="K804" i="66"/>
  <c r="N804" i="66"/>
  <c r="K805" i="66"/>
  <c r="N805" i="66"/>
  <c r="K806" i="66"/>
  <c r="N806" i="66"/>
  <c r="K807" i="66"/>
  <c r="N807" i="66"/>
  <c r="K808" i="66"/>
  <c r="N808" i="66"/>
  <c r="K809" i="66"/>
  <c r="N809" i="66"/>
  <c r="K810" i="66"/>
  <c r="N810" i="66"/>
  <c r="K811" i="66"/>
  <c r="N811" i="66"/>
  <c r="K812" i="66"/>
  <c r="N812" i="66"/>
  <c r="K813" i="66"/>
  <c r="N813" i="66"/>
  <c r="K814" i="66"/>
  <c r="N814" i="66"/>
  <c r="K815" i="66"/>
  <c r="N815" i="66"/>
  <c r="K816" i="66"/>
  <c r="N816" i="66"/>
  <c r="K817" i="66"/>
  <c r="N817" i="66"/>
  <c r="K818" i="66"/>
  <c r="N818" i="66"/>
  <c r="K819" i="66"/>
  <c r="N819" i="66"/>
  <c r="K820" i="66"/>
  <c r="N820" i="66"/>
  <c r="K821" i="66"/>
  <c r="N821" i="66"/>
  <c r="K822" i="66"/>
  <c r="N822" i="66"/>
  <c r="K823" i="66"/>
  <c r="N823" i="66"/>
  <c r="K824" i="66"/>
  <c r="N824" i="66"/>
  <c r="K825" i="66"/>
  <c r="N825" i="66"/>
  <c r="K826" i="66"/>
  <c r="N826" i="66"/>
  <c r="K827" i="66"/>
  <c r="N827" i="66"/>
  <c r="K828" i="66"/>
  <c r="N828" i="66"/>
  <c r="K829" i="66"/>
  <c r="N829" i="66"/>
  <c r="K830" i="66"/>
  <c r="N830" i="66"/>
  <c r="K831" i="66"/>
  <c r="N831" i="66"/>
  <c r="K832" i="66"/>
  <c r="N832" i="66"/>
  <c r="K833" i="66"/>
  <c r="N833" i="66"/>
  <c r="K834" i="66"/>
  <c r="N834" i="66"/>
  <c r="K835" i="66"/>
  <c r="N835" i="66"/>
  <c r="K836" i="66"/>
  <c r="N836" i="66"/>
  <c r="K837" i="66"/>
  <c r="N837" i="66"/>
  <c r="K838" i="66"/>
  <c r="N838" i="66"/>
  <c r="K839" i="66"/>
  <c r="N839" i="66"/>
  <c r="K840" i="66"/>
  <c r="N840" i="66"/>
  <c r="K841" i="66"/>
  <c r="N841" i="66"/>
  <c r="K842" i="66"/>
  <c r="N842" i="66"/>
  <c r="K843" i="66"/>
  <c r="N843" i="66"/>
  <c r="K844" i="66"/>
  <c r="N844" i="66"/>
  <c r="K845" i="66"/>
  <c r="N845" i="66"/>
  <c r="K846" i="66"/>
  <c r="N846" i="66"/>
  <c r="K847" i="66"/>
  <c r="N847" i="66"/>
  <c r="K848" i="66"/>
  <c r="N848" i="66"/>
  <c r="K849" i="66"/>
  <c r="N849" i="66"/>
  <c r="K850" i="66"/>
  <c r="N850" i="66"/>
  <c r="K851" i="66"/>
  <c r="N851" i="66"/>
  <c r="K852" i="66"/>
  <c r="N852" i="66"/>
  <c r="K853" i="66"/>
  <c r="N853" i="66"/>
  <c r="K854" i="66"/>
  <c r="N854" i="66"/>
  <c r="K855" i="66"/>
  <c r="N855" i="66"/>
  <c r="K856" i="66"/>
  <c r="N856" i="66"/>
  <c r="K857" i="66"/>
  <c r="N857" i="66"/>
  <c r="K858" i="66"/>
  <c r="N858" i="66"/>
  <c r="K859" i="66"/>
  <c r="N859" i="66"/>
  <c r="K860" i="66"/>
  <c r="N860" i="66"/>
  <c r="K861" i="66"/>
  <c r="N861" i="66"/>
  <c r="K862" i="66"/>
  <c r="N862" i="66"/>
  <c r="K863" i="66"/>
  <c r="N863" i="66"/>
  <c r="K864" i="66"/>
  <c r="N864" i="66"/>
  <c r="K865" i="66"/>
  <c r="N865" i="66"/>
  <c r="K866" i="66"/>
  <c r="N866" i="66"/>
  <c r="K867" i="66"/>
  <c r="N867" i="66"/>
  <c r="K868" i="66"/>
  <c r="N868" i="66"/>
  <c r="K869" i="66"/>
  <c r="N869" i="66"/>
  <c r="K870" i="66"/>
  <c r="N870" i="66"/>
  <c r="K871" i="66"/>
  <c r="N871" i="66"/>
  <c r="K872" i="66"/>
  <c r="N872" i="66"/>
  <c r="K873" i="66"/>
  <c r="N873" i="66"/>
  <c r="K874" i="66"/>
  <c r="N874" i="66"/>
  <c r="K875" i="66"/>
  <c r="N875" i="66"/>
  <c r="K876" i="66"/>
  <c r="N876" i="66"/>
  <c r="K877" i="66"/>
  <c r="N877" i="66"/>
  <c r="K878" i="66"/>
  <c r="N878" i="66"/>
  <c r="K879" i="66"/>
  <c r="N879" i="66"/>
  <c r="K880" i="66"/>
  <c r="N880" i="66"/>
  <c r="K881" i="66"/>
  <c r="N881" i="66"/>
  <c r="K882" i="66"/>
  <c r="N882" i="66"/>
  <c r="K883" i="66"/>
  <c r="N883" i="66"/>
  <c r="K884" i="66"/>
  <c r="N884" i="66"/>
  <c r="K885" i="66"/>
  <c r="N885" i="66"/>
  <c r="K886" i="66"/>
  <c r="N886" i="66"/>
  <c r="K887" i="66"/>
  <c r="N887" i="66"/>
  <c r="K888" i="66"/>
  <c r="N888" i="66"/>
  <c r="K889" i="66"/>
  <c r="N889" i="66"/>
  <c r="K890" i="66"/>
  <c r="N890" i="66"/>
  <c r="K891" i="66"/>
  <c r="N891" i="66"/>
  <c r="K892" i="66"/>
  <c r="N892" i="66"/>
  <c r="K893" i="66"/>
  <c r="N893" i="66"/>
  <c r="K894" i="66"/>
  <c r="N894" i="66"/>
  <c r="K895" i="66"/>
  <c r="N895" i="66"/>
  <c r="K896" i="66"/>
  <c r="N896" i="66"/>
  <c r="K897" i="66"/>
  <c r="N897" i="66"/>
  <c r="K898" i="66"/>
  <c r="N898" i="66"/>
  <c r="K899" i="66"/>
  <c r="N899" i="66"/>
  <c r="K900" i="66"/>
  <c r="N900" i="66"/>
  <c r="K901" i="66"/>
  <c r="N901" i="66"/>
  <c r="K902" i="66"/>
  <c r="N902" i="66"/>
  <c r="K903" i="66"/>
  <c r="N903" i="66"/>
  <c r="K904" i="66"/>
  <c r="N904" i="66"/>
  <c r="K905" i="66"/>
  <c r="N905" i="66"/>
  <c r="K906" i="66"/>
  <c r="N906" i="66"/>
  <c r="K907" i="66"/>
  <c r="N907" i="66"/>
  <c r="K908" i="66"/>
  <c r="N908" i="66"/>
  <c r="K909" i="66"/>
  <c r="N909" i="66"/>
  <c r="K910" i="66"/>
  <c r="N910" i="66"/>
  <c r="K911" i="66"/>
  <c r="N911" i="66"/>
  <c r="K912" i="66"/>
  <c r="N912" i="66"/>
  <c r="K913" i="66"/>
  <c r="N913" i="66"/>
  <c r="K914" i="66"/>
  <c r="N914" i="66"/>
  <c r="K915" i="66"/>
  <c r="N915" i="66"/>
  <c r="K916" i="66"/>
  <c r="N916" i="66"/>
  <c r="K917" i="66"/>
  <c r="N917" i="66"/>
  <c r="K918" i="66"/>
  <c r="N918" i="66"/>
  <c r="K919" i="66"/>
  <c r="N919" i="66"/>
  <c r="K920" i="66"/>
  <c r="N920" i="66"/>
  <c r="K921" i="66"/>
  <c r="N921" i="66"/>
  <c r="K922" i="66"/>
  <c r="N922" i="66"/>
  <c r="K923" i="66"/>
  <c r="N923" i="66"/>
  <c r="K924" i="66"/>
  <c r="N924" i="66"/>
  <c r="K925" i="66"/>
  <c r="N925" i="66"/>
  <c r="K926" i="66"/>
  <c r="N926" i="66"/>
  <c r="K927" i="66"/>
  <c r="N927" i="66"/>
  <c r="K928" i="66"/>
  <c r="N928" i="66"/>
  <c r="K929" i="66"/>
  <c r="N929" i="66"/>
  <c r="K930" i="66"/>
  <c r="N930" i="66"/>
  <c r="K931" i="66"/>
  <c r="N931" i="66"/>
  <c r="K932" i="66"/>
  <c r="N932" i="66"/>
  <c r="K933" i="66"/>
  <c r="N933" i="66"/>
  <c r="K934" i="66"/>
  <c r="N934" i="66"/>
  <c r="K935" i="66"/>
  <c r="N935" i="66"/>
  <c r="K936" i="66"/>
  <c r="N936" i="66"/>
  <c r="K937" i="66"/>
  <c r="N937" i="66"/>
  <c r="K938" i="66"/>
  <c r="N938" i="66"/>
  <c r="K939" i="66"/>
  <c r="N939" i="66"/>
  <c r="K940" i="66"/>
  <c r="N940" i="66"/>
  <c r="K941" i="66"/>
  <c r="N941" i="66"/>
  <c r="K942" i="66"/>
  <c r="N942" i="66"/>
  <c r="K943" i="66"/>
  <c r="N943" i="66"/>
  <c r="K944" i="66"/>
  <c r="N944" i="66"/>
  <c r="K945" i="66"/>
  <c r="N945" i="66"/>
  <c r="K946" i="66"/>
  <c r="N946" i="66"/>
  <c r="K947" i="66"/>
  <c r="N947" i="66"/>
  <c r="K948" i="66"/>
  <c r="N948" i="66"/>
  <c r="K949" i="66"/>
  <c r="N949" i="66"/>
  <c r="K950" i="66"/>
  <c r="N950" i="66"/>
  <c r="K951" i="66"/>
  <c r="N951" i="66"/>
  <c r="K952" i="66"/>
  <c r="N952" i="66"/>
  <c r="K953" i="66"/>
  <c r="N953" i="66"/>
  <c r="K954" i="66"/>
  <c r="N954" i="66"/>
  <c r="K955" i="66"/>
  <c r="N955" i="66"/>
  <c r="K956" i="66"/>
  <c r="N956" i="66"/>
  <c r="K957" i="66"/>
  <c r="N957" i="66"/>
  <c r="K958" i="66"/>
  <c r="N958" i="66"/>
  <c r="K959" i="66"/>
  <c r="N959" i="66"/>
  <c r="K960" i="66"/>
  <c r="N960" i="66"/>
  <c r="K961" i="66"/>
  <c r="N961" i="66"/>
  <c r="K962" i="66"/>
  <c r="N962" i="66"/>
  <c r="K963" i="66"/>
  <c r="N963" i="66"/>
  <c r="K964" i="66"/>
  <c r="N964" i="66"/>
  <c r="K965" i="66"/>
  <c r="N965" i="66"/>
  <c r="K966" i="66"/>
  <c r="N966" i="66"/>
  <c r="K967" i="66"/>
  <c r="N967" i="66"/>
  <c r="K968" i="66"/>
  <c r="N968" i="66"/>
  <c r="K969" i="66"/>
  <c r="N969" i="66"/>
  <c r="K970" i="66"/>
  <c r="N970" i="66"/>
  <c r="K971" i="66"/>
  <c r="N971" i="66"/>
  <c r="K972" i="66"/>
  <c r="N972" i="66"/>
  <c r="K973" i="66"/>
  <c r="N973" i="66"/>
  <c r="K974" i="66"/>
  <c r="N974" i="66"/>
  <c r="K975" i="66"/>
  <c r="N975" i="66"/>
  <c r="K976" i="66"/>
  <c r="N976" i="66"/>
  <c r="K977" i="66"/>
  <c r="N977" i="66"/>
  <c r="K978" i="66"/>
  <c r="N978" i="66"/>
  <c r="K979" i="66"/>
  <c r="N979" i="66"/>
  <c r="K980" i="66"/>
  <c r="N980" i="66"/>
  <c r="K981" i="66"/>
  <c r="N981" i="66"/>
  <c r="K982" i="66"/>
  <c r="N982" i="66"/>
  <c r="K983" i="66"/>
  <c r="N983" i="66"/>
  <c r="K984" i="66"/>
  <c r="N984" i="66"/>
  <c r="K985" i="66"/>
  <c r="N985" i="66"/>
  <c r="K986" i="66"/>
  <c r="N986" i="66"/>
  <c r="K987" i="66"/>
  <c r="N987" i="66"/>
  <c r="K988" i="66"/>
  <c r="N988" i="66"/>
  <c r="K989" i="66"/>
  <c r="N989" i="66"/>
  <c r="K990" i="66"/>
  <c r="N990" i="66"/>
  <c r="K991" i="66"/>
  <c r="N991" i="66"/>
  <c r="K992" i="66"/>
  <c r="N992" i="66"/>
  <c r="K993" i="66"/>
  <c r="N993" i="66"/>
  <c r="K994" i="66"/>
  <c r="N994" i="66"/>
  <c r="K995" i="66"/>
  <c r="N995" i="66"/>
  <c r="K996" i="66"/>
  <c r="N996" i="66"/>
  <c r="K997" i="66"/>
  <c r="N997" i="66"/>
  <c r="K998" i="66"/>
  <c r="N998" i="66"/>
  <c r="K999" i="66"/>
  <c r="N999" i="66"/>
  <c r="K1000" i="66"/>
  <c r="N1000" i="66"/>
  <c r="K1001" i="66"/>
  <c r="N1001" i="66"/>
  <c r="K1002" i="66"/>
  <c r="N1002" i="66"/>
  <c r="K1003" i="66"/>
  <c r="N1003" i="66"/>
  <c r="K1004" i="66"/>
  <c r="N1004" i="66"/>
  <c r="K1005" i="66"/>
  <c r="N1005" i="66"/>
  <c r="K1006" i="66"/>
  <c r="N1006" i="66"/>
  <c r="K1007" i="66"/>
  <c r="N1007" i="66"/>
  <c r="K1008" i="66"/>
  <c r="N1008" i="66"/>
  <c r="K1009" i="66"/>
  <c r="N1009" i="66"/>
  <c r="K1010" i="66"/>
  <c r="N1010" i="66"/>
  <c r="K1011" i="66"/>
  <c r="N1011" i="66"/>
  <c r="K1012" i="66"/>
  <c r="N1012" i="66"/>
  <c r="K1013" i="66"/>
  <c r="N1013" i="66"/>
  <c r="K1014" i="66"/>
  <c r="N1014" i="66"/>
  <c r="K1015" i="66"/>
  <c r="N1015" i="66"/>
  <c r="K1016" i="66"/>
  <c r="N1016" i="66"/>
  <c r="K1017" i="66"/>
  <c r="N1017" i="66"/>
  <c r="K1018" i="66"/>
  <c r="N1018" i="66"/>
  <c r="K1019" i="66"/>
  <c r="N1019" i="66"/>
  <c r="K1020" i="66"/>
  <c r="N1020" i="66"/>
  <c r="K1021" i="66"/>
  <c r="N1021" i="66"/>
  <c r="K1022" i="66"/>
  <c r="N1022" i="66"/>
  <c r="K1023" i="66"/>
  <c r="N1023" i="66"/>
  <c r="K1024" i="66"/>
  <c r="N1024" i="66"/>
  <c r="K1025" i="66"/>
  <c r="N1025" i="66"/>
  <c r="K1026" i="66"/>
  <c r="N1026" i="66"/>
  <c r="K1027" i="66"/>
  <c r="N1027" i="66"/>
  <c r="K1028" i="66"/>
  <c r="N1028" i="66"/>
  <c r="K1029" i="66"/>
  <c r="N1029" i="66"/>
  <c r="K1030" i="66"/>
  <c r="N1030" i="66"/>
  <c r="K1031" i="66"/>
  <c r="N1031" i="66"/>
  <c r="K1032" i="66"/>
  <c r="N1032" i="66"/>
  <c r="K1033" i="66"/>
  <c r="N1033" i="66"/>
  <c r="K1034" i="66"/>
  <c r="N1034" i="66"/>
  <c r="K1035" i="66"/>
  <c r="N1035" i="66"/>
  <c r="K1036" i="66"/>
  <c r="N1036" i="66"/>
  <c r="K1037" i="66"/>
  <c r="N1037" i="66"/>
  <c r="K1038" i="66"/>
  <c r="N1038" i="66"/>
  <c r="K1039" i="66"/>
  <c r="N1039" i="66"/>
  <c r="K1040" i="66"/>
  <c r="N1040" i="66"/>
  <c r="K1041" i="66"/>
  <c r="N1041" i="66"/>
  <c r="K1042" i="66"/>
  <c r="N1042" i="66"/>
  <c r="K1043" i="66"/>
  <c r="N1043" i="66"/>
  <c r="K1044" i="66"/>
  <c r="N1044" i="66"/>
  <c r="K1045" i="66"/>
  <c r="N1045" i="66"/>
  <c r="K1046" i="66"/>
  <c r="N1046" i="66"/>
  <c r="K1047" i="66"/>
  <c r="N1047" i="66"/>
  <c r="K1048" i="66"/>
  <c r="N1048" i="66"/>
  <c r="K1049" i="66"/>
  <c r="N1049" i="66"/>
  <c r="K1050" i="66"/>
  <c r="N1050" i="66"/>
  <c r="K1051" i="66"/>
  <c r="N1051" i="66"/>
  <c r="K1052" i="66"/>
  <c r="N1052" i="66"/>
  <c r="K1053" i="66"/>
  <c r="N1053" i="66"/>
  <c r="K1054" i="66"/>
  <c r="N1054" i="66"/>
  <c r="K1055" i="66"/>
  <c r="N1055" i="66"/>
  <c r="K1056" i="66"/>
  <c r="N1056" i="66"/>
  <c r="K1057" i="66"/>
  <c r="N1057" i="66"/>
  <c r="K1058" i="66"/>
  <c r="N1058" i="66"/>
  <c r="K1059" i="66"/>
  <c r="N1059" i="66"/>
  <c r="K1060" i="66"/>
  <c r="N1060" i="66"/>
  <c r="K1061" i="66"/>
  <c r="N1061" i="66"/>
  <c r="K1062" i="66"/>
  <c r="N1062" i="66"/>
  <c r="K1063" i="66"/>
  <c r="N1063" i="66"/>
  <c r="K1064" i="66"/>
  <c r="N1064" i="66"/>
  <c r="K1065" i="66"/>
  <c r="N1065" i="66"/>
  <c r="K1066" i="66"/>
  <c r="N1066" i="66"/>
  <c r="K1067" i="66"/>
  <c r="N1067" i="66"/>
  <c r="K1068" i="66"/>
  <c r="N1068" i="66"/>
  <c r="K1069" i="66"/>
  <c r="N1069" i="66"/>
  <c r="K1070" i="66"/>
  <c r="N1070" i="66"/>
  <c r="K1071" i="66"/>
  <c r="N1071" i="66"/>
  <c r="K1072" i="66"/>
  <c r="N1072" i="66"/>
  <c r="K1073" i="66"/>
  <c r="N1073" i="66"/>
  <c r="K1074" i="66"/>
  <c r="N1074" i="66"/>
  <c r="K1075" i="66"/>
  <c r="N1075" i="66"/>
  <c r="K1076" i="66"/>
  <c r="N1076" i="66"/>
  <c r="K1077" i="66"/>
  <c r="N1077" i="66"/>
  <c r="K1078" i="66"/>
  <c r="N1078" i="66"/>
  <c r="K1079" i="66"/>
  <c r="N1079" i="66"/>
  <c r="K1080" i="66"/>
  <c r="N1080" i="66"/>
  <c r="K1081" i="66"/>
  <c r="N1081" i="66"/>
  <c r="K1082" i="66"/>
  <c r="N1082" i="66"/>
  <c r="K1083" i="66"/>
  <c r="N1083" i="66"/>
  <c r="K1084" i="66"/>
  <c r="N1084" i="66"/>
  <c r="K1085" i="66"/>
  <c r="N1085" i="66"/>
  <c r="K1086" i="66"/>
  <c r="N1086" i="66"/>
  <c r="K1087" i="66"/>
  <c r="N1087" i="66"/>
  <c r="K1088" i="66"/>
  <c r="N1088" i="66"/>
  <c r="K1089" i="66"/>
  <c r="N1089" i="66"/>
  <c r="K1090" i="66"/>
  <c r="N1090" i="66"/>
  <c r="K1091" i="66"/>
  <c r="N1091" i="66"/>
  <c r="K1092" i="66"/>
  <c r="N1092" i="66"/>
  <c r="K1093" i="66"/>
  <c r="N1093" i="66"/>
  <c r="K1094" i="66"/>
  <c r="N1094" i="66"/>
  <c r="K1095" i="66"/>
  <c r="N1095" i="66"/>
  <c r="K1096" i="66"/>
  <c r="N1096" i="66"/>
  <c r="K1097" i="66"/>
  <c r="N1097" i="66"/>
  <c r="K1098" i="66"/>
  <c r="N1098" i="66"/>
  <c r="K1099" i="66"/>
  <c r="N1099" i="66"/>
  <c r="D48" i="5"/>
  <c r="E48" i="5"/>
  <c r="F48" i="5"/>
  <c r="D49" i="5"/>
  <c r="E49" i="5"/>
  <c r="F49" i="5"/>
  <c r="Y2" i="62"/>
  <c r="Z2" i="62"/>
  <c r="AE2" i="62"/>
  <c r="AF2" i="62"/>
  <c r="AK2" i="62"/>
  <c r="AL2" i="62"/>
  <c r="AU2" i="62"/>
  <c r="AV2" i="62"/>
  <c r="Y3" i="62"/>
  <c r="Z3" i="62"/>
  <c r="AE3" i="62"/>
  <c r="AF3" i="62"/>
  <c r="AK3" i="62"/>
  <c r="AL3" i="62"/>
  <c r="AU3" i="62"/>
  <c r="AV3" i="62"/>
  <c r="Y4" i="62"/>
  <c r="Z4" i="62"/>
  <c r="AE4" i="62"/>
  <c r="AF4" i="62"/>
  <c r="AK4" i="62"/>
  <c r="AL4" i="62"/>
  <c r="AU4" i="62"/>
  <c r="AV4" i="62"/>
  <c r="Y5" i="62"/>
  <c r="Z5" i="62"/>
  <c r="AE5" i="62"/>
  <c r="AF5" i="62"/>
  <c r="AK5" i="62"/>
  <c r="AL5" i="62"/>
  <c r="AU5" i="62"/>
  <c r="AV5" i="62"/>
  <c r="Y6" i="62"/>
  <c r="Z6" i="62"/>
  <c r="AE6" i="62"/>
  <c r="AF6" i="62"/>
  <c r="AK6" i="62"/>
  <c r="AL6" i="62"/>
  <c r="AU6" i="62"/>
  <c r="AV6" i="62"/>
  <c r="Y7" i="62"/>
  <c r="Z7" i="62"/>
  <c r="AE7" i="62"/>
  <c r="AF7" i="62"/>
  <c r="AK7" i="62"/>
  <c r="AL7" i="62"/>
  <c r="AU7" i="62"/>
  <c r="AV7" i="62"/>
  <c r="Y8" i="62"/>
  <c r="Z8" i="62"/>
  <c r="AE8" i="62"/>
  <c r="AF8" i="62"/>
  <c r="AK8" i="62"/>
  <c r="AL8" i="62"/>
  <c r="AU8" i="62"/>
  <c r="AV8" i="62"/>
  <c r="Y9" i="62"/>
  <c r="Z9" i="62"/>
  <c r="AE9" i="62"/>
  <c r="AF9" i="62"/>
  <c r="AK9" i="62"/>
  <c r="AL9" i="62"/>
  <c r="AU9" i="62"/>
  <c r="AV9" i="62"/>
  <c r="Y10" i="62"/>
  <c r="Z10" i="62"/>
  <c r="AE10" i="62"/>
  <c r="AF10" i="62"/>
  <c r="AK10" i="62"/>
  <c r="AL10" i="62"/>
  <c r="AU10" i="62"/>
  <c r="AV10" i="62"/>
  <c r="Y11" i="62"/>
  <c r="Z11" i="62"/>
  <c r="AE11" i="62"/>
  <c r="AF11" i="62"/>
  <c r="Y12" i="62"/>
  <c r="Z12" i="62"/>
  <c r="AE12" i="62"/>
  <c r="AF12" i="62"/>
  <c r="Y13" i="62"/>
  <c r="Z13" i="62"/>
  <c r="AE13" i="62"/>
  <c r="AF13" i="62"/>
  <c r="AU13" i="62"/>
  <c r="Z14" i="62"/>
  <c r="AF14" i="62"/>
  <c r="Z15" i="62"/>
  <c r="AF15" i="62"/>
  <c r="AU15" i="62"/>
  <c r="Z16" i="62"/>
  <c r="AF16" i="62"/>
  <c r="Z17" i="62"/>
  <c r="AF17" i="62"/>
  <c r="Z18" i="62"/>
  <c r="AF18" i="62"/>
  <c r="Z19" i="62"/>
  <c r="AF19" i="62"/>
  <c r="Z20" i="62"/>
  <c r="AF20" i="62"/>
  <c r="Z21" i="62"/>
  <c r="AF21" i="62"/>
  <c r="Z22" i="62"/>
  <c r="AF22" i="62"/>
  <c r="Z23" i="62"/>
  <c r="AF23" i="62"/>
  <c r="Z24" i="62"/>
  <c r="AF24" i="62"/>
  <c r="Z25" i="62"/>
  <c r="AF25" i="62"/>
  <c r="Y26" i="62"/>
  <c r="Z26" i="62"/>
  <c r="AE26" i="62"/>
  <c r="AF26" i="62"/>
  <c r="Y27" i="62"/>
  <c r="Z27" i="62"/>
  <c r="AE27" i="62"/>
  <c r="AF27" i="62"/>
  <c r="Y28" i="62"/>
  <c r="Z28" i="62"/>
  <c r="AE28" i="62"/>
  <c r="AF28" i="62"/>
  <c r="Y29" i="62"/>
  <c r="Z29" i="62"/>
  <c r="AE29" i="62"/>
  <c r="AF29" i="62"/>
  <c r="Y30" i="62"/>
  <c r="Z30" i="62"/>
  <c r="AE30" i="62"/>
  <c r="AF30" i="62"/>
  <c r="Y31" i="62"/>
  <c r="Z31" i="62"/>
  <c r="AE31" i="62"/>
  <c r="AF31" i="62"/>
  <c r="Y32" i="62"/>
  <c r="Z32" i="62"/>
  <c r="AE32" i="62"/>
  <c r="AF32" i="62"/>
  <c r="Y33" i="62"/>
  <c r="Z33" i="62"/>
  <c r="AE33" i="62"/>
  <c r="AF33" i="62"/>
  <c r="Y34" i="62"/>
  <c r="Z34" i="62"/>
  <c r="AE34" i="62"/>
  <c r="AF34" i="62"/>
  <c r="Y35" i="62"/>
  <c r="Z35" i="62"/>
  <c r="AE35" i="62"/>
  <c r="AF35" i="62"/>
  <c r="Y36" i="62"/>
  <c r="Z36" i="62"/>
  <c r="AE36" i="62"/>
  <c r="AF36" i="62"/>
  <c r="Y37" i="62"/>
  <c r="Z37" i="62"/>
  <c r="AE37" i="62"/>
  <c r="AF37" i="62"/>
  <c r="Y38" i="62"/>
  <c r="Z38" i="62"/>
  <c r="AE38" i="62"/>
  <c r="AF38" i="62"/>
  <c r="Y39" i="62"/>
  <c r="Z39" i="62"/>
  <c r="AE39" i="62"/>
  <c r="AF39" i="62"/>
  <c r="Y40" i="62"/>
  <c r="Z40" i="62"/>
  <c r="AE40" i="62"/>
  <c r="AF40" i="62"/>
  <c r="Y41" i="62"/>
  <c r="Z41" i="62"/>
  <c r="AE41" i="62"/>
  <c r="AF41" i="62"/>
  <c r="Y42" i="62"/>
  <c r="Z42" i="62"/>
  <c r="AE42" i="62"/>
  <c r="AF42" i="62"/>
  <c r="Y43" i="62"/>
  <c r="Z43" i="62"/>
  <c r="AE43" i="62"/>
  <c r="AF43" i="62"/>
  <c r="Y44" i="62"/>
  <c r="Z44" i="62"/>
  <c r="AE44" i="62"/>
  <c r="AF44" i="62"/>
  <c r="Y45" i="62"/>
  <c r="Z45" i="62"/>
  <c r="AE45" i="62"/>
  <c r="AF45" i="62"/>
  <c r="Y46" i="62"/>
  <c r="Z46" i="62"/>
  <c r="AE46" i="62"/>
  <c r="AF46" i="62"/>
  <c r="Y47" i="62"/>
  <c r="Z47" i="62"/>
  <c r="AE47" i="62"/>
  <c r="AF47" i="62"/>
  <c r="Y48" i="62"/>
  <c r="Z48" i="62"/>
  <c r="AE48" i="62"/>
  <c r="AF48" i="62"/>
  <c r="Y49" i="62"/>
  <c r="Z49" i="62"/>
  <c r="AE49" i="62"/>
  <c r="AF49" i="62"/>
  <c r="Y50" i="62"/>
  <c r="Z50" i="62"/>
  <c r="AE50" i="62"/>
  <c r="AF50" i="62"/>
  <c r="Y51" i="62"/>
  <c r="Z51" i="62"/>
  <c r="AE51" i="62"/>
  <c r="AF51" i="62"/>
  <c r="Y52" i="62"/>
  <c r="Z52" i="62"/>
  <c r="AE52" i="62"/>
  <c r="AF52" i="62"/>
  <c r="Y53" i="62"/>
  <c r="Z53" i="62"/>
  <c r="AE53" i="62"/>
  <c r="AF53" i="62"/>
  <c r="Y54" i="62"/>
  <c r="Z54" i="62"/>
  <c r="AE54" i="62"/>
  <c r="AF54" i="62"/>
  <c r="Y55" i="62"/>
  <c r="Z55" i="62"/>
  <c r="AE55" i="62"/>
  <c r="AF55" i="62"/>
  <c r="Y56" i="62"/>
  <c r="Z56" i="62"/>
  <c r="AE56" i="62"/>
  <c r="AF56" i="62"/>
  <c r="Y57" i="62"/>
  <c r="Z57" i="62"/>
  <c r="AE57" i="62"/>
  <c r="AF57" i="62"/>
  <c r="Y58" i="62"/>
  <c r="Z58" i="62"/>
  <c r="AE58" i="62"/>
  <c r="AF58" i="62"/>
  <c r="Y59" i="62"/>
  <c r="Z59" i="62"/>
  <c r="AE59" i="62"/>
  <c r="AF59" i="62"/>
  <c r="Y60" i="62"/>
  <c r="Z60" i="62"/>
  <c r="AE60" i="62"/>
  <c r="AF60" i="62"/>
  <c r="Y61" i="62"/>
  <c r="Z61" i="62"/>
  <c r="AE61" i="62"/>
  <c r="AF61" i="62"/>
  <c r="Y62" i="62"/>
  <c r="Z62" i="62"/>
  <c r="AE62" i="62"/>
  <c r="AF62" i="62"/>
  <c r="Y63" i="62"/>
  <c r="Z63" i="62"/>
  <c r="AE63" i="62"/>
  <c r="AF63" i="62"/>
  <c r="Y64" i="62"/>
  <c r="Z64" i="62"/>
  <c r="AE64" i="62"/>
  <c r="AF64" i="62"/>
  <c r="Y65" i="62"/>
  <c r="Z65" i="62"/>
  <c r="AE65" i="62"/>
  <c r="AF65" i="62"/>
  <c r="Y66" i="62"/>
  <c r="Z66" i="62"/>
  <c r="AE66" i="62"/>
  <c r="AF66" i="62"/>
  <c r="Y67" i="62"/>
  <c r="Z67" i="62"/>
  <c r="AE67" i="62"/>
  <c r="AF67" i="62"/>
  <c r="Y68" i="62"/>
  <c r="Z68" i="62"/>
  <c r="AE68" i="62"/>
  <c r="AF68" i="62"/>
  <c r="Y69" i="62"/>
  <c r="Z69" i="62"/>
  <c r="AE69" i="62"/>
  <c r="AF69" i="62"/>
  <c r="Y70" i="62"/>
  <c r="Z70" i="62"/>
  <c r="AE70" i="62"/>
  <c r="AF70" i="62"/>
  <c r="Y71" i="62"/>
  <c r="Z71" i="62"/>
  <c r="AE71" i="62"/>
  <c r="AF71" i="62"/>
  <c r="Y72" i="62"/>
  <c r="Z72" i="62"/>
  <c r="AE72" i="62"/>
  <c r="AF72" i="62"/>
  <c r="Y73" i="62"/>
  <c r="Z73" i="62"/>
  <c r="AE73" i="62"/>
  <c r="AF73" i="62"/>
  <c r="Z74" i="62"/>
  <c r="AF74" i="62"/>
  <c r="Z75" i="62"/>
  <c r="AF75" i="62"/>
  <c r="Z76" i="62"/>
  <c r="AF76" i="62"/>
  <c r="Z77" i="62"/>
  <c r="AF77" i="62"/>
  <c r="Z78" i="62"/>
  <c r="AF78" i="62"/>
  <c r="Z79" i="62"/>
  <c r="AF79" i="62"/>
  <c r="Z80" i="62"/>
  <c r="AF80" i="62"/>
  <c r="Z81" i="62"/>
  <c r="AF81" i="62"/>
  <c r="Z82" i="62"/>
  <c r="AF82" i="62"/>
  <c r="Z83" i="62"/>
  <c r="AF83" i="62"/>
  <c r="Z84" i="62"/>
  <c r="AF84" i="62"/>
  <c r="Z85" i="62"/>
  <c r="AF85" i="62"/>
  <c r="Y86" i="62"/>
  <c r="Z86" i="62"/>
  <c r="AE86" i="62"/>
  <c r="AF86" i="62"/>
  <c r="Y87" i="62"/>
  <c r="Z87" i="62"/>
  <c r="AE87" i="62"/>
  <c r="AF87" i="62"/>
  <c r="Y88" i="62"/>
  <c r="Z88" i="62"/>
  <c r="AE88" i="62"/>
  <c r="AF88" i="62"/>
  <c r="Y89" i="62"/>
  <c r="Z89" i="62"/>
  <c r="AE89" i="62"/>
  <c r="AF89" i="62"/>
  <c r="Y90" i="62"/>
  <c r="Z90" i="62"/>
  <c r="AE90" i="62"/>
  <c r="AF90" i="62"/>
  <c r="Y91" i="62"/>
  <c r="Z91" i="62"/>
  <c r="AE91" i="62"/>
  <c r="AF91" i="62"/>
  <c r="Y92" i="62"/>
  <c r="Z92" i="62"/>
  <c r="AE92" i="62"/>
  <c r="AF92" i="62"/>
  <c r="Y93" i="62"/>
  <c r="Z93" i="62"/>
  <c r="AE93" i="62"/>
  <c r="AF93" i="62"/>
  <c r="Y94" i="62"/>
  <c r="Z94" i="62"/>
  <c r="AE94" i="62"/>
  <c r="AF94" i="62"/>
  <c r="Y95" i="62"/>
  <c r="Z95" i="62"/>
  <c r="AE95" i="62"/>
  <c r="AF95" i="62"/>
  <c r="Y96" i="62"/>
  <c r="Z96" i="62"/>
  <c r="AE96" i="62"/>
  <c r="AF96" i="62"/>
  <c r="Y97" i="62"/>
  <c r="Z97" i="62"/>
  <c r="AE97" i="62"/>
  <c r="AF97" i="62"/>
  <c r="Y98" i="62"/>
  <c r="Z98" i="62"/>
  <c r="AE98" i="62"/>
  <c r="AF98" i="62"/>
  <c r="Y99" i="62"/>
  <c r="Z99" i="62"/>
  <c r="AE99" i="62"/>
  <c r="AF99" i="62"/>
  <c r="Y100" i="62"/>
  <c r="Z100" i="62"/>
  <c r="AE100" i="62"/>
  <c r="AF100" i="62"/>
  <c r="Y101" i="62"/>
  <c r="Z101" i="62"/>
  <c r="AE101" i="62"/>
  <c r="AF101" i="62"/>
  <c r="Y102" i="62"/>
  <c r="Z102" i="62"/>
  <c r="AE102" i="62"/>
  <c r="AF102" i="62"/>
  <c r="Y103" i="62"/>
  <c r="Z103" i="62"/>
  <c r="AE103" i="62"/>
  <c r="AF103" i="62"/>
  <c r="Y104" i="62"/>
  <c r="Z104" i="62"/>
  <c r="AE104" i="62"/>
  <c r="AF104" i="62"/>
  <c r="Y105" i="62"/>
  <c r="Z105" i="62"/>
  <c r="AE105" i="62"/>
  <c r="AF105" i="62"/>
  <c r="Y106" i="62"/>
  <c r="Z106" i="62"/>
  <c r="AE106" i="62"/>
  <c r="AF106" i="62"/>
  <c r="Y107" i="62"/>
  <c r="Z107" i="62"/>
  <c r="AE107" i="62"/>
  <c r="AF107" i="62"/>
  <c r="Y108" i="62"/>
  <c r="Z108" i="62"/>
  <c r="AE108" i="62"/>
  <c r="AF108" i="62"/>
  <c r="Y109" i="62"/>
  <c r="Z109" i="62"/>
  <c r="AE109" i="62"/>
  <c r="AF109" i="62"/>
  <c r="Y110" i="62"/>
  <c r="Z110" i="62"/>
  <c r="AE110" i="62"/>
  <c r="AF110" i="62"/>
  <c r="Y111" i="62"/>
  <c r="Z111" i="62"/>
  <c r="AE111" i="62"/>
  <c r="AF111" i="62"/>
  <c r="Y112" i="62"/>
  <c r="Z112" i="62"/>
  <c r="AE112" i="62"/>
  <c r="AF112" i="62"/>
  <c r="Y113" i="62"/>
  <c r="Z113" i="62"/>
  <c r="AE113" i="62"/>
  <c r="AF113" i="62"/>
  <c r="Y114" i="62"/>
  <c r="Z114" i="62"/>
  <c r="AE114" i="62"/>
  <c r="AF114" i="62"/>
  <c r="Y115" i="62"/>
  <c r="Z115" i="62"/>
  <c r="AE115" i="62"/>
  <c r="AF115" i="62"/>
  <c r="Y116" i="62"/>
  <c r="Z116" i="62"/>
  <c r="AE116" i="62"/>
  <c r="AF116" i="62"/>
  <c r="Y117" i="62"/>
  <c r="Z117" i="62"/>
  <c r="AE117" i="62"/>
  <c r="AF117" i="62"/>
  <c r="Y118" i="62"/>
  <c r="Z118" i="62"/>
  <c r="AE118" i="62"/>
  <c r="AF118" i="62"/>
  <c r="Y119" i="62"/>
  <c r="Z119" i="62"/>
  <c r="AE119" i="62"/>
  <c r="AF119" i="62"/>
  <c r="Y120" i="62"/>
  <c r="Z120" i="62"/>
  <c r="AE120" i="62"/>
  <c r="AF120" i="62"/>
  <c r="Y121" i="62"/>
  <c r="Z121" i="62"/>
  <c r="AE121" i="62"/>
  <c r="AF121" i="62"/>
  <c r="Y122" i="62"/>
  <c r="Z122" i="62"/>
  <c r="AE122" i="62"/>
  <c r="AF122" i="62"/>
  <c r="Y123" i="62"/>
  <c r="Z123" i="62"/>
  <c r="AE123" i="62"/>
  <c r="AF123" i="62"/>
  <c r="Y124" i="62"/>
  <c r="Z124" i="62"/>
  <c r="AE124" i="62"/>
  <c r="AF124" i="62"/>
  <c r="Y125" i="62"/>
  <c r="Z125" i="62"/>
  <c r="AE125" i="62"/>
  <c r="AF125" i="62"/>
  <c r="Y126" i="62"/>
  <c r="AE126" i="62"/>
  <c r="Y127" i="62"/>
  <c r="AE127" i="62"/>
  <c r="Y128" i="62"/>
  <c r="AE128" i="62"/>
  <c r="Y129" i="62"/>
  <c r="AE129" i="62"/>
  <c r="Y130" i="62"/>
  <c r="AE130" i="62"/>
  <c r="Y131" i="62"/>
  <c r="AE131" i="62"/>
  <c r="Y132" i="62"/>
  <c r="AE132" i="62"/>
  <c r="Y133" i="62"/>
  <c r="AE133" i="62"/>
  <c r="Y134" i="62"/>
  <c r="AE134" i="62"/>
  <c r="Y135" i="62"/>
  <c r="AE135" i="62"/>
  <c r="Y136" i="62"/>
  <c r="AE136" i="62"/>
  <c r="Y137" i="62"/>
  <c r="AE137" i="62"/>
  <c r="Y138" i="62"/>
  <c r="AE138" i="62"/>
  <c r="Y139" i="62"/>
  <c r="AE139" i="62"/>
  <c r="Y140" i="62"/>
  <c r="AE140" i="62"/>
  <c r="Y141" i="62"/>
  <c r="AE141" i="62"/>
  <c r="Y142" i="62"/>
  <c r="AE142" i="62"/>
  <c r="Y143" i="62"/>
  <c r="AE143" i="62"/>
  <c r="Y144" i="62"/>
  <c r="AE144" i="62"/>
  <c r="Y145" i="62"/>
  <c r="AE145" i="62"/>
  <c r="Y146" i="62"/>
  <c r="AE146" i="62"/>
  <c r="Y147" i="62"/>
  <c r="AE147" i="62"/>
  <c r="Y148" i="62"/>
  <c r="AE148" i="62"/>
  <c r="Y149" i="62"/>
  <c r="AE149" i="62"/>
  <c r="Y150" i="62"/>
  <c r="AE150" i="62"/>
  <c r="Y151" i="62"/>
  <c r="AE151" i="62"/>
  <c r="Y152" i="62"/>
  <c r="AE152" i="62"/>
  <c r="Y153" i="62"/>
  <c r="AE153" i="62"/>
  <c r="Y154" i="62"/>
  <c r="AE154" i="62"/>
  <c r="Y155" i="62"/>
  <c r="AE155" i="62"/>
  <c r="Y156" i="62"/>
  <c r="AE156" i="62"/>
  <c r="Y157" i="62"/>
  <c r="AE157" i="62"/>
  <c r="Y158" i="62"/>
  <c r="AE158" i="62"/>
  <c r="Y159" i="62"/>
  <c r="AE159" i="62"/>
  <c r="Y160" i="62"/>
  <c r="AE160" i="62"/>
  <c r="Y161" i="62"/>
  <c r="AE161" i="62"/>
  <c r="Y162" i="62"/>
  <c r="AE162" i="62"/>
  <c r="Y163" i="62"/>
  <c r="AE163" i="62"/>
  <c r="Y164" i="62"/>
  <c r="AE164" i="62"/>
  <c r="Y165" i="62"/>
  <c r="AE165" i="62"/>
  <c r="Y166" i="62"/>
  <c r="AE166" i="62"/>
  <c r="Y167" i="62"/>
  <c r="AE167" i="62"/>
  <c r="Y168" i="62"/>
  <c r="AE168" i="62"/>
  <c r="Y169" i="62"/>
  <c r="AE169" i="62"/>
  <c r="Y170" i="62"/>
  <c r="AE170" i="62"/>
  <c r="Y171" i="62"/>
  <c r="AE171" i="62"/>
  <c r="Y172" i="62"/>
  <c r="AE172" i="62"/>
  <c r="Y173" i="62"/>
  <c r="AE173" i="62"/>
  <c r="Y174" i="62"/>
  <c r="AE174" i="62"/>
  <c r="Y175" i="62"/>
  <c r="AE175" i="62"/>
  <c r="Y176" i="62"/>
  <c r="AE176" i="62"/>
  <c r="Y177" i="62"/>
  <c r="AE177" i="62"/>
  <c r="Y178" i="62"/>
  <c r="AE178" i="62"/>
  <c r="Y179" i="62"/>
  <c r="AE179" i="62"/>
  <c r="Y180" i="62"/>
  <c r="AE180" i="62"/>
  <c r="Y181" i="62"/>
  <c r="AE181" i="62"/>
  <c r="Y182" i="62"/>
  <c r="AE182" i="62"/>
  <c r="Y183" i="62"/>
  <c r="AE183" i="62"/>
  <c r="Y184" i="62"/>
  <c r="AE184" i="62"/>
  <c r="Y185" i="62"/>
  <c r="AE185" i="62"/>
  <c r="Y186" i="62"/>
  <c r="AE186" i="62"/>
  <c r="Y187" i="62"/>
  <c r="AE187" i="62"/>
  <c r="Y188" i="62"/>
  <c r="AE188" i="62"/>
  <c r="Y189" i="62"/>
  <c r="AE189" i="62"/>
  <c r="Y190" i="62"/>
  <c r="AE190" i="62"/>
  <c r="Y191" i="62"/>
  <c r="AE191" i="62"/>
  <c r="Y192" i="62"/>
  <c r="AE192" i="62"/>
  <c r="Y193" i="62"/>
  <c r="AE193" i="62"/>
  <c r="Y194" i="62"/>
  <c r="AE194" i="62"/>
  <c r="Y195" i="62"/>
  <c r="AE195" i="62"/>
  <c r="Y196" i="62"/>
  <c r="AE196" i="62"/>
  <c r="Y197" i="62"/>
  <c r="AE197" i="62"/>
  <c r="Y198" i="62"/>
  <c r="AE198" i="62"/>
  <c r="Y199" i="62"/>
  <c r="AE199" i="62"/>
  <c r="Y200" i="62"/>
  <c r="AE200" i="62"/>
  <c r="Y201" i="62"/>
  <c r="AE201" i="62"/>
  <c r="Y202" i="62"/>
  <c r="AE202" i="62"/>
  <c r="Y203" i="62"/>
  <c r="AE203" i="62"/>
  <c r="Y204" i="62"/>
  <c r="AE204" i="62"/>
  <c r="Y205" i="62"/>
  <c r="AE205" i="62"/>
  <c r="Y206" i="62"/>
  <c r="AE206" i="62"/>
  <c r="Y207" i="62"/>
  <c r="AE207" i="62"/>
  <c r="Y208" i="62"/>
  <c r="AE208" i="62"/>
  <c r="Y209" i="62"/>
  <c r="AE209" i="62"/>
  <c r="Z210" i="62"/>
  <c r="AF210" i="62"/>
  <c r="Z211" i="62"/>
  <c r="AF211" i="62"/>
  <c r="Z212" i="62"/>
  <c r="AF212" i="62"/>
  <c r="Z213" i="62"/>
  <c r="AF213" i="62"/>
  <c r="Z214" i="62"/>
  <c r="AF214" i="62"/>
  <c r="Z215" i="62"/>
  <c r="AF215" i="62"/>
  <c r="Z216" i="62"/>
  <c r="AF216" i="62"/>
  <c r="Z217" i="62"/>
  <c r="AF217" i="62"/>
  <c r="Z218" i="62"/>
  <c r="AF218" i="62"/>
  <c r="Z219" i="62"/>
  <c r="AF219" i="62"/>
  <c r="Z220" i="62"/>
  <c r="AF220" i="62"/>
  <c r="Z221" i="62"/>
  <c r="AF221" i="62"/>
  <c r="Z222" i="62"/>
  <c r="AF222" i="62"/>
  <c r="Z223" i="62"/>
  <c r="AF223" i="62"/>
  <c r="Z224" i="62"/>
  <c r="AF224" i="62"/>
  <c r="Z225" i="62"/>
  <c r="AF225" i="62"/>
  <c r="Z226" i="62"/>
  <c r="AF226" i="62"/>
  <c r="Z227" i="62"/>
  <c r="AF227" i="62"/>
  <c r="Z228" i="62"/>
  <c r="AF228" i="62"/>
  <c r="Z229" i="62"/>
  <c r="AF229" i="62"/>
  <c r="Z230" i="62"/>
  <c r="AF230" i="62"/>
  <c r="Z231" i="62"/>
  <c r="AF231" i="62"/>
  <c r="Z232" i="62"/>
  <c r="AF232" i="62"/>
  <c r="Z233" i="62"/>
  <c r="AF233" i="62"/>
  <c r="Z234" i="62"/>
  <c r="AF234" i="62"/>
  <c r="Z235" i="62"/>
  <c r="AF235" i="62"/>
  <c r="Z236" i="62"/>
  <c r="AF236" i="62"/>
  <c r="Z237" i="62"/>
  <c r="AF237" i="62"/>
  <c r="Z238" i="62"/>
  <c r="AF238" i="62"/>
  <c r="Z239" i="62"/>
  <c r="AF239" i="62"/>
  <c r="Z240" i="62"/>
  <c r="AF240" i="62"/>
  <c r="Z241" i="62"/>
  <c r="AF241" i="62"/>
  <c r="Z242" i="62"/>
  <c r="AF242" i="62"/>
  <c r="Y243" i="62"/>
  <c r="AE243" i="62"/>
  <c r="Y244" i="62"/>
  <c r="AE244" i="62"/>
  <c r="Y245" i="62"/>
  <c r="AE245" i="62"/>
  <c r="Y246" i="62"/>
  <c r="AE246" i="62"/>
  <c r="Y247" i="62"/>
  <c r="AE247" i="62"/>
  <c r="Y248" i="62"/>
  <c r="AE248" i="62"/>
  <c r="Y249" i="62"/>
  <c r="AE249" i="62"/>
  <c r="Y250" i="62"/>
  <c r="AE250" i="62"/>
  <c r="Y251" i="62"/>
  <c r="AE251" i="62"/>
  <c r="Y252" i="62"/>
  <c r="AE252" i="62"/>
  <c r="Y253" i="62"/>
  <c r="AE253" i="62"/>
  <c r="Y254" i="62"/>
  <c r="AE254" i="62"/>
  <c r="Y255" i="62"/>
  <c r="AE255" i="62"/>
  <c r="Y256" i="62"/>
  <c r="AE256" i="62"/>
  <c r="Y257" i="62"/>
  <c r="AE257" i="62"/>
  <c r="Y258" i="62"/>
  <c r="AE258" i="62"/>
  <c r="Y259" i="62"/>
  <c r="AE259" i="62"/>
  <c r="Y260" i="62"/>
  <c r="AE260" i="62"/>
  <c r="Y261" i="62"/>
  <c r="AE261" i="62"/>
  <c r="Y262" i="62"/>
  <c r="AE262" i="62"/>
  <c r="Y263" i="62"/>
  <c r="AE263" i="62"/>
  <c r="Y264" i="62"/>
  <c r="AE264" i="62"/>
  <c r="Y265" i="62"/>
  <c r="AE265" i="62"/>
  <c r="Y266" i="62"/>
  <c r="AE266" i="62"/>
  <c r="Y267" i="62"/>
  <c r="AE267" i="62"/>
  <c r="Y268" i="62"/>
  <c r="AE268" i="62"/>
  <c r="Y269" i="62"/>
  <c r="AE269" i="62"/>
  <c r="Y270" i="62"/>
  <c r="AE270" i="62"/>
  <c r="Y271" i="62"/>
  <c r="AE271" i="62"/>
  <c r="Y272" i="62"/>
  <c r="AE272" i="62"/>
  <c r="Y273" i="62"/>
  <c r="AE273" i="62"/>
  <c r="Y274" i="62"/>
  <c r="AE274" i="62"/>
  <c r="Y275" i="62"/>
  <c r="AE275" i="62"/>
  <c r="Z276" i="62"/>
  <c r="AF276" i="62"/>
  <c r="Z277" i="62"/>
  <c r="AF277" i="62"/>
  <c r="Z278" i="62"/>
  <c r="AF278" i="62"/>
  <c r="Z279" i="62"/>
  <c r="AF279" i="62"/>
  <c r="Z280" i="62"/>
  <c r="AF280" i="62"/>
  <c r="Z281" i="62"/>
  <c r="AF281" i="62"/>
  <c r="Z282" i="62"/>
  <c r="AF282" i="62"/>
  <c r="Z283" i="62"/>
  <c r="AF283" i="62"/>
  <c r="Z284" i="62"/>
  <c r="AF284" i="62"/>
  <c r="Z285" i="62"/>
  <c r="AF285" i="62"/>
  <c r="Z286" i="62"/>
  <c r="AF286" i="62"/>
  <c r="Z287" i="62"/>
  <c r="AF287" i="62"/>
  <c r="Z288" i="62"/>
  <c r="AF288" i="62"/>
  <c r="Z289" i="62"/>
  <c r="AF289" i="62"/>
  <c r="Z290" i="62"/>
  <c r="AF290" i="62"/>
  <c r="Z291" i="62"/>
  <c r="AF291" i="62"/>
  <c r="Z292" i="62"/>
  <c r="AF292" i="62"/>
  <c r="Z293" i="62"/>
  <c r="AF293" i="62"/>
  <c r="Z294" i="62"/>
  <c r="AF294" i="62"/>
  <c r="Z295" i="62"/>
  <c r="AF295" i="62"/>
  <c r="Z296" i="62"/>
  <c r="AF296" i="62"/>
  <c r="Z297" i="62"/>
  <c r="AF297" i="62"/>
  <c r="Z298" i="62"/>
  <c r="AF298" i="62"/>
  <c r="Z299" i="62"/>
  <c r="AF299" i="62"/>
  <c r="Z300" i="62"/>
  <c r="AF300" i="62"/>
  <c r="Z301" i="62"/>
  <c r="AF301" i="62"/>
  <c r="Z302" i="62"/>
  <c r="AF302" i="62"/>
  <c r="Z303" i="62"/>
  <c r="AF303" i="62"/>
  <c r="Z304" i="62"/>
  <c r="AF304" i="62"/>
  <c r="Z305" i="62"/>
  <c r="AF305" i="62"/>
  <c r="Z306" i="62"/>
  <c r="AF306" i="62"/>
  <c r="Z307" i="62"/>
  <c r="AF307" i="62"/>
  <c r="Z308" i="62"/>
  <c r="AF308" i="62"/>
  <c r="Z309" i="62"/>
  <c r="AF309" i="62"/>
  <c r="Z310" i="62"/>
  <c r="AF310" i="62"/>
  <c r="Z311" i="62"/>
  <c r="AF311" i="62"/>
  <c r="Z312" i="62"/>
  <c r="AF312" i="62"/>
  <c r="Z313" i="62"/>
  <c r="AF313" i="62"/>
  <c r="Z314" i="62"/>
  <c r="AF314" i="62"/>
  <c r="Z315" i="62"/>
  <c r="AF315" i="62"/>
  <c r="Z316" i="62"/>
  <c r="AF316" i="62"/>
  <c r="Z317" i="62"/>
  <c r="AF317" i="62"/>
  <c r="Z318" i="62"/>
  <c r="AF318" i="62"/>
  <c r="Z319" i="62"/>
  <c r="AF319" i="62"/>
  <c r="Z320" i="62"/>
  <c r="AF320" i="62"/>
  <c r="Z321" i="62"/>
  <c r="AF321" i="62"/>
  <c r="Z322" i="62"/>
  <c r="AF322" i="62"/>
  <c r="Z323" i="62"/>
  <c r="AF323" i="62"/>
  <c r="Y324" i="62"/>
  <c r="AE324" i="62"/>
  <c r="Y325" i="62"/>
  <c r="AE325" i="62"/>
  <c r="Y326" i="62"/>
  <c r="AE326" i="62"/>
  <c r="Y327" i="62"/>
  <c r="AE327" i="62"/>
  <c r="Y328" i="62"/>
  <c r="AE328" i="62"/>
  <c r="Y329" i="62"/>
  <c r="AE329" i="62"/>
  <c r="Y330" i="62"/>
  <c r="AE330" i="62"/>
  <c r="Y331" i="62"/>
  <c r="AE331" i="62"/>
  <c r="Y332" i="62"/>
  <c r="AE332" i="62"/>
  <c r="Y333" i="62"/>
  <c r="AE333" i="62"/>
  <c r="Y334" i="62"/>
  <c r="AE334" i="62"/>
  <c r="Y335" i="62"/>
  <c r="AE335" i="62"/>
  <c r="Y336" i="62"/>
  <c r="AE336" i="62"/>
  <c r="Y337" i="62"/>
  <c r="AE337" i="62"/>
  <c r="Y338" i="62"/>
  <c r="AE338" i="62"/>
  <c r="Z339" i="62"/>
  <c r="AF339" i="62"/>
  <c r="Z340" i="62"/>
  <c r="AF340" i="62"/>
  <c r="Z341" i="62"/>
  <c r="AF341" i="62"/>
  <c r="Z342" i="62"/>
  <c r="AF342" i="62"/>
  <c r="Z343" i="62"/>
  <c r="AF343" i="62"/>
  <c r="Z344" i="62"/>
  <c r="AF344" i="62"/>
  <c r="Z345" i="62"/>
  <c r="AF345" i="62"/>
  <c r="Z346" i="62"/>
  <c r="AF346" i="62"/>
  <c r="Z347" i="62"/>
  <c r="AF347" i="62"/>
  <c r="Z348" i="62"/>
  <c r="AF348" i="62"/>
  <c r="Z349" i="62"/>
  <c r="AF349" i="62"/>
  <c r="Z350" i="62"/>
  <c r="AF350" i="62"/>
  <c r="Z351" i="62"/>
  <c r="AF351" i="62"/>
  <c r="Z352" i="62"/>
  <c r="AF352" i="62"/>
  <c r="Z353" i="62"/>
  <c r="AF353" i="62"/>
  <c r="Z354" i="62"/>
  <c r="AF354" i="62"/>
  <c r="Z355" i="62"/>
  <c r="AF355" i="62"/>
  <c r="Z356" i="62"/>
  <c r="AF356" i="62"/>
  <c r="Z357" i="62"/>
  <c r="AF357" i="62"/>
  <c r="Z358" i="62"/>
  <c r="AF358" i="62"/>
  <c r="Z359" i="62"/>
  <c r="AF359" i="62"/>
  <c r="Z360" i="62"/>
  <c r="AF360" i="62"/>
  <c r="Z361" i="62"/>
  <c r="AF361" i="62"/>
  <c r="Z362" i="62"/>
  <c r="AF362" i="62"/>
  <c r="Z363" i="62"/>
  <c r="AF363" i="62"/>
  <c r="Z364" i="62"/>
  <c r="AF364" i="62"/>
  <c r="Z365" i="62"/>
  <c r="AF365" i="62"/>
  <c r="Y366" i="62"/>
  <c r="AE366" i="62"/>
  <c r="Y367" i="62"/>
  <c r="AE367" i="62"/>
  <c r="Y368" i="62"/>
  <c r="AE368" i="62"/>
  <c r="Y369" i="62"/>
  <c r="AE369" i="62"/>
  <c r="Y370" i="62"/>
  <c r="AE370" i="62"/>
  <c r="Y371" i="62"/>
  <c r="AE371" i="62"/>
  <c r="Y372" i="62"/>
  <c r="AE372" i="62"/>
  <c r="Y373" i="62"/>
  <c r="AE373" i="62"/>
  <c r="Y374" i="62"/>
  <c r="AE374" i="62"/>
  <c r="Y375" i="62"/>
  <c r="AE375" i="62"/>
  <c r="Y376" i="62"/>
  <c r="AE376" i="62"/>
  <c r="Y377" i="62"/>
  <c r="AE377" i="62"/>
  <c r="Z378" i="62"/>
  <c r="AF378" i="62"/>
  <c r="Z379" i="62"/>
  <c r="AF379" i="62"/>
  <c r="Z380" i="62"/>
  <c r="AF380" i="62"/>
  <c r="Z381" i="62"/>
  <c r="AF381" i="62"/>
  <c r="Z382" i="62"/>
  <c r="AF382" i="62"/>
  <c r="Z383" i="62"/>
  <c r="AF383" i="62"/>
  <c r="Z384" i="62"/>
  <c r="AF384" i="62"/>
  <c r="Z385" i="62"/>
  <c r="AF385" i="62"/>
  <c r="Z386" i="62"/>
  <c r="AF386" i="62"/>
  <c r="Z387" i="62"/>
  <c r="AF387" i="62"/>
  <c r="Z388" i="62"/>
  <c r="AF388" i="62"/>
  <c r="Z389" i="62"/>
  <c r="AF389" i="62"/>
  <c r="Z390" i="62"/>
  <c r="AF390" i="62"/>
  <c r="Z391" i="62"/>
  <c r="AF391" i="62"/>
  <c r="Z392" i="62"/>
  <c r="AF392" i="62"/>
  <c r="Z393" i="62"/>
  <c r="AF393" i="62"/>
  <c r="Z394" i="62"/>
  <c r="AF394" i="62"/>
  <c r="Z395" i="62"/>
  <c r="AF395" i="62"/>
  <c r="Z396" i="62"/>
  <c r="AF396" i="62"/>
  <c r="Z397" i="62"/>
  <c r="AF397" i="62"/>
  <c r="Z398" i="62"/>
  <c r="AF398" i="62"/>
  <c r="Z399" i="62"/>
  <c r="AF399" i="62"/>
  <c r="Z400" i="62"/>
  <c r="AF400" i="62"/>
  <c r="Z401" i="62"/>
  <c r="AF401" i="62"/>
  <c r="Z402" i="62"/>
  <c r="AF402" i="62"/>
  <c r="Z403" i="62"/>
  <c r="AF403" i="62"/>
  <c r="Z404" i="62"/>
  <c r="AF404" i="62"/>
  <c r="Z405" i="62"/>
  <c r="AF405" i="62"/>
  <c r="Z406" i="62"/>
  <c r="AF406" i="62"/>
  <c r="Z407" i="62"/>
  <c r="AF407" i="62"/>
  <c r="Z408" i="62"/>
  <c r="AF408" i="62"/>
  <c r="Z409" i="62"/>
  <c r="AF409" i="62"/>
  <c r="Z410" i="62"/>
  <c r="AF410" i="62"/>
  <c r="Z411" i="62"/>
  <c r="AF411" i="62"/>
  <c r="Z412" i="62"/>
  <c r="AF412" i="62"/>
  <c r="Z413" i="62"/>
  <c r="AF413" i="62"/>
  <c r="Z414" i="62"/>
  <c r="AF414" i="62"/>
  <c r="Z415" i="62"/>
  <c r="AF415" i="62"/>
  <c r="Z416" i="62"/>
  <c r="AF416" i="62"/>
  <c r="Y417" i="62"/>
  <c r="AE417" i="62"/>
  <c r="Y418" i="62"/>
  <c r="AE418" i="62"/>
  <c r="Y419" i="62"/>
  <c r="AE419" i="62"/>
  <c r="Y420" i="62"/>
  <c r="AE420" i="62"/>
  <c r="Y421" i="62"/>
  <c r="AE421" i="62"/>
  <c r="Y422" i="62"/>
  <c r="AE422" i="62"/>
  <c r="Y423" i="62"/>
  <c r="AE423" i="62"/>
  <c r="Y424" i="62"/>
  <c r="AE424" i="62"/>
  <c r="Y425" i="62"/>
  <c r="AE425" i="62"/>
  <c r="Y426" i="62"/>
  <c r="AE426" i="62"/>
  <c r="Y427" i="62"/>
  <c r="AE427" i="62"/>
  <c r="Y428" i="62"/>
  <c r="AE428" i="62"/>
  <c r="Y429" i="62"/>
  <c r="AE429" i="62"/>
  <c r="Y430" i="62"/>
  <c r="AE430" i="62"/>
  <c r="Y431" i="62"/>
  <c r="AE431" i="62"/>
  <c r="Y432" i="62"/>
  <c r="AE432" i="62"/>
  <c r="Y433" i="62"/>
  <c r="AE433" i="62"/>
  <c r="Y434" i="62"/>
  <c r="AE434" i="62"/>
  <c r="Y435" i="62"/>
  <c r="AE435" i="62"/>
  <c r="Y436" i="62"/>
  <c r="AE436" i="62"/>
  <c r="Y437" i="62"/>
  <c r="AE437" i="62"/>
  <c r="Y438" i="62"/>
  <c r="AE438" i="62"/>
  <c r="Y439" i="62"/>
  <c r="AE439" i="62"/>
  <c r="Y440" i="62"/>
  <c r="AE440" i="62"/>
  <c r="Y441" i="62"/>
  <c r="AE441" i="62"/>
  <c r="Y442" i="62"/>
  <c r="AE442" i="62"/>
  <c r="Y443" i="62"/>
  <c r="AE443" i="62"/>
  <c r="Z444" i="62"/>
  <c r="AF444" i="62"/>
  <c r="Z445" i="62"/>
  <c r="AF445" i="62"/>
  <c r="Z446" i="62"/>
  <c r="AF446" i="62"/>
  <c r="Z447" i="62"/>
  <c r="AF447" i="62"/>
  <c r="Z448" i="62"/>
  <c r="AF448" i="62"/>
  <c r="Z449" i="62"/>
  <c r="AF449" i="62"/>
  <c r="Z450" i="62"/>
  <c r="AF450" i="62"/>
  <c r="Z451" i="62"/>
  <c r="AF451" i="62"/>
  <c r="Z452" i="62"/>
  <c r="AF452" i="62"/>
  <c r="Z453" i="62"/>
  <c r="AF453" i="62"/>
  <c r="Z454" i="62"/>
  <c r="AF454" i="62"/>
  <c r="Z455" i="62"/>
  <c r="AF455" i="62"/>
  <c r="Z456" i="62"/>
  <c r="AF456" i="62"/>
  <c r="Z457" i="62"/>
  <c r="AF457" i="62"/>
  <c r="Z458" i="62"/>
  <c r="AF458" i="62"/>
  <c r="Z459" i="62"/>
  <c r="AF459" i="62"/>
  <c r="Z460" i="62"/>
  <c r="AF460" i="62"/>
  <c r="Z461" i="62"/>
  <c r="AF461" i="62"/>
  <c r="Z462" i="62"/>
  <c r="AF462" i="62"/>
  <c r="Z463" i="62"/>
  <c r="AF463" i="62"/>
  <c r="Z464" i="62"/>
  <c r="AF464" i="62"/>
  <c r="Z465" i="62"/>
  <c r="AF465" i="62"/>
  <c r="Z466" i="62"/>
  <c r="AF466" i="62"/>
  <c r="Z467" i="62"/>
  <c r="AF467" i="62"/>
  <c r="Z468" i="62"/>
  <c r="AF468" i="62"/>
  <c r="Z469" i="62"/>
  <c r="AF469" i="62"/>
  <c r="Z470" i="62"/>
  <c r="AF470" i="62"/>
  <c r="Z471" i="62"/>
  <c r="AF471" i="62"/>
  <c r="Z472" i="62"/>
  <c r="AF472" i="62"/>
  <c r="Z473" i="62"/>
  <c r="AF473" i="62"/>
  <c r="Z474" i="62"/>
  <c r="AF474" i="62"/>
  <c r="Z475" i="62"/>
  <c r="AF475" i="62"/>
  <c r="Z476" i="62"/>
  <c r="AF476" i="62"/>
  <c r="Z477" i="62"/>
  <c r="AF477" i="62"/>
  <c r="Z478" i="62"/>
  <c r="AF478" i="62"/>
  <c r="Z479" i="62"/>
  <c r="AF479" i="62"/>
  <c r="Z480" i="62"/>
  <c r="AF480" i="62"/>
  <c r="Z481" i="62"/>
  <c r="AF481" i="62"/>
  <c r="Z482" i="62"/>
  <c r="AF482" i="62"/>
  <c r="Z483" i="62"/>
  <c r="AF483" i="62"/>
  <c r="Z484" i="62"/>
  <c r="AF484" i="62"/>
  <c r="Z485" i="62"/>
  <c r="AF485" i="62"/>
  <c r="Z486" i="62"/>
  <c r="AF486" i="62"/>
  <c r="Y487" i="62"/>
  <c r="AE487" i="62"/>
  <c r="Y488" i="62"/>
  <c r="AE488" i="62"/>
  <c r="Y489" i="62"/>
  <c r="AE489" i="62"/>
  <c r="Y490" i="62"/>
  <c r="AE490" i="62"/>
  <c r="Y491" i="62"/>
  <c r="AE491" i="62"/>
  <c r="Y492" i="62"/>
  <c r="AE492" i="62"/>
  <c r="Y493" i="62"/>
  <c r="AE493" i="62"/>
  <c r="Y494" i="62"/>
  <c r="AE494" i="62"/>
  <c r="Y495" i="62"/>
  <c r="AE495" i="62"/>
  <c r="Y496" i="62"/>
  <c r="AE496" i="62"/>
  <c r="Y497" i="62"/>
  <c r="AE497" i="62"/>
  <c r="Y498" i="62"/>
  <c r="AE498" i="62"/>
  <c r="Y499" i="62"/>
  <c r="AE499" i="62"/>
  <c r="Y500" i="62"/>
  <c r="AE500" i="62"/>
  <c r="Y501" i="62"/>
  <c r="AE501" i="62"/>
  <c r="Z502" i="62"/>
  <c r="AF502" i="62"/>
  <c r="Z503" i="62"/>
  <c r="AF503" i="62"/>
  <c r="Z504" i="62"/>
  <c r="AF504" i="62"/>
  <c r="Z505" i="62"/>
  <c r="AF505" i="62"/>
  <c r="Z506" i="62"/>
  <c r="AF506" i="62"/>
  <c r="Z507" i="62"/>
  <c r="AF507" i="62"/>
  <c r="Z508" i="62"/>
  <c r="AF508" i="62"/>
  <c r="Z509" i="62"/>
  <c r="AF509" i="62"/>
  <c r="Z510" i="62"/>
  <c r="AF510" i="62"/>
  <c r="Z511" i="62"/>
  <c r="AF511" i="62"/>
  <c r="Z512" i="62"/>
  <c r="AF512" i="62"/>
  <c r="Z513" i="62"/>
  <c r="AF513" i="62"/>
  <c r="Z514" i="62"/>
  <c r="AF514" i="62"/>
  <c r="Z515" i="62"/>
  <c r="AF515" i="62"/>
  <c r="Z516" i="62"/>
  <c r="AF516" i="62"/>
  <c r="Z517" i="62"/>
  <c r="AF517" i="62"/>
  <c r="Z518" i="62"/>
  <c r="AF518" i="62"/>
  <c r="Z519" i="62"/>
  <c r="AF519" i="62"/>
  <c r="Z520" i="62"/>
  <c r="AF520" i="62"/>
  <c r="Z521" i="62"/>
  <c r="AF521" i="62"/>
  <c r="Z522" i="62"/>
  <c r="AF522" i="62"/>
  <c r="Z523" i="62"/>
  <c r="AF523" i="62"/>
  <c r="Z524" i="62"/>
  <c r="AF524" i="62"/>
  <c r="Z525" i="62"/>
  <c r="AF525" i="62"/>
  <c r="Z526" i="62"/>
  <c r="AF526" i="62"/>
  <c r="Z527" i="62"/>
  <c r="AF527" i="62"/>
  <c r="Z528" i="62"/>
  <c r="AF528" i="62"/>
  <c r="Z529" i="62"/>
  <c r="AF529" i="62"/>
  <c r="Z530" i="62"/>
  <c r="AF530" i="62"/>
  <c r="Z531" i="62"/>
  <c r="AF531" i="62"/>
  <c r="Z532" i="62"/>
  <c r="AF532" i="62"/>
  <c r="Z533" i="62"/>
  <c r="AF533" i="62"/>
  <c r="Z534" i="62"/>
  <c r="AF534" i="62"/>
  <c r="Z535" i="62"/>
  <c r="AF535" i="62"/>
  <c r="Z536" i="62"/>
  <c r="AF536" i="62"/>
  <c r="Z537" i="62"/>
  <c r="AF537" i="62"/>
  <c r="Z538" i="62"/>
  <c r="AF538" i="62"/>
  <c r="Z539" i="62"/>
  <c r="AF539" i="62"/>
  <c r="Z540" i="62"/>
  <c r="AF540" i="62"/>
  <c r="Z541" i="62"/>
  <c r="AF541" i="62"/>
  <c r="Z542" i="62"/>
  <c r="AF542" i="62"/>
  <c r="Z543" i="62"/>
  <c r="AF543" i="62"/>
  <c r="Z544" i="62"/>
  <c r="AF544" i="62"/>
  <c r="Z545" i="62"/>
  <c r="AF545" i="62"/>
  <c r="Z546" i="62"/>
  <c r="AF546" i="62"/>
  <c r="Z547" i="62"/>
  <c r="AF547" i="62"/>
  <c r="Z548" i="62"/>
  <c r="AF548" i="62"/>
  <c r="Z549" i="62"/>
  <c r="AF549" i="62"/>
  <c r="Z550" i="62"/>
  <c r="AF550" i="62"/>
  <c r="Z551" i="62"/>
  <c r="AF551" i="62"/>
  <c r="Z552" i="62"/>
  <c r="AF552" i="62"/>
  <c r="Z553" i="62"/>
  <c r="AF553" i="62"/>
  <c r="Z554" i="62"/>
  <c r="AF554" i="62"/>
  <c r="Z555" i="62"/>
  <c r="AF555" i="62"/>
  <c r="Z556" i="62"/>
  <c r="AF556" i="62"/>
  <c r="Z557" i="62"/>
  <c r="AF557" i="62"/>
  <c r="Z558" i="62"/>
  <c r="AF558" i="62"/>
  <c r="Z559" i="62"/>
  <c r="AF559" i="62"/>
  <c r="Z560" i="62"/>
  <c r="AF560" i="62"/>
  <c r="Z561" i="62"/>
  <c r="AF561" i="62"/>
  <c r="Z562" i="62"/>
  <c r="AF562" i="62"/>
  <c r="Z563" i="62"/>
  <c r="AF563" i="62"/>
  <c r="Z564" i="62"/>
  <c r="AF564" i="62"/>
  <c r="Z565" i="62"/>
  <c r="AF565" i="62"/>
  <c r="Z566" i="62"/>
  <c r="AF566" i="62"/>
  <c r="Z567" i="62"/>
  <c r="AF567" i="62"/>
  <c r="Z568" i="62"/>
  <c r="AF568" i="62"/>
  <c r="Z569" i="62"/>
  <c r="AF569" i="62"/>
  <c r="Z570" i="62"/>
  <c r="AF570" i="62"/>
  <c r="Z571" i="62"/>
  <c r="AF571" i="62"/>
  <c r="Z572" i="62"/>
  <c r="AF572" i="62"/>
  <c r="Z573" i="62"/>
  <c r="AF573" i="62"/>
  <c r="Z574" i="62"/>
  <c r="AF574" i="62"/>
  <c r="Z575" i="62"/>
  <c r="AF575" i="62"/>
  <c r="Z576" i="62"/>
  <c r="AF576" i="62"/>
  <c r="Z577" i="62"/>
  <c r="AF577" i="62"/>
  <c r="Z578" i="62"/>
  <c r="AF578" i="62"/>
  <c r="Z579" i="62"/>
  <c r="AF579" i="62"/>
  <c r="Z580" i="62"/>
  <c r="AF580" i="62"/>
  <c r="Z581" i="62"/>
  <c r="AF581" i="62"/>
  <c r="Z582" i="62"/>
  <c r="AF582" i="62"/>
  <c r="Z583" i="62"/>
  <c r="AF583" i="62"/>
  <c r="Z584" i="62"/>
  <c r="AF584" i="62"/>
  <c r="Z585" i="62"/>
  <c r="AF585" i="62"/>
  <c r="Z586" i="62"/>
  <c r="AF586" i="62"/>
  <c r="Z587" i="62"/>
  <c r="AF587" i="62"/>
  <c r="Z588" i="62"/>
  <c r="AF588" i="62"/>
  <c r="Z589" i="62"/>
  <c r="AF589" i="62"/>
  <c r="Z590" i="62"/>
  <c r="AF590" i="62"/>
  <c r="Z591" i="62"/>
  <c r="AF591" i="62"/>
  <c r="Z592" i="62"/>
  <c r="AF592" i="62"/>
  <c r="Z593" i="62"/>
  <c r="AF593" i="62"/>
  <c r="Z594" i="62"/>
  <c r="AF594" i="62"/>
  <c r="Y595" i="62"/>
  <c r="AE595" i="62"/>
  <c r="Y596" i="62"/>
  <c r="AE596" i="62"/>
  <c r="Y597" i="62"/>
  <c r="AE597" i="62"/>
  <c r="Y598" i="62"/>
  <c r="AE598" i="62"/>
  <c r="Y599" i="62"/>
  <c r="AE599" i="62"/>
  <c r="Y600" i="62"/>
  <c r="AE600" i="62"/>
  <c r="Y601" i="62"/>
  <c r="AE601" i="62"/>
  <c r="Y602" i="62"/>
  <c r="AE602" i="62"/>
  <c r="Y603" i="62"/>
  <c r="AE603" i="62"/>
  <c r="Y604" i="62"/>
  <c r="AE604" i="62"/>
  <c r="Y605" i="62"/>
  <c r="AE605" i="62"/>
  <c r="Y606" i="62"/>
  <c r="AE606" i="62"/>
  <c r="Y607" i="62"/>
  <c r="AE607" i="62"/>
  <c r="Y608" i="62"/>
  <c r="AE608" i="62"/>
  <c r="Y609" i="62"/>
  <c r="AE609" i="62"/>
  <c r="Y610" i="62"/>
  <c r="AE610" i="62"/>
  <c r="Y611" i="62"/>
  <c r="AE611" i="62"/>
  <c r="Y612" i="62"/>
  <c r="AE612" i="62"/>
  <c r="Y613" i="62"/>
  <c r="AE613" i="62"/>
  <c r="Y614" i="62"/>
  <c r="AE614" i="62"/>
  <c r="Y615" i="62"/>
  <c r="AE615" i="62"/>
  <c r="Y616" i="62"/>
  <c r="AE616" i="62"/>
  <c r="Y617" i="62"/>
  <c r="AE617" i="62"/>
  <c r="Y618" i="62"/>
  <c r="AE618" i="62"/>
  <c r="Y619" i="62"/>
  <c r="AE619" i="62"/>
  <c r="Y620" i="62"/>
  <c r="AE620" i="62"/>
  <c r="Y621" i="62"/>
  <c r="AE621" i="62"/>
  <c r="Y622" i="62"/>
  <c r="AE622" i="62"/>
  <c r="Y623" i="62"/>
  <c r="AE623" i="62"/>
  <c r="Z624" i="62"/>
  <c r="AF624" i="62"/>
  <c r="Z625" i="62"/>
  <c r="AF625" i="62"/>
  <c r="Z626" i="62"/>
  <c r="AF626" i="62"/>
  <c r="Z627" i="62"/>
  <c r="AF627" i="62"/>
  <c r="Z628" i="62"/>
  <c r="AF628" i="62"/>
  <c r="Z629" i="62"/>
  <c r="AF629" i="62"/>
  <c r="Z630" i="62"/>
  <c r="AF630" i="62"/>
  <c r="Z631" i="62"/>
  <c r="AF631" i="62"/>
  <c r="Z632" i="62"/>
  <c r="AF632" i="62"/>
  <c r="Z633" i="62"/>
  <c r="AF633" i="62"/>
  <c r="Z634" i="62"/>
  <c r="AF634" i="62"/>
  <c r="Z635" i="62"/>
  <c r="AF635" i="62"/>
  <c r="Z636" i="62"/>
  <c r="AF636" i="62"/>
  <c r="Z637" i="62"/>
  <c r="AF637" i="62"/>
  <c r="Z638" i="62"/>
  <c r="AF638" i="62"/>
  <c r="Z639" i="62"/>
  <c r="AF639" i="62"/>
  <c r="Z640" i="62"/>
  <c r="AF640" i="62"/>
  <c r="Z641" i="62"/>
  <c r="AF641" i="62"/>
  <c r="Z642" i="62"/>
  <c r="AF642" i="62"/>
  <c r="Z643" i="62"/>
  <c r="AF643" i="62"/>
  <c r="Z644" i="62"/>
  <c r="AF644" i="62"/>
  <c r="Z645" i="62"/>
  <c r="AF645" i="62"/>
  <c r="Z646" i="62"/>
  <c r="AF646" i="62"/>
  <c r="Z647" i="62"/>
  <c r="AF647" i="62"/>
  <c r="Z648" i="62"/>
  <c r="AF648" i="62"/>
  <c r="Z649" i="62"/>
  <c r="AF649" i="62"/>
  <c r="Z650" i="62"/>
  <c r="AF650" i="62"/>
  <c r="Z651" i="62"/>
  <c r="AF651" i="62"/>
  <c r="Z652" i="62"/>
  <c r="AF652" i="62"/>
  <c r="Z653" i="62"/>
  <c r="AF653" i="62"/>
  <c r="Y654" i="62"/>
  <c r="AE654" i="62"/>
  <c r="Y655" i="62"/>
  <c r="AE655" i="62"/>
  <c r="Y656" i="62"/>
  <c r="AE656" i="62"/>
  <c r="Y657" i="62"/>
  <c r="AE657" i="62"/>
  <c r="Y658" i="62"/>
  <c r="AE658" i="62"/>
  <c r="Y659" i="62"/>
  <c r="AE659" i="62"/>
  <c r="Y660" i="62"/>
  <c r="AE660" i="62"/>
  <c r="Y661" i="62"/>
  <c r="AE661" i="62"/>
  <c r="Y662" i="62"/>
  <c r="AE662" i="62"/>
  <c r="Y663" i="62"/>
  <c r="AE663" i="62"/>
  <c r="Y664" i="62"/>
  <c r="AE664" i="62"/>
  <c r="Y665" i="62"/>
  <c r="AE665" i="62"/>
  <c r="Y666" i="62"/>
  <c r="AE666" i="62"/>
  <c r="Y667" i="62"/>
  <c r="AE667" i="62"/>
  <c r="Y668" i="62"/>
  <c r="AE668" i="62"/>
  <c r="Y669" i="62"/>
  <c r="AE669" i="62"/>
  <c r="Y670" i="62"/>
  <c r="AE670" i="62"/>
  <c r="Y671" i="62"/>
  <c r="AE671" i="62"/>
  <c r="Y672" i="62"/>
  <c r="AE672" i="62"/>
  <c r="Y673" i="62"/>
  <c r="AE673" i="62"/>
  <c r="Y674" i="62"/>
  <c r="AE674" i="62"/>
  <c r="Y675" i="62"/>
  <c r="AE675" i="62"/>
  <c r="Y676" i="62"/>
  <c r="AE676" i="62"/>
  <c r="Y677" i="62"/>
  <c r="AE677" i="62"/>
  <c r="Y678" i="62"/>
  <c r="AE678" i="62"/>
  <c r="Y679" i="62"/>
  <c r="AE679" i="62"/>
  <c r="Y680" i="62"/>
  <c r="AE680" i="62"/>
  <c r="Y681" i="62"/>
  <c r="AE681" i="62"/>
  <c r="Y682" i="62"/>
  <c r="AE682" i="62"/>
  <c r="Y683" i="62"/>
  <c r="AE683" i="62"/>
  <c r="Z684" i="62"/>
  <c r="AF684" i="62"/>
  <c r="Z685" i="62"/>
  <c r="AF685" i="62"/>
  <c r="Z686" i="62"/>
  <c r="AF686" i="62"/>
  <c r="Z687" i="62"/>
  <c r="AF687" i="62"/>
  <c r="Z688" i="62"/>
  <c r="AF688" i="62"/>
  <c r="Z689" i="62"/>
  <c r="AF689" i="62"/>
  <c r="Z690" i="62"/>
  <c r="AF690" i="62"/>
  <c r="Z691" i="62"/>
  <c r="AF691" i="62"/>
  <c r="Z692" i="62"/>
  <c r="AF692" i="62"/>
  <c r="Z693" i="62"/>
  <c r="AF693" i="62"/>
  <c r="Z694" i="62"/>
  <c r="AF694" i="62"/>
  <c r="Z695" i="62"/>
  <c r="AF695" i="62"/>
  <c r="Z696" i="62"/>
  <c r="AF696" i="62"/>
  <c r="Z697" i="62"/>
  <c r="AF697" i="62"/>
  <c r="Z698" i="62"/>
  <c r="AF698" i="62"/>
  <c r="Z699" i="62"/>
  <c r="AF699" i="62"/>
  <c r="Z700" i="62"/>
  <c r="AF700" i="62"/>
  <c r="Z701" i="62"/>
  <c r="AF701" i="62"/>
  <c r="Z702" i="62"/>
  <c r="AF702" i="62"/>
  <c r="Z703" i="62"/>
  <c r="AF703" i="62"/>
  <c r="Z704" i="62"/>
  <c r="AF704" i="62"/>
  <c r="Z705" i="62"/>
  <c r="AF705" i="62"/>
  <c r="Z706" i="62"/>
  <c r="AF706" i="62"/>
  <c r="Z707" i="62"/>
  <c r="AF707" i="62"/>
  <c r="Z708" i="62"/>
  <c r="AF708" i="62"/>
  <c r="Z709" i="62"/>
  <c r="AF709" i="62"/>
  <c r="Z710" i="62"/>
  <c r="AF710" i="62"/>
  <c r="Z711" i="62"/>
  <c r="AF711" i="62"/>
  <c r="Z712" i="62"/>
  <c r="AF712" i="62"/>
  <c r="Z713" i="62"/>
  <c r="AF713" i="62"/>
  <c r="Z714" i="62"/>
  <c r="AF714" i="62"/>
  <c r="Z715" i="62"/>
  <c r="AF715" i="62"/>
  <c r="Z716" i="62"/>
  <c r="AF716" i="62"/>
  <c r="Z717" i="62"/>
  <c r="AF717" i="62"/>
  <c r="Z718" i="62"/>
  <c r="AF718" i="62"/>
  <c r="Z719" i="62"/>
  <c r="AF719" i="62"/>
  <c r="Z720" i="62"/>
  <c r="AF720" i="62"/>
  <c r="Z721" i="62"/>
  <c r="AF721" i="62"/>
  <c r="Z722" i="62"/>
  <c r="AF722" i="62"/>
  <c r="Z723" i="62"/>
  <c r="AF723" i="62"/>
  <c r="Z724" i="62"/>
  <c r="AF724" i="62"/>
  <c r="Z725" i="62"/>
  <c r="AF725" i="62"/>
  <c r="Y726" i="62"/>
  <c r="AE726" i="62"/>
  <c r="Y727" i="62"/>
  <c r="AE727" i="62"/>
  <c r="Y728" i="62"/>
  <c r="AE728" i="62"/>
  <c r="Y729" i="62"/>
  <c r="AE729" i="62"/>
  <c r="Y730" i="62"/>
  <c r="AE730" i="62"/>
  <c r="Y731" i="62"/>
  <c r="AE731" i="62"/>
  <c r="Y732" i="62"/>
  <c r="AE732" i="62"/>
  <c r="Y733" i="62"/>
  <c r="AE733" i="62"/>
  <c r="Y734" i="62"/>
  <c r="AE734" i="62"/>
  <c r="Y735" i="62"/>
  <c r="AE735" i="62"/>
  <c r="Y736" i="62"/>
  <c r="AE736" i="62"/>
  <c r="Y737" i="62"/>
  <c r="AE737" i="62"/>
  <c r="Y738" i="62"/>
  <c r="AE738" i="62"/>
  <c r="Z739" i="62"/>
  <c r="AF739" i="62"/>
  <c r="Z740" i="62"/>
  <c r="AF740" i="62"/>
  <c r="Z741" i="62"/>
  <c r="AF741" i="62"/>
  <c r="Z742" i="62"/>
  <c r="AF742" i="62"/>
  <c r="Z743" i="62"/>
  <c r="AF743" i="62"/>
  <c r="Z744" i="62"/>
  <c r="AF744" i="62"/>
  <c r="Z745" i="62"/>
  <c r="AF745" i="62"/>
  <c r="Z746" i="62"/>
  <c r="AF746" i="62"/>
  <c r="Z747" i="62"/>
  <c r="AF747" i="62"/>
  <c r="Z748" i="62"/>
  <c r="AF748" i="62"/>
  <c r="Z749" i="62"/>
  <c r="AF749" i="62"/>
  <c r="Z750" i="62"/>
  <c r="AF750" i="62"/>
  <c r="Z751" i="62"/>
  <c r="AF751" i="62"/>
  <c r="Z752" i="62"/>
  <c r="AF752" i="62"/>
  <c r="Z753" i="62"/>
  <c r="AF753" i="62"/>
  <c r="Z754" i="62"/>
  <c r="AF754" i="62"/>
  <c r="Z755" i="62"/>
  <c r="AF755" i="62"/>
  <c r="Z756" i="62"/>
  <c r="AF756" i="62"/>
  <c r="Z757" i="62"/>
  <c r="AF757" i="62"/>
  <c r="Z758" i="62"/>
  <c r="AF758" i="62"/>
  <c r="Z759" i="62"/>
  <c r="AF759" i="62"/>
  <c r="Z760" i="62"/>
  <c r="AF760" i="62"/>
  <c r="Z761" i="62"/>
  <c r="AF761" i="62"/>
  <c r="Z762" i="62"/>
  <c r="AF762" i="62"/>
  <c r="Z763" i="62"/>
  <c r="AF763" i="62"/>
  <c r="Z764" i="62"/>
  <c r="AF764" i="62"/>
  <c r="Z765" i="62"/>
  <c r="AF765" i="62"/>
  <c r="Z766" i="62"/>
  <c r="AF766" i="62"/>
  <c r="Z767" i="62"/>
  <c r="AF767" i="62"/>
  <c r="Z768" i="62"/>
  <c r="AF768" i="62"/>
  <c r="Z769" i="62"/>
  <c r="AF769" i="62"/>
  <c r="Z770" i="62"/>
  <c r="AF770" i="62"/>
  <c r="Z771" i="62"/>
  <c r="AF771" i="62"/>
  <c r="Z772" i="62"/>
  <c r="AF772" i="62"/>
  <c r="Z773" i="62"/>
  <c r="AF773" i="62"/>
  <c r="Z774" i="62"/>
  <c r="AF774" i="62"/>
  <c r="Z775" i="62"/>
  <c r="AF775" i="62"/>
  <c r="Z776" i="62"/>
  <c r="AF776" i="62"/>
  <c r="Z777" i="62"/>
  <c r="AF777" i="62"/>
  <c r="Z778" i="62"/>
  <c r="AF778" i="62"/>
  <c r="Z779" i="62"/>
  <c r="AF779" i="62"/>
  <c r="Z780" i="62"/>
  <c r="AF780" i="62"/>
  <c r="Z781" i="62"/>
  <c r="AF781" i="62"/>
  <c r="Z782" i="62"/>
  <c r="AF782" i="62"/>
  <c r="Z783" i="62"/>
  <c r="AF783" i="62"/>
  <c r="Z784" i="62"/>
  <c r="AF784" i="62"/>
  <c r="Z785" i="62"/>
  <c r="AF785" i="62"/>
  <c r="Z786" i="62"/>
  <c r="AF786" i="62"/>
  <c r="Z787" i="62"/>
  <c r="AF787" i="62"/>
  <c r="Z788" i="62"/>
  <c r="AF788" i="62"/>
  <c r="Z789" i="62"/>
  <c r="AF789" i="62"/>
  <c r="Z790" i="62"/>
  <c r="AF790" i="62"/>
  <c r="Z791" i="62"/>
  <c r="AF791" i="62"/>
  <c r="Z792" i="62"/>
  <c r="AF792" i="62"/>
  <c r="Z793" i="62"/>
  <c r="AF793" i="62"/>
  <c r="Z794" i="62"/>
  <c r="AF794" i="62"/>
  <c r="Z795" i="62"/>
  <c r="AF795" i="62"/>
  <c r="Z796" i="62"/>
  <c r="AF796" i="62"/>
  <c r="Z797" i="62"/>
  <c r="AF797" i="62"/>
  <c r="Z798" i="62"/>
  <c r="AF798" i="62"/>
  <c r="Z799" i="62"/>
  <c r="AF799" i="62"/>
  <c r="Z800" i="62"/>
  <c r="AF800" i="62"/>
  <c r="Z801" i="62"/>
  <c r="AF801" i="62"/>
  <c r="Z802" i="62"/>
  <c r="AF802" i="62"/>
  <c r="Z803" i="62"/>
  <c r="AF803" i="62"/>
  <c r="Z804" i="62"/>
  <c r="AF804" i="62"/>
  <c r="Z805" i="62"/>
  <c r="AF805" i="62"/>
  <c r="Z806" i="62"/>
  <c r="AF806" i="62"/>
  <c r="Z807" i="62"/>
  <c r="AF807" i="62"/>
  <c r="Z808" i="62"/>
  <c r="AF808" i="62"/>
  <c r="Z809" i="62"/>
  <c r="AF809" i="62"/>
  <c r="Z810" i="62"/>
  <c r="AF810" i="62"/>
  <c r="Z811" i="62"/>
  <c r="AF811" i="62"/>
  <c r="Z812" i="62"/>
  <c r="AF812" i="62"/>
  <c r="Z813" i="62"/>
  <c r="AF813" i="62"/>
  <c r="Z814" i="62"/>
  <c r="AF814" i="62"/>
  <c r="Z815" i="62"/>
  <c r="AF815" i="62"/>
  <c r="Z816" i="62"/>
  <c r="AF816" i="62"/>
  <c r="Z817" i="62"/>
  <c r="AF817" i="62"/>
  <c r="Z818" i="62"/>
  <c r="AF818" i="62"/>
  <c r="Z819" i="62"/>
  <c r="AF819" i="62"/>
  <c r="Z820" i="62"/>
  <c r="AF820" i="62"/>
  <c r="Z821" i="62"/>
  <c r="AF821" i="62"/>
  <c r="Z822" i="62"/>
  <c r="AF822" i="62"/>
  <c r="Z823" i="62"/>
  <c r="AF823" i="62"/>
  <c r="Z824" i="62"/>
  <c r="AF824" i="62"/>
  <c r="Z825" i="62"/>
  <c r="AF825" i="62"/>
  <c r="Z826" i="62"/>
  <c r="AF826" i="62"/>
  <c r="Z827" i="62"/>
  <c r="AF827" i="62"/>
  <c r="Z828" i="62"/>
  <c r="AF828" i="62"/>
  <c r="Z829" i="62"/>
  <c r="AF829" i="62"/>
  <c r="Z830" i="62"/>
  <c r="AF830" i="62"/>
  <c r="Z831" i="62"/>
  <c r="AF831" i="62"/>
  <c r="Z832" i="62"/>
  <c r="AF832" i="62"/>
  <c r="Z833" i="62"/>
  <c r="AF833" i="62"/>
  <c r="Z834" i="62"/>
  <c r="AF834" i="62"/>
  <c r="Z835" i="62"/>
  <c r="AF835" i="62"/>
  <c r="Z836" i="62"/>
  <c r="AF836" i="62"/>
  <c r="Z837" i="62"/>
  <c r="AF837" i="62"/>
  <c r="Z838" i="62"/>
  <c r="AF838" i="62"/>
  <c r="Z839" i="62"/>
  <c r="AF839" i="62"/>
  <c r="Z840" i="62"/>
  <c r="AF840" i="62"/>
  <c r="Z841" i="62"/>
  <c r="AF841" i="62"/>
  <c r="Z842" i="62"/>
  <c r="AF842" i="62"/>
  <c r="Z843" i="62"/>
  <c r="AF843" i="62"/>
  <c r="Z844" i="62"/>
  <c r="AF844" i="62"/>
  <c r="Z845" i="62"/>
  <c r="AF845" i="62"/>
  <c r="Z846" i="62"/>
  <c r="AF846" i="62"/>
  <c r="Z847" i="62"/>
  <c r="AF847" i="62"/>
  <c r="Z848" i="62"/>
  <c r="AF848" i="62"/>
  <c r="Z849" i="62"/>
  <c r="AF849" i="62"/>
  <c r="Z850" i="62"/>
  <c r="AF850" i="62"/>
  <c r="Z851" i="62"/>
  <c r="AF851" i="62"/>
  <c r="Z852" i="62"/>
  <c r="AF852" i="62"/>
  <c r="Z853" i="62"/>
  <c r="AF853" i="62"/>
  <c r="Z854" i="62"/>
  <c r="AF854" i="62"/>
  <c r="Z855" i="62"/>
  <c r="AF855" i="62"/>
  <c r="Z856" i="62"/>
  <c r="AF856" i="62"/>
  <c r="Z857" i="62"/>
  <c r="AF857" i="62"/>
  <c r="Z858" i="62"/>
  <c r="AF858" i="62"/>
  <c r="Z859" i="62"/>
  <c r="AF859" i="62"/>
  <c r="Z860" i="62"/>
  <c r="AF860" i="62"/>
  <c r="Z861" i="62"/>
  <c r="AF861" i="62"/>
  <c r="Z862" i="62"/>
  <c r="AF862" i="62"/>
  <c r="Z863" i="62"/>
  <c r="AF863" i="62"/>
  <c r="Z864" i="62"/>
  <c r="AF864" i="62"/>
  <c r="Z865" i="62"/>
  <c r="AF865" i="62"/>
  <c r="Z866" i="62"/>
  <c r="AF866" i="62"/>
  <c r="Z867" i="62"/>
  <c r="AF867" i="62"/>
  <c r="Z868" i="62"/>
  <c r="AF868" i="62"/>
  <c r="Z869" i="62"/>
  <c r="AF869" i="62"/>
  <c r="Z870" i="62"/>
  <c r="AF870" i="62"/>
  <c r="Z871" i="62"/>
  <c r="AF871" i="62"/>
  <c r="Z872" i="62"/>
  <c r="AF872" i="62"/>
  <c r="Z873" i="62"/>
  <c r="AF873" i="62"/>
  <c r="Z874" i="62"/>
  <c r="AF874" i="62"/>
  <c r="Z875" i="62"/>
  <c r="AF875" i="62"/>
  <c r="Z876" i="62"/>
  <c r="AF876" i="62"/>
  <c r="Z877" i="62"/>
  <c r="AF877" i="62"/>
  <c r="Z878" i="62"/>
  <c r="AF878" i="62"/>
  <c r="Z879" i="62"/>
  <c r="AF879" i="62"/>
  <c r="Z880" i="62"/>
  <c r="AF880" i="62"/>
  <c r="Z881" i="62"/>
  <c r="AF881" i="62"/>
  <c r="Z882" i="62"/>
  <c r="AF882" i="62"/>
  <c r="Z883" i="62"/>
  <c r="AF883" i="62"/>
  <c r="Z884" i="62"/>
  <c r="AF884" i="62"/>
  <c r="Z885" i="62"/>
  <c r="AF885" i="62"/>
  <c r="Z886" i="62"/>
  <c r="AF886" i="62"/>
  <c r="Z887" i="62"/>
  <c r="AF887" i="62"/>
  <c r="Z888" i="62"/>
  <c r="AF888" i="62"/>
  <c r="Z889" i="62"/>
  <c r="AF889" i="62"/>
  <c r="Z890" i="62"/>
  <c r="AF890" i="62"/>
  <c r="Z891" i="62"/>
  <c r="AF891" i="62"/>
  <c r="Z892" i="62"/>
  <c r="AF892" i="62"/>
  <c r="Z893" i="62"/>
  <c r="AF893" i="62"/>
  <c r="Z894" i="62"/>
  <c r="AF894" i="62"/>
  <c r="Z895" i="62"/>
  <c r="AF895" i="62"/>
  <c r="Z896" i="62"/>
  <c r="AF896" i="62"/>
  <c r="Z897" i="62"/>
  <c r="AF897" i="62"/>
  <c r="Z898" i="62"/>
  <c r="AF898" i="62"/>
  <c r="Z899" i="62"/>
  <c r="AF899" i="62"/>
  <c r="Z900" i="62"/>
  <c r="AF900" i="62"/>
  <c r="Z901" i="62"/>
  <c r="AF901" i="62"/>
  <c r="Z902" i="62"/>
  <c r="AF902" i="62"/>
  <c r="Z903" i="62"/>
  <c r="AF903" i="62"/>
  <c r="Z904" i="62"/>
  <c r="AF904" i="62"/>
  <c r="Z905" i="62"/>
  <c r="AF905" i="62"/>
  <c r="Z906" i="62"/>
  <c r="AF906" i="62"/>
  <c r="Z907" i="62"/>
  <c r="AF907" i="62"/>
  <c r="Z908" i="62"/>
  <c r="AF908" i="62"/>
  <c r="Z909" i="62"/>
  <c r="AF909" i="62"/>
  <c r="Z910" i="62"/>
  <c r="AF910" i="62"/>
  <c r="Z911" i="62"/>
  <c r="AF911" i="62"/>
  <c r="Z912" i="62"/>
  <c r="AF912" i="62"/>
  <c r="Z913" i="62"/>
  <c r="AF913" i="62"/>
  <c r="Z914" i="62"/>
  <c r="AF914" i="62"/>
  <c r="Z915" i="62"/>
  <c r="AF915" i="62"/>
  <c r="Z916" i="62"/>
  <c r="AF916" i="62"/>
  <c r="Z917" i="62"/>
  <c r="AF917" i="62"/>
  <c r="Z918" i="62"/>
  <c r="AF918" i="62"/>
  <c r="Z919" i="62"/>
  <c r="AF919" i="62"/>
  <c r="Z920" i="62"/>
  <c r="AF920" i="62"/>
  <c r="Z921" i="62"/>
  <c r="AF921" i="62"/>
  <c r="Z922" i="62"/>
  <c r="AF922" i="62"/>
  <c r="Z923" i="62"/>
  <c r="AF923" i="62"/>
  <c r="Z924" i="62"/>
  <c r="AF924" i="62"/>
  <c r="Z925" i="62"/>
  <c r="AF925" i="62"/>
  <c r="Z926" i="62"/>
  <c r="AF926" i="62"/>
  <c r="Z927" i="62"/>
  <c r="AF927" i="62"/>
  <c r="Z928" i="62"/>
  <c r="AF928" i="62"/>
  <c r="Z929" i="62"/>
  <c r="AF929" i="62"/>
  <c r="Z930" i="62"/>
  <c r="AF930" i="62"/>
  <c r="Z931" i="62"/>
  <c r="AF931" i="62"/>
  <c r="Z932" i="62"/>
  <c r="AF932" i="62"/>
  <c r="Z933" i="62"/>
  <c r="AF933" i="62"/>
  <c r="Z934" i="62"/>
  <c r="AF934" i="62"/>
  <c r="Z935" i="62"/>
  <c r="AF935" i="62"/>
  <c r="Z936" i="62"/>
  <c r="AF936" i="62"/>
  <c r="Z937" i="62"/>
  <c r="AF937" i="62"/>
  <c r="Z938" i="62"/>
  <c r="AF938" i="62"/>
  <c r="Z939" i="62"/>
  <c r="AF939" i="62"/>
  <c r="Z940" i="62"/>
  <c r="AF940" i="62"/>
  <c r="Z941" i="62"/>
  <c r="AF941" i="62"/>
  <c r="Z942" i="62"/>
  <c r="AF942" i="62"/>
  <c r="Z943" i="62"/>
  <c r="AF943" i="62"/>
  <c r="Z944" i="62"/>
  <c r="AF944" i="62"/>
  <c r="Z945" i="62"/>
  <c r="AF945" i="62"/>
  <c r="Z946" i="62"/>
  <c r="AF946" i="62"/>
  <c r="Z947" i="62"/>
  <c r="AF947" i="62"/>
  <c r="Z948" i="62"/>
  <c r="AF948" i="62"/>
  <c r="Z949" i="62"/>
  <c r="AF949" i="62"/>
  <c r="Z950" i="62"/>
  <c r="AF950" i="62"/>
  <c r="Z951" i="62"/>
  <c r="AF951" i="62"/>
  <c r="Z952" i="62"/>
  <c r="AF952" i="62"/>
  <c r="Z953" i="62"/>
  <c r="AF953" i="62"/>
  <c r="Z954" i="62"/>
  <c r="AF954" i="62"/>
  <c r="Z955" i="62"/>
  <c r="AF955" i="62"/>
  <c r="Z956" i="62"/>
  <c r="AF956" i="62"/>
  <c r="Z957" i="62"/>
  <c r="AF957" i="62"/>
  <c r="Z958" i="62"/>
  <c r="AF958" i="62"/>
  <c r="Z959" i="62"/>
  <c r="AF959" i="62"/>
  <c r="Z960" i="62"/>
  <c r="AF960" i="62"/>
  <c r="Z961" i="62"/>
  <c r="AF961" i="62"/>
  <c r="Z962" i="62"/>
  <c r="AF962" i="62"/>
  <c r="Z963" i="62"/>
  <c r="AF963" i="62"/>
  <c r="Z964" i="62"/>
  <c r="AF964" i="62"/>
  <c r="Z965" i="62"/>
  <c r="AF965" i="62"/>
  <c r="Z966" i="62"/>
  <c r="AF966" i="62"/>
  <c r="Z967" i="62"/>
  <c r="AF967" i="62"/>
  <c r="Z968" i="62"/>
  <c r="AF968" i="62"/>
  <c r="Z969" i="62"/>
  <c r="AF969" i="62"/>
  <c r="Z970" i="62"/>
  <c r="AF970" i="62"/>
  <c r="Z971" i="62"/>
  <c r="AF971" i="62"/>
  <c r="Z972" i="62"/>
  <c r="AF972" i="62"/>
  <c r="Z973" i="62"/>
  <c r="AF973" i="62"/>
  <c r="Z974" i="62"/>
  <c r="AF974" i="62"/>
  <c r="Z975" i="62"/>
  <c r="AF975" i="62"/>
  <c r="Z976" i="62"/>
  <c r="AF976" i="62"/>
  <c r="Z977" i="62"/>
  <c r="AF977" i="62"/>
  <c r="Z978" i="62"/>
  <c r="AF978" i="62"/>
  <c r="Z979" i="62"/>
  <c r="AF979" i="62"/>
  <c r="Z980" i="62"/>
  <c r="AF980" i="62"/>
  <c r="Z981" i="62"/>
  <c r="AF981" i="62"/>
  <c r="Z982" i="62"/>
  <c r="AF982" i="62"/>
  <c r="Z983" i="62"/>
  <c r="AF983" i="62"/>
  <c r="Z984" i="62"/>
  <c r="AF984" i="62"/>
  <c r="Z985" i="62"/>
  <c r="AF985" i="62"/>
  <c r="Z986" i="62"/>
  <c r="AF986" i="62"/>
  <c r="Z987" i="62"/>
  <c r="AF987" i="62"/>
  <c r="Z988" i="62"/>
  <c r="AF988" i="62"/>
  <c r="Z989" i="62"/>
  <c r="AF989" i="62"/>
  <c r="Z990" i="62"/>
  <c r="AF990" i="62"/>
  <c r="Z991" i="62"/>
  <c r="AF991" i="62"/>
  <c r="Z992" i="62"/>
  <c r="AF992" i="62"/>
  <c r="Z993" i="62"/>
  <c r="AF993" i="62"/>
  <c r="Z994" i="62"/>
  <c r="AF994" i="62"/>
  <c r="Z995" i="62"/>
  <c r="AF995" i="62"/>
  <c r="Z996" i="62"/>
  <c r="AF996" i="62"/>
  <c r="Z997" i="62"/>
  <c r="AF997" i="62"/>
  <c r="Z998" i="62"/>
  <c r="AF998" i="62"/>
  <c r="Z999" i="62"/>
  <c r="AF999" i="62"/>
  <c r="Z1000" i="62"/>
  <c r="AF1000" i="62"/>
  <c r="Z1001" i="62"/>
  <c r="AF1001" i="62"/>
  <c r="Z1002" i="62"/>
  <c r="AF1002" i="62"/>
  <c r="Z1003" i="62"/>
  <c r="AF1003" i="62"/>
  <c r="Z1004" i="62"/>
  <c r="AF1004" i="62"/>
  <c r="Z1005" i="62"/>
  <c r="AF1005" i="62"/>
  <c r="Z1006" i="62"/>
  <c r="AF1006" i="62"/>
  <c r="Z1007" i="62"/>
  <c r="AF1007" i="62"/>
  <c r="Z1008" i="62"/>
  <c r="AF1008" i="62"/>
  <c r="Z1009" i="62"/>
  <c r="AF1009" i="62"/>
  <c r="Z1010" i="62"/>
  <c r="AF1010" i="62"/>
  <c r="Z1011" i="62"/>
  <c r="AF1011" i="62"/>
  <c r="Z1012" i="62"/>
  <c r="AF1012" i="62"/>
  <c r="Z1013" i="62"/>
  <c r="AF1013" i="62"/>
  <c r="Z1014" i="62"/>
  <c r="AF1014" i="62"/>
  <c r="Z1015" i="62"/>
  <c r="AF1015" i="62"/>
  <c r="Z1016" i="62"/>
  <c r="AF1016" i="62"/>
  <c r="Z1017" i="62"/>
  <c r="AF1017" i="62"/>
  <c r="Z1018" i="62"/>
  <c r="AF1018" i="62"/>
  <c r="Z1019" i="62"/>
  <c r="AF1019" i="62"/>
  <c r="Z1020" i="62"/>
  <c r="AF1020" i="62"/>
  <c r="Z1021" i="62"/>
  <c r="AF1021" i="62"/>
  <c r="Z1022" i="62"/>
  <c r="AF1022" i="62"/>
  <c r="Z1023" i="62"/>
  <c r="AF1023" i="62"/>
  <c r="Z1024" i="62"/>
  <c r="AF1024" i="62"/>
  <c r="Z1025" i="62"/>
  <c r="AF1025" i="62"/>
  <c r="Z1026" i="62"/>
  <c r="AF1026" i="62"/>
  <c r="Z1027" i="62"/>
  <c r="AF1027" i="62"/>
  <c r="Z1028" i="62"/>
  <c r="AF1028" i="62"/>
  <c r="Z1029" i="62"/>
  <c r="AF1029" i="62"/>
  <c r="Z1030" i="62"/>
  <c r="AF1030" i="62"/>
  <c r="Z1031" i="62"/>
  <c r="AF1031" i="62"/>
  <c r="Z1032" i="62"/>
  <c r="AF1032" i="62"/>
  <c r="Z1033" i="62"/>
  <c r="AF1033" i="62"/>
  <c r="Z1034" i="62"/>
  <c r="AF1034" i="62"/>
  <c r="Z1035" i="62"/>
  <c r="AF1035" i="62"/>
  <c r="Z1036" i="62"/>
  <c r="AF1036" i="62"/>
  <c r="Z1037" i="62"/>
  <c r="AF1037" i="62"/>
  <c r="Z1038" i="62"/>
  <c r="AF1038" i="62"/>
  <c r="Z1039" i="62"/>
  <c r="AF1039" i="62"/>
  <c r="Z1040" i="62"/>
  <c r="AF1040" i="62"/>
  <c r="Z1041" i="62"/>
  <c r="AF1041" i="62"/>
  <c r="Z1042" i="62"/>
  <c r="AF1042" i="62"/>
  <c r="Z1043" i="62"/>
  <c r="AF1043" i="62"/>
  <c r="Z1044" i="62"/>
  <c r="AF1044" i="62"/>
  <c r="Z1045" i="62"/>
  <c r="AF1045" i="62"/>
  <c r="Z1046" i="62"/>
  <c r="AF1046" i="62"/>
  <c r="Z1047" i="62"/>
  <c r="AF1047" i="62"/>
  <c r="Z1048" i="62"/>
  <c r="AF1048" i="62"/>
  <c r="Z1049" i="62"/>
  <c r="AF1049" i="62"/>
  <c r="Z1050" i="62"/>
  <c r="AF1050" i="62"/>
  <c r="Z1051" i="62"/>
  <c r="AF1051" i="62"/>
  <c r="Z1052" i="62"/>
  <c r="AF1052" i="62"/>
  <c r="Z1053" i="62"/>
  <c r="AF1053" i="62"/>
  <c r="Z1054" i="62"/>
  <c r="AF1054" i="62"/>
  <c r="Z1055" i="62"/>
  <c r="AF1055" i="62"/>
  <c r="Z1056" i="62"/>
  <c r="AF1056" i="62"/>
  <c r="Z1057" i="62"/>
  <c r="AF1057" i="62"/>
  <c r="Z1058" i="62"/>
  <c r="AF1058" i="62"/>
  <c r="Z1059" i="62"/>
  <c r="AF1059" i="62"/>
  <c r="Z1060" i="62"/>
  <c r="AF1060" i="62"/>
  <c r="Z1061" i="62"/>
  <c r="AF1061" i="62"/>
  <c r="Z1062" i="62"/>
  <c r="AF1062" i="62"/>
  <c r="Z1063" i="62"/>
  <c r="AF1063" i="62"/>
  <c r="Z1064" i="62"/>
  <c r="AF1064" i="62"/>
  <c r="Z1065" i="62"/>
  <c r="AF1065" i="62"/>
  <c r="Z1066" i="62"/>
  <c r="AF1066" i="62"/>
  <c r="Z1067" i="62"/>
  <c r="AF1067" i="62"/>
  <c r="Z1068" i="62"/>
  <c r="AF1068" i="62"/>
  <c r="Z1069" i="62"/>
  <c r="AF1069" i="62"/>
  <c r="Z1070" i="62"/>
  <c r="AF1070" i="62"/>
  <c r="Z1071" i="62"/>
  <c r="AF1071" i="62"/>
  <c r="Z1072" i="62"/>
  <c r="AF1072" i="62"/>
  <c r="Z1073" i="62"/>
  <c r="AF1073" i="62"/>
  <c r="Z1074" i="62"/>
  <c r="AF1074" i="62"/>
  <c r="Z1075" i="62"/>
  <c r="AF1075" i="62"/>
  <c r="Z1076" i="62"/>
  <c r="AF1076" i="62"/>
  <c r="Z1077" i="62"/>
  <c r="AF1077" i="62"/>
  <c r="Z1078" i="62"/>
  <c r="AF1078" i="62"/>
  <c r="Z1079" i="62"/>
  <c r="AF1079" i="62"/>
  <c r="Z1080" i="62"/>
  <c r="AF1080" i="62"/>
  <c r="Z1081" i="62"/>
  <c r="AF1081" i="62"/>
  <c r="Z1082" i="62"/>
  <c r="AF1082" i="62"/>
  <c r="Z1083" i="62"/>
  <c r="AF1083" i="62"/>
  <c r="Z1084" i="62"/>
  <c r="AF1084" i="62"/>
  <c r="Z1085" i="62"/>
  <c r="AF1085" i="62"/>
  <c r="Z1086" i="62"/>
  <c r="AF1086" i="62"/>
  <c r="Z1087" i="62"/>
  <c r="AF1087" i="62"/>
  <c r="Z1088" i="62"/>
  <c r="AF1088" i="62"/>
  <c r="Z1089" i="62"/>
  <c r="AF1089" i="62"/>
  <c r="Z1090" i="62"/>
  <c r="AF1090" i="62"/>
  <c r="Z1091" i="62"/>
  <c r="AF1091" i="62"/>
  <c r="Z1092" i="62"/>
  <c r="AF1092" i="62"/>
  <c r="Z1093" i="62"/>
  <c r="AF1093" i="62"/>
  <c r="Z1094" i="62"/>
  <c r="AF1094" i="62"/>
  <c r="Z1095" i="62"/>
  <c r="AF1095" i="62"/>
  <c r="Z1096" i="62"/>
  <c r="AF1096" i="62"/>
  <c r="Z1097" i="62"/>
  <c r="AF1097" i="62"/>
  <c r="Z1098" i="62"/>
  <c r="AF1098" i="62"/>
  <c r="Z1099" i="62"/>
  <c r="AF1099" i="62"/>
  <c r="D7" i="70"/>
  <c r="R7" i="70"/>
  <c r="S7" i="70"/>
  <c r="V7" i="70"/>
  <c r="W7" i="70"/>
  <c r="X7" i="70"/>
  <c r="D9" i="70"/>
  <c r="R9" i="70"/>
  <c r="S9" i="70"/>
  <c r="V9" i="70"/>
  <c r="W9" i="70"/>
  <c r="X9" i="70"/>
  <c r="D11" i="70"/>
  <c r="R11" i="70"/>
  <c r="S11" i="70"/>
  <c r="V11" i="70"/>
  <c r="W11" i="70"/>
  <c r="X11" i="70"/>
  <c r="D13" i="70"/>
  <c r="R13" i="70"/>
  <c r="S13" i="70"/>
  <c r="V13" i="70"/>
  <c r="W13" i="70"/>
  <c r="X13" i="70"/>
  <c r="D14" i="70"/>
  <c r="R14" i="70"/>
  <c r="S14" i="70"/>
  <c r="V14" i="70"/>
  <c r="W14" i="70"/>
  <c r="X14" i="70"/>
  <c r="D15" i="70"/>
  <c r="R15" i="70"/>
  <c r="S15" i="70"/>
  <c r="V15" i="70"/>
  <c r="W15" i="70"/>
  <c r="X15" i="70"/>
  <c r="Y2" i="63"/>
  <c r="Z2" i="63"/>
  <c r="AD2" i="63"/>
  <c r="AE2" i="63"/>
  <c r="AJ2" i="63"/>
  <c r="Y3" i="63"/>
  <c r="Z3" i="63"/>
  <c r="AD3" i="63"/>
  <c r="AE3" i="63"/>
  <c r="AJ3" i="63"/>
  <c r="Y4" i="63"/>
  <c r="Z4" i="63"/>
  <c r="AD4" i="63"/>
  <c r="AE4" i="63"/>
  <c r="Y5" i="63"/>
  <c r="Z5" i="63"/>
  <c r="AD5" i="63"/>
  <c r="AE5" i="63"/>
  <c r="AJ5" i="63"/>
  <c r="Y6" i="63"/>
  <c r="Z6" i="63"/>
  <c r="AD6" i="63"/>
  <c r="AE6" i="63"/>
  <c r="AJ6" i="63"/>
  <c r="Y7" i="63"/>
  <c r="Z7" i="63"/>
  <c r="AD7" i="63"/>
  <c r="AE7" i="63"/>
  <c r="AJ7" i="63"/>
  <c r="Y8" i="63"/>
  <c r="Z8" i="63"/>
  <c r="AD8" i="63"/>
  <c r="AE8" i="63"/>
  <c r="AJ8" i="63"/>
  <c r="Y9" i="63"/>
  <c r="Z9" i="63"/>
  <c r="AD9" i="63"/>
  <c r="AE9" i="63"/>
  <c r="Y10" i="63"/>
  <c r="Z10" i="63"/>
  <c r="AD10" i="63"/>
  <c r="AE10" i="63"/>
  <c r="Y11" i="63"/>
  <c r="Z11" i="63"/>
  <c r="AD11" i="63"/>
  <c r="AE11" i="63"/>
  <c r="Y12" i="63"/>
  <c r="Z12" i="63"/>
  <c r="AD12" i="63"/>
  <c r="AE12" i="63"/>
  <c r="Y13" i="63"/>
  <c r="Z13" i="63"/>
  <c r="AD13" i="63"/>
  <c r="AE13" i="63"/>
  <c r="Z14" i="63"/>
  <c r="AE14" i="63"/>
  <c r="Z15" i="63"/>
  <c r="AE15" i="63"/>
  <c r="Z16" i="63"/>
  <c r="AE16" i="63"/>
  <c r="Z17" i="63"/>
  <c r="AE17" i="63"/>
  <c r="Z18" i="63"/>
  <c r="AE18" i="63"/>
  <c r="Z19" i="63"/>
  <c r="AE19" i="63"/>
  <c r="Z20" i="63"/>
  <c r="AE20" i="63"/>
  <c r="Z21" i="63"/>
  <c r="AE21" i="63"/>
  <c r="Z22" i="63"/>
  <c r="AE22" i="63"/>
  <c r="Z23" i="63"/>
  <c r="AE23" i="63"/>
  <c r="Z24" i="63"/>
  <c r="AE24" i="63"/>
  <c r="Z25" i="63"/>
  <c r="AE25" i="63"/>
  <c r="Y26" i="63"/>
  <c r="Z26" i="63"/>
  <c r="AD26" i="63"/>
  <c r="AE26" i="63"/>
  <c r="Y27" i="63"/>
  <c r="Z27" i="63"/>
  <c r="AD27" i="63"/>
  <c r="AE27" i="63"/>
  <c r="Y28" i="63"/>
  <c r="Z28" i="63"/>
  <c r="AD28" i="63"/>
  <c r="AE28" i="63"/>
  <c r="Y29" i="63"/>
  <c r="Z29" i="63"/>
  <c r="AD29" i="63"/>
  <c r="AE29" i="63"/>
  <c r="Y30" i="63"/>
  <c r="Z30" i="63"/>
  <c r="AD30" i="63"/>
  <c r="AE30" i="63"/>
  <c r="Y31" i="63"/>
  <c r="Z31" i="63"/>
  <c r="AD31" i="63"/>
  <c r="AE31" i="63"/>
  <c r="Y32" i="63"/>
  <c r="Z32" i="63"/>
  <c r="AD32" i="63"/>
  <c r="AE32" i="63"/>
  <c r="Y33" i="63"/>
  <c r="Z33" i="63"/>
  <c r="AD33" i="63"/>
  <c r="AE33" i="63"/>
  <c r="Y34" i="63"/>
  <c r="Z34" i="63"/>
  <c r="AD34" i="63"/>
  <c r="AE34" i="63"/>
  <c r="Y35" i="63"/>
  <c r="Z35" i="63"/>
  <c r="AD35" i="63"/>
  <c r="AE35" i="63"/>
  <c r="Y36" i="63"/>
  <c r="Z36" i="63"/>
  <c r="AD36" i="63"/>
  <c r="AE36" i="63"/>
  <c r="Y37" i="63"/>
  <c r="Z37" i="63"/>
  <c r="AD37" i="63"/>
  <c r="AE37" i="63"/>
  <c r="Y38" i="63"/>
  <c r="AD38" i="63"/>
  <c r="Y39" i="63"/>
  <c r="AD39" i="63"/>
  <c r="Y40" i="63"/>
  <c r="AD40" i="63"/>
  <c r="Y41" i="63"/>
  <c r="AD41" i="63"/>
  <c r="Y42" i="63"/>
  <c r="AD42" i="63"/>
  <c r="Y43" i="63"/>
  <c r="AD43" i="63"/>
  <c r="Y44" i="63"/>
  <c r="AD44" i="63"/>
  <c r="Y45" i="63"/>
  <c r="AD45" i="63"/>
  <c r="Y46" i="63"/>
  <c r="AD46" i="63"/>
  <c r="Y47" i="63"/>
  <c r="AD47" i="63"/>
  <c r="Y48" i="63"/>
  <c r="AD48" i="63"/>
  <c r="Y49" i="63"/>
  <c r="AD49" i="63"/>
  <c r="Y50" i="63"/>
  <c r="AD50" i="63"/>
  <c r="Y51" i="63"/>
  <c r="AD51" i="63"/>
  <c r="Y52" i="63"/>
  <c r="AD52" i="63"/>
  <c r="Y53" i="63"/>
  <c r="AD53" i="63"/>
  <c r="Y54" i="63"/>
  <c r="AD54" i="63"/>
  <c r="Y55" i="63"/>
  <c r="AD55" i="63"/>
  <c r="Y56" i="63"/>
  <c r="AD56" i="63"/>
  <c r="Y57" i="63"/>
  <c r="AD57" i="63"/>
  <c r="Y58" i="63"/>
  <c r="AD58" i="63"/>
  <c r="Y59" i="63"/>
  <c r="AD59" i="63"/>
  <c r="Y60" i="63"/>
  <c r="AD60" i="63"/>
  <c r="Y61" i="63"/>
  <c r="AD61" i="63"/>
  <c r="Y62" i="63"/>
  <c r="AD62" i="63"/>
  <c r="Y63" i="63"/>
  <c r="AD63" i="63"/>
  <c r="Y64" i="63"/>
  <c r="AD64" i="63"/>
  <c r="Y65" i="63"/>
  <c r="AD65" i="63"/>
  <c r="Y66" i="63"/>
  <c r="AD66" i="63"/>
  <c r="Y67" i="63"/>
  <c r="AD67" i="63"/>
  <c r="Y68" i="63"/>
  <c r="AD68" i="63"/>
  <c r="Y69" i="63"/>
  <c r="AD69" i="63"/>
  <c r="Y70" i="63"/>
  <c r="AD70" i="63"/>
  <c r="Y71" i="63"/>
  <c r="AD71" i="63"/>
  <c r="Y72" i="63"/>
  <c r="AD72" i="63"/>
  <c r="Y73" i="63"/>
  <c r="AD73" i="63"/>
  <c r="Y74" i="63"/>
  <c r="AD74" i="63"/>
  <c r="Y75" i="63"/>
  <c r="AD75" i="63"/>
  <c r="Y76" i="63"/>
  <c r="AD76" i="63"/>
  <c r="Y77" i="63"/>
  <c r="AD77" i="63"/>
  <c r="Y78" i="63"/>
  <c r="AD78" i="63"/>
  <c r="Y79" i="63"/>
  <c r="AD79" i="63"/>
  <c r="Y80" i="63"/>
  <c r="AD80" i="63"/>
  <c r="Y81" i="63"/>
  <c r="AD81" i="63"/>
  <c r="Y82" i="63"/>
  <c r="AD82" i="63"/>
  <c r="Y83" i="63"/>
  <c r="AD83" i="63"/>
  <c r="Y84" i="63"/>
  <c r="AD84" i="63"/>
  <c r="Y85" i="63"/>
  <c r="AD85" i="63"/>
  <c r="Y86" i="63"/>
  <c r="AD86" i="63"/>
  <c r="Y87" i="63"/>
  <c r="AD87" i="63"/>
  <c r="Y88" i="63"/>
  <c r="AD88" i="63"/>
  <c r="Y89" i="63"/>
  <c r="AD89" i="63"/>
  <c r="Y90" i="63"/>
  <c r="AD90" i="63"/>
  <c r="Y91" i="63"/>
  <c r="AD91" i="63"/>
  <c r="Y92" i="63"/>
  <c r="AD92" i="63"/>
  <c r="Y93" i="63"/>
  <c r="AD93" i="63"/>
  <c r="Y94" i="63"/>
  <c r="AD94" i="63"/>
  <c r="Y95" i="63"/>
  <c r="AD95" i="63"/>
  <c r="Y96" i="63"/>
  <c r="AD96" i="63"/>
  <c r="Y97" i="63"/>
  <c r="AD97" i="63"/>
  <c r="Y98" i="63"/>
  <c r="AD98" i="63"/>
  <c r="Y99" i="63"/>
  <c r="AD99" i="63"/>
  <c r="Y100" i="63"/>
  <c r="AD100" i="63"/>
  <c r="Y101" i="63"/>
  <c r="AD101" i="63"/>
  <c r="Y102" i="63"/>
  <c r="AD102" i="63"/>
  <c r="Y103" i="63"/>
  <c r="AD103" i="63"/>
  <c r="Y104" i="63"/>
  <c r="AD104" i="63"/>
  <c r="Y105" i="63"/>
  <c r="AD105" i="63"/>
  <c r="Y106" i="63"/>
  <c r="AD106" i="63"/>
  <c r="Y107" i="63"/>
  <c r="AD107" i="63"/>
  <c r="Y108" i="63"/>
  <c r="AD108" i="63"/>
  <c r="Y109" i="63"/>
  <c r="AD109" i="63"/>
  <c r="Y110" i="63"/>
  <c r="AD110" i="63"/>
  <c r="Y111" i="63"/>
  <c r="AD111" i="63"/>
  <c r="Y112" i="63"/>
  <c r="AD112" i="63"/>
  <c r="Y113" i="63"/>
  <c r="AD113" i="63"/>
  <c r="Y114" i="63"/>
  <c r="AD114" i="63"/>
  <c r="Y115" i="63"/>
  <c r="AD115" i="63"/>
  <c r="Y116" i="63"/>
  <c r="AD116" i="63"/>
  <c r="Y117" i="63"/>
  <c r="AD117" i="63"/>
  <c r="Y118" i="63"/>
  <c r="AD118" i="63"/>
  <c r="Y119" i="63"/>
  <c r="AD119" i="63"/>
  <c r="Y120" i="63"/>
  <c r="AD120" i="63"/>
  <c r="Y121" i="63"/>
  <c r="AD121" i="63"/>
  <c r="Z122" i="63"/>
  <c r="AE122" i="63"/>
  <c r="Z123" i="63"/>
  <c r="AE123" i="63"/>
  <c r="Z124" i="63"/>
  <c r="AE124" i="63"/>
  <c r="Z125" i="63"/>
  <c r="AE125" i="63"/>
  <c r="Z126" i="63"/>
  <c r="AE126" i="63"/>
  <c r="Z127" i="63"/>
  <c r="AE127" i="63"/>
  <c r="Z128" i="63"/>
  <c r="AE128" i="63"/>
  <c r="Z129" i="63"/>
  <c r="AE129" i="63"/>
  <c r="Z130" i="63"/>
  <c r="AE130" i="63"/>
  <c r="Z131" i="63"/>
  <c r="AE131" i="63"/>
  <c r="Z132" i="63"/>
  <c r="AE132" i="63"/>
  <c r="Z133" i="63"/>
  <c r="AE133" i="63"/>
  <c r="Y134" i="63"/>
  <c r="AD134" i="63"/>
  <c r="Y135" i="63"/>
  <c r="AD135" i="63"/>
  <c r="Y136" i="63"/>
  <c r="AD136" i="63"/>
  <c r="Y137" i="63"/>
  <c r="AD137" i="63"/>
  <c r="Y138" i="63"/>
  <c r="AD138" i="63"/>
  <c r="Y139" i="63"/>
  <c r="AD139" i="63"/>
  <c r="Y140" i="63"/>
  <c r="AD140" i="63"/>
  <c r="Y141" i="63"/>
  <c r="AD141" i="63"/>
  <c r="Y142" i="63"/>
  <c r="AD142" i="63"/>
  <c r="Y143" i="63"/>
  <c r="AD143" i="63"/>
  <c r="Y144" i="63"/>
  <c r="AD144" i="63"/>
  <c r="Y145" i="63"/>
  <c r="AD145" i="63"/>
  <c r="Z146" i="63"/>
  <c r="AE146" i="63"/>
  <c r="Z147" i="63"/>
  <c r="AE147" i="63"/>
  <c r="Z148" i="63"/>
  <c r="AE148" i="63"/>
  <c r="Z149" i="63"/>
  <c r="AE149" i="63"/>
  <c r="Z150" i="63"/>
  <c r="AE150" i="63"/>
  <c r="Z151" i="63"/>
  <c r="AE151" i="63"/>
  <c r="Z152" i="63"/>
  <c r="AE152" i="63"/>
  <c r="Z153" i="63"/>
  <c r="AE153" i="63"/>
  <c r="Z154" i="63"/>
  <c r="AE154" i="63"/>
  <c r="Z155" i="63"/>
  <c r="AE155" i="63"/>
  <c r="Z156" i="63"/>
  <c r="AE156" i="63"/>
  <c r="Z157" i="63"/>
  <c r="AE157" i="63"/>
  <c r="Z158" i="63"/>
  <c r="AE158" i="63"/>
  <c r="Z159" i="63"/>
  <c r="AE159" i="63"/>
  <c r="Z160" i="63"/>
  <c r="AE160" i="63"/>
  <c r="Z161" i="63"/>
  <c r="AE161" i="63"/>
  <c r="Z162" i="63"/>
  <c r="AE162" i="63"/>
  <c r="Z163" i="63"/>
  <c r="AE163" i="63"/>
  <c r="Z164" i="63"/>
  <c r="AE164" i="63"/>
  <c r="Z165" i="63"/>
  <c r="AE165" i="63"/>
  <c r="Z166" i="63"/>
  <c r="AE166" i="63"/>
  <c r="Z167" i="63"/>
  <c r="AE167" i="63"/>
  <c r="Z168" i="63"/>
  <c r="AE168" i="63"/>
  <c r="Z169" i="63"/>
  <c r="AE169" i="63"/>
  <c r="Z170" i="63"/>
  <c r="AE170" i="63"/>
  <c r="Z171" i="63"/>
  <c r="AE171" i="63"/>
  <c r="Z172" i="63"/>
  <c r="AE172" i="63"/>
  <c r="Z173" i="63"/>
  <c r="AE173" i="63"/>
  <c r="Z174" i="63"/>
  <c r="AE174" i="63"/>
  <c r="Z175" i="63"/>
  <c r="AE175" i="63"/>
  <c r="Z176" i="63"/>
  <c r="AE176" i="63"/>
  <c r="Z177" i="63"/>
  <c r="AE177" i="63"/>
  <c r="Z178" i="63"/>
  <c r="AE178" i="63"/>
  <c r="Z179" i="63"/>
  <c r="AE179" i="63"/>
  <c r="Z180" i="63"/>
  <c r="AE180" i="63"/>
  <c r="Z181" i="63"/>
  <c r="AE181" i="63"/>
  <c r="Z182" i="63"/>
  <c r="AE182" i="63"/>
  <c r="Z183" i="63"/>
  <c r="AE183" i="63"/>
  <c r="Z184" i="63"/>
  <c r="AE184" i="63"/>
  <c r="Z185" i="63"/>
  <c r="AE185" i="63"/>
  <c r="Z186" i="63"/>
  <c r="AE186" i="63"/>
  <c r="Z187" i="63"/>
  <c r="AE187" i="63"/>
  <c r="Z188" i="63"/>
  <c r="AE188" i="63"/>
  <c r="Z189" i="63"/>
  <c r="AE189" i="63"/>
  <c r="Z190" i="63"/>
  <c r="AE190" i="63"/>
  <c r="Z191" i="63"/>
  <c r="AE191" i="63"/>
  <c r="Z192" i="63"/>
  <c r="AE192" i="63"/>
  <c r="Z193" i="63"/>
  <c r="AE193" i="63"/>
  <c r="Z194" i="63"/>
  <c r="AE194" i="63"/>
  <c r="Z195" i="63"/>
  <c r="AE195" i="63"/>
  <c r="Z196" i="63"/>
  <c r="AE196" i="63"/>
  <c r="Z197" i="63"/>
  <c r="AE197" i="63"/>
  <c r="Z198" i="63"/>
  <c r="AE198" i="63"/>
  <c r="Z199" i="63"/>
  <c r="AE199" i="63"/>
  <c r="Z200" i="63"/>
  <c r="AE200" i="63"/>
  <c r="Z201" i="63"/>
  <c r="AE201" i="63"/>
  <c r="Z202" i="63"/>
  <c r="AE202" i="63"/>
  <c r="Z203" i="63"/>
  <c r="AE203" i="63"/>
  <c r="Z204" i="63"/>
  <c r="AE204" i="63"/>
  <c r="Z205" i="63"/>
  <c r="AE205" i="63"/>
  <c r="Z206" i="63"/>
  <c r="AE206" i="63"/>
  <c r="Z207" i="63"/>
  <c r="AE207" i="63"/>
  <c r="Z208" i="63"/>
  <c r="AE208" i="63"/>
  <c r="Z209" i="63"/>
  <c r="AE209" i="63"/>
  <c r="Z210" i="63"/>
  <c r="AE210" i="63"/>
  <c r="Z211" i="63"/>
  <c r="AE211" i="63"/>
  <c r="Z212" i="63"/>
  <c r="AE212" i="63"/>
  <c r="Z213" i="63"/>
  <c r="AE213" i="63"/>
  <c r="Z214" i="63"/>
  <c r="AE214" i="63"/>
  <c r="Z215" i="63"/>
  <c r="AE215" i="63"/>
  <c r="Z216" i="63"/>
  <c r="AE216" i="63"/>
  <c r="Z217" i="63"/>
  <c r="AE217" i="63"/>
  <c r="Z218" i="63"/>
  <c r="AE218" i="63"/>
  <c r="Z219" i="63"/>
  <c r="AE219" i="63"/>
  <c r="Z220" i="63"/>
  <c r="AE220" i="63"/>
  <c r="Z221" i="63"/>
  <c r="AE221" i="63"/>
  <c r="Z222" i="63"/>
  <c r="AE222" i="63"/>
  <c r="Z223" i="63"/>
  <c r="AE223" i="63"/>
  <c r="Z224" i="63"/>
  <c r="AE224" i="63"/>
  <c r="Z225" i="63"/>
  <c r="AE225" i="63"/>
  <c r="Z226" i="63"/>
  <c r="AE226" i="63"/>
  <c r="Z227" i="63"/>
  <c r="AE227" i="63"/>
  <c r="Z228" i="63"/>
  <c r="AE228" i="63"/>
  <c r="Z229" i="63"/>
  <c r="AE229" i="63"/>
  <c r="Z230" i="63"/>
  <c r="AE230" i="63"/>
  <c r="Z231" i="63"/>
  <c r="AE231" i="63"/>
  <c r="Z232" i="63"/>
  <c r="AE232" i="63"/>
  <c r="Z233" i="63"/>
  <c r="AE233" i="63"/>
  <c r="Z234" i="63"/>
  <c r="AE234" i="63"/>
  <c r="Z235" i="63"/>
  <c r="AE235" i="63"/>
  <c r="Y236" i="63"/>
  <c r="AD236" i="63"/>
  <c r="Y237" i="63"/>
  <c r="AD237" i="63"/>
  <c r="Y238" i="63"/>
  <c r="AD238" i="63"/>
  <c r="Y239" i="63"/>
  <c r="AD239" i="63"/>
  <c r="Y240" i="63"/>
  <c r="AD240" i="63"/>
  <c r="Y241" i="63"/>
  <c r="AD241" i="63"/>
  <c r="Y242" i="63"/>
  <c r="AD242" i="63"/>
  <c r="Y243" i="63"/>
  <c r="AD243" i="63"/>
  <c r="Y244" i="63"/>
  <c r="AD244" i="63"/>
  <c r="Y245" i="63"/>
  <c r="AD245" i="63"/>
  <c r="Y246" i="63"/>
  <c r="AD246" i="63"/>
  <c r="Y247" i="63"/>
  <c r="AD247" i="63"/>
  <c r="Y248" i="63"/>
  <c r="AD248" i="63"/>
  <c r="Y249" i="63"/>
  <c r="AD249" i="63"/>
  <c r="Y250" i="63"/>
  <c r="AD250" i="63"/>
  <c r="Y251" i="63"/>
  <c r="AD251" i="63"/>
  <c r="Y252" i="63"/>
  <c r="AD252" i="63"/>
  <c r="Y253" i="63"/>
  <c r="AD253" i="63"/>
  <c r="Y254" i="63"/>
  <c r="AD254" i="63"/>
  <c r="Y255" i="63"/>
  <c r="AD255" i="63"/>
  <c r="Y256" i="63"/>
  <c r="AD256" i="63"/>
  <c r="Y257" i="63"/>
  <c r="AD257" i="63"/>
  <c r="Y258" i="63"/>
  <c r="AD258" i="63"/>
  <c r="Y259" i="63"/>
  <c r="AD259" i="63"/>
  <c r="Y260" i="63"/>
  <c r="AD260" i="63"/>
  <c r="Y261" i="63"/>
  <c r="AD261" i="63"/>
  <c r="Y262" i="63"/>
  <c r="AD262" i="63"/>
  <c r="Y263" i="63"/>
  <c r="AD263" i="63"/>
  <c r="Y264" i="63"/>
  <c r="AD264" i="63"/>
  <c r="Z265" i="63"/>
  <c r="AE265" i="63"/>
  <c r="Z266" i="63"/>
  <c r="AE266" i="63"/>
  <c r="Z267" i="63"/>
  <c r="AE267" i="63"/>
  <c r="Z268" i="63"/>
  <c r="AE268" i="63"/>
  <c r="Z269" i="63"/>
  <c r="AE269" i="63"/>
  <c r="Z270" i="63"/>
  <c r="AE270" i="63"/>
  <c r="Z271" i="63"/>
  <c r="AE271" i="63"/>
  <c r="Z272" i="63"/>
  <c r="AE272" i="63"/>
  <c r="Z273" i="63"/>
  <c r="AE273" i="63"/>
  <c r="Z274" i="63"/>
  <c r="AE274" i="63"/>
  <c r="Z275" i="63"/>
  <c r="AE275" i="63"/>
  <c r="Z276" i="63"/>
  <c r="AE276" i="63"/>
  <c r="Z277" i="63"/>
  <c r="AE277" i="63"/>
  <c r="Z278" i="63"/>
  <c r="AE278" i="63"/>
  <c r="Z279" i="63"/>
  <c r="AE279" i="63"/>
  <c r="Z280" i="63"/>
  <c r="AE280" i="63"/>
  <c r="Z281" i="63"/>
  <c r="AE281" i="63"/>
  <c r="Z282" i="63"/>
  <c r="AE282" i="63"/>
  <c r="Z283" i="63"/>
  <c r="AE283" i="63"/>
  <c r="Z284" i="63"/>
  <c r="AE284" i="63"/>
  <c r="Z285" i="63"/>
  <c r="AE285" i="63"/>
  <c r="Z286" i="63"/>
  <c r="AE286" i="63"/>
  <c r="Z287" i="63"/>
  <c r="AE287" i="63"/>
  <c r="Z288" i="63"/>
  <c r="AE288" i="63"/>
  <c r="Z289" i="63"/>
  <c r="AE289" i="63"/>
  <c r="Z290" i="63"/>
  <c r="AE290" i="63"/>
  <c r="Z291" i="63"/>
  <c r="AE291" i="63"/>
  <c r="Z292" i="63"/>
  <c r="AE292" i="63"/>
  <c r="Z293" i="63"/>
  <c r="AE293" i="63"/>
  <c r="Z294" i="63"/>
  <c r="AE294" i="63"/>
  <c r="Y295" i="63"/>
  <c r="AD295" i="63"/>
  <c r="Y296" i="63"/>
  <c r="AD296" i="63"/>
  <c r="Y297" i="63"/>
  <c r="AD297" i="63"/>
  <c r="Y298" i="63"/>
  <c r="AD298" i="63"/>
  <c r="Y299" i="63"/>
  <c r="AD299" i="63"/>
  <c r="Y300" i="63"/>
  <c r="AD300" i="63"/>
  <c r="Y301" i="63"/>
  <c r="AD301" i="63"/>
  <c r="Y302" i="63"/>
  <c r="AD302" i="63"/>
  <c r="Y303" i="63"/>
  <c r="AD303" i="63"/>
  <c r="Y304" i="63"/>
  <c r="AD304" i="63"/>
  <c r="Y305" i="63"/>
  <c r="AD305" i="63"/>
  <c r="Y306" i="63"/>
  <c r="AD306" i="63"/>
  <c r="Y307" i="63"/>
  <c r="AD307" i="63"/>
  <c r="Y308" i="63"/>
  <c r="AD308" i="63"/>
  <c r="Y309" i="63"/>
  <c r="AD309" i="63"/>
  <c r="Y310" i="63"/>
  <c r="AD310" i="63"/>
  <c r="Y311" i="63"/>
  <c r="AD311" i="63"/>
  <c r="Y312" i="63"/>
  <c r="AD312" i="63"/>
  <c r="Y313" i="63"/>
  <c r="AD313" i="63"/>
  <c r="Y314" i="63"/>
  <c r="AD314" i="63"/>
  <c r="Y315" i="63"/>
  <c r="AD315" i="63"/>
  <c r="Y316" i="63"/>
  <c r="AD316" i="63"/>
  <c r="Y317" i="63"/>
  <c r="AD317" i="63"/>
  <c r="Y318" i="63"/>
  <c r="AD318" i="63"/>
  <c r="Y319" i="63"/>
  <c r="AD319" i="63"/>
  <c r="Y320" i="63"/>
  <c r="AD320" i="63"/>
  <c r="Y321" i="63"/>
  <c r="AD321" i="63"/>
  <c r="Y322" i="63"/>
  <c r="AD322" i="63"/>
  <c r="Y323" i="63"/>
  <c r="AD323" i="63"/>
  <c r="Y324" i="63"/>
  <c r="AD324" i="63"/>
  <c r="Z325" i="63"/>
  <c r="AE325" i="63"/>
  <c r="Z326" i="63"/>
  <c r="AE326" i="63"/>
  <c r="Z327" i="63"/>
  <c r="AE327" i="63"/>
  <c r="Z328" i="63"/>
  <c r="AE328" i="63"/>
  <c r="Z329" i="63"/>
  <c r="AE329" i="63"/>
  <c r="Z330" i="63"/>
  <c r="AE330" i="63"/>
  <c r="Z331" i="63"/>
  <c r="AE331" i="63"/>
  <c r="Z332" i="63"/>
  <c r="AE332" i="63"/>
  <c r="Z333" i="63"/>
  <c r="AE333" i="63"/>
  <c r="Z334" i="63"/>
  <c r="AE334" i="63"/>
  <c r="Z335" i="63"/>
  <c r="AE335" i="63"/>
  <c r="Z336" i="63"/>
  <c r="AE336" i="63"/>
  <c r="Z337" i="63"/>
  <c r="AE337" i="63"/>
  <c r="Z338" i="63"/>
  <c r="AE338" i="63"/>
  <c r="Z339" i="63"/>
  <c r="AE339" i="63"/>
  <c r="Z340" i="63"/>
  <c r="AE340" i="63"/>
  <c r="Z341" i="63"/>
  <c r="AE341" i="63"/>
  <c r="Z342" i="63"/>
  <c r="AE342" i="63"/>
  <c r="Z343" i="63"/>
  <c r="AE343" i="63"/>
  <c r="Z344" i="63"/>
  <c r="AE344" i="63"/>
  <c r="Z345" i="63"/>
  <c r="AE345" i="63"/>
  <c r="Z346" i="63"/>
  <c r="AE346" i="63"/>
  <c r="Z347" i="63"/>
  <c r="AE347" i="63"/>
  <c r="Z348" i="63"/>
  <c r="AE348" i="63"/>
  <c r="Z349" i="63"/>
  <c r="AE349" i="63"/>
  <c r="Z350" i="63"/>
  <c r="AE350" i="63"/>
  <c r="Z351" i="63"/>
  <c r="AE351" i="63"/>
  <c r="Z352" i="63"/>
  <c r="AE352" i="63"/>
  <c r="Z353" i="63"/>
  <c r="AE353" i="63"/>
  <c r="Z354" i="63"/>
  <c r="AE354" i="63"/>
  <c r="Z355" i="63"/>
  <c r="AE355" i="63"/>
  <c r="Z356" i="63"/>
  <c r="AE356" i="63"/>
  <c r="Z357" i="63"/>
  <c r="AE357" i="63"/>
  <c r="Z358" i="63"/>
  <c r="AE358" i="63"/>
  <c r="Z359" i="63"/>
  <c r="AE359" i="63"/>
  <c r="Z360" i="63"/>
  <c r="AE360" i="63"/>
  <c r="Z361" i="63"/>
  <c r="AE361" i="63"/>
  <c r="Z362" i="63"/>
  <c r="AE362" i="63"/>
  <c r="Z363" i="63"/>
  <c r="AE363" i="63"/>
  <c r="Z364" i="63"/>
  <c r="AE364" i="63"/>
  <c r="Z365" i="63"/>
  <c r="AE365" i="63"/>
  <c r="Z366" i="63"/>
  <c r="AE366" i="63"/>
  <c r="Y367" i="63"/>
  <c r="AD367" i="63"/>
  <c r="Y368" i="63"/>
  <c r="AD368" i="63"/>
  <c r="Y369" i="63"/>
  <c r="AD369" i="63"/>
  <c r="Y370" i="63"/>
  <c r="AD370" i="63"/>
  <c r="Y371" i="63"/>
  <c r="AD371" i="63"/>
  <c r="Y372" i="63"/>
  <c r="AD372" i="63"/>
  <c r="Y373" i="63"/>
  <c r="AD373" i="63"/>
  <c r="Y374" i="63"/>
  <c r="AD374" i="63"/>
  <c r="Y375" i="63"/>
  <c r="AD375" i="63"/>
  <c r="Y376" i="63"/>
  <c r="AD376" i="63"/>
  <c r="Y377" i="63"/>
  <c r="AD377" i="63"/>
  <c r="Y378" i="63"/>
  <c r="AD378" i="63"/>
  <c r="Y379" i="63"/>
  <c r="AD379" i="63"/>
  <c r="Z380" i="63"/>
  <c r="AE380" i="63"/>
  <c r="Z381" i="63"/>
  <c r="AE381" i="63"/>
  <c r="Z382" i="63"/>
  <c r="AE382" i="63"/>
  <c r="Z383" i="63"/>
  <c r="AE383" i="63"/>
  <c r="Z384" i="63"/>
  <c r="AE384" i="63"/>
  <c r="Z385" i="63"/>
  <c r="AE385" i="63"/>
  <c r="Z386" i="63"/>
  <c r="AE386" i="63"/>
  <c r="Z387" i="63"/>
  <c r="AE387" i="63"/>
  <c r="Z388" i="63"/>
  <c r="AE388" i="63"/>
  <c r="Z389" i="63"/>
  <c r="AE389" i="63"/>
  <c r="Z390" i="63"/>
  <c r="AE390" i="63"/>
  <c r="Z391" i="63"/>
  <c r="AE391" i="63"/>
  <c r="Z392" i="63"/>
  <c r="AE392" i="63"/>
  <c r="Z393" i="63"/>
  <c r="AE393" i="63"/>
  <c r="Z394" i="63"/>
  <c r="AE394" i="63"/>
  <c r="Z395" i="63"/>
  <c r="AE395" i="63"/>
  <c r="Z396" i="63"/>
  <c r="AE396" i="63"/>
  <c r="Z397" i="63"/>
  <c r="AE397" i="63"/>
  <c r="Z398" i="63"/>
  <c r="AE398" i="63"/>
  <c r="Z399" i="63"/>
  <c r="AE399" i="63"/>
  <c r="Z400" i="63"/>
  <c r="AE400" i="63"/>
  <c r="Z401" i="63"/>
  <c r="AE401" i="63"/>
  <c r="Z402" i="63"/>
  <c r="AE402" i="63"/>
  <c r="Z403" i="63"/>
  <c r="AE403" i="63"/>
  <c r="Z404" i="63"/>
  <c r="AE404" i="63"/>
  <c r="Z405" i="63"/>
  <c r="AE405" i="63"/>
  <c r="Z406" i="63"/>
  <c r="AE406" i="63"/>
  <c r="Z407" i="63"/>
  <c r="AE407" i="63"/>
  <c r="Z408" i="63"/>
  <c r="AE408" i="63"/>
  <c r="Z409" i="63"/>
  <c r="AE409" i="63"/>
  <c r="Z410" i="63"/>
  <c r="AE410" i="63"/>
  <c r="Z411" i="63"/>
  <c r="AE411" i="63"/>
  <c r="Z412" i="63"/>
  <c r="AE412" i="63"/>
  <c r="Z413" i="63"/>
  <c r="AE413" i="63"/>
  <c r="Z414" i="63"/>
  <c r="AE414" i="63"/>
  <c r="Z415" i="63"/>
  <c r="AE415" i="63"/>
  <c r="Z416" i="63"/>
  <c r="AE416" i="63"/>
  <c r="Z417" i="63"/>
  <c r="AE417" i="63"/>
  <c r="Z418" i="63"/>
  <c r="AE418" i="63"/>
  <c r="Z419" i="63"/>
  <c r="AE419" i="63"/>
  <c r="Z420" i="63"/>
  <c r="AE420" i="63"/>
  <c r="Z421" i="63"/>
  <c r="AE421" i="63"/>
  <c r="Z422" i="63"/>
  <c r="AE422" i="63"/>
  <c r="Z423" i="63"/>
  <c r="AE423" i="63"/>
  <c r="Z424" i="63"/>
  <c r="AE424" i="63"/>
  <c r="Z425" i="63"/>
  <c r="AE425" i="63"/>
  <c r="Z426" i="63"/>
  <c r="AE426" i="63"/>
  <c r="Z427" i="63"/>
  <c r="AE427" i="63"/>
  <c r="Z428" i="63"/>
  <c r="AE428" i="63"/>
  <c r="Z429" i="63"/>
  <c r="AE429" i="63"/>
  <c r="Z430" i="63"/>
  <c r="AE430" i="63"/>
  <c r="Z431" i="63"/>
  <c r="AE431" i="63"/>
  <c r="Z432" i="63"/>
  <c r="AE432" i="63"/>
  <c r="Z433" i="63"/>
  <c r="AE433" i="63"/>
  <c r="Z434" i="63"/>
  <c r="AE434" i="63"/>
  <c r="Z435" i="63"/>
  <c r="AE435" i="63"/>
  <c r="Z436" i="63"/>
  <c r="AE436" i="63"/>
  <c r="Z437" i="63"/>
  <c r="AE437" i="63"/>
  <c r="Z438" i="63"/>
  <c r="AE438" i="63"/>
  <c r="Z439" i="63"/>
  <c r="AE439" i="63"/>
  <c r="Z440" i="63"/>
  <c r="AE440" i="63"/>
  <c r="Z441" i="63"/>
  <c r="AE441" i="63"/>
  <c r="Z442" i="63"/>
  <c r="AE442" i="63"/>
  <c r="Z443" i="63"/>
  <c r="AE443" i="63"/>
  <c r="Z444" i="63"/>
  <c r="AE444" i="63"/>
  <c r="Z445" i="63"/>
  <c r="AE445" i="63"/>
  <c r="Z446" i="63"/>
  <c r="AE446" i="63"/>
  <c r="Z447" i="63"/>
  <c r="AE447" i="63"/>
  <c r="Z448" i="63"/>
  <c r="AE448" i="63"/>
  <c r="Z449" i="63"/>
  <c r="AE449" i="63"/>
  <c r="Z450" i="63"/>
  <c r="AE450" i="63"/>
  <c r="Z451" i="63"/>
  <c r="AE451" i="63"/>
  <c r="Z452" i="63"/>
  <c r="AE452" i="63"/>
  <c r="Z453" i="63"/>
  <c r="AE453" i="63"/>
  <c r="Z454" i="63"/>
  <c r="AE454" i="63"/>
  <c r="Z455" i="63"/>
  <c r="AE455" i="63"/>
  <c r="Z456" i="63"/>
  <c r="AE456" i="63"/>
  <c r="Z457" i="63"/>
  <c r="AE457" i="63"/>
  <c r="Z458" i="63"/>
  <c r="AE458" i="63"/>
  <c r="Z459" i="63"/>
  <c r="AE459" i="63"/>
  <c r="Z460" i="63"/>
  <c r="AE460" i="63"/>
  <c r="Z461" i="63"/>
  <c r="AE461" i="63"/>
  <c r="Z462" i="63"/>
  <c r="AE462" i="63"/>
  <c r="Z463" i="63"/>
  <c r="AE463" i="63"/>
  <c r="Z464" i="63"/>
  <c r="AE464" i="63"/>
  <c r="Z465" i="63"/>
  <c r="AE465" i="63"/>
  <c r="Z466" i="63"/>
  <c r="AE466" i="63"/>
  <c r="Z467" i="63"/>
  <c r="AE467" i="63"/>
  <c r="Z468" i="63"/>
  <c r="AE468" i="63"/>
  <c r="Z469" i="63"/>
  <c r="AE469" i="63"/>
  <c r="Z470" i="63"/>
  <c r="AE470" i="63"/>
  <c r="Z471" i="63"/>
  <c r="AE471" i="63"/>
  <c r="Z472" i="63"/>
  <c r="AE472" i="63"/>
  <c r="Z473" i="63"/>
  <c r="AE473" i="63"/>
  <c r="Z474" i="63"/>
  <c r="AE474" i="63"/>
  <c r="Z475" i="63"/>
  <c r="AE475" i="63"/>
  <c r="Z476" i="63"/>
  <c r="AE476" i="63"/>
  <c r="Z477" i="63"/>
  <c r="AE477" i="63"/>
  <c r="Z478" i="63"/>
  <c r="AE478" i="63"/>
  <c r="Z479" i="63"/>
  <c r="AE479" i="63"/>
  <c r="Z480" i="63"/>
  <c r="AE480" i="63"/>
  <c r="Z481" i="63"/>
  <c r="AE481" i="63"/>
  <c r="Z482" i="63"/>
  <c r="AE482" i="63"/>
  <c r="Z483" i="63"/>
  <c r="AE483" i="63"/>
  <c r="Z484" i="63"/>
  <c r="AE484" i="63"/>
  <c r="Z485" i="63"/>
  <c r="AE485" i="63"/>
  <c r="Z486" i="63"/>
  <c r="AE486" i="63"/>
  <c r="Z487" i="63"/>
  <c r="AE487" i="63"/>
  <c r="Z488" i="63"/>
  <c r="AE488" i="63"/>
  <c r="Z489" i="63"/>
  <c r="AE489" i="63"/>
  <c r="Z490" i="63"/>
  <c r="AE490" i="63"/>
  <c r="Z491" i="63"/>
  <c r="AE491" i="63"/>
  <c r="Z492" i="63"/>
  <c r="AE492" i="63"/>
  <c r="Z493" i="63"/>
  <c r="AE493" i="63"/>
  <c r="Z494" i="63"/>
  <c r="AE494" i="63"/>
  <c r="Z495" i="63"/>
  <c r="AE495" i="63"/>
  <c r="Z496" i="63"/>
  <c r="AE496" i="63"/>
  <c r="Z497" i="63"/>
  <c r="AE497" i="63"/>
  <c r="Z498" i="63"/>
  <c r="AE498" i="63"/>
  <c r="Z499" i="63"/>
  <c r="AE499" i="63"/>
  <c r="Z500" i="63"/>
  <c r="AE500" i="63"/>
  <c r="Z501" i="63"/>
  <c r="AE501" i="63"/>
  <c r="Z502" i="63"/>
  <c r="AE502" i="63"/>
  <c r="Z503" i="63"/>
  <c r="AE503" i="63"/>
  <c r="Z504" i="63"/>
  <c r="AE504" i="63"/>
  <c r="Z505" i="63"/>
  <c r="AE505" i="63"/>
  <c r="Z506" i="63"/>
  <c r="AE506" i="63"/>
  <c r="Z507" i="63"/>
  <c r="AE507" i="63"/>
  <c r="Z508" i="63"/>
  <c r="AE508" i="63"/>
  <c r="Z509" i="63"/>
  <c r="AE509" i="63"/>
  <c r="Z510" i="63"/>
  <c r="AE510" i="63"/>
  <c r="Z511" i="63"/>
  <c r="AE511" i="63"/>
  <c r="Z512" i="63"/>
  <c r="AE512" i="63"/>
  <c r="Z513" i="63"/>
  <c r="AE513" i="63"/>
  <c r="Z514" i="63"/>
  <c r="AE514" i="63"/>
  <c r="Z515" i="63"/>
  <c r="AE515" i="63"/>
  <c r="Z516" i="63"/>
  <c r="AE516" i="63"/>
  <c r="Z517" i="63"/>
  <c r="AE517" i="63"/>
  <c r="Z518" i="63"/>
  <c r="AE518" i="63"/>
  <c r="Z519" i="63"/>
  <c r="AE519" i="63"/>
  <c r="Z520" i="63"/>
  <c r="AE520" i="63"/>
  <c r="Z521" i="63"/>
  <c r="AE521" i="63"/>
  <c r="Z522" i="63"/>
  <c r="AE522" i="63"/>
  <c r="Z523" i="63"/>
  <c r="AE523" i="63"/>
  <c r="Z524" i="63"/>
  <c r="AE524" i="63"/>
  <c r="Z525" i="63"/>
  <c r="AE525" i="63"/>
  <c r="Z526" i="63"/>
  <c r="AE526" i="63"/>
  <c r="Z527" i="63"/>
  <c r="AE527" i="63"/>
  <c r="Z528" i="63"/>
  <c r="AE528" i="63"/>
  <c r="Z529" i="63"/>
  <c r="AE529" i="63"/>
  <c r="Z530" i="63"/>
  <c r="AE530" i="63"/>
  <c r="Z531" i="63"/>
  <c r="AE531" i="63"/>
  <c r="Z532" i="63"/>
  <c r="AE532" i="63"/>
  <c r="Z533" i="63"/>
  <c r="AE533" i="63"/>
  <c r="Z534" i="63"/>
  <c r="AE534" i="63"/>
  <c r="Z535" i="63"/>
  <c r="AE535" i="63"/>
  <c r="Z536" i="63"/>
  <c r="AE536" i="63"/>
  <c r="Z537" i="63"/>
  <c r="AE537" i="63"/>
  <c r="Z538" i="63"/>
  <c r="AE538" i="63"/>
  <c r="Z539" i="63"/>
  <c r="AE539" i="63"/>
  <c r="Z540" i="63"/>
  <c r="AE540" i="63"/>
  <c r="Z541" i="63"/>
  <c r="AE541" i="63"/>
  <c r="Z542" i="63"/>
  <c r="AE542" i="63"/>
  <c r="Z543" i="63"/>
  <c r="AE543" i="63"/>
  <c r="Z544" i="63"/>
  <c r="AE544" i="63"/>
  <c r="Z545" i="63"/>
  <c r="AE545" i="63"/>
  <c r="Z546" i="63"/>
  <c r="AE546" i="63"/>
  <c r="Z547" i="63"/>
  <c r="AE547" i="63"/>
  <c r="Z548" i="63"/>
  <c r="AE548" i="63"/>
  <c r="Z549" i="63"/>
  <c r="AE549" i="63"/>
  <c r="Z550" i="63"/>
  <c r="AE550" i="63"/>
  <c r="Z551" i="63"/>
  <c r="AE551" i="63"/>
  <c r="Z552" i="63"/>
  <c r="AE552" i="63"/>
  <c r="Z553" i="63"/>
  <c r="AE553" i="63"/>
  <c r="Z554" i="63"/>
  <c r="AE554" i="63"/>
  <c r="Z555" i="63"/>
  <c r="AE555" i="63"/>
  <c r="Z556" i="63"/>
  <c r="AE556" i="63"/>
  <c r="Z557" i="63"/>
  <c r="AE557" i="63"/>
  <c r="Z558" i="63"/>
  <c r="AE558" i="63"/>
  <c r="Z559" i="63"/>
  <c r="AE559" i="63"/>
  <c r="Z560" i="63"/>
  <c r="AE560" i="63"/>
  <c r="Z561" i="63"/>
  <c r="AE561" i="63"/>
  <c r="Z562" i="63"/>
  <c r="AE562" i="63"/>
  <c r="Z563" i="63"/>
  <c r="AE563" i="63"/>
  <c r="Z564" i="63"/>
  <c r="AE564" i="63"/>
  <c r="Z565" i="63"/>
  <c r="AE565" i="63"/>
  <c r="Z566" i="63"/>
  <c r="AE566" i="63"/>
  <c r="Z567" i="63"/>
  <c r="AE567" i="63"/>
  <c r="Z568" i="63"/>
  <c r="AE568" i="63"/>
  <c r="Z569" i="63"/>
  <c r="AE569" i="63"/>
  <c r="Z570" i="63"/>
  <c r="AE570" i="63"/>
  <c r="Z571" i="63"/>
  <c r="AE571" i="63"/>
  <c r="Z572" i="63"/>
  <c r="AE572" i="63"/>
  <c r="Z573" i="63"/>
  <c r="AE573" i="63"/>
  <c r="Z574" i="63"/>
  <c r="AE574" i="63"/>
  <c r="Z575" i="63"/>
  <c r="AE575" i="63"/>
  <c r="Z576" i="63"/>
  <c r="AE576" i="63"/>
  <c r="Z577" i="63"/>
  <c r="AE577" i="63"/>
  <c r="Z578" i="63"/>
  <c r="AE578" i="63"/>
  <c r="Z579" i="63"/>
  <c r="AE579" i="63"/>
  <c r="Z580" i="63"/>
  <c r="AE580" i="63"/>
  <c r="Z581" i="63"/>
  <c r="AE581" i="63"/>
  <c r="Z582" i="63"/>
  <c r="AE582" i="63"/>
  <c r="E5" i="73"/>
  <c r="F5" i="73"/>
  <c r="H5" i="73"/>
  <c r="I5" i="73"/>
  <c r="R5" i="73"/>
  <c r="U5" i="73"/>
  <c r="E6" i="73"/>
  <c r="F6" i="73"/>
  <c r="H6" i="73"/>
  <c r="I6" i="73"/>
  <c r="R6" i="73"/>
  <c r="U6" i="73"/>
  <c r="E7" i="73"/>
  <c r="F7" i="73"/>
  <c r="H7" i="73"/>
  <c r="I7" i="73"/>
  <c r="R7" i="73"/>
  <c r="U7" i="73"/>
  <c r="E8" i="73"/>
  <c r="F8" i="73"/>
  <c r="H8" i="73"/>
  <c r="I8" i="73"/>
  <c r="R8" i="73"/>
  <c r="U8" i="73"/>
  <c r="E9" i="73"/>
  <c r="F9" i="73"/>
  <c r="H9" i="73"/>
  <c r="I9" i="73"/>
  <c r="R9" i="73"/>
  <c r="U9" i="73"/>
  <c r="E10" i="73"/>
  <c r="F10" i="73"/>
  <c r="H10" i="73"/>
  <c r="I10" i="73"/>
  <c r="R10" i="73"/>
  <c r="U10" i="73"/>
  <c r="E11" i="73"/>
  <c r="F11" i="73"/>
  <c r="H11" i="73"/>
  <c r="I11" i="73"/>
  <c r="R11" i="73"/>
  <c r="U11" i="73"/>
  <c r="E12" i="73"/>
  <c r="F12" i="73"/>
  <c r="H12" i="73"/>
  <c r="I12" i="73"/>
  <c r="R12" i="73"/>
  <c r="U12" i="73"/>
  <c r="E13" i="73"/>
  <c r="H13" i="73"/>
  <c r="R13" i="73"/>
  <c r="U13" i="73"/>
  <c r="F14" i="73"/>
  <c r="I14" i="73"/>
  <c r="R14" i="73"/>
  <c r="U14" i="73"/>
  <c r="F15" i="73"/>
  <c r="I15" i="73"/>
  <c r="R15" i="73"/>
  <c r="U15" i="73"/>
  <c r="E16" i="73"/>
  <c r="H16" i="73"/>
  <c r="R16" i="73"/>
  <c r="U16" i="73"/>
  <c r="F17" i="73"/>
  <c r="I17" i="73"/>
  <c r="R17" i="73"/>
  <c r="U17" i="73"/>
  <c r="F18" i="73"/>
  <c r="I18" i="73"/>
  <c r="R18" i="73"/>
  <c r="U18" i="73"/>
  <c r="E19" i="73"/>
  <c r="H19" i="73"/>
  <c r="R19" i="73"/>
  <c r="U19" i="73"/>
  <c r="R20" i="73"/>
  <c r="U20" i="73"/>
  <c r="R21" i="73"/>
  <c r="U21" i="73"/>
  <c r="R22" i="73"/>
  <c r="U22" i="73"/>
  <c r="R23" i="73"/>
  <c r="U23" i="73"/>
  <c r="R24" i="73"/>
  <c r="U24" i="73"/>
  <c r="R25" i="73"/>
  <c r="U25" i="73"/>
  <c r="R26" i="73"/>
  <c r="U26" i="73"/>
  <c r="R27" i="73"/>
  <c r="U27" i="73"/>
  <c r="R28" i="73"/>
  <c r="U28" i="73"/>
  <c r="R29" i="73"/>
  <c r="U29" i="73"/>
  <c r="R30" i="73"/>
  <c r="U30" i="73"/>
  <c r="R31" i="73"/>
  <c r="U31" i="73"/>
  <c r="R32" i="73"/>
  <c r="U32" i="73"/>
  <c r="R33" i="73"/>
  <c r="U33" i="73"/>
  <c r="Q34" i="73"/>
  <c r="T34" i="73"/>
  <c r="Q35" i="73"/>
  <c r="T35" i="73"/>
  <c r="N7" i="52"/>
  <c r="AJ7" i="52"/>
  <c r="AK7" i="52"/>
  <c r="N8" i="52"/>
  <c r="AJ8" i="52"/>
  <c r="AK8" i="52"/>
  <c r="N11" i="52"/>
  <c r="AJ11" i="52"/>
  <c r="AK11" i="52"/>
  <c r="N12" i="52"/>
  <c r="AJ12" i="52"/>
  <c r="AK12" i="52"/>
  <c r="N15" i="52"/>
  <c r="AJ15" i="52"/>
  <c r="AK15" i="52"/>
  <c r="N16" i="52"/>
  <c r="AJ16" i="52"/>
  <c r="AK16" i="52"/>
  <c r="N17" i="52"/>
  <c r="AJ17" i="52"/>
  <c r="AK17" i="52"/>
  <c r="N18" i="52"/>
  <c r="AJ18" i="52"/>
  <c r="AK18" i="52"/>
  <c r="N21" i="52"/>
  <c r="AJ21" i="52"/>
  <c r="AK21" i="52"/>
  <c r="N22" i="52"/>
  <c r="AJ22" i="52"/>
  <c r="AK22" i="52"/>
  <c r="N23" i="52"/>
  <c r="AJ23" i="52"/>
  <c r="AK23" i="52"/>
  <c r="N24" i="52"/>
  <c r="AJ24" i="52"/>
  <c r="AK24" i="52"/>
  <c r="N25" i="52"/>
  <c r="AJ25" i="52"/>
  <c r="AK25" i="52"/>
  <c r="N26" i="52"/>
  <c r="AJ26" i="52"/>
  <c r="AK26" i="52"/>
  <c r="N27" i="52"/>
  <c r="AJ27" i="52"/>
  <c r="AK27" i="52"/>
  <c r="N28" i="52"/>
  <c r="AJ28" i="52"/>
  <c r="AK28" i="52"/>
  <c r="N29" i="52"/>
  <c r="AJ29" i="52"/>
  <c r="AK29" i="52"/>
  <c r="N30" i="52"/>
  <c r="AJ30" i="52"/>
  <c r="AK30" i="52"/>
  <c r="N31" i="52"/>
  <c r="AJ31" i="52"/>
  <c r="AK31" i="52"/>
  <c r="N32" i="52"/>
  <c r="AJ32" i="52"/>
  <c r="AK32" i="52"/>
  <c r="N33" i="52"/>
  <c r="AJ33" i="52"/>
  <c r="AK33" i="52"/>
  <c r="N34" i="52"/>
  <c r="AJ34" i="52"/>
  <c r="AK34" i="52"/>
  <c r="N35" i="52"/>
  <c r="AJ35" i="52"/>
  <c r="AK35" i="52"/>
  <c r="N36" i="52"/>
  <c r="AJ36" i="52"/>
  <c r="AK36" i="52"/>
  <c r="N37" i="52"/>
  <c r="AJ37" i="52"/>
  <c r="AK37" i="52"/>
  <c r="N38" i="52"/>
  <c r="AJ38" i="52"/>
  <c r="AK38" i="52"/>
  <c r="N39" i="52"/>
  <c r="AJ39" i="52"/>
  <c r="AK39" i="52"/>
  <c r="N40" i="52"/>
  <c r="AJ40" i="52"/>
  <c r="AK40" i="52"/>
  <c r="N41" i="52"/>
  <c r="AJ41" i="52"/>
  <c r="AK41" i="52"/>
  <c r="N42" i="52"/>
  <c r="AJ42" i="52"/>
  <c r="AK42" i="52"/>
  <c r="N43" i="52"/>
  <c r="AJ43" i="52"/>
  <c r="AK43" i="52"/>
  <c r="N44" i="52"/>
  <c r="AJ44" i="52"/>
  <c r="AK44" i="52"/>
  <c r="N45" i="52"/>
  <c r="AJ45" i="52"/>
  <c r="AK45" i="52"/>
  <c r="N46" i="52"/>
  <c r="AJ46" i="52"/>
  <c r="AK46" i="52"/>
  <c r="N47" i="52"/>
  <c r="AJ47" i="52"/>
  <c r="AK47" i="52"/>
  <c r="N48" i="52"/>
  <c r="AJ48" i="52"/>
  <c r="AK48" i="52"/>
  <c r="N49" i="52"/>
  <c r="AJ49" i="52"/>
  <c r="AK49" i="52"/>
  <c r="N50" i="52"/>
  <c r="AJ50" i="52"/>
  <c r="AK50" i="52"/>
  <c r="N51" i="52"/>
  <c r="AJ51" i="52"/>
  <c r="AK51" i="52"/>
  <c r="N52" i="52"/>
  <c r="AJ52" i="52"/>
  <c r="AK52" i="52"/>
  <c r="N53" i="52"/>
  <c r="AJ53" i="52"/>
  <c r="AK53" i="52"/>
  <c r="N54" i="52"/>
  <c r="AJ54" i="52"/>
  <c r="AK54" i="52"/>
  <c r="N55" i="52"/>
  <c r="AJ55" i="52"/>
  <c r="AK55" i="52"/>
  <c r="N59" i="52"/>
  <c r="AJ59" i="52"/>
  <c r="AK59" i="52"/>
  <c r="N64" i="52"/>
  <c r="AJ64" i="52"/>
  <c r="AK64" i="52"/>
  <c r="L67" i="52"/>
  <c r="N67" i="52"/>
  <c r="L68" i="52"/>
  <c r="N68" i="52"/>
  <c r="L69" i="52"/>
  <c r="N69" i="52"/>
  <c r="N70" i="52"/>
  <c r="L71" i="52"/>
  <c r="L72" i="52"/>
  <c r="L73" i="52"/>
  <c r="L74" i="52"/>
  <c r="L75" i="52"/>
  <c r="N5" i="68"/>
  <c r="AB5" i="68"/>
  <c r="AC5" i="68"/>
  <c r="AF5" i="68"/>
  <c r="AG5" i="68"/>
  <c r="N6" i="68"/>
  <c r="AB6" i="68"/>
  <c r="AC6" i="68"/>
  <c r="AF6" i="68"/>
  <c r="AG6" i="68"/>
  <c r="N7" i="68"/>
  <c r="AB7" i="68"/>
  <c r="AC7" i="68"/>
  <c r="AF7" i="68"/>
  <c r="AG7" i="68"/>
  <c r="N8" i="68"/>
  <c r="AB8" i="68"/>
  <c r="AC8" i="68"/>
  <c r="AF8" i="68"/>
  <c r="AG8" i="68"/>
  <c r="N9" i="68"/>
  <c r="AB9" i="68"/>
  <c r="AC9" i="68"/>
  <c r="AF9" i="68"/>
  <c r="AG9" i="68"/>
  <c r="N10" i="68"/>
  <c r="AB10" i="68"/>
  <c r="AC10" i="68"/>
  <c r="AF10" i="68"/>
  <c r="AG10" i="68"/>
  <c r="N11" i="68"/>
  <c r="AB11" i="68"/>
  <c r="AC11" i="68"/>
  <c r="AF11" i="68"/>
  <c r="AG11" i="68"/>
  <c r="N12" i="68"/>
  <c r="AB12" i="68"/>
  <c r="AC12" i="68"/>
  <c r="AF12" i="68"/>
  <c r="AG12" i="68"/>
  <c r="N13" i="68"/>
  <c r="AB13" i="68"/>
  <c r="AC13" i="68"/>
  <c r="AF13" i="68"/>
  <c r="AG13" i="68"/>
  <c r="N14" i="68"/>
  <c r="AB14" i="68"/>
  <c r="AC14" i="68"/>
  <c r="AF14" i="68"/>
  <c r="AG14" i="68"/>
  <c r="N15" i="68"/>
  <c r="AB15" i="68"/>
  <c r="AC15" i="68"/>
  <c r="AF15" i="68"/>
  <c r="AG15" i="68"/>
  <c r="N16" i="68"/>
  <c r="AB16" i="68"/>
  <c r="AC16" i="68"/>
  <c r="AF16" i="68"/>
  <c r="AG16" i="68"/>
  <c r="N17" i="68"/>
  <c r="AB17" i="68"/>
  <c r="AC17" i="68"/>
  <c r="AF17" i="68"/>
  <c r="AG17" i="68"/>
  <c r="N18" i="68"/>
  <c r="AB18" i="68"/>
  <c r="AC18" i="68"/>
  <c r="AF18" i="68"/>
  <c r="AG18" i="68"/>
  <c r="N19" i="68"/>
  <c r="AB19" i="68"/>
  <c r="AC19" i="68"/>
  <c r="AF19" i="68"/>
  <c r="AG19" i="68"/>
  <c r="N20" i="68"/>
  <c r="AB20" i="68"/>
  <c r="AC20" i="68"/>
  <c r="AF20" i="68"/>
  <c r="AG20" i="68"/>
  <c r="N21" i="68"/>
  <c r="AB21" i="68"/>
  <c r="AC21" i="68"/>
  <c r="AF21" i="68"/>
  <c r="AG21" i="68"/>
  <c r="N22" i="68"/>
  <c r="AB22" i="68"/>
  <c r="AC22" i="68"/>
  <c r="AF22" i="68"/>
  <c r="AG22" i="68"/>
  <c r="N23" i="68"/>
  <c r="AB23" i="68"/>
  <c r="AC23" i="68"/>
  <c r="AF23" i="68"/>
  <c r="AG23" i="68"/>
  <c r="N24" i="68"/>
  <c r="AB24" i="68"/>
  <c r="AC24" i="68"/>
  <c r="AF24" i="68"/>
  <c r="AG24" i="68"/>
  <c r="N25" i="68"/>
  <c r="AB25" i="68"/>
  <c r="AC25" i="68"/>
  <c r="AF25" i="68"/>
  <c r="AG25" i="68"/>
  <c r="N26" i="68"/>
  <c r="AB26" i="68"/>
  <c r="AC26" i="68"/>
  <c r="AF26" i="68"/>
  <c r="AG26" i="68"/>
  <c r="N27" i="68"/>
  <c r="AB27" i="68"/>
  <c r="AC27" i="68"/>
  <c r="AF27" i="68"/>
  <c r="AG27" i="68"/>
  <c r="N28" i="68"/>
  <c r="AB28" i="68"/>
  <c r="AC28" i="68"/>
  <c r="AF28" i="68"/>
  <c r="AG28" i="68"/>
  <c r="N29" i="68"/>
  <c r="AB29" i="68"/>
  <c r="AC29" i="68"/>
  <c r="AF29" i="68"/>
  <c r="AG29" i="68"/>
  <c r="N30" i="68"/>
  <c r="AB30" i="68"/>
  <c r="AC30" i="68"/>
  <c r="AF30" i="68"/>
  <c r="AG30" i="68"/>
  <c r="N31" i="68"/>
  <c r="AB31" i="68"/>
  <c r="AC31" i="68"/>
  <c r="AF31" i="68"/>
  <c r="AG31" i="68"/>
  <c r="N32" i="68"/>
  <c r="AB32" i="68"/>
  <c r="AC32" i="68"/>
  <c r="AF32" i="68"/>
  <c r="AG32" i="68"/>
  <c r="N33" i="68"/>
  <c r="AB33" i="68"/>
  <c r="AC33" i="68"/>
  <c r="AF33" i="68"/>
  <c r="AG33" i="68"/>
  <c r="N34" i="68"/>
  <c r="AB34" i="68"/>
  <c r="AC34" i="68"/>
  <c r="AF34" i="68"/>
  <c r="AG34" i="68"/>
  <c r="N35" i="68"/>
  <c r="AB35" i="68"/>
  <c r="AC35" i="68"/>
  <c r="AF35" i="68"/>
  <c r="AG35" i="68"/>
  <c r="N36" i="68"/>
  <c r="AB36" i="68"/>
  <c r="AC36" i="68"/>
  <c r="AF36" i="68"/>
  <c r="AG36" i="68"/>
  <c r="N37" i="68"/>
  <c r="AB37" i="68"/>
  <c r="AC37" i="68"/>
  <c r="AF37" i="68"/>
  <c r="AG37" i="68"/>
  <c r="N38" i="68"/>
  <c r="AB38" i="68"/>
  <c r="AC38" i="68"/>
  <c r="AF38" i="68"/>
  <c r="AG38" i="68"/>
  <c r="N39" i="68"/>
  <c r="AB39" i="68"/>
  <c r="AC39" i="68"/>
  <c r="AF39" i="68"/>
  <c r="AG39" i="68"/>
  <c r="N40" i="68"/>
  <c r="AB40" i="68"/>
  <c r="AC40" i="68"/>
  <c r="AF40" i="68"/>
  <c r="AG40" i="68"/>
  <c r="N41" i="68"/>
  <c r="AB41" i="68"/>
  <c r="AC41" i="68"/>
  <c r="AF41" i="68"/>
  <c r="AG41" i="68"/>
  <c r="N42" i="68"/>
  <c r="AB42" i="68"/>
  <c r="AC42" i="68"/>
  <c r="AF42" i="68"/>
  <c r="AG42" i="68"/>
  <c r="N43" i="68"/>
  <c r="AB43" i="68"/>
  <c r="AC43" i="68"/>
  <c r="AF43" i="68"/>
  <c r="AG43" i="68"/>
  <c r="N44" i="68"/>
  <c r="AB44" i="68"/>
  <c r="AC44" i="68"/>
  <c r="AF44" i="68"/>
  <c r="AG44" i="68"/>
  <c r="N45" i="68"/>
  <c r="AB45" i="68"/>
  <c r="AC45" i="68"/>
  <c r="AF45" i="68"/>
  <c r="AG45" i="68"/>
  <c r="N46" i="68"/>
  <c r="AB46" i="68"/>
  <c r="AC46" i="68"/>
  <c r="AF46" i="68"/>
  <c r="AG46" i="68"/>
  <c r="N47" i="68"/>
  <c r="AB47" i="68"/>
  <c r="AC47" i="68"/>
  <c r="AF47" i="68"/>
  <c r="AG47" i="68"/>
  <c r="N48" i="68"/>
  <c r="AB48" i="68"/>
  <c r="AC48" i="68"/>
  <c r="AF48" i="68"/>
  <c r="AG48" i="68"/>
  <c r="N49" i="68"/>
  <c r="AB49" i="68"/>
  <c r="AC49" i="68"/>
  <c r="AF49" i="68"/>
  <c r="AG49" i="68"/>
  <c r="N50" i="68"/>
  <c r="AB50" i="68"/>
  <c r="AC50" i="68"/>
  <c r="AF50" i="68"/>
  <c r="AG50" i="68"/>
  <c r="N51" i="68"/>
  <c r="AB51" i="68"/>
  <c r="AC51" i="68"/>
  <c r="AF51" i="68"/>
  <c r="AG51" i="68"/>
  <c r="N52" i="68"/>
  <c r="AB52" i="68"/>
  <c r="AC52" i="68"/>
  <c r="AF52" i="68"/>
  <c r="AG52" i="68"/>
  <c r="N53" i="68"/>
  <c r="AB53" i="68"/>
  <c r="AC53" i="68"/>
  <c r="AF53" i="68"/>
  <c r="AG53" i="68"/>
  <c r="N54" i="68"/>
  <c r="AB54" i="68"/>
  <c r="AC54" i="68"/>
  <c r="AF54" i="68"/>
  <c r="AG54" i="68"/>
  <c r="N55" i="68"/>
  <c r="AB55" i="68"/>
  <c r="AC55" i="68"/>
  <c r="AF55" i="68"/>
  <c r="AG55" i="68"/>
  <c r="N61" i="68"/>
  <c r="AB61" i="68"/>
  <c r="AC61" i="68"/>
  <c r="AF61" i="68"/>
  <c r="AG61" i="68"/>
  <c r="N62" i="68"/>
  <c r="AB62" i="68"/>
  <c r="AC62" i="68"/>
  <c r="AF62" i="68"/>
  <c r="AG62" i="68"/>
  <c r="N63" i="68"/>
  <c r="AB63" i="68"/>
  <c r="AC63" i="68"/>
  <c r="AF63" i="68"/>
  <c r="AG63" i="68"/>
  <c r="N64" i="68"/>
  <c r="AB64" i="68"/>
  <c r="AC64" i="68"/>
  <c r="AF64" i="68"/>
  <c r="AG64" i="68"/>
  <c r="N65" i="68"/>
  <c r="AB65" i="68"/>
  <c r="AC65" i="68"/>
  <c r="AF65" i="68"/>
  <c r="AG65" i="68"/>
  <c r="N66" i="68"/>
  <c r="AB66" i="68"/>
  <c r="AC66" i="68"/>
  <c r="AF66" i="68"/>
  <c r="AG66" i="68"/>
  <c r="N67" i="68"/>
  <c r="AB67" i="68"/>
  <c r="AC67" i="68"/>
  <c r="AF67" i="68"/>
  <c r="AG67" i="68"/>
  <c r="N68" i="68"/>
  <c r="AB68" i="68"/>
  <c r="AC68" i="68"/>
  <c r="AF68" i="68"/>
  <c r="AG68" i="68"/>
  <c r="N69" i="68"/>
  <c r="AB69" i="68"/>
  <c r="AC69" i="68"/>
  <c r="AF69" i="68"/>
  <c r="AG69" i="68"/>
  <c r="N70" i="68"/>
  <c r="AB70" i="68"/>
  <c r="AC70" i="68"/>
  <c r="AF70" i="68"/>
  <c r="AG70" i="68"/>
  <c r="N71" i="68"/>
  <c r="AB71" i="68"/>
  <c r="AC71" i="68"/>
  <c r="AF71" i="68"/>
  <c r="AG71" i="68"/>
  <c r="N72" i="68"/>
  <c r="AB72" i="68"/>
  <c r="AC72" i="68"/>
  <c r="AF72" i="68"/>
  <c r="AG72" i="68"/>
  <c r="N73" i="68"/>
  <c r="AB73" i="68"/>
  <c r="AC73" i="68"/>
  <c r="AF73" i="68"/>
  <c r="AG73" i="68"/>
  <c r="N74" i="68"/>
  <c r="AB74" i="68"/>
  <c r="AC74" i="68"/>
  <c r="AF74" i="68"/>
  <c r="AG74" i="68"/>
  <c r="N75" i="68"/>
  <c r="AB75" i="68"/>
  <c r="AC75" i="68"/>
  <c r="AF75" i="68"/>
  <c r="AG75" i="68"/>
  <c r="N76" i="68"/>
  <c r="AB76" i="68"/>
  <c r="AC76" i="68"/>
  <c r="AF76" i="68"/>
  <c r="AG76" i="68"/>
  <c r="N77" i="68"/>
  <c r="AB77" i="68"/>
  <c r="AC77" i="68"/>
  <c r="AF77" i="68"/>
  <c r="AG77" i="68"/>
  <c r="N78" i="68"/>
  <c r="AB78" i="68"/>
  <c r="AC78" i="68"/>
  <c r="AF78" i="68"/>
  <c r="AG78" i="68"/>
  <c r="N79" i="68"/>
  <c r="AB79" i="68"/>
  <c r="AC79" i="68"/>
  <c r="AF79" i="68"/>
  <c r="AG79" i="68"/>
  <c r="N80" i="68"/>
  <c r="AB80" i="68"/>
  <c r="AC80" i="68"/>
  <c r="AF80" i="68"/>
  <c r="AG80" i="68"/>
  <c r="N81" i="68"/>
  <c r="AB81" i="68"/>
  <c r="AC81" i="68"/>
  <c r="AF81" i="68"/>
  <c r="AG81" i="68"/>
  <c r="N82" i="68"/>
  <c r="AB82" i="68"/>
  <c r="AC82" i="68"/>
  <c r="AF82" i="68"/>
  <c r="AG82" i="68"/>
  <c r="N83" i="68"/>
  <c r="AB83" i="68"/>
  <c r="AC83" i="68"/>
  <c r="AF83" i="68"/>
  <c r="AG83" i="68"/>
  <c r="N84" i="68"/>
  <c r="AB84" i="68"/>
  <c r="AC84" i="68"/>
  <c r="AF84" i="68"/>
  <c r="AG84" i="68"/>
  <c r="N85" i="68"/>
  <c r="AB85" i="68"/>
  <c r="AC85" i="68"/>
  <c r="AF85" i="68"/>
  <c r="AG85" i="68"/>
  <c r="N86" i="68"/>
  <c r="AB86" i="68"/>
  <c r="AC86" i="68"/>
  <c r="AF86" i="68"/>
  <c r="AG86" i="68"/>
  <c r="N87" i="68"/>
  <c r="AB87" i="68"/>
  <c r="AC87" i="68"/>
  <c r="AF87" i="68"/>
  <c r="AG87" i="68"/>
  <c r="N88" i="68"/>
  <c r="AB88" i="68"/>
  <c r="AC88" i="68"/>
  <c r="AF88" i="68"/>
  <c r="AG88" i="68"/>
  <c r="N89" i="68"/>
  <c r="AB89" i="68"/>
  <c r="AC89" i="68"/>
  <c r="AF89" i="68"/>
  <c r="AG89" i="68"/>
  <c r="N90" i="68"/>
  <c r="AB90" i="68"/>
  <c r="AC90" i="68"/>
  <c r="AF90" i="68"/>
  <c r="AG90" i="68"/>
  <c r="N91" i="68"/>
  <c r="AB91" i="68"/>
  <c r="AC91" i="68"/>
  <c r="AF91" i="68"/>
  <c r="AG91" i="68"/>
  <c r="N92" i="68"/>
  <c r="AB92" i="68"/>
  <c r="AC92" i="68"/>
  <c r="AF92" i="68"/>
  <c r="AG92" i="68"/>
  <c r="N93" i="68"/>
  <c r="AB93" i="68"/>
  <c r="AC93" i="68"/>
  <c r="AF93" i="68"/>
  <c r="AG93" i="68"/>
  <c r="N94" i="68"/>
  <c r="AB94" i="68"/>
  <c r="AC94" i="68"/>
  <c r="AF94" i="68"/>
  <c r="AG94" i="68"/>
  <c r="N95" i="68"/>
  <c r="AB95" i="68"/>
  <c r="AC95" i="68"/>
  <c r="AF95" i="68"/>
  <c r="AG95" i="68"/>
  <c r="N96" i="68"/>
  <c r="AB96" i="68"/>
  <c r="AC96" i="68"/>
  <c r="AF96" i="68"/>
  <c r="AG96" i="68"/>
  <c r="N97" i="68"/>
  <c r="AB97" i="68"/>
  <c r="AC97" i="68"/>
  <c r="AF97" i="68"/>
  <c r="AG97" i="68"/>
  <c r="N98" i="68"/>
  <c r="AB98" i="68"/>
  <c r="AC98" i="68"/>
  <c r="AF98" i="68"/>
  <c r="AG98" i="68"/>
  <c r="N99" i="68"/>
  <c r="AB99" i="68"/>
  <c r="AC99" i="68"/>
  <c r="AF99" i="68"/>
  <c r="AG99" i="68"/>
  <c r="N100" i="68"/>
  <c r="AB100" i="68"/>
  <c r="AC100" i="68"/>
  <c r="AF100" i="68"/>
  <c r="AG100" i="68"/>
  <c r="N101" i="68"/>
  <c r="AB101" i="68"/>
  <c r="AC101" i="68"/>
  <c r="AF101" i="68"/>
  <c r="AG101" i="68"/>
  <c r="N102" i="68"/>
  <c r="AB102" i="68"/>
  <c r="AC102" i="68"/>
  <c r="AF102" i="68"/>
  <c r="AG102" i="68"/>
  <c r="N103" i="68"/>
  <c r="AB103" i="68"/>
  <c r="AC103" i="68"/>
  <c r="AF103" i="68"/>
  <c r="AG103" i="68"/>
  <c r="N104" i="68"/>
  <c r="AB104" i="68"/>
  <c r="AC104" i="68"/>
  <c r="AF104" i="68"/>
  <c r="AG104" i="68"/>
  <c r="N105" i="68"/>
  <c r="AB105" i="68"/>
  <c r="AC105" i="68"/>
  <c r="AF105" i="68"/>
  <c r="AG105" i="68"/>
  <c r="N106" i="68"/>
  <c r="AB106" i="68"/>
  <c r="AC106" i="68"/>
  <c r="AF106" i="68"/>
  <c r="AG106" i="68"/>
  <c r="N107" i="68"/>
  <c r="AB107" i="68"/>
  <c r="AC107" i="68"/>
  <c r="AF107" i="68"/>
  <c r="AG107" i="68"/>
  <c r="N108" i="68"/>
  <c r="AB108" i="68"/>
  <c r="AC108" i="68"/>
  <c r="AF108" i="68"/>
  <c r="AG108" i="68"/>
  <c r="N109" i="68"/>
  <c r="AB109" i="68"/>
  <c r="AC109" i="68"/>
  <c r="AF109" i="68"/>
  <c r="AG109" i="68"/>
  <c r="N110" i="68"/>
  <c r="AB110" i="68"/>
  <c r="AC110" i="68"/>
  <c r="AF110" i="68"/>
  <c r="AG110" i="68"/>
  <c r="N111" i="68"/>
  <c r="AB111" i="68"/>
  <c r="AC111" i="68"/>
  <c r="AF111" i="68"/>
  <c r="AG111" i="68"/>
  <c r="N5" i="53"/>
  <c r="T5" i="53"/>
  <c r="AJ5" i="53"/>
  <c r="AK5" i="53"/>
  <c r="AL5" i="53"/>
  <c r="AM5" i="53"/>
  <c r="N6" i="53"/>
  <c r="T6" i="53"/>
  <c r="AJ6" i="53"/>
  <c r="AK6" i="53"/>
  <c r="AL6" i="53"/>
  <c r="AM6" i="53"/>
  <c r="N7" i="53"/>
  <c r="T7" i="53"/>
  <c r="AJ7" i="53"/>
  <c r="AK7" i="53"/>
  <c r="AL7" i="53"/>
  <c r="AM7" i="53"/>
  <c r="N8" i="53"/>
  <c r="T8" i="53"/>
  <c r="AJ8" i="53"/>
  <c r="AK8" i="53"/>
  <c r="AL8" i="53"/>
  <c r="AM8" i="53"/>
  <c r="N9" i="53"/>
  <c r="T9" i="53"/>
  <c r="AJ9" i="53"/>
  <c r="AK9" i="53"/>
  <c r="AL9" i="53"/>
  <c r="AM9" i="53"/>
  <c r="N10" i="53"/>
  <c r="T10" i="53"/>
  <c r="AJ10" i="53"/>
  <c r="AK10" i="53"/>
  <c r="AL10" i="53"/>
  <c r="AM10" i="53"/>
  <c r="N11" i="53"/>
  <c r="T11" i="53"/>
  <c r="AJ11" i="53"/>
  <c r="AK11" i="53"/>
  <c r="AL11" i="53"/>
  <c r="AM11" i="53"/>
  <c r="N12" i="53"/>
  <c r="T12" i="53"/>
  <c r="AJ12" i="53"/>
  <c r="AK12" i="53"/>
  <c r="AL12" i="53"/>
  <c r="AM12" i="53"/>
  <c r="N13" i="53"/>
  <c r="T13" i="53"/>
  <c r="AJ13" i="53"/>
  <c r="AK13" i="53"/>
  <c r="AL13" i="53"/>
  <c r="AM13" i="53"/>
  <c r="N14" i="53"/>
  <c r="T14" i="53"/>
  <c r="AJ14" i="53"/>
  <c r="AK14" i="53"/>
  <c r="AL14" i="53"/>
  <c r="AM14" i="53"/>
  <c r="N15" i="53"/>
  <c r="T15" i="53"/>
  <c r="AJ15" i="53"/>
  <c r="AK15" i="53"/>
  <c r="AL15" i="53"/>
  <c r="AM15" i="53"/>
  <c r="N16" i="53"/>
  <c r="T16" i="53"/>
  <c r="AJ16" i="53"/>
  <c r="AK16" i="53"/>
  <c r="AL16" i="53"/>
  <c r="AM16" i="53"/>
  <c r="N17" i="53"/>
  <c r="T17" i="53"/>
  <c r="AJ17" i="53"/>
  <c r="AK17" i="53"/>
  <c r="AL17" i="53"/>
  <c r="AM17" i="53"/>
  <c r="N18" i="53"/>
  <c r="T18" i="53"/>
  <c r="AJ18" i="53"/>
  <c r="AK18" i="53"/>
  <c r="AL18" i="53"/>
  <c r="AM18" i="53"/>
  <c r="N19" i="53"/>
  <c r="T19" i="53"/>
  <c r="AJ19" i="53"/>
  <c r="AK19" i="53"/>
  <c r="AL19" i="53"/>
  <c r="AM19" i="53"/>
  <c r="N20" i="53"/>
  <c r="T20" i="53"/>
  <c r="AJ20" i="53"/>
  <c r="AK20" i="53"/>
  <c r="AL20" i="53"/>
  <c r="AM20" i="53"/>
  <c r="N21" i="53"/>
  <c r="T21" i="53"/>
  <c r="AJ21" i="53"/>
  <c r="AK21" i="53"/>
  <c r="AL21" i="53"/>
  <c r="AM21" i="53"/>
  <c r="N22" i="53"/>
  <c r="T22" i="53"/>
  <c r="AJ22" i="53"/>
  <c r="AK22" i="53"/>
  <c r="AL22" i="53"/>
  <c r="AM22" i="53"/>
  <c r="N23" i="53"/>
  <c r="T23" i="53"/>
  <c r="AJ23" i="53"/>
  <c r="AK23" i="53"/>
  <c r="AL23" i="53"/>
  <c r="AM23" i="53"/>
  <c r="N24" i="53"/>
  <c r="T24" i="53"/>
  <c r="AJ24" i="53"/>
  <c r="AK24" i="53"/>
  <c r="AL24" i="53"/>
  <c r="AM24" i="53"/>
  <c r="N25" i="53"/>
  <c r="T25" i="53"/>
  <c r="AJ25" i="53"/>
  <c r="AK25" i="53"/>
  <c r="AL25" i="53"/>
  <c r="AM25" i="53"/>
  <c r="N26" i="53"/>
  <c r="T26" i="53"/>
  <c r="AJ26" i="53"/>
  <c r="AK26" i="53"/>
  <c r="AL26" i="53"/>
  <c r="AM26" i="53"/>
  <c r="N27" i="53"/>
  <c r="T27" i="53"/>
  <c r="AJ27" i="53"/>
  <c r="AK27" i="53"/>
  <c r="AL27" i="53"/>
  <c r="AM27" i="53"/>
  <c r="N28" i="53"/>
  <c r="T28" i="53"/>
  <c r="AJ28" i="53"/>
  <c r="AK28" i="53"/>
  <c r="AL28" i="53"/>
  <c r="AM28" i="53"/>
  <c r="N29" i="53"/>
  <c r="T29" i="53"/>
  <c r="AJ29" i="53"/>
  <c r="AK29" i="53"/>
  <c r="AL29" i="53"/>
  <c r="AM29" i="53"/>
  <c r="N30" i="53"/>
  <c r="T30" i="53"/>
  <c r="AJ30" i="53"/>
  <c r="AK30" i="53"/>
  <c r="AL30" i="53"/>
  <c r="AM30" i="53"/>
  <c r="N31" i="53"/>
  <c r="T31" i="53"/>
  <c r="AJ31" i="53"/>
  <c r="AK31" i="53"/>
  <c r="AL31" i="53"/>
  <c r="AM31" i="53"/>
  <c r="N32" i="53"/>
  <c r="T32" i="53"/>
  <c r="AJ32" i="53"/>
  <c r="AK32" i="53"/>
  <c r="AL32" i="53"/>
  <c r="AM32" i="53"/>
  <c r="N33" i="53"/>
  <c r="T33" i="53"/>
  <c r="AJ33" i="53"/>
  <c r="AK33" i="53"/>
  <c r="AL33" i="53"/>
  <c r="AM33" i="53"/>
  <c r="N34" i="53"/>
  <c r="T34" i="53"/>
  <c r="AJ34" i="53"/>
  <c r="AK34" i="53"/>
  <c r="AL34" i="53"/>
  <c r="AM34" i="53"/>
  <c r="N35" i="53"/>
  <c r="T35" i="53"/>
  <c r="AJ35" i="53"/>
  <c r="AK35" i="53"/>
  <c r="AL35" i="53"/>
  <c r="AM35" i="53"/>
  <c r="N36" i="53"/>
  <c r="T36" i="53"/>
  <c r="AJ36" i="53"/>
  <c r="AK36" i="53"/>
  <c r="AL36" i="53"/>
  <c r="AM36" i="53"/>
  <c r="N37" i="53"/>
  <c r="T37" i="53"/>
  <c r="AJ37" i="53"/>
  <c r="AK37" i="53"/>
  <c r="AL37" i="53"/>
  <c r="AM37" i="53"/>
  <c r="N38" i="53"/>
  <c r="T38" i="53"/>
  <c r="AJ38" i="53"/>
  <c r="AK38" i="53"/>
  <c r="AL38" i="53"/>
  <c r="AM38" i="53"/>
  <c r="N39" i="53"/>
  <c r="T39" i="53"/>
  <c r="AJ39" i="53"/>
  <c r="AK39" i="53"/>
  <c r="AL39" i="53"/>
  <c r="AM39" i="53"/>
  <c r="N40" i="53"/>
  <c r="T40" i="53"/>
  <c r="AJ40" i="53"/>
  <c r="AK40" i="53"/>
  <c r="AL40" i="53"/>
  <c r="AM40" i="53"/>
  <c r="N41" i="53"/>
  <c r="T41" i="53"/>
  <c r="AJ41" i="53"/>
  <c r="AK41" i="53"/>
  <c r="AL41" i="53"/>
  <c r="AM41" i="53"/>
  <c r="N42" i="53"/>
  <c r="T42" i="53"/>
  <c r="AJ42" i="53"/>
  <c r="AK42" i="53"/>
  <c r="AL42" i="53"/>
  <c r="AM42" i="53"/>
  <c r="N43" i="53"/>
  <c r="T43" i="53"/>
  <c r="AJ43" i="53"/>
  <c r="AK43" i="53"/>
  <c r="AL43" i="53"/>
  <c r="AM43" i="53"/>
  <c r="N44" i="53"/>
  <c r="T44" i="53"/>
  <c r="AJ44" i="53"/>
  <c r="AK44" i="53"/>
  <c r="AL44" i="53"/>
  <c r="AM44" i="53"/>
  <c r="N45" i="53"/>
  <c r="T45" i="53"/>
  <c r="AJ45" i="53"/>
  <c r="AK45" i="53"/>
  <c r="AL45" i="53"/>
  <c r="AM45" i="53"/>
  <c r="N46" i="53"/>
  <c r="T46" i="53"/>
  <c r="AJ46" i="53"/>
  <c r="AK46" i="53"/>
  <c r="AL46" i="53"/>
  <c r="AM46" i="53"/>
  <c r="N47" i="53"/>
  <c r="T47" i="53"/>
  <c r="AJ47" i="53"/>
  <c r="AK47" i="53"/>
  <c r="AL47" i="53"/>
  <c r="AM47" i="53"/>
  <c r="N48" i="53"/>
  <c r="T48" i="53"/>
  <c r="AJ48" i="53"/>
  <c r="AK48" i="53"/>
  <c r="AL48" i="53"/>
  <c r="AM48" i="53"/>
  <c r="N49" i="53"/>
  <c r="T49" i="53"/>
  <c r="AJ49" i="53"/>
  <c r="AK49" i="53"/>
  <c r="AL49" i="53"/>
  <c r="AM49" i="53"/>
  <c r="N50" i="53"/>
  <c r="T50" i="53"/>
  <c r="AJ50" i="53"/>
  <c r="AK50" i="53"/>
  <c r="AL50" i="53"/>
  <c r="AM50" i="53"/>
  <c r="N51" i="53"/>
  <c r="T51" i="53"/>
  <c r="AJ51" i="53"/>
  <c r="AK51" i="53"/>
  <c r="AL51" i="53"/>
  <c r="AM51" i="53"/>
  <c r="N52" i="53"/>
  <c r="T52" i="53"/>
  <c r="AJ52" i="53"/>
  <c r="AK52" i="53"/>
  <c r="AL52" i="53"/>
  <c r="AM52" i="53"/>
  <c r="N53" i="53"/>
  <c r="T53" i="53"/>
  <c r="AJ53" i="53"/>
  <c r="AK53" i="53"/>
  <c r="AL53" i="53"/>
  <c r="AM53" i="53"/>
  <c r="N54" i="53"/>
  <c r="T54" i="53"/>
  <c r="AJ54" i="53"/>
  <c r="AK54" i="53"/>
  <c r="AL54" i="53"/>
  <c r="AM54" i="53"/>
  <c r="N55" i="53"/>
  <c r="T55" i="53"/>
  <c r="AJ55" i="53"/>
  <c r="AK55" i="53"/>
  <c r="AL55" i="53"/>
  <c r="AM55" i="53"/>
  <c r="N57" i="53"/>
  <c r="T57" i="53"/>
  <c r="AJ57" i="53"/>
  <c r="AK57" i="53"/>
  <c r="AL57" i="53"/>
  <c r="AM57" i="53"/>
  <c r="N62" i="53"/>
  <c r="AE62" i="53"/>
  <c r="AF62" i="53"/>
  <c r="AJ62" i="53"/>
  <c r="AK62" i="53"/>
  <c r="N5" i="54"/>
  <c r="T5" i="54"/>
  <c r="AE5" i="54"/>
  <c r="AF5" i="54"/>
  <c r="AG5" i="54"/>
  <c r="AJ5" i="54"/>
  <c r="AK5" i="54"/>
  <c r="AL5" i="54"/>
  <c r="AM5" i="54"/>
  <c r="AO5" i="54"/>
  <c r="AP5" i="54"/>
  <c r="N6" i="54"/>
  <c r="T6" i="54"/>
  <c r="AE6" i="54"/>
  <c r="AF6" i="54"/>
  <c r="AG6" i="54"/>
  <c r="AJ6" i="54"/>
  <c r="AK6" i="54"/>
  <c r="AL6" i="54"/>
  <c r="AM6" i="54"/>
  <c r="AO6" i="54"/>
  <c r="AP6" i="54"/>
  <c r="N7" i="54"/>
  <c r="T7" i="54"/>
  <c r="AE7" i="54"/>
  <c r="AF7" i="54"/>
  <c r="AG7" i="54"/>
  <c r="AJ7" i="54"/>
  <c r="AK7" i="54"/>
  <c r="AL7" i="54"/>
  <c r="AM7" i="54"/>
  <c r="AO7" i="54"/>
  <c r="AP7" i="54"/>
  <c r="N8" i="54"/>
  <c r="T8" i="54"/>
  <c r="AE8" i="54"/>
  <c r="AF8" i="54"/>
  <c r="AG8" i="54"/>
  <c r="AJ8" i="54"/>
  <c r="AK8" i="54"/>
  <c r="AL8" i="54"/>
  <c r="AM8" i="54"/>
  <c r="AO8" i="54"/>
  <c r="AP8" i="54"/>
  <c r="N9" i="54"/>
  <c r="T9" i="54"/>
  <c r="AE9" i="54"/>
  <c r="AF9" i="54"/>
  <c r="AG9" i="54"/>
  <c r="AJ9" i="54"/>
  <c r="AK9" i="54"/>
  <c r="AL9" i="54"/>
  <c r="AM9" i="54"/>
  <c r="AO9" i="54"/>
  <c r="AP9" i="54"/>
  <c r="N10" i="54"/>
  <c r="T10" i="54"/>
  <c r="AE10" i="54"/>
  <c r="AF10" i="54"/>
  <c r="AG10" i="54"/>
  <c r="AJ10" i="54"/>
  <c r="AK10" i="54"/>
  <c r="AL10" i="54"/>
  <c r="AM10" i="54"/>
  <c r="AO10" i="54"/>
  <c r="AP10" i="54"/>
  <c r="N11" i="54"/>
  <c r="T11" i="54"/>
  <c r="AE11" i="54"/>
  <c r="AF11" i="54"/>
  <c r="AG11" i="54"/>
  <c r="AJ11" i="54"/>
  <c r="AK11" i="54"/>
  <c r="AL11" i="54"/>
  <c r="AM11" i="54"/>
  <c r="AO11" i="54"/>
  <c r="AP11" i="54"/>
  <c r="N12" i="54"/>
  <c r="T12" i="54"/>
  <c r="AE12" i="54"/>
  <c r="AF12" i="54"/>
  <c r="AG12" i="54"/>
  <c r="AJ12" i="54"/>
  <c r="AK12" i="54"/>
  <c r="AL12" i="54"/>
  <c r="AM12" i="54"/>
  <c r="AO12" i="54"/>
  <c r="AP12" i="54"/>
  <c r="N13" i="54"/>
  <c r="T13" i="54"/>
  <c r="AE13" i="54"/>
  <c r="AF13" i="54"/>
  <c r="AG13" i="54"/>
  <c r="AJ13" i="54"/>
  <c r="AK13" i="54"/>
  <c r="AL13" i="54"/>
  <c r="AM13" i="54"/>
  <c r="AO13" i="54"/>
  <c r="AP13" i="54"/>
  <c r="N14" i="54"/>
  <c r="T14" i="54"/>
  <c r="AE14" i="54"/>
  <c r="AF14" i="54"/>
  <c r="AG14" i="54"/>
  <c r="AJ14" i="54"/>
  <c r="AK14" i="54"/>
  <c r="AL14" i="54"/>
  <c r="AM14" i="54"/>
  <c r="AO14" i="54"/>
  <c r="AP14" i="54"/>
  <c r="N15" i="54"/>
  <c r="T15" i="54"/>
  <c r="AE15" i="54"/>
  <c r="AF15" i="54"/>
  <c r="AG15" i="54"/>
  <c r="AJ15" i="54"/>
  <c r="AK15" i="54"/>
  <c r="AL15" i="54"/>
  <c r="AM15" i="54"/>
  <c r="AO15" i="54"/>
  <c r="AP15" i="54"/>
  <c r="N16" i="54"/>
  <c r="T16" i="54"/>
  <c r="AE16" i="54"/>
  <c r="AF16" i="54"/>
  <c r="AG16" i="54"/>
  <c r="AJ16" i="54"/>
  <c r="AK16" i="54"/>
  <c r="AL16" i="54"/>
  <c r="AM16" i="54"/>
  <c r="AO16" i="54"/>
  <c r="AP16" i="54"/>
  <c r="N17" i="54"/>
  <c r="T17" i="54"/>
  <c r="AE17" i="54"/>
  <c r="AF17" i="54"/>
  <c r="AG17" i="54"/>
  <c r="AJ17" i="54"/>
  <c r="AK17" i="54"/>
  <c r="AL17" i="54"/>
  <c r="AM17" i="54"/>
  <c r="AO17" i="54"/>
  <c r="AP17" i="54"/>
  <c r="N18" i="54"/>
  <c r="T18" i="54"/>
  <c r="AE18" i="54"/>
  <c r="AF18" i="54"/>
  <c r="AG18" i="54"/>
  <c r="AJ18" i="54"/>
  <c r="AK18" i="54"/>
  <c r="AL18" i="54"/>
  <c r="AM18" i="54"/>
  <c r="AO18" i="54"/>
  <c r="AP18" i="54"/>
  <c r="N19" i="54"/>
  <c r="T19" i="54"/>
  <c r="AE19" i="54"/>
  <c r="AF19" i="54"/>
  <c r="AG19" i="54"/>
  <c r="AJ19" i="54"/>
  <c r="AK19" i="54"/>
  <c r="AL19" i="54"/>
  <c r="AM19" i="54"/>
  <c r="AO19" i="54"/>
  <c r="AP19" i="54"/>
  <c r="N20" i="54"/>
  <c r="T20" i="54"/>
  <c r="AE20" i="54"/>
  <c r="AF20" i="54"/>
  <c r="AG20" i="54"/>
  <c r="AJ20" i="54"/>
  <c r="AK20" i="54"/>
  <c r="AL20" i="54"/>
  <c r="AM20" i="54"/>
  <c r="AO20" i="54"/>
  <c r="AP20" i="54"/>
  <c r="N21" i="54"/>
  <c r="T21" i="54"/>
  <c r="AE21" i="54"/>
  <c r="AF21" i="54"/>
  <c r="AG21" i="54"/>
  <c r="AJ21" i="54"/>
  <c r="AK21" i="54"/>
  <c r="AL21" i="54"/>
  <c r="AM21" i="54"/>
  <c r="AO21" i="54"/>
  <c r="AP21" i="54"/>
  <c r="N22" i="54"/>
  <c r="T22" i="54"/>
  <c r="AE22" i="54"/>
  <c r="AF22" i="54"/>
  <c r="AG22" i="54"/>
  <c r="AJ22" i="54"/>
  <c r="AK22" i="54"/>
  <c r="AL22" i="54"/>
  <c r="AM22" i="54"/>
  <c r="AO22" i="54"/>
  <c r="AP22" i="54"/>
  <c r="N23" i="54"/>
  <c r="T23" i="54"/>
  <c r="AE23" i="54"/>
  <c r="AF23" i="54"/>
  <c r="AG23" i="54"/>
  <c r="AJ23" i="54"/>
  <c r="AK23" i="54"/>
  <c r="AL23" i="54"/>
  <c r="AM23" i="54"/>
  <c r="AO23" i="54"/>
  <c r="AP23" i="54"/>
  <c r="N24" i="54"/>
  <c r="T24" i="54"/>
  <c r="AE24" i="54"/>
  <c r="AF24" i="54"/>
  <c r="AG24" i="54"/>
  <c r="AJ24" i="54"/>
  <c r="AK24" i="54"/>
  <c r="AL24" i="54"/>
  <c r="AM24" i="54"/>
  <c r="AO24" i="54"/>
  <c r="AP24" i="54"/>
  <c r="N25" i="54"/>
  <c r="T25" i="54"/>
  <c r="AE25" i="54"/>
  <c r="AF25" i="54"/>
  <c r="AG25" i="54"/>
  <c r="AJ25" i="54"/>
  <c r="AK25" i="54"/>
  <c r="AL25" i="54"/>
  <c r="AM25" i="54"/>
  <c r="AO25" i="54"/>
  <c r="AP25" i="54"/>
  <c r="N26" i="54"/>
  <c r="T26" i="54"/>
  <c r="AE26" i="54"/>
  <c r="AF26" i="54"/>
  <c r="AG26" i="54"/>
  <c r="AJ26" i="54"/>
  <c r="AK26" i="54"/>
  <c r="AL26" i="54"/>
  <c r="AM26" i="54"/>
  <c r="AO26" i="54"/>
  <c r="AP26" i="54"/>
  <c r="N27" i="54"/>
  <c r="T27" i="54"/>
  <c r="AE27" i="54"/>
  <c r="AF27" i="54"/>
  <c r="AG27" i="54"/>
  <c r="AJ27" i="54"/>
  <c r="AK27" i="54"/>
  <c r="AL27" i="54"/>
  <c r="AM27" i="54"/>
  <c r="AO27" i="54"/>
  <c r="AP27" i="54"/>
  <c r="N28" i="54"/>
  <c r="T28" i="54"/>
  <c r="AE28" i="54"/>
  <c r="AF28" i="54"/>
  <c r="AG28" i="54"/>
  <c r="AJ28" i="54"/>
  <c r="AK28" i="54"/>
  <c r="AL28" i="54"/>
  <c r="AM28" i="54"/>
  <c r="AO28" i="54"/>
  <c r="AP28" i="54"/>
  <c r="N29" i="54"/>
  <c r="T29" i="54"/>
  <c r="AE29" i="54"/>
  <c r="AF29" i="54"/>
  <c r="AG29" i="54"/>
  <c r="AJ29" i="54"/>
  <c r="AK29" i="54"/>
  <c r="AL29" i="54"/>
  <c r="AM29" i="54"/>
  <c r="AO29" i="54"/>
  <c r="AP29" i="54"/>
  <c r="N30" i="54"/>
  <c r="T30" i="54"/>
  <c r="AE30" i="54"/>
  <c r="AF30" i="54"/>
  <c r="AG30" i="54"/>
  <c r="AJ30" i="54"/>
  <c r="AK30" i="54"/>
  <c r="AL30" i="54"/>
  <c r="AM30" i="54"/>
  <c r="AO30" i="54"/>
  <c r="AP30" i="54"/>
  <c r="N31" i="54"/>
  <c r="T31" i="54"/>
  <c r="AE31" i="54"/>
  <c r="AF31" i="54"/>
  <c r="AG31" i="54"/>
  <c r="AJ31" i="54"/>
  <c r="AK31" i="54"/>
  <c r="AL31" i="54"/>
  <c r="AM31" i="54"/>
  <c r="AO31" i="54"/>
  <c r="AP31" i="54"/>
  <c r="N32" i="54"/>
  <c r="T32" i="54"/>
  <c r="AE32" i="54"/>
  <c r="AF32" i="54"/>
  <c r="AG32" i="54"/>
  <c r="AJ32" i="54"/>
  <c r="AK32" i="54"/>
  <c r="AL32" i="54"/>
  <c r="AM32" i="54"/>
  <c r="AO32" i="54"/>
  <c r="AP32" i="54"/>
  <c r="N33" i="54"/>
  <c r="T33" i="54"/>
  <c r="AE33" i="54"/>
  <c r="AF33" i="54"/>
  <c r="AG33" i="54"/>
  <c r="AJ33" i="54"/>
  <c r="AK33" i="54"/>
  <c r="AL33" i="54"/>
  <c r="AM33" i="54"/>
  <c r="AO33" i="54"/>
  <c r="AP33" i="54"/>
  <c r="N34" i="54"/>
  <c r="T34" i="54"/>
  <c r="AE34" i="54"/>
  <c r="AF34" i="54"/>
  <c r="AG34" i="54"/>
  <c r="AJ34" i="54"/>
  <c r="AK34" i="54"/>
  <c r="AL34" i="54"/>
  <c r="AM34" i="54"/>
  <c r="AO34" i="54"/>
  <c r="AP34" i="54"/>
  <c r="N35" i="54"/>
  <c r="T35" i="54"/>
  <c r="AE35" i="54"/>
  <c r="AF35" i="54"/>
  <c r="AG35" i="54"/>
  <c r="AJ35" i="54"/>
  <c r="AK35" i="54"/>
  <c r="AL35" i="54"/>
  <c r="AM35" i="54"/>
  <c r="AO35" i="54"/>
  <c r="AP35" i="54"/>
  <c r="N36" i="54"/>
  <c r="T36" i="54"/>
  <c r="AE36" i="54"/>
  <c r="AF36" i="54"/>
  <c r="AG36" i="54"/>
  <c r="AJ36" i="54"/>
  <c r="AK36" i="54"/>
  <c r="AL36" i="54"/>
  <c r="AM36" i="54"/>
  <c r="AO36" i="54"/>
  <c r="AP36" i="54"/>
  <c r="N37" i="54"/>
  <c r="T37" i="54"/>
  <c r="AE37" i="54"/>
  <c r="AF37" i="54"/>
  <c r="AG37" i="54"/>
  <c r="AJ37" i="54"/>
  <c r="AK37" i="54"/>
  <c r="AL37" i="54"/>
  <c r="AM37" i="54"/>
  <c r="AO37" i="54"/>
  <c r="AP37" i="54"/>
  <c r="N38" i="54"/>
  <c r="T38" i="54"/>
  <c r="AE38" i="54"/>
  <c r="AF38" i="54"/>
  <c r="AG38" i="54"/>
  <c r="AJ38" i="54"/>
  <c r="AK38" i="54"/>
  <c r="AL38" i="54"/>
  <c r="AM38" i="54"/>
  <c r="AO38" i="54"/>
  <c r="AP38" i="54"/>
  <c r="N39" i="54"/>
  <c r="T39" i="54"/>
  <c r="AE39" i="54"/>
  <c r="AF39" i="54"/>
  <c r="AG39" i="54"/>
  <c r="AJ39" i="54"/>
  <c r="AK39" i="54"/>
  <c r="AL39" i="54"/>
  <c r="AM39" i="54"/>
  <c r="AO39" i="54"/>
  <c r="AP39" i="54"/>
  <c r="N40" i="54"/>
  <c r="T40" i="54"/>
  <c r="AE40" i="54"/>
  <c r="AF40" i="54"/>
  <c r="AG40" i="54"/>
  <c r="AJ40" i="54"/>
  <c r="AK40" i="54"/>
  <c r="AL40" i="54"/>
  <c r="AM40" i="54"/>
  <c r="AO40" i="54"/>
  <c r="AP40" i="54"/>
  <c r="N41" i="54"/>
  <c r="T41" i="54"/>
  <c r="AE41" i="54"/>
  <c r="AF41" i="54"/>
  <c r="AG41" i="54"/>
  <c r="AJ41" i="54"/>
  <c r="AK41" i="54"/>
  <c r="AL41" i="54"/>
  <c r="AM41" i="54"/>
  <c r="AO41" i="54"/>
  <c r="AP41" i="54"/>
  <c r="N42" i="54"/>
  <c r="T42" i="54"/>
  <c r="AE42" i="54"/>
  <c r="AF42" i="54"/>
  <c r="AG42" i="54"/>
  <c r="AJ42" i="54"/>
  <c r="AK42" i="54"/>
  <c r="AL42" i="54"/>
  <c r="AM42" i="54"/>
  <c r="AO42" i="54"/>
  <c r="AP42" i="54"/>
  <c r="N43" i="54"/>
  <c r="T43" i="54"/>
  <c r="AE43" i="54"/>
  <c r="AF43" i="54"/>
  <c r="AG43" i="54"/>
  <c r="AJ43" i="54"/>
  <c r="AK43" i="54"/>
  <c r="AL43" i="54"/>
  <c r="AM43" i="54"/>
  <c r="AO43" i="54"/>
  <c r="AP43" i="54"/>
  <c r="N44" i="54"/>
  <c r="T44" i="54"/>
  <c r="AE44" i="54"/>
  <c r="AF44" i="54"/>
  <c r="AG44" i="54"/>
  <c r="AJ44" i="54"/>
  <c r="AK44" i="54"/>
  <c r="AL44" i="54"/>
  <c r="AM44" i="54"/>
  <c r="AO44" i="54"/>
  <c r="AP44" i="54"/>
  <c r="N45" i="54"/>
  <c r="T45" i="54"/>
  <c r="AE45" i="54"/>
  <c r="AF45" i="54"/>
  <c r="AG45" i="54"/>
  <c r="AJ45" i="54"/>
  <c r="AK45" i="54"/>
  <c r="AL45" i="54"/>
  <c r="AM45" i="54"/>
  <c r="AO45" i="54"/>
  <c r="AP45" i="54"/>
  <c r="N46" i="54"/>
  <c r="T46" i="54"/>
  <c r="AE46" i="54"/>
  <c r="AF46" i="54"/>
  <c r="AG46" i="54"/>
  <c r="AJ46" i="54"/>
  <c r="AK46" i="54"/>
  <c r="AL46" i="54"/>
  <c r="AM46" i="54"/>
  <c r="AO46" i="54"/>
  <c r="AP46" i="54"/>
  <c r="N47" i="54"/>
  <c r="T47" i="54"/>
  <c r="AE47" i="54"/>
  <c r="AF47" i="54"/>
  <c r="AG47" i="54"/>
  <c r="AJ47" i="54"/>
  <c r="AK47" i="54"/>
  <c r="AL47" i="54"/>
  <c r="AM47" i="54"/>
  <c r="AO47" i="54"/>
  <c r="AP47" i="54"/>
  <c r="N48" i="54"/>
  <c r="T48" i="54"/>
  <c r="AE48" i="54"/>
  <c r="AF48" i="54"/>
  <c r="AG48" i="54"/>
  <c r="AJ48" i="54"/>
  <c r="AK48" i="54"/>
  <c r="AL48" i="54"/>
  <c r="AM48" i="54"/>
  <c r="AO48" i="54"/>
  <c r="AP48" i="54"/>
  <c r="N49" i="54"/>
  <c r="T49" i="54"/>
  <c r="AE49" i="54"/>
  <c r="AF49" i="54"/>
  <c r="AG49" i="54"/>
  <c r="AJ49" i="54"/>
  <c r="AK49" i="54"/>
  <c r="AL49" i="54"/>
  <c r="AM49" i="54"/>
  <c r="AO49" i="54"/>
  <c r="AP49" i="54"/>
  <c r="N50" i="54"/>
  <c r="T50" i="54"/>
  <c r="AE50" i="54"/>
  <c r="AF50" i="54"/>
  <c r="AG50" i="54"/>
  <c r="AJ50" i="54"/>
  <c r="AK50" i="54"/>
  <c r="AL50" i="54"/>
  <c r="AM50" i="54"/>
  <c r="AO50" i="54"/>
  <c r="AP50" i="54"/>
  <c r="N51" i="54"/>
  <c r="T51" i="54"/>
  <c r="AE51" i="54"/>
  <c r="AF51" i="54"/>
  <c r="AG51" i="54"/>
  <c r="AJ51" i="54"/>
  <c r="AK51" i="54"/>
  <c r="AL51" i="54"/>
  <c r="AM51" i="54"/>
  <c r="AO51" i="54"/>
  <c r="AP51" i="54"/>
  <c r="N52" i="54"/>
  <c r="T52" i="54"/>
  <c r="AE52" i="54"/>
  <c r="AF52" i="54"/>
  <c r="AG52" i="54"/>
  <c r="AJ52" i="54"/>
  <c r="AK52" i="54"/>
  <c r="AL52" i="54"/>
  <c r="AM52" i="54"/>
  <c r="AO52" i="54"/>
  <c r="AP52" i="54"/>
  <c r="N53" i="54"/>
  <c r="T53" i="54"/>
  <c r="AE53" i="54"/>
  <c r="AF53" i="54"/>
  <c r="AG53" i="54"/>
  <c r="AJ53" i="54"/>
  <c r="AK53" i="54"/>
  <c r="AL53" i="54"/>
  <c r="AM53" i="54"/>
  <c r="AO53" i="54"/>
  <c r="AP53" i="54"/>
  <c r="N54" i="54"/>
  <c r="T54" i="54"/>
  <c r="AE54" i="54"/>
  <c r="AF54" i="54"/>
  <c r="AG54" i="54"/>
  <c r="AJ54" i="54"/>
  <c r="AK54" i="54"/>
  <c r="AL54" i="54"/>
  <c r="AM54" i="54"/>
  <c r="AO54" i="54"/>
  <c r="AP54" i="54"/>
  <c r="N55" i="54"/>
  <c r="T55" i="54"/>
  <c r="AE55" i="54"/>
  <c r="AF55" i="54"/>
  <c r="AG55" i="54"/>
  <c r="AJ55" i="54"/>
  <c r="AK55" i="54"/>
  <c r="AL55" i="54"/>
  <c r="AM55" i="54"/>
  <c r="AO55" i="54"/>
  <c r="AP55" i="54"/>
  <c r="N57" i="54"/>
  <c r="T57" i="54"/>
  <c r="AE57" i="54"/>
  <c r="AF57" i="54"/>
  <c r="AG57" i="54"/>
  <c r="AJ57" i="54"/>
  <c r="AK57" i="54"/>
  <c r="AL57" i="54"/>
  <c r="AM57" i="54"/>
  <c r="AO57" i="54"/>
  <c r="AP57" i="54"/>
  <c r="AO59" i="54"/>
  <c r="AP59" i="54"/>
  <c r="AE62" i="54"/>
  <c r="AF62" i="54"/>
  <c r="N5" i="55"/>
  <c r="T5" i="55"/>
  <c r="AE5" i="55"/>
  <c r="AF5" i="55"/>
  <c r="AG5" i="55"/>
  <c r="AJ5" i="55"/>
  <c r="AK5" i="55"/>
  <c r="AL5" i="55"/>
  <c r="AM5" i="55"/>
  <c r="AO5" i="55"/>
  <c r="AP5" i="55"/>
  <c r="N6" i="55"/>
  <c r="T6" i="55"/>
  <c r="AE6" i="55"/>
  <c r="AF6" i="55"/>
  <c r="AG6" i="55"/>
  <c r="AJ6" i="55"/>
  <c r="AK6" i="55"/>
  <c r="AL6" i="55"/>
  <c r="AM6" i="55"/>
  <c r="AO6" i="55"/>
  <c r="AP6" i="55"/>
  <c r="N7" i="55"/>
  <c r="T7" i="55"/>
  <c r="AE7" i="55"/>
  <c r="AF7" i="55"/>
  <c r="AG7" i="55"/>
  <c r="AJ7" i="55"/>
  <c r="AK7" i="55"/>
  <c r="AL7" i="55"/>
  <c r="AM7" i="55"/>
  <c r="AO7" i="55"/>
  <c r="AP7" i="55"/>
  <c r="N8" i="55"/>
  <c r="T8" i="55"/>
  <c r="AE8" i="55"/>
  <c r="AF8" i="55"/>
  <c r="AG8" i="55"/>
  <c r="AJ8" i="55"/>
  <c r="AK8" i="55"/>
  <c r="AL8" i="55"/>
  <c r="AM8" i="55"/>
  <c r="AO8" i="55"/>
  <c r="AP8" i="55"/>
  <c r="N9" i="55"/>
  <c r="T9" i="55"/>
  <c r="AE9" i="55"/>
  <c r="AF9" i="55"/>
  <c r="AG9" i="55"/>
  <c r="AJ9" i="55"/>
  <c r="AK9" i="55"/>
  <c r="AL9" i="55"/>
  <c r="AM9" i="55"/>
  <c r="AO9" i="55"/>
  <c r="AP9" i="55"/>
  <c r="N10" i="55"/>
  <c r="T10" i="55"/>
  <c r="AE10" i="55"/>
  <c r="AF10" i="55"/>
  <c r="AG10" i="55"/>
  <c r="AJ10" i="55"/>
  <c r="AK10" i="55"/>
  <c r="AL10" i="55"/>
  <c r="AM10" i="55"/>
  <c r="AO10" i="55"/>
  <c r="AP10" i="55"/>
  <c r="N11" i="55"/>
  <c r="T11" i="55"/>
  <c r="AE11" i="55"/>
  <c r="AF11" i="55"/>
  <c r="AG11" i="55"/>
  <c r="AJ11" i="55"/>
  <c r="AK11" i="55"/>
  <c r="AL11" i="55"/>
  <c r="AM11" i="55"/>
  <c r="AO11" i="55"/>
  <c r="AP11" i="55"/>
  <c r="N12" i="55"/>
  <c r="T12" i="55"/>
  <c r="AE12" i="55"/>
  <c r="AF12" i="55"/>
  <c r="AG12" i="55"/>
  <c r="AJ12" i="55"/>
  <c r="AK12" i="55"/>
  <c r="AL12" i="55"/>
  <c r="AM12" i="55"/>
  <c r="AO12" i="55"/>
  <c r="AP12" i="55"/>
  <c r="N13" i="55"/>
  <c r="T13" i="55"/>
  <c r="AE13" i="55"/>
  <c r="AF13" i="55"/>
  <c r="AG13" i="55"/>
  <c r="AJ13" i="55"/>
  <c r="AK13" i="55"/>
  <c r="AL13" i="55"/>
  <c r="AM13" i="55"/>
  <c r="AO13" i="55"/>
  <c r="AP13" i="55"/>
  <c r="N14" i="55"/>
  <c r="T14" i="55"/>
  <c r="AE14" i="55"/>
  <c r="AF14" i="55"/>
  <c r="AG14" i="55"/>
  <c r="AJ14" i="55"/>
  <c r="AK14" i="55"/>
  <c r="AL14" i="55"/>
  <c r="AM14" i="55"/>
  <c r="AO14" i="55"/>
  <c r="AP14" i="55"/>
  <c r="N15" i="55"/>
  <c r="T15" i="55"/>
  <c r="AE15" i="55"/>
  <c r="AF15" i="55"/>
  <c r="AG15" i="55"/>
  <c r="AJ15" i="55"/>
  <c r="AK15" i="55"/>
  <c r="AL15" i="55"/>
  <c r="AM15" i="55"/>
  <c r="AO15" i="55"/>
  <c r="AP15" i="55"/>
  <c r="N16" i="55"/>
  <c r="T16" i="55"/>
  <c r="AE16" i="55"/>
  <c r="AF16" i="55"/>
  <c r="AG16" i="55"/>
  <c r="AJ16" i="55"/>
  <c r="AK16" i="55"/>
  <c r="AL16" i="55"/>
  <c r="AM16" i="55"/>
  <c r="AO16" i="55"/>
  <c r="AP16" i="55"/>
  <c r="N17" i="55"/>
  <c r="T17" i="55"/>
  <c r="AE17" i="55"/>
  <c r="AF17" i="55"/>
  <c r="AG17" i="55"/>
  <c r="AJ17" i="55"/>
  <c r="AK17" i="55"/>
  <c r="AL17" i="55"/>
  <c r="AM17" i="55"/>
  <c r="AO17" i="55"/>
  <c r="AP17" i="55"/>
  <c r="N18" i="55"/>
  <c r="T18" i="55"/>
  <c r="AE18" i="55"/>
  <c r="AF18" i="55"/>
  <c r="AG18" i="55"/>
  <c r="AJ18" i="55"/>
  <c r="AK18" i="55"/>
  <c r="AL18" i="55"/>
  <c r="AM18" i="55"/>
  <c r="AO18" i="55"/>
  <c r="AP18" i="55"/>
  <c r="N19" i="55"/>
  <c r="T19" i="55"/>
  <c r="AE19" i="55"/>
  <c r="AF19" i="55"/>
  <c r="AG19" i="55"/>
  <c r="AJ19" i="55"/>
  <c r="AK19" i="55"/>
  <c r="AL19" i="55"/>
  <c r="AM19" i="55"/>
  <c r="AO19" i="55"/>
  <c r="AP19" i="55"/>
  <c r="N20" i="55"/>
  <c r="T20" i="55"/>
  <c r="AE20" i="55"/>
  <c r="AF20" i="55"/>
  <c r="AG20" i="55"/>
  <c r="AJ20" i="55"/>
  <c r="AK20" i="55"/>
  <c r="AL20" i="55"/>
  <c r="AM20" i="55"/>
  <c r="AO20" i="55"/>
  <c r="AP20" i="55"/>
  <c r="N21" i="55"/>
  <c r="T21" i="55"/>
  <c r="AE21" i="55"/>
  <c r="AF21" i="55"/>
  <c r="AG21" i="55"/>
  <c r="AJ21" i="55"/>
  <c r="AK21" i="55"/>
  <c r="AL21" i="55"/>
  <c r="AM21" i="55"/>
  <c r="AO21" i="55"/>
  <c r="AP21" i="55"/>
  <c r="N22" i="55"/>
  <c r="T22" i="55"/>
  <c r="AE22" i="55"/>
  <c r="AF22" i="55"/>
  <c r="AG22" i="55"/>
  <c r="AJ22" i="55"/>
  <c r="AK22" i="55"/>
  <c r="AL22" i="55"/>
  <c r="AM22" i="55"/>
  <c r="AO22" i="55"/>
  <c r="AP22" i="55"/>
  <c r="N23" i="55"/>
  <c r="T23" i="55"/>
  <c r="AE23" i="55"/>
  <c r="AF23" i="55"/>
  <c r="AG23" i="55"/>
  <c r="AJ23" i="55"/>
  <c r="AK23" i="55"/>
  <c r="AL23" i="55"/>
  <c r="AM23" i="55"/>
  <c r="AO23" i="55"/>
  <c r="AP23" i="55"/>
  <c r="N24" i="55"/>
  <c r="T24" i="55"/>
  <c r="AE24" i="55"/>
  <c r="AF24" i="55"/>
  <c r="AG24" i="55"/>
  <c r="AJ24" i="55"/>
  <c r="AK24" i="55"/>
  <c r="AL24" i="55"/>
  <c r="AM24" i="55"/>
  <c r="AO24" i="55"/>
  <c r="AP24" i="55"/>
  <c r="N25" i="55"/>
  <c r="T25" i="55"/>
  <c r="AE25" i="55"/>
  <c r="AF25" i="55"/>
  <c r="AG25" i="55"/>
  <c r="AJ25" i="55"/>
  <c r="AK25" i="55"/>
  <c r="AL25" i="55"/>
  <c r="AM25" i="55"/>
  <c r="AO25" i="55"/>
  <c r="AP25" i="55"/>
  <c r="N26" i="55"/>
  <c r="T26" i="55"/>
  <c r="AE26" i="55"/>
  <c r="AF26" i="55"/>
  <c r="AG26" i="55"/>
  <c r="AJ26" i="55"/>
  <c r="AK26" i="55"/>
  <c r="AL26" i="55"/>
  <c r="AM26" i="55"/>
  <c r="AO26" i="55"/>
  <c r="AP26" i="55"/>
  <c r="N27" i="55"/>
  <c r="T27" i="55"/>
  <c r="AE27" i="55"/>
  <c r="AF27" i="55"/>
  <c r="AG27" i="55"/>
  <c r="AJ27" i="55"/>
  <c r="AK27" i="55"/>
  <c r="AL27" i="55"/>
  <c r="AM27" i="55"/>
  <c r="AO27" i="55"/>
  <c r="AP27" i="55"/>
  <c r="N28" i="55"/>
  <c r="T28" i="55"/>
  <c r="AE28" i="55"/>
  <c r="AF28" i="55"/>
  <c r="AG28" i="55"/>
  <c r="AJ28" i="55"/>
  <c r="AK28" i="55"/>
  <c r="AL28" i="55"/>
  <c r="AM28" i="55"/>
  <c r="AO28" i="55"/>
  <c r="AP28" i="55"/>
  <c r="N29" i="55"/>
  <c r="T29" i="55"/>
  <c r="AE29" i="55"/>
  <c r="AF29" i="55"/>
  <c r="AG29" i="55"/>
  <c r="AJ29" i="55"/>
  <c r="AK29" i="55"/>
  <c r="AL29" i="55"/>
  <c r="AM29" i="55"/>
  <c r="AO29" i="55"/>
  <c r="AP29" i="55"/>
  <c r="N30" i="55"/>
  <c r="T30" i="55"/>
  <c r="AE30" i="55"/>
  <c r="AF30" i="55"/>
  <c r="AG30" i="55"/>
  <c r="AJ30" i="55"/>
  <c r="AK30" i="55"/>
  <c r="AL30" i="55"/>
  <c r="AM30" i="55"/>
  <c r="AO30" i="55"/>
  <c r="AP30" i="55"/>
  <c r="N31" i="55"/>
  <c r="T31" i="55"/>
  <c r="AE31" i="55"/>
  <c r="AF31" i="55"/>
  <c r="AG31" i="55"/>
  <c r="AJ31" i="55"/>
  <c r="AK31" i="55"/>
  <c r="AL31" i="55"/>
  <c r="AM31" i="55"/>
  <c r="AO31" i="55"/>
  <c r="AP31" i="55"/>
  <c r="N32" i="55"/>
  <c r="T32" i="55"/>
  <c r="AE32" i="55"/>
  <c r="AF32" i="55"/>
  <c r="AG32" i="55"/>
  <c r="AJ32" i="55"/>
  <c r="AK32" i="55"/>
  <c r="AL32" i="55"/>
  <c r="AM32" i="55"/>
  <c r="AO32" i="55"/>
  <c r="AP32" i="55"/>
  <c r="N33" i="55"/>
  <c r="T33" i="55"/>
  <c r="AE33" i="55"/>
  <c r="AF33" i="55"/>
  <c r="AG33" i="55"/>
  <c r="AJ33" i="55"/>
  <c r="AK33" i="55"/>
  <c r="AL33" i="55"/>
  <c r="AM33" i="55"/>
  <c r="AO33" i="55"/>
  <c r="AP33" i="55"/>
  <c r="N34" i="55"/>
  <c r="T34" i="55"/>
  <c r="AE34" i="55"/>
  <c r="AF34" i="55"/>
  <c r="AG34" i="55"/>
  <c r="AJ34" i="55"/>
  <c r="AK34" i="55"/>
  <c r="AL34" i="55"/>
  <c r="AM34" i="55"/>
  <c r="AO34" i="55"/>
  <c r="AP34" i="55"/>
  <c r="N35" i="55"/>
  <c r="T35" i="55"/>
  <c r="AE35" i="55"/>
  <c r="AF35" i="55"/>
  <c r="AG35" i="55"/>
  <c r="AJ35" i="55"/>
  <c r="AK35" i="55"/>
  <c r="AL35" i="55"/>
  <c r="AM35" i="55"/>
  <c r="AO35" i="55"/>
  <c r="AP35" i="55"/>
  <c r="N36" i="55"/>
  <c r="T36" i="55"/>
  <c r="AE36" i="55"/>
  <c r="AF36" i="55"/>
  <c r="AG36" i="55"/>
  <c r="AJ36" i="55"/>
  <c r="AK36" i="55"/>
  <c r="AL36" i="55"/>
  <c r="AM36" i="55"/>
  <c r="AO36" i="55"/>
  <c r="AP36" i="55"/>
  <c r="N37" i="55"/>
  <c r="T37" i="55"/>
  <c r="AE37" i="55"/>
  <c r="AF37" i="55"/>
  <c r="AG37" i="55"/>
  <c r="AJ37" i="55"/>
  <c r="AK37" i="55"/>
  <c r="AL37" i="55"/>
  <c r="AM37" i="55"/>
  <c r="AO37" i="55"/>
  <c r="AP37" i="55"/>
  <c r="N38" i="55"/>
  <c r="T38" i="55"/>
  <c r="AE38" i="55"/>
  <c r="AF38" i="55"/>
  <c r="AG38" i="55"/>
  <c r="AJ38" i="55"/>
  <c r="AK38" i="55"/>
  <c r="AL38" i="55"/>
  <c r="AM38" i="55"/>
  <c r="AO38" i="55"/>
  <c r="AP38" i="55"/>
  <c r="N39" i="55"/>
  <c r="T39" i="55"/>
  <c r="AE39" i="55"/>
  <c r="AF39" i="55"/>
  <c r="AG39" i="55"/>
  <c r="AJ39" i="55"/>
  <c r="AK39" i="55"/>
  <c r="AL39" i="55"/>
  <c r="AM39" i="55"/>
  <c r="AO39" i="55"/>
  <c r="AP39" i="55"/>
  <c r="N40" i="55"/>
  <c r="T40" i="55"/>
  <c r="AE40" i="55"/>
  <c r="AF40" i="55"/>
  <c r="AG40" i="55"/>
  <c r="AJ40" i="55"/>
  <c r="AK40" i="55"/>
  <c r="AL40" i="55"/>
  <c r="AM40" i="55"/>
  <c r="AO40" i="55"/>
  <c r="AP40" i="55"/>
  <c r="N41" i="55"/>
  <c r="T41" i="55"/>
  <c r="AE41" i="55"/>
  <c r="AF41" i="55"/>
  <c r="AG41" i="55"/>
  <c r="AJ41" i="55"/>
  <c r="AK41" i="55"/>
  <c r="AL41" i="55"/>
  <c r="AM41" i="55"/>
  <c r="AO41" i="55"/>
  <c r="AP41" i="55"/>
  <c r="N42" i="55"/>
  <c r="T42" i="55"/>
  <c r="AE42" i="55"/>
  <c r="AF42" i="55"/>
  <c r="AG42" i="55"/>
  <c r="AJ42" i="55"/>
  <c r="AK42" i="55"/>
  <c r="AL42" i="55"/>
  <c r="AM42" i="55"/>
  <c r="AO42" i="55"/>
  <c r="AP42" i="55"/>
  <c r="N43" i="55"/>
  <c r="T43" i="55"/>
  <c r="AE43" i="55"/>
  <c r="AF43" i="55"/>
  <c r="AG43" i="55"/>
  <c r="AJ43" i="55"/>
  <c r="AK43" i="55"/>
  <c r="AL43" i="55"/>
  <c r="AM43" i="55"/>
  <c r="AO43" i="55"/>
  <c r="AP43" i="55"/>
  <c r="N44" i="55"/>
  <c r="T44" i="55"/>
  <c r="AE44" i="55"/>
  <c r="AF44" i="55"/>
  <c r="AG44" i="55"/>
  <c r="AJ44" i="55"/>
  <c r="AK44" i="55"/>
  <c r="AL44" i="55"/>
  <c r="AM44" i="55"/>
  <c r="AO44" i="55"/>
  <c r="AP44" i="55"/>
  <c r="N45" i="55"/>
  <c r="T45" i="55"/>
  <c r="AE45" i="55"/>
  <c r="AF45" i="55"/>
  <c r="AG45" i="55"/>
  <c r="AJ45" i="55"/>
  <c r="AK45" i="55"/>
  <c r="AL45" i="55"/>
  <c r="AM45" i="55"/>
  <c r="AO45" i="55"/>
  <c r="AP45" i="55"/>
  <c r="N46" i="55"/>
  <c r="T46" i="55"/>
  <c r="AE46" i="55"/>
  <c r="AF46" i="55"/>
  <c r="AG46" i="55"/>
  <c r="AJ46" i="55"/>
  <c r="AK46" i="55"/>
  <c r="AL46" i="55"/>
  <c r="AM46" i="55"/>
  <c r="AO46" i="55"/>
  <c r="AP46" i="55"/>
  <c r="N47" i="55"/>
  <c r="T47" i="55"/>
  <c r="AE47" i="55"/>
  <c r="AF47" i="55"/>
  <c r="AG47" i="55"/>
  <c r="AJ47" i="55"/>
  <c r="AK47" i="55"/>
  <c r="AL47" i="55"/>
  <c r="AM47" i="55"/>
  <c r="AO47" i="55"/>
  <c r="AP47" i="55"/>
  <c r="N48" i="55"/>
  <c r="T48" i="55"/>
  <c r="AE48" i="55"/>
  <c r="AF48" i="55"/>
  <c r="AG48" i="55"/>
  <c r="AJ48" i="55"/>
  <c r="AK48" i="55"/>
  <c r="AL48" i="55"/>
  <c r="AM48" i="55"/>
  <c r="AO48" i="55"/>
  <c r="AP48" i="55"/>
  <c r="N49" i="55"/>
  <c r="T49" i="55"/>
  <c r="AE49" i="55"/>
  <c r="AF49" i="55"/>
  <c r="AG49" i="55"/>
  <c r="AJ49" i="55"/>
  <c r="AK49" i="55"/>
  <c r="AL49" i="55"/>
  <c r="AM49" i="55"/>
  <c r="AO49" i="55"/>
  <c r="AP49" i="55"/>
  <c r="N50" i="55"/>
  <c r="T50" i="55"/>
  <c r="AE50" i="55"/>
  <c r="AF50" i="55"/>
  <c r="AG50" i="55"/>
  <c r="AJ50" i="55"/>
  <c r="AK50" i="55"/>
  <c r="AL50" i="55"/>
  <c r="AM50" i="55"/>
  <c r="AO50" i="55"/>
  <c r="AP50" i="55"/>
  <c r="N51" i="55"/>
  <c r="T51" i="55"/>
  <c r="AE51" i="55"/>
  <c r="AF51" i="55"/>
  <c r="AG51" i="55"/>
  <c r="AJ51" i="55"/>
  <c r="AK51" i="55"/>
  <c r="AL51" i="55"/>
  <c r="AM51" i="55"/>
  <c r="AO51" i="55"/>
  <c r="AP51" i="55"/>
  <c r="N52" i="55"/>
  <c r="T52" i="55"/>
  <c r="AE52" i="55"/>
  <c r="AF52" i="55"/>
  <c r="AG52" i="55"/>
  <c r="AJ52" i="55"/>
  <c r="AK52" i="55"/>
  <c r="AL52" i="55"/>
  <c r="AM52" i="55"/>
  <c r="AO52" i="55"/>
  <c r="AP52" i="55"/>
  <c r="N53" i="55"/>
  <c r="T53" i="55"/>
  <c r="AE53" i="55"/>
  <c r="AF53" i="55"/>
  <c r="AG53" i="55"/>
  <c r="AJ53" i="55"/>
  <c r="AK53" i="55"/>
  <c r="AL53" i="55"/>
  <c r="AM53" i="55"/>
  <c r="AO53" i="55"/>
  <c r="AP53" i="55"/>
  <c r="N54" i="55"/>
  <c r="T54" i="55"/>
  <c r="AE54" i="55"/>
  <c r="AF54" i="55"/>
  <c r="AG54" i="55"/>
  <c r="AJ54" i="55"/>
  <c r="AK54" i="55"/>
  <c r="AL54" i="55"/>
  <c r="AM54" i="55"/>
  <c r="AO54" i="55"/>
  <c r="AP54" i="55"/>
  <c r="N55" i="55"/>
  <c r="T55" i="55"/>
  <c r="AE55" i="55"/>
  <c r="AF55" i="55"/>
  <c r="AG55" i="55"/>
  <c r="AJ55" i="55"/>
  <c r="AK55" i="55"/>
  <c r="AL55" i="55"/>
  <c r="AM55" i="55"/>
  <c r="AO55" i="55"/>
  <c r="AP55" i="55"/>
  <c r="N57" i="55"/>
  <c r="T57" i="55"/>
  <c r="AE57" i="55"/>
  <c r="AF57" i="55"/>
  <c r="AG57" i="55"/>
  <c r="AJ57" i="55"/>
  <c r="AK57" i="55"/>
  <c r="AL57" i="55"/>
  <c r="AM57" i="55"/>
  <c r="AO57" i="55"/>
  <c r="AP57" i="55"/>
  <c r="AO59" i="55"/>
  <c r="AP59" i="5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B1043B17-D5DC-4C4A-9326-504DFC6FEDD6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BD6506-D372-4CDC-8DCF-4E6D7732BE54}" name="Conexão" type="7" refreshedVersion="8" background="1" saveData="1"/>
  <connection id="2" xr16:uid="{DBECC63B-7527-4E34-8FEE-D897CBFCAC8D}" name="Conexão1" type="7" refreshedVersion="8" background="1" saveData="1"/>
  <connection id="3" xr16:uid="{D8290332-5478-41B9-9BC6-A61EE768E847}" name="Conexão2" type="7" refreshedVersion="8" background="1" saveData="1"/>
</connections>
</file>

<file path=xl/sharedStrings.xml><?xml version="1.0" encoding="utf-8"?>
<sst xmlns="http://schemas.openxmlformats.org/spreadsheetml/2006/main" count="44694" uniqueCount="1143">
  <si>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</si>
  <si>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</si>
  <si>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</si>
  <si>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</si>
  <si>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</si>
  <si>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</si>
  <si>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</si>
  <si>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</si>
  <si>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</si>
  <si>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</si>
  <si>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</si>
  <si>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</si>
  <si>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</si>
  <si>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</si>
  <si>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</si>
  <si>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</si>
  <si>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</si>
  <si>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</si>
  <si>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</si>
  <si>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</si>
  <si>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</si>
  <si>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</si>
  <si>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</si>
  <si>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</si>
  <si>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</si>
  <si>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</si>
  <si>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</si>
  <si>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</si>
  <si>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</si>
  <si>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</si>
  <si>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</si>
  <si>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</si>
  <si>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</si>
  <si>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B3</t>
  </si>
  <si>
    <t>Industrial</t>
  </si>
  <si>
    <t>A4</t>
  </si>
  <si>
    <t>Azul</t>
  </si>
  <si>
    <t>Ponta</t>
  </si>
  <si>
    <t>Fora ponta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</si>
  <si>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</si>
  <si>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</si>
  <si>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</si>
  <si>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</si>
  <si>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</si>
  <si>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</si>
  <si>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</si>
  <si>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</si>
  <si>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</si>
  <si>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</si>
  <si>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</si>
  <si>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</si>
  <si>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</si>
  <si>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</si>
  <si>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A3</t>
  </si>
  <si>
    <t>LIVRE</t>
  </si>
  <si>
    <t>Fonte incentivada</t>
  </si>
  <si>
    <t>Geração</t>
  </si>
  <si>
    <t>CGH CASCATA DO PINHEIRINHO</t>
  </si>
  <si>
    <t>GERAÇÃO</t>
  </si>
  <si>
    <t>PCH COTOVELO DO JACUÍ</t>
  </si>
  <si>
    <t>CGH CAXAMBU</t>
  </si>
  <si>
    <t>CGH USINA DO POSTO</t>
  </si>
  <si>
    <t>CGH RP I</t>
  </si>
  <si>
    <t>IGREJINHA</t>
  </si>
  <si>
    <t>CGH MAMBUCAMAMBUCA</t>
  </si>
  <si>
    <t>PROJETADO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</si>
  <si>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</si>
  <si>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</si>
  <si>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</si>
  <si>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</si>
  <si>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</si>
  <si>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</si>
  <si>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</si>
  <si>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</si>
  <si>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</si>
  <si>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</si>
  <si>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</si>
  <si>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</si>
  <si>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</si>
  <si>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</si>
  <si>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</si>
  <si>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</si>
  <si>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</si>
  <si>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</si>
  <si>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</si>
  <si>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kW</t>
  </si>
  <si>
    <t>DP</t>
  </si>
  <si>
    <t>DFP</t>
  </si>
  <si>
    <t>E</t>
  </si>
  <si>
    <t>APE</t>
  </si>
  <si>
    <t>Energia convencional</t>
  </si>
  <si>
    <t>B</t>
  </si>
  <si>
    <t>TIPO 01</t>
  </si>
  <si>
    <t>TIPO 02</t>
  </si>
  <si>
    <t>EINT</t>
  </si>
  <si>
    <t>Branca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</si>
  <si>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</si>
  <si>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</si>
  <si>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</si>
  <si>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</si>
  <si>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</si>
  <si>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</si>
  <si>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44378A3AzulNão se aplicaNão se aplicaNão se aplicaNão se aplicaFora ponta</t>
  </si>
  <si>
    <t>44409A3AzulNão se aplicaNão se aplicaNão se aplicaNão se aplicaFora ponta</t>
  </si>
  <si>
    <t>44440A3AzulNão se aplicaNão se aplicaNão se aplicaNão se aplicaFora ponta</t>
  </si>
  <si>
    <t>44470A3AzulNão se aplicaNão se aplicaNão se aplicaNão se aplicaFora ponta</t>
  </si>
  <si>
    <t>44501A3AzulNão se aplicaNão se aplicaNão se aplicaNão se aplicaFora ponta</t>
  </si>
  <si>
    <t>44531A3AzulNão se aplicaNão se aplicaNão se aplicaNão se aplicaFora ponta</t>
  </si>
  <si>
    <t>44562A3AzulNão se aplicaNão se aplicaNão se aplicaNão se aplicaFora ponta</t>
  </si>
  <si>
    <t>44593A3AzulNão se aplicaNão se aplicaNão se aplicaNão se aplicaFora ponta</t>
  </si>
  <si>
    <t>44621A3AzulNão se aplicaNão se aplicaNão se aplicaNão se aplicaFora ponta</t>
  </si>
  <si>
    <t>44652A3AzulNão se aplicaNão se aplicaNão se aplicaNão se aplicaFora ponta</t>
  </si>
  <si>
    <t>44682A3AzulNão se aplicaNão se aplicaNão se aplicaNão se aplicaFora ponta</t>
  </si>
  <si>
    <t>44713A3AzulNão se aplicaNão se aplicaNão se aplicaNão se aplicaFora ponta</t>
  </si>
  <si>
    <t>44378A3AzulNão se aplicaNão se aplicaNão se aplicaNão se aplicaNão se aplica</t>
  </si>
  <si>
    <t>44409A3AzulNão se aplicaNão se aplicaNão se aplicaNão se aplicaNão se aplica</t>
  </si>
  <si>
    <t>44440A3AzulNão se aplicaNão se aplicaNão se aplicaNão se aplicaNão se aplica</t>
  </si>
  <si>
    <t>44470A3AzulNão se aplicaNão se aplicaNão se aplicaNão se aplicaNão se aplica</t>
  </si>
  <si>
    <t>44501A3AzulNão se aplicaNão se aplicaNão se aplicaNão se aplicaNão se aplica</t>
  </si>
  <si>
    <t>44531A3AzulNão se aplicaNão se aplicaNão se aplicaNão se aplicaNão se aplica</t>
  </si>
  <si>
    <t>44562A3AzulNão se aplicaNão se aplicaNão se aplicaNão se aplicaNão se aplica</t>
  </si>
  <si>
    <t>44593A3AzulNão se aplicaNão se aplicaNão se aplicaNão se aplicaNão se aplica</t>
  </si>
  <si>
    <t>44621A3AzulNão se aplicaNão se aplicaNão se aplicaNão se aplicaNão se aplica</t>
  </si>
  <si>
    <t>44652A3AzulNão se aplicaNão se aplicaNão se aplicaNão se aplicaNão se aplica</t>
  </si>
  <si>
    <t>44682A3AzulNão se aplicaNão se aplicaNão se aplicaNão se aplicaNão se aplica</t>
  </si>
  <si>
    <t>44713A3AzulNão se aplicaNão se aplicaNão se aplicaNão se aplicaNão se aplica</t>
  </si>
  <si>
    <t>44378A3AzulNão se aplicaNão se aplicaNão se aplicaNão se aplicaPonta</t>
  </si>
  <si>
    <t>44409A3AzulNão se aplicaNão se aplicaNão se aplicaNão se aplicaPonta</t>
  </si>
  <si>
    <t>44440A3AzulNão se aplicaNão se aplicaNão se aplicaNão se aplicaPonta</t>
  </si>
  <si>
    <t>44470A3AzulNão se aplicaNão se aplicaNão se aplicaNão se aplicaPonta</t>
  </si>
  <si>
    <t>44501A3AzulNão se aplicaNão se aplicaNão se aplicaNão se aplicaPonta</t>
  </si>
  <si>
    <t>44531A3AzulNão se aplicaNão se aplicaNão se aplicaNão se aplicaPonta</t>
  </si>
  <si>
    <t>44562A3AzulNão se aplicaNão se aplicaNão se aplicaNão se aplicaPonta</t>
  </si>
  <si>
    <t>44593A3AzulNão se aplicaNão se aplicaNão se aplicaNão se aplicaPonta</t>
  </si>
  <si>
    <t>44621A3AzulNão se aplicaNão se aplicaNão se aplicaNão se aplicaPonta</t>
  </si>
  <si>
    <t>44652A3AzulNão se aplicaNão se aplicaNão se aplicaNão se aplicaPonta</t>
  </si>
  <si>
    <t>44682A3AzulNão se aplicaNão se aplicaNão se aplicaNão se aplicaPonta</t>
  </si>
  <si>
    <t>44713A3AzulNão se aplicaNão se aplicaNão se aplicaNão se aplicaPonta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</si>
  <si>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</si>
  <si>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</si>
  <si>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</si>
  <si>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</si>
  <si>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</si>
  <si>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</si>
  <si>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</si>
  <si>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</si>
  <si>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</si>
  <si>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</si>
  <si>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</si>
  <si>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</si>
  <si>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</si>
  <si>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</si>
  <si>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</si>
  <si>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</si>
  <si>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</si>
  <si>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</si>
  <si>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</si>
  <si>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</si>
  <si>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</si>
  <si>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</si>
  <si>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</si>
  <si>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</si>
  <si>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44378A4AzulNão se aplicaNão se aplicaNão se aplicaNão se aplicaNão se aplica</t>
  </si>
  <si>
    <t>44409A4AzulNão se aplicaNão se aplicaNão se aplicaNão se aplicaNão se aplica</t>
  </si>
  <si>
    <t>44440A4AzulNão se aplicaNão se aplicaNão se aplicaNão se aplicaNão se aplica</t>
  </si>
  <si>
    <t>44470A4AzulNão se aplicaNão se aplicaNão se aplicaNão se aplicaNão se aplica</t>
  </si>
  <si>
    <t>44501A4AzulNão se aplicaNão se aplicaNão se aplicaNão se aplicaNão se aplica</t>
  </si>
  <si>
    <t>44531A4AzulNão se aplicaNão se aplicaNão se aplicaNão se aplicaNão se aplica</t>
  </si>
  <si>
    <t>44562A4AzulNão se aplicaNão se aplicaNão se aplicaNão se aplicaNão se aplica</t>
  </si>
  <si>
    <t>44593A4AzulNão se aplicaNão se aplicaNão se aplicaNão se aplicaNão se aplica</t>
  </si>
  <si>
    <t>44621A4AzulNão se aplicaNão se aplicaNão se aplicaNão se aplicaNão se aplica</t>
  </si>
  <si>
    <t>44652A4AzulNão se aplicaNão se aplicaNão se aplicaNão se aplicaNão se aplica</t>
  </si>
  <si>
    <t>44682A4AzulNão se aplicaNão se aplicaNão se aplicaNão se aplicaNão se aplica</t>
  </si>
  <si>
    <t>44713A4AzulNão se aplicaNão se aplicaNão se aplicaNão se aplicaNão se aplica</t>
  </si>
  <si>
    <t>44378A4GeraçãoNão se aplicaNão se aplicaNão se aplicaNão se aplicaNão se aplica</t>
  </si>
  <si>
    <t>44409A4GeraçãoNão se aplicaNão se aplicaNão se aplicaNão se aplicaNão se aplica</t>
  </si>
  <si>
    <t>44440A4GeraçãoNão se aplicaNão se aplicaNão se aplicaNão se aplicaNão se aplica</t>
  </si>
  <si>
    <t>44470A4GeraçãoNão se aplicaNão se aplicaNão se aplicaNão se aplicaNão se aplica</t>
  </si>
  <si>
    <t>44501A4GeraçãoNão se aplicaNão se aplicaNão se aplicaNão se aplicaNão se aplica</t>
  </si>
  <si>
    <t>44531A4GeraçãoNão se aplicaNão se aplicaNão se aplicaNão se aplicaNão se aplica</t>
  </si>
  <si>
    <t>44562A4GeraçãoNão se aplicaNão se aplicaNão se aplicaNão se aplicaNão se aplica</t>
  </si>
  <si>
    <t>44593A4GeraçãoNão se aplicaNão se aplicaNão se aplicaNão se aplicaNão se aplica</t>
  </si>
  <si>
    <t>44621A4GeraçãoNão se aplicaNão se aplicaNão se aplicaNão se aplicaNão se aplica</t>
  </si>
  <si>
    <t>44652A4GeraçãoNão se aplicaNão se aplicaNão se aplicaNão se aplicaNão se aplica</t>
  </si>
  <si>
    <t>44682A4GeraçãoNão se aplicaNão se aplicaNão se aplicaNão se aplicaNão se aplica</t>
  </si>
  <si>
    <t>44713A4GeraçãoNão se aplicaNão se aplicaNão se aplicaNão se aplicaNão se aplica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</si>
  <si>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</si>
  <si>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</si>
  <si>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</si>
  <si>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</si>
  <si>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</si>
  <si>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</si>
  <si>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</si>
  <si>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</si>
  <si>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</si>
  <si>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</si>
  <si>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</si>
  <si>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</si>
  <si>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</si>
  <si>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</si>
  <si>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</si>
  <si>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</si>
  <si>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</si>
  <si>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</si>
  <si>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</si>
  <si>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</si>
  <si>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</si>
  <si>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</si>
  <si>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</si>
  <si>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</si>
  <si>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</si>
  <si>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</si>
  <si>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</si>
  <si>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</si>
  <si>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</si>
  <si>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</si>
  <si>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</si>
  <si>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</si>
  <si>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</si>
  <si>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</si>
  <si>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</si>
  <si>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</si>
  <si>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</si>
  <si>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</si>
  <si>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</si>
  <si>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</si>
  <si>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</si>
  <si>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</si>
  <si>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</si>
  <si>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</si>
  <si>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</si>
  <si>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</si>
  <si>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</si>
  <si>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</si>
  <si>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</si>
  <si>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</si>
  <si>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</si>
  <si>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</si>
  <si>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</si>
  <si>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</si>
  <si>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</si>
  <si>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</si>
  <si>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</si>
  <si>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</si>
  <si>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</si>
  <si>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</si>
  <si>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</si>
  <si>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</si>
  <si>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</si>
  <si>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</si>
  <si>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</si>
  <si>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</si>
  <si>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</si>
  <si>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</si>
  <si>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</si>
  <si>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</si>
  <si>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</si>
  <si>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</si>
  <si>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</si>
  <si>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</si>
  <si>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</si>
  <si>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</si>
  <si>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</si>
  <si>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</si>
  <si>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</si>
  <si>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</si>
  <si>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</si>
  <si>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</si>
  <si>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</si>
  <si>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</si>
  <si>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</si>
  <si>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</si>
  <si>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</si>
  <si>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</si>
  <si>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</si>
  <si>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</si>
  <si>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</si>
  <si>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</si>
  <si>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</si>
  <si>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</si>
  <si>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</si>
  <si>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</si>
  <si>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</si>
  <si>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</si>
  <si>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</si>
  <si>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</si>
  <si>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</si>
  <si>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</si>
  <si>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</si>
  <si>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</si>
  <si>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</si>
  <si>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</si>
  <si>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</si>
  <si>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</si>
  <si>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</si>
  <si>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</si>
  <si>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</si>
  <si>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</si>
  <si>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</si>
  <si>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</si>
  <si>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</si>
  <si>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</si>
  <si>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</si>
  <si>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</si>
  <si>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</si>
  <si>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</si>
  <si>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</si>
  <si>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</si>
  <si>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</si>
  <si>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</si>
  <si>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</si>
  <si>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</si>
  <si>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</si>
  <si>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</si>
  <si>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</si>
  <si>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</si>
  <si>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</si>
  <si>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</si>
  <si>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CHAVE TE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</si>
  <si>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</si>
  <si>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</si>
  <si>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</si>
  <si>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</si>
  <si>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</si>
  <si>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</si>
  <si>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</si>
  <si>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</si>
  <si>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</si>
  <si>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</si>
  <si>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</si>
  <si>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</si>
  <si>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</si>
  <si>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</si>
  <si>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</si>
  <si>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</si>
  <si>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</si>
  <si>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</si>
  <si>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</si>
  <si>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</si>
  <si>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</si>
  <si>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</si>
  <si>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</si>
  <si>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</si>
  <si>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</si>
  <si>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</si>
  <si>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</si>
  <si>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</si>
  <si>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</si>
  <si>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</si>
  <si>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</si>
  <si>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</si>
  <si>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</si>
  <si>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</si>
  <si>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</si>
  <si>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</si>
  <si>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</si>
  <si>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</si>
  <si>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</si>
  <si>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</si>
  <si>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</si>
  <si>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</si>
  <si>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</si>
  <si>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</si>
  <si>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</si>
  <si>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</si>
  <si>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</si>
  <si>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</si>
  <si>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</si>
  <si>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</si>
  <si>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</si>
  <si>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</si>
  <si>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</si>
  <si>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</si>
  <si>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</si>
  <si>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</si>
  <si>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</si>
  <si>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</si>
  <si>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</si>
  <si>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</si>
  <si>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</si>
  <si>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</si>
  <si>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</si>
  <si>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</si>
  <si>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</si>
  <si>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</si>
  <si>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</si>
  <si>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</si>
  <si>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</si>
  <si>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</si>
  <si>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</si>
  <si>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</si>
  <si>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</si>
  <si>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</si>
  <si>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</si>
  <si>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</si>
  <si>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</si>
  <si>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</si>
  <si>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</si>
  <si>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</si>
  <si>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</si>
  <si>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</si>
  <si>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</si>
  <si>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</si>
  <si>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</si>
  <si>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</si>
  <si>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</si>
  <si>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</si>
  <si>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</si>
  <si>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</si>
  <si>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</si>
  <si>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</si>
  <si>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</si>
  <si>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</si>
  <si>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</si>
  <si>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</si>
  <si>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</si>
  <si>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</si>
  <si>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</si>
  <si>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</si>
  <si>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</si>
  <si>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</si>
  <si>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</si>
  <si>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</si>
  <si>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</si>
  <si>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</si>
  <si>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</si>
  <si>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</si>
  <si>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</si>
  <si>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</si>
  <si>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</si>
  <si>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</si>
  <si>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</si>
  <si>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</si>
  <si>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</si>
  <si>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</si>
  <si>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</si>
  <si>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</si>
  <si>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</si>
  <si>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</si>
  <si>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</si>
  <si>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</si>
  <si>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</si>
  <si>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</si>
  <si>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</si>
  <si>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</si>
  <si>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</si>
  <si>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</si>
  <si>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</si>
  <si>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</si>
  <si>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</si>
  <si>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</si>
  <si>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</si>
  <si>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</si>
  <si>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</si>
  <si>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</si>
  <si>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</si>
  <si>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</si>
  <si>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</si>
  <si>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</si>
  <si>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</si>
  <si>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</si>
  <si>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</si>
  <si>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</si>
  <si>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</si>
  <si>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</si>
  <si>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</si>
  <si>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</si>
  <si>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</si>
  <si>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</si>
  <si>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</si>
  <si>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</si>
  <si>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</si>
  <si>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</si>
  <si>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</si>
  <si>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</si>
  <si>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</si>
  <si>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</si>
  <si>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</si>
  <si>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</si>
  <si>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</si>
  <si>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</si>
  <si>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</si>
  <si>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</si>
  <si>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</si>
  <si>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</si>
  <si>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</si>
  <si>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</si>
  <si>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</si>
  <si>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</si>
  <si>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</si>
  <si>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</si>
  <si>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</si>
  <si>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</si>
  <si>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</si>
  <si>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</si>
  <si>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</si>
  <si>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</si>
  <si>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</si>
  <si>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</si>
  <si>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</si>
  <si>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</si>
  <si>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</si>
  <si>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</si>
  <si>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</si>
  <si>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</si>
  <si>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</si>
  <si>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</si>
  <si>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</si>
  <si>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</si>
  <si>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</si>
  <si>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</si>
  <si>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</si>
  <si>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</si>
  <si>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</si>
  <si>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</si>
  <si>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</si>
  <si>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</si>
  <si>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</si>
  <si>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</si>
  <si>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</si>
  <si>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</si>
  <si>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</si>
  <si>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</si>
  <si>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</si>
  <si>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</si>
  <si>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</si>
  <si>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</si>
  <si>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</si>
  <si>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</si>
  <si>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</si>
  <si>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</si>
  <si>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</si>
  <si>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</si>
  <si>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</si>
  <si>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</si>
  <si>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</si>
  <si>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</si>
  <si>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</si>
  <si>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</si>
  <si>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</si>
  <si>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</si>
  <si>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</si>
  <si>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</si>
  <si>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</si>
  <si>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2.912, DE 27 DE JULHO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</si>
  <si>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</si>
  <si>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</si>
  <si>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</si>
  <si>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</si>
  <si>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</si>
  <si>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</si>
  <si>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</si>
  <si>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</si>
  <si>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</si>
  <si>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</si>
  <si>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</si>
  <si>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</si>
  <si>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</si>
  <si>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</si>
  <si>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</si>
  <si>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</si>
  <si>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</si>
  <si>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</si>
  <si>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</si>
  <si>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</si>
  <si>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</si>
  <si>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</si>
  <si>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</si>
  <si>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</si>
  <si>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</si>
  <si>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</si>
  <si>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</si>
  <si>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A3a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</si>
  <si>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</si>
  <si>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</si>
  <si>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</si>
  <si>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</si>
  <si>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</si>
  <si>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</si>
  <si>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</si>
  <si>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</si>
  <si>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</si>
  <si>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Energia</t>
  </si>
  <si>
    <t>Ativa</t>
  </si>
  <si>
    <t>Potência</t>
  </si>
  <si>
    <t>Intermediário</t>
  </si>
  <si>
    <t>Energia suprimento concessionária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</si>
  <si>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</si>
  <si>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</si>
  <si>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</si>
  <si>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</si>
  <si>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</si>
  <si>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</si>
  <si>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</si>
  <si>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</si>
  <si>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</si>
  <si>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</si>
  <si>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</si>
  <si>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</si>
  <si>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</si>
  <si>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</si>
  <si>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</si>
  <si>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</si>
  <si>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</si>
  <si>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</si>
  <si>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</si>
  <si>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</si>
  <si>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</si>
  <si>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</si>
  <si>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</si>
  <si>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</si>
  <si>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</si>
  <si>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</si>
  <si>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</si>
  <si>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</si>
  <si>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</si>
  <si>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</si>
  <si>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</si>
  <si>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</si>
  <si>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</si>
  <si>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</si>
  <si>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</si>
  <si>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</si>
  <si>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</si>
  <si>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</si>
  <si>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</si>
  <si>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</si>
  <si>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</si>
  <si>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</si>
  <si>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</si>
  <si>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</si>
  <si>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</si>
  <si>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</si>
  <si>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</si>
  <si>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</si>
  <si>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</si>
  <si>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</si>
  <si>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GERAÇÃO FONTE INCENTIVADA</t>
  </si>
  <si>
    <t>SUBSIDIO RURAL</t>
  </si>
  <si>
    <t>SUBSIDIO IRRIGANTE/AQUICULTOR</t>
  </si>
  <si>
    <t>SUBSIDIO ÁGUA, ESGOTO E SANEAMENTO</t>
  </si>
  <si>
    <t>SUBSIDIO BAIXA RENDA</t>
  </si>
  <si>
    <t>R$ (TV)</t>
  </si>
  <si>
    <t>R$ (TN)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</si>
  <si>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</si>
  <si>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</si>
  <si>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</si>
  <si>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</si>
  <si>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</si>
  <si>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</si>
  <si>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</si>
  <si>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</si>
  <si>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</si>
  <si>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Azul1RuralNão se aplicaPlanilha CustoA4</t>
  </si>
  <si>
    <t>2021</t>
  </si>
  <si>
    <t>Planilha Custo</t>
  </si>
  <si>
    <t>Verde1RuralNão se aplicaPlanilha CustoA4</t>
  </si>
  <si>
    <t>Azul1Serviço públicoÁgua, esgoto e saneamentoPlanilha CUSTOA4</t>
  </si>
  <si>
    <t>Planilha CUSTO</t>
  </si>
  <si>
    <t>Verde1Serviço públicoÁgua, esgoto e saneamentoPlanilha CUSTOA4</t>
  </si>
  <si>
    <t>Convencional1RuralNão se aplicaRuralB2</t>
  </si>
  <si>
    <t>Branca1RuralNão se aplicaRuralB2</t>
  </si>
  <si>
    <t>Convencional1RuralCooperativa de eletrificação ruralPlanilha CUSTOB2</t>
  </si>
  <si>
    <t>Branca 1RuralCooperativa de eletrificação ruralPlanilha CUSTOB2</t>
  </si>
  <si>
    <t xml:space="preserve">Branca </t>
  </si>
  <si>
    <t>Convencional1RuralServiço público de irrigação ruralPlanilha CUSTOB2</t>
  </si>
  <si>
    <t>Branca 1RuralServiço público de irrigação ruralPlanilha CUSTOB2</t>
  </si>
  <si>
    <t>Convencional1Serviço públicoÁgua, esgoto e saneamentoPlanilha CUSTOB3</t>
  </si>
  <si>
    <t>Branca1Serviço públicoÁgua, esgoto e saneamentoPlanilha CUSTOB3</t>
  </si>
  <si>
    <t>Azul1RuralNão se aplicaPlanilha CustoA3</t>
  </si>
  <si>
    <t>Azul1Serviço públicoÁgua, esgoto e saneamentoPlanilha CUSTOA3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</si>
  <si>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</si>
  <si>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</si>
  <si>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</si>
  <si>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</si>
  <si>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</si>
  <si>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</si>
  <si>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</si>
  <si>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</si>
  <si>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</si>
  <si>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</si>
  <si>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</si>
  <si>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</si>
  <si>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</si>
  <si>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</si>
  <si>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</si>
  <si>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</si>
  <si>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</si>
  <si>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</si>
  <si>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</si>
  <si>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</si>
  <si>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</si>
  <si>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</si>
  <si>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</si>
  <si>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</si>
  <si>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</si>
  <si>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</si>
  <si>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</si>
  <si>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</si>
  <si>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</si>
  <si>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</si>
  <si>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</si>
  <si>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</si>
  <si>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</si>
  <si>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</si>
  <si>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</si>
  <si>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</si>
  <si>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</si>
  <si>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</si>
  <si>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</si>
  <si>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</si>
  <si>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</si>
  <si>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</si>
  <si>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</si>
  <si>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</si>
  <si>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</si>
  <si>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</si>
  <si>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</si>
  <si>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</si>
  <si>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</si>
  <si>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</si>
  <si>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</si>
  <si>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</si>
  <si>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</si>
  <si>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</si>
  <si>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</si>
  <si>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</si>
  <si>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</si>
  <si>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</si>
  <si>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</si>
  <si>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</si>
  <si>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</si>
  <si>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</si>
  <si>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</si>
  <si>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</si>
  <si>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</si>
  <si>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</si>
  <si>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</si>
  <si>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</si>
  <si>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</si>
  <si>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</si>
  <si>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A3Azul</t>
  </si>
  <si>
    <t>A3AzulNão se aplica</t>
  </si>
  <si>
    <t>A3AzulNão se aplicaNão se aplica</t>
  </si>
  <si>
    <t>A3AzulNão se aplicaNão se aplicaNão se aplica</t>
  </si>
  <si>
    <t>A3AzulNão se aplicaNão se aplicaNão se aplicaNão se aplica</t>
  </si>
  <si>
    <t>A3AzulNão se aplicaNão se aplicaNão se aplicaNão se aplicaDP</t>
  </si>
  <si>
    <t>A3AzulNão se aplicaNão se aplicaNão se aplicaNão se aplicaDFP</t>
  </si>
  <si>
    <t>A3AzulNão se aplicaNão se aplicaNão se aplicaNão se aplicaE</t>
  </si>
  <si>
    <t>A3AzulNão se aplicaNão se aplicaAPE</t>
  </si>
  <si>
    <t>A3AzulNão se aplicaNão se aplicaAPENão se aplica</t>
  </si>
  <si>
    <t>A3AzulNão se aplicaNão se aplicaAPENão se aplicaE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</si>
  <si>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</si>
  <si>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</si>
  <si>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</si>
  <si>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</si>
  <si>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</si>
  <si>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</si>
  <si>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</si>
  <si>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</si>
  <si>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</si>
  <si>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</si>
  <si>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</si>
  <si>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</si>
  <si>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</si>
  <si>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</si>
  <si>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</si>
  <si>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</si>
  <si>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</si>
  <si>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</si>
  <si>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</si>
  <si>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</si>
  <si>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</si>
  <si>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</si>
  <si>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</si>
  <si>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</si>
  <si>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</si>
  <si>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</si>
  <si>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</si>
  <si>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</si>
  <si>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</si>
  <si>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</si>
  <si>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</si>
  <si>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</si>
  <si>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</si>
  <si>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</si>
  <si>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</si>
  <si>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</si>
  <si>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</si>
  <si>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</si>
  <si>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</si>
  <si>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</si>
  <si>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</si>
  <si>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</si>
  <si>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</si>
  <si>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</si>
  <si>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</si>
  <si>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</si>
  <si>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</si>
  <si>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</si>
  <si>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</si>
  <si>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</si>
  <si>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</si>
  <si>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</si>
  <si>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</si>
  <si>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</si>
  <si>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</si>
  <si>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</si>
  <si>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</si>
  <si>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</si>
  <si>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</si>
  <si>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</si>
  <si>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</si>
  <si>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</si>
  <si>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</si>
  <si>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</si>
  <si>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</si>
  <si>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</si>
  <si>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</si>
  <si>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</si>
  <si>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</si>
  <si>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</si>
  <si>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</si>
  <si>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</si>
  <si>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</si>
  <si>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</si>
  <si>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</si>
  <si>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</si>
  <si>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</si>
  <si>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</si>
  <si>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</si>
  <si>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</si>
  <si>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</si>
  <si>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</si>
  <si>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</si>
  <si>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</si>
  <si>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</si>
  <si>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</si>
  <si>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</si>
  <si>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</si>
  <si>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</si>
  <si>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</si>
  <si>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</si>
  <si>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</si>
  <si>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</si>
  <si>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</si>
  <si>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</si>
  <si>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</si>
  <si>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</si>
  <si>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</si>
  <si>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</si>
  <si>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</si>
  <si>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</si>
  <si>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</si>
  <si>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</si>
  <si>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</si>
  <si>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</si>
  <si>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</si>
  <si>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</si>
  <si>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</si>
  <si>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</si>
  <si>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</si>
  <si>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</si>
  <si>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</si>
  <si>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</si>
  <si>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</si>
  <si>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</si>
  <si>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</si>
  <si>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</si>
  <si>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</si>
  <si>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</si>
  <si>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</si>
  <si>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</si>
  <si>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</si>
  <si>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</si>
  <si>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</si>
  <si>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</si>
  <si>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</si>
  <si>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</si>
  <si>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</si>
  <si>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</si>
  <si>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</si>
  <si>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</si>
  <si>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</si>
  <si>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</si>
  <si>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</si>
  <si>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</si>
  <si>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</si>
  <si>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</si>
  <si>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</si>
  <si>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</si>
  <si>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</si>
  <si>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</si>
  <si>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</si>
  <si>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</si>
  <si>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</si>
  <si>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</si>
  <si>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</si>
  <si>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</si>
  <si>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</si>
  <si>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</si>
  <si>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</si>
  <si>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</si>
  <si>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</si>
  <si>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</si>
  <si>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</si>
  <si>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</si>
  <si>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</si>
  <si>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</si>
  <si>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</si>
  <si>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</si>
  <si>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</si>
  <si>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</si>
  <si>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</si>
  <si>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</si>
  <si>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</si>
  <si>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</si>
  <si>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</si>
  <si>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</si>
  <si>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</si>
  <si>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</si>
  <si>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</si>
  <si>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A3Energia horária</t>
  </si>
  <si>
    <t>A3Energia horáriaNão se aplica</t>
  </si>
  <si>
    <t>A3Energia horáriaNão se aplicaNão se aplica</t>
  </si>
  <si>
    <t>A3Energia horáriaNão se aplicaNão se aplicaNão se aplica</t>
  </si>
  <si>
    <t>A3Energia horáriaNão se aplicaNão se aplicaNão se aplicaNão se aplica</t>
  </si>
  <si>
    <t>A3Energia horáriaNão se aplicaNão se aplicaNão se aplicaNão se aplicaEP</t>
  </si>
  <si>
    <t>A3Energia horáriaNão se aplicaNão se aplicaNão se aplicaNão se aplicaEFP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</si>
  <si>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</si>
  <si>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</si>
  <si>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</si>
  <si>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</si>
  <si>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</si>
  <si>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</si>
  <si>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</si>
  <si>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</si>
  <si>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</si>
  <si>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</si>
  <si>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</si>
  <si>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</si>
  <si>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</si>
  <si>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</si>
  <si>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</si>
  <si>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</si>
  <si>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</si>
  <si>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</si>
  <si>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</si>
  <si>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</si>
  <si>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</si>
  <si>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</si>
  <si>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</si>
  <si>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</si>
  <si>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</si>
  <si>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</si>
  <si>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</si>
  <si>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</si>
  <si>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</si>
  <si>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</si>
  <si>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</si>
  <si>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</si>
  <si>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</si>
  <si>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</si>
  <si>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</si>
  <si>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</si>
  <si>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</si>
  <si>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</si>
  <si>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</si>
  <si>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</si>
  <si>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</si>
  <si>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</si>
  <si>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</si>
  <si>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</si>
  <si>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</si>
  <si>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</si>
  <si>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</si>
  <si>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</si>
  <si>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</si>
  <si>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</si>
  <si>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</si>
  <si>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</si>
  <si>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</si>
  <si>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</si>
  <si>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</si>
  <si>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</si>
  <si>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</si>
  <si>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</si>
  <si>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</si>
  <si>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</si>
  <si>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</si>
  <si>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</si>
  <si>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</si>
  <si>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</si>
  <si>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</si>
  <si>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</si>
  <si>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</si>
  <si>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</si>
  <si>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</si>
  <si>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</si>
  <si>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</si>
  <si>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</si>
  <si>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</si>
  <si>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</si>
  <si>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</si>
  <si>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</si>
  <si>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</si>
  <si>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</si>
  <si>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</si>
  <si>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</si>
  <si>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</si>
  <si>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</si>
  <si>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</si>
  <si>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</si>
  <si>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</si>
  <si>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</si>
  <si>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</si>
  <si>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</si>
  <si>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</si>
  <si>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</si>
  <si>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</si>
  <si>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</si>
  <si>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</si>
  <si>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</si>
  <si>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</si>
  <si>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</si>
  <si>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</si>
  <si>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</si>
  <si>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</si>
  <si>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</si>
  <si>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</si>
  <si>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</si>
  <si>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</si>
  <si>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</si>
  <si>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</si>
  <si>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</si>
  <si>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</si>
  <si>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</si>
  <si>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</si>
  <si>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</si>
  <si>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</si>
  <si>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</si>
  <si>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</si>
  <si>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</si>
  <si>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</si>
  <si>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</si>
  <si>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</si>
  <si>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</si>
  <si>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</si>
  <si>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</si>
  <si>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</si>
  <si>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</si>
  <si>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</si>
  <si>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</si>
  <si>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</si>
  <si>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</si>
  <si>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</si>
  <si>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</si>
  <si>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</si>
  <si>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</si>
  <si>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</si>
  <si>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</si>
  <si>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</si>
  <si>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</si>
  <si>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</si>
  <si>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</si>
  <si>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</si>
  <si>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</si>
  <si>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</si>
  <si>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</si>
  <si>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</si>
  <si>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</si>
  <si>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</si>
  <si>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</si>
  <si>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</si>
  <si>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</si>
  <si>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</si>
  <si>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</si>
  <si>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</si>
  <si>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</si>
  <si>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</si>
  <si>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</si>
  <si>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</si>
  <si>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</si>
  <si>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</si>
  <si>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</si>
  <si>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</si>
  <si>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</si>
  <si>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</si>
  <si>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</si>
  <si>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</si>
  <si>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</si>
  <si>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</si>
  <si>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</si>
  <si>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</si>
  <si>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</si>
  <si>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</si>
  <si>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</si>
  <si>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</si>
  <si>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</si>
  <si>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</si>
  <si>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</si>
  <si>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</si>
  <si>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</si>
  <si>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</si>
  <si>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</si>
  <si>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</si>
  <si>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</si>
  <si>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</si>
  <si>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</si>
  <si>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</si>
  <si>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</si>
  <si>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</si>
  <si>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</si>
  <si>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</si>
  <si>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</si>
  <si>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</si>
  <si>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</si>
  <si>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</si>
  <si>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</si>
  <si>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</si>
  <si>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</si>
  <si>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</si>
  <si>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</si>
  <si>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</si>
  <si>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</si>
  <si>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</si>
  <si>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</si>
  <si>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</si>
  <si>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</si>
  <si>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</si>
  <si>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</si>
  <si>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</si>
  <si>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</si>
  <si>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</si>
  <si>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</si>
  <si>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</si>
  <si>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</si>
  <si>
    <t>(SUB)GRUPO</t>
  </si>
  <si>
    <t>TUSD (R$)</t>
  </si>
  <si>
    <t>TUSD (MWh)</t>
  </si>
  <si>
    <t>PNT (R$/MWh)</t>
  </si>
  <si>
    <t>VAR. AX01</t>
  </si>
  <si>
    <t>VAR. AX02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</si>
</sst>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0%_);[Red]\(#,##0.00%\)"/>
    <numFmt numFmtId="165" formatCode="#0.00%;[Red]#0.00%"/>
    <numFmt numFmtId="166" formatCode="0.00%_);[Red]\(0.00%\)"/>
    <numFmt numFmtId="167" formatCode="#,##0.00;[Red]#,##0.00"/>
    <numFmt numFmtId="168" formatCode="#,##0.00_ ;[Red]\-#,##0.00\ "/>
  </numFmts>
  <fonts count="16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8"/>
      <color theme="0" tint="-0.249977111117893"/>
      <name val="Arial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  <font>
      <sz val="8"/>
      <color theme="0" tint="-0.34998626667073579"/>
      <name val="Arial"/>
      <family val="2"/>
    </font>
    <font>
      <sz val="11"/>
      <color theme="1"/>
      <name val="Calibri"/>
      <family val="2"/>
      <scheme val="minor"/>
    </font>
    <font>
      <sz val="8"/>
      <color theme="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4" fillId="0" borderId="0" applyFont="0" applyFill="0" applyBorder="0" applyAlignment="0" applyProtection="0"/>
  </cellStyleXfs>
  <cellXfs count="134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0" xfId="0" pivotButton="1" applyFont="1"/>
    <xf numFmtId="40" fontId="3" fillId="0" borderId="0" xfId="0" applyNumberFormat="1" applyFont="1"/>
    <xf numFmtId="166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164" fontId="3" fillId="0" borderId="0" xfId="0" applyNumberFormat="1" applyFont="1"/>
    <xf numFmtId="40" fontId="8" fillId="0" borderId="8" xfId="0" applyNumberFormat="1" applyFont="1" applyBorder="1" applyAlignment="1">
      <alignment horizontal="center" vertical="center"/>
    </xf>
    <xf numFmtId="10" fontId="3" fillId="0" borderId="0" xfId="0" applyNumberFormat="1" applyFont="1"/>
    <xf numFmtId="2" fontId="9" fillId="2" borderId="9" xfId="0" applyNumberFormat="1" applyFont="1" applyFill="1" applyBorder="1" applyAlignment="1">
      <alignment horizontal="center" vertical="center"/>
    </xf>
    <xf numFmtId="0" fontId="9" fillId="2" borderId="9" xfId="0" applyFont="1" applyFill="1" applyBorder="1" applyAlignment="1">
      <alignment horizontal="left" vertical="center" indent="1"/>
    </xf>
    <xf numFmtId="0" fontId="9" fillId="3" borderId="0" xfId="0" applyFont="1" applyFill="1" applyAlignment="1">
      <alignment horizontal="left" vertical="center" indent="1"/>
    </xf>
    <xf numFmtId="10" fontId="9" fillId="2" borderId="0" xfId="0" applyNumberFormat="1" applyFont="1" applyFill="1" applyAlignment="1">
      <alignment vertical="center"/>
    </xf>
    <xf numFmtId="0" fontId="9" fillId="2" borderId="0" xfId="0" applyFont="1" applyFill="1" applyAlignment="1">
      <alignment horizontal="left" vertical="center" indent="1"/>
    </xf>
    <xf numFmtId="10" fontId="9" fillId="3" borderId="0" xfId="0" applyNumberFormat="1" applyFont="1" applyFill="1" applyAlignment="1">
      <alignment vertical="center"/>
    </xf>
    <xf numFmtId="0" fontId="10" fillId="4" borderId="10" xfId="0" applyFont="1" applyFill="1" applyBorder="1" applyAlignment="1">
      <alignment horizontal="center" vertical="center"/>
    </xf>
    <xf numFmtId="40" fontId="9" fillId="2" borderId="9" xfId="0" applyNumberFormat="1" applyFont="1" applyFill="1" applyBorder="1" applyAlignment="1">
      <alignment horizontal="center" vertical="center"/>
    </xf>
    <xf numFmtId="167" fontId="9" fillId="3" borderId="0" xfId="0" applyNumberFormat="1" applyFont="1" applyFill="1" applyAlignment="1">
      <alignment horizontal="center" vertical="center"/>
    </xf>
    <xf numFmtId="4" fontId="12" fillId="5" borderId="12" xfId="0" applyNumberFormat="1" applyFont="1" applyFill="1" applyBorder="1"/>
    <xf numFmtId="4" fontId="12" fillId="5" borderId="13" xfId="0" applyNumberFormat="1" applyFont="1" applyFill="1" applyBorder="1"/>
    <xf numFmtId="4" fontId="12" fillId="5" borderId="6" xfId="0" applyNumberFormat="1" applyFont="1" applyFill="1" applyBorder="1"/>
    <xf numFmtId="4" fontId="12" fillId="5" borderId="5" xfId="0" applyNumberFormat="1" applyFont="1" applyFill="1" applyBorder="1"/>
    <xf numFmtId="4" fontId="12" fillId="5" borderId="14" xfId="0" applyNumberFormat="1" applyFont="1" applyFill="1" applyBorder="1"/>
    <xf numFmtId="4" fontId="12" fillId="5" borderId="11" xfId="0" applyNumberFormat="1" applyFont="1" applyFill="1" applyBorder="1"/>
    <xf numFmtId="4" fontId="12" fillId="5" borderId="13" xfId="0" applyNumberFormat="1" applyFont="1" applyFill="1" applyBorder="1" applyAlignment="1">
      <alignment horizontal="center"/>
    </xf>
    <xf numFmtId="40" fontId="3" fillId="0" borderId="15" xfId="0" applyNumberFormat="1" applyFont="1" applyBorder="1" applyAlignment="1">
      <alignment vertical="center"/>
    </xf>
    <xf numFmtId="0" fontId="4" fillId="0" borderId="15" xfId="0" applyFont="1" applyBorder="1" applyAlignment="1">
      <alignment horizontal="center" vertical="center"/>
    </xf>
    <xf numFmtId="0" fontId="3" fillId="0" borderId="15" xfId="0" applyFont="1" applyBorder="1" applyAlignment="1">
      <alignment vertical="center"/>
    </xf>
    <xf numFmtId="40" fontId="3" fillId="0" borderId="16" xfId="0" applyNumberFormat="1" applyFont="1" applyBorder="1" applyAlignment="1">
      <alignment horizontal="left" vertical="center"/>
    </xf>
    <xf numFmtId="40" fontId="3" fillId="0" borderId="16" xfId="0" applyNumberFormat="1" applyFont="1" applyBorder="1" applyAlignment="1">
      <alignment vertical="center"/>
    </xf>
    <xf numFmtId="40" fontId="4" fillId="0" borderId="16" xfId="0" applyNumberFormat="1" applyFont="1" applyBorder="1" applyAlignment="1">
      <alignment horizontal="center" vertical="center"/>
    </xf>
    <xf numFmtId="40" fontId="3" fillId="0" borderId="17" xfId="0" applyNumberFormat="1" applyFont="1" applyBorder="1" applyAlignment="1">
      <alignment vertical="center"/>
    </xf>
    <xf numFmtId="40" fontId="4" fillId="0" borderId="17" xfId="0" applyNumberFormat="1" applyFont="1" applyBorder="1" applyAlignment="1">
      <alignment horizontal="center" vertical="center"/>
    </xf>
    <xf numFmtId="40" fontId="3" fillId="0" borderId="21" xfId="0" applyNumberFormat="1" applyFont="1" applyBorder="1" applyAlignment="1">
      <alignment horizontal="left" vertical="center"/>
    </xf>
    <xf numFmtId="40" fontId="3" fillId="0" borderId="21" xfId="0" applyNumberFormat="1" applyFont="1" applyBorder="1" applyAlignment="1">
      <alignment vertical="center"/>
    </xf>
    <xf numFmtId="0" fontId="4" fillId="0" borderId="17" xfId="0" applyFont="1" applyBorder="1" applyAlignment="1">
      <alignment horizontal="center" vertical="center"/>
    </xf>
    <xf numFmtId="0" fontId="3" fillId="0" borderId="17" xfId="0" applyFont="1" applyBorder="1" applyAlignment="1">
      <alignment vertical="center"/>
    </xf>
    <xf numFmtId="40" fontId="3" fillId="0" borderId="21" xfId="0" applyNumberFormat="1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40" fontId="4" fillId="0" borderId="21" xfId="0" applyNumberFormat="1" applyFont="1" applyBorder="1" applyAlignment="1">
      <alignment horizontal="center" vertical="center"/>
    </xf>
    <xf numFmtId="40" fontId="3" fillId="0" borderId="21" xfId="0" applyNumberFormat="1" applyFont="1" applyBorder="1" applyAlignment="1">
      <alignment horizontal="center" vertical="center"/>
    </xf>
    <xf numFmtId="40" fontId="3" fillId="6" borderId="21" xfId="0" applyNumberFormat="1" applyFont="1" applyFill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0" fillId="0" borderId="18" xfId="0" applyBorder="1"/>
    <xf numFmtId="0" fontId="0" fillId="0" borderId="21" xfId="0" applyBorder="1"/>
    <xf numFmtId="0" fontId="2" fillId="0" borderId="21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40" fontId="1" fillId="0" borderId="21" xfId="0" applyNumberFormat="1" applyFont="1" applyBorder="1" applyAlignment="1">
      <alignment horizontal="center" vertical="center"/>
    </xf>
    <xf numFmtId="165" fontId="1" fillId="0" borderId="21" xfId="0" applyNumberFormat="1" applyFont="1" applyBorder="1" applyAlignment="1">
      <alignment horizontal="center" vertical="center"/>
    </xf>
    <xf numFmtId="0" fontId="3" fillId="0" borderId="21" xfId="0" applyFont="1" applyBorder="1"/>
    <xf numFmtId="0" fontId="4" fillId="0" borderId="21" xfId="0" applyFont="1" applyBorder="1"/>
    <xf numFmtId="40" fontId="1" fillId="6" borderId="0" xfId="0" applyNumberFormat="1" applyFont="1" applyFill="1" applyAlignment="1">
      <alignment horizontal="center" vertical="center"/>
    </xf>
    <xf numFmtId="40" fontId="7" fillId="6" borderId="0" xfId="0" applyNumberFormat="1" applyFont="1" applyFill="1" applyAlignment="1">
      <alignment horizontal="center" vertical="center"/>
    </xf>
    <xf numFmtId="14" fontId="2" fillId="0" borderId="21" xfId="0" applyNumberFormat="1" applyFont="1" applyBorder="1" applyAlignment="1">
      <alignment horizontal="center" vertical="center"/>
    </xf>
    <xf numFmtId="14" fontId="1" fillId="0" borderId="21" xfId="0" applyNumberFormat="1" applyFont="1" applyBorder="1" applyAlignment="1">
      <alignment horizontal="center" vertical="center"/>
    </xf>
    <xf numFmtId="40" fontId="3" fillId="0" borderId="21" xfId="0" applyNumberFormat="1" applyFont="1" applyBorder="1"/>
    <xf numFmtId="40" fontId="2" fillId="0" borderId="21" xfId="0" applyNumberFormat="1" applyFont="1" applyBorder="1" applyAlignment="1">
      <alignment horizontal="center" vertical="center"/>
    </xf>
    <xf numFmtId="0" fontId="3" fillId="0" borderId="21" xfId="0" applyFont="1" applyBorder="1" applyAlignment="1">
      <alignment vertical="center"/>
    </xf>
    <xf numFmtId="164" fontId="3" fillId="0" borderId="21" xfId="0" applyNumberFormat="1" applyFont="1" applyBorder="1" applyAlignment="1">
      <alignment vertical="center"/>
    </xf>
    <xf numFmtId="40" fontId="3" fillId="0" borderId="21" xfId="0" applyNumberFormat="1" applyFont="1" applyBorder="1" applyAlignment="1">
      <alignment horizontal="left" vertical="center" indent="1"/>
    </xf>
    <xf numFmtId="40" fontId="3" fillId="0" borderId="21" xfId="0" quotePrefix="1" applyNumberFormat="1" applyFont="1" applyBorder="1" applyAlignment="1">
      <alignment horizontal="left" vertical="center" indent="1"/>
    </xf>
    <xf numFmtId="4" fontId="12" fillId="5" borderId="20" xfId="0" applyNumberFormat="1" applyFont="1" applyFill="1" applyBorder="1"/>
    <xf numFmtId="4" fontId="12" fillId="5" borderId="21" xfId="0" applyNumberFormat="1" applyFont="1" applyFill="1" applyBorder="1"/>
    <xf numFmtId="4" fontId="12" fillId="5" borderId="18" xfId="0" applyNumberFormat="1" applyFont="1" applyFill="1" applyBorder="1"/>
    <xf numFmtId="4" fontId="12" fillId="5" borderId="20" xfId="0" applyNumberFormat="1" applyFont="1" applyFill="1" applyBorder="1" applyAlignment="1">
      <alignment horizontal="center"/>
    </xf>
    <xf numFmtId="4" fontId="13" fillId="3" borderId="0" xfId="0" applyNumberFormat="1" applyFont="1" applyFill="1" applyAlignment="1">
      <alignment vertical="center"/>
    </xf>
    <xf numFmtId="10" fontId="13" fillId="2" borderId="0" xfId="0" applyNumberFormat="1" applyFont="1" applyFill="1" applyAlignment="1">
      <alignment vertical="center"/>
    </xf>
    <xf numFmtId="4" fontId="9" fillId="6" borderId="0" xfId="0" applyNumberFormat="1" applyFont="1" applyFill="1" applyAlignment="1">
      <alignment vertical="center"/>
    </xf>
    <xf numFmtId="43" fontId="3" fillId="0" borderId="0" xfId="1" applyFont="1"/>
    <xf numFmtId="43" fontId="3" fillId="0" borderId="0" xfId="0" applyNumberFormat="1" applyFont="1"/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21" xfId="0" applyFont="1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7" xfId="0" applyBorder="1" applyAlignment="1">
      <alignment vertical="center"/>
    </xf>
    <xf numFmtId="0" fontId="4" fillId="0" borderId="22" xfId="0" applyFont="1" applyBorder="1" applyAlignment="1">
      <alignment horizontal="center" vertical="center"/>
    </xf>
    <xf numFmtId="0" fontId="0" fillId="0" borderId="3" xfId="0" applyBorder="1" applyAlignment="1">
      <alignment vertical="center"/>
    </xf>
    <xf numFmtId="40" fontId="3" fillId="0" borderId="16" xfId="0" applyNumberFormat="1" applyFont="1" applyBorder="1" applyAlignment="1">
      <alignment horizontal="left" vertical="center"/>
    </xf>
    <xf numFmtId="0" fontId="4" fillId="0" borderId="15" xfId="0" applyFont="1" applyBorder="1" applyAlignment="1">
      <alignment horizontal="center" vertical="center"/>
    </xf>
    <xf numFmtId="0" fontId="3" fillId="0" borderId="15" xfId="0" applyFont="1" applyBorder="1" applyAlignment="1">
      <alignment vertical="center"/>
    </xf>
    <xf numFmtId="0" fontId="4" fillId="0" borderId="16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40" fontId="4" fillId="0" borderId="18" xfId="0" applyNumberFormat="1" applyFont="1" applyBorder="1" applyAlignment="1">
      <alignment horizontal="center" vertical="center"/>
    </xf>
    <xf numFmtId="40" fontId="6" fillId="0" borderId="19" xfId="0" applyNumberFormat="1" applyFont="1" applyBorder="1" applyAlignment="1">
      <alignment horizontal="center" vertical="center"/>
    </xf>
    <xf numFmtId="40" fontId="6" fillId="0" borderId="20" xfId="0" applyNumberFormat="1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3" fillId="0" borderId="17" xfId="0" applyFont="1" applyBorder="1" applyAlignment="1">
      <alignment vertical="center"/>
    </xf>
    <xf numFmtId="0" fontId="4" fillId="0" borderId="21" xfId="0" applyFont="1" applyBorder="1" applyAlignment="1">
      <alignment horizontal="center" vertical="center"/>
    </xf>
    <xf numFmtId="40" fontId="3" fillId="0" borderId="21" xfId="0" applyNumberFormat="1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4" fontId="12" fillId="5" borderId="21" xfId="0" applyNumberFormat="1" applyFont="1" applyFill="1" applyBorder="1" applyAlignment="1">
      <alignment horizontal="center"/>
    </xf>
    <xf numFmtId="4" fontId="12" fillId="5" borderId="5" xfId="0" applyNumberFormat="1" applyFont="1" applyFill="1" applyBorder="1" applyAlignment="1">
      <alignment horizontal="center"/>
    </xf>
    <xf numFmtId="4" fontId="12" fillId="5" borderId="20" xfId="0" applyNumberFormat="1" applyFont="1" applyFill="1" applyBorder="1" applyAlignment="1">
      <alignment horizontal="center"/>
    </xf>
    <xf numFmtId="4" fontId="12" fillId="5" borderId="13" xfId="0" applyNumberFormat="1" applyFont="1" applyFill="1" applyBorder="1" applyAlignment="1">
      <alignment horizontal="center"/>
    </xf>
    <xf numFmtId="168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</cellXfs>
  <cellStyles count="2">
    <cellStyle name="Normal" xfId="0" builtinId="0"/>
    <cellStyle name="Vírgula" xfId="1" builtinId="3"/>
  </cellStyles>
  <dxfs count="1137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9" formatCode="#,##0.00_);[Red]\(#,##0.00\)"/>
    </dxf>
    <dxf>
      <numFmt numFmtId="169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6" formatCode="0.00%_);[Red]\(0.00%\)"/>
    </dxf>
    <dxf>
      <numFmt numFmtId="166" formatCode="0.00%_);[Red]\(0.00%\)"/>
    </dxf>
    <dxf>
      <numFmt numFmtId="169" formatCode="#,##0.00_);[Red]\(#,##0.00\)"/>
    </dxf>
    <dxf>
      <numFmt numFmtId="169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#,##0.00%_);[Red]\(#,##0.00%\)</c:formatCode>
                <c:ptCount val="22"/>
                <c:pt idx="0">
                  <c:v>0</c:v>
                </c:pt>
                <c:pt idx="1">
                  <c:v>-5.0863520627448676E-4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8.9533265203621162E-2</c:v>
                </c:pt>
                <c:pt idx="6">
                  <c:v>1.6922465712858818E-2</c:v>
                </c:pt>
                <c:pt idx="7">
                  <c:v>0</c:v>
                </c:pt>
                <c:pt idx="8">
                  <c:v>1.0540101764403287E-2</c:v>
                </c:pt>
                <c:pt idx="9">
                  <c:v>1.8084622747780423E-2</c:v>
                </c:pt>
                <c:pt idx="10">
                  <c:v>8.9542181413470815E-3</c:v>
                </c:pt>
                <c:pt idx="11">
                  <c:v>0</c:v>
                </c:pt>
                <c:pt idx="12">
                  <c:v>3.9976630153407057E-2</c:v>
                </c:pt>
                <c:pt idx="13">
                  <c:v>0</c:v>
                </c:pt>
                <c:pt idx="14">
                  <c:v>0</c:v>
                </c:pt>
                <c:pt idx="15">
                  <c:v>-2.3103518691321937E-2</c:v>
                </c:pt>
                <c:pt idx="16">
                  <c:v>1.543909804736826E-2</c:v>
                </c:pt>
                <c:pt idx="17">
                  <c:v>0</c:v>
                </c:pt>
                <c:pt idx="18">
                  <c:v>-2.6604791045420242E-3</c:v>
                </c:pt>
                <c:pt idx="19">
                  <c:v>-1.8544659051156543E-4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88-422D-A96A-0E2E5690D742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#,##0.00%_);[Red]\(#,##0.00%\)</c:formatCode>
                <c:ptCount val="22"/>
                <c:pt idx="0">
                  <c:v>0</c:v>
                </c:pt>
                <c:pt idx="1">
                  <c:v>-6.1710375903940601E-5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9.8697797245097835E-2</c:v>
                </c:pt>
                <c:pt idx="6">
                  <c:v>3.2670476970461326E-2</c:v>
                </c:pt>
                <c:pt idx="7">
                  <c:v>0</c:v>
                </c:pt>
                <c:pt idx="8">
                  <c:v>1.3894287308294046E-2</c:v>
                </c:pt>
                <c:pt idx="9">
                  <c:v>1.9445077334102754E-2</c:v>
                </c:pt>
                <c:pt idx="10">
                  <c:v>0</c:v>
                </c:pt>
                <c:pt idx="11">
                  <c:v>0</c:v>
                </c:pt>
                <c:pt idx="12">
                  <c:v>5.1370399833144441E-3</c:v>
                </c:pt>
                <c:pt idx="13">
                  <c:v>0</c:v>
                </c:pt>
                <c:pt idx="14">
                  <c:v>0</c:v>
                </c:pt>
                <c:pt idx="15">
                  <c:v>-5.3371347242720645E-3</c:v>
                </c:pt>
                <c:pt idx="16">
                  <c:v>1.0186368892023826E-2</c:v>
                </c:pt>
                <c:pt idx="17">
                  <c:v>0</c:v>
                </c:pt>
                <c:pt idx="18">
                  <c:v>-3.4589115529627271E-5</c:v>
                </c:pt>
                <c:pt idx="19">
                  <c:v>-1.116320135467034E-5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88-422D-A96A-0E2E5690D742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#,##0.00%_);[Red]\(#,##0.00%\)</c:formatCode>
                <c:ptCount val="22"/>
                <c:pt idx="0">
                  <c:v>0</c:v>
                </c:pt>
                <c:pt idx="1">
                  <c:v>-6.1710375903940601E-5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9.8697797245097835E-2</c:v>
                </c:pt>
                <c:pt idx="6">
                  <c:v>3.2670476970461326E-2</c:v>
                </c:pt>
                <c:pt idx="7">
                  <c:v>0</c:v>
                </c:pt>
                <c:pt idx="8">
                  <c:v>1.3894287308294046E-2</c:v>
                </c:pt>
                <c:pt idx="9">
                  <c:v>1.9445077334102754E-2</c:v>
                </c:pt>
                <c:pt idx="10">
                  <c:v>0</c:v>
                </c:pt>
                <c:pt idx="11">
                  <c:v>0</c:v>
                </c:pt>
                <c:pt idx="12">
                  <c:v>5.1370399833144441E-3</c:v>
                </c:pt>
                <c:pt idx="13">
                  <c:v>0</c:v>
                </c:pt>
                <c:pt idx="14">
                  <c:v>0</c:v>
                </c:pt>
                <c:pt idx="15">
                  <c:v>-5.3371347242720645E-3</c:v>
                </c:pt>
                <c:pt idx="16">
                  <c:v>1.0186368892023826E-2</c:v>
                </c:pt>
                <c:pt idx="17">
                  <c:v>0</c:v>
                </c:pt>
                <c:pt idx="18">
                  <c:v>-3.4589115529627271E-5</c:v>
                </c:pt>
                <c:pt idx="19">
                  <c:v>-1.116320135467034E-5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88-422D-A96A-0E2E5690D742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F588-422D-A96A-0E2E5690D742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F588-422D-A96A-0E2E5690D742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F588-422D-A96A-0E2E5690D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915808"/>
        <c:axId val="820916136"/>
      </c:radarChart>
      <c:catAx>
        <c:axId val="82091580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820916136"/>
        <c:crosses val="autoZero"/>
        <c:auto val="1"/>
        <c:lblAlgn val="ctr"/>
        <c:lblOffset val="100"/>
        <c:noMultiLvlLbl val="0"/>
      </c:catAx>
      <c:valAx>
        <c:axId val="820916136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820915808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#,##0.00%_);[Red]\(#,##0.00%\)</c:formatCode>
                <c:ptCount val="11"/>
                <c:pt idx="0">
                  <c:v>0</c:v>
                </c:pt>
                <c:pt idx="1">
                  <c:v>0.17231493359873104</c:v>
                </c:pt>
                <c:pt idx="2">
                  <c:v>0</c:v>
                </c:pt>
                <c:pt idx="3">
                  <c:v>0</c:v>
                </c:pt>
                <c:pt idx="4">
                  <c:v>-8.4921948051274662E-2</c:v>
                </c:pt>
                <c:pt idx="5">
                  <c:v>5.137498091499923E-3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8.9768630458772255E-3</c:v>
                </c:pt>
                <c:pt idx="10">
                  <c:v>-2.1913379032999615E-3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D-4771-92C1-3B6A3EF7F413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#,##0.00%_);[Red]\(#,##0.00%\)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CD-4771-92C1-3B6A3EF7F413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#,##0.00%_);[Red]\(#,##0.00%\)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CD-4771-92C1-3B6A3EF7F413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70CD-4771-92C1-3B6A3EF7F413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70CD-4771-92C1-3B6A3EF7F413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70CD-4771-92C1-3B6A3EF7F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612368"/>
        <c:axId val="819608104"/>
      </c:radarChart>
      <c:catAx>
        <c:axId val="8196123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819608104"/>
        <c:crosses val="autoZero"/>
        <c:auto val="1"/>
        <c:lblAlgn val="ctr"/>
        <c:lblOffset val="100"/>
        <c:noMultiLvlLbl val="0"/>
      </c:catAx>
      <c:valAx>
        <c:axId val="819608104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819612368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16</xdr:row>
      <xdr:rowOff>0</xdr:rowOff>
    </xdr:from>
    <xdr:to>
      <xdr:col>12</xdr:col>
      <xdr:colOff>142876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D0D96C0-7F7A-B9F3-0AA0-58279CBA5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123826</xdr:colOff>
      <xdr:row>16</xdr:row>
      <xdr:rowOff>0</xdr:rowOff>
    </xdr:from>
    <xdr:to>
      <xdr:col>12</xdr:col>
      <xdr:colOff>342901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6CA477-685D-D702-0818-EC1DDBB64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EEL" refreshedDate="44762.748651041664" createdVersion="5" refreshedVersion="8" minRefreshableVersion="3" recordCount="1098" xr:uid="{266AEA59-1E71-47E3-A15A-DC46C7F5574F}">
  <cacheSource type="worksheet">
    <worksheetSource name="Efeito"/>
  </cacheSource>
  <cacheFields count="36">
    <cacheField name="TipoMercado" numFmtId="0">
      <sharedItems/>
    </cacheField>
    <cacheField name="Subgrupo" numFmtId="0">
      <sharedItems count="6">
        <s v="A3"/>
        <s v="A4"/>
        <s v="B1"/>
        <s v="B2"/>
        <s v="B3"/>
        <s v="B4"/>
      </sharedItems>
    </cacheField>
    <cacheField name="Modalidade" numFmtId="0">
      <sharedItems count="4">
        <s v="Azul"/>
        <s v="Geração"/>
        <s v="Verde"/>
        <s v="Convencional"/>
      </sharedItems>
    </cacheField>
    <cacheField name="Classe" numFmtId="0">
      <sharedItems count="9">
        <s v="Industrial"/>
        <s v="Comercial"/>
        <s v="Não se aplica"/>
        <s v="Consumo próprio"/>
        <s v="Poder público"/>
        <s v="Rural"/>
        <s v="Serviço público"/>
        <s v="Residencial"/>
        <s v="Iluminação pública"/>
      </sharedItems>
    </cacheField>
    <cacheField name="Subclasse" numFmtId="0">
      <sharedItems count="9">
        <s v="Não se aplica"/>
        <s v="Agropecuária rural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Iluminação pública – B4a"/>
      </sharedItems>
    </cacheField>
    <cacheField name="Detalhe" numFmtId="0">
      <sharedItems count="4">
        <s v="Não se aplica"/>
        <s v="Fonte incentivada"/>
        <s v="IRRIG./AQUIC."/>
        <s v="IRRIG./AQUIC. PR"/>
      </sharedItems>
    </cacheField>
    <cacheField name="Agente" numFmtId="0">
      <sharedItems count="8">
        <s v="Não se aplica"/>
        <s v="CGH CASCATA DO PINHEIRINHO"/>
        <s v="PCH COTOVELO DO JACUÍ"/>
        <s v="CGH CAXAMBU"/>
        <s v="CGH USINA DO POSTO"/>
        <s v="CGH RP I"/>
        <s v="IGREJINHA"/>
        <s v="CGH MAMBUCAMAMBUCA"/>
      </sharedItems>
    </cacheField>
    <cacheField name="Posto" numFmtId="0">
      <sharedItems count="3">
        <s v="Fora ponta"/>
        <s v="Não se aplica"/>
        <s v="Ponta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-5090" maxValue="45076"/>
    </cacheField>
    <cacheField name="Daj" numFmtId="40">
      <sharedItems containsSemiMixedTypes="0" containsString="0" containsNumber="1" minValue="-5090" maxValue="43272.959999999999"/>
    </cacheField>
    <cacheField name="TUSD_E" numFmtId="40">
      <sharedItems containsSemiMixedTypes="0" containsString="0" containsNumber="1" minValue="-2402.556" maxValue="17247.62"/>
    </cacheField>
    <cacheField name="TUSD_Eaj" numFmtId="40">
      <sharedItems containsSemiMixedTypes="0" containsString="0" containsNumber="1" minValue="-2402.556" maxValue="17247.62"/>
    </cacheField>
    <cacheField name="TE_E" numFmtId="40">
      <sharedItems containsSemiMixedTypes="0" containsString="0" containsNumber="1" minValue="-2402.556" maxValue="17247.62"/>
    </cacheField>
    <cacheField name="TE_Eaj" numFmtId="40">
      <sharedItems containsSemiMixedTypes="0" containsString="0" containsNumber="1" minValue="-2402.556" maxValue="17247.62"/>
    </cacheField>
    <cacheField name="UC" numFmtId="40">
      <sharedItems containsSemiMixedTypes="0" containsString="0" containsNumber="1" containsInteger="1" minValue="-26832" maxValue="38410"/>
    </cacheField>
    <cacheField name="OPÇÃO" numFmtId="0">
      <sharedItems count="3">
        <s v="LIVRE"/>
        <s v="CATIVO"/>
        <s v="GERAÇÃO"/>
      </sharedItems>
    </cacheField>
    <cacheField name="CóD. AUX." numFmtId="0">
      <sharedItems containsString="0" containsBlank="1" containsNumber="1" containsInteger="1" minValue="0" maxValue="31695"/>
    </cacheField>
    <cacheField name="CóD. AUX. TUSD R$/kW" numFmtId="40">
      <sharedItems containsSemiMixedTypes="0" containsString="0" containsNumber="1" containsInteger="1" minValue="0" maxValue="43"/>
    </cacheField>
    <cacheField name="CóD. AUX. TUSD R$/MWh" numFmtId="40">
      <sharedItems containsSemiMixedTypes="0" containsString="0" containsNumber="1" containsInteger="1" minValue="0" maxValue="54"/>
    </cacheField>
    <cacheField name="CóD. AUX. TE R$/MWh" numFmtId="40">
      <sharedItems containsSemiMixedTypes="0" containsString="0" containsNumber="1" containsInteger="1" minValue="0" maxValue="92"/>
    </cacheField>
    <cacheField name="TUSD (R$/kW)" numFmtId="40">
      <sharedItems containsSemiMixedTypes="0" containsString="0" containsNumber="1" minValue="0" maxValue="43.88"/>
    </cacheField>
    <cacheField name="TUSD (R$/MWh)" numFmtId="40">
      <sharedItems containsSemiMixedTypes="0" containsString="0" containsNumber="1" minValue="0" maxValue="1124.7"/>
    </cacheField>
    <cacheField name="TE (R$/MWh)" numFmtId="40">
      <sharedItems containsSemiMixedTypes="0" containsString="0" containsNumber="1" minValue="0" maxValue="185.18"/>
    </cacheField>
    <cacheField name="TUSD (R$/kW) NOVA" numFmtId="40">
      <sharedItems containsString="0" containsBlank="1" containsNumber="1" minValue="7.6006460748490348" maxValue="45.842466572743774"/>
    </cacheField>
    <cacheField name="TUSD (R$/MWh) NOVA" numFmtId="40">
      <sharedItems containsString="0" containsBlank="1" containsNumber="1" minValue="65.416815706604012" maxValue="1194.906449742829"/>
    </cacheField>
    <cacheField name="TE (R$/MWh) NOVA" numFmtId="40">
      <sharedItems containsString="0" containsBlank="1" containsNumber="1" minValue="69.346867933314783" maxValue="198.13390838089941"/>
    </cacheField>
    <cacheField name="RA0 ou RV - TUSD (kW)" numFmtId="40">
      <sharedItems containsSemiMixedTypes="0" containsString="0" containsNumber="1" minValue="-168060.40000000002" maxValue="1132453.3632"/>
    </cacheField>
    <cacheField name="RA0 ou RV - TUSD (MWh)" numFmtId="40">
      <sharedItems containsSemiMixedTypes="0" containsString="0" containsNumber="1" minValue="-290954.26650000003" maxValue="4142188.4191999999"/>
    </cacheField>
    <cacheField name="RA0 ou RV - TE (MWh)" numFmtId="40">
      <sharedItems containsSemiMixedTypes="0" containsString="0" containsNumber="1" minValue="-444905.32008000003" maxValue="2810672.1551999999"/>
    </cacheField>
    <cacheField name="RA1 ou RRD - TUSD (kW)" numFmtId="40">
      <sharedItems containsSemiMixedTypes="0" containsString="0" containsNumber="1" minValue="-175576.64697360864" maxValue="1200661.808704834"/>
    </cacheField>
    <cacheField name="RA1 ou RRD - TUSD (MWh)" numFmtId="40">
      <sharedItems containsSemiMixedTypes="0" containsString="0" containsNumber="1" minValue="-309116.3240162211" maxValue="5120195.505393276"/>
    </cacheField>
    <cacheField name="RA1 ou RRD - TE (MWh)" numFmtId="40">
      <sharedItems containsSemiMixedTypes="0" containsString="0" containsNumber="1" minValue="-476027.81038398016" maxValue="3212298.0592164542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EEL" refreshedDate="44762.748809143515" createdVersion="5" refreshedVersion="8" minRefreshableVersion="3" recordCount="581" xr:uid="{70323752-F0A4-414F-8CE7-A3EF171C91A2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4">
        <s v="Azul"/>
        <s v="Geração"/>
        <s v="Verde"/>
        <s v="Convencional"/>
      </sharedItems>
    </cacheField>
    <cacheField name="Classe" numFmtId="0">
      <sharedItems count="5">
        <s v="Industrial"/>
        <s v="Não se aplica"/>
        <s v="Rural"/>
        <s v="Serviço público"/>
        <s v="Residencial"/>
      </sharedItems>
    </cacheField>
    <cacheField name="Subclasse" numFmtId="0">
      <sharedItems count="8">
        <s v="Não se aplica"/>
        <s v="Agropecuária rural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</sharedItems>
    </cacheField>
    <cacheField name="Detalhe" numFmtId="0">
      <sharedItems count="4">
        <s v="Fonte incentivada"/>
        <s v="Não se aplica"/>
        <s v="IRRIG./AQUIC."/>
        <s v="IRRIG./AQUIC. PR"/>
      </sharedItems>
    </cacheField>
    <cacheField name="Agente" numFmtId="0">
      <sharedItems count="8">
        <s v="Não se aplica"/>
        <s v="CGH CASCATA DO PINHEIRINHO"/>
        <s v="PCH COTOVELO DO JACUÍ"/>
        <s v="CGH CAXAMBU"/>
        <s v="CGH USINA DO POSTO"/>
        <s v="CGH RP I"/>
        <s v="IGREJINHA"/>
        <s v="CGH MAMBUCAMAMBUCA"/>
      </sharedItems>
    </cacheField>
    <cacheField name="Posto" numFmtId="0">
      <sharedItems count="3">
        <s v="Fora ponta"/>
        <s v="Não se aplica"/>
        <s v="Ponta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-1819" maxValue="45076"/>
    </cacheField>
    <cacheField name="Daj" numFmtId="40">
      <sharedItems containsSemiMixedTypes="0" containsString="0" containsNumber="1" minValue="-1746.24" maxValue="43272.959999999999"/>
    </cacheField>
    <cacheField name="TUSD_E" numFmtId="40">
      <sharedItems containsSemiMixedTypes="0" containsString="0" containsNumber="1" minValue="-1027.2639999999999" maxValue="17247.62"/>
    </cacheField>
    <cacheField name="TUSD_Eaj" numFmtId="40">
      <sharedItems containsSemiMixedTypes="0" containsString="0" containsNumber="1" minValue="-1027.2639999999999" maxValue="17247.62"/>
    </cacheField>
    <cacheField name="TE_E" numFmtId="40">
      <sharedItems containsSemiMixedTypes="0" containsString="0" containsNumber="1" minValue="-1027.2639999999999" maxValue="17247.62"/>
    </cacheField>
    <cacheField name="TE_Eaj" numFmtId="40">
      <sharedItems containsSemiMixedTypes="0" containsString="0" containsNumber="1" minValue="-1027.2639999999999" maxValue="17247.62"/>
    </cacheField>
    <cacheField name="UC" numFmtId="40">
      <sharedItems containsSemiMixedTypes="0" containsString="0" containsNumber="1" containsInteger="1" minValue="-80" maxValue="38410"/>
    </cacheField>
    <cacheField name="OPÇÃO" numFmtId="0">
      <sharedItems/>
    </cacheField>
    <cacheField name="CóD. AUX." numFmtId="0">
      <sharedItems containsString="0" containsBlank="1" containsNumber="1" containsInteger="1" minValue="0" maxValue="31695"/>
    </cacheField>
    <cacheField name="CóD. AUX. TUSD R$/kW" numFmtId="0">
      <sharedItems containsSemiMixedTypes="0" containsString="0" containsNumber="1" containsInteger="1" minValue="0" maxValue="18"/>
    </cacheField>
    <cacheField name="CóD. AUX. TUSD R$/MWh" numFmtId="0">
      <sharedItems containsSemiMixedTypes="0" containsString="0" containsNumber="1" containsInteger="1" minValue="0" maxValue="40"/>
    </cacheField>
    <cacheField name="CóD. AUX. TE R$/MWh" numFmtId="0">
      <sharedItems containsSemiMixedTypes="0" containsString="0" containsNumber="1" containsInteger="1" minValue="0" maxValue="89"/>
    </cacheField>
    <cacheField name="TUSD (R$/kW)" numFmtId="40">
      <sharedItems containsSemiMixedTypes="0" containsString="0" containsNumber="1" minValue="0" maxValue="43.88"/>
    </cacheField>
    <cacheField name="TUSD (R$/MWh)" numFmtId="40">
      <sharedItems containsSemiMixedTypes="0" containsString="0" containsNumber="1" minValue="0" maxValue="1124.7"/>
    </cacheField>
    <cacheField name="TE (R$/MWh)" numFmtId="40">
      <sharedItems containsSemiMixedTypes="0" containsString="0" containsNumber="1" minValue="0" maxValue="185.18"/>
    </cacheField>
    <cacheField name="TUSD (R$/kW) NOVA" numFmtId="40">
      <sharedItems containsString="0" containsBlank="1" containsNumber="1" minValue="7.6006460748490348" maxValue="45.842466572743774"/>
    </cacheField>
    <cacheField name="TUSD (R$/MWh) NOVA" numFmtId="40">
      <sharedItems containsString="0" containsBlank="1" containsNumber="1" minValue="76.497360298077055" maxValue="1194.906449742829"/>
    </cacheField>
    <cacheField name="TE (R$/MWh) NOVA" numFmtId="40">
      <sharedItems containsString="0" containsBlank="1" containsNumber="1" minValue="69.346867933314783" maxValue="198.13390838089941"/>
    </cacheField>
    <cacheField name="SUBSIDIO kW - TV" numFmtId="40">
      <sharedItems containsSemiMixedTypes="0" containsString="0" containsNumber="1" minValue="-1904.1291999999999" maxValue="227868.84000000003"/>
    </cacheField>
    <cacheField name="SUBSIDIO MWh - TV" numFmtId="40">
      <sharedItems containsSemiMixedTypes="0" containsString="0" containsNumber="1" minValue="-56468.702080000025" maxValue="1190107.264983"/>
    </cacheField>
    <cacheField name="SUBSIDIO kW - TN" numFmtId="40">
      <sharedItems containsSemiMixedTypes="0" containsString="0" containsNumber="1" minValue="-2018.8162122804565" maxValue="238059.92891225842"/>
    </cacheField>
    <cacheField name="SUBSIDIO MWh - TN" numFmtId="40">
      <sharedItems containsSemiMixedTypes="0" containsString="0" containsNumber="1" minValue="-31677.527543258373" maxValue="1357692.6326007897"/>
    </cacheField>
    <cacheField name="TIPO" numFmtId="0">
      <sharedItems containsBlank="1" count="7">
        <s v="SUBSIDIO CARGA FONTE INCENTIVADA"/>
        <s v="SUBSIDIO GERAÇÃO FONTE INCENTIVADA"/>
        <s v="SUBSIDIO RURAL"/>
        <s v="SUBSIDIO IRRIGANTE/AQUICULTOR"/>
        <s v="SUBSIDIO ÁGUA, ESGOTO E SANEAMENTO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8">
  <r>
    <s v="Regular"/>
    <x v="0"/>
    <x v="0"/>
    <x v="0"/>
    <x v="0"/>
    <x v="0"/>
    <x v="0"/>
    <x v="0"/>
    <x v="0"/>
    <n v="3300"/>
    <n v="3300"/>
    <n v="0"/>
    <n v="0"/>
    <n v="0"/>
    <n v="0"/>
    <n v="0"/>
    <x v="0"/>
    <n v="0"/>
    <n v="19"/>
    <n v="0"/>
    <n v="0"/>
    <n v="10.39"/>
    <n v="0"/>
    <n v="0"/>
    <n v="12.288516312833087"/>
    <n v="65.416815706604012"/>
    <m/>
    <n v="34287"/>
    <n v="0"/>
    <n v="0"/>
    <n v="40552.103832349188"/>
    <n v="0"/>
    <n v="0"/>
  </r>
  <r>
    <s v="Regular"/>
    <x v="0"/>
    <x v="0"/>
    <x v="0"/>
    <x v="0"/>
    <x v="0"/>
    <x v="0"/>
    <x v="0"/>
    <x v="1"/>
    <n v="3300"/>
    <n v="3300"/>
    <n v="0"/>
    <n v="0"/>
    <n v="0"/>
    <n v="0"/>
    <n v="0"/>
    <x v="0"/>
    <n v="0"/>
    <n v="19"/>
    <n v="0"/>
    <n v="0"/>
    <n v="10.39"/>
    <n v="0"/>
    <n v="0"/>
    <n v="12.288516312833087"/>
    <n v="65.416815706604012"/>
    <m/>
    <n v="34287"/>
    <n v="0"/>
    <n v="0"/>
    <n v="40552.103832349188"/>
    <n v="0"/>
    <n v="0"/>
  </r>
  <r>
    <s v="Regular"/>
    <x v="0"/>
    <x v="0"/>
    <x v="0"/>
    <x v="0"/>
    <x v="0"/>
    <x v="0"/>
    <x v="0"/>
    <x v="2"/>
    <n v="3300"/>
    <n v="3300"/>
    <n v="0"/>
    <n v="0"/>
    <n v="0"/>
    <n v="0"/>
    <n v="0"/>
    <x v="0"/>
    <n v="0"/>
    <n v="19"/>
    <n v="0"/>
    <n v="0"/>
    <n v="10.39"/>
    <n v="0"/>
    <n v="0"/>
    <n v="12.288516312833087"/>
    <n v="65.416815706604012"/>
    <m/>
    <n v="34287"/>
    <n v="0"/>
    <n v="0"/>
    <n v="40552.103832349188"/>
    <n v="0"/>
    <n v="0"/>
  </r>
  <r>
    <s v="Regular"/>
    <x v="0"/>
    <x v="0"/>
    <x v="0"/>
    <x v="0"/>
    <x v="0"/>
    <x v="0"/>
    <x v="0"/>
    <x v="3"/>
    <n v="3300"/>
    <n v="3300"/>
    <n v="0"/>
    <n v="0"/>
    <n v="0"/>
    <n v="0"/>
    <n v="0"/>
    <x v="0"/>
    <n v="0"/>
    <n v="19"/>
    <n v="0"/>
    <n v="0"/>
    <n v="10.39"/>
    <n v="0"/>
    <n v="0"/>
    <n v="12.288516312833087"/>
    <n v="65.416815706604012"/>
    <m/>
    <n v="34287"/>
    <n v="0"/>
    <n v="0"/>
    <n v="40552.103832349188"/>
    <n v="0"/>
    <n v="0"/>
  </r>
  <r>
    <s v="Regular"/>
    <x v="0"/>
    <x v="0"/>
    <x v="0"/>
    <x v="0"/>
    <x v="0"/>
    <x v="0"/>
    <x v="0"/>
    <x v="4"/>
    <n v="3300"/>
    <n v="3300"/>
    <n v="0"/>
    <n v="0"/>
    <n v="0"/>
    <n v="0"/>
    <n v="0"/>
    <x v="0"/>
    <n v="0"/>
    <n v="19"/>
    <n v="0"/>
    <n v="0"/>
    <n v="10.39"/>
    <n v="0"/>
    <n v="0"/>
    <n v="12.288516312833087"/>
    <n v="65.416815706604012"/>
    <m/>
    <n v="34287"/>
    <n v="0"/>
    <n v="0"/>
    <n v="40552.103832349188"/>
    <n v="0"/>
    <n v="0"/>
  </r>
  <r>
    <s v="PROJETADO"/>
    <x v="0"/>
    <x v="0"/>
    <x v="0"/>
    <x v="0"/>
    <x v="0"/>
    <x v="0"/>
    <x v="0"/>
    <x v="5"/>
    <n v="3300"/>
    <n v="3300"/>
    <n v="0"/>
    <n v="0"/>
    <n v="0"/>
    <n v="0"/>
    <n v="0"/>
    <x v="0"/>
    <n v="0"/>
    <n v="19"/>
    <n v="0"/>
    <n v="0"/>
    <n v="10.39"/>
    <n v="0"/>
    <n v="0"/>
    <n v="12.288516312833087"/>
    <n v="65.416815706604012"/>
    <m/>
    <n v="34287"/>
    <n v="0"/>
    <n v="0"/>
    <n v="40552.103832349188"/>
    <n v="0"/>
    <n v="0"/>
  </r>
  <r>
    <s v="Regular"/>
    <x v="0"/>
    <x v="0"/>
    <x v="0"/>
    <x v="0"/>
    <x v="0"/>
    <x v="0"/>
    <x v="0"/>
    <x v="6"/>
    <n v="3300"/>
    <n v="3300"/>
    <n v="0"/>
    <n v="0"/>
    <n v="0"/>
    <n v="0"/>
    <n v="0"/>
    <x v="0"/>
    <n v="0"/>
    <n v="19"/>
    <n v="0"/>
    <n v="0"/>
    <n v="10.39"/>
    <n v="0"/>
    <n v="0"/>
    <n v="12.288516312833087"/>
    <n v="65.416815706604012"/>
    <m/>
    <n v="34287"/>
    <n v="0"/>
    <n v="0"/>
    <n v="40552.103832349188"/>
    <n v="0"/>
    <n v="0"/>
  </r>
  <r>
    <s v="Regular"/>
    <x v="0"/>
    <x v="0"/>
    <x v="0"/>
    <x v="0"/>
    <x v="0"/>
    <x v="0"/>
    <x v="0"/>
    <x v="7"/>
    <n v="3300"/>
    <n v="3300"/>
    <n v="0"/>
    <n v="0"/>
    <n v="0"/>
    <n v="0"/>
    <n v="0"/>
    <x v="0"/>
    <n v="0"/>
    <n v="19"/>
    <n v="0"/>
    <n v="0"/>
    <n v="10.39"/>
    <n v="0"/>
    <n v="0"/>
    <n v="12.288516312833087"/>
    <n v="65.416815706604012"/>
    <m/>
    <n v="34287"/>
    <n v="0"/>
    <n v="0"/>
    <n v="40552.103832349188"/>
    <n v="0"/>
    <n v="0"/>
  </r>
  <r>
    <s v="Regular"/>
    <x v="0"/>
    <x v="0"/>
    <x v="0"/>
    <x v="0"/>
    <x v="0"/>
    <x v="0"/>
    <x v="0"/>
    <x v="8"/>
    <n v="3300"/>
    <n v="3300"/>
    <n v="0"/>
    <n v="0"/>
    <n v="0"/>
    <n v="0"/>
    <n v="0"/>
    <x v="0"/>
    <n v="0"/>
    <n v="19"/>
    <n v="0"/>
    <n v="0"/>
    <n v="10.39"/>
    <n v="0"/>
    <n v="0"/>
    <n v="12.288516312833087"/>
    <n v="65.416815706604012"/>
    <m/>
    <n v="34287"/>
    <n v="0"/>
    <n v="0"/>
    <n v="40552.103832349188"/>
    <n v="0"/>
    <n v="0"/>
  </r>
  <r>
    <s v="PROJETADO"/>
    <x v="0"/>
    <x v="0"/>
    <x v="0"/>
    <x v="0"/>
    <x v="0"/>
    <x v="0"/>
    <x v="0"/>
    <x v="9"/>
    <n v="3300"/>
    <n v="3300"/>
    <n v="0"/>
    <n v="0"/>
    <n v="0"/>
    <n v="0"/>
    <n v="0"/>
    <x v="0"/>
    <n v="0"/>
    <n v="19"/>
    <n v="0"/>
    <n v="0"/>
    <n v="10.39"/>
    <n v="0"/>
    <n v="0"/>
    <n v="12.288516312833087"/>
    <n v="65.416815706604012"/>
    <m/>
    <n v="34287"/>
    <n v="0"/>
    <n v="0"/>
    <n v="40552.103832349188"/>
    <n v="0"/>
    <n v="0"/>
  </r>
  <r>
    <s v="Regular"/>
    <x v="0"/>
    <x v="0"/>
    <x v="0"/>
    <x v="0"/>
    <x v="0"/>
    <x v="0"/>
    <x v="0"/>
    <x v="10"/>
    <n v="3300"/>
    <n v="3300"/>
    <n v="0"/>
    <n v="0"/>
    <n v="0"/>
    <n v="0"/>
    <n v="0"/>
    <x v="0"/>
    <n v="0"/>
    <n v="19"/>
    <n v="0"/>
    <n v="0"/>
    <n v="10.39"/>
    <n v="0"/>
    <n v="0"/>
    <n v="12.288516312833087"/>
    <n v="65.416815706604012"/>
    <m/>
    <n v="34287"/>
    <n v="0"/>
    <n v="0"/>
    <n v="40552.103832349188"/>
    <n v="0"/>
    <n v="0"/>
  </r>
  <r>
    <s v="Regular"/>
    <x v="0"/>
    <x v="0"/>
    <x v="0"/>
    <x v="0"/>
    <x v="0"/>
    <x v="0"/>
    <x v="0"/>
    <x v="11"/>
    <n v="3300"/>
    <n v="3300"/>
    <n v="0"/>
    <n v="0"/>
    <n v="0"/>
    <n v="0"/>
    <n v="0"/>
    <x v="0"/>
    <n v="0"/>
    <n v="19"/>
    <n v="0"/>
    <n v="0"/>
    <n v="10.39"/>
    <n v="0"/>
    <n v="0"/>
    <n v="12.288516312833087"/>
    <n v="65.416815706604012"/>
    <m/>
    <n v="34287"/>
    <n v="0"/>
    <n v="0"/>
    <n v="40552.103832349188"/>
    <n v="0"/>
    <n v="0"/>
  </r>
  <r>
    <s v="Regular"/>
    <x v="0"/>
    <x v="0"/>
    <x v="0"/>
    <x v="0"/>
    <x v="0"/>
    <x v="0"/>
    <x v="1"/>
    <x v="0"/>
    <n v="0"/>
    <n v="0"/>
    <n v="1287.8820000000001"/>
    <n v="1287.8820000000001"/>
    <n v="0"/>
    <n v="0"/>
    <n v="1"/>
    <x v="0"/>
    <n v="0"/>
    <n v="0"/>
    <n v="42"/>
    <n v="0"/>
    <n v="0"/>
    <n v="48.44"/>
    <n v="0"/>
    <m/>
    <n v="65.416815706604012"/>
    <m/>
    <n v="0"/>
    <n v="62385.004079999999"/>
    <n v="0"/>
    <n v="0"/>
    <n v="84249.13944585259"/>
    <n v="0"/>
  </r>
  <r>
    <s v="Regular"/>
    <x v="0"/>
    <x v="0"/>
    <x v="0"/>
    <x v="0"/>
    <x v="0"/>
    <x v="0"/>
    <x v="1"/>
    <x v="1"/>
    <n v="0"/>
    <n v="0"/>
    <n v="1277.1189999999999"/>
    <n v="1277.1189999999999"/>
    <n v="0"/>
    <n v="0"/>
    <n v="1"/>
    <x v="0"/>
    <n v="0"/>
    <n v="0"/>
    <n v="42"/>
    <n v="0"/>
    <n v="0"/>
    <n v="48.44"/>
    <n v="0"/>
    <m/>
    <n v="65.416815706604012"/>
    <m/>
    <n v="0"/>
    <n v="61863.644359999991"/>
    <n v="0"/>
    <n v="0"/>
    <n v="83545.058258402409"/>
    <n v="0"/>
  </r>
  <r>
    <s v="Regular"/>
    <x v="0"/>
    <x v="0"/>
    <x v="0"/>
    <x v="0"/>
    <x v="0"/>
    <x v="0"/>
    <x v="1"/>
    <x v="2"/>
    <n v="0"/>
    <n v="0"/>
    <n v="1380.8340000000001"/>
    <n v="1380.8340000000001"/>
    <n v="0"/>
    <n v="0"/>
    <n v="1"/>
    <x v="0"/>
    <n v="0"/>
    <n v="0"/>
    <n v="42"/>
    <n v="0"/>
    <n v="0"/>
    <n v="48.44"/>
    <n v="0"/>
    <m/>
    <n v="65.416815706604012"/>
    <m/>
    <n v="0"/>
    <n v="66887.598960000003"/>
    <n v="0"/>
    <n v="0"/>
    <n v="90329.763299412851"/>
    <n v="0"/>
  </r>
  <r>
    <s v="Regular"/>
    <x v="0"/>
    <x v="0"/>
    <x v="0"/>
    <x v="0"/>
    <x v="0"/>
    <x v="0"/>
    <x v="1"/>
    <x v="3"/>
    <n v="0"/>
    <n v="0"/>
    <n v="1365.3340000000001"/>
    <n v="1365.3340000000001"/>
    <n v="0"/>
    <n v="0"/>
    <n v="1"/>
    <x v="0"/>
    <n v="0"/>
    <n v="0"/>
    <n v="42"/>
    <n v="0"/>
    <n v="0"/>
    <n v="48.44"/>
    <n v="0"/>
    <m/>
    <n v="65.416815706604012"/>
    <m/>
    <n v="0"/>
    <n v="66136.778959999996"/>
    <n v="0"/>
    <n v="0"/>
    <n v="89315.802655960491"/>
    <n v="0"/>
  </r>
  <r>
    <s v="Regular"/>
    <x v="0"/>
    <x v="0"/>
    <x v="0"/>
    <x v="0"/>
    <x v="0"/>
    <x v="0"/>
    <x v="1"/>
    <x v="4"/>
    <n v="0"/>
    <n v="0"/>
    <n v="1450.1990000000001"/>
    <n v="1450.1990000000001"/>
    <n v="0"/>
    <n v="0"/>
    <n v="1"/>
    <x v="0"/>
    <n v="0"/>
    <n v="0"/>
    <n v="42"/>
    <n v="0"/>
    <n v="0"/>
    <n v="48.44"/>
    <n v="0"/>
    <m/>
    <n v="65.416815706604012"/>
    <m/>
    <n v="0"/>
    <n v="70247.639559999996"/>
    <n v="0"/>
    <n v="0"/>
    <n v="94867.400720901438"/>
    <n v="0"/>
  </r>
  <r>
    <s v="PROJETADO"/>
    <x v="0"/>
    <x v="0"/>
    <x v="0"/>
    <x v="0"/>
    <x v="0"/>
    <x v="0"/>
    <x v="1"/>
    <x v="5"/>
    <n v="0"/>
    <n v="0"/>
    <n v="1450.1990000000001"/>
    <n v="1450.1990000000001"/>
    <n v="0"/>
    <n v="0"/>
    <n v="1"/>
    <x v="0"/>
    <n v="0"/>
    <n v="0"/>
    <n v="42"/>
    <n v="0"/>
    <n v="0"/>
    <n v="48.44"/>
    <n v="0"/>
    <m/>
    <n v="65.416815706604012"/>
    <m/>
    <n v="0"/>
    <n v="70247.639559999996"/>
    <n v="0"/>
    <n v="0"/>
    <n v="94867.400720901438"/>
    <n v="0"/>
  </r>
  <r>
    <s v="Regular"/>
    <x v="0"/>
    <x v="0"/>
    <x v="0"/>
    <x v="0"/>
    <x v="0"/>
    <x v="0"/>
    <x v="1"/>
    <x v="6"/>
    <n v="0"/>
    <n v="0"/>
    <n v="1424.0119999999999"/>
    <n v="1424.0119999999999"/>
    <n v="0"/>
    <n v="0"/>
    <n v="1"/>
    <x v="0"/>
    <n v="0"/>
    <n v="0"/>
    <n v="42"/>
    <n v="0"/>
    <n v="0"/>
    <n v="48.44"/>
    <n v="0"/>
    <m/>
    <n v="65.416815706604012"/>
    <m/>
    <n v="0"/>
    <n v="68979.141279999996"/>
    <n v="0"/>
    <n v="0"/>
    <n v="93154.330567992583"/>
    <n v="0"/>
  </r>
  <r>
    <s v="Regular"/>
    <x v="0"/>
    <x v="0"/>
    <x v="0"/>
    <x v="0"/>
    <x v="0"/>
    <x v="0"/>
    <x v="1"/>
    <x v="7"/>
    <n v="0"/>
    <n v="0"/>
    <n v="1638.89"/>
    <n v="1638.89"/>
    <n v="0"/>
    <n v="0"/>
    <n v="1"/>
    <x v="0"/>
    <n v="0"/>
    <n v="0"/>
    <n v="42"/>
    <n v="0"/>
    <n v="0"/>
    <n v="48.44"/>
    <n v="0"/>
    <m/>
    <n v="65.416815706604012"/>
    <m/>
    <n v="0"/>
    <n v="79387.831600000005"/>
    <n v="0"/>
    <n v="0"/>
    <n v="107210.96509339625"/>
    <n v="0"/>
  </r>
  <r>
    <s v="Regular"/>
    <x v="0"/>
    <x v="0"/>
    <x v="0"/>
    <x v="0"/>
    <x v="0"/>
    <x v="0"/>
    <x v="1"/>
    <x v="8"/>
    <n v="0"/>
    <n v="0"/>
    <n v="1425.896"/>
    <n v="1425.896"/>
    <n v="0"/>
    <n v="0"/>
    <n v="1"/>
    <x v="0"/>
    <n v="0"/>
    <n v="0"/>
    <n v="42"/>
    <n v="0"/>
    <n v="0"/>
    <n v="48.44"/>
    <n v="0"/>
    <m/>
    <n v="65.416815706604012"/>
    <m/>
    <n v="0"/>
    <n v="69070.402239999996"/>
    <n v="0"/>
    <n v="0"/>
    <n v="93277.575848783832"/>
    <n v="0"/>
  </r>
  <r>
    <s v="PROJETADO"/>
    <x v="0"/>
    <x v="0"/>
    <x v="0"/>
    <x v="0"/>
    <x v="0"/>
    <x v="0"/>
    <x v="1"/>
    <x v="9"/>
    <n v="0"/>
    <n v="0"/>
    <n v="1425.896"/>
    <n v="1425.896"/>
    <n v="0"/>
    <n v="0"/>
    <n v="1"/>
    <x v="0"/>
    <n v="0"/>
    <n v="0"/>
    <n v="42"/>
    <n v="0"/>
    <n v="0"/>
    <n v="48.44"/>
    <n v="0"/>
    <m/>
    <n v="65.416815706604012"/>
    <m/>
    <n v="0"/>
    <n v="69070.402239999996"/>
    <n v="0"/>
    <n v="0"/>
    <n v="93277.575848783832"/>
    <n v="0"/>
  </r>
  <r>
    <s v="Regular"/>
    <x v="0"/>
    <x v="0"/>
    <x v="0"/>
    <x v="0"/>
    <x v="0"/>
    <x v="0"/>
    <x v="1"/>
    <x v="10"/>
    <n v="0"/>
    <n v="0"/>
    <n v="1382.0039999999999"/>
    <n v="1382.0039999999999"/>
    <n v="0"/>
    <n v="0"/>
    <n v="1"/>
    <x v="0"/>
    <n v="0"/>
    <n v="0"/>
    <n v="42"/>
    <n v="0"/>
    <n v="0"/>
    <n v="48.44"/>
    <n v="0"/>
    <m/>
    <n v="65.416815706604012"/>
    <m/>
    <n v="0"/>
    <n v="66944.273759999996"/>
    <n v="0"/>
    <n v="0"/>
    <n v="90406.300973789563"/>
    <n v="0"/>
  </r>
  <r>
    <s v="Regular"/>
    <x v="0"/>
    <x v="0"/>
    <x v="0"/>
    <x v="0"/>
    <x v="0"/>
    <x v="0"/>
    <x v="1"/>
    <x v="11"/>
    <n v="0"/>
    <n v="0"/>
    <n v="1365.4870000000001"/>
    <n v="1365.4870000000001"/>
    <n v="0"/>
    <n v="0"/>
    <n v="1"/>
    <x v="0"/>
    <n v="0"/>
    <n v="0"/>
    <n v="42"/>
    <n v="0"/>
    <n v="0"/>
    <n v="48.44"/>
    <n v="0"/>
    <m/>
    <n v="65.416815706604012"/>
    <m/>
    <n v="0"/>
    <n v="66144.190279999995"/>
    <n v="0"/>
    <n v="0"/>
    <n v="89325.811428763598"/>
    <n v="0"/>
  </r>
  <r>
    <s v="Regular"/>
    <x v="0"/>
    <x v="0"/>
    <x v="0"/>
    <x v="0"/>
    <x v="0"/>
    <x v="0"/>
    <x v="2"/>
    <x v="0"/>
    <n v="3300"/>
    <n v="3300"/>
    <n v="0"/>
    <n v="0"/>
    <n v="0"/>
    <n v="0"/>
    <n v="0"/>
    <x v="0"/>
    <n v="0"/>
    <n v="43"/>
    <n v="0"/>
    <n v="0"/>
    <n v="22.57"/>
    <n v="0"/>
    <n v="0"/>
    <n v="26.701002509232605"/>
    <n v="65.416815706604012"/>
    <m/>
    <n v="74481"/>
    <n v="0"/>
    <n v="0"/>
    <n v="88113.308280467594"/>
    <n v="0"/>
    <n v="0"/>
  </r>
  <r>
    <s v="Regular"/>
    <x v="0"/>
    <x v="0"/>
    <x v="0"/>
    <x v="0"/>
    <x v="0"/>
    <x v="0"/>
    <x v="2"/>
    <x v="1"/>
    <n v="3300"/>
    <n v="3300"/>
    <n v="0"/>
    <n v="0"/>
    <n v="0"/>
    <n v="0"/>
    <n v="0"/>
    <x v="0"/>
    <n v="0"/>
    <n v="43"/>
    <n v="0"/>
    <n v="0"/>
    <n v="22.57"/>
    <n v="0"/>
    <n v="0"/>
    <n v="26.701002509232605"/>
    <n v="65.416815706604012"/>
    <m/>
    <n v="74481"/>
    <n v="0"/>
    <n v="0"/>
    <n v="88113.308280467594"/>
    <n v="0"/>
    <n v="0"/>
  </r>
  <r>
    <s v="Regular"/>
    <x v="0"/>
    <x v="0"/>
    <x v="0"/>
    <x v="0"/>
    <x v="0"/>
    <x v="0"/>
    <x v="2"/>
    <x v="2"/>
    <n v="3300"/>
    <n v="3300"/>
    <n v="0"/>
    <n v="0"/>
    <n v="0"/>
    <n v="0"/>
    <n v="0"/>
    <x v="0"/>
    <n v="0"/>
    <n v="43"/>
    <n v="0"/>
    <n v="0"/>
    <n v="22.57"/>
    <n v="0"/>
    <n v="0"/>
    <n v="26.701002509232605"/>
    <n v="65.416815706604012"/>
    <m/>
    <n v="74481"/>
    <n v="0"/>
    <n v="0"/>
    <n v="88113.308280467594"/>
    <n v="0"/>
    <n v="0"/>
  </r>
  <r>
    <s v="Regular"/>
    <x v="0"/>
    <x v="0"/>
    <x v="0"/>
    <x v="0"/>
    <x v="0"/>
    <x v="0"/>
    <x v="2"/>
    <x v="3"/>
    <n v="3300"/>
    <n v="3300"/>
    <n v="0"/>
    <n v="0"/>
    <n v="0"/>
    <n v="0"/>
    <n v="0"/>
    <x v="0"/>
    <n v="0"/>
    <n v="43"/>
    <n v="0"/>
    <n v="0"/>
    <n v="22.57"/>
    <n v="0"/>
    <n v="0"/>
    <n v="26.701002509232605"/>
    <n v="65.416815706604012"/>
    <m/>
    <n v="74481"/>
    <n v="0"/>
    <n v="0"/>
    <n v="88113.308280467594"/>
    <n v="0"/>
    <n v="0"/>
  </r>
  <r>
    <s v="Regular"/>
    <x v="0"/>
    <x v="0"/>
    <x v="0"/>
    <x v="0"/>
    <x v="0"/>
    <x v="0"/>
    <x v="2"/>
    <x v="4"/>
    <n v="3300"/>
    <n v="3300"/>
    <n v="0"/>
    <n v="0"/>
    <n v="0"/>
    <n v="0"/>
    <n v="0"/>
    <x v="0"/>
    <n v="0"/>
    <n v="43"/>
    <n v="0"/>
    <n v="0"/>
    <n v="22.57"/>
    <n v="0"/>
    <n v="0"/>
    <n v="26.701002509232605"/>
    <n v="65.416815706604012"/>
    <m/>
    <n v="74481"/>
    <n v="0"/>
    <n v="0"/>
    <n v="88113.308280467594"/>
    <n v="0"/>
    <n v="0"/>
  </r>
  <r>
    <s v="PROJETADO"/>
    <x v="0"/>
    <x v="0"/>
    <x v="0"/>
    <x v="0"/>
    <x v="0"/>
    <x v="0"/>
    <x v="2"/>
    <x v="5"/>
    <n v="3300"/>
    <n v="3300"/>
    <n v="0"/>
    <n v="0"/>
    <n v="0"/>
    <n v="0"/>
    <n v="0"/>
    <x v="0"/>
    <n v="0"/>
    <n v="43"/>
    <n v="0"/>
    <n v="0"/>
    <n v="22.57"/>
    <n v="0"/>
    <n v="0"/>
    <n v="26.701002509232605"/>
    <n v="65.416815706604012"/>
    <m/>
    <n v="74481"/>
    <n v="0"/>
    <n v="0"/>
    <n v="88113.308280467594"/>
    <n v="0"/>
    <n v="0"/>
  </r>
  <r>
    <s v="Regular"/>
    <x v="0"/>
    <x v="0"/>
    <x v="0"/>
    <x v="0"/>
    <x v="0"/>
    <x v="0"/>
    <x v="2"/>
    <x v="6"/>
    <n v="3300"/>
    <n v="3300"/>
    <n v="0"/>
    <n v="0"/>
    <n v="0"/>
    <n v="0"/>
    <n v="0"/>
    <x v="0"/>
    <n v="0"/>
    <n v="43"/>
    <n v="0"/>
    <n v="0"/>
    <n v="22.57"/>
    <n v="0"/>
    <n v="0"/>
    <n v="26.701002509232605"/>
    <n v="65.416815706604012"/>
    <m/>
    <n v="74481"/>
    <n v="0"/>
    <n v="0"/>
    <n v="88113.308280467594"/>
    <n v="0"/>
    <n v="0"/>
  </r>
  <r>
    <s v="Regular"/>
    <x v="0"/>
    <x v="0"/>
    <x v="0"/>
    <x v="0"/>
    <x v="0"/>
    <x v="0"/>
    <x v="2"/>
    <x v="7"/>
    <n v="3300"/>
    <n v="3300"/>
    <n v="0"/>
    <n v="0"/>
    <n v="0"/>
    <n v="0"/>
    <n v="0"/>
    <x v="0"/>
    <n v="0"/>
    <n v="43"/>
    <n v="0"/>
    <n v="0"/>
    <n v="22.57"/>
    <n v="0"/>
    <n v="0"/>
    <n v="26.701002509232605"/>
    <n v="65.416815706604012"/>
    <m/>
    <n v="74481"/>
    <n v="0"/>
    <n v="0"/>
    <n v="88113.308280467594"/>
    <n v="0"/>
    <n v="0"/>
  </r>
  <r>
    <s v="Regular"/>
    <x v="0"/>
    <x v="0"/>
    <x v="0"/>
    <x v="0"/>
    <x v="0"/>
    <x v="0"/>
    <x v="2"/>
    <x v="8"/>
    <n v="3300"/>
    <n v="3300"/>
    <n v="0"/>
    <n v="0"/>
    <n v="0"/>
    <n v="0"/>
    <n v="0"/>
    <x v="0"/>
    <n v="0"/>
    <n v="43"/>
    <n v="0"/>
    <n v="0"/>
    <n v="22.57"/>
    <n v="0"/>
    <n v="0"/>
    <n v="26.701002509232605"/>
    <n v="65.416815706604012"/>
    <m/>
    <n v="74481"/>
    <n v="0"/>
    <n v="0"/>
    <n v="88113.308280467594"/>
    <n v="0"/>
    <n v="0"/>
  </r>
  <r>
    <s v="PROJETADO"/>
    <x v="0"/>
    <x v="0"/>
    <x v="0"/>
    <x v="0"/>
    <x v="0"/>
    <x v="0"/>
    <x v="2"/>
    <x v="9"/>
    <n v="3300"/>
    <n v="3300"/>
    <n v="0"/>
    <n v="0"/>
    <n v="0"/>
    <n v="0"/>
    <n v="0"/>
    <x v="0"/>
    <n v="0"/>
    <n v="43"/>
    <n v="0"/>
    <n v="0"/>
    <n v="22.57"/>
    <n v="0"/>
    <n v="0"/>
    <n v="26.701002509232605"/>
    <n v="65.416815706604012"/>
    <m/>
    <n v="74481"/>
    <n v="0"/>
    <n v="0"/>
    <n v="88113.308280467594"/>
    <n v="0"/>
    <n v="0"/>
  </r>
  <r>
    <s v="Regular"/>
    <x v="0"/>
    <x v="0"/>
    <x v="0"/>
    <x v="0"/>
    <x v="0"/>
    <x v="0"/>
    <x v="2"/>
    <x v="10"/>
    <n v="3300"/>
    <n v="3300"/>
    <n v="0"/>
    <n v="0"/>
    <n v="0"/>
    <n v="0"/>
    <n v="0"/>
    <x v="0"/>
    <n v="0"/>
    <n v="43"/>
    <n v="0"/>
    <n v="0"/>
    <n v="22.57"/>
    <n v="0"/>
    <n v="0"/>
    <n v="26.701002509232605"/>
    <n v="65.416815706604012"/>
    <m/>
    <n v="74481"/>
    <n v="0"/>
    <n v="0"/>
    <n v="88113.308280467594"/>
    <n v="0"/>
    <n v="0"/>
  </r>
  <r>
    <s v="Regular"/>
    <x v="0"/>
    <x v="0"/>
    <x v="0"/>
    <x v="0"/>
    <x v="0"/>
    <x v="0"/>
    <x v="2"/>
    <x v="11"/>
    <n v="3300"/>
    <n v="3300"/>
    <n v="0"/>
    <n v="0"/>
    <n v="0"/>
    <n v="0"/>
    <n v="0"/>
    <x v="0"/>
    <n v="0"/>
    <n v="43"/>
    <n v="0"/>
    <n v="0"/>
    <n v="22.57"/>
    <n v="0"/>
    <n v="0"/>
    <n v="26.701002509232605"/>
    <n v="65.416815706604012"/>
    <m/>
    <n v="74481"/>
    <n v="0"/>
    <n v="0"/>
    <n v="88113.308280467594"/>
    <n v="0"/>
    <n v="0"/>
  </r>
  <r>
    <s v="Regular"/>
    <x v="1"/>
    <x v="0"/>
    <x v="1"/>
    <x v="0"/>
    <x v="0"/>
    <x v="0"/>
    <x v="0"/>
    <x v="0"/>
    <n v="581"/>
    <n v="581"/>
    <n v="162.06299999999999"/>
    <n v="162.06299999999999"/>
    <n v="162.06299999999999"/>
    <n v="162.06299999999999"/>
    <n v="0"/>
    <x v="1"/>
    <n v="0"/>
    <n v="8"/>
    <n v="9"/>
    <n v="59"/>
    <n v="26.17"/>
    <n v="69.489999999999995"/>
    <n v="185.18"/>
    <n v="27.746237112155811"/>
    <n v="92.397536067834494"/>
    <n v="198.13390838089941"/>
    <n v="15204.77"/>
    <n v="11261.757869999998"/>
    <n v="30010.82634"/>
    <n v="16120.563762162526"/>
    <n v="14974.221887761461"/>
    <n v="32110.175593933698"/>
  </r>
  <r>
    <s v="Regular"/>
    <x v="1"/>
    <x v="0"/>
    <x v="1"/>
    <x v="0"/>
    <x v="0"/>
    <x v="0"/>
    <x v="0"/>
    <x v="1"/>
    <n v="550"/>
    <n v="550"/>
    <n v="166.43"/>
    <n v="166.43"/>
    <n v="166.43"/>
    <n v="166.43"/>
    <n v="0"/>
    <x v="1"/>
    <n v="0"/>
    <n v="8"/>
    <n v="9"/>
    <n v="59"/>
    <n v="26.17"/>
    <n v="69.489999999999995"/>
    <n v="185.18"/>
    <n v="27.746237112155811"/>
    <n v="92.397536067834494"/>
    <n v="198.13390838089941"/>
    <n v="14393.500000000002"/>
    <n v="11565.2207"/>
    <n v="30819.507400000002"/>
    <n v="15260.430411685697"/>
    <n v="15377.721927769695"/>
    <n v="32975.426371833091"/>
  </r>
  <r>
    <s v="Regular"/>
    <x v="1"/>
    <x v="0"/>
    <x v="1"/>
    <x v="0"/>
    <x v="0"/>
    <x v="0"/>
    <x v="0"/>
    <x v="2"/>
    <n v="550"/>
    <n v="550"/>
    <n v="162.376"/>
    <n v="162.376"/>
    <n v="162.376"/>
    <n v="162.376"/>
    <n v="0"/>
    <x v="1"/>
    <n v="0"/>
    <n v="8"/>
    <n v="9"/>
    <n v="59"/>
    <n v="26.17"/>
    <n v="69.489999999999995"/>
    <n v="185.18"/>
    <n v="27.746237112155811"/>
    <n v="92.397536067834494"/>
    <n v="198.13390838089941"/>
    <n v="14393.500000000002"/>
    <n v="11283.508239999999"/>
    <n v="30068.787680000001"/>
    <n v="15260.430411685697"/>
    <n v="15003.142316550695"/>
    <n v="32172.191507256925"/>
  </r>
  <r>
    <s v="Regular"/>
    <x v="1"/>
    <x v="0"/>
    <x v="1"/>
    <x v="0"/>
    <x v="0"/>
    <x v="0"/>
    <x v="0"/>
    <x v="3"/>
    <n v="550"/>
    <n v="550"/>
    <n v="162.346"/>
    <n v="162.346"/>
    <n v="162.346"/>
    <n v="162.346"/>
    <n v="0"/>
    <x v="1"/>
    <n v="0"/>
    <n v="8"/>
    <n v="9"/>
    <n v="59"/>
    <n v="26.17"/>
    <n v="69.489999999999995"/>
    <n v="185.18"/>
    <n v="27.746237112155811"/>
    <n v="92.397536067834494"/>
    <n v="198.13390838089941"/>
    <n v="14393.500000000002"/>
    <n v="11281.42354"/>
    <n v="30063.23228"/>
    <n v="15260.430411685697"/>
    <n v="15000.370390468659"/>
    <n v="32166.247490005499"/>
  </r>
  <r>
    <s v="Regular"/>
    <x v="1"/>
    <x v="0"/>
    <x v="1"/>
    <x v="0"/>
    <x v="0"/>
    <x v="0"/>
    <x v="0"/>
    <x v="4"/>
    <n v="550"/>
    <n v="550"/>
    <n v="167.602"/>
    <n v="167.602"/>
    <n v="167.602"/>
    <n v="167.602"/>
    <n v="0"/>
    <x v="1"/>
    <n v="0"/>
    <n v="8"/>
    <n v="9"/>
    <n v="59"/>
    <n v="26.17"/>
    <n v="69.489999999999995"/>
    <n v="185.18"/>
    <n v="27.746237112155811"/>
    <n v="92.397536067834494"/>
    <n v="198.13390838089941"/>
    <n v="14393.500000000002"/>
    <n v="11646.662979999999"/>
    <n v="31036.538360000002"/>
    <n v="15260.430411685697"/>
    <n v="15486.011840041198"/>
    <n v="33207.639312455503"/>
  </r>
  <r>
    <s v="Regular"/>
    <x v="1"/>
    <x v="0"/>
    <x v="1"/>
    <x v="0"/>
    <x v="0"/>
    <x v="0"/>
    <x v="0"/>
    <x v="5"/>
    <n v="583"/>
    <n v="583"/>
    <n v="189.77699999999999"/>
    <n v="189.77699999999999"/>
    <n v="189.77699999999999"/>
    <n v="189.77699999999999"/>
    <n v="0"/>
    <x v="1"/>
    <n v="0"/>
    <n v="8"/>
    <n v="9"/>
    <n v="59"/>
    <n v="26.17"/>
    <n v="69.489999999999995"/>
    <n v="185.18"/>
    <n v="27.746237112155811"/>
    <n v="92.397536067834494"/>
    <n v="198.13390838089941"/>
    <n v="15257.11"/>
    <n v="13187.603729999999"/>
    <n v="35142.904860000002"/>
    <n v="16176.056236386838"/>
    <n v="17534.927202345425"/>
    <n v="37601.258730801943"/>
  </r>
  <r>
    <s v="Regular"/>
    <x v="1"/>
    <x v="0"/>
    <x v="1"/>
    <x v="0"/>
    <x v="0"/>
    <x v="0"/>
    <x v="0"/>
    <x v="6"/>
    <n v="623"/>
    <n v="623"/>
    <n v="194.16900000000001"/>
    <n v="194.16900000000001"/>
    <n v="194.16900000000001"/>
    <n v="194.16900000000001"/>
    <n v="0"/>
    <x v="1"/>
    <n v="0"/>
    <n v="8"/>
    <n v="9"/>
    <n v="59"/>
    <n v="26.17"/>
    <n v="69.489999999999995"/>
    <n v="185.18"/>
    <n v="27.746237112155811"/>
    <n v="92.397536067834494"/>
    <n v="198.13390838089941"/>
    <n v="16303.910000000002"/>
    <n v="13492.803809999999"/>
    <n v="35956.21542"/>
    <n v="17285.90572087307"/>
    <n v="17940.737180755357"/>
    <n v="38471.462856410857"/>
  </r>
  <r>
    <s v="Regular"/>
    <x v="1"/>
    <x v="0"/>
    <x v="1"/>
    <x v="0"/>
    <x v="0"/>
    <x v="0"/>
    <x v="0"/>
    <x v="7"/>
    <n v="661"/>
    <n v="661"/>
    <n v="198.131"/>
    <n v="198.131"/>
    <n v="198.131"/>
    <n v="198.131"/>
    <n v="0"/>
    <x v="1"/>
    <n v="0"/>
    <n v="8"/>
    <n v="9"/>
    <n v="59"/>
    <n v="26.17"/>
    <n v="69.489999999999995"/>
    <n v="185.18"/>
    <n v="27.746237112155811"/>
    <n v="92.397536067834494"/>
    <n v="198.13390838089941"/>
    <n v="17298.370000000003"/>
    <n v="13768.123189999998"/>
    <n v="36689.898580000001"/>
    <n v="18340.26273113499"/>
    <n v="18306.816218656117"/>
    <n v="39256.469401415983"/>
  </r>
  <r>
    <s v="Regular"/>
    <x v="1"/>
    <x v="0"/>
    <x v="1"/>
    <x v="0"/>
    <x v="0"/>
    <x v="0"/>
    <x v="0"/>
    <x v="8"/>
    <n v="575"/>
    <n v="575"/>
    <n v="191.43199999999999"/>
    <n v="191.43199999999999"/>
    <n v="191.43199999999999"/>
    <n v="191.43199999999999"/>
    <n v="0"/>
    <x v="1"/>
    <n v="0"/>
    <n v="8"/>
    <n v="9"/>
    <n v="59"/>
    <n v="26.17"/>
    <n v="69.489999999999995"/>
    <n v="185.18"/>
    <n v="27.746237112155811"/>
    <n v="92.397536067834494"/>
    <n v="198.13390838089941"/>
    <n v="15047.750000000002"/>
    <n v="13302.609679999998"/>
    <n v="35449.377759999996"/>
    <n v="15954.086339489591"/>
    <n v="17687.845124537693"/>
    <n v="37929.170349172331"/>
  </r>
  <r>
    <s v="Regular"/>
    <x v="1"/>
    <x v="0"/>
    <x v="1"/>
    <x v="0"/>
    <x v="0"/>
    <x v="0"/>
    <x v="0"/>
    <x v="9"/>
    <n v="589"/>
    <n v="589"/>
    <n v="202.691"/>
    <n v="202.691"/>
    <n v="202.691"/>
    <n v="202.691"/>
    <n v="0"/>
    <x v="1"/>
    <n v="0"/>
    <n v="8"/>
    <n v="9"/>
    <n v="59"/>
    <n v="26.17"/>
    <n v="69.489999999999995"/>
    <n v="185.18"/>
    <n v="27.746237112155811"/>
    <n v="92.397536067834494"/>
    <n v="198.13390838089941"/>
    <n v="15414.130000000001"/>
    <n v="14084.997589999999"/>
    <n v="37534.319380000001"/>
    <n v="16342.533659059773"/>
    <n v="18728.14898312544"/>
    <n v="40159.960023632884"/>
  </r>
  <r>
    <s v="Regular"/>
    <x v="1"/>
    <x v="0"/>
    <x v="1"/>
    <x v="0"/>
    <x v="0"/>
    <x v="0"/>
    <x v="0"/>
    <x v="10"/>
    <n v="550"/>
    <n v="550"/>
    <n v="179.97300000000001"/>
    <n v="179.97300000000001"/>
    <n v="179.97300000000001"/>
    <n v="179.97300000000001"/>
    <n v="0"/>
    <x v="1"/>
    <n v="0"/>
    <n v="8"/>
    <n v="9"/>
    <n v="59"/>
    <n v="26.17"/>
    <n v="69.489999999999995"/>
    <n v="185.18"/>
    <n v="27.746237112155811"/>
    <n v="92.397536067834494"/>
    <n v="198.13390838089941"/>
    <n v="14393.500000000002"/>
    <n v="12506.323770000001"/>
    <n v="33327.400140000005"/>
    <n v="15260.430411685697"/>
    <n v="16629.061758736378"/>
    <n v="35658.75389303561"/>
  </r>
  <r>
    <s v="Regular"/>
    <x v="1"/>
    <x v="0"/>
    <x v="1"/>
    <x v="0"/>
    <x v="0"/>
    <x v="0"/>
    <x v="0"/>
    <x v="11"/>
    <n v="550"/>
    <n v="550"/>
    <n v="190.90299999999999"/>
    <n v="190.90299999999999"/>
    <n v="190.90299999999999"/>
    <n v="190.90299999999999"/>
    <n v="0"/>
    <x v="1"/>
    <n v="0"/>
    <n v="8"/>
    <n v="9"/>
    <n v="59"/>
    <n v="26.17"/>
    <n v="69.489999999999995"/>
    <n v="185.18"/>
    <n v="27.746237112155811"/>
    <n v="92.397536067834494"/>
    <n v="198.13390838089941"/>
    <n v="14393.500000000002"/>
    <n v="13265.849469999999"/>
    <n v="35351.417540000002"/>
    <n v="15260.430411685697"/>
    <n v="17638.966827957807"/>
    <n v="37824.357511638838"/>
  </r>
  <r>
    <s v="Regular"/>
    <x v="1"/>
    <x v="0"/>
    <x v="1"/>
    <x v="0"/>
    <x v="0"/>
    <x v="0"/>
    <x v="2"/>
    <x v="0"/>
    <n v="400"/>
    <n v="400"/>
    <n v="18.995000000000001"/>
    <n v="18.995000000000001"/>
    <n v="18.995000000000001"/>
    <n v="18.995000000000001"/>
    <n v="0"/>
    <x v="1"/>
    <n v="0"/>
    <n v="3"/>
    <n v="9"/>
    <n v="66"/>
    <n v="43.88"/>
    <n v="69.489999999999995"/>
    <n v="185.18"/>
    <n v="45.842466572743774"/>
    <n v="92.397536067834494"/>
    <n v="198.13390838089941"/>
    <n v="17552"/>
    <n v="1319.96255"/>
    <n v="3517.4941000000003"/>
    <n v="18336.986629097511"/>
    <n v="1755.0911976085163"/>
    <n v="3763.5535896951847"/>
  </r>
  <r>
    <s v="Regular"/>
    <x v="1"/>
    <x v="0"/>
    <x v="1"/>
    <x v="0"/>
    <x v="0"/>
    <x v="0"/>
    <x v="2"/>
    <x v="1"/>
    <n v="400"/>
    <n v="400"/>
    <n v="19.504000000000001"/>
    <n v="19.504000000000001"/>
    <n v="19.504000000000001"/>
    <n v="19.504000000000001"/>
    <n v="0"/>
    <x v="1"/>
    <n v="0"/>
    <n v="3"/>
    <n v="9"/>
    <n v="66"/>
    <n v="43.88"/>
    <n v="69.489999999999995"/>
    <n v="185.18"/>
    <n v="45.842466572743774"/>
    <n v="92.397536067834494"/>
    <n v="198.13390838089941"/>
    <n v="17552"/>
    <n v="1355.33296"/>
    <n v="3611.7507200000005"/>
    <n v="18336.986629097511"/>
    <n v="1802.1215434670441"/>
    <n v="3864.4037490610626"/>
  </r>
  <r>
    <s v="Regular"/>
    <x v="1"/>
    <x v="0"/>
    <x v="1"/>
    <x v="0"/>
    <x v="0"/>
    <x v="0"/>
    <x v="2"/>
    <x v="2"/>
    <n v="400"/>
    <n v="400"/>
    <n v="19.146000000000001"/>
    <n v="19.146000000000001"/>
    <n v="19.146000000000001"/>
    <n v="19.146000000000001"/>
    <n v="0"/>
    <x v="1"/>
    <n v="0"/>
    <n v="3"/>
    <n v="9"/>
    <n v="66"/>
    <n v="43.88"/>
    <n v="69.489999999999995"/>
    <n v="185.18"/>
    <n v="45.842466572743774"/>
    <n v="92.397536067834494"/>
    <n v="198.13390838089941"/>
    <n v="17552"/>
    <n v="1330.4555399999999"/>
    <n v="3545.4562800000003"/>
    <n v="18336.986629097511"/>
    <n v="1769.0432255547594"/>
    <n v="3793.4718098607004"/>
  </r>
  <r>
    <s v="Regular"/>
    <x v="1"/>
    <x v="0"/>
    <x v="1"/>
    <x v="0"/>
    <x v="0"/>
    <x v="0"/>
    <x v="2"/>
    <x v="3"/>
    <n v="400"/>
    <n v="400"/>
    <n v="18.858000000000001"/>
    <n v="18.858000000000001"/>
    <n v="18.858000000000001"/>
    <n v="18.858000000000001"/>
    <n v="0"/>
    <x v="1"/>
    <n v="0"/>
    <n v="3"/>
    <n v="9"/>
    <n v="66"/>
    <n v="43.88"/>
    <n v="69.489999999999995"/>
    <n v="185.18"/>
    <n v="45.842466572743774"/>
    <n v="92.397536067834494"/>
    <n v="198.13390838089941"/>
    <n v="17552"/>
    <n v="1310.4424199999999"/>
    <n v="3492.12444"/>
    <n v="18336.986629097511"/>
    <n v="1742.432735167223"/>
    <n v="3736.4092442470014"/>
  </r>
  <r>
    <s v="Regular"/>
    <x v="1"/>
    <x v="0"/>
    <x v="1"/>
    <x v="0"/>
    <x v="0"/>
    <x v="0"/>
    <x v="2"/>
    <x v="4"/>
    <n v="400"/>
    <n v="400"/>
    <n v="17.555"/>
    <n v="17.555"/>
    <n v="17.555"/>
    <n v="17.555"/>
    <n v="0"/>
    <x v="1"/>
    <n v="0"/>
    <n v="3"/>
    <n v="9"/>
    <n v="66"/>
    <n v="43.88"/>
    <n v="69.489999999999995"/>
    <n v="185.18"/>
    <n v="45.842466572743774"/>
    <n v="92.397536067834494"/>
    <n v="198.13390838089941"/>
    <n v="17552"/>
    <n v="1219.8969499999998"/>
    <n v="3250.8349000000003"/>
    <n v="18336.986629097511"/>
    <n v="1622.0387456708345"/>
    <n v="3478.2407616266892"/>
  </r>
  <r>
    <s v="Regular"/>
    <x v="1"/>
    <x v="0"/>
    <x v="1"/>
    <x v="0"/>
    <x v="0"/>
    <x v="0"/>
    <x v="2"/>
    <x v="5"/>
    <n v="400"/>
    <n v="400"/>
    <n v="18.72"/>
    <n v="18.72"/>
    <n v="18.72"/>
    <n v="18.72"/>
    <n v="0"/>
    <x v="1"/>
    <n v="0"/>
    <n v="3"/>
    <n v="9"/>
    <n v="66"/>
    <n v="43.88"/>
    <n v="69.489999999999995"/>
    <n v="185.18"/>
    <n v="45.842466572743774"/>
    <n v="92.397536067834494"/>
    <n v="198.13390838089941"/>
    <n v="17552"/>
    <n v="1300.8527999999999"/>
    <n v="3466.5695999999998"/>
    <n v="18336.986629097511"/>
    <n v="1729.6818751898616"/>
    <n v="3709.0667648904368"/>
  </r>
  <r>
    <s v="Regular"/>
    <x v="1"/>
    <x v="0"/>
    <x v="1"/>
    <x v="0"/>
    <x v="0"/>
    <x v="0"/>
    <x v="2"/>
    <x v="6"/>
    <n v="400"/>
    <n v="400"/>
    <n v="20.831"/>
    <n v="20.831"/>
    <n v="20.831"/>
    <n v="20.831"/>
    <n v="0"/>
    <x v="1"/>
    <n v="0"/>
    <n v="3"/>
    <n v="9"/>
    <n v="66"/>
    <n v="43.88"/>
    <n v="69.489999999999995"/>
    <n v="185.18"/>
    <n v="45.842466572743774"/>
    <n v="92.397536067834494"/>
    <n v="198.13390838089941"/>
    <n v="17552"/>
    <n v="1447.5461899999998"/>
    <n v="3857.4845800000003"/>
    <n v="18336.986629097511"/>
    <n v="1924.7330738290602"/>
    <n v="4127.3274454825159"/>
  </r>
  <r>
    <s v="Regular"/>
    <x v="1"/>
    <x v="0"/>
    <x v="1"/>
    <x v="0"/>
    <x v="0"/>
    <x v="0"/>
    <x v="2"/>
    <x v="7"/>
    <n v="515"/>
    <n v="515"/>
    <n v="21.283000000000001"/>
    <n v="21.283000000000001"/>
    <n v="21.283000000000001"/>
    <n v="21.283000000000001"/>
    <n v="0"/>
    <x v="1"/>
    <n v="0"/>
    <n v="3"/>
    <n v="9"/>
    <n v="66"/>
    <n v="43.88"/>
    <n v="69.489999999999995"/>
    <n v="185.18"/>
    <n v="45.842466572743774"/>
    <n v="92.397536067834494"/>
    <n v="198.13390838089941"/>
    <n v="22598.2"/>
    <n v="1478.9556700000001"/>
    <n v="3941.1859400000003"/>
    <n v="23608.870284963043"/>
    <n v="1966.4967601317217"/>
    <n v="4216.8839720706828"/>
  </r>
  <r>
    <s v="Regular"/>
    <x v="1"/>
    <x v="0"/>
    <x v="1"/>
    <x v="0"/>
    <x v="0"/>
    <x v="0"/>
    <x v="2"/>
    <x v="8"/>
    <n v="400"/>
    <n v="400"/>
    <n v="19.175000000000001"/>
    <n v="19.175000000000001"/>
    <n v="19.175000000000001"/>
    <n v="19.175000000000001"/>
    <n v="0"/>
    <x v="1"/>
    <n v="0"/>
    <n v="3"/>
    <n v="9"/>
    <n v="66"/>
    <n v="43.88"/>
    <n v="69.489999999999995"/>
    <n v="185.18"/>
    <n v="45.842466572743774"/>
    <n v="92.397536067834494"/>
    <n v="198.13390838089941"/>
    <n v="17552"/>
    <n v="1332.47075"/>
    <n v="3550.8265000000001"/>
    <n v="18336.986629097511"/>
    <n v="1771.7227541007264"/>
    <n v="3799.2176932037464"/>
  </r>
  <r>
    <s v="Regular"/>
    <x v="1"/>
    <x v="0"/>
    <x v="1"/>
    <x v="0"/>
    <x v="0"/>
    <x v="0"/>
    <x v="2"/>
    <x v="9"/>
    <n v="400"/>
    <n v="400"/>
    <n v="20.885999999999999"/>
    <n v="20.885999999999999"/>
    <n v="20.885999999999999"/>
    <n v="20.885999999999999"/>
    <n v="0"/>
    <x v="1"/>
    <n v="0"/>
    <n v="3"/>
    <n v="9"/>
    <n v="66"/>
    <n v="43.88"/>
    <n v="69.489999999999995"/>
    <n v="185.18"/>
    <n v="45.842466572743774"/>
    <n v="92.397536067834494"/>
    <n v="198.13390838089941"/>
    <n v="17552"/>
    <n v="1451.3681399999998"/>
    <n v="3867.66948"/>
    <n v="18336.986629097511"/>
    <n v="1929.8149383127911"/>
    <n v="4138.2248104434648"/>
  </r>
  <r>
    <s v="Regular"/>
    <x v="1"/>
    <x v="0"/>
    <x v="1"/>
    <x v="0"/>
    <x v="0"/>
    <x v="0"/>
    <x v="2"/>
    <x v="10"/>
    <n v="400"/>
    <n v="400"/>
    <n v="18.021999999999998"/>
    <n v="18.021999999999998"/>
    <n v="18.021999999999998"/>
    <n v="18.021999999999998"/>
    <n v="0"/>
    <x v="1"/>
    <n v="0"/>
    <n v="3"/>
    <n v="9"/>
    <n v="66"/>
    <n v="43.88"/>
    <n v="69.489999999999995"/>
    <n v="185.18"/>
    <n v="45.842466572743774"/>
    <n v="92.397536067834494"/>
    <n v="198.13390838089941"/>
    <n v="17552"/>
    <n v="1252.3487799999998"/>
    <n v="3337.31396"/>
    <n v="18336.986629097511"/>
    <n v="1665.1883950145132"/>
    <n v="3570.769296840569"/>
  </r>
  <r>
    <s v="Regular"/>
    <x v="1"/>
    <x v="0"/>
    <x v="1"/>
    <x v="0"/>
    <x v="0"/>
    <x v="0"/>
    <x v="2"/>
    <x v="11"/>
    <n v="400"/>
    <n v="400"/>
    <n v="21.54"/>
    <n v="21.54"/>
    <n v="21.54"/>
    <n v="21.54"/>
    <n v="0"/>
    <x v="1"/>
    <n v="0"/>
    <n v="3"/>
    <n v="9"/>
    <n v="66"/>
    <n v="43.88"/>
    <n v="69.489999999999995"/>
    <n v="185.18"/>
    <n v="45.842466572743774"/>
    <n v="92.397536067834494"/>
    <n v="198.13390838089941"/>
    <n v="17552"/>
    <n v="1496.8145999999999"/>
    <n v="3988.7772"/>
    <n v="18336.986629097511"/>
    <n v="1990.242926901155"/>
    <n v="4267.8043865245736"/>
  </r>
  <r>
    <s v="Regular"/>
    <x v="1"/>
    <x v="0"/>
    <x v="0"/>
    <x v="0"/>
    <x v="1"/>
    <x v="0"/>
    <x v="0"/>
    <x v="0"/>
    <n v="10052"/>
    <n v="5026"/>
    <n v="0"/>
    <n v="0"/>
    <n v="0"/>
    <n v="0"/>
    <n v="0"/>
    <x v="0"/>
    <n v="0"/>
    <n v="8"/>
    <n v="0"/>
    <n v="0"/>
    <n v="26.17"/>
    <n v="0"/>
    <n v="0"/>
    <n v="27.746237112155811"/>
    <n v="92.397536067834494"/>
    <m/>
    <n v="131530.42000000001"/>
    <n v="0"/>
    <n v="0"/>
    <n v="139452.58772569511"/>
    <n v="0"/>
    <n v="0"/>
  </r>
  <r>
    <s v="Regular"/>
    <x v="1"/>
    <x v="0"/>
    <x v="0"/>
    <x v="0"/>
    <x v="1"/>
    <x v="0"/>
    <x v="0"/>
    <x v="1"/>
    <n v="9827"/>
    <n v="4913.5"/>
    <n v="0"/>
    <n v="0"/>
    <n v="0"/>
    <n v="0"/>
    <n v="0"/>
    <x v="0"/>
    <n v="0"/>
    <n v="8"/>
    <n v="0"/>
    <n v="0"/>
    <n v="26.17"/>
    <n v="0"/>
    <n v="0"/>
    <n v="27.746237112155811"/>
    <n v="92.397536067834494"/>
    <m/>
    <n v="128586.29500000001"/>
    <n v="0"/>
    <n v="0"/>
    <n v="136331.13605057757"/>
    <n v="0"/>
    <n v="0"/>
  </r>
  <r>
    <s v="Regular"/>
    <x v="1"/>
    <x v="0"/>
    <x v="0"/>
    <x v="0"/>
    <x v="1"/>
    <x v="0"/>
    <x v="0"/>
    <x v="2"/>
    <n v="10125"/>
    <n v="5062.5"/>
    <n v="0"/>
    <n v="0"/>
    <n v="0"/>
    <n v="0"/>
    <n v="0"/>
    <x v="0"/>
    <n v="0"/>
    <n v="8"/>
    <n v="0"/>
    <n v="0"/>
    <n v="26.17"/>
    <n v="0"/>
    <n v="0"/>
    <n v="27.746237112155811"/>
    <n v="92.397536067834494"/>
    <m/>
    <n v="132485.625"/>
    <n v="0"/>
    <n v="0"/>
    <n v="140465.32538028879"/>
    <n v="0"/>
    <n v="0"/>
  </r>
  <r>
    <s v="Regular"/>
    <x v="1"/>
    <x v="0"/>
    <x v="0"/>
    <x v="0"/>
    <x v="1"/>
    <x v="0"/>
    <x v="0"/>
    <x v="3"/>
    <n v="10363"/>
    <n v="5181.5"/>
    <n v="0"/>
    <n v="0"/>
    <n v="0"/>
    <n v="0"/>
    <n v="0"/>
    <x v="0"/>
    <n v="0"/>
    <n v="8"/>
    <n v="0"/>
    <n v="0"/>
    <n v="26.17"/>
    <n v="0"/>
    <n v="0"/>
    <n v="27.746237112155811"/>
    <n v="92.397536067834494"/>
    <m/>
    <n v="135599.85500000001"/>
    <n v="0"/>
    <n v="0"/>
    <n v="143767.12759663534"/>
    <n v="0"/>
    <n v="0"/>
  </r>
  <r>
    <s v="Regular"/>
    <x v="1"/>
    <x v="0"/>
    <x v="0"/>
    <x v="0"/>
    <x v="1"/>
    <x v="0"/>
    <x v="0"/>
    <x v="4"/>
    <n v="10291"/>
    <n v="5145.5"/>
    <n v="0"/>
    <n v="0"/>
    <n v="0"/>
    <n v="0"/>
    <n v="0"/>
    <x v="0"/>
    <n v="0"/>
    <n v="8"/>
    <n v="0"/>
    <n v="0"/>
    <n v="26.17"/>
    <n v="0"/>
    <n v="0"/>
    <n v="27.746237112155811"/>
    <n v="92.397536067834494"/>
    <m/>
    <n v="134657.73500000002"/>
    <n v="0"/>
    <n v="0"/>
    <n v="142768.26306059773"/>
    <n v="0"/>
    <n v="0"/>
  </r>
  <r>
    <s v="PROJETADO"/>
    <x v="1"/>
    <x v="0"/>
    <x v="0"/>
    <x v="0"/>
    <x v="1"/>
    <x v="0"/>
    <x v="0"/>
    <x v="5"/>
    <n v="10291"/>
    <n v="5145.5"/>
    <n v="0"/>
    <n v="0"/>
    <n v="0"/>
    <n v="0"/>
    <n v="0"/>
    <x v="0"/>
    <n v="0"/>
    <n v="8"/>
    <n v="0"/>
    <n v="0"/>
    <n v="26.17"/>
    <n v="0"/>
    <n v="0"/>
    <n v="27.746237112155811"/>
    <n v="92.397536067834494"/>
    <m/>
    <n v="134657.73500000002"/>
    <n v="0"/>
    <n v="0"/>
    <n v="142768.26306059773"/>
    <n v="0"/>
    <n v="0"/>
  </r>
  <r>
    <s v="Regular"/>
    <x v="1"/>
    <x v="0"/>
    <x v="0"/>
    <x v="0"/>
    <x v="1"/>
    <x v="0"/>
    <x v="0"/>
    <x v="6"/>
    <n v="10294"/>
    <n v="5147"/>
    <n v="0"/>
    <n v="0"/>
    <n v="0"/>
    <n v="0"/>
    <n v="0"/>
    <x v="0"/>
    <n v="0"/>
    <n v="8"/>
    <n v="0"/>
    <n v="0"/>
    <n v="26.17"/>
    <n v="0"/>
    <n v="0"/>
    <n v="27.746237112155811"/>
    <n v="92.397536067834494"/>
    <m/>
    <n v="134696.99000000002"/>
    <n v="0"/>
    <n v="0"/>
    <n v="142809.88241626596"/>
    <n v="0"/>
    <n v="0"/>
  </r>
  <r>
    <s v="Regular"/>
    <x v="1"/>
    <x v="0"/>
    <x v="0"/>
    <x v="0"/>
    <x v="1"/>
    <x v="0"/>
    <x v="0"/>
    <x v="7"/>
    <n v="10730"/>
    <n v="5365"/>
    <n v="0"/>
    <n v="0"/>
    <n v="0"/>
    <n v="0"/>
    <n v="0"/>
    <x v="0"/>
    <n v="0"/>
    <n v="8"/>
    <n v="0"/>
    <n v="0"/>
    <n v="26.17"/>
    <n v="0"/>
    <n v="0"/>
    <n v="27.746237112155811"/>
    <n v="92.397536067834494"/>
    <m/>
    <n v="140402.05000000002"/>
    <n v="0"/>
    <n v="0"/>
    <n v="148858.56210671592"/>
    <n v="0"/>
    <n v="0"/>
  </r>
  <r>
    <s v="Regular"/>
    <x v="1"/>
    <x v="0"/>
    <x v="0"/>
    <x v="0"/>
    <x v="1"/>
    <x v="0"/>
    <x v="0"/>
    <x v="8"/>
    <n v="10598"/>
    <n v="5299"/>
    <n v="0"/>
    <n v="0"/>
    <n v="0"/>
    <n v="0"/>
    <n v="0"/>
    <x v="0"/>
    <n v="0"/>
    <n v="8"/>
    <n v="0"/>
    <n v="0"/>
    <n v="26.17"/>
    <n v="0"/>
    <n v="0"/>
    <n v="27.746237112155811"/>
    <n v="92.397536067834494"/>
    <m/>
    <n v="138674.83000000002"/>
    <n v="0"/>
    <n v="0"/>
    <n v="147027.31045731364"/>
    <n v="0"/>
    <n v="0"/>
  </r>
  <r>
    <s v="PROJETADO"/>
    <x v="1"/>
    <x v="0"/>
    <x v="0"/>
    <x v="0"/>
    <x v="1"/>
    <x v="0"/>
    <x v="0"/>
    <x v="9"/>
    <n v="10598"/>
    <n v="5299"/>
    <n v="0"/>
    <n v="0"/>
    <n v="0"/>
    <n v="0"/>
    <n v="0"/>
    <x v="0"/>
    <n v="0"/>
    <n v="8"/>
    <n v="0"/>
    <n v="0"/>
    <n v="26.17"/>
    <n v="0"/>
    <n v="0"/>
    <n v="27.746237112155811"/>
    <n v="92.397536067834494"/>
    <m/>
    <n v="138674.83000000002"/>
    <n v="0"/>
    <n v="0"/>
    <n v="147027.31045731364"/>
    <n v="0"/>
    <n v="0"/>
  </r>
  <r>
    <s v="Regular"/>
    <x v="1"/>
    <x v="0"/>
    <x v="0"/>
    <x v="0"/>
    <x v="1"/>
    <x v="0"/>
    <x v="0"/>
    <x v="10"/>
    <n v="12966"/>
    <n v="6483"/>
    <n v="0"/>
    <n v="0"/>
    <n v="0"/>
    <n v="0"/>
    <n v="0"/>
    <x v="0"/>
    <n v="0"/>
    <n v="8"/>
    <n v="0"/>
    <n v="0"/>
    <n v="26.17"/>
    <n v="0"/>
    <n v="0"/>
    <n v="27.746237112155811"/>
    <n v="92.397536067834494"/>
    <m/>
    <n v="169660.11000000002"/>
    <n v="0"/>
    <n v="0"/>
    <n v="179878.85519810612"/>
    <n v="0"/>
    <n v="0"/>
  </r>
  <r>
    <s v="Regular"/>
    <x v="1"/>
    <x v="0"/>
    <x v="0"/>
    <x v="0"/>
    <x v="1"/>
    <x v="0"/>
    <x v="0"/>
    <x v="11"/>
    <n v="13200"/>
    <n v="6600"/>
    <n v="0"/>
    <n v="0"/>
    <n v="0"/>
    <n v="0"/>
    <n v="0"/>
    <x v="0"/>
    <n v="0"/>
    <n v="8"/>
    <n v="0"/>
    <n v="0"/>
    <n v="26.17"/>
    <n v="0"/>
    <n v="0"/>
    <n v="27.746237112155811"/>
    <n v="92.397536067834494"/>
    <m/>
    <n v="172722"/>
    <n v="0"/>
    <n v="0"/>
    <n v="183125.16494022834"/>
    <n v="0"/>
    <n v="0"/>
  </r>
  <r>
    <s v="Regular"/>
    <x v="1"/>
    <x v="0"/>
    <x v="0"/>
    <x v="0"/>
    <x v="1"/>
    <x v="0"/>
    <x v="1"/>
    <x v="0"/>
    <n v="0"/>
    <n v="0"/>
    <n v="4211.4489999999996"/>
    <n v="2105.7244999999998"/>
    <n v="0"/>
    <n v="0"/>
    <n v="4"/>
    <x v="0"/>
    <n v="0"/>
    <n v="0"/>
    <n v="9"/>
    <n v="0"/>
    <n v="0"/>
    <n v="69.489999999999995"/>
    <n v="0"/>
    <m/>
    <n v="92.397536067834494"/>
    <m/>
    <n v="0"/>
    <n v="146326.79550499999"/>
    <n v="0"/>
    <n v="0"/>
    <n v="194563.75543767275"/>
    <n v="0"/>
  </r>
  <r>
    <s v="Regular"/>
    <x v="1"/>
    <x v="0"/>
    <x v="0"/>
    <x v="0"/>
    <x v="1"/>
    <x v="0"/>
    <x v="1"/>
    <x v="1"/>
    <n v="0"/>
    <n v="0"/>
    <n v="4403.2659999999996"/>
    <n v="2201.6329999999998"/>
    <n v="0"/>
    <n v="0"/>
    <n v="4"/>
    <x v="0"/>
    <n v="0"/>
    <n v="0"/>
    <n v="9"/>
    <n v="0"/>
    <n v="0"/>
    <n v="69.489999999999995"/>
    <n v="0"/>
    <m/>
    <n v="92.397536067834494"/>
    <m/>
    <n v="0"/>
    <n v="152991.47716999997"/>
    <n v="0"/>
    <n v="0"/>
    <n v="203425.46452563466"/>
    <n v="0"/>
  </r>
  <r>
    <s v="Regular"/>
    <x v="1"/>
    <x v="0"/>
    <x v="0"/>
    <x v="0"/>
    <x v="1"/>
    <x v="0"/>
    <x v="1"/>
    <x v="2"/>
    <n v="0"/>
    <n v="0"/>
    <n v="4302.3959999999997"/>
    <n v="2151.1979999999999"/>
    <n v="0"/>
    <n v="0"/>
    <n v="4"/>
    <x v="0"/>
    <n v="0"/>
    <n v="0"/>
    <n v="9"/>
    <n v="0"/>
    <n v="0"/>
    <n v="69.489999999999995"/>
    <n v="0"/>
    <m/>
    <n v="92.397536067834494"/>
    <m/>
    <n v="0"/>
    <n v="149486.74901999999"/>
    <n v="0"/>
    <n v="0"/>
    <n v="198765.39479405343"/>
    <n v="0"/>
  </r>
  <r>
    <s v="Regular"/>
    <x v="1"/>
    <x v="0"/>
    <x v="0"/>
    <x v="0"/>
    <x v="1"/>
    <x v="0"/>
    <x v="1"/>
    <x v="3"/>
    <n v="0"/>
    <n v="0"/>
    <n v="4369.4129999999996"/>
    <n v="2184.7064999999998"/>
    <n v="0"/>
    <n v="0"/>
    <n v="4"/>
    <x v="0"/>
    <n v="0"/>
    <n v="0"/>
    <n v="9"/>
    <n v="0"/>
    <n v="0"/>
    <n v="69.489999999999995"/>
    <n v="0"/>
    <m/>
    <n v="92.397536067834494"/>
    <m/>
    <n v="0"/>
    <n v="151815.25468499996"/>
    <n v="0"/>
    <n v="0"/>
    <n v="201861.49763138243"/>
    <n v="0"/>
  </r>
  <r>
    <s v="Regular"/>
    <x v="1"/>
    <x v="0"/>
    <x v="0"/>
    <x v="0"/>
    <x v="1"/>
    <x v="0"/>
    <x v="1"/>
    <x v="4"/>
    <n v="0"/>
    <n v="0"/>
    <n v="4623.4799999999996"/>
    <n v="2311.7399999999998"/>
    <n v="0"/>
    <n v="0"/>
    <n v="4"/>
    <x v="0"/>
    <n v="0"/>
    <n v="0"/>
    <n v="9"/>
    <n v="0"/>
    <n v="0"/>
    <n v="69.489999999999995"/>
    <n v="0"/>
    <m/>
    <n v="92.397536067834494"/>
    <m/>
    <n v="0"/>
    <n v="160642.81259999998"/>
    <n v="0"/>
    <n v="0"/>
    <n v="213599.08002945568"/>
    <n v="0"/>
  </r>
  <r>
    <s v="PROJETADO"/>
    <x v="1"/>
    <x v="0"/>
    <x v="0"/>
    <x v="0"/>
    <x v="1"/>
    <x v="0"/>
    <x v="1"/>
    <x v="5"/>
    <n v="0"/>
    <n v="0"/>
    <n v="4623.4799999999996"/>
    <n v="2311.7399999999998"/>
    <n v="0"/>
    <n v="0"/>
    <n v="4"/>
    <x v="0"/>
    <n v="0"/>
    <n v="0"/>
    <n v="9"/>
    <n v="0"/>
    <n v="0"/>
    <n v="69.489999999999995"/>
    <n v="0"/>
    <m/>
    <n v="92.397536067834494"/>
    <m/>
    <n v="0"/>
    <n v="160642.81259999998"/>
    <n v="0"/>
    <n v="0"/>
    <n v="213599.08002945568"/>
    <n v="0"/>
  </r>
  <r>
    <s v="Regular"/>
    <x v="1"/>
    <x v="0"/>
    <x v="0"/>
    <x v="0"/>
    <x v="1"/>
    <x v="0"/>
    <x v="1"/>
    <x v="6"/>
    <n v="0"/>
    <n v="0"/>
    <n v="4275.4930000000004"/>
    <n v="2137.7465000000002"/>
    <n v="0"/>
    <n v="0"/>
    <n v="4"/>
    <x v="0"/>
    <n v="0"/>
    <n v="0"/>
    <n v="9"/>
    <n v="0"/>
    <n v="0"/>
    <n v="69.489999999999995"/>
    <n v="0"/>
    <m/>
    <n v="92.397536067834494"/>
    <m/>
    <n v="0"/>
    <n v="148552.004285"/>
    <n v="0"/>
    <n v="0"/>
    <n v="197522.50933763696"/>
    <n v="0"/>
  </r>
  <r>
    <s v="Regular"/>
    <x v="1"/>
    <x v="0"/>
    <x v="0"/>
    <x v="0"/>
    <x v="1"/>
    <x v="0"/>
    <x v="1"/>
    <x v="7"/>
    <n v="0"/>
    <n v="0"/>
    <n v="4336.7749999999996"/>
    <n v="2168.3874999999998"/>
    <n v="0"/>
    <n v="0"/>
    <n v="4"/>
    <x v="0"/>
    <n v="0"/>
    <n v="0"/>
    <n v="9"/>
    <n v="0"/>
    <n v="0"/>
    <n v="69.489999999999995"/>
    <n v="0"/>
    <m/>
    <n v="92.397536067834494"/>
    <m/>
    <n v="0"/>
    <n v="150681.24737499998"/>
    <n v="0"/>
    <n v="0"/>
    <n v="200353.66224029145"/>
    <n v="0"/>
  </r>
  <r>
    <s v="Regular"/>
    <x v="1"/>
    <x v="0"/>
    <x v="0"/>
    <x v="0"/>
    <x v="1"/>
    <x v="0"/>
    <x v="1"/>
    <x v="8"/>
    <n v="0"/>
    <n v="0"/>
    <n v="4394.4470000000001"/>
    <n v="2197.2235000000001"/>
    <n v="0"/>
    <n v="0"/>
    <n v="4"/>
    <x v="0"/>
    <n v="0"/>
    <n v="0"/>
    <n v="9"/>
    <n v="0"/>
    <n v="0"/>
    <n v="69.489999999999995"/>
    <n v="0"/>
    <m/>
    <n v="92.397536067834494"/>
    <m/>
    <n v="0"/>
    <n v="152685.06101499998"/>
    <n v="0"/>
    <n v="0"/>
    <n v="203018.03759034356"/>
    <n v="0"/>
  </r>
  <r>
    <s v="PROJETADO"/>
    <x v="1"/>
    <x v="0"/>
    <x v="0"/>
    <x v="0"/>
    <x v="1"/>
    <x v="0"/>
    <x v="1"/>
    <x v="9"/>
    <n v="0"/>
    <n v="0"/>
    <n v="4394.4470000000001"/>
    <n v="2197.2235000000001"/>
    <n v="0"/>
    <n v="0"/>
    <n v="4"/>
    <x v="0"/>
    <n v="0"/>
    <n v="0"/>
    <n v="9"/>
    <n v="0"/>
    <n v="0"/>
    <n v="69.489999999999995"/>
    <n v="0"/>
    <m/>
    <n v="92.397536067834494"/>
    <m/>
    <n v="0"/>
    <n v="152685.06101499998"/>
    <n v="0"/>
    <n v="0"/>
    <n v="203018.03759034356"/>
    <n v="0"/>
  </r>
  <r>
    <s v="Regular"/>
    <x v="1"/>
    <x v="0"/>
    <x v="0"/>
    <x v="0"/>
    <x v="1"/>
    <x v="0"/>
    <x v="1"/>
    <x v="10"/>
    <n v="0"/>
    <n v="0"/>
    <n v="5031.1610000000001"/>
    <n v="5031.1610000000001"/>
    <n v="0"/>
    <n v="0"/>
    <n v="5"/>
    <x v="0"/>
    <n v="0"/>
    <n v="0"/>
    <n v="9"/>
    <n v="0"/>
    <n v="0"/>
    <n v="69.489999999999995"/>
    <n v="0"/>
    <m/>
    <n v="92.397536067834494"/>
    <m/>
    <n v="0"/>
    <n v="349615.37789"/>
    <n v="0"/>
    <n v="0"/>
    <n v="464866.87996058224"/>
    <n v="0"/>
  </r>
  <r>
    <s v="Regular"/>
    <x v="1"/>
    <x v="0"/>
    <x v="0"/>
    <x v="0"/>
    <x v="1"/>
    <x v="0"/>
    <x v="1"/>
    <x v="11"/>
    <n v="0"/>
    <n v="0"/>
    <n v="3797.1529999999998"/>
    <n v="3797.1529999999998"/>
    <n v="0"/>
    <n v="0"/>
    <n v="5"/>
    <x v="0"/>
    <n v="0"/>
    <n v="0"/>
    <n v="9"/>
    <n v="0"/>
    <n v="0"/>
    <n v="69.489999999999995"/>
    <n v="0"/>
    <m/>
    <n v="92.397536067834494"/>
    <m/>
    <n v="0"/>
    <n v="263864.16196999996"/>
    <n v="0"/>
    <n v="0"/>
    <n v="350847.58127258596"/>
    <n v="0"/>
  </r>
  <r>
    <s v="Regular"/>
    <x v="1"/>
    <x v="0"/>
    <x v="0"/>
    <x v="0"/>
    <x v="1"/>
    <x v="0"/>
    <x v="2"/>
    <x v="0"/>
    <n v="7706"/>
    <n v="3853"/>
    <n v="0"/>
    <n v="0"/>
    <n v="0"/>
    <n v="0"/>
    <n v="0"/>
    <x v="0"/>
    <n v="0"/>
    <n v="3"/>
    <n v="0"/>
    <n v="0"/>
    <n v="43.88"/>
    <n v="0"/>
    <n v="0"/>
    <n v="45.842466572743774"/>
    <n v="92.397536067834494"/>
    <m/>
    <n v="169069.64"/>
    <n v="0"/>
    <n v="0"/>
    <n v="176631.02370478175"/>
    <n v="0"/>
    <n v="0"/>
  </r>
  <r>
    <s v="Regular"/>
    <x v="1"/>
    <x v="0"/>
    <x v="0"/>
    <x v="0"/>
    <x v="1"/>
    <x v="0"/>
    <x v="2"/>
    <x v="1"/>
    <n v="7647"/>
    <n v="3823.5"/>
    <n v="0"/>
    <n v="0"/>
    <n v="0"/>
    <n v="0"/>
    <n v="0"/>
    <x v="0"/>
    <n v="0"/>
    <n v="3"/>
    <n v="0"/>
    <n v="0"/>
    <n v="43.88"/>
    <n v="0"/>
    <n v="0"/>
    <n v="45.842466572743774"/>
    <n v="92.397536067834494"/>
    <m/>
    <n v="167775.18000000002"/>
    <n v="0"/>
    <n v="0"/>
    <n v="175278.67094088582"/>
    <n v="0"/>
    <n v="0"/>
  </r>
  <r>
    <s v="Regular"/>
    <x v="1"/>
    <x v="0"/>
    <x v="0"/>
    <x v="0"/>
    <x v="1"/>
    <x v="0"/>
    <x v="2"/>
    <x v="2"/>
    <n v="7653"/>
    <n v="3826.5"/>
    <n v="0"/>
    <n v="0"/>
    <n v="0"/>
    <n v="0"/>
    <n v="0"/>
    <x v="0"/>
    <n v="0"/>
    <n v="3"/>
    <n v="0"/>
    <n v="0"/>
    <n v="43.88"/>
    <n v="0"/>
    <n v="0"/>
    <n v="45.842466572743774"/>
    <n v="92.397536067834494"/>
    <m/>
    <n v="167906.82"/>
    <n v="0"/>
    <n v="0"/>
    <n v="175416.19834060405"/>
    <n v="0"/>
    <n v="0"/>
  </r>
  <r>
    <s v="Regular"/>
    <x v="1"/>
    <x v="0"/>
    <x v="0"/>
    <x v="0"/>
    <x v="1"/>
    <x v="0"/>
    <x v="2"/>
    <x v="3"/>
    <n v="7932"/>
    <n v="3966"/>
    <n v="0"/>
    <n v="0"/>
    <n v="0"/>
    <n v="0"/>
    <n v="0"/>
    <x v="0"/>
    <n v="0"/>
    <n v="3"/>
    <n v="0"/>
    <n v="0"/>
    <n v="43.88"/>
    <n v="0"/>
    <n v="0"/>
    <n v="45.842466572743774"/>
    <n v="92.397536067834494"/>
    <m/>
    <n v="174028.08000000002"/>
    <n v="0"/>
    <n v="0"/>
    <n v="181811.22242750181"/>
    <n v="0"/>
    <n v="0"/>
  </r>
  <r>
    <s v="Regular"/>
    <x v="1"/>
    <x v="0"/>
    <x v="0"/>
    <x v="0"/>
    <x v="1"/>
    <x v="0"/>
    <x v="2"/>
    <x v="4"/>
    <n v="7829"/>
    <n v="3914.5"/>
    <n v="0"/>
    <n v="0"/>
    <n v="0"/>
    <n v="0"/>
    <n v="0"/>
    <x v="0"/>
    <n v="0"/>
    <n v="3"/>
    <n v="0"/>
    <n v="0"/>
    <n v="43.88"/>
    <n v="0"/>
    <n v="0"/>
    <n v="45.842466572743774"/>
    <n v="92.397536067834494"/>
    <m/>
    <n v="171768.26"/>
    <n v="0"/>
    <n v="0"/>
    <n v="179450.3353990055"/>
    <n v="0"/>
    <n v="0"/>
  </r>
  <r>
    <s v="PROJETADO"/>
    <x v="1"/>
    <x v="0"/>
    <x v="0"/>
    <x v="0"/>
    <x v="1"/>
    <x v="0"/>
    <x v="2"/>
    <x v="5"/>
    <n v="7829"/>
    <n v="3914.5"/>
    <n v="0"/>
    <n v="0"/>
    <n v="0"/>
    <n v="0"/>
    <n v="0"/>
    <x v="0"/>
    <n v="0"/>
    <n v="3"/>
    <n v="0"/>
    <n v="0"/>
    <n v="43.88"/>
    <n v="0"/>
    <n v="0"/>
    <n v="45.842466572743774"/>
    <n v="92.397536067834494"/>
    <m/>
    <n v="171768.26"/>
    <n v="0"/>
    <n v="0"/>
    <n v="179450.3353990055"/>
    <n v="0"/>
    <n v="0"/>
  </r>
  <r>
    <s v="Regular"/>
    <x v="1"/>
    <x v="0"/>
    <x v="0"/>
    <x v="0"/>
    <x v="1"/>
    <x v="0"/>
    <x v="2"/>
    <x v="6"/>
    <n v="7757"/>
    <n v="3878.5"/>
    <n v="0"/>
    <n v="0"/>
    <n v="0"/>
    <n v="0"/>
    <n v="0"/>
    <x v="0"/>
    <n v="0"/>
    <n v="3"/>
    <n v="0"/>
    <n v="0"/>
    <n v="43.88"/>
    <n v="0"/>
    <n v="0"/>
    <n v="45.842466572743774"/>
    <n v="92.397536067834494"/>
    <m/>
    <n v="170188.58000000002"/>
    <n v="0"/>
    <n v="0"/>
    <n v="177800.00660238674"/>
    <n v="0"/>
    <n v="0"/>
  </r>
  <r>
    <s v="Regular"/>
    <x v="1"/>
    <x v="0"/>
    <x v="0"/>
    <x v="0"/>
    <x v="1"/>
    <x v="0"/>
    <x v="2"/>
    <x v="7"/>
    <n v="8174"/>
    <n v="4087"/>
    <n v="0"/>
    <n v="0"/>
    <n v="0"/>
    <n v="0"/>
    <n v="0"/>
    <x v="0"/>
    <n v="0"/>
    <n v="3"/>
    <n v="0"/>
    <n v="0"/>
    <n v="43.88"/>
    <n v="0"/>
    <n v="0"/>
    <n v="45.842466572743774"/>
    <n v="92.397536067834494"/>
    <m/>
    <n v="179337.56"/>
    <n v="0"/>
    <n v="0"/>
    <n v="187358.16088280382"/>
    <n v="0"/>
    <n v="0"/>
  </r>
  <r>
    <s v="Regular"/>
    <x v="1"/>
    <x v="0"/>
    <x v="0"/>
    <x v="0"/>
    <x v="1"/>
    <x v="0"/>
    <x v="2"/>
    <x v="8"/>
    <n v="8100"/>
    <n v="4050"/>
    <n v="0"/>
    <n v="0"/>
    <n v="0"/>
    <n v="0"/>
    <n v="0"/>
    <x v="0"/>
    <n v="0"/>
    <n v="3"/>
    <n v="0"/>
    <n v="0"/>
    <n v="43.88"/>
    <n v="0"/>
    <n v="0"/>
    <n v="45.842466572743774"/>
    <n v="92.397536067834494"/>
    <m/>
    <n v="177714"/>
    <n v="0"/>
    <n v="0"/>
    <n v="185661.98961961229"/>
    <n v="0"/>
    <n v="0"/>
  </r>
  <r>
    <s v="PROJETADO"/>
    <x v="1"/>
    <x v="0"/>
    <x v="0"/>
    <x v="0"/>
    <x v="1"/>
    <x v="0"/>
    <x v="2"/>
    <x v="9"/>
    <n v="8100"/>
    <n v="4050"/>
    <n v="0"/>
    <n v="0"/>
    <n v="0"/>
    <n v="0"/>
    <n v="0"/>
    <x v="0"/>
    <n v="0"/>
    <n v="3"/>
    <n v="0"/>
    <n v="0"/>
    <n v="43.88"/>
    <n v="0"/>
    <n v="0"/>
    <n v="45.842466572743774"/>
    <n v="92.397536067834494"/>
    <m/>
    <n v="177714"/>
    <n v="0"/>
    <n v="0"/>
    <n v="185661.98961961229"/>
    <n v="0"/>
    <n v="0"/>
  </r>
  <r>
    <s v="Regular"/>
    <x v="1"/>
    <x v="0"/>
    <x v="0"/>
    <x v="0"/>
    <x v="1"/>
    <x v="0"/>
    <x v="2"/>
    <x v="10"/>
    <n v="10059"/>
    <n v="5029.5"/>
    <n v="0"/>
    <n v="0"/>
    <n v="0"/>
    <n v="0"/>
    <n v="0"/>
    <x v="0"/>
    <n v="0"/>
    <n v="3"/>
    <n v="0"/>
    <n v="0"/>
    <n v="43.88"/>
    <n v="0"/>
    <n v="0"/>
    <n v="45.842466572743774"/>
    <n v="92.397536067834494"/>
    <m/>
    <n v="220694.46000000002"/>
    <n v="0"/>
    <n v="0"/>
    <n v="230564.68562761482"/>
    <n v="0"/>
    <n v="0"/>
  </r>
  <r>
    <s v="Regular"/>
    <x v="1"/>
    <x v="0"/>
    <x v="0"/>
    <x v="0"/>
    <x v="1"/>
    <x v="0"/>
    <x v="2"/>
    <x v="11"/>
    <n v="10386"/>
    <n v="5193"/>
    <n v="0"/>
    <n v="0"/>
    <n v="0"/>
    <n v="0"/>
    <n v="0"/>
    <x v="0"/>
    <n v="0"/>
    <n v="3"/>
    <n v="0"/>
    <n v="0"/>
    <n v="43.88"/>
    <n v="0"/>
    <n v="0"/>
    <n v="45.842466572743774"/>
    <n v="92.397536067834494"/>
    <m/>
    <n v="227868.84000000003"/>
    <n v="0"/>
    <n v="0"/>
    <n v="238059.92891225842"/>
    <n v="0"/>
    <n v="0"/>
  </r>
  <r>
    <s v="Regular"/>
    <x v="1"/>
    <x v="0"/>
    <x v="0"/>
    <x v="0"/>
    <x v="0"/>
    <x v="0"/>
    <x v="0"/>
    <x v="0"/>
    <n v="2538"/>
    <n v="2538"/>
    <n v="1155.9059999999999"/>
    <n v="1155.9059999999999"/>
    <n v="1155.9059999999999"/>
    <n v="1155.9059999999999"/>
    <n v="0"/>
    <x v="1"/>
    <n v="0"/>
    <n v="8"/>
    <n v="9"/>
    <n v="59"/>
    <n v="26.17"/>
    <n v="69.489999999999995"/>
    <n v="185.18"/>
    <n v="27.746237112155811"/>
    <n v="92.397536067834494"/>
    <n v="198.13390838089941"/>
    <n v="66419.460000000006"/>
    <n v="80323.90793999999"/>
    <n v="214050.67308000001"/>
    <n v="70419.949790651444"/>
    <n v="106802.8663260263"/>
    <n v="229024.17350093191"/>
  </r>
  <r>
    <s v="Regular"/>
    <x v="1"/>
    <x v="0"/>
    <x v="0"/>
    <x v="0"/>
    <x v="0"/>
    <x v="0"/>
    <x v="0"/>
    <x v="1"/>
    <n v="2560"/>
    <n v="2560"/>
    <n v="1219.3900000000001"/>
    <n v="1219.3900000000001"/>
    <n v="1219.3900000000001"/>
    <n v="1219.3900000000001"/>
    <n v="0"/>
    <x v="1"/>
    <n v="0"/>
    <n v="8"/>
    <n v="9"/>
    <n v="59"/>
    <n v="26.17"/>
    <n v="69.489999999999995"/>
    <n v="185.18"/>
    <n v="27.746237112155811"/>
    <n v="92.397536067834494"/>
    <n v="198.13390838089941"/>
    <n v="66995.200000000012"/>
    <n v="84735.411099999998"/>
    <n v="225806.64020000002"/>
    <n v="71030.367007118883"/>
    <n v="112668.63150575671"/>
    <n v="241602.50654058496"/>
  </r>
  <r>
    <s v="Regular"/>
    <x v="1"/>
    <x v="0"/>
    <x v="0"/>
    <x v="0"/>
    <x v="0"/>
    <x v="0"/>
    <x v="0"/>
    <x v="2"/>
    <n v="7635"/>
    <n v="7635"/>
    <n v="3603.8339999999998"/>
    <n v="3603.8339999999998"/>
    <n v="3603.8339999999998"/>
    <n v="3603.8339999999998"/>
    <n v="0"/>
    <x v="1"/>
    <n v="0"/>
    <n v="8"/>
    <n v="9"/>
    <n v="59"/>
    <n v="26.17"/>
    <n v="69.489999999999995"/>
    <n v="185.18"/>
    <n v="27.746237112155811"/>
    <n v="92.397536067834494"/>
    <n v="198.13390838089941"/>
    <n v="199807.95"/>
    <n v="250430.42465999996"/>
    <n v="667357.98011999996"/>
    <n v="211842.52035130962"/>
    <n v="332985.38199748826"/>
    <n v="714041.71557597024"/>
  </r>
  <r>
    <s v="Refaturamento - Regular"/>
    <x v="1"/>
    <x v="0"/>
    <x v="0"/>
    <x v="0"/>
    <x v="0"/>
    <x v="0"/>
    <x v="0"/>
    <x v="2"/>
    <n v="-5090"/>
    <n v="-5090"/>
    <n v="-2402.556"/>
    <n v="-2402.556"/>
    <n v="-2402.556"/>
    <n v="-2402.556"/>
    <n v="0"/>
    <x v="1"/>
    <n v="0"/>
    <n v="8"/>
    <n v="9"/>
    <n v="59"/>
    <n v="26.17"/>
    <n v="69.489999999999995"/>
    <n v="185.18"/>
    <n v="27.746237112155811"/>
    <n v="92.397536067834494"/>
    <n v="198.13390838089941"/>
    <n v="-133205.30000000002"/>
    <n v="-166953.61643999998"/>
    <n v="-444905.32008000003"/>
    <n v="-141228.34690087309"/>
    <n v="-221990.25466499219"/>
    <n v="-476027.81038398016"/>
  </r>
  <r>
    <s v="Regular"/>
    <x v="1"/>
    <x v="0"/>
    <x v="0"/>
    <x v="0"/>
    <x v="0"/>
    <x v="0"/>
    <x v="0"/>
    <x v="3"/>
    <n v="5082"/>
    <n v="5082"/>
    <n v="2376.4299999999998"/>
    <n v="2376.4299999999998"/>
    <n v="2376.4299999999998"/>
    <n v="2376.4299999999998"/>
    <n v="0"/>
    <x v="1"/>
    <n v="0"/>
    <n v="8"/>
    <n v="9"/>
    <n v="59"/>
    <n v="26.17"/>
    <n v="69.489999999999995"/>
    <n v="185.18"/>
    <n v="27.746237112155811"/>
    <n v="92.397536067834494"/>
    <n v="198.13390838089941"/>
    <n v="132995.94"/>
    <n v="165138.12069999997"/>
    <n v="440067.30739999999"/>
    <n v="141006.37700397582"/>
    <n v="219576.27663768391"/>
    <n v="470851.36389362079"/>
  </r>
  <r>
    <s v="Refaturamento - Regular"/>
    <x v="1"/>
    <x v="0"/>
    <x v="0"/>
    <x v="0"/>
    <x v="0"/>
    <x v="0"/>
    <x v="0"/>
    <x v="3"/>
    <n v="-2560"/>
    <n v="-2560"/>
    <n v="-1219.3900000000001"/>
    <n v="-1219.3900000000001"/>
    <n v="-1219.3900000000001"/>
    <n v="-1219.3900000000001"/>
    <n v="0"/>
    <x v="1"/>
    <n v="0"/>
    <n v="8"/>
    <n v="9"/>
    <n v="59"/>
    <n v="26.17"/>
    <n v="69.489999999999995"/>
    <n v="185.18"/>
    <n v="27.746237112155811"/>
    <n v="92.397536067834494"/>
    <n v="198.13390838089941"/>
    <n v="-66995.200000000012"/>
    <n v="-84735.411099999998"/>
    <n v="-225806.64020000002"/>
    <n v="-71030.367007118883"/>
    <n v="-112668.63150575671"/>
    <n v="-241602.50654058496"/>
  </r>
  <r>
    <s v="Regular"/>
    <x v="1"/>
    <x v="0"/>
    <x v="0"/>
    <x v="0"/>
    <x v="0"/>
    <x v="0"/>
    <x v="0"/>
    <x v="4"/>
    <n v="6621"/>
    <n v="6621"/>
    <n v="2907.9580000000001"/>
    <n v="2907.9580000000001"/>
    <n v="2907.9580000000001"/>
    <n v="2907.9580000000001"/>
    <n v="0"/>
    <x v="1"/>
    <n v="0"/>
    <n v="8"/>
    <n v="9"/>
    <n v="59"/>
    <n v="26.17"/>
    <n v="69.489999999999995"/>
    <n v="185.18"/>
    <n v="27.746237112155811"/>
    <n v="92.397536067834494"/>
    <n v="198.13390838089941"/>
    <n v="173271.57"/>
    <n v="202074.00141999999"/>
    <n v="538495.66243999999"/>
    <n v="183707.83591958362"/>
    <n v="268688.15418874787"/>
    <n v="576165.08394750347"/>
  </r>
  <r>
    <s v="Regular"/>
    <x v="1"/>
    <x v="0"/>
    <x v="0"/>
    <x v="0"/>
    <x v="0"/>
    <x v="0"/>
    <x v="0"/>
    <x v="5"/>
    <n v="6755"/>
    <n v="6755"/>
    <n v="2871.7730000000001"/>
    <n v="2871.7730000000001"/>
    <n v="2871.7730000000001"/>
    <n v="2871.7730000000001"/>
    <n v="0"/>
    <x v="1"/>
    <n v="0"/>
    <n v="8"/>
    <n v="9"/>
    <n v="59"/>
    <n v="26.17"/>
    <n v="69.489999999999995"/>
    <n v="185.18"/>
    <n v="27.746237112155811"/>
    <n v="92.397536067834494"/>
    <n v="198.13390838089941"/>
    <n v="176778.35"/>
    <n v="199559.50576999999"/>
    <n v="531794.92414000002"/>
    <n v="187425.8316926125"/>
    <n v="265344.74934613326"/>
    <n v="568995.60847274063"/>
  </r>
  <r>
    <s v="Regular"/>
    <x v="1"/>
    <x v="0"/>
    <x v="0"/>
    <x v="0"/>
    <x v="0"/>
    <x v="0"/>
    <x v="0"/>
    <x v="6"/>
    <n v="6829"/>
    <n v="6829"/>
    <n v="2547.1999999999998"/>
    <n v="2547.1999999999998"/>
    <n v="2547.1999999999998"/>
    <n v="2547.1999999999998"/>
    <n v="0"/>
    <x v="1"/>
    <n v="0"/>
    <n v="8"/>
    <n v="9"/>
    <n v="59"/>
    <n v="26.17"/>
    <n v="69.489999999999995"/>
    <n v="185.18"/>
    <n v="27.746237112155811"/>
    <n v="92.397536067834494"/>
    <n v="198.13390838089941"/>
    <n v="178714.93000000002"/>
    <n v="177004.92799999999"/>
    <n v="471690.49599999998"/>
    <n v="189479.05323891202"/>
    <n v="235355.00387198801"/>
    <n v="504686.69142782694"/>
  </r>
  <r>
    <s v="Regular"/>
    <x v="1"/>
    <x v="0"/>
    <x v="0"/>
    <x v="0"/>
    <x v="0"/>
    <x v="0"/>
    <x v="0"/>
    <x v="7"/>
    <n v="6727"/>
    <n v="6727"/>
    <n v="2583.0309999999999"/>
    <n v="2583.0309999999999"/>
    <n v="2583.0309999999999"/>
    <n v="2583.0309999999999"/>
    <n v="0"/>
    <x v="1"/>
    <n v="0"/>
    <n v="8"/>
    <n v="9"/>
    <n v="59"/>
    <n v="26.17"/>
    <n v="69.489999999999995"/>
    <n v="185.18"/>
    <n v="27.746237112155811"/>
    <n v="92.397536067834494"/>
    <n v="198.13390838089941"/>
    <n v="176045.59000000003"/>
    <n v="179494.82418999998"/>
    <n v="478325.68057999999"/>
    <n v="186648.93705347215"/>
    <n v="238665.6999868346"/>
    <n v="511786.02749902301"/>
  </r>
  <r>
    <s v="Regular"/>
    <x v="1"/>
    <x v="0"/>
    <x v="0"/>
    <x v="0"/>
    <x v="0"/>
    <x v="0"/>
    <x v="0"/>
    <x v="8"/>
    <n v="6765"/>
    <n v="6765"/>
    <n v="2663.85"/>
    <n v="2663.85"/>
    <n v="2663.85"/>
    <n v="2663.85"/>
    <n v="0"/>
    <x v="1"/>
    <n v="0"/>
    <n v="8"/>
    <n v="9"/>
    <n v="59"/>
    <n v="26.17"/>
    <n v="69.489999999999995"/>
    <n v="185.18"/>
    <n v="27.746237112155811"/>
    <n v="92.397536067834494"/>
    <n v="198.13390838089941"/>
    <n v="177040.05000000002"/>
    <n v="185110.93649999998"/>
    <n v="493291.74300000002"/>
    <n v="187703.29406373407"/>
    <n v="246133.1764543009"/>
    <n v="527799.01184045884"/>
  </r>
  <r>
    <s v="Regular"/>
    <x v="1"/>
    <x v="0"/>
    <x v="0"/>
    <x v="0"/>
    <x v="0"/>
    <x v="0"/>
    <x v="0"/>
    <x v="9"/>
    <n v="6840"/>
    <n v="6840"/>
    <n v="3115.3029999999999"/>
    <n v="3115.3029999999999"/>
    <n v="3115.3029999999999"/>
    <n v="3115.3029999999999"/>
    <n v="0"/>
    <x v="1"/>
    <n v="0"/>
    <n v="8"/>
    <n v="9"/>
    <n v="59"/>
    <n v="26.17"/>
    <n v="69.489999999999995"/>
    <n v="185.18"/>
    <n v="27.746237112155811"/>
    <n v="92.397536067834494"/>
    <n v="198.13390838089941"/>
    <n v="179002.80000000002"/>
    <n v="216482.40546999997"/>
    <n v="576891.80954000005"/>
    <n v="189784.26184714574"/>
    <n v="287846.32130473299"/>
    <n v="617247.15918074106"/>
  </r>
  <r>
    <s v="Regular"/>
    <x v="1"/>
    <x v="0"/>
    <x v="0"/>
    <x v="0"/>
    <x v="0"/>
    <x v="0"/>
    <x v="0"/>
    <x v="10"/>
    <n v="4335"/>
    <n v="4335"/>
    <n v="1510.45"/>
    <n v="1510.45"/>
    <n v="1510.45"/>
    <n v="1510.45"/>
    <n v="0"/>
    <x v="1"/>
    <n v="0"/>
    <n v="8"/>
    <n v="9"/>
    <n v="59"/>
    <n v="26.17"/>
    <n v="69.489999999999995"/>
    <n v="185.18"/>
    <n v="27.746237112155811"/>
    <n v="92.397536067834494"/>
    <n v="198.13390838089941"/>
    <n v="113446.95000000001"/>
    <n v="104961.17049999999"/>
    <n v="279705.13099999999"/>
    <n v="120279.93788119544"/>
    <n v="139561.85835366062"/>
    <n v="299271.36191392952"/>
  </r>
  <r>
    <s v="Regular"/>
    <x v="1"/>
    <x v="0"/>
    <x v="0"/>
    <x v="0"/>
    <x v="0"/>
    <x v="0"/>
    <x v="0"/>
    <x v="11"/>
    <n v="4386"/>
    <n v="4386"/>
    <n v="1835.4749999999999"/>
    <n v="1835.4749999999999"/>
    <n v="1835.4749999999999"/>
    <n v="1835.4749999999999"/>
    <n v="0"/>
    <x v="1"/>
    <n v="0"/>
    <n v="8"/>
    <n v="9"/>
    <n v="59"/>
    <n v="26.17"/>
    <n v="69.489999999999995"/>
    <n v="185.18"/>
    <n v="27.746237112155811"/>
    <n v="92.397536067834494"/>
    <n v="198.13390838089941"/>
    <n v="114781.62000000001"/>
    <n v="127547.15774999998"/>
    <n v="339893.26049999997"/>
    <n v="121694.99597391539"/>
    <n v="169593.36751410851"/>
    <n v="363669.83548543131"/>
  </r>
  <r>
    <s v="Regular"/>
    <x v="1"/>
    <x v="0"/>
    <x v="0"/>
    <x v="0"/>
    <x v="0"/>
    <x v="0"/>
    <x v="2"/>
    <x v="0"/>
    <n v="1851"/>
    <n v="1851"/>
    <n v="104.256"/>
    <n v="104.256"/>
    <n v="104.256"/>
    <n v="104.256"/>
    <n v="0"/>
    <x v="1"/>
    <n v="0"/>
    <n v="3"/>
    <n v="9"/>
    <n v="66"/>
    <n v="43.88"/>
    <n v="69.489999999999995"/>
    <n v="185.18"/>
    <n v="45.842466572743774"/>
    <n v="92.397536067834494"/>
    <n v="198.13390838089941"/>
    <n v="81221.88"/>
    <n v="7244.7494399999996"/>
    <n v="19306.126080000002"/>
    <n v="84854.405626148728"/>
    <n v="9632.9975202881524"/>
    <n v="20656.64875215905"/>
  </r>
  <r>
    <s v="Regular"/>
    <x v="1"/>
    <x v="0"/>
    <x v="0"/>
    <x v="0"/>
    <x v="0"/>
    <x v="0"/>
    <x v="2"/>
    <x v="1"/>
    <n v="1898"/>
    <n v="1898"/>
    <n v="110.116"/>
    <n v="110.116"/>
    <n v="110.116"/>
    <n v="110.116"/>
    <n v="0"/>
    <x v="1"/>
    <n v="0"/>
    <n v="3"/>
    <n v="9"/>
    <n v="66"/>
    <n v="43.88"/>
    <n v="69.489999999999995"/>
    <n v="185.18"/>
    <n v="45.842466572743774"/>
    <n v="92.397536067834494"/>
    <n v="198.13390838089941"/>
    <n v="83284.240000000005"/>
    <n v="7651.9608399999997"/>
    <n v="20391.280880000002"/>
    <n v="87009.001555067676"/>
    <n v="10174.447081645663"/>
    <n v="21817.713455271121"/>
  </r>
  <r>
    <s v="Regular"/>
    <x v="1"/>
    <x v="0"/>
    <x v="0"/>
    <x v="0"/>
    <x v="0"/>
    <x v="0"/>
    <x v="2"/>
    <x v="2"/>
    <n v="5745"/>
    <n v="5745"/>
    <n v="331.98"/>
    <n v="331.98"/>
    <n v="331.98"/>
    <n v="331.98"/>
    <n v="0"/>
    <x v="1"/>
    <n v="0"/>
    <n v="3"/>
    <n v="9"/>
    <n v="66"/>
    <n v="43.88"/>
    <n v="69.489999999999995"/>
    <n v="185.18"/>
    <n v="45.842466572743774"/>
    <n v="92.397536067834494"/>
    <n v="198.13390838089941"/>
    <n v="252090.6"/>
    <n v="23069.290199999999"/>
    <n v="61476.056400000009"/>
    <n v="263364.97046041297"/>
    <n v="30674.134023799696"/>
    <n v="65776.494904290987"/>
  </r>
  <r>
    <s v="Refaturamento - Regular"/>
    <x v="1"/>
    <x v="0"/>
    <x v="0"/>
    <x v="0"/>
    <x v="0"/>
    <x v="0"/>
    <x v="2"/>
    <x v="2"/>
    <n v="-3830"/>
    <n v="-3830"/>
    <n v="-221.32"/>
    <n v="-221.32"/>
    <n v="-221.32"/>
    <n v="-221.32"/>
    <n v="0"/>
    <x v="1"/>
    <n v="0"/>
    <n v="3"/>
    <n v="9"/>
    <n v="66"/>
    <n v="43.88"/>
    <n v="69.489999999999995"/>
    <n v="185.18"/>
    <n v="45.842466572743774"/>
    <n v="92.397536067834494"/>
    <n v="198.13390838089941"/>
    <n v="-168060.40000000002"/>
    <n v="-15379.526799999998"/>
    <n v="-40984.037600000003"/>
    <n v="-175576.64697360864"/>
    <n v="-20449.422682533128"/>
    <n v="-43850.996602860658"/>
  </r>
  <r>
    <s v="Regular"/>
    <x v="1"/>
    <x v="0"/>
    <x v="0"/>
    <x v="0"/>
    <x v="0"/>
    <x v="0"/>
    <x v="2"/>
    <x v="3"/>
    <n v="3855"/>
    <n v="3855"/>
    <n v="215.953"/>
    <n v="215.953"/>
    <n v="215.953"/>
    <n v="215.953"/>
    <n v="0"/>
    <x v="1"/>
    <n v="0"/>
    <n v="3"/>
    <n v="9"/>
    <n v="66"/>
    <n v="43.88"/>
    <n v="69.489999999999995"/>
    <n v="185.18"/>
    <n v="45.842466572743774"/>
    <n v="92.397536067834494"/>
    <n v="198.13390838089941"/>
    <n v="169157.40000000002"/>
    <n v="15006.573969999999"/>
    <n v="39990.17654"/>
    <n v="176722.70863792725"/>
    <n v="19953.525106457062"/>
    <n v="42787.611916580368"/>
  </r>
  <r>
    <s v="Refaturamento - Regular"/>
    <x v="1"/>
    <x v="0"/>
    <x v="0"/>
    <x v="0"/>
    <x v="0"/>
    <x v="0"/>
    <x v="2"/>
    <x v="3"/>
    <n v="-1898"/>
    <n v="-1898"/>
    <n v="-110.116"/>
    <n v="-110.116"/>
    <n v="-110.116"/>
    <n v="-110.116"/>
    <n v="0"/>
    <x v="1"/>
    <n v="0"/>
    <n v="3"/>
    <n v="9"/>
    <n v="66"/>
    <n v="43.88"/>
    <n v="69.489999999999995"/>
    <n v="185.18"/>
    <n v="45.842466572743774"/>
    <n v="92.397536067834494"/>
    <n v="198.13390838089941"/>
    <n v="-83284.240000000005"/>
    <n v="-7651.9608399999997"/>
    <n v="-20391.280880000002"/>
    <n v="-87009.001555067676"/>
    <n v="-10174.447081645663"/>
    <n v="-21817.713455271121"/>
  </r>
  <r>
    <s v="Regular"/>
    <x v="1"/>
    <x v="0"/>
    <x v="0"/>
    <x v="0"/>
    <x v="0"/>
    <x v="0"/>
    <x v="2"/>
    <x v="4"/>
    <n v="5329"/>
    <n v="5329"/>
    <n v="276.17599999999999"/>
    <n v="276.17599999999999"/>
    <n v="276.17599999999999"/>
    <n v="276.17599999999999"/>
    <n v="0"/>
    <x v="1"/>
    <n v="0"/>
    <n v="3"/>
    <n v="9"/>
    <n v="66"/>
    <n v="43.88"/>
    <n v="69.489999999999995"/>
    <n v="185.18"/>
    <n v="45.842466572743774"/>
    <n v="92.397536067834494"/>
    <n v="198.13390838089941"/>
    <n v="233836.52000000002"/>
    <n v="19191.470239999999"/>
    <n v="51142.271679999998"/>
    <n v="244294.50436615158"/>
    <n v="25517.981921070259"/>
    <n v="54719.830281003276"/>
  </r>
  <r>
    <s v="Regular"/>
    <x v="1"/>
    <x v="0"/>
    <x v="0"/>
    <x v="0"/>
    <x v="0"/>
    <x v="0"/>
    <x v="2"/>
    <x v="5"/>
    <n v="5398"/>
    <n v="5398"/>
    <n v="278.517"/>
    <n v="278.517"/>
    <n v="278.517"/>
    <n v="278.517"/>
    <n v="0"/>
    <x v="1"/>
    <n v="0"/>
    <n v="3"/>
    <n v="9"/>
    <n v="66"/>
    <n v="43.88"/>
    <n v="69.489999999999995"/>
    <n v="185.18"/>
    <n v="45.842466572743774"/>
    <n v="92.397536067834494"/>
    <n v="198.13390838089941"/>
    <n v="236864.24000000002"/>
    <n v="19354.14633"/>
    <n v="51575.778060000004"/>
    <n v="247457.6345596709"/>
    <n v="25734.284553005058"/>
    <n v="55183.661760522962"/>
  </r>
  <r>
    <s v="Regular"/>
    <x v="1"/>
    <x v="0"/>
    <x v="0"/>
    <x v="0"/>
    <x v="0"/>
    <x v="0"/>
    <x v="2"/>
    <x v="6"/>
    <n v="5258"/>
    <n v="5258"/>
    <n v="242.077"/>
    <n v="242.077"/>
    <n v="242.077"/>
    <n v="242.077"/>
    <n v="0"/>
    <x v="1"/>
    <n v="0"/>
    <n v="3"/>
    <n v="9"/>
    <n v="66"/>
    <n v="43.88"/>
    <n v="69.489999999999995"/>
    <n v="185.18"/>
    <n v="45.842466572743774"/>
    <n v="92.397536067834494"/>
    <n v="198.13390838089941"/>
    <n v="230721.04"/>
    <n v="16821.93073"/>
    <n v="44827.818859999999"/>
    <n v="241039.68923948676"/>
    <n v="22367.318338693171"/>
    <n v="47963.662139122986"/>
  </r>
  <r>
    <s v="Regular"/>
    <x v="1"/>
    <x v="0"/>
    <x v="0"/>
    <x v="0"/>
    <x v="0"/>
    <x v="0"/>
    <x v="2"/>
    <x v="7"/>
    <n v="5464"/>
    <n v="5464"/>
    <n v="241.57900000000001"/>
    <n v="241.57900000000001"/>
    <n v="241.57900000000001"/>
    <n v="241.57900000000001"/>
    <n v="0"/>
    <x v="1"/>
    <n v="0"/>
    <n v="3"/>
    <n v="9"/>
    <n v="66"/>
    <n v="43.88"/>
    <n v="69.489999999999995"/>
    <n v="185.18"/>
    <n v="45.842466572743774"/>
    <n v="92.397536067834494"/>
    <n v="198.13390838089941"/>
    <n v="239760.32"/>
    <n v="16787.324710000001"/>
    <n v="44735.599220000004"/>
    <n v="250483.23735347198"/>
    <n v="22321.30436573139"/>
    <n v="47864.991452749302"/>
  </r>
  <r>
    <s v="Regular"/>
    <x v="1"/>
    <x v="0"/>
    <x v="0"/>
    <x v="0"/>
    <x v="0"/>
    <x v="0"/>
    <x v="2"/>
    <x v="8"/>
    <n v="5452"/>
    <n v="5452"/>
    <n v="273.935"/>
    <n v="273.935"/>
    <n v="273.935"/>
    <n v="273.935"/>
    <n v="0"/>
    <x v="1"/>
    <n v="0"/>
    <n v="3"/>
    <n v="9"/>
    <n v="66"/>
    <n v="43.88"/>
    <n v="69.489999999999995"/>
    <n v="185.18"/>
    <n v="45.842466572743774"/>
    <n v="92.397536067834494"/>
    <n v="198.13390838089941"/>
    <n v="239233.76"/>
    <n v="19035.743149999998"/>
    <n v="50727.283300000003"/>
    <n v="249933.12775459906"/>
    <n v="25310.919042742244"/>
    <n v="54275.812192321682"/>
  </r>
  <r>
    <s v="Regular"/>
    <x v="1"/>
    <x v="0"/>
    <x v="0"/>
    <x v="0"/>
    <x v="0"/>
    <x v="0"/>
    <x v="2"/>
    <x v="9"/>
    <n v="5398"/>
    <n v="5398"/>
    <n v="305.86200000000002"/>
    <n v="305.86200000000002"/>
    <n v="305.86200000000002"/>
    <n v="305.86200000000002"/>
    <n v="0"/>
    <x v="1"/>
    <n v="0"/>
    <n v="3"/>
    <n v="9"/>
    <n v="66"/>
    <n v="43.88"/>
    <n v="69.489999999999995"/>
    <n v="185.18"/>
    <n v="45.842466572743774"/>
    <n v="92.397536067834494"/>
    <n v="198.13390838089941"/>
    <n v="236864.24000000002"/>
    <n v="21254.35038"/>
    <n v="56639.525160000005"/>
    <n v="247457.6345596709"/>
    <n v="28260.895176779995"/>
    <n v="60601.633485198661"/>
  </r>
  <r>
    <s v="Regular"/>
    <x v="1"/>
    <x v="0"/>
    <x v="0"/>
    <x v="0"/>
    <x v="0"/>
    <x v="0"/>
    <x v="2"/>
    <x v="10"/>
    <n v="3722"/>
    <n v="3722"/>
    <n v="172.31899999999999"/>
    <n v="172.31899999999999"/>
    <n v="172.31899999999999"/>
    <n v="172.31899999999999"/>
    <n v="0"/>
    <x v="1"/>
    <n v="0"/>
    <n v="3"/>
    <n v="9"/>
    <n v="66"/>
    <n v="43.88"/>
    <n v="69.489999999999995"/>
    <n v="185.18"/>
    <n v="45.842466572743774"/>
    <n v="92.397536067834494"/>
    <n v="198.13390838089941"/>
    <n v="163321.36000000002"/>
    <n v="11974.447309999998"/>
    <n v="31910.03242"/>
    <n v="170625.66058375232"/>
    <n v="15921.851017673171"/>
    <n v="34142.236958288202"/>
  </r>
  <r>
    <s v="Regular"/>
    <x v="1"/>
    <x v="0"/>
    <x v="0"/>
    <x v="0"/>
    <x v="0"/>
    <x v="0"/>
    <x v="2"/>
    <x v="11"/>
    <n v="3858"/>
    <n v="3858"/>
    <n v="220.173"/>
    <n v="220.173"/>
    <n v="220.173"/>
    <n v="220.173"/>
    <n v="0"/>
    <x v="1"/>
    <n v="0"/>
    <n v="3"/>
    <n v="9"/>
    <n v="66"/>
    <n v="43.88"/>
    <n v="69.489999999999995"/>
    <n v="185.18"/>
    <n v="45.842466572743774"/>
    <n v="92.397536067834494"/>
    <n v="198.13390838089941"/>
    <n v="169289.04"/>
    <n v="15299.821769999999"/>
    <n v="40771.636140000002"/>
    <n v="176860.23603764549"/>
    <n v="20343.442708663326"/>
    <n v="43623.73700994777"/>
  </r>
  <r>
    <s v="Regular"/>
    <x v="1"/>
    <x v="1"/>
    <x v="2"/>
    <x v="0"/>
    <x v="0"/>
    <x v="1"/>
    <x v="1"/>
    <x v="0"/>
    <n v="705"/>
    <n v="352.5"/>
    <n v="0"/>
    <n v="0"/>
    <n v="0"/>
    <n v="0"/>
    <n v="0"/>
    <x v="2"/>
    <n v="706"/>
    <n v="14"/>
    <n v="0"/>
    <n v="0"/>
    <n v="8.08"/>
    <n v="0"/>
    <n v="0"/>
    <n v="7.6006460748490348"/>
    <m/>
    <m/>
    <n v="2848.2"/>
    <n v="0"/>
    <n v="0"/>
    <n v="2679.2277413842849"/>
    <n v="0"/>
    <n v="0"/>
  </r>
  <r>
    <s v="Regular"/>
    <x v="1"/>
    <x v="1"/>
    <x v="2"/>
    <x v="0"/>
    <x v="0"/>
    <x v="2"/>
    <x v="1"/>
    <x v="0"/>
    <n v="3700"/>
    <n v="1850"/>
    <n v="0"/>
    <n v="0"/>
    <n v="0"/>
    <n v="0"/>
    <n v="0"/>
    <x v="2"/>
    <n v="877"/>
    <n v="14"/>
    <n v="0"/>
    <n v="0"/>
    <n v="8.08"/>
    <n v="0"/>
    <n v="0"/>
    <n v="7.6006460748490348"/>
    <m/>
    <m/>
    <n v="14948"/>
    <n v="0"/>
    <n v="0"/>
    <n v="14061.195238470715"/>
    <n v="0"/>
    <n v="0"/>
  </r>
  <r>
    <s v="Regular"/>
    <x v="1"/>
    <x v="1"/>
    <x v="2"/>
    <x v="0"/>
    <x v="0"/>
    <x v="3"/>
    <x v="1"/>
    <x v="0"/>
    <n v="880"/>
    <n v="440"/>
    <n v="0"/>
    <n v="0"/>
    <n v="0"/>
    <n v="0"/>
    <n v="0"/>
    <x v="2"/>
    <n v="2317"/>
    <n v="14"/>
    <n v="0"/>
    <n v="0"/>
    <n v="8.08"/>
    <n v="0"/>
    <n v="0"/>
    <n v="7.6006460748490348"/>
    <m/>
    <m/>
    <n v="3555.2"/>
    <n v="0"/>
    <n v="0"/>
    <n v="3344.2842729335753"/>
    <n v="0"/>
    <n v="0"/>
  </r>
  <r>
    <s v="Regular"/>
    <x v="1"/>
    <x v="1"/>
    <x v="2"/>
    <x v="0"/>
    <x v="0"/>
    <x v="4"/>
    <x v="1"/>
    <x v="0"/>
    <n v="780"/>
    <n v="390"/>
    <n v="0"/>
    <n v="0"/>
    <n v="0"/>
    <n v="0"/>
    <n v="0"/>
    <x v="2"/>
    <n v="28915"/>
    <n v="14"/>
    <n v="0"/>
    <n v="0"/>
    <n v="8.08"/>
    <n v="0"/>
    <n v="0"/>
    <n v="7.6006460748490348"/>
    <m/>
    <m/>
    <n v="3151.2"/>
    <n v="0"/>
    <n v="0"/>
    <n v="2964.2519691911234"/>
    <n v="0"/>
    <n v="0"/>
  </r>
  <r>
    <s v="Regular"/>
    <x v="1"/>
    <x v="1"/>
    <x v="2"/>
    <x v="0"/>
    <x v="0"/>
    <x v="5"/>
    <x v="1"/>
    <x v="0"/>
    <n v="1280"/>
    <n v="640"/>
    <n v="0"/>
    <n v="0"/>
    <n v="0"/>
    <n v="0"/>
    <n v="0"/>
    <x v="2"/>
    <n v="31695"/>
    <n v="14"/>
    <n v="0"/>
    <n v="0"/>
    <n v="8.08"/>
    <n v="0"/>
    <n v="0"/>
    <n v="7.6006460748490348"/>
    <m/>
    <m/>
    <n v="5171.2"/>
    <n v="0"/>
    <n v="0"/>
    <n v="4864.4134879033827"/>
    <n v="0"/>
    <n v="0"/>
  </r>
  <r>
    <s v="Regular"/>
    <x v="1"/>
    <x v="1"/>
    <x v="2"/>
    <x v="0"/>
    <x v="0"/>
    <x v="6"/>
    <x v="1"/>
    <x v="0"/>
    <n v="2425"/>
    <n v="1212.5"/>
    <n v="0"/>
    <n v="0"/>
    <n v="0"/>
    <n v="0"/>
    <n v="0"/>
    <x v="2"/>
    <m/>
    <n v="14"/>
    <n v="0"/>
    <n v="0"/>
    <n v="8.08"/>
    <n v="0"/>
    <n v="0"/>
    <n v="7.6006460748490348"/>
    <m/>
    <m/>
    <n v="9797"/>
    <n v="0"/>
    <n v="0"/>
    <n v="9215.7833657544543"/>
    <n v="0"/>
    <n v="0"/>
  </r>
  <r>
    <s v="Regular"/>
    <x v="1"/>
    <x v="1"/>
    <x v="2"/>
    <x v="0"/>
    <x v="0"/>
    <x v="7"/>
    <x v="1"/>
    <x v="0"/>
    <n v="1100"/>
    <n v="550"/>
    <n v="0"/>
    <n v="0"/>
    <n v="0"/>
    <n v="0"/>
    <n v="0"/>
    <x v="2"/>
    <m/>
    <n v="14"/>
    <n v="0"/>
    <n v="0"/>
    <n v="8.08"/>
    <n v="0"/>
    <n v="0"/>
    <n v="7.6006460748490348"/>
    <m/>
    <m/>
    <n v="4444"/>
    <n v="0"/>
    <n v="0"/>
    <n v="4180.3553411669691"/>
    <n v="0"/>
    <n v="0"/>
  </r>
  <r>
    <s v="Regular"/>
    <x v="1"/>
    <x v="1"/>
    <x v="2"/>
    <x v="0"/>
    <x v="0"/>
    <x v="1"/>
    <x v="1"/>
    <x v="1"/>
    <n v="705"/>
    <n v="352.5"/>
    <n v="0"/>
    <n v="0"/>
    <n v="0"/>
    <n v="0"/>
    <n v="0"/>
    <x v="2"/>
    <n v="706"/>
    <n v="14"/>
    <n v="0"/>
    <n v="0"/>
    <n v="8.08"/>
    <n v="0"/>
    <n v="0"/>
    <n v="7.6006460748490348"/>
    <m/>
    <m/>
    <n v="2848.2"/>
    <n v="0"/>
    <n v="0"/>
    <n v="2679.2277413842849"/>
    <n v="0"/>
    <n v="0"/>
  </r>
  <r>
    <s v="Regular"/>
    <x v="1"/>
    <x v="1"/>
    <x v="2"/>
    <x v="0"/>
    <x v="0"/>
    <x v="2"/>
    <x v="1"/>
    <x v="1"/>
    <n v="3700"/>
    <n v="1850"/>
    <n v="0"/>
    <n v="0"/>
    <n v="0"/>
    <n v="0"/>
    <n v="0"/>
    <x v="2"/>
    <n v="877"/>
    <n v="14"/>
    <n v="0"/>
    <n v="0"/>
    <n v="8.08"/>
    <n v="0"/>
    <n v="0"/>
    <n v="7.6006460748490348"/>
    <m/>
    <m/>
    <n v="14948"/>
    <n v="0"/>
    <n v="0"/>
    <n v="14061.195238470715"/>
    <n v="0"/>
    <n v="0"/>
  </r>
  <r>
    <s v="Regular"/>
    <x v="1"/>
    <x v="1"/>
    <x v="2"/>
    <x v="0"/>
    <x v="0"/>
    <x v="3"/>
    <x v="1"/>
    <x v="1"/>
    <n v="880"/>
    <n v="440"/>
    <n v="0"/>
    <n v="0"/>
    <n v="0"/>
    <n v="0"/>
    <n v="0"/>
    <x v="2"/>
    <n v="2317"/>
    <n v="14"/>
    <n v="0"/>
    <n v="0"/>
    <n v="8.08"/>
    <n v="0"/>
    <n v="0"/>
    <n v="7.6006460748490348"/>
    <m/>
    <m/>
    <n v="3555.2"/>
    <n v="0"/>
    <n v="0"/>
    <n v="3344.2842729335753"/>
    <n v="0"/>
    <n v="0"/>
  </r>
  <r>
    <s v="Regular"/>
    <x v="1"/>
    <x v="1"/>
    <x v="2"/>
    <x v="0"/>
    <x v="0"/>
    <x v="4"/>
    <x v="1"/>
    <x v="1"/>
    <n v="780"/>
    <n v="390"/>
    <n v="0"/>
    <n v="0"/>
    <n v="0"/>
    <n v="0"/>
    <n v="0"/>
    <x v="2"/>
    <n v="28915"/>
    <n v="14"/>
    <n v="0"/>
    <n v="0"/>
    <n v="8.08"/>
    <n v="0"/>
    <n v="0"/>
    <n v="7.6006460748490348"/>
    <m/>
    <m/>
    <n v="3151.2"/>
    <n v="0"/>
    <n v="0"/>
    <n v="2964.2519691911234"/>
    <n v="0"/>
    <n v="0"/>
  </r>
  <r>
    <s v="Regular"/>
    <x v="1"/>
    <x v="1"/>
    <x v="2"/>
    <x v="0"/>
    <x v="0"/>
    <x v="5"/>
    <x v="1"/>
    <x v="1"/>
    <n v="1280"/>
    <n v="640"/>
    <n v="0"/>
    <n v="0"/>
    <n v="0"/>
    <n v="0"/>
    <n v="0"/>
    <x v="2"/>
    <n v="31695"/>
    <n v="14"/>
    <n v="0"/>
    <n v="0"/>
    <n v="8.08"/>
    <n v="0"/>
    <n v="0"/>
    <n v="7.6006460748490348"/>
    <m/>
    <m/>
    <n v="5171.2"/>
    <n v="0"/>
    <n v="0"/>
    <n v="4864.4134879033827"/>
    <n v="0"/>
    <n v="0"/>
  </r>
  <r>
    <s v="Regular"/>
    <x v="1"/>
    <x v="1"/>
    <x v="2"/>
    <x v="0"/>
    <x v="0"/>
    <x v="6"/>
    <x v="1"/>
    <x v="1"/>
    <n v="2425"/>
    <n v="1212.5"/>
    <n v="0"/>
    <n v="0"/>
    <n v="0"/>
    <n v="0"/>
    <n v="0"/>
    <x v="2"/>
    <m/>
    <n v="14"/>
    <n v="0"/>
    <n v="0"/>
    <n v="8.08"/>
    <n v="0"/>
    <n v="0"/>
    <n v="7.6006460748490348"/>
    <m/>
    <m/>
    <n v="9797"/>
    <n v="0"/>
    <n v="0"/>
    <n v="9215.7833657544543"/>
    <n v="0"/>
    <n v="0"/>
  </r>
  <r>
    <s v="Regular"/>
    <x v="1"/>
    <x v="1"/>
    <x v="2"/>
    <x v="0"/>
    <x v="0"/>
    <x v="7"/>
    <x v="1"/>
    <x v="1"/>
    <n v="1100"/>
    <n v="550"/>
    <n v="0"/>
    <n v="0"/>
    <n v="0"/>
    <n v="0"/>
    <n v="0"/>
    <x v="2"/>
    <m/>
    <n v="14"/>
    <n v="0"/>
    <n v="0"/>
    <n v="8.08"/>
    <n v="0"/>
    <n v="0"/>
    <n v="7.6006460748490348"/>
    <m/>
    <m/>
    <n v="4444"/>
    <n v="0"/>
    <n v="0"/>
    <n v="4180.3553411669691"/>
    <n v="0"/>
    <n v="0"/>
  </r>
  <r>
    <s v="Regular"/>
    <x v="1"/>
    <x v="1"/>
    <x v="2"/>
    <x v="0"/>
    <x v="0"/>
    <x v="1"/>
    <x v="1"/>
    <x v="2"/>
    <n v="705"/>
    <n v="352.5"/>
    <n v="0"/>
    <n v="0"/>
    <n v="0"/>
    <n v="0"/>
    <n v="0"/>
    <x v="2"/>
    <n v="706"/>
    <n v="14"/>
    <n v="0"/>
    <n v="0"/>
    <n v="8.08"/>
    <n v="0"/>
    <n v="0"/>
    <n v="7.6006460748490348"/>
    <m/>
    <m/>
    <n v="2848.2"/>
    <n v="0"/>
    <n v="0"/>
    <n v="2679.2277413842849"/>
    <n v="0"/>
    <n v="0"/>
  </r>
  <r>
    <s v="Regular"/>
    <x v="1"/>
    <x v="1"/>
    <x v="2"/>
    <x v="0"/>
    <x v="0"/>
    <x v="2"/>
    <x v="1"/>
    <x v="2"/>
    <n v="3700"/>
    <n v="1850"/>
    <n v="0"/>
    <n v="0"/>
    <n v="0"/>
    <n v="0"/>
    <n v="0"/>
    <x v="2"/>
    <n v="877"/>
    <n v="14"/>
    <n v="0"/>
    <n v="0"/>
    <n v="8.08"/>
    <n v="0"/>
    <n v="0"/>
    <n v="7.6006460748490348"/>
    <m/>
    <m/>
    <n v="14948"/>
    <n v="0"/>
    <n v="0"/>
    <n v="14061.195238470715"/>
    <n v="0"/>
    <n v="0"/>
  </r>
  <r>
    <s v="Regular"/>
    <x v="1"/>
    <x v="1"/>
    <x v="2"/>
    <x v="0"/>
    <x v="0"/>
    <x v="3"/>
    <x v="1"/>
    <x v="2"/>
    <n v="880"/>
    <n v="440"/>
    <n v="0"/>
    <n v="0"/>
    <n v="0"/>
    <n v="0"/>
    <n v="0"/>
    <x v="2"/>
    <n v="2317"/>
    <n v="14"/>
    <n v="0"/>
    <n v="0"/>
    <n v="8.08"/>
    <n v="0"/>
    <n v="0"/>
    <n v="7.6006460748490348"/>
    <m/>
    <m/>
    <n v="3555.2"/>
    <n v="0"/>
    <n v="0"/>
    <n v="3344.2842729335753"/>
    <n v="0"/>
    <n v="0"/>
  </r>
  <r>
    <s v="Regular"/>
    <x v="1"/>
    <x v="1"/>
    <x v="2"/>
    <x v="0"/>
    <x v="0"/>
    <x v="4"/>
    <x v="1"/>
    <x v="2"/>
    <n v="780"/>
    <n v="390"/>
    <n v="0"/>
    <n v="0"/>
    <n v="0"/>
    <n v="0"/>
    <n v="0"/>
    <x v="2"/>
    <n v="28915"/>
    <n v="14"/>
    <n v="0"/>
    <n v="0"/>
    <n v="8.08"/>
    <n v="0"/>
    <n v="0"/>
    <n v="7.6006460748490348"/>
    <m/>
    <m/>
    <n v="3151.2"/>
    <n v="0"/>
    <n v="0"/>
    <n v="2964.2519691911234"/>
    <n v="0"/>
    <n v="0"/>
  </r>
  <r>
    <s v="Regular"/>
    <x v="1"/>
    <x v="1"/>
    <x v="2"/>
    <x v="0"/>
    <x v="0"/>
    <x v="5"/>
    <x v="1"/>
    <x v="2"/>
    <n v="1280"/>
    <n v="640"/>
    <n v="0"/>
    <n v="0"/>
    <n v="0"/>
    <n v="0"/>
    <n v="0"/>
    <x v="2"/>
    <n v="31695"/>
    <n v="14"/>
    <n v="0"/>
    <n v="0"/>
    <n v="8.08"/>
    <n v="0"/>
    <n v="0"/>
    <n v="7.6006460748490348"/>
    <m/>
    <m/>
    <n v="5171.2"/>
    <n v="0"/>
    <n v="0"/>
    <n v="4864.4134879033827"/>
    <n v="0"/>
    <n v="0"/>
  </r>
  <r>
    <s v="Regular"/>
    <x v="1"/>
    <x v="1"/>
    <x v="2"/>
    <x v="0"/>
    <x v="0"/>
    <x v="6"/>
    <x v="1"/>
    <x v="2"/>
    <n v="2425"/>
    <n v="1212.5"/>
    <n v="0"/>
    <n v="0"/>
    <n v="0"/>
    <n v="0"/>
    <n v="0"/>
    <x v="2"/>
    <m/>
    <n v="14"/>
    <n v="0"/>
    <n v="0"/>
    <n v="8.08"/>
    <n v="0"/>
    <n v="0"/>
    <n v="7.6006460748490348"/>
    <m/>
    <m/>
    <n v="9797"/>
    <n v="0"/>
    <n v="0"/>
    <n v="9215.7833657544543"/>
    <n v="0"/>
    <n v="0"/>
  </r>
  <r>
    <s v="Regular"/>
    <x v="1"/>
    <x v="1"/>
    <x v="2"/>
    <x v="0"/>
    <x v="0"/>
    <x v="7"/>
    <x v="1"/>
    <x v="2"/>
    <n v="1100"/>
    <n v="550"/>
    <n v="0"/>
    <n v="0"/>
    <n v="0"/>
    <n v="0"/>
    <n v="0"/>
    <x v="2"/>
    <m/>
    <n v="14"/>
    <n v="0"/>
    <n v="0"/>
    <n v="8.08"/>
    <n v="0"/>
    <n v="0"/>
    <n v="7.6006460748490348"/>
    <m/>
    <m/>
    <n v="4444"/>
    <n v="0"/>
    <n v="0"/>
    <n v="4180.3553411669691"/>
    <n v="0"/>
    <n v="0"/>
  </r>
  <r>
    <s v="Regular"/>
    <x v="1"/>
    <x v="1"/>
    <x v="2"/>
    <x v="0"/>
    <x v="0"/>
    <x v="1"/>
    <x v="1"/>
    <x v="3"/>
    <n v="705"/>
    <n v="352.5"/>
    <n v="0"/>
    <n v="0"/>
    <n v="0"/>
    <n v="0"/>
    <n v="0"/>
    <x v="2"/>
    <n v="706"/>
    <n v="14"/>
    <n v="0"/>
    <n v="0"/>
    <n v="8.08"/>
    <n v="0"/>
    <n v="0"/>
    <n v="7.6006460748490348"/>
    <m/>
    <m/>
    <n v="2848.2"/>
    <n v="0"/>
    <n v="0"/>
    <n v="2679.2277413842849"/>
    <n v="0"/>
    <n v="0"/>
  </r>
  <r>
    <s v="Regular"/>
    <x v="1"/>
    <x v="1"/>
    <x v="2"/>
    <x v="0"/>
    <x v="0"/>
    <x v="2"/>
    <x v="1"/>
    <x v="3"/>
    <n v="3700"/>
    <n v="1850"/>
    <n v="0"/>
    <n v="0"/>
    <n v="0"/>
    <n v="0"/>
    <n v="0"/>
    <x v="2"/>
    <n v="877"/>
    <n v="14"/>
    <n v="0"/>
    <n v="0"/>
    <n v="8.08"/>
    <n v="0"/>
    <n v="0"/>
    <n v="7.6006460748490348"/>
    <m/>
    <m/>
    <n v="14948"/>
    <n v="0"/>
    <n v="0"/>
    <n v="14061.195238470715"/>
    <n v="0"/>
    <n v="0"/>
  </r>
  <r>
    <s v="Regular"/>
    <x v="1"/>
    <x v="1"/>
    <x v="2"/>
    <x v="0"/>
    <x v="0"/>
    <x v="3"/>
    <x v="1"/>
    <x v="3"/>
    <n v="880"/>
    <n v="440"/>
    <n v="0"/>
    <n v="0"/>
    <n v="0"/>
    <n v="0"/>
    <n v="0"/>
    <x v="2"/>
    <n v="2317"/>
    <n v="14"/>
    <n v="0"/>
    <n v="0"/>
    <n v="8.08"/>
    <n v="0"/>
    <n v="0"/>
    <n v="7.6006460748490348"/>
    <m/>
    <m/>
    <n v="3555.2"/>
    <n v="0"/>
    <n v="0"/>
    <n v="3344.2842729335753"/>
    <n v="0"/>
    <n v="0"/>
  </r>
  <r>
    <s v="Regular"/>
    <x v="1"/>
    <x v="1"/>
    <x v="2"/>
    <x v="0"/>
    <x v="0"/>
    <x v="4"/>
    <x v="1"/>
    <x v="3"/>
    <n v="780"/>
    <n v="390"/>
    <n v="0"/>
    <n v="0"/>
    <n v="0"/>
    <n v="0"/>
    <n v="0"/>
    <x v="2"/>
    <n v="28915"/>
    <n v="14"/>
    <n v="0"/>
    <n v="0"/>
    <n v="8.08"/>
    <n v="0"/>
    <n v="0"/>
    <n v="7.6006460748490348"/>
    <m/>
    <m/>
    <n v="3151.2"/>
    <n v="0"/>
    <n v="0"/>
    <n v="2964.2519691911234"/>
    <n v="0"/>
    <n v="0"/>
  </r>
  <r>
    <s v="Regular"/>
    <x v="1"/>
    <x v="1"/>
    <x v="2"/>
    <x v="0"/>
    <x v="0"/>
    <x v="5"/>
    <x v="1"/>
    <x v="3"/>
    <n v="1280"/>
    <n v="640"/>
    <n v="0"/>
    <n v="0"/>
    <n v="0"/>
    <n v="0"/>
    <n v="0"/>
    <x v="2"/>
    <n v="31695"/>
    <n v="14"/>
    <n v="0"/>
    <n v="0"/>
    <n v="8.08"/>
    <n v="0"/>
    <n v="0"/>
    <n v="7.6006460748490348"/>
    <m/>
    <m/>
    <n v="5171.2"/>
    <n v="0"/>
    <n v="0"/>
    <n v="4864.4134879033827"/>
    <n v="0"/>
    <n v="0"/>
  </r>
  <r>
    <s v="Regular"/>
    <x v="1"/>
    <x v="1"/>
    <x v="2"/>
    <x v="0"/>
    <x v="0"/>
    <x v="6"/>
    <x v="1"/>
    <x v="3"/>
    <n v="2425"/>
    <n v="1212.5"/>
    <n v="0"/>
    <n v="0"/>
    <n v="0"/>
    <n v="0"/>
    <n v="0"/>
    <x v="2"/>
    <m/>
    <n v="14"/>
    <n v="0"/>
    <n v="0"/>
    <n v="8.08"/>
    <n v="0"/>
    <n v="0"/>
    <n v="7.6006460748490348"/>
    <m/>
    <m/>
    <n v="9797"/>
    <n v="0"/>
    <n v="0"/>
    <n v="9215.7833657544543"/>
    <n v="0"/>
    <n v="0"/>
  </r>
  <r>
    <s v="Regular"/>
    <x v="1"/>
    <x v="1"/>
    <x v="2"/>
    <x v="0"/>
    <x v="0"/>
    <x v="7"/>
    <x v="1"/>
    <x v="3"/>
    <n v="1100"/>
    <n v="550"/>
    <n v="0"/>
    <n v="0"/>
    <n v="0"/>
    <n v="0"/>
    <n v="0"/>
    <x v="2"/>
    <m/>
    <n v="14"/>
    <n v="0"/>
    <n v="0"/>
    <n v="8.08"/>
    <n v="0"/>
    <n v="0"/>
    <n v="7.6006460748490348"/>
    <m/>
    <m/>
    <n v="4444"/>
    <n v="0"/>
    <n v="0"/>
    <n v="4180.3553411669691"/>
    <n v="0"/>
    <n v="0"/>
  </r>
  <r>
    <s v="Regular"/>
    <x v="1"/>
    <x v="1"/>
    <x v="2"/>
    <x v="0"/>
    <x v="0"/>
    <x v="1"/>
    <x v="1"/>
    <x v="4"/>
    <n v="705"/>
    <n v="352.5"/>
    <n v="0"/>
    <n v="0"/>
    <n v="0"/>
    <n v="0"/>
    <n v="0"/>
    <x v="2"/>
    <n v="706"/>
    <n v="14"/>
    <n v="0"/>
    <n v="0"/>
    <n v="8.08"/>
    <n v="0"/>
    <n v="0"/>
    <n v="7.6006460748490348"/>
    <m/>
    <m/>
    <n v="2848.2"/>
    <n v="0"/>
    <n v="0"/>
    <n v="2679.2277413842849"/>
    <n v="0"/>
    <n v="0"/>
  </r>
  <r>
    <s v="Regular"/>
    <x v="1"/>
    <x v="1"/>
    <x v="2"/>
    <x v="0"/>
    <x v="0"/>
    <x v="2"/>
    <x v="1"/>
    <x v="4"/>
    <n v="3700"/>
    <n v="1850"/>
    <n v="0"/>
    <n v="0"/>
    <n v="0"/>
    <n v="0"/>
    <n v="0"/>
    <x v="2"/>
    <n v="877"/>
    <n v="14"/>
    <n v="0"/>
    <n v="0"/>
    <n v="8.08"/>
    <n v="0"/>
    <n v="0"/>
    <n v="7.6006460748490348"/>
    <m/>
    <m/>
    <n v="14948"/>
    <n v="0"/>
    <n v="0"/>
    <n v="14061.195238470715"/>
    <n v="0"/>
    <n v="0"/>
  </r>
  <r>
    <s v="Regular"/>
    <x v="1"/>
    <x v="1"/>
    <x v="2"/>
    <x v="0"/>
    <x v="0"/>
    <x v="3"/>
    <x v="1"/>
    <x v="4"/>
    <n v="880"/>
    <n v="440"/>
    <n v="0"/>
    <n v="0"/>
    <n v="0"/>
    <n v="0"/>
    <n v="0"/>
    <x v="2"/>
    <n v="2317"/>
    <n v="14"/>
    <n v="0"/>
    <n v="0"/>
    <n v="8.08"/>
    <n v="0"/>
    <n v="0"/>
    <n v="7.6006460748490348"/>
    <m/>
    <m/>
    <n v="3555.2"/>
    <n v="0"/>
    <n v="0"/>
    <n v="3344.2842729335753"/>
    <n v="0"/>
    <n v="0"/>
  </r>
  <r>
    <s v="Regular"/>
    <x v="1"/>
    <x v="1"/>
    <x v="2"/>
    <x v="0"/>
    <x v="0"/>
    <x v="4"/>
    <x v="1"/>
    <x v="4"/>
    <n v="780"/>
    <n v="390"/>
    <n v="0"/>
    <n v="0"/>
    <n v="0"/>
    <n v="0"/>
    <n v="0"/>
    <x v="2"/>
    <n v="28915"/>
    <n v="14"/>
    <n v="0"/>
    <n v="0"/>
    <n v="8.08"/>
    <n v="0"/>
    <n v="0"/>
    <n v="7.6006460748490348"/>
    <m/>
    <m/>
    <n v="3151.2"/>
    <n v="0"/>
    <n v="0"/>
    <n v="2964.2519691911234"/>
    <n v="0"/>
    <n v="0"/>
  </r>
  <r>
    <s v="Regular"/>
    <x v="1"/>
    <x v="1"/>
    <x v="2"/>
    <x v="0"/>
    <x v="0"/>
    <x v="5"/>
    <x v="1"/>
    <x v="4"/>
    <n v="1280"/>
    <n v="640"/>
    <n v="0"/>
    <n v="0"/>
    <n v="0"/>
    <n v="0"/>
    <n v="0"/>
    <x v="2"/>
    <n v="31695"/>
    <n v="14"/>
    <n v="0"/>
    <n v="0"/>
    <n v="8.08"/>
    <n v="0"/>
    <n v="0"/>
    <n v="7.6006460748490348"/>
    <m/>
    <m/>
    <n v="5171.2"/>
    <n v="0"/>
    <n v="0"/>
    <n v="4864.4134879033827"/>
    <n v="0"/>
    <n v="0"/>
  </r>
  <r>
    <s v="Regular"/>
    <x v="1"/>
    <x v="1"/>
    <x v="2"/>
    <x v="0"/>
    <x v="0"/>
    <x v="6"/>
    <x v="1"/>
    <x v="4"/>
    <n v="2425"/>
    <n v="1212.5"/>
    <n v="0"/>
    <n v="0"/>
    <n v="0"/>
    <n v="0"/>
    <n v="0"/>
    <x v="2"/>
    <m/>
    <n v="14"/>
    <n v="0"/>
    <n v="0"/>
    <n v="8.08"/>
    <n v="0"/>
    <n v="0"/>
    <n v="7.6006460748490348"/>
    <m/>
    <m/>
    <n v="9797"/>
    <n v="0"/>
    <n v="0"/>
    <n v="9215.7833657544543"/>
    <n v="0"/>
    <n v="0"/>
  </r>
  <r>
    <s v="Regular"/>
    <x v="1"/>
    <x v="1"/>
    <x v="2"/>
    <x v="0"/>
    <x v="0"/>
    <x v="7"/>
    <x v="1"/>
    <x v="4"/>
    <n v="1100"/>
    <n v="550"/>
    <n v="0"/>
    <n v="0"/>
    <n v="0"/>
    <n v="0"/>
    <n v="0"/>
    <x v="2"/>
    <m/>
    <n v="14"/>
    <n v="0"/>
    <n v="0"/>
    <n v="8.08"/>
    <n v="0"/>
    <n v="0"/>
    <n v="7.6006460748490348"/>
    <m/>
    <m/>
    <n v="4444"/>
    <n v="0"/>
    <n v="0"/>
    <n v="4180.3553411669691"/>
    <n v="0"/>
    <n v="0"/>
  </r>
  <r>
    <s v="PROJETADO"/>
    <x v="1"/>
    <x v="1"/>
    <x v="2"/>
    <x v="0"/>
    <x v="0"/>
    <x v="1"/>
    <x v="1"/>
    <x v="5"/>
    <n v="705"/>
    <n v="352.5"/>
    <n v="0"/>
    <n v="0"/>
    <n v="0"/>
    <n v="0"/>
    <n v="0"/>
    <x v="2"/>
    <n v="706"/>
    <n v="14"/>
    <n v="0"/>
    <n v="0"/>
    <n v="8.08"/>
    <n v="0"/>
    <n v="0"/>
    <n v="7.6006460748490348"/>
    <m/>
    <m/>
    <n v="2848.2"/>
    <n v="0"/>
    <n v="0"/>
    <n v="2679.2277413842849"/>
    <n v="0"/>
    <n v="0"/>
  </r>
  <r>
    <s v="PROJETADO"/>
    <x v="1"/>
    <x v="1"/>
    <x v="2"/>
    <x v="0"/>
    <x v="0"/>
    <x v="2"/>
    <x v="1"/>
    <x v="5"/>
    <n v="3700"/>
    <n v="1850"/>
    <n v="0"/>
    <n v="0"/>
    <n v="0"/>
    <n v="0"/>
    <n v="0"/>
    <x v="2"/>
    <n v="877"/>
    <n v="14"/>
    <n v="0"/>
    <n v="0"/>
    <n v="8.08"/>
    <n v="0"/>
    <n v="0"/>
    <n v="7.6006460748490348"/>
    <m/>
    <m/>
    <n v="14948"/>
    <n v="0"/>
    <n v="0"/>
    <n v="14061.195238470715"/>
    <n v="0"/>
    <n v="0"/>
  </r>
  <r>
    <s v="PROJETADO"/>
    <x v="1"/>
    <x v="1"/>
    <x v="2"/>
    <x v="0"/>
    <x v="0"/>
    <x v="3"/>
    <x v="1"/>
    <x v="5"/>
    <n v="880"/>
    <n v="440"/>
    <n v="0"/>
    <n v="0"/>
    <n v="0"/>
    <n v="0"/>
    <n v="0"/>
    <x v="2"/>
    <n v="2317"/>
    <n v="14"/>
    <n v="0"/>
    <n v="0"/>
    <n v="8.08"/>
    <n v="0"/>
    <n v="0"/>
    <n v="7.6006460748490348"/>
    <m/>
    <m/>
    <n v="3555.2"/>
    <n v="0"/>
    <n v="0"/>
    <n v="3344.2842729335753"/>
    <n v="0"/>
    <n v="0"/>
  </r>
  <r>
    <s v="PROJETADO"/>
    <x v="1"/>
    <x v="1"/>
    <x v="2"/>
    <x v="0"/>
    <x v="0"/>
    <x v="4"/>
    <x v="1"/>
    <x v="5"/>
    <n v="780"/>
    <n v="390"/>
    <n v="0"/>
    <n v="0"/>
    <n v="0"/>
    <n v="0"/>
    <n v="0"/>
    <x v="2"/>
    <n v="28915"/>
    <n v="14"/>
    <n v="0"/>
    <n v="0"/>
    <n v="8.08"/>
    <n v="0"/>
    <n v="0"/>
    <n v="7.6006460748490348"/>
    <m/>
    <m/>
    <n v="3151.2"/>
    <n v="0"/>
    <n v="0"/>
    <n v="2964.2519691911234"/>
    <n v="0"/>
    <n v="0"/>
  </r>
  <r>
    <s v="PROJETADO"/>
    <x v="1"/>
    <x v="1"/>
    <x v="2"/>
    <x v="0"/>
    <x v="0"/>
    <x v="5"/>
    <x v="1"/>
    <x v="5"/>
    <n v="1280"/>
    <n v="640"/>
    <n v="0"/>
    <n v="0"/>
    <n v="0"/>
    <n v="0"/>
    <n v="0"/>
    <x v="2"/>
    <n v="31695"/>
    <n v="14"/>
    <n v="0"/>
    <n v="0"/>
    <n v="8.08"/>
    <n v="0"/>
    <n v="0"/>
    <n v="7.6006460748490348"/>
    <m/>
    <m/>
    <n v="5171.2"/>
    <n v="0"/>
    <n v="0"/>
    <n v="4864.4134879033827"/>
    <n v="0"/>
    <n v="0"/>
  </r>
  <r>
    <s v="PROJETADO"/>
    <x v="1"/>
    <x v="1"/>
    <x v="2"/>
    <x v="0"/>
    <x v="0"/>
    <x v="6"/>
    <x v="1"/>
    <x v="5"/>
    <n v="2425"/>
    <n v="1212.5"/>
    <n v="0"/>
    <n v="0"/>
    <n v="0"/>
    <n v="0"/>
    <n v="0"/>
    <x v="2"/>
    <m/>
    <n v="14"/>
    <n v="0"/>
    <n v="0"/>
    <n v="8.08"/>
    <n v="0"/>
    <n v="0"/>
    <n v="7.6006460748490348"/>
    <m/>
    <m/>
    <n v="9797"/>
    <n v="0"/>
    <n v="0"/>
    <n v="9215.7833657544543"/>
    <n v="0"/>
    <n v="0"/>
  </r>
  <r>
    <s v="PROJETADO"/>
    <x v="1"/>
    <x v="1"/>
    <x v="2"/>
    <x v="0"/>
    <x v="0"/>
    <x v="7"/>
    <x v="1"/>
    <x v="5"/>
    <n v="1100"/>
    <n v="550"/>
    <n v="0"/>
    <n v="0"/>
    <n v="0"/>
    <n v="0"/>
    <n v="0"/>
    <x v="2"/>
    <m/>
    <n v="14"/>
    <n v="0"/>
    <n v="0"/>
    <n v="8.08"/>
    <n v="0"/>
    <n v="0"/>
    <n v="7.6006460748490348"/>
    <m/>
    <m/>
    <n v="4444"/>
    <n v="0"/>
    <n v="0"/>
    <n v="4180.3553411669691"/>
    <n v="0"/>
    <n v="0"/>
  </r>
  <r>
    <s v="Regular"/>
    <x v="1"/>
    <x v="1"/>
    <x v="2"/>
    <x v="0"/>
    <x v="0"/>
    <x v="1"/>
    <x v="1"/>
    <x v="6"/>
    <n v="705"/>
    <n v="352.5"/>
    <n v="0"/>
    <n v="0"/>
    <n v="0"/>
    <n v="0"/>
    <n v="0"/>
    <x v="2"/>
    <n v="706"/>
    <n v="14"/>
    <n v="0"/>
    <n v="0"/>
    <n v="8.08"/>
    <n v="0"/>
    <n v="0"/>
    <n v="7.6006460748490348"/>
    <m/>
    <m/>
    <n v="2848.2"/>
    <n v="0"/>
    <n v="0"/>
    <n v="2679.2277413842849"/>
    <n v="0"/>
    <n v="0"/>
  </r>
  <r>
    <s v="Regular"/>
    <x v="1"/>
    <x v="1"/>
    <x v="2"/>
    <x v="0"/>
    <x v="0"/>
    <x v="2"/>
    <x v="1"/>
    <x v="6"/>
    <n v="3700"/>
    <n v="1850"/>
    <n v="0"/>
    <n v="0"/>
    <n v="0"/>
    <n v="0"/>
    <n v="0"/>
    <x v="2"/>
    <n v="877"/>
    <n v="14"/>
    <n v="0"/>
    <n v="0"/>
    <n v="8.08"/>
    <n v="0"/>
    <n v="0"/>
    <n v="7.6006460748490348"/>
    <m/>
    <m/>
    <n v="14948"/>
    <n v="0"/>
    <n v="0"/>
    <n v="14061.195238470715"/>
    <n v="0"/>
    <n v="0"/>
  </r>
  <r>
    <s v="Regular"/>
    <x v="1"/>
    <x v="1"/>
    <x v="2"/>
    <x v="0"/>
    <x v="0"/>
    <x v="3"/>
    <x v="1"/>
    <x v="6"/>
    <n v="880"/>
    <n v="440"/>
    <n v="0"/>
    <n v="0"/>
    <n v="0"/>
    <n v="0"/>
    <n v="0"/>
    <x v="2"/>
    <n v="2317"/>
    <n v="14"/>
    <n v="0"/>
    <n v="0"/>
    <n v="8.08"/>
    <n v="0"/>
    <n v="0"/>
    <n v="7.6006460748490348"/>
    <m/>
    <m/>
    <n v="3555.2"/>
    <n v="0"/>
    <n v="0"/>
    <n v="3344.2842729335753"/>
    <n v="0"/>
    <n v="0"/>
  </r>
  <r>
    <s v="Regular"/>
    <x v="1"/>
    <x v="1"/>
    <x v="2"/>
    <x v="0"/>
    <x v="0"/>
    <x v="4"/>
    <x v="1"/>
    <x v="6"/>
    <n v="780"/>
    <n v="390"/>
    <n v="0"/>
    <n v="0"/>
    <n v="0"/>
    <n v="0"/>
    <n v="0"/>
    <x v="2"/>
    <n v="28915"/>
    <n v="14"/>
    <n v="0"/>
    <n v="0"/>
    <n v="8.08"/>
    <n v="0"/>
    <n v="0"/>
    <n v="7.6006460748490348"/>
    <m/>
    <m/>
    <n v="3151.2"/>
    <n v="0"/>
    <n v="0"/>
    <n v="2964.2519691911234"/>
    <n v="0"/>
    <n v="0"/>
  </r>
  <r>
    <s v="Regular"/>
    <x v="1"/>
    <x v="1"/>
    <x v="2"/>
    <x v="0"/>
    <x v="0"/>
    <x v="5"/>
    <x v="1"/>
    <x v="6"/>
    <n v="1280"/>
    <n v="640"/>
    <n v="0"/>
    <n v="0"/>
    <n v="0"/>
    <n v="0"/>
    <n v="0"/>
    <x v="2"/>
    <n v="31695"/>
    <n v="14"/>
    <n v="0"/>
    <n v="0"/>
    <n v="8.08"/>
    <n v="0"/>
    <n v="0"/>
    <n v="7.6006460748490348"/>
    <m/>
    <m/>
    <n v="5171.2"/>
    <n v="0"/>
    <n v="0"/>
    <n v="4864.4134879033827"/>
    <n v="0"/>
    <n v="0"/>
  </r>
  <r>
    <s v="Regular"/>
    <x v="1"/>
    <x v="1"/>
    <x v="2"/>
    <x v="0"/>
    <x v="0"/>
    <x v="6"/>
    <x v="1"/>
    <x v="6"/>
    <n v="2425"/>
    <n v="1212.5"/>
    <n v="0"/>
    <n v="0"/>
    <n v="0"/>
    <n v="0"/>
    <n v="0"/>
    <x v="2"/>
    <m/>
    <n v="14"/>
    <n v="0"/>
    <n v="0"/>
    <n v="8.08"/>
    <n v="0"/>
    <n v="0"/>
    <n v="7.6006460748490348"/>
    <m/>
    <m/>
    <n v="9797"/>
    <n v="0"/>
    <n v="0"/>
    <n v="9215.7833657544543"/>
    <n v="0"/>
    <n v="0"/>
  </r>
  <r>
    <s v="Regular"/>
    <x v="1"/>
    <x v="1"/>
    <x v="2"/>
    <x v="0"/>
    <x v="0"/>
    <x v="7"/>
    <x v="1"/>
    <x v="6"/>
    <n v="1100"/>
    <n v="550"/>
    <n v="0"/>
    <n v="0"/>
    <n v="0"/>
    <n v="0"/>
    <n v="0"/>
    <x v="2"/>
    <m/>
    <n v="14"/>
    <n v="0"/>
    <n v="0"/>
    <n v="8.08"/>
    <n v="0"/>
    <n v="0"/>
    <n v="7.6006460748490348"/>
    <m/>
    <m/>
    <n v="4444"/>
    <n v="0"/>
    <n v="0"/>
    <n v="4180.3553411669691"/>
    <n v="0"/>
    <n v="0"/>
  </r>
  <r>
    <s v="Regular"/>
    <x v="1"/>
    <x v="1"/>
    <x v="2"/>
    <x v="0"/>
    <x v="0"/>
    <x v="1"/>
    <x v="1"/>
    <x v="7"/>
    <n v="705"/>
    <n v="352.5"/>
    <n v="0"/>
    <n v="0"/>
    <n v="0"/>
    <n v="0"/>
    <n v="0"/>
    <x v="2"/>
    <n v="706"/>
    <n v="14"/>
    <n v="0"/>
    <n v="0"/>
    <n v="8.08"/>
    <n v="0"/>
    <n v="0"/>
    <n v="7.6006460748490348"/>
    <m/>
    <m/>
    <n v="2848.2"/>
    <n v="0"/>
    <n v="0"/>
    <n v="2679.2277413842849"/>
    <n v="0"/>
    <n v="0"/>
  </r>
  <r>
    <s v="Regular"/>
    <x v="1"/>
    <x v="1"/>
    <x v="2"/>
    <x v="0"/>
    <x v="0"/>
    <x v="2"/>
    <x v="1"/>
    <x v="7"/>
    <n v="3700"/>
    <n v="1850"/>
    <n v="0"/>
    <n v="0"/>
    <n v="0"/>
    <n v="0"/>
    <n v="0"/>
    <x v="2"/>
    <n v="877"/>
    <n v="14"/>
    <n v="0"/>
    <n v="0"/>
    <n v="8.08"/>
    <n v="0"/>
    <n v="0"/>
    <n v="7.6006460748490348"/>
    <m/>
    <m/>
    <n v="14948"/>
    <n v="0"/>
    <n v="0"/>
    <n v="14061.195238470715"/>
    <n v="0"/>
    <n v="0"/>
  </r>
  <r>
    <s v="Regular"/>
    <x v="1"/>
    <x v="1"/>
    <x v="2"/>
    <x v="0"/>
    <x v="0"/>
    <x v="3"/>
    <x v="1"/>
    <x v="7"/>
    <n v="880"/>
    <n v="440"/>
    <n v="0"/>
    <n v="0"/>
    <n v="0"/>
    <n v="0"/>
    <n v="0"/>
    <x v="2"/>
    <n v="2317"/>
    <n v="14"/>
    <n v="0"/>
    <n v="0"/>
    <n v="8.08"/>
    <n v="0"/>
    <n v="0"/>
    <n v="7.6006460748490348"/>
    <m/>
    <m/>
    <n v="3555.2"/>
    <n v="0"/>
    <n v="0"/>
    <n v="3344.2842729335753"/>
    <n v="0"/>
    <n v="0"/>
  </r>
  <r>
    <s v="Regular"/>
    <x v="1"/>
    <x v="1"/>
    <x v="2"/>
    <x v="0"/>
    <x v="0"/>
    <x v="4"/>
    <x v="1"/>
    <x v="7"/>
    <n v="780"/>
    <n v="390"/>
    <n v="0"/>
    <n v="0"/>
    <n v="0"/>
    <n v="0"/>
    <n v="0"/>
    <x v="2"/>
    <n v="28915"/>
    <n v="14"/>
    <n v="0"/>
    <n v="0"/>
    <n v="8.08"/>
    <n v="0"/>
    <n v="0"/>
    <n v="7.6006460748490348"/>
    <m/>
    <m/>
    <n v="3151.2"/>
    <n v="0"/>
    <n v="0"/>
    <n v="2964.2519691911234"/>
    <n v="0"/>
    <n v="0"/>
  </r>
  <r>
    <s v="Regular"/>
    <x v="1"/>
    <x v="1"/>
    <x v="2"/>
    <x v="0"/>
    <x v="0"/>
    <x v="5"/>
    <x v="1"/>
    <x v="7"/>
    <n v="1280"/>
    <n v="640"/>
    <n v="0"/>
    <n v="0"/>
    <n v="0"/>
    <n v="0"/>
    <n v="0"/>
    <x v="2"/>
    <n v="31695"/>
    <n v="14"/>
    <n v="0"/>
    <n v="0"/>
    <n v="8.08"/>
    <n v="0"/>
    <n v="0"/>
    <n v="7.6006460748490348"/>
    <m/>
    <m/>
    <n v="5171.2"/>
    <n v="0"/>
    <n v="0"/>
    <n v="4864.4134879033827"/>
    <n v="0"/>
    <n v="0"/>
  </r>
  <r>
    <s v="Regular"/>
    <x v="1"/>
    <x v="1"/>
    <x v="2"/>
    <x v="0"/>
    <x v="0"/>
    <x v="6"/>
    <x v="1"/>
    <x v="7"/>
    <n v="2425"/>
    <n v="1212.5"/>
    <n v="0"/>
    <n v="0"/>
    <n v="0"/>
    <n v="0"/>
    <n v="0"/>
    <x v="2"/>
    <m/>
    <n v="14"/>
    <n v="0"/>
    <n v="0"/>
    <n v="8.08"/>
    <n v="0"/>
    <n v="0"/>
    <n v="7.6006460748490348"/>
    <m/>
    <m/>
    <n v="9797"/>
    <n v="0"/>
    <n v="0"/>
    <n v="9215.7833657544543"/>
    <n v="0"/>
    <n v="0"/>
  </r>
  <r>
    <s v="Regular"/>
    <x v="1"/>
    <x v="1"/>
    <x v="2"/>
    <x v="0"/>
    <x v="0"/>
    <x v="7"/>
    <x v="1"/>
    <x v="7"/>
    <n v="1100"/>
    <n v="550"/>
    <n v="0"/>
    <n v="0"/>
    <n v="0"/>
    <n v="0"/>
    <n v="0"/>
    <x v="2"/>
    <m/>
    <n v="14"/>
    <n v="0"/>
    <n v="0"/>
    <n v="8.08"/>
    <n v="0"/>
    <n v="0"/>
    <n v="7.6006460748490348"/>
    <m/>
    <m/>
    <n v="4444"/>
    <n v="0"/>
    <n v="0"/>
    <n v="4180.3553411669691"/>
    <n v="0"/>
    <n v="0"/>
  </r>
  <r>
    <s v="Regular"/>
    <x v="1"/>
    <x v="1"/>
    <x v="2"/>
    <x v="0"/>
    <x v="0"/>
    <x v="1"/>
    <x v="1"/>
    <x v="8"/>
    <n v="705"/>
    <n v="352.5"/>
    <n v="0"/>
    <n v="0"/>
    <n v="0"/>
    <n v="0"/>
    <n v="0"/>
    <x v="2"/>
    <n v="706"/>
    <n v="14"/>
    <n v="0"/>
    <n v="0"/>
    <n v="8.08"/>
    <n v="0"/>
    <n v="0"/>
    <n v="7.6006460748490348"/>
    <m/>
    <m/>
    <n v="2848.2"/>
    <n v="0"/>
    <n v="0"/>
    <n v="2679.2277413842849"/>
    <n v="0"/>
    <n v="0"/>
  </r>
  <r>
    <s v="Regular"/>
    <x v="1"/>
    <x v="1"/>
    <x v="2"/>
    <x v="0"/>
    <x v="0"/>
    <x v="2"/>
    <x v="1"/>
    <x v="8"/>
    <n v="3700"/>
    <n v="1850"/>
    <n v="0"/>
    <n v="0"/>
    <n v="0"/>
    <n v="0"/>
    <n v="0"/>
    <x v="2"/>
    <n v="877"/>
    <n v="14"/>
    <n v="0"/>
    <n v="0"/>
    <n v="8.08"/>
    <n v="0"/>
    <n v="0"/>
    <n v="7.6006460748490348"/>
    <m/>
    <m/>
    <n v="14948"/>
    <n v="0"/>
    <n v="0"/>
    <n v="14061.195238470715"/>
    <n v="0"/>
    <n v="0"/>
  </r>
  <r>
    <s v="Regular"/>
    <x v="1"/>
    <x v="1"/>
    <x v="2"/>
    <x v="0"/>
    <x v="0"/>
    <x v="3"/>
    <x v="1"/>
    <x v="8"/>
    <n v="880"/>
    <n v="440"/>
    <n v="0"/>
    <n v="0"/>
    <n v="0"/>
    <n v="0"/>
    <n v="0"/>
    <x v="2"/>
    <n v="2317"/>
    <n v="14"/>
    <n v="0"/>
    <n v="0"/>
    <n v="8.08"/>
    <n v="0"/>
    <n v="0"/>
    <n v="7.6006460748490348"/>
    <m/>
    <m/>
    <n v="3555.2"/>
    <n v="0"/>
    <n v="0"/>
    <n v="3344.2842729335753"/>
    <n v="0"/>
    <n v="0"/>
  </r>
  <r>
    <s v="Regular"/>
    <x v="1"/>
    <x v="1"/>
    <x v="2"/>
    <x v="0"/>
    <x v="0"/>
    <x v="4"/>
    <x v="1"/>
    <x v="8"/>
    <n v="780"/>
    <n v="390"/>
    <n v="0"/>
    <n v="0"/>
    <n v="0"/>
    <n v="0"/>
    <n v="0"/>
    <x v="2"/>
    <n v="28915"/>
    <n v="14"/>
    <n v="0"/>
    <n v="0"/>
    <n v="8.08"/>
    <n v="0"/>
    <n v="0"/>
    <n v="7.6006460748490348"/>
    <m/>
    <m/>
    <n v="3151.2"/>
    <n v="0"/>
    <n v="0"/>
    <n v="2964.2519691911234"/>
    <n v="0"/>
    <n v="0"/>
  </r>
  <r>
    <s v="Regular"/>
    <x v="1"/>
    <x v="1"/>
    <x v="2"/>
    <x v="0"/>
    <x v="0"/>
    <x v="5"/>
    <x v="1"/>
    <x v="8"/>
    <n v="1280"/>
    <n v="640"/>
    <n v="0"/>
    <n v="0"/>
    <n v="0"/>
    <n v="0"/>
    <n v="0"/>
    <x v="2"/>
    <n v="31695"/>
    <n v="14"/>
    <n v="0"/>
    <n v="0"/>
    <n v="8.08"/>
    <n v="0"/>
    <n v="0"/>
    <n v="7.6006460748490348"/>
    <m/>
    <m/>
    <n v="5171.2"/>
    <n v="0"/>
    <n v="0"/>
    <n v="4864.4134879033827"/>
    <n v="0"/>
    <n v="0"/>
  </r>
  <r>
    <s v="Regular"/>
    <x v="1"/>
    <x v="1"/>
    <x v="2"/>
    <x v="0"/>
    <x v="0"/>
    <x v="6"/>
    <x v="1"/>
    <x v="8"/>
    <n v="2425"/>
    <n v="1212.5"/>
    <n v="0"/>
    <n v="0"/>
    <n v="0"/>
    <n v="0"/>
    <n v="0"/>
    <x v="2"/>
    <m/>
    <n v="14"/>
    <n v="0"/>
    <n v="0"/>
    <n v="8.08"/>
    <n v="0"/>
    <n v="0"/>
    <n v="7.6006460748490348"/>
    <m/>
    <m/>
    <n v="9797"/>
    <n v="0"/>
    <n v="0"/>
    <n v="9215.7833657544543"/>
    <n v="0"/>
    <n v="0"/>
  </r>
  <r>
    <s v="Regular"/>
    <x v="1"/>
    <x v="1"/>
    <x v="2"/>
    <x v="0"/>
    <x v="0"/>
    <x v="7"/>
    <x v="1"/>
    <x v="8"/>
    <n v="1100"/>
    <n v="550"/>
    <n v="0"/>
    <n v="0"/>
    <n v="0"/>
    <n v="0"/>
    <n v="0"/>
    <x v="2"/>
    <m/>
    <n v="14"/>
    <n v="0"/>
    <n v="0"/>
    <n v="8.08"/>
    <n v="0"/>
    <n v="0"/>
    <n v="7.6006460748490348"/>
    <m/>
    <m/>
    <n v="4444"/>
    <n v="0"/>
    <n v="0"/>
    <n v="4180.3553411669691"/>
    <n v="0"/>
    <n v="0"/>
  </r>
  <r>
    <s v="PROJETADO"/>
    <x v="1"/>
    <x v="1"/>
    <x v="2"/>
    <x v="0"/>
    <x v="0"/>
    <x v="1"/>
    <x v="1"/>
    <x v="9"/>
    <n v="705"/>
    <n v="352.5"/>
    <n v="0"/>
    <n v="0"/>
    <n v="0"/>
    <n v="0"/>
    <n v="0"/>
    <x v="2"/>
    <n v="706"/>
    <n v="14"/>
    <n v="0"/>
    <n v="0"/>
    <n v="8.08"/>
    <n v="0"/>
    <n v="0"/>
    <n v="7.6006460748490348"/>
    <m/>
    <m/>
    <n v="2848.2"/>
    <n v="0"/>
    <n v="0"/>
    <n v="2679.2277413842849"/>
    <n v="0"/>
    <n v="0"/>
  </r>
  <r>
    <s v="PROJETADO"/>
    <x v="1"/>
    <x v="1"/>
    <x v="2"/>
    <x v="0"/>
    <x v="0"/>
    <x v="2"/>
    <x v="1"/>
    <x v="9"/>
    <n v="3700"/>
    <n v="1850"/>
    <n v="0"/>
    <n v="0"/>
    <n v="0"/>
    <n v="0"/>
    <n v="0"/>
    <x v="2"/>
    <n v="877"/>
    <n v="14"/>
    <n v="0"/>
    <n v="0"/>
    <n v="8.08"/>
    <n v="0"/>
    <n v="0"/>
    <n v="7.6006460748490348"/>
    <m/>
    <m/>
    <n v="14948"/>
    <n v="0"/>
    <n v="0"/>
    <n v="14061.195238470715"/>
    <n v="0"/>
    <n v="0"/>
  </r>
  <r>
    <s v="PROJETADO"/>
    <x v="1"/>
    <x v="1"/>
    <x v="2"/>
    <x v="0"/>
    <x v="0"/>
    <x v="3"/>
    <x v="1"/>
    <x v="9"/>
    <n v="880"/>
    <n v="440"/>
    <n v="0"/>
    <n v="0"/>
    <n v="0"/>
    <n v="0"/>
    <n v="0"/>
    <x v="2"/>
    <n v="2317"/>
    <n v="14"/>
    <n v="0"/>
    <n v="0"/>
    <n v="8.08"/>
    <n v="0"/>
    <n v="0"/>
    <n v="7.6006460748490348"/>
    <m/>
    <m/>
    <n v="3555.2"/>
    <n v="0"/>
    <n v="0"/>
    <n v="3344.2842729335753"/>
    <n v="0"/>
    <n v="0"/>
  </r>
  <r>
    <s v="PROJETADO"/>
    <x v="1"/>
    <x v="1"/>
    <x v="2"/>
    <x v="0"/>
    <x v="0"/>
    <x v="4"/>
    <x v="1"/>
    <x v="9"/>
    <n v="780"/>
    <n v="390"/>
    <n v="0"/>
    <n v="0"/>
    <n v="0"/>
    <n v="0"/>
    <n v="0"/>
    <x v="2"/>
    <n v="28915"/>
    <n v="14"/>
    <n v="0"/>
    <n v="0"/>
    <n v="8.08"/>
    <n v="0"/>
    <n v="0"/>
    <n v="7.6006460748490348"/>
    <m/>
    <m/>
    <n v="3151.2"/>
    <n v="0"/>
    <n v="0"/>
    <n v="2964.2519691911234"/>
    <n v="0"/>
    <n v="0"/>
  </r>
  <r>
    <s v="PROJETADO"/>
    <x v="1"/>
    <x v="1"/>
    <x v="2"/>
    <x v="0"/>
    <x v="0"/>
    <x v="5"/>
    <x v="1"/>
    <x v="9"/>
    <n v="1280"/>
    <n v="640"/>
    <n v="0"/>
    <n v="0"/>
    <n v="0"/>
    <n v="0"/>
    <n v="0"/>
    <x v="2"/>
    <n v="31695"/>
    <n v="14"/>
    <n v="0"/>
    <n v="0"/>
    <n v="8.08"/>
    <n v="0"/>
    <n v="0"/>
    <n v="7.6006460748490348"/>
    <m/>
    <m/>
    <n v="5171.2"/>
    <n v="0"/>
    <n v="0"/>
    <n v="4864.4134879033827"/>
    <n v="0"/>
    <n v="0"/>
  </r>
  <r>
    <s v="PROJETADO"/>
    <x v="1"/>
    <x v="1"/>
    <x v="2"/>
    <x v="0"/>
    <x v="0"/>
    <x v="6"/>
    <x v="1"/>
    <x v="9"/>
    <n v="2425"/>
    <n v="1212.5"/>
    <n v="0"/>
    <n v="0"/>
    <n v="0"/>
    <n v="0"/>
    <n v="0"/>
    <x v="2"/>
    <m/>
    <n v="14"/>
    <n v="0"/>
    <n v="0"/>
    <n v="8.08"/>
    <n v="0"/>
    <n v="0"/>
    <n v="7.6006460748490348"/>
    <m/>
    <m/>
    <n v="9797"/>
    <n v="0"/>
    <n v="0"/>
    <n v="9215.7833657544543"/>
    <n v="0"/>
    <n v="0"/>
  </r>
  <r>
    <s v="PROJETADO"/>
    <x v="1"/>
    <x v="1"/>
    <x v="2"/>
    <x v="0"/>
    <x v="0"/>
    <x v="7"/>
    <x v="1"/>
    <x v="9"/>
    <n v="1100"/>
    <n v="550"/>
    <n v="0"/>
    <n v="0"/>
    <n v="0"/>
    <n v="0"/>
    <n v="0"/>
    <x v="2"/>
    <m/>
    <n v="14"/>
    <n v="0"/>
    <n v="0"/>
    <n v="8.08"/>
    <n v="0"/>
    <n v="0"/>
    <n v="7.6006460748490348"/>
    <m/>
    <m/>
    <n v="4444"/>
    <n v="0"/>
    <n v="0"/>
    <n v="4180.3553411669691"/>
    <n v="0"/>
    <n v="0"/>
  </r>
  <r>
    <s v="Regular"/>
    <x v="1"/>
    <x v="1"/>
    <x v="2"/>
    <x v="0"/>
    <x v="0"/>
    <x v="1"/>
    <x v="1"/>
    <x v="10"/>
    <n v="705"/>
    <n v="352.5"/>
    <n v="0"/>
    <n v="0"/>
    <n v="0"/>
    <n v="0"/>
    <n v="0"/>
    <x v="2"/>
    <n v="706"/>
    <n v="14"/>
    <n v="0"/>
    <n v="0"/>
    <n v="8.08"/>
    <n v="0"/>
    <n v="0"/>
    <n v="7.6006460748490348"/>
    <m/>
    <m/>
    <n v="2848.2"/>
    <n v="0"/>
    <n v="0"/>
    <n v="2679.2277413842849"/>
    <n v="0"/>
    <n v="0"/>
  </r>
  <r>
    <s v="Regular"/>
    <x v="1"/>
    <x v="1"/>
    <x v="2"/>
    <x v="0"/>
    <x v="0"/>
    <x v="2"/>
    <x v="1"/>
    <x v="10"/>
    <n v="3700"/>
    <n v="1850"/>
    <n v="0"/>
    <n v="0"/>
    <n v="0"/>
    <n v="0"/>
    <n v="0"/>
    <x v="2"/>
    <n v="877"/>
    <n v="14"/>
    <n v="0"/>
    <n v="0"/>
    <n v="8.08"/>
    <n v="0"/>
    <n v="0"/>
    <n v="7.6006460748490348"/>
    <m/>
    <m/>
    <n v="14948"/>
    <n v="0"/>
    <n v="0"/>
    <n v="14061.195238470715"/>
    <n v="0"/>
    <n v="0"/>
  </r>
  <r>
    <s v="Regular"/>
    <x v="1"/>
    <x v="1"/>
    <x v="2"/>
    <x v="0"/>
    <x v="0"/>
    <x v="3"/>
    <x v="1"/>
    <x v="10"/>
    <n v="880"/>
    <n v="440"/>
    <n v="0"/>
    <n v="0"/>
    <n v="0"/>
    <n v="0"/>
    <n v="0"/>
    <x v="2"/>
    <n v="2317"/>
    <n v="14"/>
    <n v="0"/>
    <n v="0"/>
    <n v="8.08"/>
    <n v="0"/>
    <n v="0"/>
    <n v="7.6006460748490348"/>
    <m/>
    <m/>
    <n v="3555.2"/>
    <n v="0"/>
    <n v="0"/>
    <n v="3344.2842729335753"/>
    <n v="0"/>
    <n v="0"/>
  </r>
  <r>
    <s v="Regular"/>
    <x v="1"/>
    <x v="1"/>
    <x v="2"/>
    <x v="0"/>
    <x v="0"/>
    <x v="4"/>
    <x v="1"/>
    <x v="10"/>
    <n v="780"/>
    <n v="390"/>
    <n v="0"/>
    <n v="0"/>
    <n v="0"/>
    <n v="0"/>
    <n v="0"/>
    <x v="2"/>
    <n v="28915"/>
    <n v="14"/>
    <n v="0"/>
    <n v="0"/>
    <n v="8.08"/>
    <n v="0"/>
    <n v="0"/>
    <n v="7.6006460748490348"/>
    <m/>
    <m/>
    <n v="3151.2"/>
    <n v="0"/>
    <n v="0"/>
    <n v="2964.2519691911234"/>
    <n v="0"/>
    <n v="0"/>
  </r>
  <r>
    <s v="Regular"/>
    <x v="1"/>
    <x v="1"/>
    <x v="2"/>
    <x v="0"/>
    <x v="0"/>
    <x v="5"/>
    <x v="1"/>
    <x v="10"/>
    <n v="1280"/>
    <n v="640"/>
    <n v="0"/>
    <n v="0"/>
    <n v="0"/>
    <n v="0"/>
    <n v="0"/>
    <x v="2"/>
    <n v="31695"/>
    <n v="14"/>
    <n v="0"/>
    <n v="0"/>
    <n v="8.08"/>
    <n v="0"/>
    <n v="0"/>
    <n v="7.6006460748490348"/>
    <m/>
    <m/>
    <n v="5171.2"/>
    <n v="0"/>
    <n v="0"/>
    <n v="4864.4134879033827"/>
    <n v="0"/>
    <n v="0"/>
  </r>
  <r>
    <s v="Regular"/>
    <x v="1"/>
    <x v="1"/>
    <x v="2"/>
    <x v="0"/>
    <x v="0"/>
    <x v="6"/>
    <x v="1"/>
    <x v="10"/>
    <n v="2425"/>
    <n v="1212.5"/>
    <n v="0"/>
    <n v="0"/>
    <n v="0"/>
    <n v="0"/>
    <n v="0"/>
    <x v="2"/>
    <m/>
    <n v="14"/>
    <n v="0"/>
    <n v="0"/>
    <n v="8.08"/>
    <n v="0"/>
    <n v="0"/>
    <n v="7.6006460748490348"/>
    <m/>
    <m/>
    <n v="9797"/>
    <n v="0"/>
    <n v="0"/>
    <n v="9215.7833657544543"/>
    <n v="0"/>
    <n v="0"/>
  </r>
  <r>
    <s v="Regular"/>
    <x v="1"/>
    <x v="1"/>
    <x v="2"/>
    <x v="0"/>
    <x v="0"/>
    <x v="7"/>
    <x v="1"/>
    <x v="10"/>
    <n v="1100"/>
    <n v="550"/>
    <n v="0"/>
    <n v="0"/>
    <n v="0"/>
    <n v="0"/>
    <n v="0"/>
    <x v="2"/>
    <m/>
    <n v="14"/>
    <n v="0"/>
    <n v="0"/>
    <n v="8.08"/>
    <n v="0"/>
    <n v="0"/>
    <n v="7.6006460748490348"/>
    <m/>
    <m/>
    <n v="4444"/>
    <n v="0"/>
    <n v="0"/>
    <n v="4180.3553411669691"/>
    <n v="0"/>
    <n v="0"/>
  </r>
  <r>
    <s v="Regular"/>
    <x v="1"/>
    <x v="1"/>
    <x v="2"/>
    <x v="0"/>
    <x v="0"/>
    <x v="1"/>
    <x v="1"/>
    <x v="11"/>
    <n v="880"/>
    <n v="440"/>
    <n v="0"/>
    <n v="0"/>
    <n v="0"/>
    <n v="0"/>
    <n v="0"/>
    <x v="2"/>
    <n v="706"/>
    <n v="14"/>
    <n v="0"/>
    <n v="0"/>
    <n v="8.08"/>
    <n v="0"/>
    <n v="0"/>
    <n v="7.6006460748490348"/>
    <m/>
    <m/>
    <n v="3555.2"/>
    <n v="0"/>
    <n v="0"/>
    <n v="3344.2842729335753"/>
    <n v="0"/>
    <n v="0"/>
  </r>
  <r>
    <s v="Regular"/>
    <x v="1"/>
    <x v="1"/>
    <x v="2"/>
    <x v="0"/>
    <x v="0"/>
    <x v="2"/>
    <x v="1"/>
    <x v="11"/>
    <n v="3700"/>
    <n v="1850"/>
    <n v="0"/>
    <n v="0"/>
    <n v="0"/>
    <n v="0"/>
    <n v="0"/>
    <x v="2"/>
    <n v="877"/>
    <n v="14"/>
    <n v="0"/>
    <n v="0"/>
    <n v="8.08"/>
    <n v="0"/>
    <n v="0"/>
    <n v="7.6006460748490348"/>
    <m/>
    <m/>
    <n v="14948"/>
    <n v="0"/>
    <n v="0"/>
    <n v="14061.195238470715"/>
    <n v="0"/>
    <n v="0"/>
  </r>
  <r>
    <s v="Regular"/>
    <x v="1"/>
    <x v="1"/>
    <x v="2"/>
    <x v="0"/>
    <x v="0"/>
    <x v="3"/>
    <x v="1"/>
    <x v="11"/>
    <n v="880"/>
    <n v="440"/>
    <n v="0"/>
    <n v="0"/>
    <n v="0"/>
    <n v="0"/>
    <n v="0"/>
    <x v="2"/>
    <n v="2317"/>
    <n v="14"/>
    <n v="0"/>
    <n v="0"/>
    <n v="8.08"/>
    <n v="0"/>
    <n v="0"/>
    <n v="7.6006460748490348"/>
    <m/>
    <m/>
    <n v="3555.2"/>
    <n v="0"/>
    <n v="0"/>
    <n v="3344.2842729335753"/>
    <n v="0"/>
    <n v="0"/>
  </r>
  <r>
    <s v="Regular"/>
    <x v="1"/>
    <x v="1"/>
    <x v="2"/>
    <x v="0"/>
    <x v="0"/>
    <x v="4"/>
    <x v="1"/>
    <x v="11"/>
    <n v="780"/>
    <n v="390"/>
    <n v="0"/>
    <n v="0"/>
    <n v="0"/>
    <n v="0"/>
    <n v="0"/>
    <x v="2"/>
    <n v="28915"/>
    <n v="14"/>
    <n v="0"/>
    <n v="0"/>
    <n v="8.08"/>
    <n v="0"/>
    <n v="0"/>
    <n v="7.6006460748490348"/>
    <m/>
    <m/>
    <n v="3151.2"/>
    <n v="0"/>
    <n v="0"/>
    <n v="2964.2519691911234"/>
    <n v="0"/>
    <n v="0"/>
  </r>
  <r>
    <s v="Regular"/>
    <x v="1"/>
    <x v="1"/>
    <x v="2"/>
    <x v="0"/>
    <x v="0"/>
    <x v="5"/>
    <x v="1"/>
    <x v="11"/>
    <n v="1280"/>
    <n v="640"/>
    <n v="0"/>
    <n v="0"/>
    <n v="0"/>
    <n v="0"/>
    <n v="0"/>
    <x v="2"/>
    <n v="31695"/>
    <n v="14"/>
    <n v="0"/>
    <n v="0"/>
    <n v="8.08"/>
    <n v="0"/>
    <n v="0"/>
    <n v="7.6006460748490348"/>
    <m/>
    <m/>
    <n v="5171.2"/>
    <n v="0"/>
    <n v="0"/>
    <n v="4864.4134879033827"/>
    <n v="0"/>
    <n v="0"/>
  </r>
  <r>
    <s v="Regular"/>
    <x v="1"/>
    <x v="1"/>
    <x v="2"/>
    <x v="0"/>
    <x v="0"/>
    <x v="6"/>
    <x v="1"/>
    <x v="11"/>
    <n v="2425"/>
    <n v="1212.5"/>
    <n v="0"/>
    <n v="0"/>
    <n v="0"/>
    <n v="0"/>
    <n v="0"/>
    <x v="2"/>
    <m/>
    <n v="14"/>
    <n v="0"/>
    <n v="0"/>
    <n v="8.08"/>
    <n v="0"/>
    <n v="0"/>
    <n v="7.6006460748490348"/>
    <m/>
    <m/>
    <n v="9797"/>
    <n v="0"/>
    <n v="0"/>
    <n v="9215.7833657544543"/>
    <n v="0"/>
    <n v="0"/>
  </r>
  <r>
    <s v="Regular"/>
    <x v="1"/>
    <x v="1"/>
    <x v="2"/>
    <x v="0"/>
    <x v="0"/>
    <x v="7"/>
    <x v="1"/>
    <x v="11"/>
    <n v="1100"/>
    <n v="550"/>
    <n v="0"/>
    <n v="0"/>
    <n v="0"/>
    <n v="0"/>
    <n v="0"/>
    <x v="2"/>
    <m/>
    <n v="14"/>
    <n v="0"/>
    <n v="0"/>
    <n v="8.08"/>
    <n v="0"/>
    <n v="0"/>
    <n v="7.6006460748490348"/>
    <m/>
    <m/>
    <n v="4444"/>
    <n v="0"/>
    <n v="0"/>
    <n v="4180.3553411669691"/>
    <n v="0"/>
    <n v="0"/>
  </r>
  <r>
    <s v="Regular"/>
    <x v="1"/>
    <x v="2"/>
    <x v="1"/>
    <x v="0"/>
    <x v="0"/>
    <x v="0"/>
    <x v="0"/>
    <x v="0"/>
    <n v="0"/>
    <n v="0"/>
    <n v="1589.729"/>
    <n v="1589.729"/>
    <n v="1589.729"/>
    <n v="1589.729"/>
    <n v="0"/>
    <x v="1"/>
    <n v="0"/>
    <n v="0"/>
    <n v="25"/>
    <n v="59"/>
    <n v="0"/>
    <n v="69.489999999999995"/>
    <n v="185.18"/>
    <m/>
    <n v="92.397536067834494"/>
    <n v="198.13390838089941"/>
    <n v="0"/>
    <n v="110470.26820999999"/>
    <n v="294386.01621999999"/>
    <n v="0"/>
    <n v="146887.04261558247"/>
    <n v="314979.22003645886"/>
  </r>
  <r>
    <s v="Refaturamento - Regular"/>
    <x v="1"/>
    <x v="2"/>
    <x v="1"/>
    <x v="0"/>
    <x v="0"/>
    <x v="0"/>
    <x v="0"/>
    <x v="0"/>
    <n v="0"/>
    <n v="0"/>
    <n v="-382.78199999999998"/>
    <n v="-382.78199999999998"/>
    <n v="-382.78199999999998"/>
    <n v="-382.78199999999998"/>
    <n v="0"/>
    <x v="1"/>
    <n v="0"/>
    <n v="0"/>
    <n v="25"/>
    <n v="59"/>
    <n v="0"/>
    <n v="69.489999999999995"/>
    <n v="185.18"/>
    <m/>
    <n v="92.397536067834494"/>
    <n v="198.13390838089941"/>
    <n v="0"/>
    <n v="-26599.521179999996"/>
    <n v="-70883.570760000002"/>
    <n v="0"/>
    <n v="-35368.113651117819"/>
    <n v="-75842.093717857439"/>
  </r>
  <r>
    <s v="Sistema de Compensação"/>
    <x v="1"/>
    <x v="2"/>
    <x v="1"/>
    <x v="0"/>
    <x v="0"/>
    <x v="0"/>
    <x v="0"/>
    <x v="0"/>
    <n v="0"/>
    <n v="0"/>
    <n v="35.094999999999999"/>
    <n v="35.094999999999999"/>
    <n v="35.094999999999999"/>
    <n v="35.094999999999999"/>
    <n v="0"/>
    <x v="1"/>
    <n v="0"/>
    <n v="0"/>
    <n v="25"/>
    <n v="59"/>
    <n v="0"/>
    <n v="69.489999999999995"/>
    <n v="185.18"/>
    <m/>
    <n v="92.397536067834494"/>
    <n v="198.13390838089941"/>
    <n v="0"/>
    <n v="2438.75155"/>
    <n v="6498.8921"/>
    <n v="0"/>
    <n v="3242.6915283006515"/>
    <n v="6953.5095146276644"/>
  </r>
  <r>
    <s v="Sistema de Compensação"/>
    <x v="1"/>
    <x v="2"/>
    <x v="1"/>
    <x v="0"/>
    <x v="0"/>
    <x v="0"/>
    <x v="0"/>
    <x v="0"/>
    <n v="0"/>
    <n v="0"/>
    <n v="-12.039"/>
    <n v="-12.039"/>
    <n v="-12.039"/>
    <n v="-12.039"/>
    <n v="0"/>
    <x v="1"/>
    <n v="0"/>
    <n v="0"/>
    <n v="25"/>
    <n v="59"/>
    <n v="0"/>
    <n v="69.489999999999995"/>
    <n v="185.18"/>
    <m/>
    <n v="92.397536067834494"/>
    <n v="198.13390838089941"/>
    <n v="0"/>
    <n v="-836.59010999999987"/>
    <n v="-2229.38202"/>
    <n v="0"/>
    <n v="-1112.3739367206595"/>
    <n v="-2385.3341229976481"/>
  </r>
  <r>
    <s v="Regular"/>
    <x v="1"/>
    <x v="2"/>
    <x v="1"/>
    <x v="0"/>
    <x v="0"/>
    <x v="0"/>
    <x v="0"/>
    <x v="1"/>
    <n v="0"/>
    <n v="0"/>
    <n v="1233.7280000000001"/>
    <n v="1233.7280000000001"/>
    <n v="1233.7280000000001"/>
    <n v="1233.7280000000001"/>
    <n v="0"/>
    <x v="1"/>
    <n v="0"/>
    <n v="0"/>
    <n v="25"/>
    <n v="59"/>
    <n v="0"/>
    <n v="69.489999999999995"/>
    <n v="185.18"/>
    <m/>
    <n v="92.397536067834494"/>
    <n v="198.13390838089941"/>
    <n v="0"/>
    <n v="85731.758719999998"/>
    <n v="228461.75104000003"/>
    <n v="0"/>
    <n v="113993.42737789731"/>
    <n v="244443.35051895029"/>
  </r>
  <r>
    <s v="Refaturamento - Regular"/>
    <x v="1"/>
    <x v="2"/>
    <x v="1"/>
    <x v="0"/>
    <x v="0"/>
    <x v="0"/>
    <x v="0"/>
    <x v="1"/>
    <n v="0"/>
    <n v="0"/>
    <n v="-10.218999999999999"/>
    <n v="-10.218999999999999"/>
    <n v="-10.218999999999999"/>
    <n v="-10.218999999999999"/>
    <n v="0"/>
    <x v="1"/>
    <n v="0"/>
    <n v="0"/>
    <n v="25"/>
    <n v="59"/>
    <n v="0"/>
    <n v="69.489999999999995"/>
    <n v="185.18"/>
    <m/>
    <n v="92.397536067834494"/>
    <n v="198.13390838089941"/>
    <n v="0"/>
    <n v="-710.11830999999995"/>
    <n v="-1892.3544199999999"/>
    <n v="0"/>
    <n v="-944.21042107720064"/>
    <n v="-2024.730409744411"/>
  </r>
  <r>
    <s v="Sistema de Compensação"/>
    <x v="1"/>
    <x v="2"/>
    <x v="1"/>
    <x v="0"/>
    <x v="0"/>
    <x v="0"/>
    <x v="0"/>
    <x v="1"/>
    <n v="0"/>
    <n v="0"/>
    <n v="16.707999999999998"/>
    <n v="16.707999999999998"/>
    <n v="16.707999999999998"/>
    <n v="16.707999999999998"/>
    <n v="0"/>
    <x v="1"/>
    <n v="0"/>
    <n v="0"/>
    <n v="25"/>
    <n v="59"/>
    <n v="0"/>
    <n v="69.489999999999995"/>
    <n v="185.18"/>
    <m/>
    <n v="92.397536067834494"/>
    <n v="198.13390838089941"/>
    <n v="0"/>
    <n v="1161.0389199999997"/>
    <n v="3093.9874399999999"/>
    <n v="0"/>
    <n v="1543.7780326213785"/>
    <n v="3310.4213412280669"/>
  </r>
  <r>
    <s v="Regular"/>
    <x v="1"/>
    <x v="2"/>
    <x v="1"/>
    <x v="0"/>
    <x v="0"/>
    <x v="0"/>
    <x v="0"/>
    <x v="2"/>
    <n v="0"/>
    <n v="0"/>
    <n v="1027.152"/>
    <n v="1027.152"/>
    <n v="1027.152"/>
    <n v="1027.152"/>
    <n v="0"/>
    <x v="1"/>
    <n v="0"/>
    <n v="0"/>
    <n v="25"/>
    <n v="59"/>
    <n v="0"/>
    <n v="69.489999999999995"/>
    <n v="185.18"/>
    <m/>
    <n v="92.397536067834494"/>
    <n v="198.13390838089941"/>
    <n v="0"/>
    <n v="71376.792480000004"/>
    <n v="190208.00736000002"/>
    <n v="0"/>
    <n v="94906.313967148337"/>
    <n v="203513.64026125759"/>
  </r>
  <r>
    <s v="Refaturamento - Regular"/>
    <x v="1"/>
    <x v="2"/>
    <x v="1"/>
    <x v="0"/>
    <x v="0"/>
    <x v="0"/>
    <x v="0"/>
    <x v="2"/>
    <n v="0"/>
    <n v="0"/>
    <n v="-18.968"/>
    <n v="-18.968"/>
    <n v="-18.968"/>
    <n v="-18.968"/>
    <n v="0"/>
    <x v="1"/>
    <n v="0"/>
    <n v="0"/>
    <n v="25"/>
    <n v="59"/>
    <n v="0"/>
    <n v="69.489999999999995"/>
    <n v="185.18"/>
    <m/>
    <n v="92.397536067834494"/>
    <n v="198.13390838089941"/>
    <n v="0"/>
    <n v="-1318.0863199999999"/>
    <n v="-3512.49424"/>
    <n v="0"/>
    <n v="-1752.5964641346848"/>
    <n v="-3758.2039741689"/>
  </r>
  <r>
    <s v="Sistema de Compensação"/>
    <x v="1"/>
    <x v="2"/>
    <x v="1"/>
    <x v="0"/>
    <x v="0"/>
    <x v="0"/>
    <x v="0"/>
    <x v="2"/>
    <n v="0"/>
    <n v="0"/>
    <n v="19.207999999999998"/>
    <n v="19.207999999999998"/>
    <n v="19.207999999999998"/>
    <n v="19.207999999999998"/>
    <n v="0"/>
    <x v="1"/>
    <n v="0"/>
    <n v="0"/>
    <n v="25"/>
    <n v="59"/>
    <n v="0"/>
    <n v="69.489999999999995"/>
    <n v="185.18"/>
    <m/>
    <n v="92.397536067834494"/>
    <n v="198.13390838089941"/>
    <n v="0"/>
    <n v="1334.7639199999999"/>
    <n v="3556.9374399999997"/>
    <n v="0"/>
    <n v="1774.7718727909648"/>
    <n v="3805.7561121803155"/>
  </r>
  <r>
    <s v="Regular"/>
    <x v="1"/>
    <x v="2"/>
    <x v="1"/>
    <x v="0"/>
    <x v="0"/>
    <x v="0"/>
    <x v="0"/>
    <x v="3"/>
    <n v="0"/>
    <n v="0"/>
    <n v="904.27099999999996"/>
    <n v="904.27099999999996"/>
    <n v="904.27099999999996"/>
    <n v="904.27099999999996"/>
    <n v="0"/>
    <x v="1"/>
    <n v="0"/>
    <n v="0"/>
    <n v="25"/>
    <n v="59"/>
    <n v="0"/>
    <n v="69.489999999999995"/>
    <n v="185.18"/>
    <m/>
    <n v="92.397536067834494"/>
    <n v="198.13390838089941"/>
    <n v="0"/>
    <n v="62837.791789999996"/>
    <n v="167452.90377999999"/>
    <n v="0"/>
    <n v="83552.412337596761"/>
    <n v="179166.74746550428"/>
  </r>
  <r>
    <s v="Refaturamento - Regular"/>
    <x v="1"/>
    <x v="2"/>
    <x v="1"/>
    <x v="0"/>
    <x v="0"/>
    <x v="0"/>
    <x v="0"/>
    <x v="3"/>
    <n v="0"/>
    <n v="0"/>
    <n v="-3.9340000000000002"/>
    <n v="-3.9340000000000002"/>
    <n v="-3.9340000000000002"/>
    <n v="-3.9340000000000002"/>
    <n v="0"/>
    <x v="1"/>
    <n v="0"/>
    <n v="0"/>
    <n v="25"/>
    <n v="59"/>
    <n v="0"/>
    <n v="69.489999999999995"/>
    <n v="185.18"/>
    <m/>
    <n v="92.397536067834494"/>
    <n v="198.13390838089941"/>
    <n v="0"/>
    <n v="-273.37365999999997"/>
    <n v="-728.49812000000009"/>
    <n v="0"/>
    <n v="-363.49190689086089"/>
    <n v="-779.45879557045828"/>
  </r>
  <r>
    <s v="Sistema de Compensação"/>
    <x v="1"/>
    <x v="2"/>
    <x v="1"/>
    <x v="0"/>
    <x v="0"/>
    <x v="0"/>
    <x v="0"/>
    <x v="3"/>
    <n v="0"/>
    <n v="0"/>
    <n v="13.093"/>
    <n v="13.093"/>
    <n v="13.093"/>
    <n v="13.093"/>
    <n v="0"/>
    <x v="1"/>
    <n v="0"/>
    <n v="0"/>
    <n v="25"/>
    <n v="59"/>
    <n v="0"/>
    <n v="69.489999999999995"/>
    <n v="185.18"/>
    <m/>
    <n v="92.397536067834494"/>
    <n v="198.13390838089941"/>
    <n v="0"/>
    <n v="909.83256999999992"/>
    <n v="2424.5617400000001"/>
    <n v="0"/>
    <n v="1209.7609397361571"/>
    <n v="2594.1672624311159"/>
  </r>
  <r>
    <s v="Regular"/>
    <x v="1"/>
    <x v="2"/>
    <x v="1"/>
    <x v="0"/>
    <x v="0"/>
    <x v="0"/>
    <x v="0"/>
    <x v="4"/>
    <n v="0"/>
    <n v="0"/>
    <n v="1201.3800000000001"/>
    <n v="1201.3800000000001"/>
    <n v="1201.3800000000001"/>
    <n v="1201.3800000000001"/>
    <n v="0"/>
    <x v="1"/>
    <n v="0"/>
    <n v="0"/>
    <n v="25"/>
    <n v="59"/>
    <n v="0"/>
    <n v="69.489999999999995"/>
    <n v="185.18"/>
    <m/>
    <n v="92.397536067834494"/>
    <n v="198.13390838089941"/>
    <n v="0"/>
    <n v="83483.896200000003"/>
    <n v="222471.54840000003"/>
    <n v="0"/>
    <n v="111004.55188117501"/>
    <n v="238034.11485064495"/>
  </r>
  <r>
    <s v="Sistema de Compensação"/>
    <x v="1"/>
    <x v="2"/>
    <x v="1"/>
    <x v="0"/>
    <x v="0"/>
    <x v="0"/>
    <x v="0"/>
    <x v="4"/>
    <n v="0"/>
    <n v="0"/>
    <n v="14.398"/>
    <n v="14.398"/>
    <n v="14.398"/>
    <n v="14.398"/>
    <n v="0"/>
    <x v="1"/>
    <n v="0"/>
    <n v="0"/>
    <n v="25"/>
    <n v="59"/>
    <n v="0"/>
    <n v="69.489999999999995"/>
    <n v="185.18"/>
    <m/>
    <n v="92.397536067834494"/>
    <n v="198.13390838089941"/>
    <n v="0"/>
    <n v="1000.5170199999999"/>
    <n v="2666.2216400000002"/>
    <n v="0"/>
    <n v="1330.3397243046811"/>
    <n v="2852.7320128681895"/>
  </r>
  <r>
    <s v="Regular"/>
    <x v="1"/>
    <x v="2"/>
    <x v="1"/>
    <x v="0"/>
    <x v="0"/>
    <x v="0"/>
    <x v="0"/>
    <x v="5"/>
    <n v="0"/>
    <n v="0"/>
    <n v="2212.9609999999998"/>
    <n v="2212.9609999999998"/>
    <n v="2212.9609999999998"/>
    <n v="2212.9609999999998"/>
    <n v="0"/>
    <x v="1"/>
    <n v="0"/>
    <n v="0"/>
    <n v="25"/>
    <n v="59"/>
    <n v="0"/>
    <n v="69.489999999999995"/>
    <n v="185.18"/>
    <m/>
    <n v="92.397536067834494"/>
    <n v="198.13390838089941"/>
    <n v="0"/>
    <n v="153778.65988999998"/>
    <n v="409796.11797999998"/>
    <n v="0"/>
    <n v="204472.14381421107"/>
    <n v="438462.61202450353"/>
  </r>
  <r>
    <s v="Regular"/>
    <x v="1"/>
    <x v="2"/>
    <x v="1"/>
    <x v="0"/>
    <x v="0"/>
    <x v="0"/>
    <x v="0"/>
    <x v="6"/>
    <n v="0"/>
    <n v="0"/>
    <n v="1436.105"/>
    <n v="1436.105"/>
    <n v="1436.105"/>
    <n v="1436.105"/>
    <n v="0"/>
    <x v="1"/>
    <n v="0"/>
    <n v="0"/>
    <n v="25"/>
    <n v="59"/>
    <n v="0"/>
    <n v="69.489999999999995"/>
    <n v="185.18"/>
    <m/>
    <n v="92.397536067834494"/>
    <n v="198.13390838089941"/>
    <n v="0"/>
    <n v="99794.936449999994"/>
    <n v="265937.92389999999"/>
    <n v="0"/>
    <n v="132692.56353469746"/>
    <n v="284541.09649535158"/>
  </r>
  <r>
    <s v="Sistema de Compensação"/>
    <x v="1"/>
    <x v="2"/>
    <x v="1"/>
    <x v="0"/>
    <x v="0"/>
    <x v="0"/>
    <x v="0"/>
    <x v="6"/>
    <n v="0"/>
    <n v="0"/>
    <n v="23.347999999999999"/>
    <n v="23.347999999999999"/>
    <n v="23.347999999999999"/>
    <n v="23.347999999999999"/>
    <n v="0"/>
    <x v="1"/>
    <n v="0"/>
    <n v="0"/>
    <n v="25"/>
    <n v="59"/>
    <n v="0"/>
    <n v="69.489999999999995"/>
    <n v="185.18"/>
    <m/>
    <n v="92.397536067834494"/>
    <n v="198.13390838089941"/>
    <n v="0"/>
    <n v="1622.4525199999998"/>
    <n v="4323.5826399999996"/>
    <n v="0"/>
    <n v="2157.2976721117998"/>
    <n v="4626.0304928772393"/>
  </r>
  <r>
    <s v="Regular"/>
    <x v="1"/>
    <x v="2"/>
    <x v="1"/>
    <x v="0"/>
    <x v="0"/>
    <x v="0"/>
    <x v="0"/>
    <x v="7"/>
    <n v="0"/>
    <n v="0"/>
    <n v="1741.3679999999999"/>
    <n v="1741.3679999999999"/>
    <n v="1741.3679999999999"/>
    <n v="1741.3679999999999"/>
    <n v="0"/>
    <x v="1"/>
    <n v="0"/>
    <n v="0"/>
    <n v="25"/>
    <n v="59"/>
    <n v="0"/>
    <n v="69.489999999999995"/>
    <n v="185.18"/>
    <m/>
    <n v="92.397536067834494"/>
    <n v="198.13390838089941"/>
    <n v="0"/>
    <n v="121007.66231999999"/>
    <n v="322466.52623999998"/>
    <n v="0"/>
    <n v="160898.1125873728"/>
    <n v="345024.04776943004"/>
  </r>
  <r>
    <s v="Refaturamento - Regular"/>
    <x v="1"/>
    <x v="2"/>
    <x v="1"/>
    <x v="0"/>
    <x v="0"/>
    <x v="0"/>
    <x v="0"/>
    <x v="7"/>
    <n v="0"/>
    <n v="0"/>
    <n v="-7.4379999999999997"/>
    <n v="-7.4379999999999997"/>
    <n v="-7.4379999999999997"/>
    <n v="-7.4379999999999997"/>
    <n v="0"/>
    <x v="1"/>
    <n v="0"/>
    <n v="0"/>
    <n v="25"/>
    <n v="59"/>
    <n v="0"/>
    <n v="69.489999999999995"/>
    <n v="185.18"/>
    <m/>
    <n v="92.397536067834494"/>
    <n v="198.13390838089941"/>
    <n v="0"/>
    <n v="-516.8666199999999"/>
    <n v="-1377.3688400000001"/>
    <n v="0"/>
    <n v="-687.25287327255296"/>
    <n v="-1473.7200105371298"/>
  </r>
  <r>
    <s v="Sistema de Compensação"/>
    <x v="1"/>
    <x v="2"/>
    <x v="1"/>
    <x v="0"/>
    <x v="0"/>
    <x v="0"/>
    <x v="0"/>
    <x v="7"/>
    <n v="0"/>
    <n v="0"/>
    <n v="79.933000000000007"/>
    <n v="79.933000000000007"/>
    <n v="79.933000000000007"/>
    <n v="79.933000000000007"/>
    <n v="0"/>
    <x v="1"/>
    <n v="0"/>
    <n v="0"/>
    <n v="25"/>
    <n v="59"/>
    <n v="0"/>
    <n v="69.489999999999995"/>
    <n v="185.18"/>
    <m/>
    <n v="92.397536067834494"/>
    <n v="198.13390838089941"/>
    <n v="0"/>
    <n v="5554.5441700000001"/>
    <n v="14801.992940000002"/>
    <n v="0"/>
    <n v="7385.6122505102148"/>
    <n v="15837.437698610434"/>
  </r>
  <r>
    <s v="Regular"/>
    <x v="1"/>
    <x v="2"/>
    <x v="1"/>
    <x v="0"/>
    <x v="0"/>
    <x v="0"/>
    <x v="0"/>
    <x v="8"/>
    <n v="0"/>
    <n v="0"/>
    <n v="1860.2539999999999"/>
    <n v="1860.2539999999999"/>
    <n v="1860.2539999999999"/>
    <n v="1860.2539999999999"/>
    <n v="0"/>
    <x v="1"/>
    <n v="0"/>
    <n v="0"/>
    <n v="25"/>
    <n v="59"/>
    <n v="0"/>
    <n v="69.489999999999995"/>
    <n v="185.18"/>
    <m/>
    <n v="92.397536067834494"/>
    <n v="198.13390838089941"/>
    <n v="0"/>
    <n v="129269.05045999998"/>
    <n v="344481.83571999997"/>
    <n v="0"/>
    <n v="171882.88606033337"/>
    <n v="368579.39560120163"/>
  </r>
  <r>
    <s v="Refaturamento - Regular"/>
    <x v="1"/>
    <x v="2"/>
    <x v="1"/>
    <x v="0"/>
    <x v="0"/>
    <x v="0"/>
    <x v="0"/>
    <x v="8"/>
    <n v="0"/>
    <n v="0"/>
    <n v="-16.815999999999999"/>
    <n v="-16.815999999999999"/>
    <n v="-16.815999999999999"/>
    <n v="-16.815999999999999"/>
    <n v="0"/>
    <x v="1"/>
    <n v="0"/>
    <n v="0"/>
    <n v="25"/>
    <n v="59"/>
    <n v="0"/>
    <n v="69.489999999999995"/>
    <n v="185.18"/>
    <m/>
    <n v="92.397536067834494"/>
    <n v="198.13390838089941"/>
    <n v="0"/>
    <n v="-1168.5438399999998"/>
    <n v="-3113.9868799999999"/>
    <n v="0"/>
    <n v="-1553.7569665167048"/>
    <n v="-3331.8198033332042"/>
  </r>
  <r>
    <s v="Sistema de Compensação"/>
    <x v="1"/>
    <x v="2"/>
    <x v="1"/>
    <x v="0"/>
    <x v="0"/>
    <x v="0"/>
    <x v="0"/>
    <x v="8"/>
    <n v="0"/>
    <n v="0"/>
    <n v="85.168000000000006"/>
    <n v="85.168000000000006"/>
    <n v="85.168000000000006"/>
    <n v="85.168000000000006"/>
    <n v="0"/>
    <x v="1"/>
    <n v="0"/>
    <n v="0"/>
    <n v="25"/>
    <n v="59"/>
    <n v="0"/>
    <n v="69.489999999999995"/>
    <n v="185.18"/>
    <m/>
    <n v="92.397536067834494"/>
    <n v="198.13390838089941"/>
    <n v="0"/>
    <n v="5918.3243199999997"/>
    <n v="15771.410240000001"/>
    <n v="0"/>
    <n v="7869.3133518253289"/>
    <n v="16874.668708984442"/>
  </r>
  <r>
    <s v="Regular"/>
    <x v="1"/>
    <x v="2"/>
    <x v="1"/>
    <x v="0"/>
    <x v="0"/>
    <x v="0"/>
    <x v="0"/>
    <x v="9"/>
    <n v="0"/>
    <n v="0"/>
    <n v="2374.712"/>
    <n v="2374.712"/>
    <n v="2374.712"/>
    <n v="2374.712"/>
    <n v="0"/>
    <x v="1"/>
    <n v="0"/>
    <n v="0"/>
    <n v="25"/>
    <n v="59"/>
    <n v="0"/>
    <n v="69.489999999999995"/>
    <n v="185.18"/>
    <m/>
    <n v="92.397536067834494"/>
    <n v="198.13390838089941"/>
    <n v="0"/>
    <n v="165018.73687999998"/>
    <n v="439749.16816"/>
    <n v="0"/>
    <n v="219417.53767071938"/>
    <n v="470510.96983902238"/>
  </r>
  <r>
    <s v="Refaturamento - Regular"/>
    <x v="1"/>
    <x v="2"/>
    <x v="1"/>
    <x v="0"/>
    <x v="0"/>
    <x v="0"/>
    <x v="0"/>
    <x v="9"/>
    <n v="0"/>
    <n v="0"/>
    <n v="-275.49099999999999"/>
    <n v="-275.49099999999999"/>
    <n v="-275.49099999999999"/>
    <n v="-275.49099999999999"/>
    <n v="0"/>
    <x v="1"/>
    <n v="0"/>
    <n v="0"/>
    <n v="25"/>
    <n v="59"/>
    <n v="0"/>
    <n v="69.489999999999995"/>
    <n v="185.18"/>
    <m/>
    <n v="92.397536067834494"/>
    <n v="198.13390838089941"/>
    <n v="0"/>
    <n v="-19143.869589999998"/>
    <n v="-51015.42338"/>
    <n v="0"/>
    <n v="-25454.689608863791"/>
    <n v="-54584.108553762358"/>
  </r>
  <r>
    <s v="Sistema de Compensação"/>
    <x v="1"/>
    <x v="2"/>
    <x v="1"/>
    <x v="0"/>
    <x v="0"/>
    <x v="0"/>
    <x v="0"/>
    <x v="9"/>
    <n v="0"/>
    <n v="0"/>
    <n v="241.285"/>
    <n v="241.285"/>
    <n v="241.285"/>
    <n v="241.285"/>
    <n v="0"/>
    <x v="1"/>
    <n v="0"/>
    <n v="0"/>
    <n v="25"/>
    <n v="59"/>
    <n v="0"/>
    <n v="69.489999999999995"/>
    <n v="185.18"/>
    <m/>
    <n v="92.397536067834494"/>
    <n v="198.13390838089941"/>
    <n v="0"/>
    <n v="16766.894649999998"/>
    <n v="44681.156300000002"/>
    <n v="0"/>
    <n v="22294.139490127447"/>
    <n v="47806.740083685312"/>
  </r>
  <r>
    <s v="Regular"/>
    <x v="1"/>
    <x v="2"/>
    <x v="1"/>
    <x v="0"/>
    <x v="0"/>
    <x v="0"/>
    <x v="0"/>
    <x v="10"/>
    <n v="0"/>
    <n v="0"/>
    <n v="2809.5"/>
    <n v="2809.5"/>
    <n v="2809.5"/>
    <n v="2809.5"/>
    <n v="0"/>
    <x v="1"/>
    <n v="0"/>
    <n v="0"/>
    <n v="25"/>
    <n v="59"/>
    <n v="0"/>
    <n v="69.489999999999995"/>
    <n v="185.18"/>
    <m/>
    <n v="92.397536067834494"/>
    <n v="198.13390838089941"/>
    <n v="0"/>
    <n v="195232.155"/>
    <n v="520263.21"/>
    <n v="0"/>
    <n v="259590.87758258102"/>
    <n v="556657.21559613687"/>
  </r>
  <r>
    <s v="Refaturamento - Regular"/>
    <x v="1"/>
    <x v="2"/>
    <x v="1"/>
    <x v="0"/>
    <x v="0"/>
    <x v="0"/>
    <x v="0"/>
    <x v="10"/>
    <n v="0"/>
    <n v="0"/>
    <n v="-19.614999999999998"/>
    <n v="-19.614999999999998"/>
    <n v="-19.614999999999998"/>
    <n v="-19.614999999999998"/>
    <n v="0"/>
    <x v="1"/>
    <n v="0"/>
    <n v="0"/>
    <n v="25"/>
    <n v="59"/>
    <n v="0"/>
    <n v="69.489999999999995"/>
    <n v="185.18"/>
    <m/>
    <n v="92.397536067834494"/>
    <n v="198.13390838089941"/>
    <n v="0"/>
    <n v="-1363.0463499999998"/>
    <n v="-3632.3056999999999"/>
    <n v="0"/>
    <n v="-1812.3776699705734"/>
    <n v="-3886.3966128913416"/>
  </r>
  <r>
    <s v="Sistema de Compensação"/>
    <x v="1"/>
    <x v="2"/>
    <x v="1"/>
    <x v="0"/>
    <x v="0"/>
    <x v="0"/>
    <x v="0"/>
    <x v="10"/>
    <n v="0"/>
    <n v="0"/>
    <n v="158.446"/>
    <n v="158.446"/>
    <n v="158.446"/>
    <n v="158.446"/>
    <n v="0"/>
    <x v="1"/>
    <n v="0"/>
    <n v="0"/>
    <n v="25"/>
    <n v="59"/>
    <n v="0"/>
    <n v="69.489999999999995"/>
    <n v="185.18"/>
    <m/>
    <n v="92.397536067834494"/>
    <n v="198.13390838089941"/>
    <n v="0"/>
    <n v="11010.412539999999"/>
    <n v="29341.030279999999"/>
    <n v="0"/>
    <n v="14640.019999804104"/>
    <n v="31393.525247319987"/>
  </r>
  <r>
    <s v="Regular"/>
    <x v="1"/>
    <x v="2"/>
    <x v="1"/>
    <x v="0"/>
    <x v="0"/>
    <x v="0"/>
    <x v="0"/>
    <x v="11"/>
    <n v="0"/>
    <n v="0"/>
    <n v="2565.98"/>
    <n v="2565.98"/>
    <n v="2565.98"/>
    <n v="2565.98"/>
    <n v="0"/>
    <x v="1"/>
    <n v="0"/>
    <n v="0"/>
    <n v="25"/>
    <n v="59"/>
    <n v="0"/>
    <n v="69.489999999999995"/>
    <n v="185.18"/>
    <m/>
    <n v="92.397536067834494"/>
    <n v="198.13390838089941"/>
    <n v="0"/>
    <n v="178309.95019999999"/>
    <n v="475168.1764"/>
    <n v="0"/>
    <n v="237090.22959934195"/>
    <n v="508407.64622722031"/>
  </r>
  <r>
    <s v="Refaturamento - Regular"/>
    <x v="1"/>
    <x v="2"/>
    <x v="1"/>
    <x v="0"/>
    <x v="0"/>
    <x v="0"/>
    <x v="0"/>
    <x v="11"/>
    <n v="0"/>
    <n v="0"/>
    <n v="-119.33"/>
    <n v="-119.33"/>
    <n v="-119.33"/>
    <n v="-119.33"/>
    <n v="0"/>
    <x v="1"/>
    <n v="0"/>
    <n v="0"/>
    <n v="25"/>
    <n v="59"/>
    <n v="0"/>
    <n v="69.489999999999995"/>
    <n v="185.18"/>
    <m/>
    <n v="92.397536067834494"/>
    <n v="198.13390838089941"/>
    <n v="0"/>
    <n v="-8292.2416999999987"/>
    <n v="-22097.529399999999"/>
    <n v="0"/>
    <n v="-11025.79797897469"/>
    <n v="-23643.319287092727"/>
  </r>
  <r>
    <s v="Sistema de Compensação"/>
    <x v="1"/>
    <x v="2"/>
    <x v="1"/>
    <x v="0"/>
    <x v="0"/>
    <x v="0"/>
    <x v="0"/>
    <x v="11"/>
    <n v="0"/>
    <n v="0"/>
    <n v="249.39500000000001"/>
    <n v="249.39500000000001"/>
    <n v="249.39500000000001"/>
    <n v="249.39500000000001"/>
    <n v="0"/>
    <x v="1"/>
    <n v="0"/>
    <n v="0"/>
    <n v="25"/>
    <n v="59"/>
    <n v="0"/>
    <n v="69.489999999999995"/>
    <n v="185.18"/>
    <m/>
    <n v="92.397536067834494"/>
    <n v="198.13390838089941"/>
    <n v="0"/>
    <n v="17330.458549999999"/>
    <n v="46182.966100000005"/>
    <n v="0"/>
    <n v="23043.483507637586"/>
    <n v="49413.606080654412"/>
  </r>
  <r>
    <s v="Regular"/>
    <x v="1"/>
    <x v="2"/>
    <x v="1"/>
    <x v="0"/>
    <x v="0"/>
    <x v="0"/>
    <x v="1"/>
    <x v="0"/>
    <n v="21320"/>
    <n v="21320"/>
    <n v="0"/>
    <n v="0"/>
    <n v="0"/>
    <n v="0"/>
    <n v="127"/>
    <x v="1"/>
    <n v="0"/>
    <n v="18"/>
    <n v="0"/>
    <n v="0"/>
    <n v="26.17"/>
    <n v="0"/>
    <n v="0"/>
    <n v="27.746237112155811"/>
    <m/>
    <m/>
    <n v="557944.4"/>
    <n v="0"/>
    <n v="0"/>
    <n v="591549.77523116185"/>
    <n v="0"/>
    <n v="0"/>
  </r>
  <r>
    <s v="Refaturamento - Regular"/>
    <x v="1"/>
    <x v="2"/>
    <x v="1"/>
    <x v="0"/>
    <x v="0"/>
    <x v="0"/>
    <x v="1"/>
    <x v="0"/>
    <n v="-4268"/>
    <n v="-4268"/>
    <n v="0"/>
    <n v="0"/>
    <n v="0"/>
    <n v="0"/>
    <n v="0"/>
    <x v="1"/>
    <n v="0"/>
    <n v="18"/>
    <n v="0"/>
    <n v="0"/>
    <n v="26.17"/>
    <n v="0"/>
    <n v="0"/>
    <n v="27.746237112155811"/>
    <m/>
    <m/>
    <n v="-111693.56000000001"/>
    <n v="0"/>
    <n v="0"/>
    <n v="-118420.939994681"/>
    <n v="0"/>
    <n v="0"/>
  </r>
  <r>
    <s v="Sistema de Compensação"/>
    <x v="1"/>
    <x v="2"/>
    <x v="1"/>
    <x v="0"/>
    <x v="0"/>
    <x v="0"/>
    <x v="1"/>
    <x v="0"/>
    <n v="1253"/>
    <n v="1253"/>
    <n v="0"/>
    <n v="0"/>
    <n v="0"/>
    <n v="0"/>
    <n v="11"/>
    <x v="1"/>
    <n v="0"/>
    <n v="18"/>
    <n v="0"/>
    <n v="0"/>
    <n v="26.17"/>
    <n v="0"/>
    <n v="0"/>
    <n v="27.746237112155811"/>
    <m/>
    <m/>
    <n v="32791.01"/>
    <n v="0"/>
    <n v="0"/>
    <n v="34766.035101531234"/>
    <n v="0"/>
    <n v="0"/>
  </r>
  <r>
    <s v="Sistema de Compensação"/>
    <x v="1"/>
    <x v="2"/>
    <x v="1"/>
    <x v="0"/>
    <x v="0"/>
    <x v="0"/>
    <x v="1"/>
    <x v="0"/>
    <n v="-82"/>
    <n v="-82"/>
    <n v="0"/>
    <n v="0"/>
    <n v="0"/>
    <n v="0"/>
    <n v="0"/>
    <x v="1"/>
    <n v="0"/>
    <n v="18"/>
    <n v="0"/>
    <n v="0"/>
    <n v="26.17"/>
    <n v="0"/>
    <n v="0"/>
    <n v="27.746237112155811"/>
    <m/>
    <m/>
    <n v="-2145.94"/>
    <n v="0"/>
    <n v="0"/>
    <n v="-2275.1914431967766"/>
    <n v="0"/>
    <n v="0"/>
  </r>
  <r>
    <s v="Regular"/>
    <x v="1"/>
    <x v="2"/>
    <x v="1"/>
    <x v="0"/>
    <x v="0"/>
    <x v="0"/>
    <x v="1"/>
    <x v="1"/>
    <n v="16377"/>
    <n v="16377"/>
    <n v="0"/>
    <n v="0"/>
    <n v="0"/>
    <n v="0"/>
    <n v="126"/>
    <x v="1"/>
    <n v="0"/>
    <n v="18"/>
    <n v="0"/>
    <n v="0"/>
    <n v="26.17"/>
    <n v="0"/>
    <n v="0"/>
    <n v="27.746237112155811"/>
    <m/>
    <m/>
    <n v="428586.09"/>
    <n v="0"/>
    <n v="0"/>
    <n v="454400.12518577569"/>
    <n v="0"/>
    <n v="0"/>
  </r>
  <r>
    <s v="Refaturamento - Regular"/>
    <x v="1"/>
    <x v="2"/>
    <x v="1"/>
    <x v="0"/>
    <x v="0"/>
    <x v="0"/>
    <x v="1"/>
    <x v="1"/>
    <n v="-110"/>
    <n v="-110"/>
    <n v="0"/>
    <n v="0"/>
    <n v="0"/>
    <n v="0"/>
    <n v="0"/>
    <x v="1"/>
    <n v="0"/>
    <n v="18"/>
    <n v="0"/>
    <n v="0"/>
    <n v="26.17"/>
    <n v="0"/>
    <n v="0"/>
    <n v="27.746237112155811"/>
    <m/>
    <m/>
    <n v="-2878.7000000000003"/>
    <n v="0"/>
    <n v="0"/>
    <n v="-3052.086082337139"/>
    <n v="0"/>
    <n v="0"/>
  </r>
  <r>
    <s v="Sistema de Compensação"/>
    <x v="1"/>
    <x v="2"/>
    <x v="1"/>
    <x v="0"/>
    <x v="0"/>
    <x v="0"/>
    <x v="1"/>
    <x v="1"/>
    <n v="1057"/>
    <n v="1057"/>
    <n v="0"/>
    <n v="0"/>
    <n v="0"/>
    <n v="0"/>
    <n v="10"/>
    <x v="1"/>
    <n v="0"/>
    <n v="18"/>
    <n v="0"/>
    <n v="0"/>
    <n v="26.17"/>
    <n v="0"/>
    <n v="0"/>
    <n v="27.746237112155811"/>
    <m/>
    <m/>
    <n v="27661.690000000002"/>
    <n v="0"/>
    <n v="0"/>
    <n v="29327.772627548693"/>
    <n v="0"/>
    <n v="0"/>
  </r>
  <r>
    <s v="Regular"/>
    <x v="1"/>
    <x v="2"/>
    <x v="1"/>
    <x v="0"/>
    <x v="0"/>
    <x v="0"/>
    <x v="1"/>
    <x v="2"/>
    <n v="14816"/>
    <n v="14816"/>
    <n v="0"/>
    <n v="0"/>
    <n v="0"/>
    <n v="0"/>
    <n v="129"/>
    <x v="1"/>
    <n v="0"/>
    <n v="18"/>
    <n v="0"/>
    <n v="0"/>
    <n v="26.17"/>
    <n v="0"/>
    <n v="0"/>
    <n v="27.746237112155811"/>
    <m/>
    <m/>
    <n v="387734.72000000003"/>
    <n v="0"/>
    <n v="0"/>
    <n v="411088.24905370048"/>
    <n v="0"/>
    <n v="0"/>
  </r>
  <r>
    <s v="Refaturamento - Regular"/>
    <x v="1"/>
    <x v="2"/>
    <x v="1"/>
    <x v="0"/>
    <x v="0"/>
    <x v="0"/>
    <x v="1"/>
    <x v="2"/>
    <n v="-721"/>
    <n v="-721"/>
    <n v="0"/>
    <n v="0"/>
    <n v="0"/>
    <n v="0"/>
    <n v="-1"/>
    <x v="1"/>
    <n v="0"/>
    <n v="18"/>
    <n v="0"/>
    <n v="0"/>
    <n v="26.17"/>
    <n v="0"/>
    <n v="0"/>
    <n v="27.746237112155811"/>
    <m/>
    <m/>
    <n v="-18868.57"/>
    <n v="0"/>
    <n v="0"/>
    <n v="-20005.03695786434"/>
    <n v="0"/>
    <n v="0"/>
  </r>
  <r>
    <s v="Sistema de Compensação"/>
    <x v="1"/>
    <x v="2"/>
    <x v="1"/>
    <x v="0"/>
    <x v="0"/>
    <x v="0"/>
    <x v="1"/>
    <x v="2"/>
    <n v="1057"/>
    <n v="1057"/>
    <n v="0"/>
    <n v="0"/>
    <n v="0"/>
    <n v="0"/>
    <n v="10"/>
    <x v="1"/>
    <n v="0"/>
    <n v="18"/>
    <n v="0"/>
    <n v="0"/>
    <n v="26.17"/>
    <n v="0"/>
    <n v="0"/>
    <n v="27.746237112155811"/>
    <m/>
    <m/>
    <n v="27661.690000000002"/>
    <n v="0"/>
    <n v="0"/>
    <n v="29327.772627548693"/>
    <n v="0"/>
    <n v="0"/>
  </r>
  <r>
    <s v="Regular"/>
    <x v="1"/>
    <x v="2"/>
    <x v="1"/>
    <x v="0"/>
    <x v="0"/>
    <x v="0"/>
    <x v="1"/>
    <x v="3"/>
    <n v="15041"/>
    <n v="15041"/>
    <n v="0"/>
    <n v="0"/>
    <n v="0"/>
    <n v="0"/>
    <n v="130"/>
    <x v="1"/>
    <n v="0"/>
    <n v="18"/>
    <n v="0"/>
    <n v="0"/>
    <n v="26.17"/>
    <n v="0"/>
    <n v="0"/>
    <n v="27.746237112155811"/>
    <m/>
    <m/>
    <n v="393622.97000000003"/>
    <n v="0"/>
    <n v="0"/>
    <n v="417331.15240393556"/>
    <n v="0"/>
    <n v="0"/>
  </r>
  <r>
    <s v="Refaturamento - Regular"/>
    <x v="1"/>
    <x v="2"/>
    <x v="1"/>
    <x v="0"/>
    <x v="0"/>
    <x v="0"/>
    <x v="1"/>
    <x v="3"/>
    <n v="-140"/>
    <n v="-140"/>
    <n v="0"/>
    <n v="0"/>
    <n v="0"/>
    <n v="0"/>
    <n v="-1"/>
    <x v="1"/>
    <n v="0"/>
    <n v="18"/>
    <n v="0"/>
    <n v="0"/>
    <n v="26.17"/>
    <n v="0"/>
    <n v="0"/>
    <n v="27.746237112155811"/>
    <m/>
    <m/>
    <n v="-3663.8"/>
    <n v="0"/>
    <n v="0"/>
    <n v="-3884.4731957018134"/>
    <n v="0"/>
    <n v="0"/>
  </r>
  <r>
    <s v="Sistema de Compensação"/>
    <x v="1"/>
    <x v="2"/>
    <x v="1"/>
    <x v="0"/>
    <x v="0"/>
    <x v="0"/>
    <x v="1"/>
    <x v="3"/>
    <n v="1057"/>
    <n v="1057"/>
    <n v="0"/>
    <n v="0"/>
    <n v="0"/>
    <n v="0"/>
    <n v="10"/>
    <x v="1"/>
    <n v="0"/>
    <n v="18"/>
    <n v="0"/>
    <n v="0"/>
    <n v="26.17"/>
    <n v="0"/>
    <n v="0"/>
    <n v="27.746237112155811"/>
    <m/>
    <m/>
    <n v="27661.690000000002"/>
    <n v="0"/>
    <n v="0"/>
    <n v="29327.772627548693"/>
    <n v="0"/>
    <n v="0"/>
  </r>
  <r>
    <s v="Regular"/>
    <x v="1"/>
    <x v="2"/>
    <x v="1"/>
    <x v="0"/>
    <x v="0"/>
    <x v="0"/>
    <x v="1"/>
    <x v="4"/>
    <n v="16332"/>
    <n v="16332"/>
    <n v="0"/>
    <n v="0"/>
    <n v="0"/>
    <n v="0"/>
    <n v="128"/>
    <x v="1"/>
    <n v="0"/>
    <n v="18"/>
    <n v="0"/>
    <n v="0"/>
    <n v="26.17"/>
    <n v="0"/>
    <n v="0"/>
    <n v="27.746237112155811"/>
    <m/>
    <m/>
    <n v="427408.44"/>
    <n v="0"/>
    <n v="0"/>
    <n v="453151.54451572872"/>
    <n v="0"/>
    <n v="0"/>
  </r>
  <r>
    <s v="Refaturamento - Regular"/>
    <x v="1"/>
    <x v="2"/>
    <x v="1"/>
    <x v="0"/>
    <x v="0"/>
    <x v="0"/>
    <x v="1"/>
    <x v="4"/>
    <n v="-835"/>
    <n v="-835"/>
    <n v="0"/>
    <n v="0"/>
    <n v="0"/>
    <n v="0"/>
    <n v="-1"/>
    <x v="1"/>
    <n v="0"/>
    <n v="18"/>
    <n v="0"/>
    <n v="0"/>
    <n v="26.17"/>
    <n v="0"/>
    <n v="0"/>
    <n v="27.746237112155811"/>
    <m/>
    <m/>
    <n v="-21851.95"/>
    <n v="0"/>
    <n v="0"/>
    <n v="-23168.107988650103"/>
    <n v="0"/>
    <n v="0"/>
  </r>
  <r>
    <s v="Sistema de Compensação"/>
    <x v="1"/>
    <x v="2"/>
    <x v="1"/>
    <x v="0"/>
    <x v="0"/>
    <x v="0"/>
    <x v="1"/>
    <x v="4"/>
    <n v="1061"/>
    <n v="1061"/>
    <n v="0"/>
    <n v="0"/>
    <n v="0"/>
    <n v="0"/>
    <n v="10"/>
    <x v="1"/>
    <n v="0"/>
    <n v="18"/>
    <n v="0"/>
    <n v="0"/>
    <n v="26.17"/>
    <n v="0"/>
    <n v="0"/>
    <n v="27.746237112155811"/>
    <m/>
    <m/>
    <n v="27766.370000000003"/>
    <n v="0"/>
    <n v="0"/>
    <n v="29438.757575997315"/>
    <n v="0"/>
    <n v="0"/>
  </r>
  <r>
    <s v="Regular"/>
    <x v="1"/>
    <x v="2"/>
    <x v="1"/>
    <x v="0"/>
    <x v="0"/>
    <x v="0"/>
    <x v="1"/>
    <x v="5"/>
    <n v="18206"/>
    <n v="18206"/>
    <n v="0"/>
    <n v="0"/>
    <n v="0"/>
    <n v="0"/>
    <n v="128"/>
    <x v="1"/>
    <n v="0"/>
    <n v="18"/>
    <n v="0"/>
    <n v="0"/>
    <n v="26.17"/>
    <n v="0"/>
    <n v="0"/>
    <n v="27.746237112155811"/>
    <m/>
    <m/>
    <n v="476451.02"/>
    <n v="0"/>
    <n v="0"/>
    <n v="505147.9928639087"/>
    <n v="0"/>
    <n v="0"/>
  </r>
  <r>
    <s v="Regular"/>
    <x v="1"/>
    <x v="2"/>
    <x v="1"/>
    <x v="0"/>
    <x v="0"/>
    <x v="0"/>
    <x v="1"/>
    <x v="6"/>
    <n v="16379"/>
    <n v="16379"/>
    <n v="0"/>
    <n v="0"/>
    <n v="0"/>
    <n v="0"/>
    <n v="129"/>
    <x v="1"/>
    <n v="0"/>
    <n v="18"/>
    <n v="0"/>
    <n v="0"/>
    <n v="26.17"/>
    <n v="0"/>
    <n v="0"/>
    <n v="27.746237112155811"/>
    <m/>
    <m/>
    <n v="428638.43000000005"/>
    <n v="0"/>
    <n v="0"/>
    <n v="454455.61766000005"/>
    <n v="0"/>
    <n v="0"/>
  </r>
  <r>
    <s v="Sistema de Compensação"/>
    <x v="1"/>
    <x v="2"/>
    <x v="1"/>
    <x v="0"/>
    <x v="0"/>
    <x v="0"/>
    <x v="1"/>
    <x v="6"/>
    <n v="1132"/>
    <n v="1132"/>
    <n v="0"/>
    <n v="0"/>
    <n v="0"/>
    <n v="0"/>
    <n v="9"/>
    <x v="1"/>
    <n v="0"/>
    <n v="18"/>
    <n v="0"/>
    <n v="0"/>
    <n v="26.17"/>
    <n v="0"/>
    <n v="0"/>
    <n v="27.746237112155811"/>
    <m/>
    <m/>
    <n v="29624.440000000002"/>
    <n v="0"/>
    <n v="0"/>
    <n v="31408.740410960378"/>
    <n v="0"/>
    <n v="0"/>
  </r>
  <r>
    <s v="Regular"/>
    <x v="1"/>
    <x v="2"/>
    <x v="1"/>
    <x v="0"/>
    <x v="0"/>
    <x v="0"/>
    <x v="1"/>
    <x v="7"/>
    <n v="16929"/>
    <n v="16929"/>
    <n v="0"/>
    <n v="0"/>
    <n v="0"/>
    <n v="0"/>
    <n v="129"/>
    <x v="1"/>
    <n v="0"/>
    <n v="18"/>
    <n v="0"/>
    <n v="0"/>
    <n v="26.17"/>
    <n v="0"/>
    <n v="0"/>
    <n v="27.746237112155811"/>
    <m/>
    <m/>
    <n v="443031.93000000005"/>
    <n v="0"/>
    <n v="0"/>
    <n v="469716.04807168571"/>
    <n v="0"/>
    <n v="0"/>
  </r>
  <r>
    <s v="Refaturamento - Regular"/>
    <x v="1"/>
    <x v="2"/>
    <x v="1"/>
    <x v="0"/>
    <x v="0"/>
    <x v="0"/>
    <x v="1"/>
    <x v="7"/>
    <n v="-90"/>
    <n v="-90"/>
    <n v="0"/>
    <n v="0"/>
    <n v="0"/>
    <n v="0"/>
    <n v="0"/>
    <x v="1"/>
    <n v="0"/>
    <n v="18"/>
    <n v="0"/>
    <n v="0"/>
    <n v="26.17"/>
    <n v="0"/>
    <n v="0"/>
    <n v="27.746237112155811"/>
    <m/>
    <m/>
    <n v="-2355.3000000000002"/>
    <n v="0"/>
    <n v="0"/>
    <n v="-2497.1613400940228"/>
    <n v="0"/>
    <n v="0"/>
  </r>
  <r>
    <s v="Sistema de Compensação"/>
    <x v="1"/>
    <x v="2"/>
    <x v="1"/>
    <x v="0"/>
    <x v="0"/>
    <x v="0"/>
    <x v="1"/>
    <x v="7"/>
    <n v="1479"/>
    <n v="1479"/>
    <n v="0"/>
    <n v="0"/>
    <n v="0"/>
    <n v="0"/>
    <n v="10"/>
    <x v="1"/>
    <n v="0"/>
    <n v="18"/>
    <n v="0"/>
    <n v="0"/>
    <n v="26.17"/>
    <n v="0"/>
    <n v="0"/>
    <n v="27.746237112155811"/>
    <m/>
    <m/>
    <n v="38705.43"/>
    <n v="0"/>
    <n v="0"/>
    <n v="41036.684688878442"/>
    <n v="0"/>
    <n v="0"/>
  </r>
  <r>
    <s v="Regular"/>
    <x v="1"/>
    <x v="2"/>
    <x v="1"/>
    <x v="0"/>
    <x v="0"/>
    <x v="0"/>
    <x v="1"/>
    <x v="8"/>
    <n v="17864"/>
    <n v="17864"/>
    <n v="0"/>
    <n v="0"/>
    <n v="0"/>
    <n v="0"/>
    <n v="129"/>
    <x v="1"/>
    <n v="0"/>
    <n v="18"/>
    <n v="0"/>
    <n v="0"/>
    <n v="26.17"/>
    <n v="0"/>
    <n v="0"/>
    <n v="27.746237112155811"/>
    <m/>
    <m/>
    <n v="467500.88"/>
    <n v="0"/>
    <n v="0"/>
    <n v="495658.77977155137"/>
    <n v="0"/>
    <n v="0"/>
  </r>
  <r>
    <s v="Sistema de Compensação"/>
    <x v="1"/>
    <x v="2"/>
    <x v="1"/>
    <x v="0"/>
    <x v="0"/>
    <x v="0"/>
    <x v="1"/>
    <x v="8"/>
    <n v="1721"/>
    <n v="1721"/>
    <n v="0"/>
    <n v="0"/>
    <n v="0"/>
    <n v="0"/>
    <n v="10"/>
    <x v="1"/>
    <n v="0"/>
    <n v="18"/>
    <n v="0"/>
    <n v="0"/>
    <n v="26.17"/>
    <n v="0"/>
    <n v="0"/>
    <n v="27.746237112155811"/>
    <m/>
    <m/>
    <n v="45038.57"/>
    <n v="0"/>
    <n v="0"/>
    <n v="47751.274070020147"/>
    <n v="0"/>
    <n v="0"/>
  </r>
  <r>
    <s v="Regular"/>
    <x v="1"/>
    <x v="2"/>
    <x v="1"/>
    <x v="0"/>
    <x v="0"/>
    <x v="0"/>
    <x v="1"/>
    <x v="9"/>
    <n v="20745"/>
    <n v="20745"/>
    <n v="0"/>
    <n v="0"/>
    <n v="0"/>
    <n v="0"/>
    <n v="137"/>
    <x v="1"/>
    <n v="0"/>
    <n v="18"/>
    <n v="0"/>
    <n v="0"/>
    <n v="26.17"/>
    <n v="0"/>
    <n v="0"/>
    <n v="27.746237112155811"/>
    <m/>
    <m/>
    <n v="542896.65"/>
    <n v="0"/>
    <n v="0"/>
    <n v="575595.6888916723"/>
    <n v="0"/>
    <n v="0"/>
  </r>
  <r>
    <s v="Refaturamento - Regular"/>
    <x v="1"/>
    <x v="2"/>
    <x v="1"/>
    <x v="0"/>
    <x v="0"/>
    <x v="0"/>
    <x v="1"/>
    <x v="9"/>
    <n v="-1995"/>
    <n v="-1995"/>
    <n v="0"/>
    <n v="0"/>
    <n v="0"/>
    <n v="0"/>
    <n v="-10"/>
    <x v="1"/>
    <n v="0"/>
    <n v="18"/>
    <n v="0"/>
    <n v="0"/>
    <n v="26.17"/>
    <n v="0"/>
    <n v="0"/>
    <n v="27.746237112155811"/>
    <m/>
    <m/>
    <n v="-52209.15"/>
    <n v="0"/>
    <n v="0"/>
    <n v="-55353.743038750843"/>
    <n v="0"/>
    <n v="0"/>
  </r>
  <r>
    <s v="Sistema de Compensação"/>
    <x v="1"/>
    <x v="2"/>
    <x v="1"/>
    <x v="0"/>
    <x v="0"/>
    <x v="0"/>
    <x v="1"/>
    <x v="9"/>
    <n v="3720"/>
    <n v="3720"/>
    <n v="0"/>
    <n v="0"/>
    <n v="0"/>
    <n v="0"/>
    <n v="12"/>
    <x v="1"/>
    <n v="0"/>
    <n v="18"/>
    <n v="0"/>
    <n v="0"/>
    <n v="26.17"/>
    <n v="0"/>
    <n v="0"/>
    <n v="27.746237112155811"/>
    <m/>
    <m/>
    <n v="97352.400000000009"/>
    <n v="0"/>
    <n v="0"/>
    <n v="103216.00205721962"/>
    <n v="0"/>
    <n v="0"/>
  </r>
  <r>
    <s v="Regular"/>
    <x v="1"/>
    <x v="2"/>
    <x v="1"/>
    <x v="0"/>
    <x v="0"/>
    <x v="0"/>
    <x v="1"/>
    <x v="10"/>
    <n v="19235"/>
    <n v="19235"/>
    <n v="0"/>
    <n v="0"/>
    <n v="0"/>
    <n v="0"/>
    <n v="126"/>
    <x v="1"/>
    <n v="0"/>
    <n v="18"/>
    <n v="0"/>
    <n v="0"/>
    <n v="26.17"/>
    <n v="0"/>
    <n v="0"/>
    <n v="27.746237112155811"/>
    <m/>
    <m/>
    <n v="503379.95"/>
    <n v="0"/>
    <n v="0"/>
    <n v="533698.87085231696"/>
    <n v="0"/>
    <n v="0"/>
  </r>
  <r>
    <s v="Refaturamento - Regular"/>
    <x v="1"/>
    <x v="2"/>
    <x v="1"/>
    <x v="0"/>
    <x v="0"/>
    <x v="0"/>
    <x v="1"/>
    <x v="10"/>
    <n v="-594"/>
    <n v="-594"/>
    <n v="0"/>
    <n v="0"/>
    <n v="0"/>
    <n v="0"/>
    <n v="-4"/>
    <x v="1"/>
    <n v="0"/>
    <n v="18"/>
    <n v="0"/>
    <n v="0"/>
    <n v="26.17"/>
    <n v="0"/>
    <n v="0"/>
    <n v="27.746237112155811"/>
    <m/>
    <m/>
    <n v="-15544.980000000001"/>
    <n v="0"/>
    <n v="0"/>
    <n v="-16481.264844620553"/>
    <n v="0"/>
    <n v="0"/>
  </r>
  <r>
    <s v="Sistema de Compensação"/>
    <x v="1"/>
    <x v="2"/>
    <x v="1"/>
    <x v="0"/>
    <x v="0"/>
    <x v="0"/>
    <x v="1"/>
    <x v="10"/>
    <n v="2053"/>
    <n v="2053"/>
    <n v="0"/>
    <n v="0"/>
    <n v="0"/>
    <n v="0"/>
    <n v="14"/>
    <x v="1"/>
    <n v="0"/>
    <n v="18"/>
    <n v="0"/>
    <n v="0"/>
    <n v="26.17"/>
    <n v="0"/>
    <n v="0"/>
    <n v="27.746237112155811"/>
    <m/>
    <m/>
    <n v="53727.01"/>
    <n v="0"/>
    <n v="0"/>
    <n v="56963.024791255877"/>
    <n v="0"/>
    <n v="0"/>
  </r>
  <r>
    <s v="Regular"/>
    <x v="1"/>
    <x v="2"/>
    <x v="1"/>
    <x v="0"/>
    <x v="0"/>
    <x v="0"/>
    <x v="1"/>
    <x v="11"/>
    <n v="20795"/>
    <n v="20795"/>
    <n v="0"/>
    <n v="0"/>
    <n v="0"/>
    <n v="0"/>
    <n v="128"/>
    <x v="1"/>
    <n v="0"/>
    <n v="18"/>
    <n v="0"/>
    <n v="0"/>
    <n v="26.17"/>
    <n v="0"/>
    <n v="0"/>
    <n v="27.746237112155811"/>
    <m/>
    <m/>
    <n v="544205.15"/>
    <n v="0"/>
    <n v="0"/>
    <n v="576983.00074728008"/>
    <n v="0"/>
    <n v="0"/>
  </r>
  <r>
    <s v="Refaturamento - Regular"/>
    <x v="1"/>
    <x v="2"/>
    <x v="1"/>
    <x v="0"/>
    <x v="0"/>
    <x v="0"/>
    <x v="1"/>
    <x v="11"/>
    <n v="-1006"/>
    <n v="-1006"/>
    <n v="0"/>
    <n v="0"/>
    <n v="0"/>
    <n v="0"/>
    <n v="-5"/>
    <x v="1"/>
    <n v="0"/>
    <n v="18"/>
    <n v="0"/>
    <n v="0"/>
    <n v="26.17"/>
    <n v="0"/>
    <n v="0"/>
    <n v="27.746237112155811"/>
    <m/>
    <m/>
    <n v="-26327.02"/>
    <n v="0"/>
    <n v="0"/>
    <n v="-27912.714534828745"/>
    <n v="0"/>
    <n v="0"/>
  </r>
  <r>
    <s v="Sistema de Compensação"/>
    <x v="1"/>
    <x v="2"/>
    <x v="1"/>
    <x v="0"/>
    <x v="0"/>
    <x v="0"/>
    <x v="1"/>
    <x v="11"/>
    <n v="2363"/>
    <n v="2363"/>
    <n v="0"/>
    <n v="0"/>
    <n v="0"/>
    <n v="0"/>
    <n v="15"/>
    <x v="1"/>
    <n v="0"/>
    <n v="18"/>
    <n v="0"/>
    <n v="0"/>
    <n v="26.17"/>
    <n v="0"/>
    <n v="0"/>
    <n v="27.746237112155811"/>
    <m/>
    <m/>
    <n v="61839.710000000006"/>
    <n v="0"/>
    <n v="0"/>
    <n v="65564.358296024177"/>
    <n v="0"/>
    <n v="0"/>
  </r>
  <r>
    <s v="Regular"/>
    <x v="1"/>
    <x v="2"/>
    <x v="1"/>
    <x v="0"/>
    <x v="0"/>
    <x v="0"/>
    <x v="2"/>
    <x v="0"/>
    <n v="0"/>
    <n v="0"/>
    <n v="119.389"/>
    <n v="119.389"/>
    <n v="119.389"/>
    <n v="119.389"/>
    <n v="0"/>
    <x v="1"/>
    <n v="0"/>
    <n v="0"/>
    <n v="12"/>
    <n v="66"/>
    <n v="0"/>
    <n v="1124.7"/>
    <n v="185.18"/>
    <m/>
    <n v="1194.906449742829"/>
    <n v="198.13390838089941"/>
    <n v="0"/>
    <n v="134276.8083"/>
    <n v="22108.455020000001"/>
    <n v="0"/>
    <n v="142658.6861283466"/>
    <n v="23655.009187687199"/>
  </r>
  <r>
    <s v="Refaturamento - Regular"/>
    <x v="1"/>
    <x v="2"/>
    <x v="1"/>
    <x v="0"/>
    <x v="0"/>
    <x v="0"/>
    <x v="2"/>
    <x v="0"/>
    <n v="0"/>
    <n v="0"/>
    <n v="-42.000999999999998"/>
    <n v="-42.000999999999998"/>
    <n v="-42.000999999999998"/>
    <n v="-42.000999999999998"/>
    <n v="0"/>
    <x v="1"/>
    <n v="0"/>
    <n v="0"/>
    <n v="12"/>
    <n v="66"/>
    <n v="0"/>
    <n v="1124.7"/>
    <n v="185.18"/>
    <m/>
    <n v="1194.906449742829"/>
    <n v="198.13390838089941"/>
    <n v="0"/>
    <n v="-47238.524700000002"/>
    <n v="-7777.7451799999999"/>
    <n v="0"/>
    <n v="-50187.265795648556"/>
    <n v="-8321.8222859061552"/>
  </r>
  <r>
    <s v="Sistema de Compensação"/>
    <x v="1"/>
    <x v="2"/>
    <x v="1"/>
    <x v="0"/>
    <x v="0"/>
    <x v="0"/>
    <x v="2"/>
    <x v="0"/>
    <n v="0"/>
    <n v="0"/>
    <n v="2.5299999999999998"/>
    <n v="2.5299999999999998"/>
    <n v="2.5299999999999998"/>
    <n v="2.5299999999999998"/>
    <n v="0"/>
    <x v="1"/>
    <n v="0"/>
    <n v="0"/>
    <n v="12"/>
    <n v="66"/>
    <n v="0"/>
    <n v="1124.7"/>
    <n v="185.18"/>
    <m/>
    <n v="1194.906449742829"/>
    <n v="198.13390838089941"/>
    <n v="0"/>
    <n v="2845.491"/>
    <n v="468.50540000000001"/>
    <n v="0"/>
    <n v="3023.1133178493569"/>
    <n v="501.2787882036755"/>
  </r>
  <r>
    <s v="Sistema de Compensação"/>
    <x v="1"/>
    <x v="2"/>
    <x v="1"/>
    <x v="0"/>
    <x v="0"/>
    <x v="0"/>
    <x v="2"/>
    <x v="0"/>
    <n v="0"/>
    <n v="0"/>
    <n v="-1.2529999999999999"/>
    <n v="-1.2529999999999999"/>
    <n v="-1.2529999999999999"/>
    <n v="-1.2529999999999999"/>
    <n v="0"/>
    <x v="1"/>
    <n v="0"/>
    <n v="0"/>
    <n v="12"/>
    <n v="66"/>
    <n v="0"/>
    <n v="1124.7"/>
    <n v="185.18"/>
    <m/>
    <n v="1194.906449742829"/>
    <n v="198.13390838089941"/>
    <n v="0"/>
    <n v="-1409.2491"/>
    <n v="-232.03054"/>
    <n v="0"/>
    <n v="-1497.2177815277646"/>
    <n v="-248.26178720126694"/>
  </r>
  <r>
    <s v="Regular"/>
    <x v="1"/>
    <x v="2"/>
    <x v="1"/>
    <x v="0"/>
    <x v="0"/>
    <x v="0"/>
    <x v="2"/>
    <x v="1"/>
    <n v="0"/>
    <n v="0"/>
    <n v="76.781000000000006"/>
    <n v="76.781000000000006"/>
    <n v="76.781000000000006"/>
    <n v="76.781000000000006"/>
    <n v="0"/>
    <x v="1"/>
    <n v="0"/>
    <n v="0"/>
    <n v="12"/>
    <n v="66"/>
    <n v="0"/>
    <n v="1124.7"/>
    <n v="185.18"/>
    <m/>
    <n v="1194.906449742829"/>
    <n v="198.13390838089941"/>
    <n v="0"/>
    <n v="86355.590700000015"/>
    <n v="14218.305580000002"/>
    <n v="0"/>
    <n v="91746.112117704164"/>
    <n v="15212.919619393839"/>
  </r>
  <r>
    <s v="Refaturamento - Regular"/>
    <x v="1"/>
    <x v="2"/>
    <x v="1"/>
    <x v="0"/>
    <x v="0"/>
    <x v="0"/>
    <x v="2"/>
    <x v="1"/>
    <n v="0"/>
    <n v="0"/>
    <n v="-0.64900000000000002"/>
    <n v="-0.64900000000000002"/>
    <n v="-0.64900000000000002"/>
    <n v="-0.64900000000000002"/>
    <n v="0"/>
    <x v="1"/>
    <n v="0"/>
    <n v="0"/>
    <n v="12"/>
    <n v="66"/>
    <n v="0"/>
    <n v="1124.7"/>
    <n v="185.18"/>
    <m/>
    <n v="1194.906449742829"/>
    <n v="198.13390838089941"/>
    <n v="0"/>
    <n v="-729.9303000000001"/>
    <n v="-120.18182"/>
    <n v="0"/>
    <n v="-775.49428588309604"/>
    <n v="-128.58890653920372"/>
  </r>
  <r>
    <s v="Sistema de Compensação"/>
    <x v="1"/>
    <x v="2"/>
    <x v="1"/>
    <x v="0"/>
    <x v="0"/>
    <x v="0"/>
    <x v="2"/>
    <x v="1"/>
    <n v="0"/>
    <n v="0"/>
    <n v="2.23"/>
    <n v="2.23"/>
    <n v="2.23"/>
    <n v="2.23"/>
    <n v="0"/>
    <x v="1"/>
    <n v="0"/>
    <n v="0"/>
    <n v="12"/>
    <n v="66"/>
    <n v="0"/>
    <n v="1124.7"/>
    <n v="185.18"/>
    <m/>
    <n v="1194.906449742829"/>
    <n v="198.13390838089941"/>
    <n v="0"/>
    <n v="2508.0810000000001"/>
    <n v="412.95140000000004"/>
    <n v="0"/>
    <n v="2664.6413829265084"/>
    <n v="441.83861568940569"/>
  </r>
  <r>
    <s v="Regular"/>
    <x v="1"/>
    <x v="2"/>
    <x v="1"/>
    <x v="0"/>
    <x v="0"/>
    <x v="0"/>
    <x v="2"/>
    <x v="2"/>
    <n v="0"/>
    <n v="0"/>
    <n v="67.664000000000001"/>
    <n v="67.664000000000001"/>
    <n v="67.664000000000001"/>
    <n v="67.664000000000001"/>
    <n v="0"/>
    <x v="1"/>
    <n v="0"/>
    <n v="0"/>
    <n v="12"/>
    <n v="66"/>
    <n v="0"/>
    <n v="1124.7"/>
    <n v="185.18"/>
    <m/>
    <n v="1194.906449742829"/>
    <n v="198.13390838089941"/>
    <n v="0"/>
    <n v="76101.700800000006"/>
    <n v="12530.01952"/>
    <n v="0"/>
    <n v="80852.150015398787"/>
    <n v="13406.532776685179"/>
  </r>
  <r>
    <s v="Refaturamento - Regular"/>
    <x v="1"/>
    <x v="2"/>
    <x v="1"/>
    <x v="0"/>
    <x v="0"/>
    <x v="0"/>
    <x v="2"/>
    <x v="2"/>
    <n v="0"/>
    <n v="0"/>
    <n v="-1.869"/>
    <n v="-1.869"/>
    <n v="-1.869"/>
    <n v="-1.869"/>
    <n v="0"/>
    <x v="1"/>
    <n v="0"/>
    <n v="0"/>
    <n v="12"/>
    <n v="66"/>
    <n v="0"/>
    <n v="1124.7"/>
    <n v="185.18"/>
    <m/>
    <n v="1194.906449742829"/>
    <n v="198.13390838089941"/>
    <n v="0"/>
    <n v="-2102.0643"/>
    <n v="-346.10142000000002"/>
    <n v="0"/>
    <n v="-2233.2801545693474"/>
    <n v="-370.31227476390103"/>
  </r>
  <r>
    <s v="Sistema de Compensação"/>
    <x v="1"/>
    <x v="2"/>
    <x v="1"/>
    <x v="0"/>
    <x v="0"/>
    <x v="0"/>
    <x v="2"/>
    <x v="2"/>
    <n v="0"/>
    <n v="0"/>
    <n v="2.738"/>
    <n v="2.738"/>
    <n v="2.738"/>
    <n v="2.738"/>
    <n v="0"/>
    <x v="1"/>
    <n v="0"/>
    <n v="0"/>
    <n v="12"/>
    <n v="66"/>
    <n v="0"/>
    <n v="1124.7"/>
    <n v="185.18"/>
    <m/>
    <n v="1194.906449742829"/>
    <n v="198.13390838089941"/>
    <n v="0"/>
    <n v="3079.4286000000002"/>
    <n v="507.02284000000003"/>
    <n v="0"/>
    <n v="3271.6538593958658"/>
    <n v="542.49064114690259"/>
  </r>
  <r>
    <s v="Regular"/>
    <x v="1"/>
    <x v="2"/>
    <x v="1"/>
    <x v="0"/>
    <x v="0"/>
    <x v="0"/>
    <x v="2"/>
    <x v="3"/>
    <n v="0"/>
    <n v="0"/>
    <n v="61.856000000000002"/>
    <n v="61.856000000000002"/>
    <n v="61.856000000000002"/>
    <n v="61.856000000000002"/>
    <n v="0"/>
    <x v="1"/>
    <n v="0"/>
    <n v="0"/>
    <n v="12"/>
    <n v="66"/>
    <n v="0"/>
    <n v="1124.7"/>
    <n v="185.18"/>
    <m/>
    <n v="1194.906449742829"/>
    <n v="198.13390838089941"/>
    <n v="0"/>
    <n v="69569.443200000009"/>
    <n v="11454.49408"/>
    <n v="0"/>
    <n v="73912.133355292433"/>
    <n v="12255.771036808914"/>
  </r>
  <r>
    <s v="Refaturamento - Regular"/>
    <x v="1"/>
    <x v="2"/>
    <x v="1"/>
    <x v="0"/>
    <x v="0"/>
    <x v="0"/>
    <x v="2"/>
    <x v="3"/>
    <n v="0"/>
    <n v="0"/>
    <n v="-0.38"/>
    <n v="-0.38"/>
    <n v="-0.38"/>
    <n v="-0.38"/>
    <n v="0"/>
    <x v="1"/>
    <n v="0"/>
    <n v="0"/>
    <n v="12"/>
    <n v="66"/>
    <n v="0"/>
    <n v="1124.7"/>
    <n v="185.18"/>
    <m/>
    <n v="1194.906449742829"/>
    <n v="198.13390838089941"/>
    <n v="0"/>
    <n v="-427.38600000000002"/>
    <n v="-70.368400000000008"/>
    <n v="0"/>
    <n v="-454.06445090227498"/>
    <n v="-75.290885184741782"/>
  </r>
  <r>
    <s v="Sistema de Compensação"/>
    <x v="1"/>
    <x v="2"/>
    <x v="1"/>
    <x v="0"/>
    <x v="0"/>
    <x v="0"/>
    <x v="2"/>
    <x v="3"/>
    <n v="0"/>
    <n v="0"/>
    <n v="2.5449999999999999"/>
    <n v="2.5449999999999999"/>
    <n v="2.5449999999999999"/>
    <n v="2.5449999999999999"/>
    <n v="0"/>
    <x v="1"/>
    <n v="0"/>
    <n v="0"/>
    <n v="12"/>
    <n v="66"/>
    <n v="0"/>
    <n v="1124.7"/>
    <n v="185.18"/>
    <m/>
    <n v="1194.906449742829"/>
    <n v="198.13390838089941"/>
    <n v="0"/>
    <n v="2862.3615"/>
    <n v="471.28309999999999"/>
    <n v="0"/>
    <n v="3041.0369145954996"/>
    <n v="504.250796829389"/>
  </r>
  <r>
    <s v="Regular"/>
    <x v="1"/>
    <x v="2"/>
    <x v="1"/>
    <x v="0"/>
    <x v="0"/>
    <x v="0"/>
    <x v="2"/>
    <x v="4"/>
    <n v="0"/>
    <n v="0"/>
    <n v="93.572000000000003"/>
    <n v="93.572000000000003"/>
    <n v="93.572000000000003"/>
    <n v="93.572000000000003"/>
    <n v="0"/>
    <x v="1"/>
    <n v="0"/>
    <n v="0"/>
    <n v="12"/>
    <n v="66"/>
    <n v="0"/>
    <n v="1124.7"/>
    <n v="185.18"/>
    <m/>
    <n v="1194.906449742829"/>
    <n v="198.13390838089941"/>
    <n v="0"/>
    <n v="105240.4284"/>
    <n v="17327.662960000001"/>
    <n v="0"/>
    <n v="111809.78631533599"/>
    <n v="18539.78607501752"/>
  </r>
  <r>
    <s v="Sistema de Compensação"/>
    <x v="1"/>
    <x v="2"/>
    <x v="1"/>
    <x v="0"/>
    <x v="0"/>
    <x v="0"/>
    <x v="2"/>
    <x v="4"/>
    <n v="0"/>
    <n v="0"/>
    <n v="2.6309999999999998"/>
    <n v="2.6309999999999998"/>
    <n v="2.6309999999999998"/>
    <n v="2.6309999999999998"/>
    <n v="0"/>
    <x v="1"/>
    <n v="0"/>
    <n v="0"/>
    <n v="12"/>
    <n v="66"/>
    <n v="0"/>
    <n v="1124.7"/>
    <n v="185.18"/>
    <m/>
    <n v="1194.906449742829"/>
    <n v="198.13390838089941"/>
    <n v="0"/>
    <n v="2959.0857000000001"/>
    <n v="487.20857999999998"/>
    <n v="0"/>
    <n v="3143.7988692733829"/>
    <n v="521.29031295014636"/>
  </r>
  <r>
    <s v="Regular"/>
    <x v="1"/>
    <x v="2"/>
    <x v="1"/>
    <x v="0"/>
    <x v="0"/>
    <x v="0"/>
    <x v="2"/>
    <x v="5"/>
    <n v="0"/>
    <n v="0"/>
    <n v="157.58600000000001"/>
    <n v="157.58600000000001"/>
    <n v="157.58600000000001"/>
    <n v="157.58600000000001"/>
    <n v="0"/>
    <x v="1"/>
    <n v="0"/>
    <n v="0"/>
    <n v="12"/>
    <n v="66"/>
    <n v="0"/>
    <n v="1124.7"/>
    <n v="185.18"/>
    <m/>
    <n v="1194.906449742829"/>
    <n v="198.13390838089941"/>
    <n v="0"/>
    <n v="177236.97420000003"/>
    <n v="29181.775480000004"/>
    <n v="0"/>
    <n v="188300.52778917347"/>
    <n v="31223.130086112418"/>
  </r>
  <r>
    <s v="Regular"/>
    <x v="1"/>
    <x v="2"/>
    <x v="1"/>
    <x v="0"/>
    <x v="0"/>
    <x v="0"/>
    <x v="2"/>
    <x v="6"/>
    <n v="0"/>
    <n v="0"/>
    <n v="80.748999999999995"/>
    <n v="80.748999999999995"/>
    <n v="80.748999999999995"/>
    <n v="80.748999999999995"/>
    <n v="0"/>
    <x v="1"/>
    <n v="0"/>
    <n v="0"/>
    <n v="12"/>
    <n v="66"/>
    <n v="0"/>
    <n v="1124.7"/>
    <n v="185.18"/>
    <m/>
    <n v="1194.906449742829"/>
    <n v="198.13390838089941"/>
    <n v="0"/>
    <n v="90818.400299999994"/>
    <n v="14953.099819999999"/>
    <n v="0"/>
    <n v="96487.500910283692"/>
    <n v="15999.114967849246"/>
  </r>
  <r>
    <s v="Sistema de Compensação"/>
    <x v="1"/>
    <x v="2"/>
    <x v="1"/>
    <x v="0"/>
    <x v="0"/>
    <x v="0"/>
    <x v="2"/>
    <x v="6"/>
    <n v="0"/>
    <n v="0"/>
    <n v="4.4880000000000004"/>
    <n v="4.4880000000000004"/>
    <n v="4.4880000000000004"/>
    <n v="4.4880000000000004"/>
    <n v="0"/>
    <x v="1"/>
    <n v="0"/>
    <n v="0"/>
    <n v="12"/>
    <n v="66"/>
    <n v="0"/>
    <n v="1124.7"/>
    <n v="185.18"/>
    <m/>
    <n v="1194.906449742829"/>
    <n v="198.13390838089941"/>
    <n v="0"/>
    <n v="5047.6536000000006"/>
    <n v="831.08784000000014"/>
    <n v="0"/>
    <n v="5362.7401464458171"/>
    <n v="889.22498081347669"/>
  </r>
  <r>
    <s v="Regular"/>
    <x v="1"/>
    <x v="2"/>
    <x v="1"/>
    <x v="0"/>
    <x v="0"/>
    <x v="0"/>
    <x v="2"/>
    <x v="7"/>
    <n v="0"/>
    <n v="0"/>
    <n v="119.126"/>
    <n v="119.126"/>
    <n v="119.126"/>
    <n v="119.126"/>
    <n v="0"/>
    <x v="1"/>
    <n v="0"/>
    <n v="0"/>
    <n v="12"/>
    <n v="66"/>
    <n v="0"/>
    <n v="1124.7"/>
    <n v="185.18"/>
    <m/>
    <n v="1194.906449742829"/>
    <n v="198.13390838089941"/>
    <n v="0"/>
    <n v="133981.0122"/>
    <n v="22059.752680000001"/>
    <n v="0"/>
    <n v="142344.42573206424"/>
    <n v="23602.899969783026"/>
  </r>
  <r>
    <s v="Refaturamento - Regular"/>
    <x v="1"/>
    <x v="2"/>
    <x v="1"/>
    <x v="0"/>
    <x v="0"/>
    <x v="0"/>
    <x v="2"/>
    <x v="7"/>
    <n v="0"/>
    <n v="0"/>
    <n v="-0.34"/>
    <n v="-0.34"/>
    <n v="-0.34"/>
    <n v="-0.34"/>
    <n v="0"/>
    <x v="1"/>
    <n v="0"/>
    <n v="0"/>
    <n v="12"/>
    <n v="66"/>
    <n v="0"/>
    <n v="1124.7"/>
    <n v="185.18"/>
    <m/>
    <n v="1194.906449742829"/>
    <n v="198.13390838089941"/>
    <n v="0"/>
    <n v="-382.39800000000002"/>
    <n v="-62.961200000000005"/>
    <n v="0"/>
    <n v="-406.26819291256186"/>
    <n v="-67.365528849505807"/>
  </r>
  <r>
    <s v="Sistema de Compensação"/>
    <x v="1"/>
    <x v="2"/>
    <x v="1"/>
    <x v="0"/>
    <x v="0"/>
    <x v="0"/>
    <x v="2"/>
    <x v="7"/>
    <n v="0"/>
    <n v="0"/>
    <n v="8.7899999999999991"/>
    <n v="8.7899999999999991"/>
    <n v="8.7899999999999991"/>
    <n v="8.7899999999999991"/>
    <n v="0"/>
    <x v="1"/>
    <n v="0"/>
    <n v="0"/>
    <n v="12"/>
    <n v="66"/>
    <n v="0"/>
    <n v="1124.7"/>
    <n v="185.18"/>
    <m/>
    <n v="1194.906449742829"/>
    <n v="198.13390838089941"/>
    <n v="0"/>
    <n v="9886.1129999999994"/>
    <n v="1627.7321999999999"/>
    <n v="0"/>
    <n v="10503.227693239465"/>
    <n v="1741.5970546681058"/>
  </r>
  <r>
    <s v="Regular"/>
    <x v="1"/>
    <x v="2"/>
    <x v="1"/>
    <x v="0"/>
    <x v="0"/>
    <x v="0"/>
    <x v="2"/>
    <x v="8"/>
    <n v="0"/>
    <n v="0"/>
    <n v="137.07599999999999"/>
    <n v="137.07599999999999"/>
    <n v="137.07599999999999"/>
    <n v="137.07599999999999"/>
    <n v="0"/>
    <x v="1"/>
    <n v="0"/>
    <n v="0"/>
    <n v="12"/>
    <n v="66"/>
    <n v="0"/>
    <n v="1124.7"/>
    <n v="185.18"/>
    <m/>
    <n v="1194.906449742829"/>
    <n v="198.13390838089941"/>
    <n v="0"/>
    <n v="154169.37719999999"/>
    <n v="25383.733680000001"/>
    <n v="0"/>
    <n v="163792.99650494801"/>
    <n v="27159.403625220166"/>
  </r>
  <r>
    <s v="Refaturamento - Regular"/>
    <x v="1"/>
    <x v="2"/>
    <x v="1"/>
    <x v="0"/>
    <x v="0"/>
    <x v="0"/>
    <x v="2"/>
    <x v="8"/>
    <n v="0"/>
    <n v="0"/>
    <n v="-0.66100000000000003"/>
    <n v="-0.66100000000000003"/>
    <n v="-0.66100000000000003"/>
    <n v="-0.66100000000000003"/>
    <n v="0"/>
    <x v="1"/>
    <n v="0"/>
    <n v="0"/>
    <n v="12"/>
    <n v="66"/>
    <n v="0"/>
    <n v="1124.7"/>
    <n v="185.18"/>
    <m/>
    <n v="1194.906449742829"/>
    <n v="198.13390838089941"/>
    <n v="0"/>
    <n v="-743.4267000000001"/>
    <n v="-122.40398"/>
    <n v="0"/>
    <n v="-789.83316328001001"/>
    <n v="-130.96651343977453"/>
  </r>
  <r>
    <s v="Sistema de Compensação"/>
    <x v="1"/>
    <x v="2"/>
    <x v="1"/>
    <x v="0"/>
    <x v="0"/>
    <x v="0"/>
    <x v="2"/>
    <x v="8"/>
    <n v="0"/>
    <n v="0"/>
    <n v="10.946"/>
    <n v="10.946"/>
    <n v="10.946"/>
    <n v="10.946"/>
    <n v="0"/>
    <x v="1"/>
    <n v="0"/>
    <n v="0"/>
    <n v="12"/>
    <n v="66"/>
    <n v="0"/>
    <n v="1124.7"/>
    <n v="185.18"/>
    <m/>
    <n v="1194.906449742829"/>
    <n v="198.13390838089941"/>
    <n v="0"/>
    <n v="12310.966200000001"/>
    <n v="2026.98028"/>
    <n v="0"/>
    <n v="13079.445998885005"/>
    <n v="2168.773761137325"/>
  </r>
  <r>
    <s v="Regular"/>
    <x v="1"/>
    <x v="2"/>
    <x v="1"/>
    <x v="0"/>
    <x v="0"/>
    <x v="0"/>
    <x v="2"/>
    <x v="9"/>
    <n v="0"/>
    <n v="0"/>
    <n v="181.124"/>
    <n v="181.124"/>
    <n v="181.124"/>
    <n v="181.124"/>
    <n v="0"/>
    <x v="1"/>
    <n v="0"/>
    <n v="0"/>
    <n v="12"/>
    <n v="66"/>
    <n v="0"/>
    <n v="1124.7"/>
    <n v="185.18"/>
    <m/>
    <n v="1194.906449742829"/>
    <n v="198.13390838089941"/>
    <n v="0"/>
    <n v="203710.16279999999"/>
    <n v="33540.54232"/>
    <n v="0"/>
    <n v="216426.23580322016"/>
    <n v="35886.806021582022"/>
  </r>
  <r>
    <s v="Refaturamento - Regular"/>
    <x v="1"/>
    <x v="2"/>
    <x v="1"/>
    <x v="0"/>
    <x v="0"/>
    <x v="0"/>
    <x v="2"/>
    <x v="9"/>
    <n v="0"/>
    <n v="0"/>
    <n v="-14.768000000000001"/>
    <n v="-14.768000000000001"/>
    <n v="-14.768000000000001"/>
    <n v="-14.768000000000001"/>
    <n v="0"/>
    <x v="1"/>
    <n v="0"/>
    <n v="0"/>
    <n v="12"/>
    <n v="66"/>
    <n v="0"/>
    <n v="1124.7"/>
    <n v="185.18"/>
    <m/>
    <n v="1194.906449742829"/>
    <n v="198.13390838089941"/>
    <n v="0"/>
    <n v="-16609.569600000003"/>
    <n v="-2734.7382400000001"/>
    <n v="0"/>
    <n v="-17646.378449802098"/>
    <n v="-2926.0415589691229"/>
  </r>
  <r>
    <s v="Sistema de Compensação"/>
    <x v="1"/>
    <x v="2"/>
    <x v="1"/>
    <x v="0"/>
    <x v="0"/>
    <x v="0"/>
    <x v="2"/>
    <x v="9"/>
    <n v="0"/>
    <n v="0"/>
    <n v="24.75"/>
    <n v="24.75"/>
    <n v="24.75"/>
    <n v="24.75"/>
    <n v="0"/>
    <x v="1"/>
    <n v="0"/>
    <n v="0"/>
    <n v="12"/>
    <n v="66"/>
    <n v="0"/>
    <n v="1124.7"/>
    <n v="185.18"/>
    <m/>
    <n v="1194.906449742829"/>
    <n v="198.13390838089941"/>
    <n v="0"/>
    <n v="27836.325000000001"/>
    <n v="4583.2049999999999"/>
    <n v="0"/>
    <n v="29573.934631135016"/>
    <n v="4903.8142324272603"/>
  </r>
  <r>
    <s v="Regular"/>
    <x v="1"/>
    <x v="2"/>
    <x v="1"/>
    <x v="0"/>
    <x v="0"/>
    <x v="0"/>
    <x v="2"/>
    <x v="10"/>
    <n v="0"/>
    <n v="0"/>
    <n v="187.631"/>
    <n v="187.631"/>
    <n v="187.631"/>
    <n v="187.631"/>
    <n v="0"/>
    <x v="1"/>
    <n v="0"/>
    <n v="0"/>
    <n v="12"/>
    <n v="66"/>
    <n v="0"/>
    <n v="1124.7"/>
    <n v="185.18"/>
    <m/>
    <n v="1194.906449742829"/>
    <n v="198.13390838089941"/>
    <n v="0"/>
    <n v="211028.5857"/>
    <n v="34745.508580000002"/>
    <n v="0"/>
    <n v="224201.49207169673"/>
    <n v="37176.063363416535"/>
  </r>
  <r>
    <s v="Refaturamento - Regular"/>
    <x v="1"/>
    <x v="2"/>
    <x v="1"/>
    <x v="0"/>
    <x v="0"/>
    <x v="0"/>
    <x v="2"/>
    <x v="10"/>
    <n v="0"/>
    <n v="0"/>
    <n v="-1.6659999999999999"/>
    <n v="-1.6659999999999999"/>
    <n v="-1.6659999999999999"/>
    <n v="-1.6659999999999999"/>
    <n v="0"/>
    <x v="1"/>
    <n v="0"/>
    <n v="0"/>
    <n v="12"/>
    <n v="66"/>
    <n v="0"/>
    <n v="1124.7"/>
    <n v="185.18"/>
    <m/>
    <n v="1194.906449742829"/>
    <n v="198.13390838089941"/>
    <n v="0"/>
    <n v="-1873.7501999999999"/>
    <n v="-308.50988000000001"/>
    <n v="0"/>
    <n v="-1990.714145271553"/>
    <n v="-330.09109136257842"/>
  </r>
  <r>
    <s v="Sistema de Compensação"/>
    <x v="1"/>
    <x v="2"/>
    <x v="1"/>
    <x v="0"/>
    <x v="0"/>
    <x v="0"/>
    <x v="2"/>
    <x v="10"/>
    <n v="0"/>
    <n v="0"/>
    <n v="13.974"/>
    <n v="13.974"/>
    <n v="13.974"/>
    <n v="13.974"/>
    <n v="0"/>
    <x v="1"/>
    <n v="0"/>
    <n v="0"/>
    <n v="12"/>
    <n v="66"/>
    <n v="0"/>
    <n v="1124.7"/>
    <n v="185.18"/>
    <m/>
    <n v="1194.906449742829"/>
    <n v="198.13390838089941"/>
    <n v="0"/>
    <n v="15716.5578"/>
    <n v="2587.70532"/>
    <n v="0"/>
    <n v="16697.622728706294"/>
    <n v="2768.7232357146886"/>
  </r>
  <r>
    <s v="Regular"/>
    <x v="1"/>
    <x v="2"/>
    <x v="1"/>
    <x v="0"/>
    <x v="0"/>
    <x v="0"/>
    <x v="2"/>
    <x v="11"/>
    <n v="0"/>
    <n v="0"/>
    <n v="185.31"/>
    <n v="185.31"/>
    <n v="185.31"/>
    <n v="185.31"/>
    <n v="0"/>
    <x v="1"/>
    <n v="0"/>
    <n v="0"/>
    <n v="12"/>
    <n v="66"/>
    <n v="0"/>
    <n v="1124.7"/>
    <n v="185.18"/>
    <m/>
    <n v="1194.906449742829"/>
    <n v="198.13390838089941"/>
    <n v="0"/>
    <n v="208418.15700000001"/>
    <n v="34315.705800000003"/>
    <n v="0"/>
    <n v="221428.11420184362"/>
    <n v="36716.194562064469"/>
  </r>
  <r>
    <s v="Refaturamento - Regular"/>
    <x v="1"/>
    <x v="2"/>
    <x v="1"/>
    <x v="0"/>
    <x v="0"/>
    <x v="0"/>
    <x v="2"/>
    <x v="11"/>
    <n v="0"/>
    <n v="0"/>
    <n v="-7.5149999999999997"/>
    <n v="-7.5149999999999997"/>
    <n v="-7.5149999999999997"/>
    <n v="-7.5149999999999997"/>
    <n v="0"/>
    <x v="1"/>
    <n v="0"/>
    <n v="0"/>
    <n v="12"/>
    <n v="66"/>
    <n v="0"/>
    <n v="1124.7"/>
    <n v="185.18"/>
    <m/>
    <n v="1194.906449742829"/>
    <n v="198.13390838089941"/>
    <n v="0"/>
    <n v="-8452.1204999999991"/>
    <n v="-1391.6277"/>
    <n v="0"/>
    <n v="-8979.7219698173594"/>
    <n v="-1488.9763214824591"/>
  </r>
  <r>
    <s v="Sistema de Compensação"/>
    <x v="1"/>
    <x v="2"/>
    <x v="1"/>
    <x v="0"/>
    <x v="0"/>
    <x v="0"/>
    <x v="2"/>
    <x v="11"/>
    <n v="0"/>
    <n v="0"/>
    <n v="25.175999999999998"/>
    <n v="25.175999999999998"/>
    <n v="25.175999999999998"/>
    <n v="25.175999999999998"/>
    <n v="0"/>
    <x v="1"/>
    <n v="0"/>
    <n v="0"/>
    <n v="12"/>
    <n v="66"/>
    <n v="0"/>
    <n v="1124.7"/>
    <n v="185.18"/>
    <m/>
    <n v="1194.906449742829"/>
    <n v="198.13390838089941"/>
    <n v="0"/>
    <n v="28315.447199999999"/>
    <n v="4662.0916799999995"/>
    <n v="0"/>
    <n v="30082.964778725458"/>
    <n v="4988.219277397523"/>
  </r>
  <r>
    <s v="Regular"/>
    <x v="1"/>
    <x v="2"/>
    <x v="3"/>
    <x v="0"/>
    <x v="0"/>
    <x v="0"/>
    <x v="0"/>
    <x v="0"/>
    <n v="0"/>
    <n v="0"/>
    <n v="30.088000000000001"/>
    <n v="30.088000000000001"/>
    <n v="30.088000000000001"/>
    <n v="30.088000000000001"/>
    <n v="0"/>
    <x v="1"/>
    <n v="0"/>
    <n v="0"/>
    <n v="25"/>
    <n v="59"/>
    <n v="0"/>
    <n v="69.489999999999995"/>
    <n v="185.18"/>
    <m/>
    <n v="92.397536067834494"/>
    <n v="198.13390838089941"/>
    <n v="0"/>
    <n v="2090.8151199999998"/>
    <n v="5571.6958400000003"/>
    <n v="0"/>
    <n v="2780.0570652090041"/>
    <n v="5961.4530353645014"/>
  </r>
  <r>
    <s v="Regular"/>
    <x v="1"/>
    <x v="2"/>
    <x v="3"/>
    <x v="0"/>
    <x v="0"/>
    <x v="0"/>
    <x v="0"/>
    <x v="1"/>
    <n v="0"/>
    <n v="0"/>
    <n v="33.709000000000003"/>
    <n v="33.709000000000003"/>
    <n v="33.709000000000003"/>
    <n v="33.709000000000003"/>
    <n v="0"/>
    <x v="1"/>
    <n v="0"/>
    <n v="0"/>
    <n v="25"/>
    <n v="59"/>
    <n v="0"/>
    <n v="69.489999999999995"/>
    <n v="185.18"/>
    <m/>
    <n v="92.397536067834494"/>
    <n v="198.13390838089941"/>
    <n v="0"/>
    <n v="2342.4384100000002"/>
    <n v="6242.2326200000007"/>
    <n v="0"/>
    <n v="3114.6285433106332"/>
    <n v="6678.8959176117387"/>
  </r>
  <r>
    <s v="Regular"/>
    <x v="1"/>
    <x v="2"/>
    <x v="3"/>
    <x v="0"/>
    <x v="0"/>
    <x v="0"/>
    <x v="0"/>
    <x v="2"/>
    <n v="0"/>
    <n v="0"/>
    <n v="32.725000000000001"/>
    <n v="32.725000000000001"/>
    <n v="32.725000000000001"/>
    <n v="32.725000000000001"/>
    <n v="0"/>
    <x v="1"/>
    <n v="0"/>
    <n v="0"/>
    <n v="25"/>
    <n v="59"/>
    <n v="0"/>
    <n v="69.489999999999995"/>
    <n v="185.18"/>
    <m/>
    <n v="92.397536067834494"/>
    <n v="198.13390838089941"/>
    <n v="0"/>
    <n v="2274.06025"/>
    <n v="6060.0155000000004"/>
    <n v="0"/>
    <n v="3023.7093678198839"/>
    <n v="6483.9321517649332"/>
  </r>
  <r>
    <s v="Regular"/>
    <x v="1"/>
    <x v="2"/>
    <x v="3"/>
    <x v="0"/>
    <x v="0"/>
    <x v="0"/>
    <x v="0"/>
    <x v="3"/>
    <n v="0"/>
    <n v="0"/>
    <n v="30.803999999999998"/>
    <n v="30.803999999999998"/>
    <n v="30.803999999999998"/>
    <n v="30.803999999999998"/>
    <n v="0"/>
    <x v="1"/>
    <n v="0"/>
    <n v="0"/>
    <n v="25"/>
    <n v="59"/>
    <n v="0"/>
    <n v="69.489999999999995"/>
    <n v="185.18"/>
    <m/>
    <n v="92.397536067834494"/>
    <n v="198.13390838089941"/>
    <n v="0"/>
    <n v="2140.5699599999998"/>
    <n v="5704.2847199999997"/>
    <n v="0"/>
    <n v="2846.2137010335737"/>
    <n v="6103.3169137652249"/>
  </r>
  <r>
    <s v="Regular"/>
    <x v="1"/>
    <x v="2"/>
    <x v="3"/>
    <x v="0"/>
    <x v="0"/>
    <x v="0"/>
    <x v="0"/>
    <x v="4"/>
    <n v="0"/>
    <n v="0"/>
    <n v="72.063999999999993"/>
    <n v="72.063999999999993"/>
    <n v="72.063999999999993"/>
    <n v="72.063999999999993"/>
    <n v="0"/>
    <x v="1"/>
    <n v="0"/>
    <n v="0"/>
    <n v="25"/>
    <n v="59"/>
    <n v="0"/>
    <n v="69.489999999999995"/>
    <n v="185.18"/>
    <m/>
    <n v="92.397536067834494"/>
    <n v="198.13390838089941"/>
    <n v="0"/>
    <n v="5007.727359999999"/>
    <n v="13344.811519999999"/>
    <n v="0"/>
    <n v="6658.5360391924241"/>
    <n v="14278.321973561135"/>
  </r>
  <r>
    <s v="Refaturamento - Regular"/>
    <x v="1"/>
    <x v="2"/>
    <x v="3"/>
    <x v="0"/>
    <x v="0"/>
    <x v="0"/>
    <x v="0"/>
    <x v="4"/>
    <n v="0"/>
    <n v="0"/>
    <n v="-39.256999999999998"/>
    <n v="-39.256999999999998"/>
    <n v="-39.256999999999998"/>
    <n v="-39.256999999999998"/>
    <n v="0"/>
    <x v="1"/>
    <n v="0"/>
    <n v="0"/>
    <n v="25"/>
    <n v="59"/>
    <n v="0"/>
    <n v="69.489999999999995"/>
    <n v="185.18"/>
    <m/>
    <n v="92.397536067834494"/>
    <n v="198.13390838089941"/>
    <n v="0"/>
    <n v="-2727.9689299999995"/>
    <n v="-7269.6112599999997"/>
    <n v="0"/>
    <n v="-3627.2500734149785"/>
    <n v="-7778.1428413089679"/>
  </r>
  <r>
    <s v="Regular"/>
    <x v="1"/>
    <x v="2"/>
    <x v="3"/>
    <x v="0"/>
    <x v="0"/>
    <x v="0"/>
    <x v="0"/>
    <x v="5"/>
    <n v="0"/>
    <n v="0"/>
    <n v="34.274999999999999"/>
    <n v="34.274999999999999"/>
    <n v="34.274999999999999"/>
    <n v="34.274999999999999"/>
    <n v="0"/>
    <x v="1"/>
    <n v="0"/>
    <n v="0"/>
    <n v="25"/>
    <n v="59"/>
    <n v="0"/>
    <n v="69.489999999999995"/>
    <n v="185.18"/>
    <m/>
    <n v="92.397536067834494"/>
    <n v="198.13390838089941"/>
    <n v="0"/>
    <n v="2381.7697499999999"/>
    <n v="6347.0445"/>
    <n v="0"/>
    <n v="3166.9255487250271"/>
    <n v="6791.0397097553268"/>
  </r>
  <r>
    <s v="Regular"/>
    <x v="1"/>
    <x v="2"/>
    <x v="3"/>
    <x v="0"/>
    <x v="0"/>
    <x v="0"/>
    <x v="0"/>
    <x v="6"/>
    <n v="0"/>
    <n v="0"/>
    <n v="38.162999999999997"/>
    <n v="38.162999999999997"/>
    <n v="38.162999999999997"/>
    <n v="38.162999999999997"/>
    <n v="0"/>
    <x v="1"/>
    <n v="0"/>
    <n v="0"/>
    <n v="25"/>
    <n v="59"/>
    <n v="0"/>
    <n v="69.489999999999995"/>
    <n v="185.18"/>
    <m/>
    <n v="92.397536067834494"/>
    <n v="198.13390838089941"/>
    <n v="0"/>
    <n v="2651.9468699999998"/>
    <n v="7067.0243399999999"/>
    <n v="0"/>
    <n v="3526.1671689567675"/>
    <n v="7561.3843455402639"/>
  </r>
  <r>
    <s v="Regular"/>
    <x v="1"/>
    <x v="2"/>
    <x v="3"/>
    <x v="0"/>
    <x v="0"/>
    <x v="0"/>
    <x v="0"/>
    <x v="7"/>
    <n v="0"/>
    <n v="0"/>
    <n v="90.84"/>
    <n v="90.84"/>
    <n v="90.84"/>
    <n v="90.84"/>
    <n v="0"/>
    <x v="1"/>
    <n v="0"/>
    <n v="0"/>
    <n v="25"/>
    <n v="59"/>
    <n v="0"/>
    <n v="69.489999999999995"/>
    <n v="185.18"/>
    <m/>
    <n v="92.397536067834494"/>
    <n v="198.13390838089941"/>
    <n v="0"/>
    <n v="6312.4715999999999"/>
    <n v="16821.751200000002"/>
    <n v="0"/>
    <n v="8393.3921764020852"/>
    <n v="17998.484237320903"/>
  </r>
  <r>
    <s v="Refaturamento - Regular"/>
    <x v="1"/>
    <x v="2"/>
    <x v="3"/>
    <x v="0"/>
    <x v="0"/>
    <x v="0"/>
    <x v="0"/>
    <x v="7"/>
    <n v="0"/>
    <n v="0"/>
    <n v="-49.624000000000002"/>
    <n v="-49.624000000000002"/>
    <n v="-49.624000000000002"/>
    <n v="-49.624000000000002"/>
    <n v="0"/>
    <x v="1"/>
    <n v="0"/>
    <n v="0"/>
    <n v="25"/>
    <n v="59"/>
    <n v="0"/>
    <n v="69.489999999999995"/>
    <n v="185.18"/>
    <m/>
    <n v="92.397536067834494"/>
    <n v="198.13390838089941"/>
    <n v="0"/>
    <n v="-3448.37176"/>
    <n v="-9189.3723200000004"/>
    <n v="0"/>
    <n v="-4585.1353298302192"/>
    <n v="-9832.1970694937536"/>
  </r>
  <r>
    <s v="Regular"/>
    <x v="1"/>
    <x v="2"/>
    <x v="3"/>
    <x v="0"/>
    <x v="0"/>
    <x v="0"/>
    <x v="0"/>
    <x v="8"/>
    <n v="0"/>
    <n v="0"/>
    <n v="79.659000000000006"/>
    <n v="79.659000000000006"/>
    <n v="79.659000000000006"/>
    <n v="79.659000000000006"/>
    <n v="0"/>
    <x v="1"/>
    <n v="0"/>
    <n v="0"/>
    <n v="25"/>
    <n v="59"/>
    <n v="0"/>
    <n v="69.489999999999995"/>
    <n v="185.18"/>
    <m/>
    <n v="92.397536067834494"/>
    <n v="198.13390838089941"/>
    <n v="0"/>
    <n v="5535.5039100000004"/>
    <n v="14751.253620000001"/>
    <n v="0"/>
    <n v="7360.2953256276287"/>
    <n v="15783.149007714068"/>
  </r>
  <r>
    <s v="Refaturamento - Regular"/>
    <x v="1"/>
    <x v="2"/>
    <x v="3"/>
    <x v="0"/>
    <x v="0"/>
    <x v="0"/>
    <x v="0"/>
    <x v="8"/>
    <n v="0"/>
    <n v="0"/>
    <n v="-43.320999999999998"/>
    <n v="-43.320999999999998"/>
    <n v="-43.320999999999998"/>
    <n v="-43.320999999999998"/>
    <n v="0"/>
    <x v="1"/>
    <n v="0"/>
    <n v="0"/>
    <n v="25"/>
    <n v="59"/>
    <n v="0"/>
    <n v="69.489999999999995"/>
    <n v="185.18"/>
    <m/>
    <n v="92.397536067834494"/>
    <n v="198.13390838089941"/>
    <n v="0"/>
    <n v="-3010.3762899999997"/>
    <n v="-8022.1827800000001"/>
    <n v="0"/>
    <n v="-4002.7536599946579"/>
    <n v="-8583.3590449689436"/>
  </r>
  <r>
    <s v="Regular"/>
    <x v="1"/>
    <x v="2"/>
    <x v="3"/>
    <x v="0"/>
    <x v="0"/>
    <x v="0"/>
    <x v="0"/>
    <x v="9"/>
    <n v="0"/>
    <n v="0"/>
    <n v="38.289000000000001"/>
    <n v="38.289000000000001"/>
    <n v="38.289000000000001"/>
    <n v="38.289000000000001"/>
    <n v="0"/>
    <x v="1"/>
    <n v="0"/>
    <n v="0"/>
    <n v="25"/>
    <n v="59"/>
    <n v="0"/>
    <n v="69.489999999999995"/>
    <n v="185.18"/>
    <m/>
    <n v="92.397536067834494"/>
    <n v="198.13390838089941"/>
    <n v="0"/>
    <n v="2660.7026099999998"/>
    <n v="7090.3570200000004"/>
    <n v="0"/>
    <n v="3537.8092585013151"/>
    <n v="7586.3492179962577"/>
  </r>
  <r>
    <s v="Regular"/>
    <x v="1"/>
    <x v="2"/>
    <x v="3"/>
    <x v="0"/>
    <x v="0"/>
    <x v="0"/>
    <x v="0"/>
    <x v="10"/>
    <n v="0"/>
    <n v="0"/>
    <n v="31.364999999999998"/>
    <n v="31.364999999999998"/>
    <n v="31.364999999999998"/>
    <n v="31.364999999999998"/>
    <n v="0"/>
    <x v="1"/>
    <n v="0"/>
    <n v="0"/>
    <n v="25"/>
    <n v="59"/>
    <n v="0"/>
    <n v="69.489999999999995"/>
    <n v="185.18"/>
    <m/>
    <n v="92.397536067834494"/>
    <n v="198.13390838089941"/>
    <n v="0"/>
    <n v="2179.5538499999998"/>
    <n v="5808.1706999999997"/>
    <n v="0"/>
    <n v="2898.0487187676285"/>
    <n v="6214.4700363669099"/>
  </r>
  <r>
    <s v="Regular"/>
    <x v="1"/>
    <x v="2"/>
    <x v="3"/>
    <x v="0"/>
    <x v="0"/>
    <x v="0"/>
    <x v="0"/>
    <x v="11"/>
    <n v="0"/>
    <n v="0"/>
    <n v="31.111000000000001"/>
    <n v="31.111000000000001"/>
    <n v="31.111000000000001"/>
    <n v="31.111000000000001"/>
    <n v="0"/>
    <x v="1"/>
    <n v="0"/>
    <n v="0"/>
    <n v="25"/>
    <n v="59"/>
    <n v="0"/>
    <n v="69.489999999999995"/>
    <n v="185.18"/>
    <m/>
    <n v="92.397536067834494"/>
    <n v="198.13390838089941"/>
    <n v="0"/>
    <n v="2161.9033899999999"/>
    <n v="5761.1349800000007"/>
    <n v="0"/>
    <n v="2874.5797446063989"/>
    <n v="6164.1440236381613"/>
  </r>
  <r>
    <s v="Regular"/>
    <x v="1"/>
    <x v="2"/>
    <x v="3"/>
    <x v="0"/>
    <x v="0"/>
    <x v="0"/>
    <x v="1"/>
    <x v="0"/>
    <n v="155"/>
    <n v="155"/>
    <n v="0"/>
    <n v="0"/>
    <n v="0"/>
    <n v="0"/>
    <n v="1"/>
    <x v="1"/>
    <n v="0"/>
    <n v="18"/>
    <n v="0"/>
    <n v="0"/>
    <n v="26.17"/>
    <n v="0"/>
    <n v="0"/>
    <n v="27.746237112155811"/>
    <m/>
    <m/>
    <n v="4056.3500000000004"/>
    <n v="0"/>
    <n v="0"/>
    <n v="4300.6667523841506"/>
    <n v="0"/>
    <n v="0"/>
  </r>
  <r>
    <s v="Regular"/>
    <x v="1"/>
    <x v="2"/>
    <x v="3"/>
    <x v="0"/>
    <x v="0"/>
    <x v="0"/>
    <x v="1"/>
    <x v="1"/>
    <n v="155"/>
    <n v="155"/>
    <n v="0"/>
    <n v="0"/>
    <n v="0"/>
    <n v="0"/>
    <n v="1"/>
    <x v="1"/>
    <n v="0"/>
    <n v="18"/>
    <n v="0"/>
    <n v="0"/>
    <n v="26.17"/>
    <n v="0"/>
    <n v="0"/>
    <n v="27.746237112155811"/>
    <m/>
    <m/>
    <n v="4056.3500000000004"/>
    <n v="0"/>
    <n v="0"/>
    <n v="4300.6667523841506"/>
    <n v="0"/>
    <n v="0"/>
  </r>
  <r>
    <s v="Regular"/>
    <x v="1"/>
    <x v="2"/>
    <x v="3"/>
    <x v="0"/>
    <x v="0"/>
    <x v="0"/>
    <x v="1"/>
    <x v="2"/>
    <n v="155"/>
    <n v="155"/>
    <n v="0"/>
    <n v="0"/>
    <n v="0"/>
    <n v="0"/>
    <n v="1"/>
    <x v="1"/>
    <n v="0"/>
    <n v="18"/>
    <n v="0"/>
    <n v="0"/>
    <n v="26.17"/>
    <n v="0"/>
    <n v="0"/>
    <n v="27.746237112155811"/>
    <m/>
    <m/>
    <n v="4056.3500000000004"/>
    <n v="0"/>
    <n v="0"/>
    <n v="4300.6667523841506"/>
    <n v="0"/>
    <n v="0"/>
  </r>
  <r>
    <s v="Regular"/>
    <x v="1"/>
    <x v="2"/>
    <x v="3"/>
    <x v="0"/>
    <x v="0"/>
    <x v="0"/>
    <x v="1"/>
    <x v="3"/>
    <n v="155"/>
    <n v="155"/>
    <n v="0"/>
    <n v="0"/>
    <n v="0"/>
    <n v="0"/>
    <n v="1"/>
    <x v="1"/>
    <n v="0"/>
    <n v="18"/>
    <n v="0"/>
    <n v="0"/>
    <n v="26.17"/>
    <n v="0"/>
    <n v="0"/>
    <n v="27.746237112155811"/>
    <m/>
    <m/>
    <n v="4056.3500000000004"/>
    <n v="0"/>
    <n v="0"/>
    <n v="4300.6667523841506"/>
    <n v="0"/>
    <n v="0"/>
  </r>
  <r>
    <s v="Regular"/>
    <x v="1"/>
    <x v="2"/>
    <x v="3"/>
    <x v="0"/>
    <x v="0"/>
    <x v="0"/>
    <x v="1"/>
    <x v="4"/>
    <n v="310"/>
    <n v="310"/>
    <n v="0"/>
    <n v="0"/>
    <n v="0"/>
    <n v="0"/>
    <n v="2"/>
    <x v="1"/>
    <n v="0"/>
    <n v="18"/>
    <n v="0"/>
    <n v="0"/>
    <n v="26.17"/>
    <n v="0"/>
    <n v="0"/>
    <n v="27.746237112155811"/>
    <m/>
    <m/>
    <n v="8112.7000000000007"/>
    <n v="0"/>
    <n v="0"/>
    <n v="8601.3335047683013"/>
    <n v="0"/>
    <n v="0"/>
  </r>
  <r>
    <s v="Refaturamento - Regular"/>
    <x v="1"/>
    <x v="2"/>
    <x v="3"/>
    <x v="0"/>
    <x v="0"/>
    <x v="0"/>
    <x v="1"/>
    <x v="4"/>
    <n v="-155"/>
    <n v="-155"/>
    <n v="0"/>
    <n v="0"/>
    <n v="0"/>
    <n v="0"/>
    <n v="-1"/>
    <x v="1"/>
    <n v="0"/>
    <n v="18"/>
    <n v="0"/>
    <n v="0"/>
    <n v="26.17"/>
    <n v="0"/>
    <n v="0"/>
    <n v="27.746237112155811"/>
    <m/>
    <m/>
    <n v="-4056.3500000000004"/>
    <n v="0"/>
    <n v="0"/>
    <n v="-4300.6667523841506"/>
    <n v="0"/>
    <n v="0"/>
  </r>
  <r>
    <s v="Regular"/>
    <x v="1"/>
    <x v="2"/>
    <x v="3"/>
    <x v="0"/>
    <x v="0"/>
    <x v="0"/>
    <x v="1"/>
    <x v="5"/>
    <n v="155"/>
    <n v="155"/>
    <n v="0"/>
    <n v="0"/>
    <n v="0"/>
    <n v="0"/>
    <n v="1"/>
    <x v="1"/>
    <n v="0"/>
    <n v="18"/>
    <n v="0"/>
    <n v="0"/>
    <n v="26.17"/>
    <n v="0"/>
    <n v="0"/>
    <n v="27.746237112155811"/>
    <m/>
    <m/>
    <n v="4056.3500000000004"/>
    <n v="0"/>
    <n v="0"/>
    <n v="4300.6667523841506"/>
    <n v="0"/>
    <n v="0"/>
  </r>
  <r>
    <s v="Regular"/>
    <x v="1"/>
    <x v="2"/>
    <x v="3"/>
    <x v="0"/>
    <x v="0"/>
    <x v="0"/>
    <x v="1"/>
    <x v="6"/>
    <n v="155"/>
    <n v="155"/>
    <n v="0"/>
    <n v="0"/>
    <n v="0"/>
    <n v="0"/>
    <n v="1"/>
    <x v="1"/>
    <n v="0"/>
    <n v="18"/>
    <n v="0"/>
    <n v="0"/>
    <n v="26.17"/>
    <n v="0"/>
    <n v="0"/>
    <n v="27.746237112155811"/>
    <m/>
    <m/>
    <n v="4056.3500000000004"/>
    <n v="0"/>
    <n v="0"/>
    <n v="4300.6667523841506"/>
    <n v="0"/>
    <n v="0"/>
  </r>
  <r>
    <s v="Regular"/>
    <x v="1"/>
    <x v="2"/>
    <x v="3"/>
    <x v="0"/>
    <x v="0"/>
    <x v="0"/>
    <x v="1"/>
    <x v="7"/>
    <n v="310"/>
    <n v="310"/>
    <n v="0"/>
    <n v="0"/>
    <n v="0"/>
    <n v="0"/>
    <n v="2"/>
    <x v="1"/>
    <n v="0"/>
    <n v="18"/>
    <n v="0"/>
    <n v="0"/>
    <n v="26.17"/>
    <n v="0"/>
    <n v="0"/>
    <n v="27.746237112155811"/>
    <m/>
    <m/>
    <n v="8112.7000000000007"/>
    <n v="0"/>
    <n v="0"/>
    <n v="8601.3335047683013"/>
    <n v="0"/>
    <n v="0"/>
  </r>
  <r>
    <s v="Refaturamento - Regular"/>
    <x v="1"/>
    <x v="2"/>
    <x v="3"/>
    <x v="0"/>
    <x v="0"/>
    <x v="0"/>
    <x v="1"/>
    <x v="7"/>
    <n v="-155"/>
    <n v="-155"/>
    <n v="0"/>
    <n v="0"/>
    <n v="0"/>
    <n v="0"/>
    <n v="-1"/>
    <x v="1"/>
    <n v="0"/>
    <n v="18"/>
    <n v="0"/>
    <n v="0"/>
    <n v="26.17"/>
    <n v="0"/>
    <n v="0"/>
    <n v="27.746237112155811"/>
    <m/>
    <m/>
    <n v="-4056.3500000000004"/>
    <n v="0"/>
    <n v="0"/>
    <n v="-4300.6667523841506"/>
    <n v="0"/>
    <n v="0"/>
  </r>
  <r>
    <s v="Regular"/>
    <x v="1"/>
    <x v="2"/>
    <x v="3"/>
    <x v="0"/>
    <x v="0"/>
    <x v="0"/>
    <x v="1"/>
    <x v="8"/>
    <n v="310"/>
    <n v="310"/>
    <n v="0"/>
    <n v="0"/>
    <n v="0"/>
    <n v="0"/>
    <n v="2"/>
    <x v="1"/>
    <n v="0"/>
    <n v="18"/>
    <n v="0"/>
    <n v="0"/>
    <n v="26.17"/>
    <n v="0"/>
    <n v="0"/>
    <n v="27.746237112155811"/>
    <m/>
    <m/>
    <n v="8112.7000000000007"/>
    <n v="0"/>
    <n v="0"/>
    <n v="8601.3335047683013"/>
    <n v="0"/>
    <n v="0"/>
  </r>
  <r>
    <s v="Refaturamento - Regular"/>
    <x v="1"/>
    <x v="2"/>
    <x v="3"/>
    <x v="0"/>
    <x v="0"/>
    <x v="0"/>
    <x v="1"/>
    <x v="8"/>
    <n v="-155"/>
    <n v="-155"/>
    <n v="0"/>
    <n v="0"/>
    <n v="0"/>
    <n v="0"/>
    <n v="-1"/>
    <x v="1"/>
    <n v="0"/>
    <n v="18"/>
    <n v="0"/>
    <n v="0"/>
    <n v="26.17"/>
    <n v="0"/>
    <n v="0"/>
    <n v="27.746237112155811"/>
    <m/>
    <m/>
    <n v="-4056.3500000000004"/>
    <n v="0"/>
    <n v="0"/>
    <n v="-4300.6667523841506"/>
    <n v="0"/>
    <n v="0"/>
  </r>
  <r>
    <s v="Regular"/>
    <x v="1"/>
    <x v="2"/>
    <x v="3"/>
    <x v="0"/>
    <x v="0"/>
    <x v="0"/>
    <x v="1"/>
    <x v="9"/>
    <n v="155"/>
    <n v="155"/>
    <n v="0"/>
    <n v="0"/>
    <n v="0"/>
    <n v="0"/>
    <n v="1"/>
    <x v="1"/>
    <n v="0"/>
    <n v="18"/>
    <n v="0"/>
    <n v="0"/>
    <n v="26.17"/>
    <n v="0"/>
    <n v="0"/>
    <n v="27.746237112155811"/>
    <m/>
    <m/>
    <n v="4056.3500000000004"/>
    <n v="0"/>
    <n v="0"/>
    <n v="4300.6667523841506"/>
    <n v="0"/>
    <n v="0"/>
  </r>
  <r>
    <s v="Regular"/>
    <x v="1"/>
    <x v="2"/>
    <x v="3"/>
    <x v="0"/>
    <x v="0"/>
    <x v="0"/>
    <x v="1"/>
    <x v="10"/>
    <n v="155"/>
    <n v="155"/>
    <n v="0"/>
    <n v="0"/>
    <n v="0"/>
    <n v="0"/>
    <n v="1"/>
    <x v="1"/>
    <n v="0"/>
    <n v="18"/>
    <n v="0"/>
    <n v="0"/>
    <n v="26.17"/>
    <n v="0"/>
    <n v="0"/>
    <n v="27.746237112155811"/>
    <m/>
    <m/>
    <n v="4056.3500000000004"/>
    <n v="0"/>
    <n v="0"/>
    <n v="4300.6667523841506"/>
    <n v="0"/>
    <n v="0"/>
  </r>
  <r>
    <s v="Regular"/>
    <x v="1"/>
    <x v="2"/>
    <x v="3"/>
    <x v="0"/>
    <x v="0"/>
    <x v="0"/>
    <x v="1"/>
    <x v="11"/>
    <n v="155"/>
    <n v="155"/>
    <n v="0"/>
    <n v="0"/>
    <n v="0"/>
    <n v="0"/>
    <n v="1"/>
    <x v="1"/>
    <n v="0"/>
    <n v="18"/>
    <n v="0"/>
    <n v="0"/>
    <n v="26.17"/>
    <n v="0"/>
    <n v="0"/>
    <n v="27.746237112155811"/>
    <m/>
    <m/>
    <n v="4056.3500000000004"/>
    <n v="0"/>
    <n v="0"/>
    <n v="4300.6667523841506"/>
    <n v="0"/>
    <n v="0"/>
  </r>
  <r>
    <s v="Regular"/>
    <x v="1"/>
    <x v="2"/>
    <x v="3"/>
    <x v="0"/>
    <x v="0"/>
    <x v="0"/>
    <x v="2"/>
    <x v="0"/>
    <n v="0"/>
    <n v="0"/>
    <n v="3.391"/>
    <n v="3.391"/>
    <n v="3.391"/>
    <n v="3.391"/>
    <n v="0"/>
    <x v="1"/>
    <n v="0"/>
    <n v="0"/>
    <n v="12"/>
    <n v="66"/>
    <n v="0"/>
    <n v="1124.7"/>
    <n v="185.18"/>
    <m/>
    <n v="1194.906449742829"/>
    <n v="198.13390838089941"/>
    <n v="0"/>
    <n v="3813.8577"/>
    <n v="627.94538"/>
    <n v="0"/>
    <n v="4051.9277710779329"/>
    <n v="671.87208331962995"/>
  </r>
  <r>
    <s v="Regular"/>
    <x v="1"/>
    <x v="2"/>
    <x v="3"/>
    <x v="0"/>
    <x v="0"/>
    <x v="0"/>
    <x v="2"/>
    <x v="1"/>
    <n v="0"/>
    <n v="0"/>
    <n v="3.911"/>
    <n v="3.911"/>
    <n v="3.911"/>
    <n v="3.911"/>
    <n v="0"/>
    <x v="1"/>
    <n v="0"/>
    <n v="0"/>
    <n v="12"/>
    <n v="66"/>
    <n v="0"/>
    <n v="1124.7"/>
    <n v="185.18"/>
    <m/>
    <n v="1194.906449742829"/>
    <n v="198.13390838089941"/>
    <n v="0"/>
    <n v="4398.7017000000005"/>
    <n v="724.23898000000008"/>
    <n v="0"/>
    <n v="4673.2791249442043"/>
    <n v="774.90171567769767"/>
  </r>
  <r>
    <s v="Regular"/>
    <x v="1"/>
    <x v="2"/>
    <x v="3"/>
    <x v="0"/>
    <x v="0"/>
    <x v="0"/>
    <x v="2"/>
    <x v="2"/>
    <n v="0"/>
    <n v="0"/>
    <n v="3.9119999999999999"/>
    <n v="3.9119999999999999"/>
    <n v="3.9119999999999999"/>
    <n v="3.9119999999999999"/>
    <n v="0"/>
    <x v="1"/>
    <n v="0"/>
    <n v="0"/>
    <n v="12"/>
    <n v="66"/>
    <n v="0"/>
    <n v="1124.7"/>
    <n v="185.18"/>
    <m/>
    <n v="1194.906449742829"/>
    <n v="198.13390838089941"/>
    <n v="0"/>
    <n v="4399.8263999999999"/>
    <n v="724.42416000000003"/>
    <n v="0"/>
    <n v="4674.4740313939465"/>
    <n v="775.09984958607845"/>
  </r>
  <r>
    <s v="Regular"/>
    <x v="1"/>
    <x v="2"/>
    <x v="3"/>
    <x v="0"/>
    <x v="0"/>
    <x v="0"/>
    <x v="2"/>
    <x v="3"/>
    <n v="0"/>
    <n v="0"/>
    <n v="3.5720000000000001"/>
    <n v="3.5720000000000001"/>
    <n v="3.5720000000000001"/>
    <n v="3.5720000000000001"/>
    <n v="0"/>
    <x v="1"/>
    <n v="0"/>
    <n v="0"/>
    <n v="12"/>
    <n v="66"/>
    <n v="0"/>
    <n v="1124.7"/>
    <n v="185.18"/>
    <m/>
    <n v="1194.906449742829"/>
    <n v="198.13390838089941"/>
    <n v="0"/>
    <n v="4017.4284000000002"/>
    <n v="661.46296000000007"/>
    <n v="0"/>
    <n v="4268.2058384813854"/>
    <n v="707.73432073657273"/>
  </r>
  <r>
    <s v="Regular"/>
    <x v="1"/>
    <x v="2"/>
    <x v="3"/>
    <x v="0"/>
    <x v="0"/>
    <x v="0"/>
    <x v="2"/>
    <x v="4"/>
    <n v="0"/>
    <n v="0"/>
    <n v="6.9139999999999997"/>
    <n v="6.9139999999999997"/>
    <n v="6.9139999999999997"/>
    <n v="6.9139999999999997"/>
    <n v="0"/>
    <x v="1"/>
    <n v="0"/>
    <n v="0"/>
    <n v="12"/>
    <n v="66"/>
    <n v="0"/>
    <n v="1124.7"/>
    <n v="185.18"/>
    <m/>
    <n v="1194.906449742829"/>
    <n v="198.13390838089941"/>
    <n v="0"/>
    <n v="7776.1758"/>
    <n v="1280.3345199999999"/>
    <n v="0"/>
    <n v="8261.5831935219194"/>
    <n v="1369.8978425455384"/>
  </r>
  <r>
    <s v="Refaturamento - Regular"/>
    <x v="1"/>
    <x v="2"/>
    <x v="3"/>
    <x v="0"/>
    <x v="0"/>
    <x v="0"/>
    <x v="2"/>
    <x v="4"/>
    <n v="0"/>
    <n v="0"/>
    <n v="-3.4569999999999999"/>
    <n v="-3.4569999999999999"/>
    <n v="-3.4569999999999999"/>
    <n v="-3.4569999999999999"/>
    <n v="0"/>
    <x v="1"/>
    <n v="0"/>
    <n v="0"/>
    <n v="12"/>
    <n v="66"/>
    <n v="0"/>
    <n v="1124.7"/>
    <n v="185.18"/>
    <m/>
    <n v="1194.906449742829"/>
    <n v="198.13390838089941"/>
    <n v="0"/>
    <n v="-3888.0879"/>
    <n v="-640.16725999999994"/>
    <n v="0"/>
    <n v="-4130.7915967609597"/>
    <n v="-684.94892127276921"/>
  </r>
  <r>
    <s v="Regular"/>
    <x v="1"/>
    <x v="2"/>
    <x v="3"/>
    <x v="0"/>
    <x v="0"/>
    <x v="0"/>
    <x v="2"/>
    <x v="5"/>
    <n v="0"/>
    <n v="0"/>
    <n v="3.641"/>
    <n v="3.641"/>
    <n v="3.641"/>
    <n v="3.641"/>
    <n v="0"/>
    <x v="1"/>
    <n v="0"/>
    <n v="0"/>
    <n v="12"/>
    <n v="66"/>
    <n v="0"/>
    <n v="1124.7"/>
    <n v="185.18"/>
    <m/>
    <n v="1194.906449742829"/>
    <n v="198.13390838089941"/>
    <n v="0"/>
    <n v="4095.0327000000002"/>
    <n v="674.24038000000007"/>
    <n v="0"/>
    <n v="4350.6543835136399"/>
    <n v="721.40556041485479"/>
  </r>
  <r>
    <s v="Regular"/>
    <x v="1"/>
    <x v="2"/>
    <x v="3"/>
    <x v="0"/>
    <x v="0"/>
    <x v="0"/>
    <x v="2"/>
    <x v="6"/>
    <n v="0"/>
    <n v="0"/>
    <n v="4.4850000000000003"/>
    <n v="4.4850000000000003"/>
    <n v="4.4850000000000003"/>
    <n v="4.4850000000000003"/>
    <n v="0"/>
    <x v="1"/>
    <n v="0"/>
    <n v="0"/>
    <n v="12"/>
    <n v="66"/>
    <n v="0"/>
    <n v="1124.7"/>
    <n v="185.18"/>
    <m/>
    <n v="1194.906449742829"/>
    <n v="198.13390838089941"/>
    <n v="0"/>
    <n v="5044.2795000000006"/>
    <n v="830.53230000000008"/>
    <n v="0"/>
    <n v="5359.155427096588"/>
    <n v="888.63057908833389"/>
  </r>
  <r>
    <s v="Regular"/>
    <x v="1"/>
    <x v="2"/>
    <x v="3"/>
    <x v="0"/>
    <x v="0"/>
    <x v="0"/>
    <x v="2"/>
    <x v="7"/>
    <n v="0"/>
    <n v="0"/>
    <n v="8.4359999999999999"/>
    <n v="8.4359999999999999"/>
    <n v="8.4359999999999999"/>
    <n v="8.4359999999999999"/>
    <n v="0"/>
    <x v="1"/>
    <n v="0"/>
    <n v="0"/>
    <n v="12"/>
    <n v="66"/>
    <n v="0"/>
    <n v="1124.7"/>
    <n v="185.18"/>
    <m/>
    <n v="1194.906449742829"/>
    <n v="198.13390838089941"/>
    <n v="0"/>
    <n v="9487.9691999999995"/>
    <n v="1562.17848"/>
    <n v="0"/>
    <n v="10080.230810030505"/>
    <n v="1671.4576511012674"/>
  </r>
  <r>
    <s v="Refaturamento - Regular"/>
    <x v="1"/>
    <x v="2"/>
    <x v="3"/>
    <x v="0"/>
    <x v="0"/>
    <x v="0"/>
    <x v="2"/>
    <x v="7"/>
    <n v="0"/>
    <n v="0"/>
    <n v="-4.218"/>
    <n v="-4.218"/>
    <n v="-4.218"/>
    <n v="-4.218"/>
    <n v="0"/>
    <x v="1"/>
    <n v="0"/>
    <n v="0"/>
    <n v="12"/>
    <n v="66"/>
    <n v="0"/>
    <n v="1124.7"/>
    <n v="185.18"/>
    <m/>
    <n v="1194.906449742829"/>
    <n v="198.13390838089941"/>
    <n v="0"/>
    <n v="-4743.9845999999998"/>
    <n v="-781.08924000000002"/>
    <n v="0"/>
    <n v="-5040.1154050152527"/>
    <n v="-835.7288255506337"/>
  </r>
  <r>
    <s v="Regular"/>
    <x v="1"/>
    <x v="2"/>
    <x v="3"/>
    <x v="0"/>
    <x v="0"/>
    <x v="0"/>
    <x v="2"/>
    <x v="8"/>
    <n v="0"/>
    <n v="0"/>
    <n v="7.968"/>
    <n v="7.968"/>
    <n v="7.968"/>
    <n v="7.968"/>
    <n v="0"/>
    <x v="1"/>
    <n v="0"/>
    <n v="0"/>
    <n v="12"/>
    <n v="66"/>
    <n v="0"/>
    <n v="1124.7"/>
    <n v="185.18"/>
    <m/>
    <n v="1194.906449742829"/>
    <n v="198.13390838089941"/>
    <n v="0"/>
    <n v="8961.6095999999998"/>
    <n v="1475.51424"/>
    <n v="0"/>
    <n v="9521.014591550862"/>
    <n v="1578.7309819790066"/>
  </r>
  <r>
    <s v="Refaturamento - Regular"/>
    <x v="1"/>
    <x v="2"/>
    <x v="3"/>
    <x v="0"/>
    <x v="0"/>
    <x v="0"/>
    <x v="2"/>
    <x v="8"/>
    <n v="0"/>
    <n v="0"/>
    <n v="-3.984"/>
    <n v="-3.984"/>
    <n v="-3.984"/>
    <n v="-3.984"/>
    <n v="0"/>
    <x v="1"/>
    <n v="0"/>
    <n v="0"/>
    <n v="12"/>
    <n v="66"/>
    <n v="0"/>
    <n v="1124.7"/>
    <n v="185.18"/>
    <m/>
    <n v="1194.906449742829"/>
    <n v="198.13390838089941"/>
    <n v="0"/>
    <n v="-4480.8047999999999"/>
    <n v="-737.75711999999999"/>
    <n v="0"/>
    <n v="-4760.507295775431"/>
    <n v="-789.36549098950331"/>
  </r>
  <r>
    <s v="Regular"/>
    <x v="1"/>
    <x v="2"/>
    <x v="3"/>
    <x v="0"/>
    <x v="0"/>
    <x v="0"/>
    <x v="2"/>
    <x v="9"/>
    <n v="0"/>
    <n v="0"/>
    <n v="4.383"/>
    <n v="4.383"/>
    <n v="4.383"/>
    <n v="4.383"/>
    <n v="0"/>
    <x v="1"/>
    <n v="0"/>
    <n v="0"/>
    <n v="12"/>
    <n v="66"/>
    <n v="0"/>
    <n v="1124.7"/>
    <n v="185.18"/>
    <m/>
    <n v="1194.906449742829"/>
    <n v="198.13390838089941"/>
    <n v="0"/>
    <n v="4929.5601000000006"/>
    <n v="811.64394000000004"/>
    <n v="0"/>
    <n v="5237.274969222819"/>
    <n v="868.42092043348214"/>
  </r>
  <r>
    <s v="Regular"/>
    <x v="1"/>
    <x v="2"/>
    <x v="3"/>
    <x v="0"/>
    <x v="0"/>
    <x v="0"/>
    <x v="2"/>
    <x v="10"/>
    <n v="0"/>
    <n v="0"/>
    <n v="3.214"/>
    <n v="3.214"/>
    <n v="3.214"/>
    <n v="3.214"/>
    <n v="0"/>
    <x v="1"/>
    <n v="0"/>
    <n v="0"/>
    <n v="12"/>
    <n v="66"/>
    <n v="0"/>
    <n v="1124.7"/>
    <n v="185.18"/>
    <m/>
    <n v="1194.906449742829"/>
    <n v="198.13390838089941"/>
    <n v="0"/>
    <n v="3614.7858000000001"/>
    <n v="595.16852000000006"/>
    <n v="0"/>
    <n v="3840.4293294734521"/>
    <n v="636.80238153621076"/>
  </r>
  <r>
    <s v="Regular"/>
    <x v="1"/>
    <x v="2"/>
    <x v="3"/>
    <x v="0"/>
    <x v="0"/>
    <x v="0"/>
    <x v="2"/>
    <x v="11"/>
    <n v="0"/>
    <n v="0"/>
    <n v="3.472"/>
    <n v="3.472"/>
    <n v="3.472"/>
    <n v="3.472"/>
    <n v="0"/>
    <x v="1"/>
    <n v="0"/>
    <n v="0"/>
    <n v="12"/>
    <n v="66"/>
    <n v="0"/>
    <n v="1124.7"/>
    <n v="185.18"/>
    <m/>
    <n v="1194.906449742829"/>
    <n v="198.13390838089941"/>
    <n v="0"/>
    <n v="3904.9584"/>
    <n v="642.94496000000004"/>
    <n v="0"/>
    <n v="4148.7151935071024"/>
    <n v="687.92092989848277"/>
  </r>
  <r>
    <s v="Regular"/>
    <x v="1"/>
    <x v="2"/>
    <x v="0"/>
    <x v="0"/>
    <x v="1"/>
    <x v="0"/>
    <x v="0"/>
    <x v="0"/>
    <n v="0"/>
    <n v="0"/>
    <n v="456.125"/>
    <n v="163.29275000000001"/>
    <n v="0"/>
    <n v="0"/>
    <n v="0"/>
    <x v="0"/>
    <n v="0"/>
    <n v="0"/>
    <n v="25"/>
    <n v="0"/>
    <n v="0"/>
    <n v="69.489999999999995"/>
    <n v="0"/>
    <m/>
    <n v="92.397536067834494"/>
    <m/>
    <n v="0"/>
    <n v="11347.213197499999"/>
    <n v="0"/>
    <n v="0"/>
    <n v="15087.847757740883"/>
    <n v="0"/>
  </r>
  <r>
    <s v="Regular"/>
    <x v="1"/>
    <x v="2"/>
    <x v="0"/>
    <x v="0"/>
    <x v="1"/>
    <x v="0"/>
    <x v="0"/>
    <x v="1"/>
    <n v="0"/>
    <n v="0"/>
    <n v="527.52300000000002"/>
    <n v="527.52300000000002"/>
    <n v="0"/>
    <n v="0"/>
    <n v="0"/>
    <x v="0"/>
    <n v="0"/>
    <n v="0"/>
    <n v="25"/>
    <n v="0"/>
    <n v="0"/>
    <n v="69.489999999999995"/>
    <n v="0"/>
    <m/>
    <n v="92.397536067834494"/>
    <m/>
    <n v="0"/>
    <n v="36657.573270000001"/>
    <n v="0"/>
    <n v="0"/>
    <n v="48741.825419112261"/>
    <n v="0"/>
  </r>
  <r>
    <s v="Regular"/>
    <x v="1"/>
    <x v="2"/>
    <x v="0"/>
    <x v="0"/>
    <x v="1"/>
    <x v="0"/>
    <x v="0"/>
    <x v="2"/>
    <n v="0"/>
    <n v="0"/>
    <n v="557.39400000000001"/>
    <n v="557.39400000000001"/>
    <n v="0"/>
    <n v="0"/>
    <n v="0"/>
    <x v="0"/>
    <n v="0"/>
    <n v="0"/>
    <n v="25"/>
    <n v="0"/>
    <n v="0"/>
    <n v="69.489999999999995"/>
    <n v="0"/>
    <m/>
    <n v="92.397536067834494"/>
    <m/>
    <n v="0"/>
    <n v="38733.30906"/>
    <n v="0"/>
    <n v="0"/>
    <n v="51501.832218994539"/>
    <n v="0"/>
  </r>
  <r>
    <s v="Regular"/>
    <x v="1"/>
    <x v="2"/>
    <x v="0"/>
    <x v="0"/>
    <x v="1"/>
    <x v="0"/>
    <x v="0"/>
    <x v="3"/>
    <n v="0"/>
    <n v="0"/>
    <n v="516.30700000000002"/>
    <n v="516.30700000000002"/>
    <n v="0"/>
    <n v="0"/>
    <n v="0"/>
    <x v="0"/>
    <n v="0"/>
    <n v="0"/>
    <n v="25"/>
    <n v="0"/>
    <n v="0"/>
    <n v="69.489999999999995"/>
    <n v="0"/>
    <m/>
    <n v="92.397536067834494"/>
    <m/>
    <n v="0"/>
    <n v="35878.173429999995"/>
    <n v="0"/>
    <n v="0"/>
    <n v="47705.494654575428"/>
    <n v="0"/>
  </r>
  <r>
    <s v="Regular"/>
    <x v="1"/>
    <x v="2"/>
    <x v="0"/>
    <x v="0"/>
    <x v="1"/>
    <x v="0"/>
    <x v="0"/>
    <x v="4"/>
    <n v="0"/>
    <n v="0"/>
    <n v="486.08499999999998"/>
    <n v="486.08499999999998"/>
    <n v="0"/>
    <n v="0"/>
    <n v="0"/>
    <x v="0"/>
    <n v="0"/>
    <n v="0"/>
    <n v="25"/>
    <n v="0"/>
    <n v="0"/>
    <n v="69.489999999999995"/>
    <n v="0"/>
    <m/>
    <n v="92.397536067834494"/>
    <m/>
    <n v="0"/>
    <n v="33778.046649999997"/>
    <n v="0"/>
    <n v="0"/>
    <n v="44913.056319533331"/>
    <n v="0"/>
  </r>
  <r>
    <s v="PROJETADO"/>
    <x v="1"/>
    <x v="2"/>
    <x v="0"/>
    <x v="0"/>
    <x v="1"/>
    <x v="0"/>
    <x v="0"/>
    <x v="5"/>
    <n v="0"/>
    <n v="0"/>
    <n v="486.08499999999998"/>
    <n v="486.08499999999998"/>
    <n v="0"/>
    <n v="0"/>
    <n v="0"/>
    <x v="0"/>
    <n v="0"/>
    <n v="0"/>
    <n v="25"/>
    <n v="0"/>
    <n v="0"/>
    <n v="69.489999999999995"/>
    <n v="0"/>
    <m/>
    <n v="92.397536067834494"/>
    <m/>
    <n v="0"/>
    <n v="33778.046649999997"/>
    <n v="0"/>
    <n v="0"/>
    <n v="44913.056319533331"/>
    <n v="0"/>
  </r>
  <r>
    <s v="Regular"/>
    <x v="1"/>
    <x v="2"/>
    <x v="0"/>
    <x v="0"/>
    <x v="1"/>
    <x v="0"/>
    <x v="0"/>
    <x v="6"/>
    <n v="0"/>
    <n v="0"/>
    <n v="362.80500000000001"/>
    <n v="362.80500000000001"/>
    <n v="0"/>
    <n v="0"/>
    <n v="0"/>
    <x v="0"/>
    <n v="0"/>
    <n v="0"/>
    <n v="25"/>
    <n v="0"/>
    <n v="0"/>
    <n v="69.489999999999995"/>
    <n v="0"/>
    <m/>
    <n v="92.397536067834494"/>
    <m/>
    <n v="0"/>
    <n v="25211.319449999999"/>
    <n v="0"/>
    <n v="0"/>
    <n v="33522.288073090691"/>
    <n v="0"/>
  </r>
  <r>
    <s v="Regular"/>
    <x v="1"/>
    <x v="2"/>
    <x v="0"/>
    <x v="0"/>
    <x v="1"/>
    <x v="0"/>
    <x v="0"/>
    <x v="7"/>
    <n v="0"/>
    <n v="0"/>
    <n v="453.40499999999997"/>
    <n v="453.40499999999997"/>
    <n v="0"/>
    <n v="0"/>
    <n v="0"/>
    <x v="0"/>
    <n v="0"/>
    <n v="0"/>
    <n v="25"/>
    <n v="0"/>
    <n v="0"/>
    <n v="69.489999999999995"/>
    <n v="0"/>
    <m/>
    <n v="92.397536067834494"/>
    <m/>
    <n v="0"/>
    <n v="31507.113449999997"/>
    <n v="0"/>
    <n v="0"/>
    <n v="41893.504840836496"/>
    <n v="0"/>
  </r>
  <r>
    <s v="Regular"/>
    <x v="1"/>
    <x v="2"/>
    <x v="0"/>
    <x v="0"/>
    <x v="1"/>
    <x v="0"/>
    <x v="0"/>
    <x v="8"/>
    <n v="0"/>
    <n v="0"/>
    <n v="484.22300000000001"/>
    <n v="484.22300000000001"/>
    <n v="0"/>
    <n v="0"/>
    <n v="0"/>
    <x v="0"/>
    <n v="0"/>
    <n v="0"/>
    <n v="25"/>
    <n v="0"/>
    <n v="0"/>
    <n v="69.489999999999995"/>
    <n v="0"/>
    <m/>
    <n v="92.397536067834494"/>
    <m/>
    <n v="0"/>
    <n v="33648.656269999999"/>
    <n v="0"/>
    <n v="0"/>
    <n v="44741.012107375027"/>
    <n v="0"/>
  </r>
  <r>
    <s v="PROJETADO"/>
    <x v="1"/>
    <x v="2"/>
    <x v="0"/>
    <x v="0"/>
    <x v="1"/>
    <x v="0"/>
    <x v="0"/>
    <x v="9"/>
    <n v="0"/>
    <n v="0"/>
    <n v="484.22300000000001"/>
    <n v="484.22300000000001"/>
    <n v="0"/>
    <n v="0"/>
    <n v="0"/>
    <x v="0"/>
    <n v="0"/>
    <n v="0"/>
    <n v="25"/>
    <n v="0"/>
    <n v="0"/>
    <n v="69.489999999999995"/>
    <n v="0"/>
    <m/>
    <n v="92.397536067834494"/>
    <m/>
    <n v="0"/>
    <n v="33648.656269999999"/>
    <n v="0"/>
    <n v="0"/>
    <n v="44741.012107375027"/>
    <n v="0"/>
  </r>
  <r>
    <s v="Regular"/>
    <x v="1"/>
    <x v="2"/>
    <x v="0"/>
    <x v="0"/>
    <x v="1"/>
    <x v="0"/>
    <x v="0"/>
    <x v="10"/>
    <n v="0"/>
    <n v="0"/>
    <n v="1545.7550000000001"/>
    <n v="1545.7550000000001"/>
    <n v="0"/>
    <n v="0"/>
    <n v="0"/>
    <x v="0"/>
    <n v="0"/>
    <n v="0"/>
    <n v="25"/>
    <n v="0"/>
    <n v="0"/>
    <n v="69.489999999999995"/>
    <n v="0"/>
    <m/>
    <n v="92.397536067834494"/>
    <m/>
    <n v="0"/>
    <n v="107414.51495"/>
    <n v="0"/>
    <n v="0"/>
    <n v="142823.95336453553"/>
    <n v="0"/>
  </r>
  <r>
    <s v="Regular"/>
    <x v="1"/>
    <x v="2"/>
    <x v="0"/>
    <x v="0"/>
    <x v="1"/>
    <x v="0"/>
    <x v="0"/>
    <x v="11"/>
    <n v="0"/>
    <n v="0"/>
    <n v="1995.7719999999999"/>
    <n v="1995.7719999999999"/>
    <n v="0"/>
    <n v="0"/>
    <n v="0"/>
    <x v="0"/>
    <n v="0"/>
    <n v="0"/>
    <n v="25"/>
    <n v="0"/>
    <n v="0"/>
    <n v="69.489999999999995"/>
    <n v="0"/>
    <m/>
    <n v="92.397536067834494"/>
    <m/>
    <n v="0"/>
    <n v="138686.19627999997"/>
    <n v="0"/>
    <n v="0"/>
    <n v="184404.41535317418"/>
    <n v="0"/>
  </r>
  <r>
    <s v="Regular"/>
    <x v="1"/>
    <x v="2"/>
    <x v="0"/>
    <x v="0"/>
    <x v="1"/>
    <x v="0"/>
    <x v="1"/>
    <x v="0"/>
    <n v="1822"/>
    <n v="652.27599999999995"/>
    <n v="0"/>
    <n v="0"/>
    <n v="0"/>
    <n v="0"/>
    <n v="3"/>
    <x v="0"/>
    <n v="0"/>
    <n v="18"/>
    <n v="0"/>
    <n v="0"/>
    <n v="26.17"/>
    <n v="0"/>
    <n v="0"/>
    <n v="27.746237112155811"/>
    <m/>
    <m/>
    <n v="17070.06292"/>
    <n v="0"/>
    <n v="0"/>
    <n v="18098.204558568541"/>
    <n v="0"/>
    <n v="0"/>
  </r>
  <r>
    <s v="Regular"/>
    <x v="1"/>
    <x v="2"/>
    <x v="0"/>
    <x v="0"/>
    <x v="1"/>
    <x v="0"/>
    <x v="1"/>
    <x v="1"/>
    <n v="2535"/>
    <n v="1133.145"/>
    <n v="0"/>
    <n v="0"/>
    <n v="0"/>
    <n v="0"/>
    <n v="4"/>
    <x v="0"/>
    <n v="0"/>
    <n v="18"/>
    <n v="0"/>
    <n v="0"/>
    <n v="26.17"/>
    <n v="0"/>
    <n v="0"/>
    <n v="27.746237112155811"/>
    <m/>
    <m/>
    <n v="29654.40465"/>
    <n v="0"/>
    <n v="0"/>
    <n v="31440.509852453797"/>
    <n v="0"/>
    <n v="0"/>
  </r>
  <r>
    <s v="Regular"/>
    <x v="1"/>
    <x v="2"/>
    <x v="0"/>
    <x v="0"/>
    <x v="1"/>
    <x v="0"/>
    <x v="1"/>
    <x v="2"/>
    <n v="3085"/>
    <n v="1823.2349999999999"/>
    <n v="0"/>
    <n v="0"/>
    <n v="0"/>
    <n v="0"/>
    <n v="5"/>
    <x v="0"/>
    <n v="0"/>
    <n v="18"/>
    <n v="0"/>
    <n v="0"/>
    <n v="26.17"/>
    <n v="0"/>
    <n v="0"/>
    <n v="27.746237112155811"/>
    <m/>
    <m/>
    <n v="47714.059950000003"/>
    <n v="0"/>
    <n v="0"/>
    <n v="50587.9106211814"/>
    <n v="0"/>
    <n v="0"/>
  </r>
  <r>
    <s v="Regular"/>
    <x v="1"/>
    <x v="2"/>
    <x v="0"/>
    <x v="0"/>
    <x v="1"/>
    <x v="0"/>
    <x v="1"/>
    <x v="3"/>
    <n v="3172"/>
    <n v="1665.3"/>
    <n v="0"/>
    <n v="0"/>
    <n v="0"/>
    <n v="0"/>
    <n v="5"/>
    <x v="0"/>
    <n v="0"/>
    <n v="18"/>
    <n v="0"/>
    <n v="0"/>
    <n v="26.17"/>
    <n v="0"/>
    <n v="0"/>
    <n v="27.746237112155811"/>
    <m/>
    <m/>
    <n v="43580.900999999998"/>
    <n v="0"/>
    <n v="0"/>
    <n v="46205.808662873067"/>
    <n v="0"/>
    <n v="0"/>
  </r>
  <r>
    <s v="Regular"/>
    <x v="1"/>
    <x v="2"/>
    <x v="0"/>
    <x v="0"/>
    <x v="1"/>
    <x v="0"/>
    <x v="1"/>
    <x v="4"/>
    <n v="3034"/>
    <n v="1535.204"/>
    <n v="0"/>
    <n v="0"/>
    <n v="0"/>
    <n v="0"/>
    <n v="5"/>
    <x v="0"/>
    <n v="0"/>
    <n v="18"/>
    <n v="0"/>
    <n v="0"/>
    <n v="26.17"/>
    <n v="0"/>
    <n v="0"/>
    <n v="27.746237112155811"/>
    <m/>
    <m/>
    <n v="40176.288679999998"/>
    <n v="0"/>
    <n v="0"/>
    <n v="42596.134199530046"/>
    <n v="0"/>
    <n v="0"/>
  </r>
  <r>
    <s v="PROJETADO"/>
    <x v="1"/>
    <x v="2"/>
    <x v="0"/>
    <x v="0"/>
    <x v="1"/>
    <x v="0"/>
    <x v="1"/>
    <x v="5"/>
    <n v="3034"/>
    <n v="1535.204"/>
    <n v="0"/>
    <n v="0"/>
    <n v="0"/>
    <n v="0"/>
    <n v="5"/>
    <x v="0"/>
    <n v="0"/>
    <n v="18"/>
    <n v="0"/>
    <n v="0"/>
    <n v="26.17"/>
    <n v="0"/>
    <n v="0"/>
    <n v="27.746237112155811"/>
    <m/>
    <m/>
    <n v="40176.288679999998"/>
    <n v="0"/>
    <n v="0"/>
    <n v="42596.134199530046"/>
    <n v="0"/>
    <n v="0"/>
  </r>
  <r>
    <s v="Regular"/>
    <x v="1"/>
    <x v="2"/>
    <x v="0"/>
    <x v="0"/>
    <x v="1"/>
    <x v="0"/>
    <x v="1"/>
    <x v="6"/>
    <n v="3855"/>
    <n v="2170.3649999999998"/>
    <n v="0"/>
    <n v="0"/>
    <n v="0"/>
    <n v="0"/>
    <n v="5"/>
    <x v="0"/>
    <n v="0"/>
    <n v="18"/>
    <n v="0"/>
    <n v="0"/>
    <n v="26.17"/>
    <n v="0"/>
    <n v="0"/>
    <n v="27.746237112155811"/>
    <m/>
    <m/>
    <n v="56798.45205"/>
    <n v="0"/>
    <n v="0"/>
    <n v="60219.461909924037"/>
    <n v="0"/>
    <n v="0"/>
  </r>
  <r>
    <s v="Regular"/>
    <x v="1"/>
    <x v="2"/>
    <x v="0"/>
    <x v="0"/>
    <x v="1"/>
    <x v="0"/>
    <x v="1"/>
    <x v="7"/>
    <n v="4613"/>
    <n v="1942.0730000000001"/>
    <n v="0"/>
    <n v="0"/>
    <n v="0"/>
    <n v="0"/>
    <n v="6"/>
    <x v="0"/>
    <n v="0"/>
    <n v="18"/>
    <n v="0"/>
    <n v="0"/>
    <n v="26.17"/>
    <n v="0"/>
    <n v="0"/>
    <n v="27.746237112155811"/>
    <m/>
    <m/>
    <n v="50824.050410000003"/>
    <n v="0"/>
    <n v="0"/>
    <n v="53885.217947115772"/>
    <n v="0"/>
    <n v="0"/>
  </r>
  <r>
    <s v="Regular"/>
    <x v="1"/>
    <x v="2"/>
    <x v="0"/>
    <x v="0"/>
    <x v="1"/>
    <x v="0"/>
    <x v="1"/>
    <x v="8"/>
    <n v="4183"/>
    <n v="1765.2260000000001"/>
    <n v="0"/>
    <n v="0"/>
    <n v="0"/>
    <n v="0"/>
    <n v="7"/>
    <x v="0"/>
    <n v="0"/>
    <n v="18"/>
    <n v="0"/>
    <n v="0"/>
    <n v="26.17"/>
    <n v="0"/>
    <n v="0"/>
    <n v="27.746237112155811"/>
    <m/>
    <m/>
    <n v="46195.964420000004"/>
    <n v="0"/>
    <n v="0"/>
    <n v="48978.379152542358"/>
    <n v="0"/>
    <n v="0"/>
  </r>
  <r>
    <s v="PROJETADO"/>
    <x v="1"/>
    <x v="2"/>
    <x v="0"/>
    <x v="0"/>
    <x v="1"/>
    <x v="0"/>
    <x v="1"/>
    <x v="9"/>
    <n v="4183"/>
    <n v="1765.2260000000001"/>
    <n v="0"/>
    <n v="0"/>
    <n v="0"/>
    <n v="0"/>
    <n v="7"/>
    <x v="0"/>
    <n v="0"/>
    <n v="18"/>
    <n v="0"/>
    <n v="0"/>
    <n v="26.17"/>
    <n v="0"/>
    <n v="0"/>
    <n v="27.746237112155811"/>
    <m/>
    <m/>
    <n v="46195.964420000004"/>
    <n v="0"/>
    <n v="0"/>
    <n v="48978.379152542358"/>
    <n v="0"/>
    <n v="0"/>
  </r>
  <r>
    <s v="Regular"/>
    <x v="1"/>
    <x v="2"/>
    <x v="0"/>
    <x v="0"/>
    <x v="1"/>
    <x v="0"/>
    <x v="1"/>
    <x v="10"/>
    <n v="6667"/>
    <n v="2760.1379999999999"/>
    <n v="0"/>
    <n v="0"/>
    <n v="0"/>
    <n v="0"/>
    <n v="8"/>
    <x v="0"/>
    <n v="0"/>
    <n v="18"/>
    <n v="0"/>
    <n v="0"/>
    <n v="26.17"/>
    <n v="0"/>
    <n v="0"/>
    <n v="27.746237112155811"/>
    <m/>
    <m/>
    <n v="72232.811459999997"/>
    <n v="0"/>
    <n v="0"/>
    <n v="76583.443410271517"/>
    <n v="0"/>
    <n v="0"/>
  </r>
  <r>
    <s v="Regular"/>
    <x v="1"/>
    <x v="2"/>
    <x v="0"/>
    <x v="0"/>
    <x v="1"/>
    <x v="0"/>
    <x v="1"/>
    <x v="11"/>
    <n v="8554"/>
    <n v="3002.4540000000002"/>
    <n v="0"/>
    <n v="0"/>
    <n v="0"/>
    <n v="0"/>
    <n v="13"/>
    <x v="0"/>
    <n v="0"/>
    <n v="18"/>
    <n v="0"/>
    <n v="0"/>
    <n v="26.17"/>
    <n v="0"/>
    <n v="0"/>
    <n v="27.746237112155811"/>
    <m/>
    <m/>
    <n v="78574.221180000008"/>
    <n v="0"/>
    <n v="0"/>
    <n v="83306.800602340663"/>
    <n v="0"/>
    <n v="0"/>
  </r>
  <r>
    <s v="Regular"/>
    <x v="1"/>
    <x v="2"/>
    <x v="0"/>
    <x v="0"/>
    <x v="1"/>
    <x v="0"/>
    <x v="2"/>
    <x v="0"/>
    <n v="0"/>
    <n v="0"/>
    <n v="64.95"/>
    <n v="23.252099999999999"/>
    <n v="0"/>
    <n v="0"/>
    <n v="0"/>
    <x v="0"/>
    <n v="0"/>
    <n v="0"/>
    <n v="12"/>
    <n v="0"/>
    <n v="0"/>
    <n v="1124.7"/>
    <n v="0"/>
    <m/>
    <n v="1194.906449742829"/>
    <m/>
    <n v="0"/>
    <n v="26151.636869999998"/>
    <n v="0"/>
    <n v="0"/>
    <n v="27784.084260065232"/>
    <n v="0"/>
  </r>
  <r>
    <s v="Regular"/>
    <x v="1"/>
    <x v="2"/>
    <x v="0"/>
    <x v="0"/>
    <x v="1"/>
    <x v="0"/>
    <x v="2"/>
    <x v="1"/>
    <n v="0"/>
    <n v="0"/>
    <n v="59.216999999999999"/>
    <n v="26.647649999999999"/>
    <n v="0"/>
    <n v="0"/>
    <n v="0"/>
    <x v="0"/>
    <n v="0"/>
    <n v="0"/>
    <n v="12"/>
    <n v="0"/>
    <n v="0"/>
    <n v="1124.7"/>
    <n v="0"/>
    <m/>
    <n v="1194.906449742829"/>
    <m/>
    <n v="0"/>
    <n v="29970.611955"/>
    <n v="0"/>
    <n v="0"/>
    <n v="31841.448855489496"/>
    <n v="0"/>
  </r>
  <r>
    <s v="Regular"/>
    <x v="1"/>
    <x v="2"/>
    <x v="0"/>
    <x v="0"/>
    <x v="1"/>
    <x v="0"/>
    <x v="2"/>
    <x v="2"/>
    <n v="0"/>
    <n v="0"/>
    <n v="51.08"/>
    <n v="27.103048000000001"/>
    <n v="0"/>
    <n v="0"/>
    <n v="0"/>
    <x v="0"/>
    <n v="0"/>
    <n v="0"/>
    <n v="12"/>
    <n v="0"/>
    <n v="0"/>
    <n v="1124.7"/>
    <n v="0"/>
    <m/>
    <n v="1194.906449742829"/>
    <m/>
    <n v="0"/>
    <n v="30482.798085600003"/>
    <n v="0"/>
    <n v="0"/>
    <n v="32385.606862889483"/>
    <n v="0"/>
  </r>
  <r>
    <s v="Regular"/>
    <x v="1"/>
    <x v="2"/>
    <x v="0"/>
    <x v="0"/>
    <x v="1"/>
    <x v="0"/>
    <x v="2"/>
    <x v="3"/>
    <n v="0"/>
    <n v="0"/>
    <n v="47.006"/>
    <n v="24.678149999999999"/>
    <n v="0"/>
    <n v="0"/>
    <n v="0"/>
    <x v="0"/>
    <n v="0"/>
    <n v="0"/>
    <n v="12"/>
    <n v="0"/>
    <n v="0"/>
    <n v="1124.7"/>
    <n v="0"/>
    <m/>
    <n v="1194.906449742829"/>
    <m/>
    <n v="0"/>
    <n v="27755.515305000001"/>
    <n v="0"/>
    <n v="0"/>
    <n v="29488.080602720991"/>
    <n v="0"/>
  </r>
  <r>
    <s v="Regular"/>
    <x v="1"/>
    <x v="2"/>
    <x v="0"/>
    <x v="0"/>
    <x v="1"/>
    <x v="0"/>
    <x v="2"/>
    <x v="4"/>
    <n v="0"/>
    <n v="0"/>
    <n v="47.975000000000001"/>
    <n v="24.27535"/>
    <n v="0"/>
    <n v="0"/>
    <n v="0"/>
    <x v="0"/>
    <n v="0"/>
    <n v="0"/>
    <n v="12"/>
    <n v="0"/>
    <n v="0"/>
    <n v="1124.7"/>
    <n v="0"/>
    <m/>
    <n v="1194.906449742829"/>
    <m/>
    <n v="0"/>
    <n v="27302.486144999999"/>
    <n v="0"/>
    <n v="0"/>
    <n v="29006.772284764582"/>
    <n v="0"/>
  </r>
  <r>
    <s v="PROJETADO"/>
    <x v="1"/>
    <x v="2"/>
    <x v="0"/>
    <x v="0"/>
    <x v="1"/>
    <x v="0"/>
    <x v="2"/>
    <x v="5"/>
    <n v="0"/>
    <n v="0"/>
    <n v="47.975000000000001"/>
    <n v="24.27535"/>
    <n v="0"/>
    <n v="0"/>
    <n v="0"/>
    <x v="0"/>
    <n v="0"/>
    <n v="0"/>
    <n v="12"/>
    <n v="0"/>
    <n v="0"/>
    <n v="1124.7"/>
    <n v="0"/>
    <m/>
    <n v="1194.906449742829"/>
    <m/>
    <n v="0"/>
    <n v="27302.486144999999"/>
    <n v="0"/>
    <n v="0"/>
    <n v="29006.772284764582"/>
    <n v="0"/>
  </r>
  <r>
    <s v="Regular"/>
    <x v="1"/>
    <x v="2"/>
    <x v="0"/>
    <x v="0"/>
    <x v="1"/>
    <x v="0"/>
    <x v="2"/>
    <x v="6"/>
    <n v="0"/>
    <n v="0"/>
    <n v="34.628"/>
    <n v="19.495564000000002"/>
    <n v="0"/>
    <n v="0"/>
    <n v="0"/>
    <x v="0"/>
    <n v="0"/>
    <n v="0"/>
    <n v="12"/>
    <n v="0"/>
    <n v="0"/>
    <n v="1124.7"/>
    <n v="0"/>
    <m/>
    <n v="1194.906449742829"/>
    <m/>
    <n v="0"/>
    <n v="21926.660830800003"/>
    <n v="0"/>
    <n v="0"/>
    <n v="23295.375164974106"/>
    <n v="0"/>
  </r>
  <r>
    <s v="Regular"/>
    <x v="1"/>
    <x v="2"/>
    <x v="0"/>
    <x v="0"/>
    <x v="1"/>
    <x v="0"/>
    <x v="2"/>
    <x v="7"/>
    <n v="0"/>
    <n v="0"/>
    <n v="44.442999999999998"/>
    <n v="23.492569799999998"/>
    <n v="0"/>
    <n v="0"/>
    <n v="0"/>
    <x v="0"/>
    <n v="0"/>
    <n v="0"/>
    <n v="12"/>
    <n v="0"/>
    <n v="0"/>
    <n v="1124.7"/>
    <n v="0"/>
    <m/>
    <n v="1194.906449742829"/>
    <m/>
    <n v="0"/>
    <n v="26422.093254060001"/>
    <n v="0"/>
    <n v="0"/>
    <n v="28071.423175053598"/>
    <n v="0"/>
  </r>
  <r>
    <s v="Regular"/>
    <x v="1"/>
    <x v="2"/>
    <x v="0"/>
    <x v="0"/>
    <x v="1"/>
    <x v="0"/>
    <x v="2"/>
    <x v="8"/>
    <n v="0"/>
    <n v="0"/>
    <n v="54.761000000000003"/>
    <n v="23.109141999999999"/>
    <n v="0"/>
    <n v="0"/>
    <n v="0"/>
    <x v="0"/>
    <n v="0"/>
    <n v="0"/>
    <n v="12"/>
    <n v="0"/>
    <n v="0"/>
    <n v="1124.7"/>
    <n v="0"/>
    <m/>
    <n v="1194.906449742829"/>
    <m/>
    <n v="0"/>
    <n v="25990.852007400001"/>
    <n v="0"/>
    <n v="0"/>
    <n v="27613.262823822897"/>
    <n v="0"/>
  </r>
  <r>
    <s v="PROJETADO"/>
    <x v="1"/>
    <x v="2"/>
    <x v="0"/>
    <x v="0"/>
    <x v="1"/>
    <x v="0"/>
    <x v="2"/>
    <x v="9"/>
    <n v="0"/>
    <n v="0"/>
    <n v="54.761000000000003"/>
    <n v="23.109141999999999"/>
    <n v="0"/>
    <n v="0"/>
    <n v="0"/>
    <x v="0"/>
    <n v="0"/>
    <n v="0"/>
    <n v="12"/>
    <n v="0"/>
    <n v="0"/>
    <n v="1124.7"/>
    <n v="0"/>
    <m/>
    <n v="1194.906449742829"/>
    <m/>
    <n v="0"/>
    <n v="25990.852007400001"/>
    <n v="0"/>
    <n v="0"/>
    <n v="27613.262823822897"/>
    <n v="0"/>
  </r>
  <r>
    <s v="Regular"/>
    <x v="1"/>
    <x v="2"/>
    <x v="0"/>
    <x v="0"/>
    <x v="1"/>
    <x v="0"/>
    <x v="2"/>
    <x v="10"/>
    <n v="0"/>
    <n v="0"/>
    <n v="181.01300000000001"/>
    <n v="101.548293"/>
    <n v="0"/>
    <n v="0"/>
    <n v="0"/>
    <x v="0"/>
    <n v="0"/>
    <n v="0"/>
    <n v="12"/>
    <n v="0"/>
    <n v="0"/>
    <n v="1124.7"/>
    <n v="0"/>
    <m/>
    <n v="1194.906449742829"/>
    <m/>
    <n v="0"/>
    <n v="114211.3651371"/>
    <n v="0"/>
    <n v="0"/>
    <n v="121340.71026607457"/>
    <n v="0"/>
  </r>
  <r>
    <s v="Regular"/>
    <x v="1"/>
    <x v="2"/>
    <x v="0"/>
    <x v="0"/>
    <x v="1"/>
    <x v="0"/>
    <x v="2"/>
    <x v="11"/>
    <n v="0"/>
    <n v="0"/>
    <n v="229.89099999999999"/>
    <n v="128.279178"/>
    <n v="0"/>
    <n v="0"/>
    <n v="0"/>
    <x v="0"/>
    <n v="0"/>
    <n v="0"/>
    <n v="12"/>
    <n v="0"/>
    <n v="0"/>
    <n v="1124.7"/>
    <n v="0"/>
    <m/>
    <n v="1194.906449742829"/>
    <m/>
    <n v="0"/>
    <n v="144275.59149660001"/>
    <n v="0"/>
    <n v="0"/>
    <n v="153281.6171599084"/>
    <n v="0"/>
  </r>
  <r>
    <s v="Regular"/>
    <x v="1"/>
    <x v="2"/>
    <x v="0"/>
    <x v="0"/>
    <x v="0"/>
    <x v="0"/>
    <x v="0"/>
    <x v="0"/>
    <n v="0"/>
    <n v="0"/>
    <n v="6815.0640000000003"/>
    <n v="6815.0640000000003"/>
    <n v="6815.0640000000003"/>
    <n v="6815.0640000000003"/>
    <n v="0"/>
    <x v="1"/>
    <n v="0"/>
    <n v="0"/>
    <n v="25"/>
    <n v="59"/>
    <n v="0"/>
    <n v="69.489999999999995"/>
    <n v="185.18"/>
    <m/>
    <n v="92.397536067834494"/>
    <n v="198.13390838089941"/>
    <n v="0"/>
    <n v="473578.79735999997"/>
    <n v="1262013.5515200002"/>
    <n v="0"/>
    <n v="629695.12174460047"/>
    <n v="1350295.2661859659"/>
  </r>
  <r>
    <s v="Refaturamento - Regular"/>
    <x v="1"/>
    <x v="2"/>
    <x v="0"/>
    <x v="0"/>
    <x v="0"/>
    <x v="0"/>
    <x v="0"/>
    <x v="0"/>
    <n v="0"/>
    <n v="0"/>
    <n v="-544.08600000000001"/>
    <n v="-544.08600000000001"/>
    <n v="-544.08600000000001"/>
    <n v="-544.08600000000001"/>
    <n v="0"/>
    <x v="1"/>
    <n v="0"/>
    <n v="0"/>
    <n v="25"/>
    <n v="59"/>
    <n v="0"/>
    <n v="69.489999999999995"/>
    <n v="185.18"/>
    <m/>
    <n v="92.397536067834494"/>
    <n v="198.13390838089941"/>
    <n v="0"/>
    <n v="-37808.536139999997"/>
    <n v="-100753.84548"/>
    <n v="0"/>
    <n v="-50272.205809003797"/>
    <n v="-107801.88567533004"/>
  </r>
  <r>
    <s v="Sistema de Compensação"/>
    <x v="1"/>
    <x v="2"/>
    <x v="0"/>
    <x v="0"/>
    <x v="0"/>
    <x v="0"/>
    <x v="0"/>
    <x v="0"/>
    <n v="0"/>
    <n v="0"/>
    <n v="316.392"/>
    <n v="316.392"/>
    <n v="316.392"/>
    <n v="316.392"/>
    <n v="0"/>
    <x v="1"/>
    <n v="0"/>
    <n v="0"/>
    <n v="25"/>
    <n v="59"/>
    <n v="0"/>
    <n v="69.489999999999995"/>
    <n v="185.18"/>
    <m/>
    <n v="92.397536067834494"/>
    <n v="198.13390838089941"/>
    <n v="0"/>
    <n v="21986.08008"/>
    <n v="58589.470560000002"/>
    <n v="0"/>
    <n v="29233.84123157429"/>
    <n v="62687.983540449524"/>
  </r>
  <r>
    <s v="Regular"/>
    <x v="1"/>
    <x v="2"/>
    <x v="0"/>
    <x v="0"/>
    <x v="0"/>
    <x v="0"/>
    <x v="0"/>
    <x v="1"/>
    <n v="0"/>
    <n v="0"/>
    <n v="6384.058"/>
    <n v="6384.058"/>
    <n v="6384.058"/>
    <n v="6384.058"/>
    <n v="0"/>
    <x v="1"/>
    <n v="0"/>
    <n v="0"/>
    <n v="25"/>
    <n v="59"/>
    <n v="0"/>
    <n v="69.489999999999995"/>
    <n v="185.18"/>
    <m/>
    <n v="92.397536067834494"/>
    <n v="198.13390838089941"/>
    <n v="0"/>
    <n v="443628.19041999994"/>
    <n v="1182199.86044"/>
    <n v="0"/>
    <n v="589871.22931414738"/>
    <n v="1264898.3628703479"/>
  </r>
  <r>
    <s v="Sistema de Compensação"/>
    <x v="1"/>
    <x v="2"/>
    <x v="0"/>
    <x v="0"/>
    <x v="0"/>
    <x v="0"/>
    <x v="0"/>
    <x v="1"/>
    <n v="0"/>
    <n v="0"/>
    <n v="326.16800000000001"/>
    <n v="326.16800000000001"/>
    <n v="326.16800000000001"/>
    <n v="326.16800000000001"/>
    <n v="0"/>
    <x v="1"/>
    <n v="0"/>
    <n v="0"/>
    <n v="25"/>
    <n v="59"/>
    <n v="0"/>
    <n v="69.489999999999995"/>
    <n v="185.18"/>
    <m/>
    <n v="92.397536067834494"/>
    <n v="198.13390838089941"/>
    <n v="0"/>
    <n v="22665.41432"/>
    <n v="60399.790240000002"/>
    <n v="0"/>
    <n v="30137.119544173442"/>
    <n v="64624.940628781202"/>
  </r>
  <r>
    <s v="Regular"/>
    <x v="1"/>
    <x v="2"/>
    <x v="0"/>
    <x v="0"/>
    <x v="0"/>
    <x v="0"/>
    <x v="0"/>
    <x v="2"/>
    <n v="0"/>
    <n v="0"/>
    <n v="6651.0119999999997"/>
    <n v="6651.0119999999997"/>
    <n v="6651.0119999999997"/>
    <n v="6651.0119999999997"/>
    <n v="0"/>
    <x v="1"/>
    <n v="0"/>
    <n v="0"/>
    <n v="25"/>
    <n v="59"/>
    <n v="0"/>
    <n v="69.489999999999995"/>
    <n v="185.18"/>
    <m/>
    <n v="92.397536067834494"/>
    <n v="198.13390838089941"/>
    <n v="0"/>
    <n v="462178.82387999992"/>
    <n v="1231634.4021600001"/>
    <n v="0"/>
    <n v="614537.12115759996"/>
    <n v="1317791.0022482625"/>
  </r>
  <r>
    <s v="Sistema de Compensação"/>
    <x v="1"/>
    <x v="2"/>
    <x v="0"/>
    <x v="0"/>
    <x v="0"/>
    <x v="0"/>
    <x v="0"/>
    <x v="2"/>
    <n v="0"/>
    <n v="0"/>
    <n v="325.83699999999999"/>
    <n v="325.83699999999999"/>
    <n v="325.83699999999999"/>
    <n v="325.83699999999999"/>
    <n v="0"/>
    <x v="1"/>
    <n v="0"/>
    <n v="0"/>
    <n v="25"/>
    <n v="59"/>
    <n v="0"/>
    <n v="69.489999999999995"/>
    <n v="185.18"/>
    <m/>
    <n v="92.397536067834494"/>
    <n v="198.13390838089941"/>
    <n v="0"/>
    <n v="22642.413129999997"/>
    <n v="60338.49566"/>
    <n v="0"/>
    <n v="30106.535959734989"/>
    <n v="64559.358305107118"/>
  </r>
  <r>
    <s v="Regular"/>
    <x v="1"/>
    <x v="2"/>
    <x v="0"/>
    <x v="0"/>
    <x v="0"/>
    <x v="0"/>
    <x v="0"/>
    <x v="3"/>
    <n v="0"/>
    <n v="0"/>
    <n v="6546.0789999999997"/>
    <n v="6546.0789999999997"/>
    <n v="6546.0789999999997"/>
    <n v="6546.0789999999997"/>
    <n v="0"/>
    <x v="1"/>
    <n v="0"/>
    <n v="0"/>
    <n v="25"/>
    <n v="59"/>
    <n v="0"/>
    <n v="69.489999999999995"/>
    <n v="185.18"/>
    <m/>
    <n v="92.397536067834494"/>
    <n v="198.13390838089941"/>
    <n v="0"/>
    <n v="454887.02970999997"/>
    <n v="1212202.90922"/>
    <n v="0"/>
    <n v="604841.5705053939"/>
    <n v="1297000.2168401296"/>
  </r>
  <r>
    <s v="Sistema de Compensação"/>
    <x v="1"/>
    <x v="2"/>
    <x v="0"/>
    <x v="0"/>
    <x v="0"/>
    <x v="0"/>
    <x v="0"/>
    <x v="3"/>
    <n v="0"/>
    <n v="0"/>
    <n v="305.10700000000003"/>
    <n v="305.10700000000003"/>
    <n v="305.10700000000003"/>
    <n v="305.10700000000003"/>
    <n v="0"/>
    <x v="1"/>
    <n v="0"/>
    <n v="0"/>
    <n v="25"/>
    <n v="59"/>
    <n v="0"/>
    <n v="69.489999999999995"/>
    <n v="185.18"/>
    <m/>
    <n v="92.397536067834494"/>
    <n v="198.13390838089941"/>
    <n v="0"/>
    <n v="21201.885430000002"/>
    <n v="56499.714260000008"/>
    <n v="0"/>
    <n v="28191.135037048782"/>
    <n v="60452.042384371081"/>
  </r>
  <r>
    <s v="Regular"/>
    <x v="1"/>
    <x v="2"/>
    <x v="0"/>
    <x v="0"/>
    <x v="0"/>
    <x v="0"/>
    <x v="0"/>
    <x v="4"/>
    <n v="0"/>
    <n v="0"/>
    <n v="5027.9440000000004"/>
    <n v="5027.9440000000004"/>
    <n v="5027.9440000000004"/>
    <n v="5027.9440000000004"/>
    <n v="0"/>
    <x v="1"/>
    <n v="0"/>
    <n v="0"/>
    <n v="25"/>
    <n v="59"/>
    <n v="0"/>
    <n v="69.489999999999995"/>
    <n v="185.18"/>
    <m/>
    <n v="92.397536067834494"/>
    <n v="198.13390838089941"/>
    <n v="0"/>
    <n v="349391.82855999999"/>
    <n v="931074.66992000013"/>
    <n v="0"/>
    <n v="464569.63708705205"/>
    <n v="996206.19584029296"/>
  </r>
  <r>
    <s v="Sistema de Compensação"/>
    <x v="1"/>
    <x v="2"/>
    <x v="0"/>
    <x v="0"/>
    <x v="0"/>
    <x v="0"/>
    <x v="0"/>
    <x v="4"/>
    <n v="0"/>
    <n v="0"/>
    <n v="295.52"/>
    <n v="295.52"/>
    <n v="295.52"/>
    <n v="295.52"/>
    <n v="0"/>
    <x v="1"/>
    <n v="0"/>
    <n v="0"/>
    <n v="25"/>
    <n v="59"/>
    <n v="0"/>
    <n v="69.489999999999995"/>
    <n v="185.18"/>
    <m/>
    <n v="92.397536067834494"/>
    <n v="198.13390838089941"/>
    <n v="0"/>
    <n v="20535.684799999995"/>
    <n v="54724.393599999996"/>
    <n v="0"/>
    <n v="27305.319858766448"/>
    <n v="58552.53260472339"/>
  </r>
  <r>
    <s v="Regular"/>
    <x v="1"/>
    <x v="2"/>
    <x v="0"/>
    <x v="0"/>
    <x v="0"/>
    <x v="0"/>
    <x v="0"/>
    <x v="5"/>
    <n v="0"/>
    <n v="0"/>
    <n v="4723.2650000000003"/>
    <n v="4723.2650000000003"/>
    <n v="4723.2650000000003"/>
    <n v="4723.2650000000003"/>
    <n v="0"/>
    <x v="1"/>
    <n v="0"/>
    <n v="0"/>
    <n v="25"/>
    <n v="59"/>
    <n v="0"/>
    <n v="69.489999999999995"/>
    <n v="185.18"/>
    <m/>
    <n v="92.397536067834494"/>
    <n v="198.13390838089941"/>
    <n v="0"/>
    <n v="328219.68485000002"/>
    <n v="874654.21270000015"/>
    <n v="0"/>
    <n v="436418.04819544032"/>
    <n v="935838.95476870891"/>
  </r>
  <r>
    <s v="Regular"/>
    <x v="1"/>
    <x v="2"/>
    <x v="0"/>
    <x v="0"/>
    <x v="0"/>
    <x v="0"/>
    <x v="0"/>
    <x v="6"/>
    <n v="0"/>
    <n v="0"/>
    <n v="4143.5569999999998"/>
    <n v="4143.5569999999998"/>
    <n v="4143.5569999999998"/>
    <n v="4143.5569999999998"/>
    <n v="0"/>
    <x v="1"/>
    <n v="0"/>
    <n v="0"/>
    <n v="25"/>
    <n v="59"/>
    <n v="0"/>
    <n v="69.489999999999995"/>
    <n v="185.18"/>
    <m/>
    <n v="92.397536067834494"/>
    <n v="198.13390838089941"/>
    <n v="0"/>
    <n v="287935.77592999995"/>
    <n v="767303.88526000001"/>
    <n v="0"/>
    <n v="382854.45735662809"/>
    <n v="820979.14300903433"/>
  </r>
  <r>
    <s v="Sistema de Compensação"/>
    <x v="1"/>
    <x v="2"/>
    <x v="0"/>
    <x v="0"/>
    <x v="0"/>
    <x v="0"/>
    <x v="0"/>
    <x v="6"/>
    <n v="0"/>
    <n v="0"/>
    <n v="274.983"/>
    <n v="274.983"/>
    <n v="274.983"/>
    <n v="274.983"/>
    <n v="0"/>
    <x v="1"/>
    <n v="0"/>
    <n v="0"/>
    <n v="25"/>
    <n v="59"/>
    <n v="0"/>
    <n v="69.489999999999995"/>
    <n v="185.18"/>
    <m/>
    <n v="92.397536067834494"/>
    <n v="198.13390838089941"/>
    <n v="0"/>
    <n v="19108.568670000001"/>
    <n v="50921.35194"/>
    <n v="0"/>
    <n v="25407.751660541333"/>
    <n v="54483.456528304865"/>
  </r>
  <r>
    <s v="Regular"/>
    <x v="1"/>
    <x v="2"/>
    <x v="0"/>
    <x v="0"/>
    <x v="0"/>
    <x v="0"/>
    <x v="0"/>
    <x v="7"/>
    <n v="0"/>
    <n v="0"/>
    <n v="4078.538"/>
    <n v="4078.538"/>
    <n v="4078.538"/>
    <n v="4078.538"/>
    <n v="0"/>
    <x v="1"/>
    <n v="0"/>
    <n v="0"/>
    <n v="25"/>
    <n v="59"/>
    <n v="0"/>
    <n v="69.489999999999995"/>
    <n v="185.18"/>
    <m/>
    <n v="92.397536067834494"/>
    <n v="198.13390838089941"/>
    <n v="0"/>
    <n v="283417.60561999999"/>
    <n v="755263.66684000008"/>
    <n v="0"/>
    <n v="376846.86195903359"/>
    <n v="808096.6744200167"/>
  </r>
  <r>
    <s v="Refaturamento - Regular"/>
    <x v="1"/>
    <x v="2"/>
    <x v="0"/>
    <x v="0"/>
    <x v="0"/>
    <x v="0"/>
    <x v="0"/>
    <x v="7"/>
    <n v="0"/>
    <n v="0"/>
    <n v="-1.357"/>
    <n v="-1.357"/>
    <n v="-1.357"/>
    <n v="-1.357"/>
    <n v="0"/>
    <x v="1"/>
    <n v="0"/>
    <n v="0"/>
    <n v="25"/>
    <n v="59"/>
    <n v="0"/>
    <n v="69.489999999999995"/>
    <n v="185.18"/>
    <m/>
    <n v="92.397536067834494"/>
    <n v="198.13390838089941"/>
    <n v="0"/>
    <n v="-94.297929999999994"/>
    <n v="-251.28926000000001"/>
    <n v="0"/>
    <n v="-125.3834564440514"/>
    <n v="-268.86771367288048"/>
  </r>
  <r>
    <s v="Sistema de Compensação"/>
    <x v="1"/>
    <x v="2"/>
    <x v="0"/>
    <x v="0"/>
    <x v="0"/>
    <x v="0"/>
    <x v="0"/>
    <x v="7"/>
    <n v="0"/>
    <n v="0"/>
    <n v="376.36700000000002"/>
    <n v="376.36700000000002"/>
    <n v="376.36700000000002"/>
    <n v="376.36700000000002"/>
    <n v="0"/>
    <x v="1"/>
    <n v="0"/>
    <n v="0"/>
    <n v="25"/>
    <n v="59"/>
    <n v="0"/>
    <n v="69.489999999999995"/>
    <n v="185.18"/>
    <m/>
    <n v="92.397536067834494"/>
    <n v="198.13390838089941"/>
    <n v="0"/>
    <n v="26153.742829999999"/>
    <n v="69695.641060000009"/>
    <n v="0"/>
    <n v="34775.383457242664"/>
    <n v="74571.064695593974"/>
  </r>
  <r>
    <s v="Regular"/>
    <x v="1"/>
    <x v="2"/>
    <x v="0"/>
    <x v="0"/>
    <x v="0"/>
    <x v="0"/>
    <x v="0"/>
    <x v="8"/>
    <n v="0"/>
    <n v="0"/>
    <n v="4207.1940000000004"/>
    <n v="4207.1940000000004"/>
    <n v="4207.1940000000004"/>
    <n v="4207.1940000000004"/>
    <n v="0"/>
    <x v="1"/>
    <n v="0"/>
    <n v="0"/>
    <n v="25"/>
    <n v="59"/>
    <n v="0"/>
    <n v="69.489999999999995"/>
    <n v="185.18"/>
    <m/>
    <n v="92.397536067834494"/>
    <n v="198.13390838089941"/>
    <n v="0"/>
    <n v="292357.91106000001"/>
    <n v="779088.18492000015"/>
    <n v="0"/>
    <n v="388734.35935937689"/>
    <n v="833587.79053666978"/>
  </r>
  <r>
    <s v="Sistema de Compensação"/>
    <x v="1"/>
    <x v="2"/>
    <x v="0"/>
    <x v="0"/>
    <x v="0"/>
    <x v="0"/>
    <x v="0"/>
    <x v="8"/>
    <n v="0"/>
    <n v="0"/>
    <n v="413.221"/>
    <n v="413.221"/>
    <n v="413.221"/>
    <n v="413.221"/>
    <n v="0"/>
    <x v="1"/>
    <n v="0"/>
    <n v="0"/>
    <n v="25"/>
    <n v="59"/>
    <n v="0"/>
    <n v="69.489999999999995"/>
    <n v="185.18"/>
    <m/>
    <n v="92.397536067834494"/>
    <n v="198.13390838089941"/>
    <n v="0"/>
    <n v="28714.727289999999"/>
    <n v="76520.264779999998"/>
    <n v="0"/>
    <n v="38180.602251486634"/>
    <n v="81873.091755063637"/>
  </r>
  <r>
    <s v="Regular"/>
    <x v="1"/>
    <x v="2"/>
    <x v="0"/>
    <x v="0"/>
    <x v="0"/>
    <x v="0"/>
    <x v="0"/>
    <x v="9"/>
    <n v="0"/>
    <n v="0"/>
    <n v="3910.3020000000001"/>
    <n v="3910.3020000000001"/>
    <n v="3910.3020000000001"/>
    <n v="3910.3020000000001"/>
    <n v="0"/>
    <x v="1"/>
    <n v="0"/>
    <n v="0"/>
    <n v="25"/>
    <n v="59"/>
    <n v="0"/>
    <n v="69.489999999999995"/>
    <n v="185.18"/>
    <m/>
    <n v="92.397536067834494"/>
    <n v="198.13390838089941"/>
    <n v="0"/>
    <n v="271726.88597999996"/>
    <n v="724109.72436000011"/>
    <n v="0"/>
    <n v="361302.27008112537"/>
    <n v="774763.41820964776"/>
  </r>
  <r>
    <s v="Refaturamento - Regular"/>
    <x v="1"/>
    <x v="2"/>
    <x v="0"/>
    <x v="0"/>
    <x v="0"/>
    <x v="0"/>
    <x v="0"/>
    <x v="9"/>
    <n v="0"/>
    <n v="0"/>
    <n v="-24.974"/>
    <n v="-24.974"/>
    <n v="-24.974"/>
    <n v="-24.974"/>
    <n v="0"/>
    <x v="1"/>
    <n v="0"/>
    <n v="0"/>
    <n v="25"/>
    <n v="59"/>
    <n v="0"/>
    <n v="69.489999999999995"/>
    <n v="185.18"/>
    <m/>
    <n v="92.397536067834494"/>
    <n v="198.13390838089941"/>
    <n v="0"/>
    <n v="-1735.4432599999998"/>
    <n v="-4624.6853200000005"/>
    <n v="0"/>
    <n v="-2307.5360657580986"/>
    <n v="-4948.196227904582"/>
  </r>
  <r>
    <s v="Sistema de Compensação"/>
    <x v="1"/>
    <x v="2"/>
    <x v="0"/>
    <x v="0"/>
    <x v="0"/>
    <x v="0"/>
    <x v="0"/>
    <x v="9"/>
    <n v="0"/>
    <n v="0"/>
    <n v="544.74599999999998"/>
    <n v="544.74599999999998"/>
    <n v="544.74599999999998"/>
    <n v="544.74599999999998"/>
    <n v="0"/>
    <x v="1"/>
    <n v="0"/>
    <n v="0"/>
    <n v="25"/>
    <n v="59"/>
    <n v="0"/>
    <n v="69.489999999999995"/>
    <n v="185.18"/>
    <m/>
    <n v="92.397536067834494"/>
    <n v="198.13390838089941"/>
    <n v="0"/>
    <n v="37854.399539999999"/>
    <n v="100876.06428000001"/>
    <n v="0"/>
    <n v="50333.188182808568"/>
    <n v="107932.65405486143"/>
  </r>
  <r>
    <s v="Regular"/>
    <x v="1"/>
    <x v="2"/>
    <x v="0"/>
    <x v="0"/>
    <x v="0"/>
    <x v="0"/>
    <x v="0"/>
    <x v="10"/>
    <n v="0"/>
    <n v="0"/>
    <n v="3453.2510000000002"/>
    <n v="3453.2510000000002"/>
    <n v="3453.2510000000002"/>
    <n v="3453.2510000000002"/>
    <n v="0"/>
    <x v="1"/>
    <n v="0"/>
    <n v="0"/>
    <n v="25"/>
    <n v="59"/>
    <n v="0"/>
    <n v="69.489999999999995"/>
    <n v="185.18"/>
    <m/>
    <n v="92.397536067834494"/>
    <n v="198.13390838089941"/>
    <n v="0"/>
    <n v="239966.41198999999"/>
    <n v="639473.02018000011"/>
    <n v="0"/>
    <n v="319071.88382378558"/>
    <n v="684206.11725024937"/>
  </r>
  <r>
    <s v="Refaturamento - Regular"/>
    <x v="1"/>
    <x v="2"/>
    <x v="0"/>
    <x v="0"/>
    <x v="0"/>
    <x v="0"/>
    <x v="0"/>
    <x v="10"/>
    <n v="0"/>
    <n v="0"/>
    <n v="-39.677999999999997"/>
    <n v="-39.677999999999997"/>
    <n v="-39.677999999999997"/>
    <n v="-39.677999999999997"/>
    <n v="0"/>
    <x v="1"/>
    <n v="0"/>
    <n v="0"/>
    <n v="25"/>
    <n v="59"/>
    <n v="0"/>
    <n v="69.489999999999995"/>
    <n v="185.18"/>
    <m/>
    <n v="92.397536067834494"/>
    <n v="198.13390838089941"/>
    <n v="0"/>
    <n v="-2757.2242199999996"/>
    <n v="-7347.57204"/>
    <n v="0"/>
    <n v="-3666.1494360995366"/>
    <n v="-7861.5572167373266"/>
  </r>
  <r>
    <s v="Sistema de Compensação"/>
    <x v="1"/>
    <x v="2"/>
    <x v="0"/>
    <x v="0"/>
    <x v="0"/>
    <x v="0"/>
    <x v="0"/>
    <x v="10"/>
    <n v="0"/>
    <n v="0"/>
    <n v="423.47500000000002"/>
    <n v="423.47500000000002"/>
    <n v="423.47500000000002"/>
    <n v="423.47500000000002"/>
    <n v="0"/>
    <x v="1"/>
    <n v="0"/>
    <n v="0"/>
    <n v="25"/>
    <n v="59"/>
    <n v="0"/>
    <n v="69.489999999999995"/>
    <n v="185.18"/>
    <m/>
    <n v="92.397536067834494"/>
    <n v="198.13390838089941"/>
    <n v="0"/>
    <n v="29427.277750000001"/>
    <n v="78419.1005"/>
    <n v="0"/>
    <n v="39128.046586326214"/>
    <n v="83904.756851601385"/>
  </r>
  <r>
    <s v="Regular"/>
    <x v="1"/>
    <x v="2"/>
    <x v="0"/>
    <x v="0"/>
    <x v="0"/>
    <x v="0"/>
    <x v="0"/>
    <x v="11"/>
    <n v="0"/>
    <n v="0"/>
    <n v="3650.1289999999999"/>
    <n v="3650.1289999999999"/>
    <n v="3650.1289999999999"/>
    <n v="3650.1289999999999"/>
    <n v="0"/>
    <x v="1"/>
    <n v="0"/>
    <n v="0"/>
    <n v="25"/>
    <n v="59"/>
    <n v="0"/>
    <n v="69.489999999999995"/>
    <n v="185.18"/>
    <m/>
    <n v="92.397536067834494"/>
    <n v="198.13390838089941"/>
    <n v="0"/>
    <n v="253647.46420999998"/>
    <n v="675930.88821999996"/>
    <n v="0"/>
    <n v="337262.92592974863"/>
    <n v="723214.324864464"/>
  </r>
  <r>
    <s v="Sistema de Compensação"/>
    <x v="1"/>
    <x v="2"/>
    <x v="0"/>
    <x v="0"/>
    <x v="0"/>
    <x v="0"/>
    <x v="0"/>
    <x v="11"/>
    <n v="0"/>
    <n v="0"/>
    <n v="512.01099999999997"/>
    <n v="512.01099999999997"/>
    <n v="512.01099999999997"/>
    <n v="512.01099999999997"/>
    <n v="0"/>
    <x v="1"/>
    <n v="0"/>
    <n v="0"/>
    <n v="25"/>
    <n v="59"/>
    <n v="0"/>
    <n v="69.489999999999995"/>
    <n v="185.18"/>
    <m/>
    <n v="92.397536067834494"/>
    <n v="198.13390838089941"/>
    <n v="0"/>
    <n v="35579.644389999994"/>
    <n v="94814.196979999993"/>
    <n v="0"/>
    <n v="47308.554839628006"/>
    <n v="101446.74056401268"/>
  </r>
  <r>
    <s v="Regular"/>
    <x v="1"/>
    <x v="2"/>
    <x v="0"/>
    <x v="0"/>
    <x v="0"/>
    <x v="0"/>
    <x v="1"/>
    <x v="0"/>
    <n v="28804"/>
    <n v="28804"/>
    <n v="0"/>
    <n v="0"/>
    <n v="0"/>
    <n v="0"/>
    <n v="80"/>
    <x v="1"/>
    <n v="0"/>
    <n v="18"/>
    <n v="0"/>
    <n v="0"/>
    <n v="26.17"/>
    <n v="0"/>
    <n v="0"/>
    <n v="27.746237112155811"/>
    <m/>
    <m/>
    <n v="753800.68"/>
    <n v="0"/>
    <n v="0"/>
    <n v="799202.61377853598"/>
    <n v="0"/>
    <n v="0"/>
  </r>
  <r>
    <s v="Refaturamento - Regular"/>
    <x v="1"/>
    <x v="2"/>
    <x v="0"/>
    <x v="0"/>
    <x v="0"/>
    <x v="0"/>
    <x v="1"/>
    <x v="0"/>
    <n v="-4373"/>
    <n v="-4373"/>
    <n v="0"/>
    <n v="0"/>
    <n v="0"/>
    <n v="0"/>
    <n v="0"/>
    <x v="1"/>
    <n v="0"/>
    <n v="18"/>
    <n v="0"/>
    <n v="0"/>
    <n v="26.17"/>
    <n v="0"/>
    <n v="0"/>
    <n v="27.746237112155811"/>
    <m/>
    <m/>
    <n v="-114441.41"/>
    <n v="0"/>
    <n v="0"/>
    <n v="-121334.29489145736"/>
    <n v="0"/>
    <n v="0"/>
  </r>
  <r>
    <s v="Sistema de Compensação"/>
    <x v="1"/>
    <x v="2"/>
    <x v="0"/>
    <x v="0"/>
    <x v="0"/>
    <x v="0"/>
    <x v="1"/>
    <x v="0"/>
    <n v="1727"/>
    <n v="1727"/>
    <n v="0"/>
    <n v="0"/>
    <n v="0"/>
    <n v="0"/>
    <n v="5"/>
    <x v="1"/>
    <n v="0"/>
    <n v="18"/>
    <n v="0"/>
    <n v="0"/>
    <n v="26.17"/>
    <n v="0"/>
    <n v="0"/>
    <n v="27.746237112155811"/>
    <m/>
    <m/>
    <n v="45195.590000000004"/>
    <n v="0"/>
    <n v="0"/>
    <n v="47917.751492693082"/>
    <n v="0"/>
    <n v="0"/>
  </r>
  <r>
    <s v="Regular"/>
    <x v="1"/>
    <x v="2"/>
    <x v="0"/>
    <x v="0"/>
    <x v="0"/>
    <x v="0"/>
    <x v="1"/>
    <x v="1"/>
    <n v="24242"/>
    <n v="24242"/>
    <n v="0"/>
    <n v="0"/>
    <n v="0"/>
    <n v="0"/>
    <n v="79"/>
    <x v="1"/>
    <n v="0"/>
    <n v="18"/>
    <n v="0"/>
    <n v="0"/>
    <n v="26.17"/>
    <n v="0"/>
    <n v="0"/>
    <n v="27.746237112155811"/>
    <m/>
    <m/>
    <n v="634413.14"/>
    <n v="0"/>
    <n v="0"/>
    <n v="672624.28007288114"/>
    <n v="0"/>
    <n v="0"/>
  </r>
  <r>
    <s v="Sistema de Compensação"/>
    <x v="1"/>
    <x v="2"/>
    <x v="0"/>
    <x v="0"/>
    <x v="0"/>
    <x v="0"/>
    <x v="1"/>
    <x v="1"/>
    <n v="1727"/>
    <n v="1727"/>
    <n v="0"/>
    <n v="0"/>
    <n v="0"/>
    <n v="0"/>
    <n v="5"/>
    <x v="1"/>
    <n v="0"/>
    <n v="18"/>
    <n v="0"/>
    <n v="0"/>
    <n v="26.17"/>
    <n v="0"/>
    <n v="0"/>
    <n v="27.746237112155811"/>
    <m/>
    <m/>
    <n v="45195.590000000004"/>
    <n v="0"/>
    <n v="0"/>
    <n v="47917.751492693082"/>
    <n v="0"/>
    <n v="0"/>
  </r>
  <r>
    <s v="Regular"/>
    <x v="1"/>
    <x v="2"/>
    <x v="0"/>
    <x v="0"/>
    <x v="0"/>
    <x v="0"/>
    <x v="1"/>
    <x v="2"/>
    <n v="24830"/>
    <n v="24830"/>
    <n v="0"/>
    <n v="0"/>
    <n v="0"/>
    <n v="0"/>
    <n v="79"/>
    <x v="1"/>
    <n v="0"/>
    <n v="18"/>
    <n v="0"/>
    <n v="0"/>
    <n v="26.17"/>
    <n v="0"/>
    <n v="0"/>
    <n v="27.746237112155811"/>
    <m/>
    <m/>
    <n v="649801.10000000009"/>
    <n v="0"/>
    <n v="0"/>
    <n v="688939.06749482884"/>
    <n v="0"/>
    <n v="0"/>
  </r>
  <r>
    <s v="Sistema de Compensação"/>
    <x v="1"/>
    <x v="2"/>
    <x v="0"/>
    <x v="0"/>
    <x v="0"/>
    <x v="0"/>
    <x v="1"/>
    <x v="2"/>
    <n v="1727"/>
    <n v="1727"/>
    <n v="0"/>
    <n v="0"/>
    <n v="0"/>
    <n v="0"/>
    <n v="5"/>
    <x v="1"/>
    <n v="0"/>
    <n v="18"/>
    <n v="0"/>
    <n v="0"/>
    <n v="26.17"/>
    <n v="0"/>
    <n v="0"/>
    <n v="27.746237112155811"/>
    <m/>
    <m/>
    <n v="45195.590000000004"/>
    <n v="0"/>
    <n v="0"/>
    <n v="47917.751492693082"/>
    <n v="0"/>
    <n v="0"/>
  </r>
  <r>
    <s v="Regular"/>
    <x v="1"/>
    <x v="2"/>
    <x v="0"/>
    <x v="0"/>
    <x v="0"/>
    <x v="0"/>
    <x v="1"/>
    <x v="3"/>
    <n v="24987"/>
    <n v="24987"/>
    <n v="0"/>
    <n v="0"/>
    <n v="0"/>
    <n v="0"/>
    <n v="79"/>
    <x v="1"/>
    <n v="0"/>
    <n v="18"/>
    <n v="0"/>
    <n v="0"/>
    <n v="26.17"/>
    <n v="0"/>
    <n v="0"/>
    <n v="27.746237112155811"/>
    <m/>
    <m/>
    <n v="653909.79"/>
    <n v="0"/>
    <n v="0"/>
    <n v="693295.2267214373"/>
    <n v="0"/>
    <n v="0"/>
  </r>
  <r>
    <s v="Sistema de Compensação"/>
    <x v="1"/>
    <x v="2"/>
    <x v="0"/>
    <x v="0"/>
    <x v="0"/>
    <x v="0"/>
    <x v="1"/>
    <x v="3"/>
    <n v="1727"/>
    <n v="1727"/>
    <n v="0"/>
    <n v="0"/>
    <n v="0"/>
    <n v="0"/>
    <n v="5"/>
    <x v="1"/>
    <n v="0"/>
    <n v="18"/>
    <n v="0"/>
    <n v="0"/>
    <n v="26.17"/>
    <n v="0"/>
    <n v="0"/>
    <n v="27.746237112155811"/>
    <m/>
    <m/>
    <n v="45195.590000000004"/>
    <n v="0"/>
    <n v="0"/>
    <n v="47917.751492693082"/>
    <n v="0"/>
    <n v="0"/>
  </r>
  <r>
    <s v="Regular"/>
    <x v="1"/>
    <x v="2"/>
    <x v="0"/>
    <x v="0"/>
    <x v="0"/>
    <x v="0"/>
    <x v="1"/>
    <x v="4"/>
    <n v="21281"/>
    <n v="21281"/>
    <n v="0"/>
    <n v="0"/>
    <n v="0"/>
    <n v="0"/>
    <n v="80"/>
    <x v="1"/>
    <n v="0"/>
    <n v="18"/>
    <n v="0"/>
    <n v="0"/>
    <n v="26.17"/>
    <n v="0"/>
    <n v="0"/>
    <n v="27.746237112155811"/>
    <m/>
    <m/>
    <n v="556923.77"/>
    <n v="0"/>
    <n v="0"/>
    <n v="590467.67198378779"/>
    <n v="0"/>
    <n v="0"/>
  </r>
  <r>
    <s v="Sistema de Compensação"/>
    <x v="1"/>
    <x v="2"/>
    <x v="0"/>
    <x v="0"/>
    <x v="0"/>
    <x v="0"/>
    <x v="1"/>
    <x v="4"/>
    <n v="1727"/>
    <n v="1727"/>
    <n v="0"/>
    <n v="0"/>
    <n v="0"/>
    <n v="0"/>
    <n v="5"/>
    <x v="1"/>
    <n v="0"/>
    <n v="18"/>
    <n v="0"/>
    <n v="0"/>
    <n v="26.17"/>
    <n v="0"/>
    <n v="0"/>
    <n v="27.746237112155811"/>
    <m/>
    <m/>
    <n v="45195.590000000004"/>
    <n v="0"/>
    <n v="0"/>
    <n v="47917.751492693082"/>
    <n v="0"/>
    <n v="0"/>
  </r>
  <r>
    <s v="Regular"/>
    <x v="1"/>
    <x v="2"/>
    <x v="0"/>
    <x v="0"/>
    <x v="0"/>
    <x v="0"/>
    <x v="1"/>
    <x v="5"/>
    <n v="21331"/>
    <n v="21331"/>
    <n v="0"/>
    <n v="0"/>
    <n v="0"/>
    <n v="0"/>
    <n v="79"/>
    <x v="1"/>
    <n v="0"/>
    <n v="18"/>
    <n v="0"/>
    <n v="0"/>
    <n v="26.17"/>
    <n v="0"/>
    <n v="0"/>
    <n v="27.746237112155811"/>
    <m/>
    <m/>
    <n v="558232.27"/>
    <n v="0"/>
    <n v="0"/>
    <n v="591854.98383939557"/>
    <n v="0"/>
    <n v="0"/>
  </r>
  <r>
    <s v="Regular"/>
    <x v="1"/>
    <x v="2"/>
    <x v="0"/>
    <x v="0"/>
    <x v="0"/>
    <x v="0"/>
    <x v="1"/>
    <x v="6"/>
    <n v="21078"/>
    <n v="21078"/>
    <n v="0"/>
    <n v="0"/>
    <n v="0"/>
    <n v="0"/>
    <n v="80"/>
    <x v="1"/>
    <n v="0"/>
    <n v="18"/>
    <n v="0"/>
    <n v="0"/>
    <n v="26.17"/>
    <n v="0"/>
    <n v="0"/>
    <n v="27.746237112155811"/>
    <m/>
    <m/>
    <n v="551611.26"/>
    <n v="0"/>
    <n v="0"/>
    <n v="584835.18585002015"/>
    <n v="0"/>
    <n v="0"/>
  </r>
  <r>
    <s v="Sistema de Compensação"/>
    <x v="1"/>
    <x v="2"/>
    <x v="0"/>
    <x v="0"/>
    <x v="0"/>
    <x v="0"/>
    <x v="1"/>
    <x v="6"/>
    <n v="1706"/>
    <n v="1706"/>
    <n v="0"/>
    <n v="0"/>
    <n v="0"/>
    <n v="0"/>
    <n v="5"/>
    <x v="1"/>
    <n v="0"/>
    <n v="18"/>
    <n v="0"/>
    <n v="0"/>
    <n v="26.17"/>
    <n v="0"/>
    <n v="0"/>
    <n v="27.746237112155811"/>
    <m/>
    <m/>
    <n v="44646.020000000004"/>
    <n v="0"/>
    <n v="0"/>
    <n v="47335.080513337816"/>
    <n v="0"/>
    <n v="0"/>
  </r>
  <r>
    <s v="Regular"/>
    <x v="1"/>
    <x v="2"/>
    <x v="0"/>
    <x v="0"/>
    <x v="0"/>
    <x v="0"/>
    <x v="1"/>
    <x v="7"/>
    <n v="20546"/>
    <n v="20546"/>
    <n v="0"/>
    <n v="0"/>
    <n v="0"/>
    <n v="0"/>
    <n v="77"/>
    <x v="1"/>
    <n v="0"/>
    <n v="18"/>
    <n v="0"/>
    <n v="0"/>
    <n v="26.17"/>
    <n v="0"/>
    <n v="0"/>
    <n v="27.746237112155811"/>
    <m/>
    <m/>
    <n v="537688.82000000007"/>
    <n v="0"/>
    <n v="0"/>
    <n v="570074.18770635326"/>
    <n v="0"/>
    <n v="0"/>
  </r>
  <r>
    <s v="Refaturamento - Regular"/>
    <x v="1"/>
    <x v="2"/>
    <x v="0"/>
    <x v="0"/>
    <x v="0"/>
    <x v="0"/>
    <x v="1"/>
    <x v="7"/>
    <n v="-555"/>
    <n v="-555"/>
    <n v="0"/>
    <n v="0"/>
    <n v="0"/>
    <n v="0"/>
    <n v="-1"/>
    <x v="1"/>
    <n v="0"/>
    <n v="18"/>
    <n v="0"/>
    <n v="0"/>
    <n v="26.17"/>
    <n v="0"/>
    <n v="0"/>
    <n v="27.746237112155811"/>
    <m/>
    <m/>
    <n v="-14524.35"/>
    <n v="0"/>
    <n v="0"/>
    <n v="-15399.161597246475"/>
    <n v="0"/>
    <n v="0"/>
  </r>
  <r>
    <s v="Sistema de Compensação"/>
    <x v="1"/>
    <x v="2"/>
    <x v="0"/>
    <x v="0"/>
    <x v="0"/>
    <x v="0"/>
    <x v="1"/>
    <x v="7"/>
    <n v="2812"/>
    <n v="2812"/>
    <n v="0"/>
    <n v="0"/>
    <n v="0"/>
    <n v="0"/>
    <n v="8"/>
    <x v="1"/>
    <n v="0"/>
    <n v="18"/>
    <n v="0"/>
    <n v="0"/>
    <n v="26.17"/>
    <n v="0"/>
    <n v="0"/>
    <n v="27.746237112155811"/>
    <m/>
    <m/>
    <n v="73590.040000000008"/>
    <n v="0"/>
    <n v="0"/>
    <n v="78022.418759382141"/>
    <n v="0"/>
    <n v="0"/>
  </r>
  <r>
    <s v="Regular"/>
    <x v="1"/>
    <x v="2"/>
    <x v="0"/>
    <x v="0"/>
    <x v="0"/>
    <x v="0"/>
    <x v="1"/>
    <x v="8"/>
    <n v="20348"/>
    <n v="20348"/>
    <n v="0"/>
    <n v="0"/>
    <n v="0"/>
    <n v="0"/>
    <n v="76"/>
    <x v="1"/>
    <n v="0"/>
    <n v="18"/>
    <n v="0"/>
    <n v="0"/>
    <n v="26.17"/>
    <n v="0"/>
    <n v="0"/>
    <n v="27.746237112155811"/>
    <m/>
    <m/>
    <n v="532507.16"/>
    <n v="0"/>
    <n v="0"/>
    <n v="564580.43275814643"/>
    <n v="0"/>
    <n v="0"/>
  </r>
  <r>
    <s v="Sistema de Compensação"/>
    <x v="1"/>
    <x v="2"/>
    <x v="0"/>
    <x v="0"/>
    <x v="0"/>
    <x v="0"/>
    <x v="1"/>
    <x v="8"/>
    <n v="2847"/>
    <n v="2847"/>
    <n v="0"/>
    <n v="0"/>
    <n v="0"/>
    <n v="0"/>
    <n v="9"/>
    <x v="1"/>
    <n v="0"/>
    <n v="18"/>
    <n v="0"/>
    <n v="0"/>
    <n v="26.17"/>
    <n v="0"/>
    <n v="0"/>
    <n v="27.746237112155811"/>
    <m/>
    <m/>
    <n v="74505.990000000005"/>
    <n v="0"/>
    <n v="0"/>
    <n v="78993.5370583076"/>
    <n v="0"/>
    <n v="0"/>
  </r>
  <r>
    <s v="Regular"/>
    <x v="1"/>
    <x v="2"/>
    <x v="0"/>
    <x v="0"/>
    <x v="0"/>
    <x v="0"/>
    <x v="1"/>
    <x v="9"/>
    <n v="18919"/>
    <n v="18919"/>
    <n v="0"/>
    <n v="0"/>
    <n v="0"/>
    <n v="0"/>
    <n v="74"/>
    <x v="1"/>
    <n v="0"/>
    <n v="18"/>
    <n v="0"/>
    <n v="0"/>
    <n v="26.17"/>
    <n v="0"/>
    <n v="0"/>
    <n v="27.746237112155811"/>
    <m/>
    <m/>
    <n v="495110.23000000004"/>
    <n v="0"/>
    <n v="0"/>
    <n v="524931.05992487574"/>
    <n v="0"/>
    <n v="0"/>
  </r>
  <r>
    <s v="Refaturamento - Regular"/>
    <x v="1"/>
    <x v="2"/>
    <x v="0"/>
    <x v="0"/>
    <x v="0"/>
    <x v="0"/>
    <x v="1"/>
    <x v="9"/>
    <n v="-369"/>
    <n v="-369"/>
    <n v="0"/>
    <n v="0"/>
    <n v="0"/>
    <n v="0"/>
    <n v="-1"/>
    <x v="1"/>
    <n v="0"/>
    <n v="18"/>
    <n v="0"/>
    <n v="0"/>
    <n v="26.17"/>
    <n v="0"/>
    <n v="0"/>
    <n v="27.746237112155811"/>
    <m/>
    <m/>
    <n v="-9656.7300000000014"/>
    <n v="0"/>
    <n v="0"/>
    <n v="-10238.361494385494"/>
    <n v="0"/>
    <n v="0"/>
  </r>
  <r>
    <s v="Sistema de Compensação"/>
    <x v="1"/>
    <x v="2"/>
    <x v="0"/>
    <x v="0"/>
    <x v="0"/>
    <x v="0"/>
    <x v="1"/>
    <x v="9"/>
    <n v="3005"/>
    <n v="3005"/>
    <n v="0"/>
    <n v="0"/>
    <n v="0"/>
    <n v="0"/>
    <n v="11"/>
    <x v="1"/>
    <n v="0"/>
    <n v="18"/>
    <n v="0"/>
    <n v="0"/>
    <n v="26.17"/>
    <n v="0"/>
    <n v="0"/>
    <n v="27.746237112155811"/>
    <m/>
    <m/>
    <n v="78640.850000000006"/>
    <n v="0"/>
    <n v="0"/>
    <n v="83377.442522028214"/>
    <n v="0"/>
    <n v="0"/>
  </r>
  <r>
    <s v="Regular"/>
    <x v="1"/>
    <x v="2"/>
    <x v="0"/>
    <x v="0"/>
    <x v="0"/>
    <x v="0"/>
    <x v="1"/>
    <x v="10"/>
    <n v="17965"/>
    <n v="17965"/>
    <n v="0"/>
    <n v="0"/>
    <n v="0"/>
    <n v="0"/>
    <n v="72"/>
    <x v="1"/>
    <n v="0"/>
    <n v="18"/>
    <n v="0"/>
    <n v="0"/>
    <n v="26.17"/>
    <n v="0"/>
    <n v="0"/>
    <n v="27.746237112155811"/>
    <m/>
    <m/>
    <n v="470144.05000000005"/>
    <n v="0"/>
    <n v="0"/>
    <n v="498461.14971987915"/>
    <n v="0"/>
    <n v="0"/>
  </r>
  <r>
    <s v="Refaturamento - Regular"/>
    <x v="1"/>
    <x v="2"/>
    <x v="0"/>
    <x v="0"/>
    <x v="0"/>
    <x v="0"/>
    <x v="1"/>
    <x v="10"/>
    <n v="-170"/>
    <n v="-170"/>
    <n v="0"/>
    <n v="0"/>
    <n v="0"/>
    <n v="0"/>
    <n v="-1"/>
    <x v="1"/>
    <n v="0"/>
    <n v="18"/>
    <n v="0"/>
    <n v="0"/>
    <n v="26.17"/>
    <n v="0"/>
    <n v="0"/>
    <n v="27.746237112155811"/>
    <m/>
    <m/>
    <n v="-4448.9000000000005"/>
    <n v="0"/>
    <n v="0"/>
    <n v="-4716.8603090664874"/>
    <n v="0"/>
    <n v="0"/>
  </r>
  <r>
    <s v="Sistema de Compensação"/>
    <x v="1"/>
    <x v="2"/>
    <x v="0"/>
    <x v="0"/>
    <x v="0"/>
    <x v="0"/>
    <x v="1"/>
    <x v="10"/>
    <n v="2931"/>
    <n v="2931"/>
    <n v="0"/>
    <n v="0"/>
    <n v="0"/>
    <n v="0"/>
    <n v="10"/>
    <x v="1"/>
    <n v="0"/>
    <n v="18"/>
    <n v="0"/>
    <n v="0"/>
    <n v="26.17"/>
    <n v="0"/>
    <n v="0"/>
    <n v="27.746237112155811"/>
    <m/>
    <m/>
    <n v="76704.27"/>
    <n v="0"/>
    <n v="0"/>
    <n v="81324.220975728676"/>
    <n v="0"/>
    <n v="0"/>
  </r>
  <r>
    <s v="Regular"/>
    <x v="1"/>
    <x v="2"/>
    <x v="0"/>
    <x v="0"/>
    <x v="0"/>
    <x v="0"/>
    <x v="1"/>
    <x v="11"/>
    <n v="17901"/>
    <n v="17901"/>
    <n v="0"/>
    <n v="0"/>
    <n v="0"/>
    <n v="0"/>
    <n v="71"/>
    <x v="1"/>
    <n v="0"/>
    <n v="18"/>
    <n v="0"/>
    <n v="0"/>
    <n v="26.17"/>
    <n v="0"/>
    <n v="0"/>
    <n v="27.746237112155811"/>
    <m/>
    <m/>
    <n v="468469.17000000004"/>
    <n v="0"/>
    <n v="0"/>
    <n v="496685.39054470119"/>
    <n v="0"/>
    <n v="0"/>
  </r>
  <r>
    <s v="Sistema de Compensação"/>
    <x v="1"/>
    <x v="2"/>
    <x v="0"/>
    <x v="0"/>
    <x v="0"/>
    <x v="0"/>
    <x v="1"/>
    <x v="11"/>
    <n v="2960"/>
    <n v="2960"/>
    <n v="0"/>
    <n v="0"/>
    <n v="0"/>
    <n v="0"/>
    <n v="10"/>
    <x v="1"/>
    <n v="0"/>
    <n v="18"/>
    <n v="0"/>
    <n v="0"/>
    <n v="26.17"/>
    <n v="0"/>
    <n v="0"/>
    <n v="27.746237112155811"/>
    <m/>
    <m/>
    <n v="77463.200000000012"/>
    <n v="0"/>
    <n v="0"/>
    <n v="82128.861851981201"/>
    <n v="0"/>
    <n v="0"/>
  </r>
  <r>
    <s v="Regular"/>
    <x v="1"/>
    <x v="2"/>
    <x v="0"/>
    <x v="0"/>
    <x v="0"/>
    <x v="0"/>
    <x v="2"/>
    <x v="0"/>
    <n v="0"/>
    <n v="0"/>
    <n v="448.46199999999999"/>
    <n v="448.46199999999999"/>
    <n v="448.46199999999999"/>
    <n v="448.46199999999999"/>
    <n v="0"/>
    <x v="1"/>
    <n v="0"/>
    <n v="0"/>
    <n v="12"/>
    <n v="66"/>
    <n v="0"/>
    <n v="1124.7"/>
    <n v="185.18"/>
    <m/>
    <n v="1194.906449742829"/>
    <n v="198.13390838089941"/>
    <n v="0"/>
    <n v="504385.21140000003"/>
    <n v="83046.193159999995"/>
    <n v="0"/>
    <n v="535870.13626456854"/>
    <n v="88855.52882031491"/>
  </r>
  <r>
    <s v="Refaturamento - Regular"/>
    <x v="1"/>
    <x v="2"/>
    <x v="0"/>
    <x v="0"/>
    <x v="0"/>
    <x v="0"/>
    <x v="2"/>
    <x v="0"/>
    <n v="0"/>
    <n v="0"/>
    <n v="-18.57"/>
    <n v="-18.57"/>
    <n v="-18.57"/>
    <n v="-18.57"/>
    <n v="0"/>
    <x v="1"/>
    <n v="0"/>
    <n v="0"/>
    <n v="12"/>
    <n v="66"/>
    <n v="0"/>
    <n v="1124.7"/>
    <n v="185.18"/>
    <m/>
    <n v="1194.906449742829"/>
    <n v="198.13390838089941"/>
    <n v="0"/>
    <n v="-20885.679"/>
    <n v="-3438.7926000000002"/>
    <n v="0"/>
    <n v="-22189.412771724335"/>
    <n v="-3679.346678633302"/>
  </r>
  <r>
    <s v="Sistema de Compensação"/>
    <x v="1"/>
    <x v="2"/>
    <x v="0"/>
    <x v="0"/>
    <x v="0"/>
    <x v="0"/>
    <x v="2"/>
    <x v="0"/>
    <n v="0"/>
    <n v="0"/>
    <n v="11.151999999999999"/>
    <n v="11.151999999999999"/>
    <n v="11.151999999999999"/>
    <n v="11.151999999999999"/>
    <n v="0"/>
    <x v="1"/>
    <n v="0"/>
    <n v="0"/>
    <n v="12"/>
    <n v="66"/>
    <n v="0"/>
    <n v="1124.7"/>
    <n v="185.18"/>
    <m/>
    <n v="1194.906449742829"/>
    <n v="198.13390838089941"/>
    <n v="0"/>
    <n v="12542.654399999999"/>
    <n v="2065.12736"/>
    <n v="0"/>
    <n v="13325.596727532027"/>
    <n v="2209.58934626379"/>
  </r>
  <r>
    <s v="Regular"/>
    <x v="1"/>
    <x v="2"/>
    <x v="0"/>
    <x v="0"/>
    <x v="0"/>
    <x v="0"/>
    <x v="2"/>
    <x v="1"/>
    <n v="0"/>
    <n v="0"/>
    <n v="409.77499999999998"/>
    <n v="409.77499999999998"/>
    <n v="409.77499999999998"/>
    <n v="409.77499999999998"/>
    <n v="0"/>
    <x v="1"/>
    <n v="0"/>
    <n v="0"/>
    <n v="12"/>
    <n v="66"/>
    <n v="0"/>
    <n v="1124.7"/>
    <n v="185.18"/>
    <m/>
    <n v="1194.906449742829"/>
    <n v="198.13390838089941"/>
    <n v="0"/>
    <n v="460873.9425"/>
    <n v="75882.1345"/>
    <n v="0"/>
    <n v="489642.79044336773"/>
    <n v="81190.322306783055"/>
  </r>
  <r>
    <s v="Sistema de Compensação"/>
    <x v="1"/>
    <x v="2"/>
    <x v="0"/>
    <x v="0"/>
    <x v="0"/>
    <x v="0"/>
    <x v="2"/>
    <x v="1"/>
    <n v="0"/>
    <n v="0"/>
    <n v="16.042999999999999"/>
    <n v="16.042999999999999"/>
    <n v="16.042999999999999"/>
    <n v="16.042999999999999"/>
    <n v="0"/>
    <x v="1"/>
    <n v="0"/>
    <n v="0"/>
    <n v="12"/>
    <n v="66"/>
    <n v="0"/>
    <n v="1124.7"/>
    <n v="185.18"/>
    <m/>
    <n v="1194.906449742829"/>
    <n v="198.13390838089941"/>
    <n v="0"/>
    <n v="18043.562099999999"/>
    <n v="2970.84274"/>
    <n v="0"/>
    <n v="19169.884173224204"/>
    <n v="3178.6622921547691"/>
  </r>
  <r>
    <s v="Regular"/>
    <x v="1"/>
    <x v="2"/>
    <x v="0"/>
    <x v="0"/>
    <x v="0"/>
    <x v="0"/>
    <x v="2"/>
    <x v="2"/>
    <n v="0"/>
    <n v="0"/>
    <n v="396.44200000000001"/>
    <n v="396.44200000000001"/>
    <n v="396.44200000000001"/>
    <n v="396.44200000000001"/>
    <n v="0"/>
    <x v="1"/>
    <n v="0"/>
    <n v="0"/>
    <n v="12"/>
    <n v="66"/>
    <n v="0"/>
    <n v="1124.7"/>
    <n v="185.18"/>
    <m/>
    <n v="1194.906449742829"/>
    <n v="198.13390838089941"/>
    <n v="0"/>
    <n v="445878.3174"/>
    <n v="73413.129560000001"/>
    <n v="0"/>
    <n v="473711.10274894658"/>
    <n v="78548.602906340529"/>
  </r>
  <r>
    <s v="Sistema de Compensação"/>
    <x v="1"/>
    <x v="2"/>
    <x v="0"/>
    <x v="0"/>
    <x v="0"/>
    <x v="0"/>
    <x v="2"/>
    <x v="2"/>
    <n v="0"/>
    <n v="0"/>
    <n v="13.768000000000001"/>
    <n v="13.768000000000001"/>
    <n v="13.768000000000001"/>
    <n v="13.768000000000001"/>
    <n v="0"/>
    <x v="1"/>
    <n v="0"/>
    <n v="0"/>
    <n v="12"/>
    <n v="66"/>
    <n v="0"/>
    <n v="1124.7"/>
    <n v="185.18"/>
    <m/>
    <n v="1194.906449742829"/>
    <n v="198.13390838089941"/>
    <n v="0"/>
    <n v="15484.869600000002"/>
    <n v="2549.5582400000003"/>
    <n v="0"/>
    <n v="16451.472000059272"/>
    <n v="2727.9076505882231"/>
  </r>
  <r>
    <s v="Regular"/>
    <x v="1"/>
    <x v="2"/>
    <x v="0"/>
    <x v="0"/>
    <x v="0"/>
    <x v="0"/>
    <x v="2"/>
    <x v="3"/>
    <n v="0"/>
    <n v="0"/>
    <n v="371.45499999999998"/>
    <n v="371.45499999999998"/>
    <n v="371.45499999999998"/>
    <n v="371.45499999999998"/>
    <n v="0"/>
    <x v="1"/>
    <n v="0"/>
    <n v="0"/>
    <n v="12"/>
    <n v="66"/>
    <n v="0"/>
    <n v="1124.7"/>
    <n v="185.18"/>
    <m/>
    <n v="1194.906449742829"/>
    <n v="198.13390838089941"/>
    <n v="0"/>
    <n v="417775.43849999999"/>
    <n v="68786.036900000006"/>
    <n v="0"/>
    <n v="443853.97528922249"/>
    <n v="73597.83093762699"/>
  </r>
  <r>
    <s v="Sistema de Compensação"/>
    <x v="1"/>
    <x v="2"/>
    <x v="0"/>
    <x v="0"/>
    <x v="0"/>
    <x v="0"/>
    <x v="2"/>
    <x v="3"/>
    <n v="0"/>
    <n v="0"/>
    <n v="10.016"/>
    <n v="10.016"/>
    <n v="10.016"/>
    <n v="10.016"/>
    <n v="0"/>
    <x v="1"/>
    <n v="0"/>
    <n v="0"/>
    <n v="12"/>
    <n v="66"/>
    <n v="0"/>
    <n v="1124.7"/>
    <n v="185.18"/>
    <m/>
    <n v="1194.906449742829"/>
    <n v="198.13390838089941"/>
    <n v="0"/>
    <n v="11264.995200000001"/>
    <n v="1854.76288"/>
    <n v="0"/>
    <n v="11968.183000624174"/>
    <n v="1984.5092263430886"/>
  </r>
  <r>
    <s v="Regular"/>
    <x v="1"/>
    <x v="2"/>
    <x v="0"/>
    <x v="0"/>
    <x v="0"/>
    <x v="0"/>
    <x v="2"/>
    <x v="4"/>
    <n v="0"/>
    <n v="0"/>
    <n v="185.691"/>
    <n v="185.691"/>
    <n v="185.691"/>
    <n v="185.691"/>
    <n v="0"/>
    <x v="1"/>
    <n v="0"/>
    <n v="0"/>
    <n v="12"/>
    <n v="66"/>
    <n v="0"/>
    <n v="1124.7"/>
    <n v="185.18"/>
    <m/>
    <n v="1194.906449742829"/>
    <n v="198.13390838089941"/>
    <n v="0"/>
    <n v="208846.66770000002"/>
    <n v="34386.259380000003"/>
    <n v="0"/>
    <n v="221883.37355919566"/>
    <n v="36791.683581157595"/>
  </r>
  <r>
    <s v="Sistema de Compensação"/>
    <x v="1"/>
    <x v="2"/>
    <x v="0"/>
    <x v="0"/>
    <x v="0"/>
    <x v="0"/>
    <x v="2"/>
    <x v="4"/>
    <n v="0"/>
    <n v="0"/>
    <n v="7.048"/>
    <n v="7.048"/>
    <n v="7.048"/>
    <n v="7.048"/>
    <n v="0"/>
    <x v="1"/>
    <n v="0"/>
    <n v="0"/>
    <n v="12"/>
    <n v="66"/>
    <n v="0"/>
    <n v="1124.7"/>
    <n v="185.18"/>
    <m/>
    <n v="1194.906449742829"/>
    <n v="198.13390838089941"/>
    <n v="0"/>
    <n v="7926.8856000000005"/>
    <n v="1305.1486400000001"/>
    <n v="0"/>
    <n v="8421.7006577874581"/>
    <n v="1396.447786268579"/>
  </r>
  <r>
    <s v="Regular"/>
    <x v="1"/>
    <x v="2"/>
    <x v="0"/>
    <x v="0"/>
    <x v="0"/>
    <x v="0"/>
    <x v="2"/>
    <x v="5"/>
    <n v="0"/>
    <n v="0"/>
    <n v="183.94399999999999"/>
    <n v="183.94399999999999"/>
    <n v="183.94399999999999"/>
    <n v="183.94399999999999"/>
    <n v="0"/>
    <x v="1"/>
    <n v="0"/>
    <n v="0"/>
    <n v="12"/>
    <n v="66"/>
    <n v="0"/>
    <n v="1124.7"/>
    <n v="185.18"/>
    <m/>
    <n v="1194.906449742829"/>
    <n v="198.13390838089941"/>
    <n v="0"/>
    <n v="206881.8168"/>
    <n v="34062.749920000002"/>
    <n v="0"/>
    <n v="219795.8719914949"/>
    <n v="36445.543643216159"/>
  </r>
  <r>
    <s v="Regular"/>
    <x v="1"/>
    <x v="2"/>
    <x v="0"/>
    <x v="0"/>
    <x v="0"/>
    <x v="0"/>
    <x v="2"/>
    <x v="6"/>
    <n v="0"/>
    <n v="0"/>
    <n v="438.71100000000001"/>
    <n v="438.71100000000001"/>
    <n v="438.71100000000001"/>
    <n v="438.71100000000001"/>
    <n v="0"/>
    <x v="1"/>
    <n v="0"/>
    <n v="0"/>
    <n v="12"/>
    <n v="66"/>
    <n v="0"/>
    <n v="1124.7"/>
    <n v="185.18"/>
    <m/>
    <n v="1194.906449742829"/>
    <n v="198.13390838089941"/>
    <n v="0"/>
    <n v="493418.26170000003"/>
    <n v="81240.502980000005"/>
    <n v="0"/>
    <n v="524218.60347312625"/>
    <n v="86923.525079692772"/>
  </r>
  <r>
    <s v="Refaturamento - Regular"/>
    <x v="1"/>
    <x v="2"/>
    <x v="0"/>
    <x v="0"/>
    <x v="0"/>
    <x v="0"/>
    <x v="2"/>
    <x v="6"/>
    <n v="0"/>
    <n v="0"/>
    <n v="-258.69499999999999"/>
    <n v="-258.69499999999999"/>
    <n v="-258.69499999999999"/>
    <n v="-258.69499999999999"/>
    <n v="0"/>
    <x v="1"/>
    <n v="0"/>
    <n v="0"/>
    <n v="12"/>
    <n v="66"/>
    <n v="0"/>
    <n v="1124.7"/>
    <n v="185.18"/>
    <m/>
    <n v="1194.906449742829"/>
    <n v="198.13390838089941"/>
    <n v="0"/>
    <n v="-290954.26650000003"/>
    <n v="-47905.140099999997"/>
    <n v="0"/>
    <n v="-309116.3240162211"/>
    <n v="-51256.25142859677"/>
  </r>
  <r>
    <s v="Sistema de Compensação"/>
    <x v="1"/>
    <x v="2"/>
    <x v="0"/>
    <x v="0"/>
    <x v="0"/>
    <x v="0"/>
    <x v="2"/>
    <x v="6"/>
    <n v="0"/>
    <n v="0"/>
    <n v="18.225999999999999"/>
    <n v="18.225999999999999"/>
    <n v="18.225999999999999"/>
    <n v="18.225999999999999"/>
    <n v="0"/>
    <x v="1"/>
    <n v="0"/>
    <n v="0"/>
    <n v="12"/>
    <n v="66"/>
    <n v="0"/>
    <n v="1124.7"/>
    <n v="185.18"/>
    <m/>
    <n v="1194.906449742829"/>
    <n v="198.13390838089941"/>
    <n v="0"/>
    <n v="20498.782200000001"/>
    <n v="3375.0906799999998"/>
    <n v="0"/>
    <n v="21778.364953012799"/>
    <n v="3611.1886141502723"/>
  </r>
  <r>
    <s v="Regular"/>
    <x v="1"/>
    <x v="2"/>
    <x v="0"/>
    <x v="0"/>
    <x v="0"/>
    <x v="0"/>
    <x v="2"/>
    <x v="7"/>
    <n v="0"/>
    <n v="0"/>
    <n v="158.375"/>
    <n v="158.375"/>
    <n v="158.375"/>
    <n v="158.375"/>
    <n v="0"/>
    <x v="1"/>
    <n v="0"/>
    <n v="0"/>
    <n v="12"/>
    <n v="66"/>
    <n v="0"/>
    <n v="1124.7"/>
    <n v="185.18"/>
    <m/>
    <n v="1194.906449742829"/>
    <n v="198.13390838089941"/>
    <n v="0"/>
    <n v="178124.36250000002"/>
    <n v="29327.8825"/>
    <n v="0"/>
    <n v="189243.30897802053"/>
    <n v="31379.457739824946"/>
  </r>
  <r>
    <s v="Refaturamento - Regular"/>
    <x v="1"/>
    <x v="2"/>
    <x v="0"/>
    <x v="0"/>
    <x v="0"/>
    <x v="0"/>
    <x v="2"/>
    <x v="7"/>
    <n v="0"/>
    <n v="0"/>
    <n v="-0.113"/>
    <n v="-0.113"/>
    <n v="-0.113"/>
    <n v="-0.113"/>
    <n v="0"/>
    <x v="1"/>
    <n v="0"/>
    <n v="0"/>
    <n v="12"/>
    <n v="66"/>
    <n v="0"/>
    <n v="1124.7"/>
    <n v="185.18"/>
    <m/>
    <n v="1194.906449742829"/>
    <n v="198.13390838089941"/>
    <n v="0"/>
    <n v="-127.09110000000001"/>
    <n v="-20.925340000000002"/>
    <n v="0"/>
    <n v="-135.02442882093968"/>
    <n v="-22.389131647041633"/>
  </r>
  <r>
    <s v="Sistema de Compensação"/>
    <x v="1"/>
    <x v="2"/>
    <x v="0"/>
    <x v="0"/>
    <x v="0"/>
    <x v="0"/>
    <x v="2"/>
    <x v="7"/>
    <n v="0"/>
    <n v="0"/>
    <n v="33.058999999999997"/>
    <n v="33.058999999999997"/>
    <n v="33.058999999999997"/>
    <n v="33.058999999999997"/>
    <n v="0"/>
    <x v="1"/>
    <n v="0"/>
    <n v="0"/>
    <n v="12"/>
    <n v="66"/>
    <n v="0"/>
    <n v="1124.7"/>
    <n v="185.18"/>
    <m/>
    <n v="1194.906449742829"/>
    <n v="198.13390838089941"/>
    <n v="0"/>
    <n v="37181.457300000002"/>
    <n v="6121.8656199999996"/>
    <n v="0"/>
    <n v="39502.412322048178"/>
    <n v="6550.1088771641535"/>
  </r>
  <r>
    <s v="Regular"/>
    <x v="1"/>
    <x v="2"/>
    <x v="0"/>
    <x v="0"/>
    <x v="0"/>
    <x v="0"/>
    <x v="2"/>
    <x v="8"/>
    <n v="0"/>
    <n v="0"/>
    <n v="153.41900000000001"/>
    <n v="153.41900000000001"/>
    <n v="153.41900000000001"/>
    <n v="153.41900000000001"/>
    <n v="0"/>
    <x v="1"/>
    <n v="0"/>
    <n v="0"/>
    <n v="12"/>
    <n v="66"/>
    <n v="0"/>
    <n v="1124.7"/>
    <n v="185.18"/>
    <m/>
    <n v="1194.906449742829"/>
    <n v="198.13390838089941"/>
    <n v="0"/>
    <n v="172550.34930000003"/>
    <n v="28410.130420000001"/>
    <n v="0"/>
    <n v="183321.35261309508"/>
    <n v="30397.506089889208"/>
  </r>
  <r>
    <s v="Sistema de Compensação"/>
    <x v="1"/>
    <x v="2"/>
    <x v="0"/>
    <x v="0"/>
    <x v="0"/>
    <x v="0"/>
    <x v="2"/>
    <x v="8"/>
    <n v="0"/>
    <n v="0"/>
    <n v="33.238"/>
    <n v="33.238"/>
    <n v="33.238"/>
    <n v="33.238"/>
    <n v="0"/>
    <x v="1"/>
    <n v="0"/>
    <n v="0"/>
    <n v="12"/>
    <n v="66"/>
    <n v="0"/>
    <n v="1124.7"/>
    <n v="185.18"/>
    <m/>
    <n v="1194.906449742829"/>
    <n v="198.13390838089941"/>
    <n v="0"/>
    <n v="37382.778599999998"/>
    <n v="6155.0128400000003"/>
    <n v="0"/>
    <n v="39716.300576552145"/>
    <n v="6585.5748467643343"/>
  </r>
  <r>
    <s v="Regular"/>
    <x v="1"/>
    <x v="2"/>
    <x v="0"/>
    <x v="0"/>
    <x v="0"/>
    <x v="0"/>
    <x v="2"/>
    <x v="9"/>
    <n v="0"/>
    <n v="0"/>
    <n v="232.14599999999999"/>
    <n v="232.14599999999999"/>
    <n v="232.14599999999999"/>
    <n v="232.14599999999999"/>
    <n v="0"/>
    <x v="1"/>
    <n v="0"/>
    <n v="0"/>
    <n v="12"/>
    <n v="66"/>
    <n v="0"/>
    <n v="1124.7"/>
    <n v="185.18"/>
    <m/>
    <n v="1194.906449742829"/>
    <n v="198.13390838089941"/>
    <n v="0"/>
    <n v="261094.60620000001"/>
    <n v="42988.796280000002"/>
    <n v="0"/>
    <n v="277392.75268199877"/>
    <n v="45995.99429499227"/>
  </r>
  <r>
    <s v="Refaturamento - Regular"/>
    <x v="1"/>
    <x v="2"/>
    <x v="0"/>
    <x v="0"/>
    <x v="0"/>
    <x v="0"/>
    <x v="2"/>
    <x v="9"/>
    <n v="0"/>
    <n v="0"/>
    <n v="-0.154"/>
    <n v="-0.154"/>
    <n v="-0.154"/>
    <n v="-0.154"/>
    <n v="0"/>
    <x v="1"/>
    <n v="0"/>
    <n v="0"/>
    <n v="12"/>
    <n v="66"/>
    <n v="0"/>
    <n v="1124.7"/>
    <n v="185.18"/>
    <m/>
    <n v="1194.906449742829"/>
    <n v="198.13390838089941"/>
    <n v="0"/>
    <n v="-173.2038"/>
    <n v="-28.517720000000001"/>
    <n v="0"/>
    <n v="-184.01559326039566"/>
    <n v="-30.512621890658508"/>
  </r>
  <r>
    <s v="Sistema de Compensação"/>
    <x v="1"/>
    <x v="2"/>
    <x v="0"/>
    <x v="0"/>
    <x v="0"/>
    <x v="0"/>
    <x v="2"/>
    <x v="9"/>
    <n v="0"/>
    <n v="0"/>
    <n v="55.688000000000002"/>
    <n v="55.688000000000002"/>
    <n v="55.688000000000002"/>
    <n v="55.688000000000002"/>
    <n v="0"/>
    <x v="1"/>
    <n v="0"/>
    <n v="0"/>
    <n v="12"/>
    <n v="66"/>
    <n v="0"/>
    <n v="1124.7"/>
    <n v="185.18"/>
    <m/>
    <n v="1194.906449742829"/>
    <n v="198.13390838089941"/>
    <n v="0"/>
    <n v="62632.293600000005"/>
    <n v="10312.30384"/>
    <n v="0"/>
    <n v="66541.950373278669"/>
    <n v="11033.681089915526"/>
  </r>
  <r>
    <s v="Regular"/>
    <x v="1"/>
    <x v="2"/>
    <x v="0"/>
    <x v="0"/>
    <x v="0"/>
    <x v="0"/>
    <x v="2"/>
    <x v="10"/>
    <n v="0"/>
    <n v="0"/>
    <n v="222.875"/>
    <n v="222.875"/>
    <n v="222.875"/>
    <n v="222.875"/>
    <n v="0"/>
    <x v="1"/>
    <n v="0"/>
    <n v="0"/>
    <n v="12"/>
    <n v="66"/>
    <n v="0"/>
    <n v="1124.7"/>
    <n v="185.18"/>
    <m/>
    <n v="1194.906449742829"/>
    <n v="198.13390838089941"/>
    <n v="0"/>
    <n v="250667.51250000001"/>
    <n v="41271.9925"/>
    <n v="0"/>
    <n v="266314.77498643298"/>
    <n v="44159.094830392954"/>
  </r>
  <r>
    <s v="Refaturamento - Regular"/>
    <x v="1"/>
    <x v="2"/>
    <x v="0"/>
    <x v="0"/>
    <x v="0"/>
    <x v="0"/>
    <x v="2"/>
    <x v="10"/>
    <n v="0"/>
    <n v="0"/>
    <n v="-1.2649999999999999"/>
    <n v="-1.2649999999999999"/>
    <n v="-1.2649999999999999"/>
    <n v="-1.2649999999999999"/>
    <n v="0"/>
    <x v="1"/>
    <n v="0"/>
    <n v="0"/>
    <n v="12"/>
    <n v="66"/>
    <n v="0"/>
    <n v="1124.7"/>
    <n v="185.18"/>
    <m/>
    <n v="1194.906449742829"/>
    <n v="198.13390838089941"/>
    <n v="0"/>
    <n v="-1422.7455"/>
    <n v="-234.2527"/>
    <n v="0"/>
    <n v="-1511.5566589246785"/>
    <n v="-250.63939410183775"/>
  </r>
  <r>
    <s v="Sistema de Compensação"/>
    <x v="1"/>
    <x v="2"/>
    <x v="0"/>
    <x v="0"/>
    <x v="0"/>
    <x v="0"/>
    <x v="2"/>
    <x v="10"/>
    <n v="0"/>
    <n v="0"/>
    <n v="29.966000000000001"/>
    <n v="29.966000000000001"/>
    <n v="29.966000000000001"/>
    <n v="29.966000000000001"/>
    <n v="0"/>
    <x v="1"/>
    <n v="0"/>
    <n v="0"/>
    <n v="12"/>
    <n v="66"/>
    <n v="0"/>
    <n v="1124.7"/>
    <n v="185.18"/>
    <m/>
    <n v="1194.906449742829"/>
    <n v="198.13390838089941"/>
    <n v="0"/>
    <n v="33702.760200000004"/>
    <n v="5549.1038800000006"/>
    <n v="0"/>
    <n v="35806.566672993613"/>
    <n v="5937.280698542032"/>
  </r>
  <r>
    <s v="Regular"/>
    <x v="1"/>
    <x v="2"/>
    <x v="0"/>
    <x v="0"/>
    <x v="0"/>
    <x v="0"/>
    <x v="2"/>
    <x v="11"/>
    <n v="0"/>
    <n v="0"/>
    <n v="228.393"/>
    <n v="228.393"/>
    <n v="228.393"/>
    <n v="228.393"/>
    <n v="0"/>
    <x v="1"/>
    <n v="0"/>
    <n v="0"/>
    <n v="12"/>
    <n v="66"/>
    <n v="0"/>
    <n v="1124.7"/>
    <n v="185.18"/>
    <m/>
    <n v="1194.906449742829"/>
    <n v="198.13390838089941"/>
    <n v="0"/>
    <n v="256873.60710000002"/>
    <n v="42293.815739999998"/>
    <n v="0"/>
    <n v="272908.26877611392"/>
    <n v="45252.397736838757"/>
  </r>
  <r>
    <s v="Sistema de Compensação"/>
    <x v="1"/>
    <x v="2"/>
    <x v="0"/>
    <x v="0"/>
    <x v="0"/>
    <x v="0"/>
    <x v="2"/>
    <x v="11"/>
    <n v="0"/>
    <n v="0"/>
    <n v="30.966999999999999"/>
    <n v="30.966999999999999"/>
    <n v="30.966999999999999"/>
    <n v="30.966999999999999"/>
    <n v="0"/>
    <x v="1"/>
    <n v="0"/>
    <n v="0"/>
    <n v="12"/>
    <n v="66"/>
    <n v="0"/>
    <n v="1124.7"/>
    <n v="185.18"/>
    <m/>
    <n v="1194.906449742829"/>
    <n v="198.13390838089941"/>
    <n v="0"/>
    <n v="34828.584900000002"/>
    <n v="5734.4690600000004"/>
    <n v="0"/>
    <n v="37002.668029186185"/>
    <n v="6135.6127408313123"/>
  </r>
  <r>
    <s v="Regular"/>
    <x v="1"/>
    <x v="2"/>
    <x v="4"/>
    <x v="0"/>
    <x v="0"/>
    <x v="0"/>
    <x v="0"/>
    <x v="0"/>
    <n v="0"/>
    <n v="0"/>
    <n v="23.942"/>
    <n v="23.942"/>
    <n v="23.942"/>
    <n v="23.942"/>
    <n v="0"/>
    <x v="1"/>
    <n v="0"/>
    <n v="0"/>
    <n v="25"/>
    <n v="59"/>
    <n v="0"/>
    <n v="69.489999999999995"/>
    <n v="185.18"/>
    <m/>
    <n v="92.397536067834494"/>
    <n v="198.13390838089941"/>
    <n v="0"/>
    <n v="1663.7295799999999"/>
    <n v="4433.5795600000001"/>
    <n v="0"/>
    <n v="2212.1818085360933"/>
    <n v="4743.7220344554935"/>
  </r>
  <r>
    <s v="Refaturamento - Regular"/>
    <x v="1"/>
    <x v="2"/>
    <x v="4"/>
    <x v="0"/>
    <x v="0"/>
    <x v="0"/>
    <x v="0"/>
    <x v="0"/>
    <n v="0"/>
    <n v="0"/>
    <n v="-4.55"/>
    <n v="-4.55"/>
    <n v="-4.55"/>
    <n v="-4.55"/>
    <n v="0"/>
    <x v="1"/>
    <n v="0"/>
    <n v="0"/>
    <n v="25"/>
    <n v="59"/>
    <n v="0"/>
    <n v="69.489999999999995"/>
    <n v="185.18"/>
    <m/>
    <n v="92.397536067834494"/>
    <n v="198.13390838089941"/>
    <n v="0"/>
    <n v="-316.17949999999996"/>
    <n v="-842.56899999999996"/>
    <n v="0"/>
    <n v="-420.40878910864694"/>
    <n v="-901.50928313309225"/>
  </r>
  <r>
    <s v="Regular"/>
    <x v="1"/>
    <x v="2"/>
    <x v="4"/>
    <x v="0"/>
    <x v="0"/>
    <x v="0"/>
    <x v="0"/>
    <x v="1"/>
    <n v="0"/>
    <n v="0"/>
    <n v="20.742999999999999"/>
    <n v="20.742999999999999"/>
    <n v="20.742999999999999"/>
    <n v="20.742999999999999"/>
    <n v="0"/>
    <x v="1"/>
    <n v="0"/>
    <n v="0"/>
    <n v="25"/>
    <n v="59"/>
    <n v="0"/>
    <n v="69.489999999999995"/>
    <n v="185.18"/>
    <m/>
    <n v="92.397536067834494"/>
    <n v="198.13390838089941"/>
    <n v="0"/>
    <n v="1441.4310699999999"/>
    <n v="3841.1887400000001"/>
    <n v="0"/>
    <n v="1916.6020906550907"/>
    <n v="4109.8916615449962"/>
  </r>
  <r>
    <s v="Regular"/>
    <x v="1"/>
    <x v="2"/>
    <x v="4"/>
    <x v="0"/>
    <x v="0"/>
    <x v="0"/>
    <x v="0"/>
    <x v="2"/>
    <n v="0"/>
    <n v="0"/>
    <n v="20.61"/>
    <n v="20.61"/>
    <n v="20.61"/>
    <n v="20.61"/>
    <n v="0"/>
    <x v="1"/>
    <n v="0"/>
    <n v="0"/>
    <n v="25"/>
    <n v="59"/>
    <n v="0"/>
    <n v="69.489999999999995"/>
    <n v="185.18"/>
    <m/>
    <n v="92.397536067834494"/>
    <n v="198.13390838089941"/>
    <n v="0"/>
    <n v="1432.1888999999999"/>
    <n v="3816.5598"/>
    <n v="0"/>
    <n v="1904.313218358069"/>
    <n v="4083.539851730337"/>
  </r>
  <r>
    <s v="Regular"/>
    <x v="1"/>
    <x v="2"/>
    <x v="4"/>
    <x v="0"/>
    <x v="0"/>
    <x v="0"/>
    <x v="0"/>
    <x v="3"/>
    <n v="0"/>
    <n v="0"/>
    <n v="16.742000000000001"/>
    <n v="16.742000000000001"/>
    <n v="16.742000000000001"/>
    <n v="16.742000000000001"/>
    <n v="0"/>
    <x v="1"/>
    <n v="0"/>
    <n v="0"/>
    <n v="25"/>
    <n v="59"/>
    <n v="0"/>
    <n v="69.489999999999995"/>
    <n v="185.18"/>
    <m/>
    <n v="92.397536067834494"/>
    <n v="198.13390838089941"/>
    <n v="0"/>
    <n v="1163.40158"/>
    <n v="3100.2835600000003"/>
    <n v="0"/>
    <n v="1546.9195488476853"/>
    <n v="3317.1578941130183"/>
  </r>
  <r>
    <s v="Regular"/>
    <x v="1"/>
    <x v="2"/>
    <x v="4"/>
    <x v="0"/>
    <x v="0"/>
    <x v="0"/>
    <x v="0"/>
    <x v="4"/>
    <n v="0"/>
    <n v="0"/>
    <n v="19.446000000000002"/>
    <n v="19.446000000000002"/>
    <n v="19.446000000000002"/>
    <n v="19.446000000000002"/>
    <n v="0"/>
    <x v="1"/>
    <n v="0"/>
    <n v="0"/>
    <n v="25"/>
    <n v="59"/>
    <n v="0"/>
    <n v="69.489999999999995"/>
    <n v="185.18"/>
    <m/>
    <n v="92.397536067834494"/>
    <n v="198.13390838089941"/>
    <n v="0"/>
    <n v="1351.3025399999999"/>
    <n v="3601.0102800000004"/>
    <n v="0"/>
    <n v="1796.7624863751098"/>
    <n v="3852.9119823749702"/>
  </r>
  <r>
    <s v="Regular"/>
    <x v="1"/>
    <x v="2"/>
    <x v="4"/>
    <x v="0"/>
    <x v="0"/>
    <x v="0"/>
    <x v="0"/>
    <x v="5"/>
    <n v="0"/>
    <n v="0"/>
    <n v="21.465"/>
    <n v="21.465"/>
    <n v="21.465"/>
    <n v="21.465"/>
    <n v="0"/>
    <x v="1"/>
    <n v="0"/>
    <n v="0"/>
    <n v="25"/>
    <n v="59"/>
    <n v="0"/>
    <n v="69.489999999999995"/>
    <n v="185.18"/>
    <m/>
    <n v="92.397536067834494"/>
    <n v="198.13390838089941"/>
    <n v="0"/>
    <n v="1491.60285"/>
    <n v="3974.8887"/>
    <n v="0"/>
    <n v="1983.3131116960674"/>
    <n v="4252.9443433960059"/>
  </r>
  <r>
    <s v="Regular"/>
    <x v="1"/>
    <x v="2"/>
    <x v="4"/>
    <x v="0"/>
    <x v="0"/>
    <x v="0"/>
    <x v="0"/>
    <x v="6"/>
    <n v="0"/>
    <n v="0"/>
    <n v="20.318000000000001"/>
    <n v="20.318000000000001"/>
    <n v="20.318000000000001"/>
    <n v="20.318000000000001"/>
    <n v="0"/>
    <x v="1"/>
    <n v="0"/>
    <n v="0"/>
    <n v="25"/>
    <n v="59"/>
    <n v="0"/>
    <n v="69.489999999999995"/>
    <n v="185.18"/>
    <m/>
    <n v="92.397536067834494"/>
    <n v="198.13390838089941"/>
    <n v="0"/>
    <n v="1411.8978199999999"/>
    <n v="3762.4872400000004"/>
    <n v="0"/>
    <n v="1877.3331378262615"/>
    <n v="4025.6847504831144"/>
  </r>
  <r>
    <s v="Regular"/>
    <x v="1"/>
    <x v="2"/>
    <x v="4"/>
    <x v="0"/>
    <x v="0"/>
    <x v="0"/>
    <x v="0"/>
    <x v="7"/>
    <n v="0"/>
    <n v="0"/>
    <n v="5.444"/>
    <n v="5.444"/>
    <n v="5.444"/>
    <n v="5.444"/>
    <n v="0"/>
    <x v="1"/>
    <n v="0"/>
    <n v="0"/>
    <n v="25"/>
    <n v="59"/>
    <n v="0"/>
    <n v="69.489999999999995"/>
    <n v="185.18"/>
    <m/>
    <n v="92.397536067834494"/>
    <n v="198.13390838089941"/>
    <n v="0"/>
    <n v="378.30355999999995"/>
    <n v="1008.11992"/>
    <n v="0"/>
    <n v="503.01218635329099"/>
    <n v="1078.6409972256165"/>
  </r>
  <r>
    <s v="Regular"/>
    <x v="1"/>
    <x v="2"/>
    <x v="4"/>
    <x v="0"/>
    <x v="0"/>
    <x v="0"/>
    <x v="0"/>
    <x v="8"/>
    <n v="0"/>
    <n v="0"/>
    <n v="7.0119999999999996"/>
    <n v="7.0119999999999996"/>
    <n v="7.0119999999999996"/>
    <n v="7.0119999999999996"/>
    <n v="0"/>
    <x v="1"/>
    <n v="0"/>
    <n v="0"/>
    <n v="25"/>
    <n v="59"/>
    <n v="0"/>
    <n v="69.489999999999995"/>
    <n v="185.18"/>
    <m/>
    <n v="92.397536067834494"/>
    <n v="198.13390838089941"/>
    <n v="0"/>
    <n v="487.26387999999992"/>
    <n v="1298.48216"/>
    <n v="0"/>
    <n v="647.89152290765549"/>
    <n v="1389.3149655668667"/>
  </r>
  <r>
    <s v="Refaturamento - Regular"/>
    <x v="1"/>
    <x v="2"/>
    <x v="4"/>
    <x v="0"/>
    <x v="0"/>
    <x v="0"/>
    <x v="0"/>
    <x v="8"/>
    <n v="0"/>
    <n v="0"/>
    <n v="-0.11"/>
    <n v="-0.11"/>
    <n v="-0.11"/>
    <n v="-0.11"/>
    <n v="0"/>
    <x v="1"/>
    <n v="0"/>
    <n v="0"/>
    <n v="25"/>
    <n v="59"/>
    <n v="0"/>
    <n v="69.489999999999995"/>
    <n v="185.18"/>
    <m/>
    <n v="92.397536067834494"/>
    <n v="198.13390838089941"/>
    <n v="0"/>
    <n v="-7.6438999999999995"/>
    <n v="-20.369800000000001"/>
    <n v="0"/>
    <n v="-10.163728967461795"/>
    <n v="-21.794729921898934"/>
  </r>
  <r>
    <s v="Regular"/>
    <x v="1"/>
    <x v="2"/>
    <x v="4"/>
    <x v="0"/>
    <x v="0"/>
    <x v="0"/>
    <x v="0"/>
    <x v="9"/>
    <n v="0"/>
    <n v="0"/>
    <n v="10.518000000000001"/>
    <n v="10.518000000000001"/>
    <n v="10.518000000000001"/>
    <n v="10.518000000000001"/>
    <n v="0"/>
    <x v="1"/>
    <n v="0"/>
    <n v="0"/>
    <n v="25"/>
    <n v="59"/>
    <n v="0"/>
    <n v="69.489999999999995"/>
    <n v="185.18"/>
    <m/>
    <n v="92.397536067834494"/>
    <n v="198.13390838089941"/>
    <n v="0"/>
    <n v="730.89581999999996"/>
    <n v="1947.7232400000003"/>
    <n v="0"/>
    <n v="971.83728436148328"/>
    <n v="2083.9724483503001"/>
  </r>
  <r>
    <s v="Refaturamento - Regular"/>
    <x v="1"/>
    <x v="2"/>
    <x v="4"/>
    <x v="0"/>
    <x v="0"/>
    <x v="0"/>
    <x v="0"/>
    <x v="9"/>
    <n v="0"/>
    <n v="0"/>
    <n v="-0.58399999999999996"/>
    <n v="-0.58399999999999996"/>
    <n v="-0.58399999999999996"/>
    <n v="-0.58399999999999996"/>
    <n v="0"/>
    <x v="1"/>
    <n v="0"/>
    <n v="0"/>
    <n v="25"/>
    <n v="59"/>
    <n v="0"/>
    <n v="69.489999999999995"/>
    <n v="185.18"/>
    <m/>
    <n v="92.397536067834494"/>
    <n v="198.13390838089941"/>
    <n v="0"/>
    <n v="-40.582159999999995"/>
    <n v="-108.14511999999999"/>
    <n v="0"/>
    <n v="-53.960161063615338"/>
    <n v="-115.71020249444526"/>
  </r>
  <r>
    <s v="Regular"/>
    <x v="1"/>
    <x v="2"/>
    <x v="4"/>
    <x v="0"/>
    <x v="0"/>
    <x v="0"/>
    <x v="0"/>
    <x v="10"/>
    <n v="0"/>
    <n v="0"/>
    <n v="9.6660000000000004"/>
    <n v="9.6660000000000004"/>
    <n v="9.6660000000000004"/>
    <n v="9.6660000000000004"/>
    <n v="0"/>
    <x v="1"/>
    <n v="0"/>
    <n v="0"/>
    <n v="25"/>
    <n v="59"/>
    <n v="0"/>
    <n v="69.489999999999995"/>
    <n v="185.18"/>
    <m/>
    <n v="92.397536067834494"/>
    <n v="198.13390838089941"/>
    <n v="0"/>
    <n v="671.69033999999999"/>
    <n v="1789.9498800000001"/>
    <n v="0"/>
    <n v="893.11458363168822"/>
    <n v="1915.1623584097738"/>
  </r>
  <r>
    <s v="Regular"/>
    <x v="1"/>
    <x v="2"/>
    <x v="4"/>
    <x v="0"/>
    <x v="0"/>
    <x v="0"/>
    <x v="0"/>
    <x v="11"/>
    <n v="0"/>
    <n v="0"/>
    <n v="12.858000000000001"/>
    <n v="12.858000000000001"/>
    <n v="12.858000000000001"/>
    <n v="12.858000000000001"/>
    <n v="0"/>
    <x v="1"/>
    <n v="0"/>
    <n v="0"/>
    <n v="25"/>
    <n v="59"/>
    <n v="0"/>
    <n v="69.489999999999995"/>
    <n v="185.18"/>
    <m/>
    <n v="92.397536067834494"/>
    <n v="198.13390838089941"/>
    <n v="0"/>
    <n v="893.50241999999992"/>
    <n v="2381.0444400000001"/>
    <n v="0"/>
    <n v="1188.047518760216"/>
    <n v="2547.6057939616048"/>
  </r>
  <r>
    <s v="Regular"/>
    <x v="1"/>
    <x v="2"/>
    <x v="4"/>
    <x v="0"/>
    <x v="0"/>
    <x v="0"/>
    <x v="1"/>
    <x v="0"/>
    <n v="462"/>
    <n v="462"/>
    <n v="0"/>
    <n v="0"/>
    <n v="0"/>
    <n v="0"/>
    <n v="5"/>
    <x v="1"/>
    <n v="0"/>
    <n v="18"/>
    <n v="0"/>
    <n v="0"/>
    <n v="26.17"/>
    <n v="0"/>
    <n v="0"/>
    <n v="27.746237112155811"/>
    <m/>
    <m/>
    <n v="12090.54"/>
    <n v="0"/>
    <n v="0"/>
    <n v="12818.761545815985"/>
    <n v="0"/>
    <n v="0"/>
  </r>
  <r>
    <s v="Refaturamento - Regular"/>
    <x v="1"/>
    <x v="2"/>
    <x v="4"/>
    <x v="0"/>
    <x v="0"/>
    <x v="0"/>
    <x v="1"/>
    <x v="0"/>
    <n v="-130"/>
    <n v="-130"/>
    <n v="0"/>
    <n v="0"/>
    <n v="0"/>
    <n v="0"/>
    <n v="0"/>
    <x v="1"/>
    <n v="0"/>
    <n v="18"/>
    <n v="0"/>
    <n v="0"/>
    <n v="26.17"/>
    <n v="0"/>
    <n v="0"/>
    <n v="27.746237112155811"/>
    <m/>
    <m/>
    <n v="-3402.1000000000004"/>
    <n v="0"/>
    <n v="0"/>
    <n v="-3607.0108245802553"/>
    <n v="0"/>
    <n v="0"/>
  </r>
  <r>
    <s v="Regular"/>
    <x v="1"/>
    <x v="2"/>
    <x v="4"/>
    <x v="0"/>
    <x v="0"/>
    <x v="0"/>
    <x v="1"/>
    <x v="1"/>
    <n v="333"/>
    <n v="333"/>
    <n v="0"/>
    <n v="0"/>
    <n v="0"/>
    <n v="0"/>
    <n v="5"/>
    <x v="1"/>
    <n v="0"/>
    <n v="18"/>
    <n v="0"/>
    <n v="0"/>
    <n v="26.17"/>
    <n v="0"/>
    <n v="0"/>
    <n v="27.746237112155811"/>
    <m/>
    <m/>
    <n v="8714.61"/>
    <n v="0"/>
    <n v="0"/>
    <n v="9239.4969583478851"/>
    <n v="0"/>
    <n v="0"/>
  </r>
  <r>
    <s v="Regular"/>
    <x v="1"/>
    <x v="2"/>
    <x v="4"/>
    <x v="0"/>
    <x v="0"/>
    <x v="0"/>
    <x v="1"/>
    <x v="2"/>
    <n v="335"/>
    <n v="335"/>
    <n v="0"/>
    <n v="0"/>
    <n v="0"/>
    <n v="0"/>
    <n v="5"/>
    <x v="1"/>
    <n v="0"/>
    <n v="18"/>
    <n v="0"/>
    <n v="0"/>
    <n v="26.17"/>
    <n v="0"/>
    <n v="0"/>
    <n v="27.746237112155811"/>
    <m/>
    <m/>
    <n v="8766.9500000000007"/>
    <n v="0"/>
    <n v="0"/>
    <n v="9294.9894325721962"/>
    <n v="0"/>
    <n v="0"/>
  </r>
  <r>
    <s v="Regular"/>
    <x v="1"/>
    <x v="2"/>
    <x v="4"/>
    <x v="0"/>
    <x v="0"/>
    <x v="0"/>
    <x v="1"/>
    <x v="3"/>
    <n v="332"/>
    <n v="332"/>
    <n v="0"/>
    <n v="0"/>
    <n v="0"/>
    <n v="0"/>
    <n v="5"/>
    <x v="1"/>
    <n v="0"/>
    <n v="18"/>
    <n v="0"/>
    <n v="0"/>
    <n v="26.17"/>
    <n v="0"/>
    <n v="0"/>
    <n v="27.746237112155811"/>
    <m/>
    <m/>
    <n v="8688.44"/>
    <n v="0"/>
    <n v="0"/>
    <n v="9211.7507212357286"/>
    <n v="0"/>
    <n v="0"/>
  </r>
  <r>
    <s v="Regular"/>
    <x v="1"/>
    <x v="2"/>
    <x v="4"/>
    <x v="0"/>
    <x v="0"/>
    <x v="0"/>
    <x v="1"/>
    <x v="4"/>
    <n v="332"/>
    <n v="332"/>
    <n v="0"/>
    <n v="0"/>
    <n v="0"/>
    <n v="0"/>
    <n v="5"/>
    <x v="1"/>
    <n v="0"/>
    <n v="18"/>
    <n v="0"/>
    <n v="0"/>
    <n v="26.17"/>
    <n v="0"/>
    <n v="0"/>
    <n v="27.746237112155811"/>
    <m/>
    <m/>
    <n v="8688.44"/>
    <n v="0"/>
    <n v="0"/>
    <n v="9211.7507212357286"/>
    <n v="0"/>
    <n v="0"/>
  </r>
  <r>
    <s v="Regular"/>
    <x v="1"/>
    <x v="2"/>
    <x v="4"/>
    <x v="0"/>
    <x v="0"/>
    <x v="0"/>
    <x v="1"/>
    <x v="5"/>
    <n v="339"/>
    <n v="339"/>
    <n v="0"/>
    <n v="0"/>
    <n v="0"/>
    <n v="0"/>
    <n v="5"/>
    <x v="1"/>
    <n v="0"/>
    <n v="18"/>
    <n v="0"/>
    <n v="0"/>
    <n v="26.17"/>
    <n v="0"/>
    <n v="0"/>
    <n v="27.746237112155811"/>
    <m/>
    <m/>
    <n v="8871.630000000001"/>
    <n v="0"/>
    <n v="0"/>
    <n v="9405.9743810208201"/>
    <n v="0"/>
    <n v="0"/>
  </r>
  <r>
    <s v="Regular"/>
    <x v="1"/>
    <x v="2"/>
    <x v="4"/>
    <x v="0"/>
    <x v="0"/>
    <x v="0"/>
    <x v="1"/>
    <x v="6"/>
    <n v="340"/>
    <n v="340"/>
    <n v="0"/>
    <n v="0"/>
    <n v="0"/>
    <n v="0"/>
    <n v="5"/>
    <x v="1"/>
    <n v="0"/>
    <n v="18"/>
    <n v="0"/>
    <n v="0"/>
    <n v="26.17"/>
    <n v="0"/>
    <n v="0"/>
    <n v="27.746237112155811"/>
    <m/>
    <m/>
    <n v="8897.8000000000011"/>
    <n v="0"/>
    <n v="0"/>
    <n v="9433.7206181329748"/>
    <n v="0"/>
    <n v="0"/>
  </r>
  <r>
    <s v="Regular"/>
    <x v="1"/>
    <x v="2"/>
    <x v="4"/>
    <x v="0"/>
    <x v="0"/>
    <x v="0"/>
    <x v="1"/>
    <x v="7"/>
    <n v="300"/>
    <n v="300"/>
    <n v="0"/>
    <n v="0"/>
    <n v="0"/>
    <n v="0"/>
    <n v="4"/>
    <x v="1"/>
    <n v="0"/>
    <n v="18"/>
    <n v="0"/>
    <n v="0"/>
    <n v="26.17"/>
    <n v="0"/>
    <n v="0"/>
    <n v="27.746237112155811"/>
    <m/>
    <m/>
    <n v="7851.0000000000009"/>
    <n v="0"/>
    <n v="0"/>
    <n v="8323.8711336467441"/>
    <n v="0"/>
    <n v="0"/>
  </r>
  <r>
    <s v="Regular"/>
    <x v="1"/>
    <x v="2"/>
    <x v="4"/>
    <x v="0"/>
    <x v="0"/>
    <x v="0"/>
    <x v="1"/>
    <x v="8"/>
    <n v="428"/>
    <n v="428"/>
    <n v="0"/>
    <n v="0"/>
    <n v="0"/>
    <n v="0"/>
    <n v="5"/>
    <x v="1"/>
    <n v="0"/>
    <n v="18"/>
    <n v="0"/>
    <n v="0"/>
    <n v="26.17"/>
    <n v="0"/>
    <n v="0"/>
    <n v="27.746237112155811"/>
    <m/>
    <m/>
    <n v="11200.76"/>
    <n v="0"/>
    <n v="0"/>
    <n v="11875.389484002688"/>
    <n v="0"/>
    <n v="0"/>
  </r>
  <r>
    <s v="Refaturamento - Regular"/>
    <x v="1"/>
    <x v="2"/>
    <x v="4"/>
    <x v="0"/>
    <x v="0"/>
    <x v="0"/>
    <x v="1"/>
    <x v="8"/>
    <n v="-128"/>
    <n v="-128"/>
    <n v="0"/>
    <n v="0"/>
    <n v="0"/>
    <n v="0"/>
    <n v="-1"/>
    <x v="1"/>
    <n v="0"/>
    <n v="18"/>
    <n v="0"/>
    <n v="0"/>
    <n v="26.17"/>
    <n v="0"/>
    <n v="0"/>
    <n v="27.746237112155811"/>
    <m/>
    <m/>
    <n v="-3349.76"/>
    <n v="0"/>
    <n v="0"/>
    <n v="-3551.5183503559438"/>
    <n v="0"/>
    <n v="0"/>
  </r>
  <r>
    <s v="Regular"/>
    <x v="1"/>
    <x v="2"/>
    <x v="4"/>
    <x v="0"/>
    <x v="0"/>
    <x v="0"/>
    <x v="1"/>
    <x v="9"/>
    <n v="428"/>
    <n v="428"/>
    <n v="0"/>
    <n v="0"/>
    <n v="0"/>
    <n v="0"/>
    <n v="5"/>
    <x v="1"/>
    <n v="0"/>
    <n v="18"/>
    <n v="0"/>
    <n v="0"/>
    <n v="26.17"/>
    <n v="0"/>
    <n v="0"/>
    <n v="27.746237112155811"/>
    <m/>
    <m/>
    <n v="11200.76"/>
    <n v="0"/>
    <n v="0"/>
    <n v="11875.389484002688"/>
    <n v="0"/>
    <n v="0"/>
  </r>
  <r>
    <s v="Refaturamento - Regular"/>
    <x v="1"/>
    <x v="2"/>
    <x v="4"/>
    <x v="0"/>
    <x v="0"/>
    <x v="0"/>
    <x v="1"/>
    <x v="9"/>
    <n v="-128"/>
    <n v="-128"/>
    <n v="0"/>
    <n v="0"/>
    <n v="0"/>
    <n v="0"/>
    <n v="-1"/>
    <x v="1"/>
    <n v="0"/>
    <n v="18"/>
    <n v="0"/>
    <n v="0"/>
    <n v="26.17"/>
    <n v="0"/>
    <n v="0"/>
    <n v="27.746237112155811"/>
    <m/>
    <m/>
    <n v="-3349.76"/>
    <n v="0"/>
    <n v="0"/>
    <n v="-3551.5183503559438"/>
    <n v="0"/>
    <n v="0"/>
  </r>
  <r>
    <s v="Regular"/>
    <x v="1"/>
    <x v="2"/>
    <x v="4"/>
    <x v="0"/>
    <x v="0"/>
    <x v="0"/>
    <x v="1"/>
    <x v="10"/>
    <n v="300"/>
    <n v="300"/>
    <n v="0"/>
    <n v="0"/>
    <n v="0"/>
    <n v="0"/>
    <n v="4"/>
    <x v="1"/>
    <n v="0"/>
    <n v="18"/>
    <n v="0"/>
    <n v="0"/>
    <n v="26.17"/>
    <n v="0"/>
    <n v="0"/>
    <n v="27.746237112155811"/>
    <m/>
    <m/>
    <n v="7851.0000000000009"/>
    <n v="0"/>
    <n v="0"/>
    <n v="8323.8711336467441"/>
    <n v="0"/>
    <n v="0"/>
  </r>
  <r>
    <s v="Regular"/>
    <x v="1"/>
    <x v="2"/>
    <x v="4"/>
    <x v="0"/>
    <x v="0"/>
    <x v="0"/>
    <x v="1"/>
    <x v="11"/>
    <n v="300"/>
    <n v="300"/>
    <n v="0"/>
    <n v="0"/>
    <n v="0"/>
    <n v="0"/>
    <n v="4"/>
    <x v="1"/>
    <n v="0"/>
    <n v="18"/>
    <n v="0"/>
    <n v="0"/>
    <n v="26.17"/>
    <n v="0"/>
    <n v="0"/>
    <n v="27.746237112155811"/>
    <m/>
    <m/>
    <n v="7851.0000000000009"/>
    <n v="0"/>
    <n v="0"/>
    <n v="8323.8711336467441"/>
    <n v="0"/>
    <n v="0"/>
  </r>
  <r>
    <s v="Regular"/>
    <x v="1"/>
    <x v="2"/>
    <x v="4"/>
    <x v="0"/>
    <x v="0"/>
    <x v="0"/>
    <x v="2"/>
    <x v="0"/>
    <n v="0"/>
    <n v="0"/>
    <n v="1.1759999999999999"/>
    <n v="1.1759999999999999"/>
    <n v="1.1759999999999999"/>
    <n v="1.1759999999999999"/>
    <n v="0"/>
    <x v="1"/>
    <n v="0"/>
    <n v="0"/>
    <n v="12"/>
    <n v="66"/>
    <n v="0"/>
    <n v="1124.7"/>
    <n v="185.18"/>
    <m/>
    <n v="1194.906449742829"/>
    <n v="198.13390838089941"/>
    <n v="0"/>
    <n v="1322.6471999999999"/>
    <n v="217.77168"/>
    <n v="0"/>
    <n v="1405.2099848975668"/>
    <n v="233.00547625593771"/>
  </r>
  <r>
    <s v="Refaturamento - Regular"/>
    <x v="1"/>
    <x v="2"/>
    <x v="4"/>
    <x v="0"/>
    <x v="0"/>
    <x v="0"/>
    <x v="2"/>
    <x v="0"/>
    <n v="0"/>
    <n v="0"/>
    <n v="-0.43099999999999999"/>
    <n v="-0.43099999999999999"/>
    <n v="-0.43099999999999999"/>
    <n v="-0.43099999999999999"/>
    <n v="0"/>
    <x v="1"/>
    <n v="0"/>
    <n v="0"/>
    <n v="12"/>
    <n v="66"/>
    <n v="0"/>
    <n v="1124.7"/>
    <n v="185.18"/>
    <m/>
    <n v="1194.906449742829"/>
    <n v="198.13390838089941"/>
    <n v="0"/>
    <n v="-484.7457"/>
    <n v="-79.812579999999997"/>
    <n v="0"/>
    <n v="-515.00467983915928"/>
    <n v="-85.395714512167643"/>
  </r>
  <r>
    <s v="Regular"/>
    <x v="1"/>
    <x v="2"/>
    <x v="4"/>
    <x v="0"/>
    <x v="0"/>
    <x v="0"/>
    <x v="2"/>
    <x v="1"/>
    <n v="0"/>
    <n v="0"/>
    <n v="1.042"/>
    <n v="1.042"/>
    <n v="1.042"/>
    <n v="1.042"/>
    <n v="0"/>
    <x v="1"/>
    <n v="0"/>
    <n v="0"/>
    <n v="12"/>
    <n v="66"/>
    <n v="0"/>
    <n v="1124.7"/>
    <n v="185.18"/>
    <m/>
    <n v="1194.906449742829"/>
    <n v="198.13390838089941"/>
    <n v="0"/>
    <n v="1171.9374"/>
    <n v="192.95756"/>
    <n v="0"/>
    <n v="1245.0925206320278"/>
    <n v="206.45553253289719"/>
  </r>
  <r>
    <s v="Regular"/>
    <x v="1"/>
    <x v="2"/>
    <x v="4"/>
    <x v="0"/>
    <x v="0"/>
    <x v="0"/>
    <x v="2"/>
    <x v="2"/>
    <n v="0"/>
    <n v="0"/>
    <n v="0.98299999999999998"/>
    <n v="0.98299999999999998"/>
    <n v="0.98299999999999998"/>
    <n v="0.98299999999999998"/>
    <n v="0"/>
    <x v="1"/>
    <n v="0"/>
    <n v="0"/>
    <n v="12"/>
    <n v="66"/>
    <n v="0"/>
    <n v="1124.7"/>
    <n v="185.18"/>
    <m/>
    <n v="1194.906449742829"/>
    <n v="198.13390838089941"/>
    <n v="0"/>
    <n v="1105.5801000000001"/>
    <n v="182.03193999999999"/>
    <n v="0"/>
    <n v="1174.5930400972009"/>
    <n v="194.76563193842412"/>
  </r>
  <r>
    <s v="Regular"/>
    <x v="1"/>
    <x v="2"/>
    <x v="4"/>
    <x v="0"/>
    <x v="0"/>
    <x v="0"/>
    <x v="2"/>
    <x v="3"/>
    <n v="0"/>
    <n v="0"/>
    <n v="0.91100000000000003"/>
    <n v="0.91100000000000003"/>
    <n v="0.91100000000000003"/>
    <n v="0.91100000000000003"/>
    <n v="0"/>
    <x v="1"/>
    <n v="0"/>
    <n v="0"/>
    <n v="12"/>
    <n v="66"/>
    <n v="0"/>
    <n v="1124.7"/>
    <n v="185.18"/>
    <m/>
    <n v="1194.906449742829"/>
    <n v="198.13390838089941"/>
    <n v="0"/>
    <n v="1024.6017000000002"/>
    <n v="168.69898000000001"/>
    <n v="0"/>
    <n v="1088.5597757157173"/>
    <n v="180.49999053499937"/>
  </r>
  <r>
    <s v="Regular"/>
    <x v="1"/>
    <x v="2"/>
    <x v="4"/>
    <x v="0"/>
    <x v="0"/>
    <x v="0"/>
    <x v="2"/>
    <x v="4"/>
    <n v="0"/>
    <n v="0"/>
    <n v="0.84099999999999997"/>
    <n v="0.84099999999999997"/>
    <n v="0.84099999999999997"/>
    <n v="0.84099999999999997"/>
    <n v="0"/>
    <x v="1"/>
    <n v="0"/>
    <n v="0"/>
    <n v="12"/>
    <n v="66"/>
    <n v="0"/>
    <n v="1124.7"/>
    <n v="185.18"/>
    <m/>
    <n v="1194.906449742829"/>
    <n v="198.13390838089941"/>
    <n v="0"/>
    <n v="945.87270000000001"/>
    <n v="155.73638"/>
    <n v="0"/>
    <n v="1004.9163242337191"/>
    <n v="166.63061694833641"/>
  </r>
  <r>
    <s v="Regular"/>
    <x v="1"/>
    <x v="2"/>
    <x v="4"/>
    <x v="0"/>
    <x v="0"/>
    <x v="0"/>
    <x v="2"/>
    <x v="5"/>
    <n v="0"/>
    <n v="0"/>
    <n v="0.81699999999999995"/>
    <n v="0.81699999999999995"/>
    <n v="0.81699999999999995"/>
    <n v="0.81699999999999995"/>
    <n v="0"/>
    <x v="1"/>
    <n v="0"/>
    <n v="0"/>
    <n v="12"/>
    <n v="66"/>
    <n v="0"/>
    <n v="1124.7"/>
    <n v="185.18"/>
    <m/>
    <n v="1194.906449742829"/>
    <n v="198.13390838089941"/>
    <n v="0"/>
    <n v="918.87990000000002"/>
    <n v="151.29205999999999"/>
    <n v="0"/>
    <n v="976.23856943989119"/>
    <n v="161.87540314719482"/>
  </r>
  <r>
    <s v="Regular"/>
    <x v="1"/>
    <x v="2"/>
    <x v="4"/>
    <x v="0"/>
    <x v="0"/>
    <x v="0"/>
    <x v="2"/>
    <x v="6"/>
    <n v="0"/>
    <n v="0"/>
    <n v="0.91700000000000004"/>
    <n v="0.91700000000000004"/>
    <n v="0.91700000000000004"/>
    <n v="0.91700000000000004"/>
    <n v="0"/>
    <x v="1"/>
    <n v="0"/>
    <n v="0"/>
    <n v="12"/>
    <n v="66"/>
    <n v="0"/>
    <n v="1124.7"/>
    <n v="185.18"/>
    <m/>
    <n v="1194.906449742829"/>
    <n v="198.13390838089941"/>
    <n v="0"/>
    <n v="1031.3499000000002"/>
    <n v="169.81006000000002"/>
    <n v="0"/>
    <n v="1095.7292144141743"/>
    <n v="181.68879398528478"/>
  </r>
  <r>
    <s v="Regular"/>
    <x v="1"/>
    <x v="2"/>
    <x v="4"/>
    <x v="0"/>
    <x v="0"/>
    <x v="0"/>
    <x v="2"/>
    <x v="7"/>
    <n v="0"/>
    <n v="0"/>
    <n v="0.45"/>
    <n v="0.45"/>
    <n v="0.45"/>
    <n v="0.45"/>
    <n v="0"/>
    <x v="1"/>
    <n v="0"/>
    <n v="0"/>
    <n v="12"/>
    <n v="66"/>
    <n v="0"/>
    <n v="1124.7"/>
    <n v="185.18"/>
    <m/>
    <n v="1194.906449742829"/>
    <n v="198.13390838089941"/>
    <n v="0"/>
    <n v="506.11500000000001"/>
    <n v="83.331000000000003"/>
    <n v="0"/>
    <n v="537.7079023842731"/>
    <n v="89.160258771404742"/>
  </r>
  <r>
    <s v="Regular"/>
    <x v="1"/>
    <x v="2"/>
    <x v="4"/>
    <x v="0"/>
    <x v="0"/>
    <x v="0"/>
    <x v="2"/>
    <x v="8"/>
    <n v="0"/>
    <n v="0"/>
    <n v="0.45900000000000002"/>
    <n v="0.45900000000000002"/>
    <n v="0.45900000000000002"/>
    <n v="0.45900000000000002"/>
    <n v="0"/>
    <x v="1"/>
    <n v="0"/>
    <n v="0"/>
    <n v="12"/>
    <n v="66"/>
    <n v="0"/>
    <n v="1124.7"/>
    <n v="185.18"/>
    <m/>
    <n v="1194.906449742829"/>
    <n v="198.13390838089941"/>
    <n v="0"/>
    <n v="516.2373"/>
    <n v="84.997620000000012"/>
    <n v="0"/>
    <n v="548.46206043195855"/>
    <n v="90.943463946832836"/>
  </r>
  <r>
    <s v="Refaturamento - Regular"/>
    <x v="1"/>
    <x v="2"/>
    <x v="4"/>
    <x v="0"/>
    <x v="0"/>
    <x v="0"/>
    <x v="2"/>
    <x v="8"/>
    <n v="0"/>
    <n v="0"/>
    <n v="-1.0999999999999999E-2"/>
    <n v="-1.0999999999999999E-2"/>
    <n v="-1.0999999999999999E-2"/>
    <n v="-1.0999999999999999E-2"/>
    <n v="0"/>
    <x v="1"/>
    <n v="0"/>
    <n v="0"/>
    <n v="12"/>
    <n v="66"/>
    <n v="0"/>
    <n v="1124.7"/>
    <n v="185.18"/>
    <m/>
    <n v="1194.906449742829"/>
    <n v="198.13390838089941"/>
    <n v="0"/>
    <n v="-12.371700000000001"/>
    <n v="-2.0369799999999998"/>
    <n v="0"/>
    <n v="-13.143970947171118"/>
    <n v="-2.1794729921898934"/>
  </r>
  <r>
    <s v="Regular"/>
    <x v="1"/>
    <x v="2"/>
    <x v="4"/>
    <x v="0"/>
    <x v="0"/>
    <x v="0"/>
    <x v="2"/>
    <x v="9"/>
    <n v="0"/>
    <n v="0"/>
    <n v="0.72799999999999998"/>
    <n v="0.72799999999999998"/>
    <n v="0.72799999999999998"/>
    <n v="0.72799999999999998"/>
    <n v="0"/>
    <x v="1"/>
    <n v="0"/>
    <n v="0"/>
    <n v="12"/>
    <n v="66"/>
    <n v="0"/>
    <n v="1124.7"/>
    <n v="185.18"/>
    <m/>
    <n v="1194.906449742829"/>
    <n v="198.13390838089941"/>
    <n v="0"/>
    <n v="818.78160000000003"/>
    <n v="134.81103999999999"/>
    <n v="0"/>
    <n v="869.89189541277949"/>
    <n v="144.24148530129477"/>
  </r>
  <r>
    <s v="Refaturamento - Regular"/>
    <x v="1"/>
    <x v="2"/>
    <x v="4"/>
    <x v="0"/>
    <x v="0"/>
    <x v="0"/>
    <x v="2"/>
    <x v="9"/>
    <n v="0"/>
    <n v="0"/>
    <n v="-1.4999999999999999E-2"/>
    <n v="-1.4999999999999999E-2"/>
    <n v="-1.4999999999999999E-2"/>
    <n v="-1.4999999999999999E-2"/>
    <n v="0"/>
    <x v="1"/>
    <n v="0"/>
    <n v="0"/>
    <n v="12"/>
    <n v="66"/>
    <n v="0"/>
    <n v="1124.7"/>
    <n v="185.18"/>
    <m/>
    <n v="1194.906449742829"/>
    <n v="198.13390838089941"/>
    <n v="0"/>
    <n v="-16.8705"/>
    <n v="-2.7776999999999998"/>
    <n v="0"/>
    <n v="-17.923596746142433"/>
    <n v="-2.972008625713491"/>
  </r>
  <r>
    <s v="Regular"/>
    <x v="1"/>
    <x v="2"/>
    <x v="4"/>
    <x v="0"/>
    <x v="0"/>
    <x v="0"/>
    <x v="2"/>
    <x v="10"/>
    <n v="0"/>
    <n v="0"/>
    <n v="0.65100000000000002"/>
    <n v="0.65100000000000002"/>
    <n v="0.65100000000000002"/>
    <n v="0.65100000000000002"/>
    <n v="0"/>
    <x v="1"/>
    <n v="0"/>
    <n v="0"/>
    <n v="12"/>
    <n v="66"/>
    <n v="0"/>
    <n v="1124.7"/>
    <n v="185.18"/>
    <m/>
    <n v="1194.906449742829"/>
    <n v="198.13390838089941"/>
    <n v="0"/>
    <n v="732.17970000000003"/>
    <n v="120.55218000000001"/>
    <n v="0"/>
    <n v="777.88409878258165"/>
    <n v="128.98517435596551"/>
  </r>
  <r>
    <s v="Regular"/>
    <x v="1"/>
    <x v="2"/>
    <x v="4"/>
    <x v="0"/>
    <x v="0"/>
    <x v="0"/>
    <x v="2"/>
    <x v="11"/>
    <n v="0"/>
    <n v="0"/>
    <n v="0.82899999999999996"/>
    <n v="0.82899999999999996"/>
    <n v="0.82899999999999996"/>
    <n v="0.82899999999999996"/>
    <n v="0"/>
    <x v="1"/>
    <n v="0"/>
    <n v="0"/>
    <n v="12"/>
    <n v="66"/>
    <n v="0"/>
    <n v="1124.7"/>
    <n v="185.18"/>
    <m/>
    <n v="1194.906449742829"/>
    <n v="198.13390838089941"/>
    <n v="0"/>
    <n v="932.37630000000001"/>
    <n v="153.51421999999999"/>
    <n v="0"/>
    <n v="990.57744683680517"/>
    <n v="164.2530100477656"/>
  </r>
  <r>
    <s v="Regular"/>
    <x v="1"/>
    <x v="2"/>
    <x v="5"/>
    <x v="1"/>
    <x v="2"/>
    <x v="0"/>
    <x v="0"/>
    <x v="0"/>
    <n v="0"/>
    <n v="0"/>
    <n v="123.249"/>
    <n v="36.974699999999999"/>
    <n v="123.249"/>
    <n v="36.974699999999999"/>
    <n v="0"/>
    <x v="1"/>
    <n v="0"/>
    <n v="0"/>
    <n v="25"/>
    <n v="59"/>
    <n v="0"/>
    <n v="69.489999999999995"/>
    <n v="185.18"/>
    <m/>
    <n v="92.397536067834494"/>
    <n v="198.13390838089941"/>
    <n v="0"/>
    <n v="2569.3719029999997"/>
    <n v="6846.9749460000003"/>
    <n v="0"/>
    <n v="3416.3711768473599"/>
    <n v="7325.9418222112408"/>
  </r>
  <r>
    <s v="Sistema de Compensação"/>
    <x v="1"/>
    <x v="2"/>
    <x v="5"/>
    <x v="1"/>
    <x v="2"/>
    <x v="0"/>
    <x v="0"/>
    <x v="0"/>
    <n v="0"/>
    <n v="0"/>
    <n v="0.23699999999999999"/>
    <n v="7.1099999999999997E-2"/>
    <n v="0.23699999999999999"/>
    <n v="7.1099999999999997E-2"/>
    <n v="0"/>
    <x v="1"/>
    <n v="0"/>
    <n v="0"/>
    <n v="25"/>
    <n v="59"/>
    <n v="0"/>
    <n v="69.489999999999995"/>
    <n v="185.18"/>
    <m/>
    <n v="92.397536067834494"/>
    <n v="198.13390838089941"/>
    <n v="0"/>
    <n v="4.9407389999999998"/>
    <n v="13.166297999999999"/>
    <n v="0"/>
    <n v="6.5694648144230321"/>
    <n v="14.087320885881947"/>
  </r>
  <r>
    <s v="Regular"/>
    <x v="1"/>
    <x v="2"/>
    <x v="5"/>
    <x v="1"/>
    <x v="2"/>
    <x v="0"/>
    <x v="0"/>
    <x v="1"/>
    <n v="0"/>
    <n v="0"/>
    <n v="209.07300000000001"/>
    <n v="62.721899999999998"/>
    <n v="209.07300000000001"/>
    <n v="62.721899999999998"/>
    <n v="0"/>
    <x v="1"/>
    <n v="0"/>
    <n v="0"/>
    <n v="25"/>
    <n v="59"/>
    <n v="0"/>
    <n v="69.489999999999995"/>
    <n v="185.18"/>
    <m/>
    <n v="92.397536067834494"/>
    <n v="198.13390838089941"/>
    <n v="0"/>
    <n v="4358.5448309999992"/>
    <n v="11614.841442000001"/>
    <n v="0"/>
    <n v="5795.3490174931085"/>
    <n v="12427.335188075935"/>
  </r>
  <r>
    <s v="Sistema de Compensação"/>
    <x v="1"/>
    <x v="2"/>
    <x v="5"/>
    <x v="1"/>
    <x v="2"/>
    <x v="0"/>
    <x v="0"/>
    <x v="1"/>
    <n v="0"/>
    <n v="0"/>
    <n v="8.3350000000000009"/>
    <n v="2.5005000000000002"/>
    <n v="8.3350000000000009"/>
    <n v="2.5005000000000002"/>
    <n v="0"/>
    <x v="1"/>
    <n v="0"/>
    <n v="0"/>
    <n v="25"/>
    <n v="59"/>
    <n v="0"/>
    <n v="69.489999999999995"/>
    <n v="185.18"/>
    <m/>
    <n v="92.397536067834494"/>
    <n v="198.13390838089941"/>
    <n v="0"/>
    <n v="173.75974500000001"/>
    <n v="463.04259000000008"/>
    <n v="0"/>
    <n v="231.04003893762018"/>
    <n v="495.43383790643901"/>
  </r>
  <r>
    <s v="Regular"/>
    <x v="1"/>
    <x v="2"/>
    <x v="5"/>
    <x v="1"/>
    <x v="2"/>
    <x v="0"/>
    <x v="0"/>
    <x v="2"/>
    <n v="0"/>
    <n v="0"/>
    <n v="615.45600000000002"/>
    <n v="184.63679999999999"/>
    <n v="615.45600000000002"/>
    <n v="184.63679999999999"/>
    <n v="0"/>
    <x v="1"/>
    <n v="0"/>
    <n v="0"/>
    <n v="25"/>
    <n v="59"/>
    <n v="0"/>
    <n v="69.489999999999995"/>
    <n v="185.18"/>
    <m/>
    <n v="92.397536067834494"/>
    <n v="198.13390838089941"/>
    <n v="0"/>
    <n v="12830.411231999999"/>
    <n v="34191.042624000002"/>
    <n v="0"/>
    <n v="17059.985387449542"/>
    <n v="36582.810814942444"/>
  </r>
  <r>
    <s v="Sistema de Compensação"/>
    <x v="1"/>
    <x v="2"/>
    <x v="5"/>
    <x v="1"/>
    <x v="2"/>
    <x v="0"/>
    <x v="0"/>
    <x v="2"/>
    <n v="0"/>
    <n v="0"/>
    <n v="11.565"/>
    <n v="3.4695"/>
    <n v="11.565"/>
    <n v="3.4695"/>
    <n v="0"/>
    <x v="1"/>
    <n v="0"/>
    <n v="0"/>
    <n v="25"/>
    <n v="59"/>
    <n v="0"/>
    <n v="69.489999999999995"/>
    <n v="185.18"/>
    <m/>
    <n v="92.397536067834494"/>
    <n v="198.13390838089941"/>
    <n v="0"/>
    <n v="241.09555499999999"/>
    <n v="642.48201000000006"/>
    <n v="0"/>
    <n v="320.57325138735177"/>
    <n v="687.42559512753053"/>
  </r>
  <r>
    <s v="Regular"/>
    <x v="1"/>
    <x v="2"/>
    <x v="5"/>
    <x v="1"/>
    <x v="2"/>
    <x v="0"/>
    <x v="0"/>
    <x v="3"/>
    <n v="0"/>
    <n v="0"/>
    <n v="315.94"/>
    <n v="94.781999999999996"/>
    <n v="315.94"/>
    <n v="94.781999999999996"/>
    <n v="0"/>
    <x v="1"/>
    <n v="0"/>
    <n v="0"/>
    <n v="25"/>
    <n v="59"/>
    <n v="0"/>
    <n v="69.489999999999995"/>
    <n v="185.18"/>
    <m/>
    <n v="92.397536067834494"/>
    <n v="198.13390838089941"/>
    <n v="0"/>
    <n v="6586.4011799999989"/>
    <n v="17551.730759999999"/>
    <n v="0"/>
    <n v="8757.6232635814886"/>
    <n v="18779.528104158406"/>
  </r>
  <r>
    <s v="Regular"/>
    <x v="1"/>
    <x v="2"/>
    <x v="5"/>
    <x v="1"/>
    <x v="2"/>
    <x v="0"/>
    <x v="0"/>
    <x v="4"/>
    <n v="0"/>
    <n v="0"/>
    <n v="584.85500000000002"/>
    <n v="175.45650000000001"/>
    <n v="584.85500000000002"/>
    <n v="175.45650000000001"/>
    <n v="0"/>
    <x v="1"/>
    <n v="0"/>
    <n v="0"/>
    <n v="25"/>
    <n v="59"/>
    <n v="0"/>
    <n v="69.489999999999995"/>
    <n v="185.18"/>
    <m/>
    <n v="92.397536067834494"/>
    <n v="198.13390838089941"/>
    <n v="0"/>
    <n v="12192.472184999999"/>
    <n v="32491.034670000001"/>
    <n v="0"/>
    <n v="16211.748287086004"/>
    <n v="34763.88209583328"/>
  </r>
  <r>
    <s v="Refaturamento - Regular"/>
    <x v="1"/>
    <x v="2"/>
    <x v="5"/>
    <x v="1"/>
    <x v="2"/>
    <x v="0"/>
    <x v="0"/>
    <x v="4"/>
    <n v="0"/>
    <n v="0"/>
    <n v="-0.63300000000000001"/>
    <n v="-0.18990000000000001"/>
    <n v="-0.63300000000000001"/>
    <n v="-0.18990000000000001"/>
    <n v="0"/>
    <x v="1"/>
    <n v="0"/>
    <n v="0"/>
    <n v="25"/>
    <n v="59"/>
    <n v="0"/>
    <n v="69.489999999999995"/>
    <n v="185.18"/>
    <m/>
    <n v="92.397536067834494"/>
    <n v="198.13390838089941"/>
    <n v="0"/>
    <n v="-13.196151"/>
    <n v="-35.165682000000004"/>
    <n v="0"/>
    <n v="-17.546292099281771"/>
    <n v="-37.625629201532803"/>
  </r>
  <r>
    <s v="Sistema de Compensação"/>
    <x v="1"/>
    <x v="2"/>
    <x v="5"/>
    <x v="1"/>
    <x v="2"/>
    <x v="0"/>
    <x v="0"/>
    <x v="4"/>
    <n v="0"/>
    <n v="0"/>
    <n v="9.1150000000000002"/>
    <n v="2.7345000000000002"/>
    <n v="9.1150000000000002"/>
    <n v="2.7345000000000002"/>
    <n v="0"/>
    <x v="1"/>
    <n v="0"/>
    <n v="0"/>
    <n v="25"/>
    <n v="59"/>
    <n v="0"/>
    <n v="69.489999999999995"/>
    <n v="185.18"/>
    <m/>
    <n v="92.397536067834494"/>
    <n v="198.13390838089941"/>
    <n v="0"/>
    <n v="190.02040499999998"/>
    <n v="506.37471000000005"/>
    <n v="0"/>
    <n v="252.66106237749344"/>
    <n v="541.79717246756945"/>
  </r>
  <r>
    <s v="Regular"/>
    <x v="1"/>
    <x v="2"/>
    <x v="5"/>
    <x v="1"/>
    <x v="2"/>
    <x v="0"/>
    <x v="0"/>
    <x v="5"/>
    <n v="0"/>
    <n v="0"/>
    <n v="5148.9059999999999"/>
    <n v="1544.6718000000001"/>
    <n v="5148.9059999999999"/>
    <n v="1544.6718000000001"/>
    <n v="0"/>
    <x v="1"/>
    <n v="0"/>
    <n v="0"/>
    <n v="25"/>
    <n v="59"/>
    <n v="0"/>
    <n v="69.489999999999995"/>
    <n v="185.18"/>
    <m/>
    <n v="92.397536067834494"/>
    <n v="198.13390838089941"/>
    <n v="0"/>
    <n v="107339.243382"/>
    <n v="286042.32392400003"/>
    <n v="0"/>
    <n v="142723.86835346682"/>
    <n v="306051.86089975899"/>
  </r>
  <r>
    <s v="Regular"/>
    <x v="1"/>
    <x v="2"/>
    <x v="5"/>
    <x v="1"/>
    <x v="2"/>
    <x v="0"/>
    <x v="0"/>
    <x v="6"/>
    <n v="0"/>
    <n v="0"/>
    <n v="6675.9070000000002"/>
    <n v="2002.7720999999999"/>
    <n v="6675.9070000000002"/>
    <n v="2002.7720999999999"/>
    <n v="0"/>
    <x v="1"/>
    <n v="0"/>
    <n v="0"/>
    <n v="25"/>
    <n v="59"/>
    <n v="0"/>
    <n v="69.489999999999995"/>
    <n v="185.18"/>
    <m/>
    <n v="92.397536067834494"/>
    <n v="198.13390838089941"/>
    <n v="0"/>
    <n v="139172.63322899997"/>
    <n v="370873.33747799997"/>
    <n v="0"/>
    <n v="185051.20734540262"/>
    <n v="396817.06376922148"/>
  </r>
  <r>
    <s v="Sistema de Compensação"/>
    <x v="1"/>
    <x v="2"/>
    <x v="5"/>
    <x v="1"/>
    <x v="2"/>
    <x v="0"/>
    <x v="0"/>
    <x v="6"/>
    <n v="0"/>
    <n v="0"/>
    <n v="181.376"/>
    <n v="54.412799999999997"/>
    <n v="181.376"/>
    <n v="54.412799999999997"/>
    <n v="0"/>
    <x v="1"/>
    <n v="0"/>
    <n v="0"/>
    <n v="25"/>
    <n v="59"/>
    <n v="0"/>
    <n v="69.489999999999995"/>
    <n v="185.18"/>
    <m/>
    <n v="92.397536067834494"/>
    <n v="198.13390838089941"/>
    <n v="0"/>
    <n v="3781.1454719999997"/>
    <n v="10076.162303999999"/>
    <n v="0"/>
    <n v="5027.6086505518642"/>
    <n v="10781.020729948203"/>
  </r>
  <r>
    <s v="Regular"/>
    <x v="1"/>
    <x v="2"/>
    <x v="5"/>
    <x v="1"/>
    <x v="2"/>
    <x v="0"/>
    <x v="0"/>
    <x v="7"/>
    <n v="0"/>
    <n v="0"/>
    <n v="5164.74"/>
    <n v="1549.422"/>
    <n v="5164.74"/>
    <n v="1549.422"/>
    <n v="0"/>
    <x v="1"/>
    <n v="0"/>
    <n v="0"/>
    <n v="25"/>
    <n v="59"/>
    <n v="0"/>
    <n v="69.489999999999995"/>
    <n v="185.18"/>
    <m/>
    <n v="92.397536067834494"/>
    <n v="198.13390838089941"/>
    <n v="0"/>
    <n v="107669.33477999999"/>
    <n v="286921.96596"/>
    <n v="0"/>
    <n v="143162.77512929626"/>
    <n v="306993.03659134993"/>
  </r>
  <r>
    <s v="Refaturamento - Regular"/>
    <x v="1"/>
    <x v="2"/>
    <x v="5"/>
    <x v="1"/>
    <x v="2"/>
    <x v="0"/>
    <x v="0"/>
    <x v="7"/>
    <n v="0"/>
    <n v="0"/>
    <n v="-56.470999999999997"/>
    <n v="-16.941299999999998"/>
    <n v="-56.470999999999997"/>
    <n v="-16.941299999999998"/>
    <n v="0"/>
    <x v="1"/>
    <n v="0"/>
    <n v="0"/>
    <n v="25"/>
    <n v="59"/>
    <n v="0"/>
    <n v="69.489999999999995"/>
    <n v="185.18"/>
    <m/>
    <n v="92.397536067834494"/>
    <n v="198.13390838089941"/>
    <n v="0"/>
    <n v="-1177.2509369999998"/>
    <n v="-3137.189934"/>
    <n v="0"/>
    <n v="-1565.3343777860043"/>
    <n v="-3356.645982053331"/>
  </r>
  <r>
    <s v="Sistema de Compensação"/>
    <x v="1"/>
    <x v="2"/>
    <x v="5"/>
    <x v="1"/>
    <x v="2"/>
    <x v="0"/>
    <x v="0"/>
    <x v="7"/>
    <n v="0"/>
    <n v="0"/>
    <n v="157.94"/>
    <n v="47.381999999999998"/>
    <n v="157.94"/>
    <n v="47.381999999999998"/>
    <n v="0"/>
    <x v="1"/>
    <n v="0"/>
    <n v="0"/>
    <n v="25"/>
    <n v="59"/>
    <n v="0"/>
    <n v="69.489999999999995"/>
    <n v="185.18"/>
    <m/>
    <n v="92.397536067834494"/>
    <n v="198.13390838089941"/>
    <n v="0"/>
    <n v="3292.5751799999998"/>
    <n v="8774.1987599999993"/>
    <n v="0"/>
    <n v="4377.9800539661337"/>
    <n v="9387.9808469037762"/>
  </r>
  <r>
    <s v="Regular"/>
    <x v="1"/>
    <x v="2"/>
    <x v="5"/>
    <x v="1"/>
    <x v="2"/>
    <x v="0"/>
    <x v="0"/>
    <x v="8"/>
    <n v="0"/>
    <n v="0"/>
    <n v="3306.627"/>
    <n v="991.98810000000003"/>
    <n v="3306.627"/>
    <n v="991.98810000000003"/>
    <n v="0"/>
    <x v="1"/>
    <n v="0"/>
    <n v="0"/>
    <n v="25"/>
    <n v="59"/>
    <n v="0"/>
    <n v="69.489999999999995"/>
    <n v="185.18"/>
    <m/>
    <n v="92.397536067834494"/>
    <n v="198.13390838089941"/>
    <n v="0"/>
    <n v="68933.253068999999"/>
    <n v="183696.35635800002"/>
    <n v="0"/>
    <n v="91657.256248612612"/>
    <n v="196546.47932034248"/>
  </r>
  <r>
    <s v="Refaturamento - Regular"/>
    <x v="1"/>
    <x v="2"/>
    <x v="5"/>
    <x v="1"/>
    <x v="2"/>
    <x v="0"/>
    <x v="0"/>
    <x v="8"/>
    <n v="0"/>
    <n v="0"/>
    <n v="-55.35"/>
    <n v="-16.605"/>
    <n v="-55.35"/>
    <n v="-16.605"/>
    <n v="0"/>
    <x v="1"/>
    <n v="0"/>
    <n v="0"/>
    <n v="25"/>
    <n v="59"/>
    <n v="0"/>
    <n v="69.489999999999995"/>
    <n v="185.18"/>
    <m/>
    <n v="92.397536067834494"/>
    <n v="198.13390838089941"/>
    <n v="0"/>
    <n v="-1153.8814499999999"/>
    <n v="-3074.9139"/>
    <n v="0"/>
    <n v="-1534.2610864063918"/>
    <n v="-3290.0135486648346"/>
  </r>
  <r>
    <s v="Sistema de Compensação"/>
    <x v="1"/>
    <x v="2"/>
    <x v="5"/>
    <x v="1"/>
    <x v="2"/>
    <x v="0"/>
    <x v="0"/>
    <x v="8"/>
    <n v="0"/>
    <n v="0"/>
    <n v="100.608"/>
    <n v="30.182400000000001"/>
    <n v="100.608"/>
    <n v="30.182400000000001"/>
    <n v="0"/>
    <x v="1"/>
    <n v="0"/>
    <n v="0"/>
    <n v="25"/>
    <n v="59"/>
    <n v="0"/>
    <n v="69.489999999999995"/>
    <n v="185.18"/>
    <m/>
    <n v="92.397536067834494"/>
    <n v="198.13390838089941"/>
    <n v="0"/>
    <n v="2097.3749760000001"/>
    <n v="5589.1768320000001"/>
    <n v="0"/>
    <n v="2788.7793926138079"/>
    <n v="5980.1568763156583"/>
  </r>
  <r>
    <s v="Regular"/>
    <x v="1"/>
    <x v="2"/>
    <x v="5"/>
    <x v="1"/>
    <x v="2"/>
    <x v="0"/>
    <x v="0"/>
    <x v="9"/>
    <n v="0"/>
    <n v="0"/>
    <n v="1019.164"/>
    <n v="305.74919999999997"/>
    <n v="1019.164"/>
    <n v="305.74919999999997"/>
    <n v="0"/>
    <x v="1"/>
    <n v="0"/>
    <n v="0"/>
    <n v="25"/>
    <n v="59"/>
    <n v="0"/>
    <n v="69.489999999999995"/>
    <n v="185.18"/>
    <m/>
    <n v="92.397536067834494"/>
    <n v="198.13390838089941"/>
    <n v="0"/>
    <n v="21246.511907999997"/>
    <n v="56618.636855999997"/>
    <n v="0"/>
    <n v="28250.47273471154"/>
    <n v="60579.283980333283"/>
  </r>
  <r>
    <s v="Refaturamento - Regular"/>
    <x v="1"/>
    <x v="2"/>
    <x v="5"/>
    <x v="1"/>
    <x v="2"/>
    <x v="0"/>
    <x v="0"/>
    <x v="9"/>
    <n v="0"/>
    <n v="0"/>
    <n v="-28.209"/>
    <n v="-8.4626999999999999"/>
    <n v="-28.209"/>
    <n v="-8.4626999999999999"/>
    <n v="0"/>
    <x v="1"/>
    <n v="0"/>
    <n v="0"/>
    <n v="25"/>
    <n v="59"/>
    <n v="0"/>
    <n v="69.489999999999995"/>
    <n v="185.18"/>
    <m/>
    <n v="92.397536067834494"/>
    <n v="198.13390838089941"/>
    <n v="0"/>
    <n v="-588.07302299999992"/>
    <n v="-1567.1227860000001"/>
    <n v="0"/>
    <n v="-781.93262848126301"/>
    <n v="-1676.7478264550375"/>
  </r>
  <r>
    <s v="Sistema de Compensação"/>
    <x v="1"/>
    <x v="2"/>
    <x v="5"/>
    <x v="1"/>
    <x v="2"/>
    <x v="0"/>
    <x v="0"/>
    <x v="9"/>
    <n v="0"/>
    <n v="0"/>
    <n v="29.965"/>
    <n v="8.9894999999999996"/>
    <n v="29.965"/>
    <n v="8.9894999999999996"/>
    <n v="0"/>
    <x v="1"/>
    <n v="0"/>
    <n v="0"/>
    <n v="25"/>
    <n v="59"/>
    <n v="0"/>
    <n v="69.489999999999995"/>
    <n v="185.18"/>
    <m/>
    <n v="92.397536067834494"/>
    <n v="198.13390838089941"/>
    <n v="0"/>
    <n v="624.68035499999996"/>
    <n v="1664.67561"/>
    <n v="0"/>
    <n v="830.60765048179815"/>
    <n v="1781.1247693900953"/>
  </r>
  <r>
    <s v="Regular"/>
    <x v="1"/>
    <x v="2"/>
    <x v="5"/>
    <x v="1"/>
    <x v="2"/>
    <x v="0"/>
    <x v="0"/>
    <x v="10"/>
    <n v="0"/>
    <n v="0"/>
    <n v="369.96300000000002"/>
    <n v="110.9889"/>
    <n v="369.96300000000002"/>
    <n v="110.9889"/>
    <n v="0"/>
    <x v="1"/>
    <n v="0"/>
    <n v="0"/>
    <n v="25"/>
    <n v="59"/>
    <n v="0"/>
    <n v="69.489999999999995"/>
    <n v="185.18"/>
    <m/>
    <n v="92.397536067834494"/>
    <n v="198.13390838089941"/>
    <n v="0"/>
    <n v="7712.6186609999995"/>
    <n v="20552.924502000002"/>
    <n v="0"/>
    <n v="10255.100890879276"/>
    <n v="21990.664543896808"/>
  </r>
  <r>
    <s v="Refaturamento - Regular"/>
    <x v="1"/>
    <x v="2"/>
    <x v="5"/>
    <x v="1"/>
    <x v="2"/>
    <x v="0"/>
    <x v="0"/>
    <x v="10"/>
    <n v="0"/>
    <n v="0"/>
    <n v="-13.811999999999999"/>
    <n v="-4.1436000000000002"/>
    <n v="-13.811999999999999"/>
    <n v="-4.1436000000000002"/>
    <n v="0"/>
    <x v="1"/>
    <n v="0"/>
    <n v="0"/>
    <n v="25"/>
    <n v="59"/>
    <n v="0"/>
    <n v="69.489999999999995"/>
    <n v="185.18"/>
    <m/>
    <n v="92.397536067834494"/>
    <n v="198.13390838089941"/>
    <n v="0"/>
    <n v="-287.93876399999999"/>
    <n v="-767.31184800000005"/>
    <n v="0"/>
    <n v="-382.85843045067901"/>
    <n v="-820.98766276709489"/>
  </r>
  <r>
    <s v="Sistema de Compensação"/>
    <x v="1"/>
    <x v="2"/>
    <x v="5"/>
    <x v="1"/>
    <x v="2"/>
    <x v="0"/>
    <x v="0"/>
    <x v="10"/>
    <n v="0"/>
    <n v="0"/>
    <n v="1.6060000000000001"/>
    <n v="0.48180000000000001"/>
    <n v="1.6060000000000001"/>
    <n v="0.48180000000000001"/>
    <n v="0"/>
    <x v="1"/>
    <n v="0"/>
    <n v="0"/>
    <n v="25"/>
    <n v="59"/>
    <n v="0"/>
    <n v="69.489999999999995"/>
    <n v="185.18"/>
    <m/>
    <n v="92.397536067834494"/>
    <n v="198.13390838089941"/>
    <n v="0"/>
    <n v="33.480281999999995"/>
    <n v="89.219723999999999"/>
    <n v="0"/>
    <n v="44.517132877482659"/>
    <n v="95.460917057917342"/>
  </r>
  <r>
    <s v="Regular"/>
    <x v="1"/>
    <x v="2"/>
    <x v="5"/>
    <x v="1"/>
    <x v="2"/>
    <x v="0"/>
    <x v="0"/>
    <x v="11"/>
    <n v="0"/>
    <n v="0"/>
    <n v="253.489"/>
    <n v="76.046700000000001"/>
    <n v="253.489"/>
    <n v="76.046700000000001"/>
    <n v="0"/>
    <x v="1"/>
    <n v="0"/>
    <n v="0"/>
    <n v="25"/>
    <n v="59"/>
    <n v="0"/>
    <n v="69.489999999999995"/>
    <n v="185.18"/>
    <m/>
    <n v="92.397536067834494"/>
    <n v="198.13390838089941"/>
    <n v="0"/>
    <n v="5284.4851829999998"/>
    <n v="14082.327906"/>
    <n v="0"/>
    <n v="7026.5277060897897"/>
    <n v="15067.429890469744"/>
  </r>
  <r>
    <s v="Refaturamento - Regular"/>
    <x v="1"/>
    <x v="2"/>
    <x v="5"/>
    <x v="1"/>
    <x v="2"/>
    <x v="0"/>
    <x v="0"/>
    <x v="11"/>
    <n v="0"/>
    <n v="0"/>
    <n v="-0.57899999999999996"/>
    <n v="-0.17369999999999999"/>
    <n v="-0.57899999999999996"/>
    <n v="-0.17369999999999999"/>
    <n v="0"/>
    <x v="1"/>
    <n v="0"/>
    <n v="0"/>
    <n v="25"/>
    <n v="59"/>
    <n v="0"/>
    <n v="69.489999999999995"/>
    <n v="185.18"/>
    <m/>
    <n v="92.397536067834494"/>
    <n v="198.13390838089941"/>
    <n v="0"/>
    <n v="-12.070412999999999"/>
    <n v="-32.165765999999998"/>
    <n v="0"/>
    <n v="-16.049452014982851"/>
    <n v="-34.415859885762224"/>
  </r>
  <r>
    <s v="Regular"/>
    <x v="1"/>
    <x v="2"/>
    <x v="5"/>
    <x v="1"/>
    <x v="2"/>
    <x v="0"/>
    <x v="2"/>
    <x v="0"/>
    <n v="0"/>
    <n v="0"/>
    <n v="15.003"/>
    <n v="4.5008999999999997"/>
    <n v="15.003"/>
    <n v="4.5008999999999997"/>
    <n v="0"/>
    <x v="1"/>
    <n v="0"/>
    <n v="0"/>
    <n v="12"/>
    <n v="66"/>
    <n v="0"/>
    <n v="1124.7"/>
    <n v="185.18"/>
    <m/>
    <n v="1194.906449742829"/>
    <n v="198.13390838089941"/>
    <n v="0"/>
    <n v="5062.1622299999999"/>
    <n v="833.47666199999992"/>
    <n v="0"/>
    <n v="5378.1544396474983"/>
    <n v="891.78090823159016"/>
  </r>
  <r>
    <s v="Regular"/>
    <x v="1"/>
    <x v="2"/>
    <x v="5"/>
    <x v="1"/>
    <x v="2"/>
    <x v="0"/>
    <x v="2"/>
    <x v="1"/>
    <n v="0"/>
    <n v="0"/>
    <n v="16.64"/>
    <n v="4.992"/>
    <n v="16.64"/>
    <n v="4.992"/>
    <n v="0"/>
    <x v="1"/>
    <n v="0"/>
    <n v="0"/>
    <n v="12"/>
    <n v="66"/>
    <n v="0"/>
    <n v="1124.7"/>
    <n v="185.18"/>
    <m/>
    <n v="1194.906449742829"/>
    <n v="198.13390838089941"/>
    <n v="0"/>
    <n v="5614.5024000000003"/>
    <n v="924.41856000000007"/>
    <n v="0"/>
    <n v="5964.9729971162024"/>
    <n v="989.08447063744984"/>
  </r>
  <r>
    <s v="Sistema de Compensação"/>
    <x v="1"/>
    <x v="2"/>
    <x v="5"/>
    <x v="1"/>
    <x v="2"/>
    <x v="0"/>
    <x v="2"/>
    <x v="1"/>
    <n v="0"/>
    <n v="0"/>
    <n v="0.32500000000000001"/>
    <n v="9.7500000000000003E-2"/>
    <n v="0.32500000000000001"/>
    <n v="9.7500000000000003E-2"/>
    <n v="0"/>
    <x v="1"/>
    <n v="0"/>
    <n v="0"/>
    <n v="12"/>
    <n v="66"/>
    <n v="0"/>
    <n v="1124.7"/>
    <n v="185.18"/>
    <m/>
    <n v="1194.906449742829"/>
    <n v="198.13390838089941"/>
    <n v="0"/>
    <n v="109.65825000000001"/>
    <n v="18.055050000000001"/>
    <n v="0"/>
    <n v="116.50337884992582"/>
    <n v="19.318056067137693"/>
  </r>
  <r>
    <s v="Regular"/>
    <x v="1"/>
    <x v="2"/>
    <x v="5"/>
    <x v="1"/>
    <x v="2"/>
    <x v="0"/>
    <x v="2"/>
    <x v="2"/>
    <n v="0"/>
    <n v="0"/>
    <n v="21.83"/>
    <n v="6.5490000000000004"/>
    <n v="21.83"/>
    <n v="6.5490000000000004"/>
    <n v="0"/>
    <x v="1"/>
    <n v="0"/>
    <n v="0"/>
    <n v="12"/>
    <n v="66"/>
    <n v="0"/>
    <n v="1124.7"/>
    <n v="185.18"/>
    <m/>
    <n v="1194.906449742829"/>
    <n v="198.13390838089941"/>
    <n v="0"/>
    <n v="7365.6603000000005"/>
    <n v="1212.7438200000001"/>
    <n v="0"/>
    <n v="7825.4423393657871"/>
    <n v="1297.5789659865104"/>
  </r>
  <r>
    <s v="Sistema de Compensação"/>
    <x v="1"/>
    <x v="2"/>
    <x v="5"/>
    <x v="1"/>
    <x v="2"/>
    <x v="0"/>
    <x v="2"/>
    <x v="2"/>
    <n v="0"/>
    <n v="0"/>
    <n v="0.42799999999999999"/>
    <n v="0.12839999999999999"/>
    <n v="0.42799999999999999"/>
    <n v="0.12839999999999999"/>
    <n v="0"/>
    <x v="1"/>
    <n v="0"/>
    <n v="0"/>
    <n v="12"/>
    <n v="66"/>
    <n v="0"/>
    <n v="1124.7"/>
    <n v="185.18"/>
    <m/>
    <n v="1194.906449742829"/>
    <n v="198.13390838089941"/>
    <n v="0"/>
    <n v="144.41147999999998"/>
    <n v="23.777111999999999"/>
    <n v="0"/>
    <n v="153.42598814697922"/>
    <n v="25.440393836107482"/>
  </r>
  <r>
    <s v="Regular"/>
    <x v="1"/>
    <x v="2"/>
    <x v="5"/>
    <x v="1"/>
    <x v="2"/>
    <x v="0"/>
    <x v="2"/>
    <x v="3"/>
    <n v="0"/>
    <n v="0"/>
    <n v="18.888999999999999"/>
    <n v="5.6666999999999996"/>
    <n v="18.888999999999999"/>
    <n v="5.6666999999999996"/>
    <n v="0"/>
    <x v="1"/>
    <n v="0"/>
    <n v="0"/>
    <n v="12"/>
    <n v="66"/>
    <n v="0"/>
    <n v="1124.7"/>
    <n v="185.18"/>
    <m/>
    <n v="1194.906449742829"/>
    <n v="198.13390838089941"/>
    <n v="0"/>
    <n v="6373.3374899999999"/>
    <n v="1049.359506"/>
    <n v="0"/>
    <n v="6771.1763787576883"/>
    <n v="1122.7654186220427"/>
  </r>
  <r>
    <s v="Regular"/>
    <x v="1"/>
    <x v="2"/>
    <x v="5"/>
    <x v="1"/>
    <x v="2"/>
    <x v="0"/>
    <x v="2"/>
    <x v="4"/>
    <n v="0"/>
    <n v="0"/>
    <n v="20.326000000000001"/>
    <n v="6.0978000000000003"/>
    <n v="20.326000000000001"/>
    <n v="6.0978000000000003"/>
    <n v="0"/>
    <x v="1"/>
    <n v="0"/>
    <n v="0"/>
    <n v="12"/>
    <n v="66"/>
    <n v="0"/>
    <n v="1124.7"/>
    <n v="185.18"/>
    <m/>
    <n v="1194.906449742829"/>
    <n v="198.13390838089941"/>
    <n v="0"/>
    <n v="6858.1956600000003"/>
    <n v="1129.1906040000001"/>
    <n v="0"/>
    <n v="7286.3005492418224"/>
    <n v="1208.1809465250485"/>
  </r>
  <r>
    <s v="Refaturamento - Regular"/>
    <x v="1"/>
    <x v="2"/>
    <x v="5"/>
    <x v="1"/>
    <x v="2"/>
    <x v="0"/>
    <x v="2"/>
    <x v="4"/>
    <n v="0"/>
    <n v="0"/>
    <n v="-6.0999999999999999E-2"/>
    <n v="-1.83E-2"/>
    <n v="-6.0999999999999999E-2"/>
    <n v="-1.83E-2"/>
    <n v="0"/>
    <x v="1"/>
    <n v="0"/>
    <n v="0"/>
    <n v="12"/>
    <n v="66"/>
    <n v="0"/>
    <n v="1124.7"/>
    <n v="185.18"/>
    <m/>
    <n v="1194.906449742829"/>
    <n v="198.13390838089941"/>
    <n v="0"/>
    <n v="-20.58201"/>
    <n v="-3.3887940000000003"/>
    <n v="0"/>
    <n v="-21.866788030293769"/>
    <n v="-3.6258505233704592"/>
  </r>
  <r>
    <s v="Sistema de Compensação"/>
    <x v="1"/>
    <x v="2"/>
    <x v="5"/>
    <x v="1"/>
    <x v="2"/>
    <x v="0"/>
    <x v="2"/>
    <x v="4"/>
    <n v="0"/>
    <n v="0"/>
    <n v="0.48199999999999998"/>
    <n v="0.14460000000000001"/>
    <n v="0.48199999999999998"/>
    <n v="0.14460000000000001"/>
    <n v="0"/>
    <x v="1"/>
    <n v="0"/>
    <n v="0"/>
    <n v="12"/>
    <n v="66"/>
    <n v="0"/>
    <n v="1124.7"/>
    <n v="185.18"/>
    <m/>
    <n v="1194.906449742829"/>
    <n v="198.13390838089941"/>
    <n v="0"/>
    <n v="162.63162000000003"/>
    <n v="26.777028000000001"/>
    <n v="0"/>
    <n v="172.78347263281307"/>
    <n v="28.650163151878058"/>
  </r>
  <r>
    <s v="Regular"/>
    <x v="1"/>
    <x v="2"/>
    <x v="5"/>
    <x v="1"/>
    <x v="2"/>
    <x v="0"/>
    <x v="2"/>
    <x v="5"/>
    <n v="0"/>
    <n v="0"/>
    <n v="60.673000000000002"/>
    <n v="18.201899999999998"/>
    <n v="60.673000000000002"/>
    <n v="18.201899999999998"/>
    <n v="0"/>
    <x v="1"/>
    <n v="0"/>
    <n v="0"/>
    <n v="12"/>
    <n v="66"/>
    <n v="0"/>
    <n v="1124.7"/>
    <n v="185.18"/>
    <m/>
    <n v="1194.906449742829"/>
    <n v="198.13390838089941"/>
    <n v="0"/>
    <n v="20471.676929999998"/>
    <n v="3370.6278419999999"/>
    <n v="0"/>
    <n v="21749.567707573995"/>
    <n v="3606.4135869582929"/>
  </r>
  <r>
    <s v="Regular"/>
    <x v="1"/>
    <x v="2"/>
    <x v="5"/>
    <x v="1"/>
    <x v="2"/>
    <x v="0"/>
    <x v="2"/>
    <x v="6"/>
    <n v="0"/>
    <n v="0"/>
    <n v="126.414"/>
    <n v="37.924199999999999"/>
    <n v="126.414"/>
    <n v="37.924199999999999"/>
    <n v="0"/>
    <x v="1"/>
    <n v="0"/>
    <n v="0"/>
    <n v="12"/>
    <n v="66"/>
    <n v="0"/>
    <n v="1124.7"/>
    <n v="185.18"/>
    <m/>
    <n v="1194.906449742829"/>
    <n v="198.13390838089941"/>
    <n v="0"/>
    <n v="42653.347739999997"/>
    <n v="7022.8033560000003"/>
    <n v="0"/>
    <n v="45315.871181336996"/>
    <n v="7514.0699682189052"/>
  </r>
  <r>
    <s v="Sistema de Compensação"/>
    <x v="1"/>
    <x v="2"/>
    <x v="5"/>
    <x v="1"/>
    <x v="2"/>
    <x v="0"/>
    <x v="2"/>
    <x v="6"/>
    <n v="0"/>
    <n v="0"/>
    <n v="0.40500000000000003"/>
    <n v="0.1215"/>
    <n v="0.40500000000000003"/>
    <n v="0.1215"/>
    <n v="0"/>
    <x v="1"/>
    <n v="0"/>
    <n v="0"/>
    <n v="12"/>
    <n v="66"/>
    <n v="0"/>
    <n v="1124.7"/>
    <n v="185.18"/>
    <m/>
    <n v="1194.906449742829"/>
    <n v="198.13390838089941"/>
    <n v="0"/>
    <n v="136.65105"/>
    <n v="22.499369999999999"/>
    <n v="0"/>
    <n v="145.18113364375372"/>
    <n v="24.073269868279279"/>
  </r>
  <r>
    <s v="Regular"/>
    <x v="1"/>
    <x v="2"/>
    <x v="5"/>
    <x v="1"/>
    <x v="2"/>
    <x v="0"/>
    <x v="2"/>
    <x v="7"/>
    <n v="0"/>
    <n v="0"/>
    <n v="79.546999999999997"/>
    <n v="23.864100000000001"/>
    <n v="79.546999999999997"/>
    <n v="23.864100000000001"/>
    <n v="0"/>
    <x v="1"/>
    <n v="0"/>
    <n v="0"/>
    <n v="12"/>
    <n v="66"/>
    <n v="0"/>
    <n v="1124.7"/>
    <n v="185.18"/>
    <m/>
    <n v="1194.906449742829"/>
    <n v="198.13390838089941"/>
    <n v="0"/>
    <n v="26839.953270000002"/>
    <n v="4419.1540380000006"/>
    <n v="0"/>
    <n v="28515.367007307847"/>
    <n v="4728.2874029926215"/>
  </r>
  <r>
    <s v="Refaturamento - Regular"/>
    <x v="1"/>
    <x v="2"/>
    <x v="5"/>
    <x v="1"/>
    <x v="2"/>
    <x v="0"/>
    <x v="2"/>
    <x v="7"/>
    <n v="0"/>
    <n v="0"/>
    <n v="-9.0999999999999998E-2"/>
    <n v="-2.7300000000000001E-2"/>
    <n v="-9.0999999999999998E-2"/>
    <n v="-2.7300000000000001E-2"/>
    <n v="0"/>
    <x v="1"/>
    <n v="0"/>
    <n v="0"/>
    <n v="12"/>
    <n v="66"/>
    <n v="0"/>
    <n v="1124.7"/>
    <n v="185.18"/>
    <m/>
    <n v="1194.906449742829"/>
    <n v="198.13390838089941"/>
    <n v="0"/>
    <n v="-30.704310000000003"/>
    <n v="-5.0554140000000007"/>
    <n v="0"/>
    <n v="-32.620946077979234"/>
    <n v="-5.4090556987985545"/>
  </r>
  <r>
    <s v="Sistema de Compensação"/>
    <x v="1"/>
    <x v="2"/>
    <x v="5"/>
    <x v="1"/>
    <x v="2"/>
    <x v="0"/>
    <x v="2"/>
    <x v="7"/>
    <n v="0"/>
    <n v="0"/>
    <n v="0.38600000000000001"/>
    <n v="0.1158"/>
    <n v="0.38600000000000001"/>
    <n v="0.1158"/>
    <n v="0"/>
    <x v="1"/>
    <n v="0"/>
    <n v="0"/>
    <n v="12"/>
    <n v="66"/>
    <n v="0"/>
    <n v="1124.7"/>
    <n v="185.18"/>
    <m/>
    <n v="1194.906449742829"/>
    <n v="198.13390838089941"/>
    <n v="0"/>
    <n v="130.24026000000001"/>
    <n v="21.443844000000002"/>
    <n v="0"/>
    <n v="138.37016688021959"/>
    <n v="22.943906590508153"/>
  </r>
  <r>
    <s v="Regular"/>
    <x v="1"/>
    <x v="2"/>
    <x v="5"/>
    <x v="1"/>
    <x v="2"/>
    <x v="0"/>
    <x v="2"/>
    <x v="8"/>
    <n v="0"/>
    <n v="0"/>
    <n v="83.45"/>
    <n v="25.035"/>
    <n v="83.45"/>
    <n v="25.035"/>
    <n v="0"/>
    <x v="1"/>
    <n v="0"/>
    <n v="0"/>
    <n v="12"/>
    <n v="66"/>
    <n v="0"/>
    <n v="1124.7"/>
    <n v="185.18"/>
    <m/>
    <n v="1194.906449742829"/>
    <n v="198.13390838089941"/>
    <n v="0"/>
    <n v="28156.8645"/>
    <n v="4635.9813000000004"/>
    <n v="0"/>
    <n v="29914.482969311724"/>
    <n v="4960.2823963158171"/>
  </r>
  <r>
    <s v="Refaturamento - Regular"/>
    <x v="1"/>
    <x v="2"/>
    <x v="5"/>
    <x v="1"/>
    <x v="2"/>
    <x v="0"/>
    <x v="2"/>
    <x v="8"/>
    <n v="0"/>
    <n v="0"/>
    <n v="-0.88600000000000001"/>
    <n v="-0.26579999999999998"/>
    <n v="-0.88600000000000001"/>
    <n v="-0.26579999999999998"/>
    <n v="0"/>
    <x v="1"/>
    <n v="0"/>
    <n v="0"/>
    <n v="12"/>
    <n v="66"/>
    <n v="0"/>
    <n v="1124.7"/>
    <n v="185.18"/>
    <m/>
    <n v="1194.906449742829"/>
    <n v="198.13390838089941"/>
    <n v="0"/>
    <n v="-298.94525999999996"/>
    <n v="-49.220844"/>
    <n v="0"/>
    <n v="-317.60613434164389"/>
    <n v="-52.663992847643058"/>
  </r>
  <r>
    <s v="Sistema de Compensação"/>
    <x v="1"/>
    <x v="2"/>
    <x v="5"/>
    <x v="1"/>
    <x v="2"/>
    <x v="0"/>
    <x v="2"/>
    <x v="8"/>
    <n v="0"/>
    <n v="0"/>
    <n v="0.25800000000000001"/>
    <n v="7.7399999999999997E-2"/>
    <n v="0.25800000000000001"/>
    <n v="7.7399999999999997E-2"/>
    <n v="0"/>
    <x v="1"/>
    <n v="0"/>
    <n v="0"/>
    <n v="12"/>
    <n v="66"/>
    <n v="0"/>
    <n v="1124.7"/>
    <n v="185.18"/>
    <m/>
    <n v="1194.906449742829"/>
    <n v="198.13390838089941"/>
    <n v="0"/>
    <n v="87.051779999999994"/>
    <n v="14.332932"/>
    <n v="0"/>
    <n v="92.485759210094955"/>
    <n v="15.335564508681614"/>
  </r>
  <r>
    <s v="Regular"/>
    <x v="1"/>
    <x v="2"/>
    <x v="5"/>
    <x v="1"/>
    <x v="2"/>
    <x v="0"/>
    <x v="2"/>
    <x v="9"/>
    <n v="0"/>
    <n v="0"/>
    <n v="31.059000000000001"/>
    <n v="9.3177000000000003"/>
    <n v="31.059000000000001"/>
    <n v="9.3177000000000003"/>
    <n v="0"/>
    <x v="1"/>
    <n v="0"/>
    <n v="0"/>
    <n v="12"/>
    <n v="66"/>
    <n v="0"/>
    <n v="1124.7"/>
    <n v="185.18"/>
    <m/>
    <n v="1194.906449742829"/>
    <n v="198.13390838089941"/>
    <n v="0"/>
    <n v="10479.617190000001"/>
    <n v="1725.4516860000001"/>
    <n v="0"/>
    <n v="11133.779826768758"/>
    <n v="1846.1523181207065"/>
  </r>
  <r>
    <s v="Refaturamento - Regular"/>
    <x v="1"/>
    <x v="2"/>
    <x v="5"/>
    <x v="1"/>
    <x v="2"/>
    <x v="0"/>
    <x v="2"/>
    <x v="9"/>
    <n v="0"/>
    <n v="0"/>
    <n v="-2.99"/>
    <n v="-0.89700000000000002"/>
    <n v="-2.99"/>
    <n v="-0.89700000000000002"/>
    <n v="0"/>
    <x v="1"/>
    <n v="0"/>
    <n v="0"/>
    <n v="12"/>
    <n v="66"/>
    <n v="0"/>
    <n v="1124.7"/>
    <n v="185.18"/>
    <m/>
    <n v="1194.906449742829"/>
    <n v="198.13390838089941"/>
    <n v="0"/>
    <n v="-1008.8559"/>
    <n v="-166.10646"/>
    <n v="0"/>
    <n v="-1071.8310854193176"/>
    <n v="-177.72611581766677"/>
  </r>
  <r>
    <s v="Sistema de Compensação"/>
    <x v="1"/>
    <x v="2"/>
    <x v="5"/>
    <x v="1"/>
    <x v="2"/>
    <x v="0"/>
    <x v="2"/>
    <x v="9"/>
    <n v="0"/>
    <n v="0"/>
    <n v="0.32"/>
    <n v="9.6000000000000002E-2"/>
    <n v="0.32"/>
    <n v="9.6000000000000002E-2"/>
    <n v="0"/>
    <x v="1"/>
    <n v="0"/>
    <n v="0"/>
    <n v="12"/>
    <n v="66"/>
    <n v="0"/>
    <n v="1124.7"/>
    <n v="185.18"/>
    <m/>
    <n v="1194.906449742829"/>
    <n v="198.13390838089941"/>
    <n v="0"/>
    <n v="107.97120000000001"/>
    <n v="17.777280000000001"/>
    <n v="0"/>
    <n v="114.71101917531158"/>
    <n v="19.020855204566345"/>
  </r>
  <r>
    <s v="Regular"/>
    <x v="1"/>
    <x v="2"/>
    <x v="5"/>
    <x v="1"/>
    <x v="2"/>
    <x v="0"/>
    <x v="2"/>
    <x v="10"/>
    <n v="0"/>
    <n v="0"/>
    <n v="18.913"/>
    <n v="5.6738999999999997"/>
    <n v="18.913"/>
    <n v="5.6738999999999997"/>
    <n v="0"/>
    <x v="1"/>
    <n v="0"/>
    <n v="0"/>
    <n v="12"/>
    <n v="66"/>
    <n v="0"/>
    <n v="1124.7"/>
    <n v="185.18"/>
    <m/>
    <n v="1194.906449742829"/>
    <n v="198.13390838089941"/>
    <n v="0"/>
    <n v="6381.4353300000002"/>
    <n v="1050.692802"/>
    <n v="0"/>
    <n v="6779.7797051958369"/>
    <n v="1124.1919827623851"/>
  </r>
  <r>
    <s v="Refaturamento - Regular"/>
    <x v="1"/>
    <x v="2"/>
    <x v="5"/>
    <x v="1"/>
    <x v="2"/>
    <x v="0"/>
    <x v="2"/>
    <x v="10"/>
    <n v="0"/>
    <n v="0"/>
    <n v="-0.38"/>
    <n v="-0.114"/>
    <n v="-0.38"/>
    <n v="-0.114"/>
    <n v="0"/>
    <x v="1"/>
    <n v="0"/>
    <n v="0"/>
    <n v="12"/>
    <n v="66"/>
    <n v="0"/>
    <n v="1124.7"/>
    <n v="185.18"/>
    <m/>
    <n v="1194.906449742829"/>
    <n v="198.13390838089941"/>
    <n v="0"/>
    <n v="-128.2158"/>
    <n v="-21.110520000000001"/>
    <n v="0"/>
    <n v="-136.21933527068251"/>
    <n v="-22.587265555422533"/>
  </r>
  <r>
    <s v="Regular"/>
    <x v="1"/>
    <x v="2"/>
    <x v="5"/>
    <x v="1"/>
    <x v="2"/>
    <x v="0"/>
    <x v="2"/>
    <x v="11"/>
    <n v="0"/>
    <n v="0"/>
    <n v="19.396999999999998"/>
    <n v="5.8190999999999997"/>
    <n v="19.396999999999998"/>
    <n v="5.8190999999999997"/>
    <n v="0"/>
    <x v="1"/>
    <n v="0"/>
    <n v="0"/>
    <n v="12"/>
    <n v="66"/>
    <n v="0"/>
    <n v="1124.7"/>
    <n v="185.18"/>
    <m/>
    <n v="1194.906449742829"/>
    <n v="198.13390838089941"/>
    <n v="0"/>
    <n v="6544.7417699999996"/>
    <n v="1077.5809380000001"/>
    <n v="0"/>
    <n v="6953.2801216984953"/>
    <n v="1152.9610262592917"/>
  </r>
  <r>
    <s v="Refaturamento - Regular"/>
    <x v="1"/>
    <x v="2"/>
    <x v="5"/>
    <x v="1"/>
    <x v="2"/>
    <x v="0"/>
    <x v="2"/>
    <x v="11"/>
    <n v="0"/>
    <n v="0"/>
    <n v="-0.09"/>
    <n v="-2.7E-2"/>
    <n v="-0.09"/>
    <n v="-2.7E-2"/>
    <n v="0"/>
    <x v="1"/>
    <n v="0"/>
    <n v="0"/>
    <n v="12"/>
    <n v="66"/>
    <n v="0"/>
    <n v="1124.7"/>
    <n v="185.18"/>
    <m/>
    <n v="1194.906449742829"/>
    <n v="198.13390838089941"/>
    <n v="0"/>
    <n v="-30.366900000000001"/>
    <n v="-4.99986"/>
    <n v="0"/>
    <n v="-32.26247414305638"/>
    <n v="-5.3496155262842837"/>
  </r>
  <r>
    <s v="Regular"/>
    <x v="1"/>
    <x v="2"/>
    <x v="5"/>
    <x v="1"/>
    <x v="3"/>
    <x v="0"/>
    <x v="0"/>
    <x v="0"/>
    <n v="0"/>
    <n v="0"/>
    <n v="84.168000000000006"/>
    <n v="25.250399999999999"/>
    <n v="84.168000000000006"/>
    <n v="25.250399999999999"/>
    <n v="0"/>
    <x v="1"/>
    <n v="0"/>
    <n v="0"/>
    <n v="25"/>
    <n v="59"/>
    <n v="0"/>
    <n v="69.489999999999995"/>
    <n v="185.18"/>
    <m/>
    <n v="92.397536067834494"/>
    <n v="198.13390838089941"/>
    <n v="0"/>
    <n v="1754.6502959999998"/>
    <n v="4675.8690720000004"/>
    <n v="0"/>
    <n v="2333.0747447272479"/>
    <n v="5002.960440181062"/>
  </r>
  <r>
    <s v="Regular"/>
    <x v="1"/>
    <x v="2"/>
    <x v="5"/>
    <x v="1"/>
    <x v="3"/>
    <x v="0"/>
    <x v="0"/>
    <x v="1"/>
    <n v="0"/>
    <n v="0"/>
    <n v="151.08000000000001"/>
    <n v="45.323999999999998"/>
    <n v="151.08000000000001"/>
    <n v="45.323999999999998"/>
    <n v="0"/>
    <x v="1"/>
    <n v="0"/>
    <n v="0"/>
    <n v="25"/>
    <n v="59"/>
    <n v="0"/>
    <n v="69.489999999999995"/>
    <n v="185.18"/>
    <m/>
    <n v="92.397536067834494"/>
    <n v="198.13390838089941"/>
    <n v="0"/>
    <n v="3149.5647599999998"/>
    <n v="8393.0983199999991"/>
    <n v="0"/>
    <n v="4187.8259247385304"/>
    <n v="8980.2212634558855"/>
  </r>
  <r>
    <s v="Sistema de Compensação"/>
    <x v="1"/>
    <x v="2"/>
    <x v="5"/>
    <x v="1"/>
    <x v="3"/>
    <x v="0"/>
    <x v="0"/>
    <x v="1"/>
    <n v="0"/>
    <n v="0"/>
    <n v="13.695"/>
    <n v="4.1085000000000003"/>
    <n v="13.695"/>
    <n v="4.1085000000000003"/>
    <n v="0"/>
    <x v="1"/>
    <n v="0"/>
    <n v="0"/>
    <n v="25"/>
    <n v="59"/>
    <n v="0"/>
    <n v="69.489999999999995"/>
    <n v="185.18"/>
    <m/>
    <n v="92.397536067834494"/>
    <n v="198.13390838089941"/>
    <n v="0"/>
    <n v="285.49966499999999"/>
    <n v="760.81203000000005"/>
    <n v="0"/>
    <n v="379.61527693469804"/>
    <n v="814.03316258292534"/>
  </r>
  <r>
    <s v="Regular"/>
    <x v="1"/>
    <x v="2"/>
    <x v="5"/>
    <x v="1"/>
    <x v="3"/>
    <x v="0"/>
    <x v="0"/>
    <x v="2"/>
    <n v="0"/>
    <n v="0"/>
    <n v="516.85"/>
    <n v="155.05500000000001"/>
    <n v="516.85"/>
    <n v="155.05500000000001"/>
    <n v="0"/>
    <x v="1"/>
    <n v="0"/>
    <n v="0"/>
    <n v="25"/>
    <n v="59"/>
    <n v="0"/>
    <n v="69.489999999999995"/>
    <n v="185.18"/>
    <m/>
    <n v="92.397536067834494"/>
    <n v="198.13390838089941"/>
    <n v="0"/>
    <n v="10774.77195"/>
    <n v="28713.084900000002"/>
    <n v="0"/>
    <n v="14326.699954998077"/>
    <n v="30721.65316400036"/>
  </r>
  <r>
    <s v="Sistema de Compensação"/>
    <x v="1"/>
    <x v="2"/>
    <x v="5"/>
    <x v="1"/>
    <x v="3"/>
    <x v="0"/>
    <x v="0"/>
    <x v="2"/>
    <n v="0"/>
    <n v="0"/>
    <n v="16.559000000000001"/>
    <n v="4.9676999999999998"/>
    <n v="16.559000000000001"/>
    <n v="4.9676999999999998"/>
    <n v="0"/>
    <x v="1"/>
    <n v="0"/>
    <n v="0"/>
    <n v="25"/>
    <n v="59"/>
    <n v="0"/>
    <n v="69.489999999999995"/>
    <n v="185.18"/>
    <m/>
    <n v="92.397536067834494"/>
    <n v="198.13390838089941"/>
    <n v="0"/>
    <n v="345.20547299999998"/>
    <n v="919.91868599999998"/>
    <n v="0"/>
    <n v="459.0032399241814"/>
    <n v="984.26981666379402"/>
  </r>
  <r>
    <s v="Regular"/>
    <x v="1"/>
    <x v="2"/>
    <x v="5"/>
    <x v="1"/>
    <x v="3"/>
    <x v="0"/>
    <x v="0"/>
    <x v="3"/>
    <n v="0"/>
    <n v="0"/>
    <n v="249.75800000000001"/>
    <n v="74.927400000000006"/>
    <n v="249.75800000000001"/>
    <n v="74.927400000000006"/>
    <n v="0"/>
    <x v="1"/>
    <n v="0"/>
    <n v="0"/>
    <n v="25"/>
    <n v="59"/>
    <n v="0"/>
    <n v="69.489999999999995"/>
    <n v="185.18"/>
    <m/>
    <n v="92.397536067834494"/>
    <n v="198.13390838089941"/>
    <n v="0"/>
    <n v="5206.7050259999996"/>
    <n v="13875.055932000001"/>
    <n v="0"/>
    <n v="6923.1071439690631"/>
    <n v="14845.658606819004"/>
  </r>
  <r>
    <s v="Regular"/>
    <x v="1"/>
    <x v="2"/>
    <x v="5"/>
    <x v="1"/>
    <x v="3"/>
    <x v="0"/>
    <x v="0"/>
    <x v="4"/>
    <n v="0"/>
    <n v="0"/>
    <n v="495.33699999999999"/>
    <n v="148.6011"/>
    <n v="495.33699999999999"/>
    <n v="148.6011"/>
    <n v="0"/>
    <x v="1"/>
    <n v="0"/>
    <n v="0"/>
    <n v="25"/>
    <n v="59"/>
    <n v="0"/>
    <n v="69.489999999999995"/>
    <n v="185.18"/>
    <m/>
    <n v="92.397536067834494"/>
    <n v="198.13390838089941"/>
    <n v="0"/>
    <n v="10326.290438999999"/>
    <n v="27517.951698000001"/>
    <n v="0"/>
    <n v="13730.37549696988"/>
    <n v="29442.916732700873"/>
  </r>
  <r>
    <s v="Refaturamento - Regular"/>
    <x v="1"/>
    <x v="2"/>
    <x v="5"/>
    <x v="1"/>
    <x v="3"/>
    <x v="0"/>
    <x v="0"/>
    <x v="4"/>
    <n v="0"/>
    <n v="0"/>
    <n v="-3.9289999999999998"/>
    <n v="-1.1787000000000001"/>
    <n v="-3.9289999999999998"/>
    <n v="-1.1787000000000001"/>
    <n v="0"/>
    <x v="1"/>
    <n v="0"/>
    <n v="0"/>
    <n v="25"/>
    <n v="59"/>
    <n v="0"/>
    <n v="69.489999999999995"/>
    <n v="185.18"/>
    <m/>
    <n v="92.397536067834494"/>
    <n v="198.13390838089941"/>
    <n v="0"/>
    <n v="-81.907863000000006"/>
    <n v="-218.27166600000001"/>
    <n v="0"/>
    <n v="-108.90897576315652"/>
    <n v="-233.54043780856617"/>
  </r>
  <r>
    <s v="Sistema de Compensação"/>
    <x v="1"/>
    <x v="2"/>
    <x v="5"/>
    <x v="1"/>
    <x v="3"/>
    <x v="0"/>
    <x v="0"/>
    <x v="4"/>
    <n v="0"/>
    <n v="0"/>
    <n v="8.8059999999999992"/>
    <n v="2.6417999999999999"/>
    <n v="8.8059999999999992"/>
    <n v="2.6417999999999999"/>
    <n v="0"/>
    <x v="1"/>
    <n v="0"/>
    <n v="0"/>
    <n v="25"/>
    <n v="59"/>
    <n v="0"/>
    <n v="69.489999999999995"/>
    <n v="185.18"/>
    <m/>
    <n v="92.397536067834494"/>
    <n v="198.13390838089941"/>
    <n v="0"/>
    <n v="183.57868199999999"/>
    <n v="489.20852400000001"/>
    <n v="0"/>
    <n v="244.09581078400515"/>
    <n v="523.43015916066008"/>
  </r>
  <r>
    <s v="Regular"/>
    <x v="1"/>
    <x v="2"/>
    <x v="5"/>
    <x v="1"/>
    <x v="3"/>
    <x v="0"/>
    <x v="0"/>
    <x v="5"/>
    <n v="0"/>
    <n v="0"/>
    <n v="4394.9979999999996"/>
    <n v="1318.4993999999999"/>
    <n v="4394.9979999999996"/>
    <n v="1318.4993999999999"/>
    <n v="0"/>
    <x v="1"/>
    <n v="0"/>
    <n v="0"/>
    <n v="25"/>
    <n v="59"/>
    <n v="0"/>
    <n v="69.489999999999995"/>
    <n v="185.18"/>
    <m/>
    <n v="92.397536067834494"/>
    <n v="198.13390838089941"/>
    <n v="0"/>
    <n v="91622.523305999988"/>
    <n v="244159.718892"/>
    <n v="0"/>
    <n v="121826.09586691813"/>
    <n v="261239.43931987084"/>
  </r>
  <r>
    <s v="Regular"/>
    <x v="1"/>
    <x v="2"/>
    <x v="5"/>
    <x v="1"/>
    <x v="3"/>
    <x v="0"/>
    <x v="0"/>
    <x v="6"/>
    <n v="0"/>
    <n v="0"/>
    <n v="6187.6310000000003"/>
    <n v="1856.2892999999999"/>
    <n v="6187.6310000000003"/>
    <n v="1856.2892999999999"/>
    <n v="0"/>
    <x v="1"/>
    <n v="0"/>
    <n v="0"/>
    <n v="25"/>
    <n v="59"/>
    <n v="0"/>
    <n v="69.489999999999995"/>
    <n v="185.18"/>
    <m/>
    <n v="92.397536067834494"/>
    <n v="198.13390838089941"/>
    <n v="0"/>
    <n v="128993.54345699998"/>
    <n v="343747.65257400001"/>
    <n v="0"/>
    <n v="171516.55754908524"/>
    <n v="367793.8540946439"/>
  </r>
  <r>
    <s v="Sistema de Compensação"/>
    <x v="1"/>
    <x v="2"/>
    <x v="5"/>
    <x v="1"/>
    <x v="3"/>
    <x v="0"/>
    <x v="0"/>
    <x v="6"/>
    <n v="0"/>
    <n v="0"/>
    <n v="94.134"/>
    <n v="28.240200000000002"/>
    <n v="94.134"/>
    <n v="28.240200000000002"/>
    <n v="0"/>
    <x v="1"/>
    <n v="0"/>
    <n v="0"/>
    <n v="25"/>
    <n v="59"/>
    <n v="0"/>
    <n v="69.489999999999995"/>
    <n v="185.18"/>
    <m/>
    <n v="92.397536067834494"/>
    <n v="198.13390838089941"/>
    <n v="0"/>
    <n v="1962.4114979999999"/>
    <n v="5229.5202360000003"/>
    <n v="0"/>
    <n v="2609.32489806286"/>
    <n v="5595.3411994582757"/>
  </r>
  <r>
    <s v="Regular"/>
    <x v="1"/>
    <x v="2"/>
    <x v="5"/>
    <x v="1"/>
    <x v="3"/>
    <x v="0"/>
    <x v="0"/>
    <x v="7"/>
    <n v="0"/>
    <n v="0"/>
    <n v="4719.0860000000002"/>
    <n v="1415.7257999999999"/>
    <n v="4719.0860000000002"/>
    <n v="1415.7257999999999"/>
    <n v="0"/>
    <x v="1"/>
    <n v="0"/>
    <n v="0"/>
    <n v="25"/>
    <n v="59"/>
    <n v="0"/>
    <n v="69.489999999999995"/>
    <n v="185.18"/>
    <m/>
    <n v="92.397536067834494"/>
    <n v="198.13390838089941"/>
    <n v="0"/>
    <n v="98378.785841999983"/>
    <n v="262164.10364400002"/>
    <n v="0"/>
    <n v="130809.57566766384"/>
    <n v="280503.28594967554"/>
  </r>
  <r>
    <s v="Refaturamento - Regular"/>
    <x v="1"/>
    <x v="2"/>
    <x v="5"/>
    <x v="1"/>
    <x v="3"/>
    <x v="0"/>
    <x v="0"/>
    <x v="7"/>
    <n v="0"/>
    <n v="0"/>
    <n v="-59.923999999999999"/>
    <n v="-17.9772"/>
    <n v="-59.923999999999999"/>
    <n v="-17.9772"/>
    <n v="0"/>
    <x v="1"/>
    <n v="0"/>
    <n v="0"/>
    <n v="25"/>
    <n v="59"/>
    <n v="0"/>
    <n v="69.489999999999995"/>
    <n v="185.18"/>
    <m/>
    <n v="92.397536067834494"/>
    <n v="198.13390838089941"/>
    <n v="0"/>
    <n v="-1249.2356279999999"/>
    <n v="-3329.0178960000003"/>
    <n v="0"/>
    <n v="-1661.0489853986742"/>
    <n v="-3561.8928977451051"/>
  </r>
  <r>
    <s v="Sistema de Compensação"/>
    <x v="1"/>
    <x v="2"/>
    <x v="5"/>
    <x v="1"/>
    <x v="3"/>
    <x v="0"/>
    <x v="0"/>
    <x v="7"/>
    <n v="0"/>
    <n v="0"/>
    <n v="93.962999999999994"/>
    <n v="28.1889"/>
    <n v="93.962999999999994"/>
    <n v="28.1889"/>
    <n v="0"/>
    <x v="1"/>
    <n v="0"/>
    <n v="0"/>
    <n v="25"/>
    <n v="59"/>
    <n v="0"/>
    <n v="69.489999999999995"/>
    <n v="185.18"/>
    <m/>
    <n v="92.397536067834494"/>
    <n v="198.13390838089941"/>
    <n v="0"/>
    <n v="1958.8466609999998"/>
    <n v="5220.0205020000003"/>
    <n v="0"/>
    <n v="2604.5849044625797"/>
    <n v="5585.1769299583357"/>
  </r>
  <r>
    <s v="Regular"/>
    <x v="1"/>
    <x v="2"/>
    <x v="5"/>
    <x v="1"/>
    <x v="3"/>
    <x v="0"/>
    <x v="0"/>
    <x v="8"/>
    <n v="0"/>
    <n v="0"/>
    <n v="3626.3319999999999"/>
    <n v="1087.8996"/>
    <n v="3626.3319999999999"/>
    <n v="1087.8996"/>
    <n v="0"/>
    <x v="1"/>
    <n v="0"/>
    <n v="0"/>
    <n v="25"/>
    <n v="59"/>
    <n v="0"/>
    <n v="69.489999999999995"/>
    <n v="185.18"/>
    <m/>
    <n v="92.397536067834494"/>
    <n v="198.13390838089941"/>
    <n v="0"/>
    <n v="75598.143203999993"/>
    <n v="201457.247928"/>
    <n v="0"/>
    <n v="100519.24252918271"/>
    <n v="215549.79967401712"/>
  </r>
  <r>
    <s v="Refaturamento - Regular"/>
    <x v="1"/>
    <x v="2"/>
    <x v="5"/>
    <x v="1"/>
    <x v="3"/>
    <x v="0"/>
    <x v="0"/>
    <x v="8"/>
    <n v="0"/>
    <n v="0"/>
    <n v="-98.995000000000005"/>
    <n v="-29.698499999999999"/>
    <n v="-98.995000000000005"/>
    <n v="-29.698499999999999"/>
    <n v="0"/>
    <x v="1"/>
    <n v="0"/>
    <n v="0"/>
    <n v="25"/>
    <n v="59"/>
    <n v="0"/>
    <n v="69.489999999999995"/>
    <n v="185.18"/>
    <m/>
    <n v="92.397536067834494"/>
    <n v="198.13390838089941"/>
    <n v="0"/>
    <n v="-2063.7487649999998"/>
    <n v="-5499.5682299999999"/>
    <n v="0"/>
    <n v="-2744.0682249105826"/>
    <n v="-5884.2798780501407"/>
  </r>
  <r>
    <s v="Sistema de Compensação"/>
    <x v="1"/>
    <x v="2"/>
    <x v="5"/>
    <x v="1"/>
    <x v="3"/>
    <x v="0"/>
    <x v="0"/>
    <x v="8"/>
    <n v="0"/>
    <n v="0"/>
    <n v="43.478000000000002"/>
    <n v="13.0434"/>
    <n v="43.478000000000002"/>
    <n v="13.0434"/>
    <n v="0"/>
    <x v="1"/>
    <n v="0"/>
    <n v="0"/>
    <n v="25"/>
    <n v="59"/>
    <n v="0"/>
    <n v="69.489999999999995"/>
    <n v="185.18"/>
    <m/>
    <n v="92.397536067834494"/>
    <n v="198.13390838089941"/>
    <n v="0"/>
    <n v="906.38586599999996"/>
    <n v="2415.376812"/>
    <n v="0"/>
    <n v="1205.1780219471925"/>
    <n v="2584.3398205754233"/>
  </r>
  <r>
    <s v="Regular"/>
    <x v="1"/>
    <x v="2"/>
    <x v="5"/>
    <x v="1"/>
    <x v="3"/>
    <x v="0"/>
    <x v="0"/>
    <x v="9"/>
    <n v="0"/>
    <n v="0"/>
    <n v="891.06500000000005"/>
    <n v="267.31950000000001"/>
    <n v="891.06500000000005"/>
    <n v="267.31950000000001"/>
    <n v="0"/>
    <x v="1"/>
    <n v="0"/>
    <n v="0"/>
    <n v="25"/>
    <n v="59"/>
    <n v="0"/>
    <n v="69.489999999999995"/>
    <n v="185.18"/>
    <m/>
    <n v="92.397536067834494"/>
    <n v="198.13390838089941"/>
    <n v="0"/>
    <n v="18576.032055"/>
    <n v="49502.225010000002"/>
    <n v="0"/>
    <n v="24699.663142885485"/>
    <n v="52965.057321427841"/>
  </r>
  <r>
    <s v="Refaturamento - Regular"/>
    <x v="1"/>
    <x v="2"/>
    <x v="5"/>
    <x v="1"/>
    <x v="3"/>
    <x v="0"/>
    <x v="0"/>
    <x v="9"/>
    <n v="0"/>
    <n v="0"/>
    <n v="-29.437000000000001"/>
    <n v="-8.8310999999999993"/>
    <n v="-29.437000000000001"/>
    <n v="-8.8310999999999993"/>
    <n v="0"/>
    <x v="1"/>
    <n v="0"/>
    <n v="0"/>
    <n v="25"/>
    <n v="59"/>
    <n v="0"/>
    <n v="69.489999999999995"/>
    <n v="185.18"/>
    <m/>
    <n v="92.397536067834494"/>
    <n v="198.13390838089941"/>
    <n v="0"/>
    <n v="-613.67313899999988"/>
    <n v="-1635.3430979999998"/>
    <n v="0"/>
    <n v="-815.97188076865314"/>
    <n v="-1749.7403583025607"/>
  </r>
  <r>
    <s v="Sistema de Compensação"/>
    <x v="1"/>
    <x v="2"/>
    <x v="5"/>
    <x v="1"/>
    <x v="3"/>
    <x v="0"/>
    <x v="0"/>
    <x v="9"/>
    <n v="0"/>
    <n v="0"/>
    <n v="15.882"/>
    <n v="4.7645999999999997"/>
    <n v="15.882"/>
    <n v="4.7645999999999997"/>
    <n v="0"/>
    <x v="1"/>
    <n v="0"/>
    <n v="0"/>
    <n v="25"/>
    <n v="59"/>
    <n v="0"/>
    <n v="69.489999999999995"/>
    <n v="185.18"/>
    <m/>
    <n v="92.397536067834494"/>
    <n v="198.13390838089941"/>
    <n v="0"/>
    <n v="331.09205399999996"/>
    <n v="882.308628"/>
    <n v="0"/>
    <n v="440.23730034880418"/>
    <n v="944.02881987163335"/>
  </r>
  <r>
    <s v="Regular"/>
    <x v="1"/>
    <x v="2"/>
    <x v="5"/>
    <x v="1"/>
    <x v="3"/>
    <x v="0"/>
    <x v="0"/>
    <x v="10"/>
    <n v="0"/>
    <n v="0"/>
    <n v="287.714"/>
    <n v="86.3142"/>
    <n v="287.714"/>
    <n v="86.3142"/>
    <n v="0"/>
    <x v="1"/>
    <n v="0"/>
    <n v="0"/>
    <n v="25"/>
    <n v="59"/>
    <n v="0"/>
    <n v="69.489999999999995"/>
    <n v="185.18"/>
    <m/>
    <n v="92.397536067834494"/>
    <n v="198.13390838089941"/>
    <n v="0"/>
    <n v="5997.9737579999992"/>
    <n v="15983.663556000001"/>
    <n v="0"/>
    <n v="7975.2194076662799"/>
    <n v="17101.769794770629"/>
  </r>
  <r>
    <s v="Refaturamento - Regular"/>
    <x v="1"/>
    <x v="2"/>
    <x v="5"/>
    <x v="1"/>
    <x v="3"/>
    <x v="0"/>
    <x v="0"/>
    <x v="10"/>
    <n v="0"/>
    <n v="0"/>
    <n v="-6.31"/>
    <n v="-1.893"/>
    <n v="-6.31"/>
    <n v="-1.893"/>
    <n v="0"/>
    <x v="1"/>
    <n v="0"/>
    <n v="0"/>
    <n v="25"/>
    <n v="59"/>
    <n v="0"/>
    <n v="69.489999999999995"/>
    <n v="185.18"/>
    <m/>
    <n v="92.397536067834494"/>
    <n v="198.13390838089941"/>
    <n v="0"/>
    <n v="-131.54456999999999"/>
    <n v="-350.54574000000002"/>
    <n v="0"/>
    <n v="-174.9085357764107"/>
    <n v="-375.06748856504259"/>
  </r>
  <r>
    <s v="Regular"/>
    <x v="1"/>
    <x v="2"/>
    <x v="5"/>
    <x v="1"/>
    <x v="3"/>
    <x v="0"/>
    <x v="0"/>
    <x v="11"/>
    <n v="0"/>
    <n v="0"/>
    <n v="222.86099999999999"/>
    <n v="66.8583"/>
    <n v="222.86099999999999"/>
    <n v="66.8583"/>
    <n v="0"/>
    <x v="1"/>
    <n v="0"/>
    <n v="0"/>
    <n v="25"/>
    <n v="59"/>
    <n v="0"/>
    <n v="69.489999999999995"/>
    <n v="185.18"/>
    <m/>
    <n v="92.397536067834494"/>
    <n v="198.13390838089941"/>
    <n v="0"/>
    <n v="4645.9832669999996"/>
    <n v="12380.819994000001"/>
    <n v="0"/>
    <n v="6177.5421856840985"/>
    <n v="13246.896286702688"/>
  </r>
  <r>
    <s v="Refaturamento - Regular"/>
    <x v="1"/>
    <x v="2"/>
    <x v="5"/>
    <x v="1"/>
    <x v="3"/>
    <x v="0"/>
    <x v="0"/>
    <x v="11"/>
    <n v="0"/>
    <n v="0"/>
    <n v="-0.36299999999999999"/>
    <n v="-0.1089"/>
    <n v="-0.36299999999999999"/>
    <n v="-0.1089"/>
    <n v="0"/>
    <x v="1"/>
    <n v="0"/>
    <n v="0"/>
    <n v="25"/>
    <n v="59"/>
    <n v="0"/>
    <n v="69.489999999999995"/>
    <n v="185.18"/>
    <m/>
    <n v="92.397536067834494"/>
    <n v="198.13390838089941"/>
    <n v="0"/>
    <n v="-7.5674609999999989"/>
    <n v="-20.166101999999999"/>
    <n v="0"/>
    <n v="-10.062091677787176"/>
    <n v="-21.576782622679946"/>
  </r>
  <r>
    <s v="Sistema de Compensação"/>
    <x v="1"/>
    <x v="2"/>
    <x v="5"/>
    <x v="1"/>
    <x v="3"/>
    <x v="0"/>
    <x v="0"/>
    <x v="11"/>
    <n v="0"/>
    <n v="0"/>
    <n v="2E-3"/>
    <n v="5.9999999999999995E-4"/>
    <n v="2E-3"/>
    <n v="5.9999999999999995E-4"/>
    <n v="0"/>
    <x v="1"/>
    <n v="0"/>
    <n v="0"/>
    <n v="25"/>
    <n v="59"/>
    <n v="0"/>
    <n v="69.489999999999995"/>
    <n v="185.18"/>
    <m/>
    <n v="92.397536067834494"/>
    <n v="198.13390838089941"/>
    <n v="0"/>
    <n v="4.1693999999999995E-2"/>
    <n v="0.111108"/>
    <n v="0"/>
    <n v="5.5438521640700691E-2"/>
    <n v="0.11888034502853964"/>
  </r>
  <r>
    <s v="Regular"/>
    <x v="1"/>
    <x v="2"/>
    <x v="5"/>
    <x v="1"/>
    <x v="0"/>
    <x v="0"/>
    <x v="1"/>
    <x v="0"/>
    <n v="5208"/>
    <n v="4999.6799999999994"/>
    <n v="0"/>
    <n v="0"/>
    <n v="0"/>
    <n v="0"/>
    <n v="146"/>
    <x v="1"/>
    <n v="0"/>
    <n v="18"/>
    <n v="0"/>
    <n v="0"/>
    <n v="26.17"/>
    <n v="0"/>
    <n v="0"/>
    <n v="27.746237112155811"/>
    <m/>
    <m/>
    <n v="130841.6256"/>
    <n v="0"/>
    <n v="0"/>
    <n v="138722.30676490316"/>
    <n v="0"/>
    <n v="0"/>
  </r>
  <r>
    <s v="Sistema de Compensação"/>
    <x v="1"/>
    <x v="2"/>
    <x v="5"/>
    <x v="1"/>
    <x v="0"/>
    <x v="0"/>
    <x v="1"/>
    <x v="0"/>
    <n v="1170"/>
    <n v="1123.2"/>
    <n v="0"/>
    <n v="0"/>
    <n v="0"/>
    <n v="0"/>
    <n v="5"/>
    <x v="1"/>
    <n v="0"/>
    <n v="18"/>
    <n v="0"/>
    <n v="0"/>
    <n v="26.17"/>
    <n v="0"/>
    <n v="0"/>
    <n v="27.746237112155811"/>
    <m/>
    <m/>
    <n v="29394.144000000004"/>
    <n v="0"/>
    <n v="0"/>
    <n v="31164.573524373409"/>
    <n v="0"/>
    <n v="0"/>
  </r>
  <r>
    <s v="Regular"/>
    <x v="1"/>
    <x v="2"/>
    <x v="5"/>
    <x v="1"/>
    <x v="0"/>
    <x v="0"/>
    <x v="1"/>
    <x v="1"/>
    <n v="7146"/>
    <n v="6860.16"/>
    <n v="0"/>
    <n v="0"/>
    <n v="0"/>
    <n v="0"/>
    <n v="151"/>
    <x v="1"/>
    <n v="0"/>
    <n v="18"/>
    <n v="0"/>
    <n v="0"/>
    <n v="26.17"/>
    <n v="0"/>
    <n v="0"/>
    <n v="27.746237112155811"/>
    <m/>
    <m/>
    <n v="179530.3872"/>
    <n v="0"/>
    <n v="0"/>
    <n v="190343.62598732681"/>
    <n v="0"/>
    <n v="0"/>
  </r>
  <r>
    <s v="Sistema de Compensação"/>
    <x v="1"/>
    <x v="2"/>
    <x v="5"/>
    <x v="1"/>
    <x v="0"/>
    <x v="0"/>
    <x v="1"/>
    <x v="1"/>
    <n v="1170"/>
    <n v="1123.2"/>
    <n v="0"/>
    <n v="0"/>
    <n v="0"/>
    <n v="0"/>
    <n v="5"/>
    <x v="1"/>
    <n v="0"/>
    <n v="18"/>
    <n v="0"/>
    <n v="0"/>
    <n v="26.17"/>
    <n v="0"/>
    <n v="0"/>
    <n v="27.746237112155811"/>
    <m/>
    <m/>
    <n v="29394.144000000004"/>
    <n v="0"/>
    <n v="0"/>
    <n v="31164.573524373409"/>
    <n v="0"/>
    <n v="0"/>
  </r>
  <r>
    <s v="Regular"/>
    <x v="1"/>
    <x v="2"/>
    <x v="5"/>
    <x v="1"/>
    <x v="0"/>
    <x v="0"/>
    <x v="1"/>
    <x v="2"/>
    <n v="15970"/>
    <n v="15331.199999999999"/>
    <n v="0"/>
    <n v="0"/>
    <n v="0"/>
    <n v="0"/>
    <n v="157"/>
    <x v="1"/>
    <n v="0"/>
    <n v="18"/>
    <n v="0"/>
    <n v="0"/>
    <n v="26.17"/>
    <n v="0"/>
    <n v="0"/>
    <n v="27.746237112155811"/>
    <m/>
    <m/>
    <n v="401217.50400000002"/>
    <n v="0"/>
    <n v="0"/>
    <n v="425383.11041388311"/>
    <n v="0"/>
    <n v="0"/>
  </r>
  <r>
    <s v="Sistema de Compensação"/>
    <x v="1"/>
    <x v="2"/>
    <x v="5"/>
    <x v="1"/>
    <x v="0"/>
    <x v="0"/>
    <x v="1"/>
    <x v="2"/>
    <n v="1170"/>
    <n v="1123.2"/>
    <n v="0"/>
    <n v="0"/>
    <n v="0"/>
    <n v="0"/>
    <n v="5"/>
    <x v="1"/>
    <n v="0"/>
    <n v="18"/>
    <n v="0"/>
    <n v="0"/>
    <n v="26.17"/>
    <n v="0"/>
    <n v="0"/>
    <n v="27.746237112155811"/>
    <m/>
    <m/>
    <n v="29394.144000000004"/>
    <n v="0"/>
    <n v="0"/>
    <n v="31164.573524373409"/>
    <n v="0"/>
    <n v="0"/>
  </r>
  <r>
    <s v="Regular"/>
    <x v="1"/>
    <x v="2"/>
    <x v="5"/>
    <x v="1"/>
    <x v="0"/>
    <x v="0"/>
    <x v="1"/>
    <x v="3"/>
    <n v="14507"/>
    <n v="13926.72"/>
    <n v="0"/>
    <n v="0"/>
    <n v="0"/>
    <n v="0"/>
    <n v="159"/>
    <x v="1"/>
    <n v="0"/>
    <n v="18"/>
    <n v="0"/>
    <n v="0"/>
    <n v="26.17"/>
    <n v="0"/>
    <n v="0"/>
    <n v="27.746237112155811"/>
    <m/>
    <m/>
    <n v="364462.26240000001"/>
    <n v="0"/>
    <n v="0"/>
    <n v="386414.07531460258"/>
    <n v="0"/>
    <n v="0"/>
  </r>
  <r>
    <s v="Sistema de Compensação"/>
    <x v="1"/>
    <x v="2"/>
    <x v="5"/>
    <x v="1"/>
    <x v="0"/>
    <x v="0"/>
    <x v="1"/>
    <x v="3"/>
    <n v="1354"/>
    <n v="1299.8399999999999"/>
    <n v="0"/>
    <n v="0"/>
    <n v="0"/>
    <n v="0"/>
    <n v="5"/>
    <x v="1"/>
    <n v="0"/>
    <n v="18"/>
    <n v="0"/>
    <n v="0"/>
    <n v="26.17"/>
    <n v="0"/>
    <n v="0"/>
    <n v="27.746237112155811"/>
    <m/>
    <m/>
    <n v="34016.8128"/>
    <n v="0"/>
    <n v="0"/>
    <n v="36065.66884786461"/>
    <n v="0"/>
    <n v="0"/>
  </r>
  <r>
    <s v="Regular"/>
    <x v="1"/>
    <x v="2"/>
    <x v="5"/>
    <x v="1"/>
    <x v="0"/>
    <x v="0"/>
    <x v="1"/>
    <x v="4"/>
    <n v="22271"/>
    <n v="21380.16"/>
    <n v="0"/>
    <n v="0"/>
    <n v="0"/>
    <n v="0"/>
    <n v="161"/>
    <x v="1"/>
    <n v="0"/>
    <n v="18"/>
    <n v="0"/>
    <n v="0"/>
    <n v="26.17"/>
    <n v="0"/>
    <n v="0"/>
    <n v="27.746237112155811"/>
    <m/>
    <m/>
    <n v="559518.78720000002"/>
    <n v="0"/>
    <n v="0"/>
    <n v="593218.98885582923"/>
    <n v="0"/>
    <n v="0"/>
  </r>
  <r>
    <s v="Refaturamento - Regular"/>
    <x v="1"/>
    <x v="2"/>
    <x v="5"/>
    <x v="1"/>
    <x v="0"/>
    <x v="0"/>
    <x v="1"/>
    <x v="4"/>
    <n v="-241"/>
    <n v="-231.35999999999999"/>
    <n v="0"/>
    <n v="0"/>
    <n v="0"/>
    <n v="0"/>
    <n v="-1"/>
    <x v="1"/>
    <n v="0"/>
    <n v="18"/>
    <n v="0"/>
    <n v="0"/>
    <n v="26.17"/>
    <n v="0"/>
    <n v="0"/>
    <n v="27.746237112155811"/>
    <m/>
    <m/>
    <n v="-6054.6912000000002"/>
    <n v="0"/>
    <n v="0"/>
    <n v="-6419.3694182683676"/>
    <n v="0"/>
    <n v="0"/>
  </r>
  <r>
    <s v="Sistema de Compensação"/>
    <x v="1"/>
    <x v="2"/>
    <x v="5"/>
    <x v="1"/>
    <x v="0"/>
    <x v="0"/>
    <x v="1"/>
    <x v="4"/>
    <n v="1343"/>
    <n v="1289.28"/>
    <n v="0"/>
    <n v="0"/>
    <n v="0"/>
    <n v="0"/>
    <n v="5"/>
    <x v="1"/>
    <n v="0"/>
    <n v="18"/>
    <n v="0"/>
    <n v="0"/>
    <n v="26.17"/>
    <n v="0"/>
    <n v="0"/>
    <n v="27.746237112155811"/>
    <m/>
    <m/>
    <n v="33740.457600000002"/>
    <n v="0"/>
    <n v="0"/>
    <n v="35772.668583960243"/>
    <n v="0"/>
    <n v="0"/>
  </r>
  <r>
    <s v="Regular"/>
    <x v="1"/>
    <x v="2"/>
    <x v="5"/>
    <x v="1"/>
    <x v="0"/>
    <x v="0"/>
    <x v="1"/>
    <x v="5"/>
    <n v="41191"/>
    <n v="39543.360000000001"/>
    <n v="0"/>
    <n v="0"/>
    <n v="0"/>
    <n v="0"/>
    <n v="160"/>
    <x v="1"/>
    <n v="0"/>
    <n v="18"/>
    <n v="0"/>
    <n v="0"/>
    <n v="26.17"/>
    <n v="0"/>
    <n v="0"/>
    <n v="27.746237112155811"/>
    <m/>
    <m/>
    <n v="1034849.7312"/>
    <n v="0"/>
    <n v="0"/>
    <n v="1097179.4427713377"/>
    <n v="0"/>
    <n v="0"/>
  </r>
  <r>
    <s v="Regular"/>
    <x v="1"/>
    <x v="2"/>
    <x v="5"/>
    <x v="1"/>
    <x v="0"/>
    <x v="0"/>
    <x v="1"/>
    <x v="6"/>
    <n v="45076"/>
    <n v="43272.959999999999"/>
    <n v="0"/>
    <n v="0"/>
    <n v="0"/>
    <n v="0"/>
    <n v="162"/>
    <x v="1"/>
    <n v="0"/>
    <n v="18"/>
    <n v="0"/>
    <n v="0"/>
    <n v="26.17"/>
    <n v="0"/>
    <n v="0"/>
    <n v="27.746237112155811"/>
    <m/>
    <m/>
    <n v="1132453.3632"/>
    <n v="0"/>
    <n v="0"/>
    <n v="1200661.808704834"/>
    <n v="0"/>
    <n v="0"/>
  </r>
  <r>
    <s v="Sistema de Compensação"/>
    <x v="1"/>
    <x v="2"/>
    <x v="5"/>
    <x v="1"/>
    <x v="0"/>
    <x v="0"/>
    <x v="1"/>
    <x v="6"/>
    <n v="1394"/>
    <n v="1338.24"/>
    <n v="0"/>
    <n v="0"/>
    <n v="0"/>
    <n v="0"/>
    <n v="5"/>
    <x v="1"/>
    <n v="0"/>
    <n v="18"/>
    <n v="0"/>
    <n v="0"/>
    <n v="26.17"/>
    <n v="0"/>
    <n v="0"/>
    <n v="27.746237112155811"/>
    <m/>
    <m/>
    <n v="35021.7408"/>
    <n v="0"/>
    <n v="0"/>
    <n v="37131.12435297139"/>
    <n v="0"/>
    <n v="0"/>
  </r>
  <r>
    <s v="Regular"/>
    <x v="1"/>
    <x v="2"/>
    <x v="5"/>
    <x v="1"/>
    <x v="0"/>
    <x v="0"/>
    <x v="1"/>
    <x v="7"/>
    <n v="44486"/>
    <n v="42706.559999999998"/>
    <n v="0"/>
    <n v="0"/>
    <n v="0"/>
    <n v="0"/>
    <n v="170"/>
    <x v="1"/>
    <n v="0"/>
    <n v="18"/>
    <n v="0"/>
    <n v="0"/>
    <n v="26.17"/>
    <n v="0"/>
    <n v="0"/>
    <n v="27.746237112155811"/>
    <m/>
    <m/>
    <n v="1117630.6751999999"/>
    <n v="0"/>
    <n v="0"/>
    <n v="1184946.3400045088"/>
    <n v="0"/>
    <n v="0"/>
  </r>
  <r>
    <s v="Refaturamento - Regular"/>
    <x v="1"/>
    <x v="2"/>
    <x v="5"/>
    <x v="1"/>
    <x v="0"/>
    <x v="0"/>
    <x v="1"/>
    <x v="7"/>
    <n v="-431"/>
    <n v="-413.76"/>
    <n v="0"/>
    <n v="0"/>
    <n v="0"/>
    <n v="0"/>
    <n v="-3"/>
    <x v="1"/>
    <n v="0"/>
    <n v="18"/>
    <n v="0"/>
    <n v="0"/>
    <n v="26.17"/>
    <n v="0"/>
    <n v="0"/>
    <n v="27.746237112155811"/>
    <m/>
    <m/>
    <n v="-10828.099200000001"/>
    <n v="0"/>
    <n v="0"/>
    <n v="-11480.283067525588"/>
    <n v="0"/>
    <n v="0"/>
  </r>
  <r>
    <s v="Sistema de Compensação"/>
    <x v="1"/>
    <x v="2"/>
    <x v="5"/>
    <x v="1"/>
    <x v="0"/>
    <x v="0"/>
    <x v="1"/>
    <x v="7"/>
    <n v="1582"/>
    <n v="1518.72"/>
    <n v="0"/>
    <n v="0"/>
    <n v="0"/>
    <n v="0"/>
    <n v="6"/>
    <x v="1"/>
    <n v="0"/>
    <n v="18"/>
    <n v="0"/>
    <n v="0"/>
    <n v="26.17"/>
    <n v="0"/>
    <n v="0"/>
    <n v="27.746237112155811"/>
    <m/>
    <m/>
    <n v="39744.902400000006"/>
    <n v="0"/>
    <n v="0"/>
    <n v="42138.765226973272"/>
    <n v="0"/>
    <n v="0"/>
  </r>
  <r>
    <s v="Regular"/>
    <x v="1"/>
    <x v="2"/>
    <x v="5"/>
    <x v="1"/>
    <x v="0"/>
    <x v="0"/>
    <x v="1"/>
    <x v="8"/>
    <n v="42453"/>
    <n v="40754.879999999997"/>
    <n v="0"/>
    <n v="0"/>
    <n v="0"/>
    <n v="0"/>
    <n v="171"/>
    <x v="1"/>
    <n v="0"/>
    <n v="18"/>
    <n v="0"/>
    <n v="0"/>
    <n v="26.17"/>
    <n v="0"/>
    <n v="0"/>
    <n v="27.746237112155811"/>
    <m/>
    <m/>
    <n v="1066555.2095999999"/>
    <n v="0"/>
    <n v="0"/>
    <n v="1130794.5639574565"/>
    <n v="0"/>
    <n v="0"/>
  </r>
  <r>
    <s v="Refaturamento - Regular"/>
    <x v="1"/>
    <x v="2"/>
    <x v="5"/>
    <x v="1"/>
    <x v="0"/>
    <x v="0"/>
    <x v="1"/>
    <x v="8"/>
    <n v="-1086"/>
    <n v="-1042.56"/>
    <n v="0"/>
    <n v="0"/>
    <n v="0"/>
    <n v="0"/>
    <n v="-4"/>
    <x v="1"/>
    <n v="0"/>
    <n v="18"/>
    <n v="0"/>
    <n v="0"/>
    <n v="26.17"/>
    <n v="0"/>
    <n v="0"/>
    <n v="27.746237112155811"/>
    <m/>
    <m/>
    <n v="-27283.7952"/>
    <n v="0"/>
    <n v="0"/>
    <n v="-28927.116963649161"/>
    <n v="0"/>
    <n v="0"/>
  </r>
  <r>
    <s v="Sistema de Compensação"/>
    <x v="1"/>
    <x v="2"/>
    <x v="5"/>
    <x v="1"/>
    <x v="0"/>
    <x v="0"/>
    <x v="1"/>
    <x v="8"/>
    <n v="1803"/>
    <n v="1730.8799999999999"/>
    <n v="0"/>
    <n v="0"/>
    <n v="0"/>
    <n v="0"/>
    <n v="7"/>
    <x v="1"/>
    <n v="0"/>
    <n v="18"/>
    <n v="0"/>
    <n v="0"/>
    <n v="26.17"/>
    <n v="0"/>
    <n v="0"/>
    <n v="27.746237112155811"/>
    <m/>
    <m/>
    <n v="45297.1296"/>
    <n v="0"/>
    <n v="0"/>
    <n v="48025.406892688246"/>
    <n v="0"/>
    <n v="0"/>
  </r>
  <r>
    <s v="Regular"/>
    <x v="1"/>
    <x v="2"/>
    <x v="5"/>
    <x v="1"/>
    <x v="0"/>
    <x v="0"/>
    <x v="1"/>
    <x v="9"/>
    <n v="28500"/>
    <n v="27360"/>
    <n v="0"/>
    <n v="0"/>
    <n v="0"/>
    <n v="0"/>
    <n v="171"/>
    <x v="1"/>
    <n v="0"/>
    <n v="18"/>
    <n v="0"/>
    <n v="0"/>
    <n v="26.17"/>
    <n v="0"/>
    <n v="0"/>
    <n v="27.746237112155811"/>
    <m/>
    <m/>
    <n v="716011.20000000007"/>
    <n v="0"/>
    <n v="0"/>
    <n v="759137.04738858296"/>
    <n v="0"/>
    <n v="0"/>
  </r>
  <r>
    <s v="Refaturamento - Regular"/>
    <x v="1"/>
    <x v="2"/>
    <x v="5"/>
    <x v="1"/>
    <x v="0"/>
    <x v="0"/>
    <x v="1"/>
    <x v="9"/>
    <n v="-1819"/>
    <n v="-1746.24"/>
    <n v="0"/>
    <n v="0"/>
    <n v="0"/>
    <n v="0"/>
    <n v="-2"/>
    <x v="1"/>
    <n v="0"/>
    <n v="18"/>
    <n v="0"/>
    <n v="0"/>
    <n v="26.17"/>
    <n v="0"/>
    <n v="0"/>
    <n v="27.746237112155811"/>
    <m/>
    <m/>
    <n v="-45699.1008"/>
    <n v="0"/>
    <n v="0"/>
    <n v="-48451.58909473096"/>
    <n v="0"/>
    <n v="0"/>
  </r>
  <r>
    <s v="Sistema de Compensação"/>
    <x v="1"/>
    <x v="2"/>
    <x v="5"/>
    <x v="1"/>
    <x v="0"/>
    <x v="0"/>
    <x v="1"/>
    <x v="9"/>
    <n v="1711"/>
    <n v="1642.56"/>
    <n v="0"/>
    <n v="0"/>
    <n v="0"/>
    <n v="0"/>
    <n v="7"/>
    <x v="1"/>
    <n v="0"/>
    <n v="18"/>
    <n v="0"/>
    <n v="0"/>
    <n v="26.17"/>
    <n v="0"/>
    <n v="0"/>
    <n v="27.746237112155811"/>
    <m/>
    <m/>
    <n v="42985.7952"/>
    <n v="0"/>
    <n v="0"/>
    <n v="45574.859230942646"/>
    <n v="0"/>
    <n v="0"/>
  </r>
  <r>
    <s v="Regular"/>
    <x v="1"/>
    <x v="2"/>
    <x v="5"/>
    <x v="1"/>
    <x v="0"/>
    <x v="0"/>
    <x v="1"/>
    <x v="10"/>
    <n v="11500"/>
    <n v="11040"/>
    <n v="0"/>
    <n v="0"/>
    <n v="0"/>
    <n v="0"/>
    <n v="172"/>
    <x v="1"/>
    <n v="0"/>
    <n v="18"/>
    <n v="0"/>
    <n v="0"/>
    <n v="26.17"/>
    <n v="0"/>
    <n v="0"/>
    <n v="27.746237112155811"/>
    <m/>
    <m/>
    <n v="288916.80000000005"/>
    <n v="0"/>
    <n v="0"/>
    <n v="306318.45771820017"/>
    <n v="0"/>
    <n v="0"/>
  </r>
  <r>
    <s v="Refaturamento - Regular"/>
    <x v="1"/>
    <x v="2"/>
    <x v="5"/>
    <x v="1"/>
    <x v="0"/>
    <x v="0"/>
    <x v="1"/>
    <x v="10"/>
    <n v="-803"/>
    <n v="-770.88"/>
    <n v="0"/>
    <n v="0"/>
    <n v="0"/>
    <n v="0"/>
    <n v="-3"/>
    <x v="1"/>
    <n v="0"/>
    <n v="18"/>
    <n v="0"/>
    <n v="0"/>
    <n v="26.17"/>
    <n v="0"/>
    <n v="0"/>
    <n v="27.746237112155811"/>
    <m/>
    <m/>
    <n v="-20173.929599999999"/>
    <n v="0"/>
    <n v="0"/>
    <n v="-21389.019265018673"/>
    <n v="0"/>
    <n v="0"/>
  </r>
  <r>
    <s v="Sistema de Compensação"/>
    <x v="1"/>
    <x v="2"/>
    <x v="5"/>
    <x v="1"/>
    <x v="0"/>
    <x v="0"/>
    <x v="1"/>
    <x v="10"/>
    <n v="1450"/>
    <n v="1392"/>
    <n v="0"/>
    <n v="0"/>
    <n v="0"/>
    <n v="0"/>
    <n v="7"/>
    <x v="1"/>
    <n v="0"/>
    <n v="18"/>
    <n v="0"/>
    <n v="0"/>
    <n v="26.17"/>
    <n v="0"/>
    <n v="0"/>
    <n v="27.746237112155811"/>
    <m/>
    <m/>
    <n v="36428.639999999999"/>
    <n v="0"/>
    <n v="0"/>
    <n v="38622.762060120891"/>
    <n v="0"/>
    <n v="0"/>
  </r>
  <r>
    <s v="Regular"/>
    <x v="1"/>
    <x v="2"/>
    <x v="5"/>
    <x v="1"/>
    <x v="0"/>
    <x v="0"/>
    <x v="1"/>
    <x v="11"/>
    <n v="6121"/>
    <n v="5876.16"/>
    <n v="0"/>
    <n v="0"/>
    <n v="0"/>
    <n v="0"/>
    <n v="170"/>
    <x v="1"/>
    <n v="0"/>
    <n v="18"/>
    <n v="0"/>
    <n v="0"/>
    <n v="26.17"/>
    <n v="0"/>
    <n v="0"/>
    <n v="27.746237112155811"/>
    <m/>
    <m/>
    <n v="153779.1072"/>
    <n v="0"/>
    <n v="0"/>
    <n v="163041.32866896549"/>
    <n v="0"/>
    <n v="0"/>
  </r>
  <r>
    <s v="Refaturamento - Regular"/>
    <x v="1"/>
    <x v="2"/>
    <x v="5"/>
    <x v="1"/>
    <x v="0"/>
    <x v="0"/>
    <x v="1"/>
    <x v="11"/>
    <n v="-77"/>
    <n v="-73.92"/>
    <n v="0"/>
    <n v="0"/>
    <n v="0"/>
    <n v="0"/>
    <n v="-1"/>
    <x v="1"/>
    <n v="0"/>
    <n v="18"/>
    <n v="0"/>
    <n v="0"/>
    <n v="26.17"/>
    <n v="0"/>
    <n v="0"/>
    <n v="27.746237112155811"/>
    <m/>
    <m/>
    <n v="-1934.4864000000002"/>
    <n v="0"/>
    <n v="0"/>
    <n v="-2051.0018473305577"/>
    <n v="0"/>
    <n v="0"/>
  </r>
  <r>
    <s v="Sistema de Compensação"/>
    <x v="1"/>
    <x v="2"/>
    <x v="5"/>
    <x v="1"/>
    <x v="0"/>
    <x v="0"/>
    <x v="1"/>
    <x v="11"/>
    <n v="1265"/>
    <n v="1214.3999999999999"/>
    <n v="0"/>
    <n v="0"/>
    <n v="0"/>
    <n v="0"/>
    <n v="7"/>
    <x v="1"/>
    <n v="0"/>
    <n v="18"/>
    <n v="0"/>
    <n v="0"/>
    <n v="26.17"/>
    <n v="0"/>
    <n v="0"/>
    <n v="27.746237112155811"/>
    <m/>
    <m/>
    <n v="31780.847999999998"/>
    <n v="0"/>
    <n v="0"/>
    <n v="33695.030349002016"/>
    <n v="0"/>
    <n v="0"/>
  </r>
  <r>
    <s v="Regular"/>
    <x v="1"/>
    <x v="2"/>
    <x v="5"/>
    <x v="0"/>
    <x v="0"/>
    <x v="0"/>
    <x v="0"/>
    <x v="0"/>
    <n v="0"/>
    <n v="0"/>
    <n v="1481.367"/>
    <n v="1422.11232"/>
    <n v="1481.367"/>
    <n v="1422.11232"/>
    <n v="0"/>
    <x v="1"/>
    <n v="0"/>
    <n v="0"/>
    <n v="25"/>
    <n v="59"/>
    <n v="0"/>
    <n v="69.489999999999995"/>
    <n v="185.18"/>
    <m/>
    <n v="92.397536067834494"/>
    <n v="198.13390838089941"/>
    <n v="0"/>
    <n v="98822.585116799994"/>
    <n v="263346.7594176"/>
    <n v="0"/>
    <n v="131399.6743797118"/>
    <n v="281768.67211822828"/>
  </r>
  <r>
    <s v="Sistema de Compensação"/>
    <x v="1"/>
    <x v="2"/>
    <x v="5"/>
    <x v="0"/>
    <x v="0"/>
    <x v="0"/>
    <x v="0"/>
    <x v="0"/>
    <n v="0"/>
    <n v="0"/>
    <n v="46.137"/>
    <n v="44.291519999999998"/>
    <n v="46.137"/>
    <n v="44.291519999999998"/>
    <n v="0"/>
    <x v="1"/>
    <n v="0"/>
    <n v="0"/>
    <n v="25"/>
    <n v="59"/>
    <n v="0"/>
    <n v="69.489999999999995"/>
    <n v="185.18"/>
    <m/>
    <n v="92.397536067834494"/>
    <n v="198.13390838089941"/>
    <n v="0"/>
    <n v="3077.8177247999997"/>
    <n v="8201.9036735999998"/>
    <n v="0"/>
    <n v="4092.4273166992125"/>
    <n v="8775.6519657307745"/>
  </r>
  <r>
    <s v="Regular"/>
    <x v="1"/>
    <x v="2"/>
    <x v="5"/>
    <x v="0"/>
    <x v="0"/>
    <x v="0"/>
    <x v="0"/>
    <x v="1"/>
    <n v="0"/>
    <n v="0"/>
    <n v="1533.671"/>
    <n v="1472.3241599999999"/>
    <n v="1533.671"/>
    <n v="1472.3241599999999"/>
    <n v="0"/>
    <x v="1"/>
    <n v="0"/>
    <n v="0"/>
    <n v="25"/>
    <n v="59"/>
    <n v="0"/>
    <n v="69.489999999999995"/>
    <n v="185.18"/>
    <m/>
    <n v="92.397536067834494"/>
    <n v="198.13390838089941"/>
    <n v="0"/>
    <n v="102311.80587839999"/>
    <n v="272644.98794879997"/>
    <n v="0"/>
    <n v="136039.12467714411"/>
    <n v="291717.34022442467"/>
  </r>
  <r>
    <s v="Sistema de Compensação"/>
    <x v="1"/>
    <x v="2"/>
    <x v="5"/>
    <x v="0"/>
    <x v="0"/>
    <x v="0"/>
    <x v="0"/>
    <x v="1"/>
    <n v="0"/>
    <n v="0"/>
    <n v="32.774000000000001"/>
    <n v="31.463039999999999"/>
    <n v="32.774000000000001"/>
    <n v="31.463039999999999"/>
    <n v="0"/>
    <x v="1"/>
    <n v="0"/>
    <n v="0"/>
    <n v="25"/>
    <n v="59"/>
    <n v="0"/>
    <n v="69.489999999999995"/>
    <n v="185.18"/>
    <m/>
    <n v="92.397536067834494"/>
    <n v="198.13390838089941"/>
    <n v="0"/>
    <n v="2186.3666495999996"/>
    <n v="5826.3257472000005"/>
    <n v="0"/>
    <n v="2907.1073732037194"/>
    <n v="6233.8950847445731"/>
  </r>
  <r>
    <s v="Sistema de Compensação"/>
    <x v="1"/>
    <x v="2"/>
    <x v="5"/>
    <x v="0"/>
    <x v="0"/>
    <x v="0"/>
    <x v="0"/>
    <x v="1"/>
    <n v="0"/>
    <n v="0"/>
    <n v="-14.188000000000001"/>
    <n v="-13.620480000000001"/>
    <n v="-14.188000000000001"/>
    <n v="-13.620480000000001"/>
    <n v="0"/>
    <x v="1"/>
    <n v="0"/>
    <n v="0"/>
    <n v="25"/>
    <n v="59"/>
    <n v="0"/>
    <n v="69.489999999999995"/>
    <n v="185.18"/>
    <m/>
    <n v="92.397536067834494"/>
    <n v="198.13390838089941"/>
    <n v="0"/>
    <n v="-946.48715519999996"/>
    <n v="-2522.2404864"/>
    <n v="0"/>
    <n v="-1258.4987920612184"/>
    <n v="-2698.678936423873"/>
  </r>
  <r>
    <s v="Regular"/>
    <x v="1"/>
    <x v="2"/>
    <x v="5"/>
    <x v="0"/>
    <x v="0"/>
    <x v="0"/>
    <x v="0"/>
    <x v="2"/>
    <n v="0"/>
    <n v="0"/>
    <n v="1383.1130000000001"/>
    <n v="1327.7884799999999"/>
    <n v="1383.1130000000001"/>
    <n v="1327.7884799999999"/>
    <n v="0"/>
    <x v="1"/>
    <n v="0"/>
    <n v="0"/>
    <n v="25"/>
    <n v="59"/>
    <n v="0"/>
    <n v="69.489999999999995"/>
    <n v="185.18"/>
    <m/>
    <n v="92.397536067834494"/>
    <n v="198.13390838089941"/>
    <n v="0"/>
    <n v="92268.021475199988"/>
    <n v="245879.8707264"/>
    <n v="0"/>
    <n v="122684.38397125513"/>
    <n v="263079.92104553367"/>
  </r>
  <r>
    <s v="Sistema de Compensação"/>
    <x v="1"/>
    <x v="2"/>
    <x v="5"/>
    <x v="0"/>
    <x v="0"/>
    <x v="0"/>
    <x v="0"/>
    <x v="2"/>
    <n v="0"/>
    <n v="0"/>
    <n v="9.8070000000000004"/>
    <n v="9.4147200000000009"/>
    <n v="9.8070000000000004"/>
    <n v="9.4147200000000009"/>
    <n v="0"/>
    <x v="1"/>
    <n v="0"/>
    <n v="0"/>
    <n v="25"/>
    <n v="59"/>
    <n v="0"/>
    <n v="69.489999999999995"/>
    <n v="185.18"/>
    <m/>
    <n v="92.397536067834494"/>
    <n v="198.13390838089941"/>
    <n v="0"/>
    <n v="654.22889280000004"/>
    <n v="1743.4178496000002"/>
    <n v="0"/>
    <n v="869.89693076856281"/>
    <n v="1865.3752699118215"/>
  </r>
  <r>
    <s v="Regular"/>
    <x v="1"/>
    <x v="2"/>
    <x v="5"/>
    <x v="0"/>
    <x v="0"/>
    <x v="0"/>
    <x v="0"/>
    <x v="3"/>
    <n v="0"/>
    <n v="0"/>
    <n v="1257.8399999999999"/>
    <n v="1207.5264"/>
    <n v="1257.8399999999999"/>
    <n v="1207.5264"/>
    <n v="0"/>
    <x v="1"/>
    <n v="0"/>
    <n v="0"/>
    <n v="25"/>
    <n v="59"/>
    <n v="0"/>
    <n v="69.489999999999995"/>
    <n v="185.18"/>
    <m/>
    <n v="92.397536067834494"/>
    <n v="198.13390838089941"/>
    <n v="0"/>
    <n v="83911.009535999998"/>
    <n v="223609.738752"/>
    <n v="0"/>
    <n v="111572.46409686234"/>
    <n v="239251.92510511729"/>
  </r>
  <r>
    <s v="Sistema de Compensação"/>
    <x v="1"/>
    <x v="2"/>
    <x v="5"/>
    <x v="0"/>
    <x v="0"/>
    <x v="0"/>
    <x v="0"/>
    <x v="3"/>
    <n v="0"/>
    <n v="0"/>
    <n v="13.04"/>
    <n v="12.518399999999998"/>
    <n v="13.04"/>
    <n v="12.518399999999998"/>
    <n v="0"/>
    <x v="1"/>
    <n v="0"/>
    <n v="0"/>
    <n v="25"/>
    <n v="59"/>
    <n v="0"/>
    <n v="69.489999999999995"/>
    <n v="185.18"/>
    <m/>
    <n v="92.397536067834494"/>
    <n v="198.13390838089941"/>
    <n v="0"/>
    <n v="869.90361599999983"/>
    <n v="2318.1573119999998"/>
    <n v="0"/>
    <n v="1156.669315511579"/>
    <n v="2480.319518675451"/>
  </r>
  <r>
    <s v="Regular"/>
    <x v="1"/>
    <x v="2"/>
    <x v="5"/>
    <x v="0"/>
    <x v="0"/>
    <x v="0"/>
    <x v="0"/>
    <x v="4"/>
    <n v="0"/>
    <n v="0"/>
    <n v="1432.9179999999999"/>
    <n v="1375.6012799999999"/>
    <n v="1432.9179999999999"/>
    <n v="1375.6012799999999"/>
    <n v="0"/>
    <x v="1"/>
    <n v="0"/>
    <n v="0"/>
    <n v="25"/>
    <n v="59"/>
    <n v="0"/>
    <n v="69.489999999999995"/>
    <n v="185.18"/>
    <m/>
    <n v="92.397536067834494"/>
    <n v="198.13390838089941"/>
    <n v="0"/>
    <n v="95590.532947199987"/>
    <n v="254733.84503039997"/>
    <n v="0"/>
    <n v="127102.16888375928"/>
    <n v="272553.25798016792"/>
  </r>
  <r>
    <s v="Sistema de Compensação"/>
    <x v="1"/>
    <x v="2"/>
    <x v="5"/>
    <x v="0"/>
    <x v="0"/>
    <x v="0"/>
    <x v="0"/>
    <x v="4"/>
    <n v="0"/>
    <n v="0"/>
    <n v="9.89"/>
    <n v="9.4944000000000006"/>
    <n v="9.89"/>
    <n v="9.4944000000000006"/>
    <n v="0"/>
    <x v="1"/>
    <n v="0"/>
    <n v="0"/>
    <n v="25"/>
    <n v="59"/>
    <n v="0"/>
    <n v="69.489999999999995"/>
    <n v="185.18"/>
    <m/>
    <n v="92.397536067834494"/>
    <n v="198.13390838089941"/>
    <n v="0"/>
    <n v="659.76585599999999"/>
    <n v="1758.1729920000002"/>
    <n v="0"/>
    <n v="877.25916644244785"/>
    <n v="1881.1625797316115"/>
  </r>
  <r>
    <s v="Regular"/>
    <x v="1"/>
    <x v="2"/>
    <x v="5"/>
    <x v="0"/>
    <x v="0"/>
    <x v="0"/>
    <x v="0"/>
    <x v="5"/>
    <n v="0"/>
    <n v="0"/>
    <n v="1923.298"/>
    <n v="1846.36608"/>
    <n v="1923.298"/>
    <n v="1846.36608"/>
    <n v="0"/>
    <x v="1"/>
    <n v="0"/>
    <n v="0"/>
    <n v="25"/>
    <n v="59"/>
    <n v="0"/>
    <n v="69.489999999999995"/>
    <n v="185.18"/>
    <m/>
    <n v="92.397536067834494"/>
    <n v="198.13390838089941"/>
    <n v="0"/>
    <n v="128303.9788992"/>
    <n v="341910.0706944"/>
    <n v="0"/>
    <n v="170599.67647122618"/>
    <n v="365827.72773232037"/>
  </r>
  <r>
    <s v="Regular"/>
    <x v="1"/>
    <x v="2"/>
    <x v="5"/>
    <x v="0"/>
    <x v="0"/>
    <x v="0"/>
    <x v="0"/>
    <x v="6"/>
    <n v="0"/>
    <n v="0"/>
    <n v="1558.232"/>
    <n v="1495.9027199999998"/>
    <n v="1558.232"/>
    <n v="1495.9027199999998"/>
    <n v="0"/>
    <x v="1"/>
    <n v="0"/>
    <n v="0"/>
    <n v="25"/>
    <n v="59"/>
    <n v="0"/>
    <n v="69.489999999999995"/>
    <n v="185.18"/>
    <m/>
    <n v="92.397536067834494"/>
    <n v="198.13390838089941"/>
    <n v="0"/>
    <n v="103950.28001279998"/>
    <n v="277011.26568959997"/>
    <n v="0"/>
    <n v="138217.7255251717"/>
    <n v="296389.05247121817"/>
  </r>
  <r>
    <s v="Refaturamento - Regular"/>
    <x v="1"/>
    <x v="2"/>
    <x v="5"/>
    <x v="0"/>
    <x v="0"/>
    <x v="0"/>
    <x v="0"/>
    <x v="6"/>
    <n v="0"/>
    <n v="0"/>
    <n v="-38.384999999999998"/>
    <n v="-36.849599999999995"/>
    <n v="-38.384999999999998"/>
    <n v="-36.849599999999995"/>
    <n v="0"/>
    <x v="1"/>
    <n v="0"/>
    <n v="0"/>
    <n v="25"/>
    <n v="59"/>
    <n v="0"/>
    <n v="69.489999999999995"/>
    <n v="185.18"/>
    <m/>
    <n v="92.397536067834494"/>
    <n v="198.13390838089941"/>
    <n v="0"/>
    <n v="-2560.6787039999995"/>
    <n v="-6823.8089279999995"/>
    <n v="0"/>
    <n v="-3404.8122450852734"/>
    <n v="-7301.1552702727904"/>
  </r>
  <r>
    <s v="Sistema de Compensação"/>
    <x v="1"/>
    <x v="2"/>
    <x v="5"/>
    <x v="0"/>
    <x v="0"/>
    <x v="0"/>
    <x v="0"/>
    <x v="6"/>
    <n v="0"/>
    <n v="0"/>
    <n v="11.084"/>
    <n v="10.640639999999999"/>
    <n v="11.084"/>
    <n v="10.640639999999999"/>
    <n v="0"/>
    <x v="1"/>
    <n v="0"/>
    <n v="0"/>
    <n v="25"/>
    <n v="59"/>
    <n v="0"/>
    <n v="69.489999999999995"/>
    <n v="185.18"/>
    <m/>
    <n v="92.397536067834494"/>
    <n v="198.13390838089941"/>
    <n v="0"/>
    <n v="739.41807359999996"/>
    <n v="1970.4337152000001"/>
    <n v="0"/>
    <n v="983.16891818484237"/>
    <n v="2108.2715908741334"/>
  </r>
  <r>
    <s v="Regular"/>
    <x v="1"/>
    <x v="2"/>
    <x v="5"/>
    <x v="0"/>
    <x v="0"/>
    <x v="0"/>
    <x v="0"/>
    <x v="7"/>
    <n v="0"/>
    <n v="0"/>
    <n v="2249.62"/>
    <n v="2159.6351999999997"/>
    <n v="2249.62"/>
    <n v="2159.6351999999997"/>
    <n v="0"/>
    <x v="1"/>
    <n v="0"/>
    <n v="0"/>
    <n v="25"/>
    <n v="59"/>
    <n v="0"/>
    <n v="69.489999999999995"/>
    <n v="185.18"/>
    <m/>
    <n v="92.397536067834494"/>
    <n v="198.13390838089941"/>
    <n v="0"/>
    <n v="150073.05004799998"/>
    <n v="399921.24633599998"/>
    <n v="0"/>
    <n v="199544.97128536494"/>
    <n v="427896.96285296534"/>
  </r>
  <r>
    <s v="Refaturamento - Regular"/>
    <x v="1"/>
    <x v="2"/>
    <x v="5"/>
    <x v="0"/>
    <x v="0"/>
    <x v="0"/>
    <x v="0"/>
    <x v="7"/>
    <n v="0"/>
    <n v="0"/>
    <n v="-82.99"/>
    <n v="-79.670399999999987"/>
    <n v="-82.99"/>
    <n v="-79.670399999999987"/>
    <n v="0"/>
    <x v="1"/>
    <n v="0"/>
    <n v="0"/>
    <n v="25"/>
    <n v="59"/>
    <n v="0"/>
    <n v="69.489999999999995"/>
    <n v="185.18"/>
    <m/>
    <n v="92.397536067834494"/>
    <n v="198.13390838089941"/>
    <n v="0"/>
    <n v="-5536.2960959999982"/>
    <n v="-14753.364671999998"/>
    <n v="0"/>
    <n v="-7361.3486575387997"/>
    <n v="-15785.407734269605"/>
  </r>
  <r>
    <s v="Sistema de Compensação"/>
    <x v="1"/>
    <x v="2"/>
    <x v="5"/>
    <x v="0"/>
    <x v="0"/>
    <x v="0"/>
    <x v="0"/>
    <x v="7"/>
    <n v="0"/>
    <n v="0"/>
    <n v="47.274000000000001"/>
    <n v="45.383040000000001"/>
    <n v="47.274000000000001"/>
    <n v="45.383040000000001"/>
    <n v="0"/>
    <x v="1"/>
    <n v="0"/>
    <n v="0"/>
    <n v="25"/>
    <n v="59"/>
    <n v="0"/>
    <n v="69.489999999999995"/>
    <n v="185.18"/>
    <m/>
    <n v="92.397536067834494"/>
    <n v="198.13390838089941"/>
    <n v="0"/>
    <n v="3153.6674496000001"/>
    <n v="8404.0313471999998"/>
    <n v="0"/>
    <n v="4193.2810752679761"/>
    <n v="8991.9190894066942"/>
  </r>
  <r>
    <s v="Regular"/>
    <x v="1"/>
    <x v="2"/>
    <x v="5"/>
    <x v="0"/>
    <x v="0"/>
    <x v="0"/>
    <x v="0"/>
    <x v="8"/>
    <n v="0"/>
    <n v="0"/>
    <n v="1768.328"/>
    <n v="1697.5948799999999"/>
    <n v="1768.328"/>
    <n v="1697.5948799999999"/>
    <n v="0"/>
    <x v="1"/>
    <n v="0"/>
    <n v="0"/>
    <n v="25"/>
    <n v="59"/>
    <n v="0"/>
    <n v="69.489999999999995"/>
    <n v="185.18"/>
    <m/>
    <n v="92.397536067834494"/>
    <n v="198.13390838089941"/>
    <n v="0"/>
    <n v="117965.86821119998"/>
    <n v="314360.6198784"/>
    <n v="0"/>
    <n v="156853.58415337116"/>
    <n v="336351.10842180392"/>
  </r>
  <r>
    <s v="Refaturamento - Regular"/>
    <x v="1"/>
    <x v="2"/>
    <x v="5"/>
    <x v="0"/>
    <x v="0"/>
    <x v="0"/>
    <x v="0"/>
    <x v="8"/>
    <n v="0"/>
    <n v="0"/>
    <n v="-48.512999999999998"/>
    <n v="-46.572479999999999"/>
    <n v="-48.512999999999998"/>
    <n v="-46.572479999999999"/>
    <n v="0"/>
    <x v="1"/>
    <n v="0"/>
    <n v="0"/>
    <n v="25"/>
    <n v="59"/>
    <n v="0"/>
    <n v="69.489999999999995"/>
    <n v="185.18"/>
    <m/>
    <n v="92.397536067834494"/>
    <n v="198.13390838089941"/>
    <n v="0"/>
    <n v="-3236.3216351999995"/>
    <n v="-8624.2918463999995"/>
    <n v="0"/>
    <n v="-4303.1824005685003"/>
    <n v="-9227.5874853912701"/>
  </r>
  <r>
    <s v="Sistema de Compensação"/>
    <x v="1"/>
    <x v="2"/>
    <x v="5"/>
    <x v="0"/>
    <x v="0"/>
    <x v="0"/>
    <x v="0"/>
    <x v="8"/>
    <n v="0"/>
    <n v="0"/>
    <n v="75.542000000000002"/>
    <n v="72.520319999999998"/>
    <n v="75.542000000000002"/>
    <n v="72.520319999999998"/>
    <n v="0"/>
    <x v="1"/>
    <n v="0"/>
    <n v="0"/>
    <n v="25"/>
    <n v="59"/>
    <n v="0"/>
    <n v="69.489999999999995"/>
    <n v="185.18"/>
    <m/>
    <n v="92.397536067834494"/>
    <n v="198.13390838089941"/>
    <n v="0"/>
    <n v="5039.4370367999991"/>
    <n v="13429.3128576"/>
    <n v="0"/>
    <n v="6700.6988828508993"/>
    <n v="14368.734438633506"/>
  </r>
  <r>
    <s v="Regular"/>
    <x v="1"/>
    <x v="2"/>
    <x v="5"/>
    <x v="0"/>
    <x v="0"/>
    <x v="0"/>
    <x v="0"/>
    <x v="9"/>
    <n v="0"/>
    <n v="0"/>
    <n v="1720.4949999999999"/>
    <n v="1651.6751999999999"/>
    <n v="1720.4949999999999"/>
    <n v="1651.6751999999999"/>
    <n v="0"/>
    <x v="1"/>
    <n v="0"/>
    <n v="0"/>
    <n v="25"/>
    <n v="59"/>
    <n v="0"/>
    <n v="69.489999999999995"/>
    <n v="185.18"/>
    <m/>
    <n v="92.397536067834494"/>
    <n v="198.13390838089941"/>
    <n v="0"/>
    <n v="114774.90964799999"/>
    <n v="305857.213536"/>
    <n v="0"/>
    <n v="152610.71886434776"/>
    <n v="327252.86275180371"/>
  </r>
  <r>
    <s v="Sistema de Compensação"/>
    <x v="1"/>
    <x v="2"/>
    <x v="5"/>
    <x v="0"/>
    <x v="0"/>
    <x v="0"/>
    <x v="0"/>
    <x v="9"/>
    <n v="0"/>
    <n v="0"/>
    <n v="37.835000000000001"/>
    <n v="36.321599999999997"/>
    <n v="37.835000000000001"/>
    <n v="36.321599999999997"/>
    <n v="0"/>
    <x v="1"/>
    <n v="0"/>
    <n v="0"/>
    <n v="25"/>
    <n v="59"/>
    <n v="0"/>
    <n v="69.489999999999995"/>
    <n v="185.18"/>
    <m/>
    <n v="92.397536067834494"/>
    <n v="198.13390838089941"/>
    <n v="0"/>
    <n v="2523.9879839999994"/>
    <n v="6726.0338879999999"/>
    <n v="0"/>
    <n v="3356.0263460414571"/>
    <n v="7196.5405666476754"/>
  </r>
  <r>
    <s v="Regular"/>
    <x v="1"/>
    <x v="2"/>
    <x v="5"/>
    <x v="0"/>
    <x v="0"/>
    <x v="0"/>
    <x v="0"/>
    <x v="10"/>
    <n v="0"/>
    <n v="0"/>
    <n v="2034.04"/>
    <n v="1952.6783999999998"/>
    <n v="2034.04"/>
    <n v="1952.6783999999998"/>
    <n v="0"/>
    <x v="1"/>
    <n v="0"/>
    <n v="0"/>
    <n v="25"/>
    <n v="59"/>
    <n v="0"/>
    <n v="69.489999999999995"/>
    <n v="185.18"/>
    <m/>
    <n v="92.397536067834494"/>
    <n v="198.13390838089941"/>
    <n v="0"/>
    <n v="135691.62201599998"/>
    <n v="361596.98611199996"/>
    <n v="0"/>
    <n v="180422.67289288132"/>
    <n v="386891.80320296122"/>
  </r>
  <r>
    <s v="Refaturamento - Regular"/>
    <x v="1"/>
    <x v="2"/>
    <x v="5"/>
    <x v="0"/>
    <x v="0"/>
    <x v="0"/>
    <x v="0"/>
    <x v="10"/>
    <n v="0"/>
    <n v="0"/>
    <n v="-41.206000000000003"/>
    <n v="-39.557760000000002"/>
    <n v="-41.206000000000003"/>
    <n v="-39.557760000000002"/>
    <n v="0"/>
    <x v="1"/>
    <n v="0"/>
    <n v="0"/>
    <n v="25"/>
    <n v="59"/>
    <n v="0"/>
    <n v="69.489999999999995"/>
    <n v="185.18"/>
    <m/>
    <n v="92.397536067834494"/>
    <n v="198.13390838089941"/>
    <n v="0"/>
    <n v="-2748.8687424"/>
    <n v="-7325.3059968000007"/>
    <n v="0"/>
    <n v="-3655.0395563627408"/>
    <n v="-7837.7335955936078"/>
  </r>
  <r>
    <s v="Sistema de Compensação"/>
    <x v="1"/>
    <x v="2"/>
    <x v="5"/>
    <x v="0"/>
    <x v="0"/>
    <x v="0"/>
    <x v="0"/>
    <x v="10"/>
    <n v="0"/>
    <n v="0"/>
    <n v="102.774"/>
    <n v="98.663039999999995"/>
    <n v="102.774"/>
    <n v="98.663039999999995"/>
    <n v="0"/>
    <x v="1"/>
    <n v="0"/>
    <n v="0"/>
    <n v="25"/>
    <n v="59"/>
    <n v="0"/>
    <n v="69.489999999999995"/>
    <n v="185.18"/>
    <m/>
    <n v="92.397536067834494"/>
    <n v="198.13390838089941"/>
    <n v="0"/>
    <n v="6856.0946495999988"/>
    <n v="18270.421747199998"/>
    <n v="0"/>
    <n v="9116.2217969621961"/>
    <n v="19548.493727941011"/>
  </r>
  <r>
    <s v="Sistema de Compensação"/>
    <x v="1"/>
    <x v="2"/>
    <x v="5"/>
    <x v="0"/>
    <x v="0"/>
    <x v="0"/>
    <x v="0"/>
    <x v="10"/>
    <n v="0"/>
    <n v="0"/>
    <n v="-10.106"/>
    <n v="-9.7017600000000002"/>
    <n v="-10.106"/>
    <n v="-9.7017600000000002"/>
    <n v="0"/>
    <x v="1"/>
    <n v="0"/>
    <n v="0"/>
    <n v="25"/>
    <n v="59"/>
    <n v="0"/>
    <n v="69.489999999999995"/>
    <n v="185.18"/>
    <m/>
    <n v="92.397536067834494"/>
    <n v="198.13390838089941"/>
    <n v="0"/>
    <n v="-674.17530239999996"/>
    <n v="-1796.5719168000001"/>
    <n v="0"/>
    <n v="-896.41871952147403"/>
    <n v="-1922.2476269734748"/>
  </r>
  <r>
    <s v="Regular"/>
    <x v="1"/>
    <x v="2"/>
    <x v="5"/>
    <x v="0"/>
    <x v="0"/>
    <x v="0"/>
    <x v="0"/>
    <x v="11"/>
    <n v="0"/>
    <n v="0"/>
    <n v="1914.43"/>
    <n v="1837.8527999999999"/>
    <n v="1914.43"/>
    <n v="1837.8527999999999"/>
    <n v="0"/>
    <x v="1"/>
    <n v="0"/>
    <n v="0"/>
    <n v="25"/>
    <n v="59"/>
    <n v="0"/>
    <n v="69.489999999999995"/>
    <n v="185.18"/>
    <m/>
    <n v="92.397536067834494"/>
    <n v="198.13390838089941"/>
    <n v="0"/>
    <n v="127712.39107199998"/>
    <n v="340333.581504"/>
    <n v="0"/>
    <n v="169813.07037537062"/>
    <n v="364140.95829277945"/>
  </r>
  <r>
    <s v="Refaturamento - Regular"/>
    <x v="1"/>
    <x v="2"/>
    <x v="5"/>
    <x v="0"/>
    <x v="0"/>
    <x v="0"/>
    <x v="0"/>
    <x v="11"/>
    <n v="0"/>
    <n v="0"/>
    <n v="-19.802"/>
    <n v="-19.009919999999997"/>
    <n v="-19.802"/>
    <n v="-19.009919999999997"/>
    <n v="0"/>
    <x v="1"/>
    <n v="0"/>
    <n v="0"/>
    <n v="25"/>
    <n v="59"/>
    <n v="0"/>
    <n v="69.489999999999995"/>
    <n v="185.18"/>
    <m/>
    <n v="92.397536067834494"/>
    <n v="198.13390838089941"/>
    <n v="0"/>
    <n v="-1320.9993407999998"/>
    <n v="-3520.2569855999996"/>
    <n v="0"/>
    <n v="-1756.4697688466481"/>
    <n v="-3766.5097476082269"/>
  </r>
  <r>
    <s v="Sistema de Compensação"/>
    <x v="1"/>
    <x v="2"/>
    <x v="5"/>
    <x v="0"/>
    <x v="0"/>
    <x v="0"/>
    <x v="0"/>
    <x v="11"/>
    <n v="0"/>
    <n v="0"/>
    <n v="191.12200000000001"/>
    <n v="183.47712000000001"/>
    <n v="191.12200000000001"/>
    <n v="183.47712000000001"/>
    <n v="0"/>
    <x v="1"/>
    <n v="0"/>
    <n v="0"/>
    <n v="25"/>
    <n v="59"/>
    <n v="0"/>
    <n v="69.489999999999995"/>
    <n v="185.18"/>
    <m/>
    <n v="92.397536067834494"/>
    <n v="198.13390838089941"/>
    <n v="0"/>
    <n v="12749.825068800001"/>
    <n v="33976.293081600001"/>
    <n v="0"/>
    <n v="16952.833812822399"/>
    <n v="36353.038884071291"/>
  </r>
  <r>
    <s v="Regular"/>
    <x v="1"/>
    <x v="2"/>
    <x v="5"/>
    <x v="0"/>
    <x v="0"/>
    <x v="0"/>
    <x v="1"/>
    <x v="0"/>
    <n v="8787"/>
    <n v="8435.52"/>
    <n v="0"/>
    <n v="0"/>
    <n v="0"/>
    <n v="0"/>
    <n v="106"/>
    <x v="1"/>
    <n v="0"/>
    <n v="18"/>
    <n v="0"/>
    <n v="0"/>
    <n v="26.17"/>
    <n v="0"/>
    <n v="0"/>
    <n v="27.746237112155811"/>
    <m/>
    <m/>
    <n v="220757.55840000004"/>
    <n v="0"/>
    <n v="0"/>
    <n v="234053.93808433259"/>
    <n v="0"/>
    <n v="0"/>
  </r>
  <r>
    <s v="Sistema de Compensação"/>
    <x v="1"/>
    <x v="2"/>
    <x v="5"/>
    <x v="0"/>
    <x v="0"/>
    <x v="0"/>
    <x v="1"/>
    <x v="0"/>
    <n v="1106"/>
    <n v="1061.76"/>
    <n v="0"/>
    <n v="0"/>
    <n v="0"/>
    <n v="0"/>
    <n v="10"/>
    <x v="1"/>
    <n v="0"/>
    <n v="18"/>
    <n v="0"/>
    <n v="0"/>
    <n v="26.17"/>
    <n v="0"/>
    <n v="0"/>
    <n v="27.746237112155811"/>
    <m/>
    <m/>
    <n v="27786.2592"/>
    <n v="0"/>
    <n v="0"/>
    <n v="29459.844716202555"/>
    <n v="0"/>
    <n v="0"/>
  </r>
  <r>
    <s v="Regular"/>
    <x v="1"/>
    <x v="2"/>
    <x v="5"/>
    <x v="0"/>
    <x v="0"/>
    <x v="0"/>
    <x v="1"/>
    <x v="1"/>
    <n v="8162"/>
    <n v="7835.5199999999995"/>
    <n v="0"/>
    <n v="0"/>
    <n v="0"/>
    <n v="0"/>
    <n v="107"/>
    <x v="1"/>
    <n v="0"/>
    <n v="18"/>
    <n v="0"/>
    <n v="0"/>
    <n v="26.17"/>
    <n v="0"/>
    <n v="0"/>
    <n v="27.746237112155811"/>
    <m/>
    <m/>
    <n v="205055.55840000001"/>
    <n v="0"/>
    <n v="0"/>
    <n v="217406.19581703909"/>
    <n v="0"/>
    <n v="0"/>
  </r>
  <r>
    <s v="Sistema de Compensação"/>
    <x v="1"/>
    <x v="2"/>
    <x v="5"/>
    <x v="0"/>
    <x v="0"/>
    <x v="0"/>
    <x v="1"/>
    <x v="1"/>
    <n v="1277"/>
    <n v="1225.9199999999998"/>
    <n v="0"/>
    <n v="0"/>
    <n v="0"/>
    <n v="0"/>
    <n v="12"/>
    <x v="1"/>
    <n v="0"/>
    <n v="18"/>
    <n v="0"/>
    <n v="0"/>
    <n v="26.17"/>
    <n v="0"/>
    <n v="0"/>
    <n v="27.746237112155811"/>
    <m/>
    <m/>
    <n v="32082.326399999998"/>
    <n v="0"/>
    <n v="0"/>
    <n v="34014.667000534049"/>
    <n v="0"/>
    <n v="0"/>
  </r>
  <r>
    <s v="Sistema de Compensação"/>
    <x v="1"/>
    <x v="2"/>
    <x v="5"/>
    <x v="0"/>
    <x v="0"/>
    <x v="0"/>
    <x v="1"/>
    <x v="1"/>
    <n v="-150"/>
    <n v="-144"/>
    <n v="0"/>
    <n v="0"/>
    <n v="0"/>
    <n v="0"/>
    <n v="-2"/>
    <x v="1"/>
    <n v="0"/>
    <n v="18"/>
    <n v="0"/>
    <n v="0"/>
    <n v="26.17"/>
    <n v="0"/>
    <n v="0"/>
    <n v="27.746237112155811"/>
    <m/>
    <m/>
    <n v="-3768.4800000000005"/>
    <n v="0"/>
    <n v="0"/>
    <n v="-3995.458144150437"/>
    <n v="0"/>
    <n v="0"/>
  </r>
  <r>
    <s v="Regular"/>
    <x v="1"/>
    <x v="2"/>
    <x v="5"/>
    <x v="0"/>
    <x v="0"/>
    <x v="0"/>
    <x v="1"/>
    <x v="2"/>
    <n v="7599"/>
    <n v="7295.04"/>
    <n v="0"/>
    <n v="0"/>
    <n v="0"/>
    <n v="0"/>
    <n v="107"/>
    <x v="1"/>
    <n v="0"/>
    <n v="18"/>
    <n v="0"/>
    <n v="0"/>
    <n v="26.17"/>
    <n v="0"/>
    <n v="0"/>
    <n v="27.746237112155811"/>
    <m/>
    <m/>
    <n v="190911.19680000001"/>
    <n v="0"/>
    <n v="0"/>
    <n v="202409.90958266112"/>
    <n v="0"/>
    <n v="0"/>
  </r>
  <r>
    <s v="Sistema de Compensação"/>
    <x v="1"/>
    <x v="2"/>
    <x v="5"/>
    <x v="0"/>
    <x v="0"/>
    <x v="0"/>
    <x v="1"/>
    <x v="2"/>
    <n v="1110"/>
    <n v="1065.5999999999999"/>
    <n v="0"/>
    <n v="0"/>
    <n v="0"/>
    <n v="0"/>
    <n v="10"/>
    <x v="1"/>
    <n v="0"/>
    <n v="18"/>
    <n v="0"/>
    <n v="0"/>
    <n v="26.17"/>
    <n v="0"/>
    <n v="0"/>
    <n v="27.746237112155811"/>
    <m/>
    <m/>
    <n v="27886.752"/>
    <n v="0"/>
    <n v="0"/>
    <n v="29566.390266713228"/>
    <n v="0"/>
    <n v="0"/>
  </r>
  <r>
    <s v="Regular"/>
    <x v="1"/>
    <x v="2"/>
    <x v="5"/>
    <x v="0"/>
    <x v="0"/>
    <x v="0"/>
    <x v="1"/>
    <x v="3"/>
    <n v="7273"/>
    <n v="6982.08"/>
    <n v="0"/>
    <n v="0"/>
    <n v="0"/>
    <n v="0"/>
    <n v="107"/>
    <x v="1"/>
    <n v="0"/>
    <n v="18"/>
    <n v="0"/>
    <n v="0"/>
    <n v="26.17"/>
    <n v="0"/>
    <n v="0"/>
    <n v="27.746237112155811"/>
    <m/>
    <m/>
    <n v="182721.03360000002"/>
    <n v="0"/>
    <n v="0"/>
    <n v="193726.44721604083"/>
    <n v="0"/>
    <n v="0"/>
  </r>
  <r>
    <s v="Sistema de Compensação"/>
    <x v="1"/>
    <x v="2"/>
    <x v="5"/>
    <x v="0"/>
    <x v="0"/>
    <x v="0"/>
    <x v="1"/>
    <x v="3"/>
    <n v="1138"/>
    <n v="1092.48"/>
    <n v="0"/>
    <n v="0"/>
    <n v="0"/>
    <n v="0"/>
    <n v="10"/>
    <x v="1"/>
    <n v="0"/>
    <n v="18"/>
    <n v="0"/>
    <n v="0"/>
    <n v="26.17"/>
    <n v="0"/>
    <n v="0"/>
    <n v="27.746237112155811"/>
    <m/>
    <m/>
    <n v="28590.201600000004"/>
    <n v="0"/>
    <n v="0"/>
    <n v="30312.209120287982"/>
    <n v="0"/>
    <n v="0"/>
  </r>
  <r>
    <s v="Regular"/>
    <x v="1"/>
    <x v="2"/>
    <x v="5"/>
    <x v="0"/>
    <x v="0"/>
    <x v="0"/>
    <x v="1"/>
    <x v="4"/>
    <n v="8501"/>
    <n v="8160.96"/>
    <n v="0"/>
    <n v="0"/>
    <n v="0"/>
    <n v="0"/>
    <n v="107"/>
    <x v="1"/>
    <n v="0"/>
    <n v="18"/>
    <n v="0"/>
    <n v="0"/>
    <n v="26.17"/>
    <n v="0"/>
    <n v="0"/>
    <n v="27.746237112155811"/>
    <m/>
    <m/>
    <n v="213572.32320000001"/>
    <n v="0"/>
    <n v="0"/>
    <n v="226435.93122281908"/>
    <n v="0"/>
    <n v="0"/>
  </r>
  <r>
    <s v="Sistema de Compensação"/>
    <x v="1"/>
    <x v="2"/>
    <x v="5"/>
    <x v="0"/>
    <x v="0"/>
    <x v="0"/>
    <x v="1"/>
    <x v="4"/>
    <n v="1298"/>
    <n v="1246.08"/>
    <n v="0"/>
    <n v="0"/>
    <n v="0"/>
    <n v="0"/>
    <n v="10"/>
    <x v="1"/>
    <n v="0"/>
    <n v="18"/>
    <n v="0"/>
    <n v="0"/>
    <n v="26.17"/>
    <n v="0"/>
    <n v="0"/>
    <n v="27.746237112155811"/>
    <m/>
    <m/>
    <n v="32609.9136"/>
    <n v="0"/>
    <n v="0"/>
    <n v="34574.031140715109"/>
    <n v="0"/>
    <n v="0"/>
  </r>
  <r>
    <s v="Regular"/>
    <x v="1"/>
    <x v="2"/>
    <x v="5"/>
    <x v="0"/>
    <x v="0"/>
    <x v="0"/>
    <x v="1"/>
    <x v="5"/>
    <n v="10613"/>
    <n v="10188.48"/>
    <n v="0"/>
    <n v="0"/>
    <n v="0"/>
    <n v="0"/>
    <n v="107"/>
    <x v="1"/>
    <n v="0"/>
    <n v="18"/>
    <n v="0"/>
    <n v="0"/>
    <n v="26.17"/>
    <n v="0"/>
    <n v="0"/>
    <n v="27.746237112155811"/>
    <m/>
    <m/>
    <n v="266632.52159999998"/>
    <n v="0"/>
    <n v="0"/>
    <n v="282691.98189245723"/>
    <n v="0"/>
    <n v="0"/>
  </r>
  <r>
    <s v="Regular"/>
    <x v="1"/>
    <x v="2"/>
    <x v="5"/>
    <x v="0"/>
    <x v="0"/>
    <x v="0"/>
    <x v="1"/>
    <x v="6"/>
    <n v="8788"/>
    <n v="8436.48"/>
    <n v="0"/>
    <n v="0"/>
    <n v="0"/>
    <n v="0"/>
    <n v="108"/>
    <x v="1"/>
    <n v="0"/>
    <n v="18"/>
    <n v="0"/>
    <n v="0"/>
    <n v="26.17"/>
    <n v="0"/>
    <n v="0"/>
    <n v="27.746237112155811"/>
    <m/>
    <m/>
    <n v="220782.68160000001"/>
    <n v="0"/>
    <n v="0"/>
    <n v="234080.57447196025"/>
    <n v="0"/>
    <n v="0"/>
  </r>
  <r>
    <s v="Refaturamento - Regular"/>
    <x v="1"/>
    <x v="2"/>
    <x v="5"/>
    <x v="0"/>
    <x v="0"/>
    <x v="0"/>
    <x v="1"/>
    <x v="6"/>
    <n v="-291"/>
    <n v="-279.36"/>
    <n v="0"/>
    <n v="0"/>
    <n v="0"/>
    <n v="0"/>
    <n v="-1"/>
    <x v="1"/>
    <n v="0"/>
    <n v="18"/>
    <n v="0"/>
    <n v="0"/>
    <n v="26.17"/>
    <n v="0"/>
    <n v="0"/>
    <n v="27.746237112155811"/>
    <m/>
    <m/>
    <n v="-7310.851200000001"/>
    <n v="0"/>
    <n v="0"/>
    <n v="-7751.1887996518481"/>
    <n v="0"/>
    <n v="0"/>
  </r>
  <r>
    <s v="Sistema de Compensação"/>
    <x v="1"/>
    <x v="2"/>
    <x v="5"/>
    <x v="0"/>
    <x v="0"/>
    <x v="0"/>
    <x v="1"/>
    <x v="6"/>
    <n v="1117"/>
    <n v="1072.32"/>
    <n v="0"/>
    <n v="0"/>
    <n v="0"/>
    <n v="0"/>
    <n v="10"/>
    <x v="1"/>
    <n v="0"/>
    <n v="18"/>
    <n v="0"/>
    <n v="0"/>
    <n v="26.17"/>
    <n v="0"/>
    <n v="0"/>
    <n v="27.746237112155811"/>
    <m/>
    <m/>
    <n v="28062.614399999999"/>
    <n v="0"/>
    <n v="0"/>
    <n v="29752.844980106918"/>
    <n v="0"/>
    <n v="0"/>
  </r>
  <r>
    <s v="Regular"/>
    <x v="1"/>
    <x v="2"/>
    <x v="5"/>
    <x v="0"/>
    <x v="0"/>
    <x v="0"/>
    <x v="1"/>
    <x v="7"/>
    <n v="10922"/>
    <n v="10485.119999999999"/>
    <n v="0"/>
    <n v="0"/>
    <n v="0"/>
    <n v="0"/>
    <n v="108"/>
    <x v="1"/>
    <n v="0"/>
    <n v="18"/>
    <n v="0"/>
    <n v="0"/>
    <n v="26.17"/>
    <n v="0"/>
    <n v="0"/>
    <n v="27.746237112155811"/>
    <m/>
    <m/>
    <n v="274395.59039999999"/>
    <n v="0"/>
    <n v="0"/>
    <n v="290922.62566940713"/>
    <n v="0"/>
    <n v="0"/>
  </r>
  <r>
    <s v="Refaturamento - Regular"/>
    <x v="1"/>
    <x v="2"/>
    <x v="5"/>
    <x v="0"/>
    <x v="0"/>
    <x v="0"/>
    <x v="1"/>
    <x v="7"/>
    <n v="-340"/>
    <n v="-326.39999999999998"/>
    <n v="0"/>
    <n v="0"/>
    <n v="0"/>
    <n v="0"/>
    <n v="-1"/>
    <x v="1"/>
    <n v="0"/>
    <n v="18"/>
    <n v="0"/>
    <n v="0"/>
    <n v="26.17"/>
    <n v="0"/>
    <n v="0"/>
    <n v="27.746237112155811"/>
    <m/>
    <m/>
    <n v="-8541.8880000000008"/>
    <n v="0"/>
    <n v="0"/>
    <n v="-9056.3717934076558"/>
    <n v="0"/>
    <n v="0"/>
  </r>
  <r>
    <s v="Sistema de Compensação"/>
    <x v="1"/>
    <x v="2"/>
    <x v="5"/>
    <x v="0"/>
    <x v="0"/>
    <x v="0"/>
    <x v="1"/>
    <x v="7"/>
    <n v="1569"/>
    <n v="1506.24"/>
    <n v="0"/>
    <n v="0"/>
    <n v="0"/>
    <n v="0"/>
    <n v="11"/>
    <x v="1"/>
    <n v="0"/>
    <n v="18"/>
    <n v="0"/>
    <n v="0"/>
    <n v="26.17"/>
    <n v="0"/>
    <n v="0"/>
    <n v="27.746237112155811"/>
    <m/>
    <m/>
    <n v="39418.300800000005"/>
    <n v="0"/>
    <n v="0"/>
    <n v="41792.492187813572"/>
    <n v="0"/>
    <n v="0"/>
  </r>
  <r>
    <s v="Regular"/>
    <x v="1"/>
    <x v="2"/>
    <x v="5"/>
    <x v="0"/>
    <x v="0"/>
    <x v="0"/>
    <x v="1"/>
    <x v="8"/>
    <n v="10321"/>
    <n v="9908.16"/>
    <n v="0"/>
    <n v="0"/>
    <n v="0"/>
    <n v="0"/>
    <n v="111"/>
    <x v="1"/>
    <n v="0"/>
    <n v="18"/>
    <n v="0"/>
    <n v="0"/>
    <n v="26.17"/>
    <n v="0"/>
    <n v="0"/>
    <n v="27.746237112155811"/>
    <m/>
    <m/>
    <n v="259296.5472"/>
    <n v="0"/>
    <n v="0"/>
    <n v="274914.15670517774"/>
    <n v="0"/>
    <n v="0"/>
  </r>
  <r>
    <s v="Refaturamento - Regular"/>
    <x v="1"/>
    <x v="2"/>
    <x v="5"/>
    <x v="0"/>
    <x v="0"/>
    <x v="0"/>
    <x v="1"/>
    <x v="8"/>
    <n v="-328"/>
    <n v="-314.88"/>
    <n v="0"/>
    <n v="0"/>
    <n v="0"/>
    <n v="0"/>
    <n v="-5"/>
    <x v="1"/>
    <n v="0"/>
    <n v="18"/>
    <n v="0"/>
    <n v="0"/>
    <n v="26.17"/>
    <n v="0"/>
    <n v="0"/>
    <n v="27.746237112155811"/>
    <m/>
    <m/>
    <n v="-8240.4096000000009"/>
    <n v="0"/>
    <n v="0"/>
    <n v="-8736.7351418756207"/>
    <n v="0"/>
    <n v="0"/>
  </r>
  <r>
    <s v="Sistema de Compensação"/>
    <x v="1"/>
    <x v="2"/>
    <x v="5"/>
    <x v="0"/>
    <x v="0"/>
    <x v="0"/>
    <x v="1"/>
    <x v="8"/>
    <n v="1903"/>
    <n v="1826.8799999999999"/>
    <n v="0"/>
    <n v="0"/>
    <n v="0"/>
    <n v="0"/>
    <n v="13"/>
    <x v="1"/>
    <n v="0"/>
    <n v="18"/>
    <n v="0"/>
    <n v="0"/>
    <n v="26.17"/>
    <n v="0"/>
    <n v="0"/>
    <n v="27.746237112155811"/>
    <m/>
    <m/>
    <n v="47809.4496"/>
    <n v="0"/>
    <n v="0"/>
    <n v="50689.045655455207"/>
    <n v="0"/>
    <n v="0"/>
  </r>
  <r>
    <s v="Regular"/>
    <x v="1"/>
    <x v="2"/>
    <x v="5"/>
    <x v="0"/>
    <x v="0"/>
    <x v="0"/>
    <x v="1"/>
    <x v="9"/>
    <n v="10116"/>
    <n v="9711.3599999999988"/>
    <n v="0"/>
    <n v="0"/>
    <n v="0"/>
    <n v="0"/>
    <n v="107"/>
    <x v="1"/>
    <n v="0"/>
    <n v="18"/>
    <n v="0"/>
    <n v="0"/>
    <n v="26.17"/>
    <n v="0"/>
    <n v="0"/>
    <n v="27.746237112155811"/>
    <m/>
    <m/>
    <n v="254146.29119999998"/>
    <n v="0"/>
    <n v="0"/>
    <n v="269453.69724150543"/>
    <n v="0"/>
    <n v="0"/>
  </r>
  <r>
    <s v="Sistema de Compensação"/>
    <x v="1"/>
    <x v="2"/>
    <x v="5"/>
    <x v="0"/>
    <x v="0"/>
    <x v="0"/>
    <x v="1"/>
    <x v="9"/>
    <n v="1989"/>
    <n v="1909.4399999999998"/>
    <n v="0"/>
    <n v="0"/>
    <n v="0"/>
    <n v="0"/>
    <n v="14"/>
    <x v="1"/>
    <n v="0"/>
    <n v="18"/>
    <n v="0"/>
    <n v="0"/>
    <n v="26.17"/>
    <n v="0"/>
    <n v="0"/>
    <n v="27.746237112155811"/>
    <m/>
    <m/>
    <n v="49970.044799999996"/>
    <n v="0"/>
    <n v="0"/>
    <n v="52979.774991434788"/>
    <n v="0"/>
    <n v="0"/>
  </r>
  <r>
    <s v="Regular"/>
    <x v="1"/>
    <x v="2"/>
    <x v="5"/>
    <x v="0"/>
    <x v="0"/>
    <x v="0"/>
    <x v="1"/>
    <x v="10"/>
    <n v="11615"/>
    <n v="11150.4"/>
    <n v="0"/>
    <n v="0"/>
    <n v="0"/>
    <n v="0"/>
    <n v="110"/>
    <x v="1"/>
    <n v="0"/>
    <n v="18"/>
    <n v="0"/>
    <n v="0"/>
    <n v="26.17"/>
    <n v="0"/>
    <n v="0"/>
    <n v="27.746237112155811"/>
    <m/>
    <m/>
    <n v="291805.96799999999"/>
    <n v="0"/>
    <n v="0"/>
    <n v="309381.64229538216"/>
    <n v="0"/>
    <n v="0"/>
  </r>
  <r>
    <s v="Refaturamento - Regular"/>
    <x v="1"/>
    <x v="2"/>
    <x v="5"/>
    <x v="0"/>
    <x v="0"/>
    <x v="0"/>
    <x v="1"/>
    <x v="10"/>
    <n v="-304"/>
    <n v="-291.83999999999997"/>
    <n v="0"/>
    <n v="0"/>
    <n v="0"/>
    <n v="0"/>
    <n v="-3"/>
    <x v="1"/>
    <n v="0"/>
    <n v="18"/>
    <n v="0"/>
    <n v="0"/>
    <n v="26.17"/>
    <n v="0"/>
    <n v="0"/>
    <n v="27.746237112155811"/>
    <m/>
    <m/>
    <n v="-7637.4528"/>
    <n v="0"/>
    <n v="0"/>
    <n v="-8097.4618388115514"/>
    <n v="0"/>
    <n v="0"/>
  </r>
  <r>
    <s v="Sistema de Compensação"/>
    <x v="1"/>
    <x v="2"/>
    <x v="5"/>
    <x v="0"/>
    <x v="0"/>
    <x v="0"/>
    <x v="1"/>
    <x v="10"/>
    <n v="2388"/>
    <n v="2292.48"/>
    <n v="0"/>
    <n v="0"/>
    <n v="0"/>
    <n v="0"/>
    <n v="16"/>
    <x v="1"/>
    <n v="0"/>
    <n v="18"/>
    <n v="0"/>
    <n v="0"/>
    <n v="26.17"/>
    <n v="0"/>
    <n v="0"/>
    <n v="27.746237112155811"/>
    <m/>
    <m/>
    <n v="59994.201600000008"/>
    <n v="0"/>
    <n v="0"/>
    <n v="63607.693654874951"/>
    <n v="0"/>
    <n v="0"/>
  </r>
  <r>
    <s v="Sistema de Compensação"/>
    <x v="1"/>
    <x v="2"/>
    <x v="5"/>
    <x v="0"/>
    <x v="0"/>
    <x v="0"/>
    <x v="1"/>
    <x v="10"/>
    <n v="-266"/>
    <n v="-255.35999999999999"/>
    <n v="0"/>
    <n v="0"/>
    <n v="0"/>
    <n v="0"/>
    <n v="-1"/>
    <x v="1"/>
    <n v="0"/>
    <n v="18"/>
    <n v="0"/>
    <n v="0"/>
    <n v="26.17"/>
    <n v="0"/>
    <n v="0"/>
    <n v="27.746237112155811"/>
    <m/>
    <m/>
    <n v="-6682.7712000000001"/>
    <n v="0"/>
    <n v="0"/>
    <n v="-7085.2791089601078"/>
    <n v="0"/>
    <n v="0"/>
  </r>
  <r>
    <s v="Regular"/>
    <x v="1"/>
    <x v="2"/>
    <x v="5"/>
    <x v="0"/>
    <x v="0"/>
    <x v="0"/>
    <x v="1"/>
    <x v="11"/>
    <n v="11142"/>
    <n v="10696.32"/>
    <n v="0"/>
    <n v="0"/>
    <n v="0"/>
    <n v="0"/>
    <n v="107"/>
    <x v="1"/>
    <n v="0"/>
    <n v="18"/>
    <n v="0"/>
    <n v="0"/>
    <n v="26.17"/>
    <n v="0"/>
    <n v="0"/>
    <n v="27.746237112155811"/>
    <m/>
    <m/>
    <n v="279922.69440000004"/>
    <n v="0"/>
    <n v="0"/>
    <n v="296782.63094749441"/>
    <n v="0"/>
    <n v="0"/>
  </r>
  <r>
    <s v="Refaturamento - Regular"/>
    <x v="1"/>
    <x v="2"/>
    <x v="5"/>
    <x v="0"/>
    <x v="0"/>
    <x v="0"/>
    <x v="1"/>
    <x v="11"/>
    <n v="-91"/>
    <n v="-87.36"/>
    <n v="0"/>
    <n v="0"/>
    <n v="0"/>
    <n v="0"/>
    <n v="-1"/>
    <x v="1"/>
    <n v="0"/>
    <n v="18"/>
    <n v="0"/>
    <n v="0"/>
    <n v="26.17"/>
    <n v="0"/>
    <n v="0"/>
    <n v="27.746237112155811"/>
    <m/>
    <m/>
    <n v="-2286.2112000000002"/>
    <n v="0"/>
    <n v="0"/>
    <n v="-2423.9112741179315"/>
    <n v="0"/>
    <n v="0"/>
  </r>
  <r>
    <s v="Sistema de Compensação"/>
    <x v="1"/>
    <x v="2"/>
    <x v="5"/>
    <x v="0"/>
    <x v="0"/>
    <x v="0"/>
    <x v="1"/>
    <x v="11"/>
    <n v="2531"/>
    <n v="2429.7599999999998"/>
    <n v="0"/>
    <n v="0"/>
    <n v="0"/>
    <n v="0"/>
    <n v="16"/>
    <x v="1"/>
    <n v="0"/>
    <n v="18"/>
    <n v="0"/>
    <n v="0"/>
    <n v="26.17"/>
    <n v="0"/>
    <n v="0"/>
    <n v="27.746237112155811"/>
    <m/>
    <m/>
    <n v="63586.819199999998"/>
    <n v="0"/>
    <n v="0"/>
    <n v="67416.697085631691"/>
    <n v="0"/>
    <n v="0"/>
  </r>
  <r>
    <s v="Regular"/>
    <x v="1"/>
    <x v="2"/>
    <x v="5"/>
    <x v="0"/>
    <x v="0"/>
    <x v="0"/>
    <x v="2"/>
    <x v="0"/>
    <n v="0"/>
    <n v="0"/>
    <n v="146.107"/>
    <n v="140.26272"/>
    <n v="146.107"/>
    <n v="140.26272"/>
    <n v="0"/>
    <x v="1"/>
    <n v="0"/>
    <n v="0"/>
    <n v="12"/>
    <n v="66"/>
    <n v="0"/>
    <n v="1124.7"/>
    <n v="185.18"/>
    <m/>
    <n v="1194.906449742829"/>
    <n v="198.13390838089941"/>
    <n v="0"/>
    <n v="157753.481184"/>
    <n v="25973.850489600001"/>
    <n v="0"/>
    <n v="167600.8287864725"/>
    <n v="27790.800913735748"/>
  </r>
  <r>
    <s v="Regular"/>
    <x v="1"/>
    <x v="2"/>
    <x v="5"/>
    <x v="0"/>
    <x v="0"/>
    <x v="0"/>
    <x v="2"/>
    <x v="1"/>
    <n v="0"/>
    <n v="0"/>
    <n v="155.256"/>
    <n v="149.04576"/>
    <n v="155.256"/>
    <n v="149.04576"/>
    <n v="0"/>
    <x v="1"/>
    <n v="0"/>
    <n v="0"/>
    <n v="12"/>
    <n v="66"/>
    <n v="0"/>
    <n v="1124.7"/>
    <n v="185.18"/>
    <m/>
    <n v="1194.906449742829"/>
    <n v="198.13390838089941"/>
    <n v="0"/>
    <n v="167631.76627200001"/>
    <n v="27600.2938368"/>
    <n v="0"/>
    <n v="178095.73993082176"/>
    <n v="29531.018956401524"/>
  </r>
  <r>
    <s v="Sistema de Compensação"/>
    <x v="1"/>
    <x v="2"/>
    <x v="5"/>
    <x v="0"/>
    <x v="0"/>
    <x v="0"/>
    <x v="2"/>
    <x v="1"/>
    <n v="0"/>
    <n v="0"/>
    <n v="3.5670000000000002"/>
    <n v="3.4243200000000003"/>
    <n v="3.5670000000000002"/>
    <n v="3.4243200000000003"/>
    <n v="0"/>
    <x v="1"/>
    <n v="0"/>
    <n v="0"/>
    <n v="12"/>
    <n v="66"/>
    <n v="0"/>
    <n v="1124.7"/>
    <n v="185.18"/>
    <m/>
    <n v="1194.906449742829"/>
    <n v="198.13390838089941"/>
    <n v="0"/>
    <n v="3851.3327040000004"/>
    <n v="634.11557760000005"/>
    <n v="0"/>
    <n v="4091.7420539833643"/>
    <n v="678.47390514688152"/>
  </r>
  <r>
    <s v="Sistema de Compensação"/>
    <x v="1"/>
    <x v="2"/>
    <x v="5"/>
    <x v="0"/>
    <x v="0"/>
    <x v="0"/>
    <x v="2"/>
    <x v="1"/>
    <n v="0"/>
    <n v="0"/>
    <n v="-0.67200000000000004"/>
    <n v="-0.64512000000000003"/>
    <n v="-0.67200000000000004"/>
    <n v="-0.64512000000000003"/>
    <n v="0"/>
    <x v="1"/>
    <n v="0"/>
    <n v="0"/>
    <n v="12"/>
    <n v="66"/>
    <n v="0"/>
    <n v="1124.7"/>
    <n v="185.18"/>
    <m/>
    <n v="1194.906449742829"/>
    <n v="198.13390838089941"/>
    <n v="0"/>
    <n v="-725.56646400000011"/>
    <n v="-119.46332160000001"/>
    <n v="0"/>
    <n v="-770.85804885809387"/>
    <n v="-127.82014697468584"/>
  </r>
  <r>
    <s v="Regular"/>
    <x v="1"/>
    <x v="2"/>
    <x v="5"/>
    <x v="0"/>
    <x v="0"/>
    <x v="0"/>
    <x v="2"/>
    <x v="2"/>
    <n v="0"/>
    <n v="0"/>
    <n v="136.102"/>
    <n v="130.65791999999999"/>
    <n v="136.102"/>
    <n v="130.65791999999999"/>
    <n v="0"/>
    <x v="1"/>
    <n v="0"/>
    <n v="0"/>
    <n v="12"/>
    <n v="66"/>
    <n v="0"/>
    <n v="1124.7"/>
    <n v="185.18"/>
    <m/>
    <n v="1194.906449742829"/>
    <n v="198.13390838089941"/>
    <n v="0"/>
    <n v="146950.96262400001"/>
    <n v="24195.233625599998"/>
    <n v="0"/>
    <n v="156123.99131798255"/>
    <n v="25887.764350518883"/>
  </r>
  <r>
    <s v="Sistema de Compensação"/>
    <x v="1"/>
    <x v="2"/>
    <x v="5"/>
    <x v="0"/>
    <x v="0"/>
    <x v="0"/>
    <x v="2"/>
    <x v="2"/>
    <n v="0"/>
    <n v="0"/>
    <n v="2.2999999999999998"/>
    <n v="2.2079999999999997"/>
    <n v="2.2999999999999998"/>
    <n v="2.2079999999999997"/>
    <n v="0"/>
    <x v="1"/>
    <n v="0"/>
    <n v="0"/>
    <n v="12"/>
    <n v="66"/>
    <n v="0"/>
    <n v="1124.7"/>
    <n v="185.18"/>
    <m/>
    <n v="1194.906449742829"/>
    <n v="198.13390838089941"/>
    <n v="0"/>
    <n v="2483.3375999999998"/>
    <n v="408.87743999999998"/>
    <n v="0"/>
    <n v="2638.3534410321658"/>
    <n v="437.47966970502586"/>
  </r>
  <r>
    <s v="Regular"/>
    <x v="1"/>
    <x v="2"/>
    <x v="5"/>
    <x v="0"/>
    <x v="0"/>
    <x v="0"/>
    <x v="2"/>
    <x v="3"/>
    <n v="0"/>
    <n v="0"/>
    <n v="120.999"/>
    <n v="116.15903999999999"/>
    <n v="120.999"/>
    <n v="116.15903999999999"/>
    <n v="0"/>
    <x v="1"/>
    <n v="0"/>
    <n v="0"/>
    <n v="12"/>
    <n v="66"/>
    <n v="0"/>
    <n v="1124.7"/>
    <n v="185.18"/>
    <m/>
    <n v="1194.906449742829"/>
    <n v="198.13390838089941"/>
    <n v="0"/>
    <n v="130644.072288"/>
    <n v="21510.331027199998"/>
    <n v="0"/>
    <n v="138799.18609193523"/>
    <n v="23015.044588973229"/>
  </r>
  <r>
    <s v="Sistema de Compensação"/>
    <x v="1"/>
    <x v="2"/>
    <x v="5"/>
    <x v="0"/>
    <x v="0"/>
    <x v="0"/>
    <x v="2"/>
    <x v="3"/>
    <n v="0"/>
    <n v="0"/>
    <n v="2.38"/>
    <n v="2.2847999999999997"/>
    <n v="2.38"/>
    <n v="2.2847999999999997"/>
    <n v="0"/>
    <x v="1"/>
    <n v="0"/>
    <n v="0"/>
    <n v="12"/>
    <n v="66"/>
    <n v="0"/>
    <n v="1124.7"/>
    <n v="185.18"/>
    <m/>
    <n v="1194.906449742829"/>
    <n v="198.13390838089941"/>
    <n v="0"/>
    <n v="2569.7145599999999"/>
    <n v="423.09926399999995"/>
    <n v="0"/>
    <n v="2730.1222563724154"/>
    <n v="452.6963538686789"/>
  </r>
  <r>
    <s v="Regular"/>
    <x v="1"/>
    <x v="2"/>
    <x v="5"/>
    <x v="0"/>
    <x v="0"/>
    <x v="0"/>
    <x v="2"/>
    <x v="4"/>
    <n v="0"/>
    <n v="0"/>
    <n v="132.96199999999999"/>
    <n v="127.64351999999998"/>
    <n v="132.96199999999999"/>
    <n v="127.64351999999998"/>
    <n v="0"/>
    <x v="1"/>
    <n v="0"/>
    <n v="0"/>
    <n v="12"/>
    <n v="66"/>
    <n v="0"/>
    <n v="1124.7"/>
    <n v="185.18"/>
    <m/>
    <n v="1194.906449742829"/>
    <n v="198.13390838089941"/>
    <n v="0"/>
    <n v="143560.666944"/>
    <n v="23637.027033599996"/>
    <n v="0"/>
    <n v="152522.06531587776"/>
    <n v="25290.5094970955"/>
  </r>
  <r>
    <s v="Sistema de Compensação"/>
    <x v="1"/>
    <x v="2"/>
    <x v="5"/>
    <x v="0"/>
    <x v="0"/>
    <x v="0"/>
    <x v="2"/>
    <x v="4"/>
    <n v="0"/>
    <n v="0"/>
    <n v="1.77"/>
    <n v="1.6992"/>
    <n v="1.77"/>
    <n v="1.6992"/>
    <n v="0"/>
    <x v="1"/>
    <n v="0"/>
    <n v="0"/>
    <n v="12"/>
    <n v="66"/>
    <n v="0"/>
    <n v="1124.7"/>
    <n v="185.18"/>
    <m/>
    <n v="1194.906449742829"/>
    <n v="198.13390838089941"/>
    <n v="0"/>
    <n v="1911.0902400000002"/>
    <n v="314.65785600000004"/>
    <n v="0"/>
    <n v="2030.3850394030151"/>
    <n v="336.6691371208243"/>
  </r>
  <r>
    <s v="Regular"/>
    <x v="1"/>
    <x v="2"/>
    <x v="5"/>
    <x v="0"/>
    <x v="0"/>
    <x v="0"/>
    <x v="2"/>
    <x v="5"/>
    <n v="0"/>
    <n v="0"/>
    <n v="180.17500000000001"/>
    <n v="172.96800000000002"/>
    <n v="180.17500000000001"/>
    <n v="172.96800000000002"/>
    <n v="0"/>
    <x v="1"/>
    <n v="0"/>
    <n v="0"/>
    <n v="12"/>
    <n v="66"/>
    <n v="0"/>
    <n v="1124.7"/>
    <n v="185.18"/>
    <m/>
    <n v="1194.906449742829"/>
    <n v="198.13390838089941"/>
    <n v="0"/>
    <n v="194537.10960000003"/>
    <n v="32030.214240000005"/>
    <n v="0"/>
    <n v="206680.57879911765"/>
    <n v="34270.825864827413"/>
  </r>
  <r>
    <s v="Regular"/>
    <x v="1"/>
    <x v="2"/>
    <x v="5"/>
    <x v="0"/>
    <x v="0"/>
    <x v="0"/>
    <x v="2"/>
    <x v="6"/>
    <n v="0"/>
    <n v="0"/>
    <n v="152.501"/>
    <n v="146.40096"/>
    <n v="152.501"/>
    <n v="146.40096"/>
    <n v="0"/>
    <x v="1"/>
    <n v="0"/>
    <n v="0"/>
    <n v="12"/>
    <n v="66"/>
    <n v="0"/>
    <n v="1124.7"/>
    <n v="185.18"/>
    <m/>
    <n v="1194.906449742829"/>
    <n v="198.13390838089941"/>
    <n v="0"/>
    <n v="164657.15971199999"/>
    <n v="27110.529772800001"/>
    <n v="0"/>
    <n v="174935.45135254192"/>
    <n v="29006.994395515718"/>
  </r>
  <r>
    <s v="Refaturamento - Regular"/>
    <x v="1"/>
    <x v="2"/>
    <x v="5"/>
    <x v="0"/>
    <x v="0"/>
    <x v="0"/>
    <x v="2"/>
    <x v="6"/>
    <n v="0"/>
    <n v="0"/>
    <n v="-6.407"/>
    <n v="-6.1507199999999997"/>
    <n v="-6.407"/>
    <n v="-6.1507199999999997"/>
    <n v="0"/>
    <x v="1"/>
    <n v="0"/>
    <n v="0"/>
    <n v="12"/>
    <n v="66"/>
    <n v="0"/>
    <n v="1124.7"/>
    <n v="185.18"/>
    <m/>
    <n v="1194.906449742829"/>
    <n v="198.13390838089941"/>
    <n v="0"/>
    <n v="-6917.7147839999998"/>
    <n v="-1138.9903296"/>
    <n v="0"/>
    <n v="-7349.5349985622124"/>
    <n v="-1218.6661929565655"/>
  </r>
  <r>
    <s v="Sistema de Compensação"/>
    <x v="1"/>
    <x v="2"/>
    <x v="5"/>
    <x v="0"/>
    <x v="0"/>
    <x v="0"/>
    <x v="2"/>
    <x v="6"/>
    <n v="0"/>
    <n v="0"/>
    <n v="1.26"/>
    <n v="1.2096"/>
    <n v="1.26"/>
    <n v="1.2096"/>
    <n v="0"/>
    <x v="1"/>
    <n v="0"/>
    <n v="0"/>
    <n v="12"/>
    <n v="66"/>
    <n v="0"/>
    <n v="1124.7"/>
    <n v="185.18"/>
    <m/>
    <n v="1194.906449742829"/>
    <n v="198.13390838089941"/>
    <n v="0"/>
    <n v="1360.43712"/>
    <n v="223.993728"/>
    <n v="0"/>
    <n v="1445.358841608926"/>
    <n v="239.66277557753594"/>
  </r>
  <r>
    <s v="Regular"/>
    <x v="1"/>
    <x v="2"/>
    <x v="5"/>
    <x v="0"/>
    <x v="0"/>
    <x v="0"/>
    <x v="2"/>
    <x v="7"/>
    <n v="0"/>
    <n v="0"/>
    <n v="221.345"/>
    <n v="212.49119999999999"/>
    <n v="221.345"/>
    <n v="212.49119999999999"/>
    <n v="0"/>
    <x v="1"/>
    <n v="0"/>
    <n v="0"/>
    <n v="12"/>
    <n v="66"/>
    <n v="0"/>
    <n v="1124.7"/>
    <n v="185.18"/>
    <m/>
    <n v="1194.906449742829"/>
    <n v="198.13390838089941"/>
    <n v="0"/>
    <n v="238988.85264"/>
    <n v="39349.120415999998"/>
    <n v="0"/>
    <n v="253907.1053935934"/>
    <n v="42101.711952547375"/>
  </r>
  <r>
    <s v="Refaturamento - Regular"/>
    <x v="1"/>
    <x v="2"/>
    <x v="5"/>
    <x v="0"/>
    <x v="0"/>
    <x v="0"/>
    <x v="2"/>
    <x v="7"/>
    <n v="0"/>
    <n v="0"/>
    <n v="-11.286"/>
    <n v="-10.83456"/>
    <n v="-11.286"/>
    <n v="-10.83456"/>
    <n v="0"/>
    <x v="1"/>
    <n v="0"/>
    <n v="0"/>
    <n v="12"/>
    <n v="66"/>
    <n v="0"/>
    <n v="1124.7"/>
    <n v="185.18"/>
    <m/>
    <n v="1194.906449742829"/>
    <n v="198.13390838089941"/>
    <n v="0"/>
    <n v="-12185.629632"/>
    <n v="-2006.3438208"/>
    <n v="0"/>
    <n v="-12946.285624125665"/>
    <n v="-2146.6937183873574"/>
  </r>
  <r>
    <s v="Sistema de Compensação"/>
    <x v="1"/>
    <x v="2"/>
    <x v="5"/>
    <x v="0"/>
    <x v="0"/>
    <x v="0"/>
    <x v="2"/>
    <x v="7"/>
    <n v="0"/>
    <n v="0"/>
    <n v="3.6779999999999999"/>
    <n v="3.5308799999999998"/>
    <n v="3.6779999999999999"/>
    <n v="3.5308799999999998"/>
    <n v="0"/>
    <x v="1"/>
    <n v="0"/>
    <n v="0"/>
    <n v="12"/>
    <n v="66"/>
    <n v="0"/>
    <n v="1124.7"/>
    <n v="185.18"/>
    <m/>
    <n v="1194.906449742829"/>
    <n v="198.13390838089941"/>
    <n v="0"/>
    <n v="3971.1807359999998"/>
    <n v="653.84835839999994"/>
    <n v="0"/>
    <n v="4219.0712852679599"/>
    <n v="699.58705442395012"/>
  </r>
  <r>
    <s v="Regular"/>
    <x v="1"/>
    <x v="2"/>
    <x v="5"/>
    <x v="0"/>
    <x v="0"/>
    <x v="0"/>
    <x v="2"/>
    <x v="8"/>
    <n v="0"/>
    <n v="0"/>
    <n v="175.97300000000001"/>
    <n v="168.93407999999999"/>
    <n v="175.97300000000001"/>
    <n v="168.93407999999999"/>
    <n v="0"/>
    <x v="1"/>
    <n v="0"/>
    <n v="0"/>
    <n v="12"/>
    <n v="66"/>
    <n v="0"/>
    <n v="1124.7"/>
    <n v="185.18"/>
    <m/>
    <n v="1194.906449742829"/>
    <n v="198.13390838089941"/>
    <n v="0"/>
    <n v="190000.15977600001"/>
    <n v="31283.212934399999"/>
    <n v="0"/>
    <n v="201860.42177337105"/>
    <n v="33471.569529131528"/>
  </r>
  <r>
    <s v="Refaturamento - Regular"/>
    <x v="1"/>
    <x v="2"/>
    <x v="5"/>
    <x v="0"/>
    <x v="0"/>
    <x v="0"/>
    <x v="2"/>
    <x v="8"/>
    <n v="0"/>
    <n v="0"/>
    <n v="-5.3170000000000002"/>
    <n v="-5.1043200000000004"/>
    <n v="-5.3170000000000002"/>
    <n v="-5.1043200000000004"/>
    <n v="0"/>
    <x v="1"/>
    <n v="0"/>
    <n v="0"/>
    <n v="12"/>
    <n v="66"/>
    <n v="0"/>
    <n v="1124.7"/>
    <n v="185.18"/>
    <m/>
    <n v="1194.906449742829"/>
    <n v="198.13390838089941"/>
    <n v="0"/>
    <n v="-5740.8287040000005"/>
    <n v="-945.21797760000015"/>
    <n v="0"/>
    <n v="-6099.1848895513176"/>
    <n v="-1011.3388712267925"/>
  </r>
  <r>
    <s v="Sistema de Compensação"/>
    <x v="1"/>
    <x v="2"/>
    <x v="5"/>
    <x v="0"/>
    <x v="0"/>
    <x v="0"/>
    <x v="2"/>
    <x v="8"/>
    <n v="0"/>
    <n v="0"/>
    <n v="13.201000000000001"/>
    <n v="12.67296"/>
    <n v="13.201000000000001"/>
    <n v="12.67296"/>
    <n v="0"/>
    <x v="1"/>
    <n v="0"/>
    <n v="0"/>
    <n v="12"/>
    <n v="66"/>
    <n v="0"/>
    <n v="1124.7"/>
    <n v="185.18"/>
    <m/>
    <n v="1194.906449742829"/>
    <n v="198.13390838089941"/>
    <n v="0"/>
    <n v="14253.278112"/>
    <n v="2346.7787327999999"/>
    <n v="0"/>
    <n v="15143.001641332881"/>
    <n v="2510.9430955548028"/>
  </r>
  <r>
    <s v="Regular"/>
    <x v="1"/>
    <x v="2"/>
    <x v="5"/>
    <x v="0"/>
    <x v="0"/>
    <x v="0"/>
    <x v="2"/>
    <x v="9"/>
    <n v="0"/>
    <n v="0"/>
    <n v="176.60400000000001"/>
    <n v="169.53984"/>
    <n v="176.60400000000001"/>
    <n v="169.53984"/>
    <n v="0"/>
    <x v="1"/>
    <n v="0"/>
    <n v="0"/>
    <n v="12"/>
    <n v="66"/>
    <n v="0"/>
    <n v="1124.7"/>
    <n v="185.18"/>
    <m/>
    <n v="1194.906449742829"/>
    <n v="198.13390838089941"/>
    <n v="0"/>
    <n v="190681.458048"/>
    <n v="31395.387571200001"/>
    <n v="0"/>
    <n v="202584.24830436727"/>
    <n v="33591.591125472347"/>
  </r>
  <r>
    <s v="Sistema de Compensação"/>
    <x v="1"/>
    <x v="2"/>
    <x v="5"/>
    <x v="0"/>
    <x v="0"/>
    <x v="0"/>
    <x v="2"/>
    <x v="9"/>
    <n v="0"/>
    <n v="0"/>
    <n v="11.069000000000001"/>
    <n v="10.626240000000001"/>
    <n v="11.069000000000001"/>
    <n v="10.626240000000001"/>
    <n v="0"/>
    <x v="1"/>
    <n v="0"/>
    <n v="0"/>
    <n v="12"/>
    <n v="66"/>
    <n v="0"/>
    <n v="1124.7"/>
    <n v="185.18"/>
    <m/>
    <n v="1194.906449742829"/>
    <n v="198.13390838089941"/>
    <n v="0"/>
    <n v="11951.332128000002"/>
    <n v="1967.7671232000002"/>
    <n v="0"/>
    <n v="12697.36271251524"/>
    <n v="2105.4184625934486"/>
  </r>
  <r>
    <s v="Regular"/>
    <x v="1"/>
    <x v="2"/>
    <x v="5"/>
    <x v="0"/>
    <x v="0"/>
    <x v="0"/>
    <x v="2"/>
    <x v="10"/>
    <n v="0"/>
    <n v="0"/>
    <n v="168.136"/>
    <n v="161.41056"/>
    <n v="168.136"/>
    <n v="161.41056"/>
    <n v="0"/>
    <x v="1"/>
    <n v="0"/>
    <n v="0"/>
    <n v="12"/>
    <n v="66"/>
    <n v="0"/>
    <n v="1124.7"/>
    <n v="185.18"/>
    <m/>
    <n v="1194.906449742829"/>
    <n v="198.13390838089941"/>
    <n v="0"/>
    <n v="181538.45683200003"/>
    <n v="29890.007500800002"/>
    <n v="0"/>
    <n v="192870.51920060188"/>
    <n v="31980.905106749669"/>
  </r>
  <r>
    <s v="Refaturamento - Regular"/>
    <x v="1"/>
    <x v="2"/>
    <x v="5"/>
    <x v="0"/>
    <x v="0"/>
    <x v="0"/>
    <x v="2"/>
    <x v="10"/>
    <n v="0"/>
    <n v="0"/>
    <n v="-3.754"/>
    <n v="-3.6038399999999999"/>
    <n v="-3.754"/>
    <n v="-3.6038399999999999"/>
    <n v="0"/>
    <x v="1"/>
    <n v="0"/>
    <n v="0"/>
    <n v="12"/>
    <n v="66"/>
    <n v="0"/>
    <n v="1124.7"/>
    <n v="185.18"/>
    <m/>
    <n v="1194.906449742829"/>
    <n v="198.13390838089941"/>
    <n v="0"/>
    <n v="-4053.238848"/>
    <n v="-667.35909119999997"/>
    <n v="0"/>
    <n v="-4306.2516598411967"/>
    <n v="-714.04290437942052"/>
  </r>
  <r>
    <s v="Sistema de Compensação"/>
    <x v="1"/>
    <x v="2"/>
    <x v="5"/>
    <x v="0"/>
    <x v="0"/>
    <x v="0"/>
    <x v="2"/>
    <x v="10"/>
    <n v="0"/>
    <n v="0"/>
    <n v="14.712"/>
    <n v="14.123519999999999"/>
    <n v="14.712"/>
    <n v="14.123519999999999"/>
    <n v="0"/>
    <x v="1"/>
    <n v="0"/>
    <n v="0"/>
    <n v="12"/>
    <n v="66"/>
    <n v="0"/>
    <n v="1124.7"/>
    <n v="185.18"/>
    <m/>
    <n v="1194.906449742829"/>
    <n v="198.13390838089941"/>
    <n v="0"/>
    <n v="15884.722943999999"/>
    <n v="2615.3934335999998"/>
    <n v="0"/>
    <n v="16876.285141071839"/>
    <n v="2798.3482176958005"/>
  </r>
  <r>
    <s v="Sistema de Compensação"/>
    <x v="1"/>
    <x v="2"/>
    <x v="5"/>
    <x v="0"/>
    <x v="0"/>
    <x v="0"/>
    <x v="2"/>
    <x v="10"/>
    <n v="0"/>
    <n v="0"/>
    <n v="-1.67"/>
    <n v="-1.6032"/>
    <n v="-1.67"/>
    <n v="-1.6032"/>
    <n v="0"/>
    <x v="1"/>
    <n v="0"/>
    <n v="0"/>
    <n v="12"/>
    <n v="66"/>
    <n v="0"/>
    <n v="1124.7"/>
    <n v="185.18"/>
    <m/>
    <n v="1194.906449742829"/>
    <n v="198.13390838089941"/>
    <n v="0"/>
    <n v="-1803.11904"/>
    <n v="-296.88057600000002"/>
    <n v="0"/>
    <n v="-1915.6740202277033"/>
    <n v="-317.64828191625793"/>
  </r>
  <r>
    <s v="Regular"/>
    <x v="1"/>
    <x v="2"/>
    <x v="5"/>
    <x v="0"/>
    <x v="0"/>
    <x v="0"/>
    <x v="2"/>
    <x v="11"/>
    <n v="0"/>
    <n v="0"/>
    <n v="177.12200000000001"/>
    <n v="170.03712000000002"/>
    <n v="177.12200000000001"/>
    <n v="170.03712000000002"/>
    <n v="0"/>
    <x v="1"/>
    <n v="0"/>
    <n v="0"/>
    <n v="12"/>
    <n v="66"/>
    <n v="0"/>
    <n v="1124.7"/>
    <n v="185.18"/>
    <m/>
    <n v="1194.906449742829"/>
    <n v="198.13390838089941"/>
    <n v="0"/>
    <n v="191240.74886400002"/>
    <n v="31487.473881600003"/>
    <n v="0"/>
    <n v="203178.45138369538"/>
    <n v="33690.119155432003"/>
  </r>
  <r>
    <s v="Refaturamento - Regular"/>
    <x v="1"/>
    <x v="2"/>
    <x v="5"/>
    <x v="0"/>
    <x v="0"/>
    <x v="0"/>
    <x v="2"/>
    <x v="11"/>
    <n v="0"/>
    <n v="0"/>
    <n v="-1.8089999999999999"/>
    <n v="-1.73664"/>
    <n v="-1.8089999999999999"/>
    <n v="-1.73664"/>
    <n v="0"/>
    <x v="1"/>
    <n v="0"/>
    <n v="0"/>
    <n v="12"/>
    <n v="66"/>
    <n v="0"/>
    <n v="1124.7"/>
    <n v="185.18"/>
    <m/>
    <n v="1194.906449742829"/>
    <n v="198.13390838089941"/>
    <n v="0"/>
    <n v="-1953.199008"/>
    <n v="-321.59099520000001"/>
    <n v="0"/>
    <n v="-2075.1223368813862"/>
    <n v="-344.08727065060515"/>
  </r>
  <r>
    <s v="Sistema de Compensação"/>
    <x v="1"/>
    <x v="2"/>
    <x v="5"/>
    <x v="0"/>
    <x v="0"/>
    <x v="0"/>
    <x v="2"/>
    <x v="11"/>
    <n v="0"/>
    <n v="0"/>
    <n v="25.818999999999999"/>
    <n v="24.786239999999999"/>
    <n v="25.818999999999999"/>
    <n v="24.786239999999999"/>
    <n v="0"/>
    <x v="1"/>
    <n v="0"/>
    <n v="0"/>
    <n v="12"/>
    <n v="66"/>
    <n v="0"/>
    <n v="1124.7"/>
    <n v="185.18"/>
    <m/>
    <n v="1194.906449742829"/>
    <n v="198.13390838089941"/>
    <n v="0"/>
    <n v="27877.084128000002"/>
    <n v="4589.9159232000002"/>
    <n v="0"/>
    <n v="29617.238040873697"/>
    <n v="4910.9946052669839"/>
  </r>
  <r>
    <s v="Regular"/>
    <x v="1"/>
    <x v="2"/>
    <x v="6"/>
    <x v="2"/>
    <x v="0"/>
    <x v="0"/>
    <x v="0"/>
    <x v="0"/>
    <n v="0"/>
    <n v="0"/>
    <n v="80.804000000000002"/>
    <n v="75.955759999999998"/>
    <n v="80.804000000000002"/>
    <n v="75.955759999999998"/>
    <n v="0"/>
    <x v="1"/>
    <n v="0"/>
    <n v="0"/>
    <n v="25"/>
    <n v="59"/>
    <n v="0"/>
    <n v="69.489999999999995"/>
    <n v="185.18"/>
    <m/>
    <n v="92.397536067834494"/>
    <n v="198.13390838089941"/>
    <n v="0"/>
    <n v="5278.165762399999"/>
    <n v="14065.4876368"/>
    <n v="0"/>
    <n v="7018.1250741597805"/>
    <n v="15049.411592841583"/>
  </r>
  <r>
    <s v="Refaturamento - Regular"/>
    <x v="1"/>
    <x v="2"/>
    <x v="6"/>
    <x v="2"/>
    <x v="0"/>
    <x v="0"/>
    <x v="0"/>
    <x v="0"/>
    <n v="0"/>
    <n v="0"/>
    <n v="-28.206"/>
    <n v="-26.513639999999999"/>
    <n v="-28.206"/>
    <n v="-26.513639999999999"/>
    <n v="0"/>
    <x v="1"/>
    <n v="0"/>
    <n v="0"/>
    <n v="25"/>
    <n v="59"/>
    <n v="0"/>
    <n v="69.489999999999995"/>
    <n v="185.18"/>
    <m/>
    <n v="92.397536067834494"/>
    <n v="198.13390838089941"/>
    <n v="0"/>
    <n v="-1842.4328435999998"/>
    <n v="-4909.7958552"/>
    <n v="0"/>
    <n v="-2449.7950081895792"/>
    <n v="-5253.2511186041493"/>
  </r>
  <r>
    <s v="Regular"/>
    <x v="1"/>
    <x v="2"/>
    <x v="6"/>
    <x v="2"/>
    <x v="0"/>
    <x v="0"/>
    <x v="0"/>
    <x v="1"/>
    <n v="0"/>
    <n v="0"/>
    <n v="59.392000000000003"/>
    <n v="55.828479999999999"/>
    <n v="59.392000000000003"/>
    <n v="55.828479999999999"/>
    <n v="0"/>
    <x v="1"/>
    <n v="0"/>
    <n v="0"/>
    <n v="25"/>
    <n v="59"/>
    <n v="0"/>
    <n v="69.489999999999995"/>
    <n v="185.18"/>
    <m/>
    <n v="92.397536067834494"/>
    <n v="198.13390838089941"/>
    <n v="0"/>
    <n v="3879.5210751999998"/>
    <n v="10338.317926400001"/>
    <n v="0"/>
    <n v="5158.4139944123763"/>
    <n v="11061.514941364874"/>
  </r>
  <r>
    <s v="Regular"/>
    <x v="1"/>
    <x v="2"/>
    <x v="6"/>
    <x v="2"/>
    <x v="0"/>
    <x v="0"/>
    <x v="0"/>
    <x v="2"/>
    <n v="0"/>
    <n v="0"/>
    <n v="66.370999999999995"/>
    <n v="62.388739999999991"/>
    <n v="66.370999999999995"/>
    <n v="62.388739999999991"/>
    <n v="0"/>
    <x v="1"/>
    <n v="0"/>
    <n v="0"/>
    <n v="25"/>
    <n v="59"/>
    <n v="0"/>
    <n v="69.489999999999995"/>
    <n v="185.18"/>
    <m/>
    <n v="92.397536067834494"/>
    <n v="198.13390838089941"/>
    <n v="0"/>
    <n v="4335.3935425999989"/>
    <n v="11553.146873199999"/>
    <n v="0"/>
    <n v="5764.5658543767477"/>
    <n v="12361.324895159752"/>
  </r>
  <r>
    <s v="Regular"/>
    <x v="1"/>
    <x v="2"/>
    <x v="6"/>
    <x v="2"/>
    <x v="0"/>
    <x v="0"/>
    <x v="0"/>
    <x v="3"/>
    <n v="0"/>
    <n v="0"/>
    <n v="66.837999999999994"/>
    <n v="62.827719999999992"/>
    <n v="66.837999999999994"/>
    <n v="62.827719999999992"/>
    <n v="0"/>
    <x v="1"/>
    <n v="0"/>
    <n v="0"/>
    <n v="25"/>
    <n v="59"/>
    <n v="0"/>
    <n v="69.489999999999995"/>
    <n v="185.18"/>
    <m/>
    <n v="92.397536067834494"/>
    <n v="198.13390838089941"/>
    <n v="0"/>
    <n v="4365.8982627999994"/>
    <n v="11634.437189599999"/>
    <n v="0"/>
    <n v="5805.1265247598058"/>
    <n v="12448.3017182608"/>
  </r>
  <r>
    <s v="Regular"/>
    <x v="1"/>
    <x v="2"/>
    <x v="6"/>
    <x v="2"/>
    <x v="0"/>
    <x v="0"/>
    <x v="0"/>
    <x v="4"/>
    <n v="0"/>
    <n v="0"/>
    <n v="70.613"/>
    <n v="66.376219999999989"/>
    <n v="70.613"/>
    <n v="66.376219999999989"/>
    <n v="0"/>
    <x v="1"/>
    <n v="0"/>
    <n v="0"/>
    <n v="25"/>
    <n v="59"/>
    <n v="0"/>
    <n v="69.489999999999995"/>
    <n v="185.18"/>
    <m/>
    <n v="92.397536067834494"/>
    <n v="198.13390838089941"/>
    <n v="0"/>
    <n v="4612.4835277999991"/>
    <n v="12291.548419599998"/>
    <n v="0"/>
    <n v="6132.999181496516"/>
    <n v="13151.37989215042"/>
  </r>
  <r>
    <s v="Regular"/>
    <x v="1"/>
    <x v="2"/>
    <x v="6"/>
    <x v="2"/>
    <x v="0"/>
    <x v="0"/>
    <x v="0"/>
    <x v="5"/>
    <n v="0"/>
    <n v="0"/>
    <n v="64.915000000000006"/>
    <n v="61.020099999999999"/>
    <n v="64.915000000000006"/>
    <n v="61.020099999999999"/>
    <n v="0"/>
    <x v="1"/>
    <n v="0"/>
    <n v="0"/>
    <n v="25"/>
    <n v="59"/>
    <n v="0"/>
    <n v="69.489999999999995"/>
    <n v="185.18"/>
    <m/>
    <n v="92.397536067834494"/>
    <n v="198.13390838089941"/>
    <n v="0"/>
    <n v="4240.2867489999999"/>
    <n v="11299.702118000001"/>
    <n v="0"/>
    <n v="5638.1068906128676"/>
    <n v="12090.150902793321"/>
  </r>
  <r>
    <s v="Regular"/>
    <x v="1"/>
    <x v="2"/>
    <x v="6"/>
    <x v="2"/>
    <x v="0"/>
    <x v="0"/>
    <x v="0"/>
    <x v="6"/>
    <n v="0"/>
    <n v="0"/>
    <n v="72.984999999999999"/>
    <n v="68.605899999999991"/>
    <n v="72.984999999999999"/>
    <n v="68.605899999999991"/>
    <n v="0"/>
    <x v="1"/>
    <n v="0"/>
    <n v="0"/>
    <n v="25"/>
    <n v="59"/>
    <n v="0"/>
    <n v="69.489999999999995"/>
    <n v="185.18"/>
    <m/>
    <n v="92.397536067834494"/>
    <n v="198.13390838089941"/>
    <n v="0"/>
    <n v="4767.4239909999988"/>
    <n v="12704.440561999998"/>
    <n v="0"/>
    <n v="6339.0161197162461"/>
    <n v="13593.155104989146"/>
  </r>
  <r>
    <s v="Regular"/>
    <x v="1"/>
    <x v="2"/>
    <x v="6"/>
    <x v="2"/>
    <x v="0"/>
    <x v="0"/>
    <x v="0"/>
    <x v="7"/>
    <n v="0"/>
    <n v="0"/>
    <n v="64.531999999999996"/>
    <n v="60.660079999999994"/>
    <n v="64.531999999999996"/>
    <n v="60.660079999999994"/>
    <n v="0"/>
    <x v="1"/>
    <n v="0"/>
    <n v="0"/>
    <n v="25"/>
    <n v="59"/>
    <n v="0"/>
    <n v="69.489999999999995"/>
    <n v="185.18"/>
    <m/>
    <n v="92.397536067834494"/>
    <n v="198.13390838089941"/>
    <n v="0"/>
    <n v="4215.2689591999988"/>
    <n v="11233.033614399999"/>
    <n v="0"/>
    <n v="5604.8419296777256"/>
    <n v="12018.818733098027"/>
  </r>
  <r>
    <s v="Regular"/>
    <x v="1"/>
    <x v="2"/>
    <x v="6"/>
    <x v="2"/>
    <x v="0"/>
    <x v="0"/>
    <x v="0"/>
    <x v="8"/>
    <n v="0"/>
    <n v="0"/>
    <n v="54.575000000000003"/>
    <n v="51.3005"/>
    <n v="54.575000000000003"/>
    <n v="51.3005"/>
    <n v="0"/>
    <x v="1"/>
    <n v="0"/>
    <n v="0"/>
    <n v="25"/>
    <n v="59"/>
    <n v="0"/>
    <n v="69.489999999999995"/>
    <n v="185.18"/>
    <m/>
    <n v="92.397536067834494"/>
    <n v="198.13390838089941"/>
    <n v="0"/>
    <n v="3564.8717449999999"/>
    <n v="9499.8265900000006"/>
    <n v="0"/>
    <n v="4740.0397990479432"/>
    <n v="10164.368566894331"/>
  </r>
  <r>
    <s v="Regular"/>
    <x v="1"/>
    <x v="2"/>
    <x v="6"/>
    <x v="2"/>
    <x v="0"/>
    <x v="0"/>
    <x v="0"/>
    <x v="9"/>
    <n v="0"/>
    <n v="0"/>
    <n v="62.256"/>
    <n v="58.52064"/>
    <n v="62.256"/>
    <n v="58.52064"/>
    <n v="0"/>
    <x v="1"/>
    <n v="0"/>
    <n v="0"/>
    <n v="25"/>
    <n v="59"/>
    <n v="0"/>
    <n v="69.489999999999995"/>
    <n v="185.18"/>
    <m/>
    <n v="92.397536067834494"/>
    <n v="198.13390838089941"/>
    <n v="0"/>
    <n v="4066.5992735999998"/>
    <n v="10836.852115200001"/>
    <n v="0"/>
    <n v="5407.1629451127583"/>
    <n v="11594.923124151597"/>
  </r>
  <r>
    <s v="Regular"/>
    <x v="1"/>
    <x v="2"/>
    <x v="6"/>
    <x v="2"/>
    <x v="0"/>
    <x v="0"/>
    <x v="0"/>
    <x v="10"/>
    <n v="0"/>
    <n v="0"/>
    <n v="57.121000000000002"/>
    <n v="53.693739999999998"/>
    <n v="57.121000000000002"/>
    <n v="53.693739999999998"/>
    <n v="0"/>
    <x v="1"/>
    <n v="0"/>
    <n v="0"/>
    <n v="25"/>
    <n v="59"/>
    <n v="0"/>
    <n v="69.489999999999995"/>
    <n v="185.18"/>
    <m/>
    <n v="92.397536067834494"/>
    <n v="198.13390838089941"/>
    <n v="0"/>
    <n v="3731.1779925999995"/>
    <n v="9943.0067732000007"/>
    <n v="0"/>
    <n v="4961.1692782669279"/>
    <n v="10638.550561787833"/>
  </r>
  <r>
    <s v="Regular"/>
    <x v="1"/>
    <x v="2"/>
    <x v="6"/>
    <x v="2"/>
    <x v="0"/>
    <x v="0"/>
    <x v="0"/>
    <x v="11"/>
    <n v="0"/>
    <n v="0"/>
    <n v="62.706000000000003"/>
    <n v="58.943640000000002"/>
    <n v="62.706000000000003"/>
    <n v="58.943640000000002"/>
    <n v="0"/>
    <x v="1"/>
    <n v="0"/>
    <n v="0"/>
    <n v="25"/>
    <n v="59"/>
    <n v="0"/>
    <n v="69.489999999999995"/>
    <n v="185.18"/>
    <m/>
    <n v="92.397536067834494"/>
    <n v="198.13390838089941"/>
    <n v="0"/>
    <n v="4095.9935436000001"/>
    <n v="10915.183255200001"/>
    <n v="0"/>
    <n v="5446.2471028694517"/>
    <n v="11678.733767396718"/>
  </r>
  <r>
    <s v="Regular"/>
    <x v="1"/>
    <x v="2"/>
    <x v="6"/>
    <x v="2"/>
    <x v="0"/>
    <x v="0"/>
    <x v="1"/>
    <x v="0"/>
    <n v="494"/>
    <n v="419.9"/>
    <n v="0"/>
    <n v="0"/>
    <n v="0"/>
    <n v="0"/>
    <n v="3"/>
    <x v="1"/>
    <n v="0"/>
    <n v="18"/>
    <n v="0"/>
    <n v="0"/>
    <n v="26.17"/>
    <n v="0"/>
    <n v="0"/>
    <n v="27.746237112155811"/>
    <m/>
    <m/>
    <n v="10988.782999999999"/>
    <n v="0"/>
    <n v="0"/>
    <n v="11650.644963394225"/>
    <n v="0"/>
    <n v="0"/>
  </r>
  <r>
    <s v="Refaturamento - Regular"/>
    <x v="1"/>
    <x v="2"/>
    <x v="6"/>
    <x v="2"/>
    <x v="0"/>
    <x v="0"/>
    <x v="1"/>
    <x v="0"/>
    <n v="-190"/>
    <n v="-161.5"/>
    <n v="0"/>
    <n v="0"/>
    <n v="0"/>
    <n v="0"/>
    <n v="0"/>
    <x v="1"/>
    <n v="0"/>
    <n v="18"/>
    <n v="0"/>
    <n v="0"/>
    <n v="26.17"/>
    <n v="0"/>
    <n v="0"/>
    <n v="27.746237112155811"/>
    <m/>
    <m/>
    <n v="-4226.4549999999999"/>
    <n v="0"/>
    <n v="0"/>
    <n v="-4481.017293613163"/>
    <n v="0"/>
    <n v="0"/>
  </r>
  <r>
    <s v="Regular"/>
    <x v="1"/>
    <x v="2"/>
    <x v="6"/>
    <x v="2"/>
    <x v="0"/>
    <x v="0"/>
    <x v="1"/>
    <x v="1"/>
    <n v="307"/>
    <n v="260.95"/>
    <n v="0"/>
    <n v="0"/>
    <n v="0"/>
    <n v="0"/>
    <n v="3"/>
    <x v="1"/>
    <n v="0"/>
    <n v="18"/>
    <n v="0"/>
    <n v="0"/>
    <n v="26.17"/>
    <n v="0"/>
    <n v="0"/>
    <n v="27.746237112155811"/>
    <m/>
    <m/>
    <n v="6829.0614999999998"/>
    <n v="0"/>
    <n v="0"/>
    <n v="7240.3805744170586"/>
    <n v="0"/>
    <n v="0"/>
  </r>
  <r>
    <s v="Regular"/>
    <x v="1"/>
    <x v="2"/>
    <x v="6"/>
    <x v="2"/>
    <x v="0"/>
    <x v="0"/>
    <x v="1"/>
    <x v="2"/>
    <n v="320"/>
    <n v="272"/>
    <n v="0"/>
    <n v="0"/>
    <n v="0"/>
    <n v="0"/>
    <n v="3"/>
    <x v="1"/>
    <n v="0"/>
    <n v="18"/>
    <n v="0"/>
    <n v="0"/>
    <n v="26.17"/>
    <n v="0"/>
    <n v="0"/>
    <n v="27.746237112155811"/>
    <m/>
    <m/>
    <n v="7118.2400000000007"/>
    <n v="0"/>
    <n v="0"/>
    <n v="7546.9764945063807"/>
    <n v="0"/>
    <n v="0"/>
  </r>
  <r>
    <s v="Regular"/>
    <x v="1"/>
    <x v="2"/>
    <x v="6"/>
    <x v="2"/>
    <x v="0"/>
    <x v="0"/>
    <x v="1"/>
    <x v="3"/>
    <n v="316"/>
    <n v="268.59999999999997"/>
    <n v="0"/>
    <n v="0"/>
    <n v="0"/>
    <n v="0"/>
    <n v="3"/>
    <x v="1"/>
    <n v="0"/>
    <n v="18"/>
    <n v="0"/>
    <n v="0"/>
    <n v="26.17"/>
    <n v="0"/>
    <n v="0"/>
    <n v="27.746237112155811"/>
    <m/>
    <m/>
    <n v="7029.2619999999997"/>
    <n v="0"/>
    <n v="0"/>
    <n v="7452.6392883250501"/>
    <n v="0"/>
    <n v="0"/>
  </r>
  <r>
    <s v="Regular"/>
    <x v="1"/>
    <x v="2"/>
    <x v="6"/>
    <x v="2"/>
    <x v="0"/>
    <x v="0"/>
    <x v="1"/>
    <x v="4"/>
    <n v="319"/>
    <n v="271.14999999999998"/>
    <n v="0"/>
    <n v="0"/>
    <n v="0"/>
    <n v="0"/>
    <n v="3"/>
    <x v="1"/>
    <n v="0"/>
    <n v="18"/>
    <n v="0"/>
    <n v="0"/>
    <n v="26.17"/>
    <n v="0"/>
    <n v="0"/>
    <n v="27.746237112155811"/>
    <m/>
    <m/>
    <n v="7095.9955"/>
    <n v="0"/>
    <n v="0"/>
    <n v="7523.3921929610478"/>
    <n v="0"/>
    <n v="0"/>
  </r>
  <r>
    <s v="Regular"/>
    <x v="1"/>
    <x v="2"/>
    <x v="6"/>
    <x v="2"/>
    <x v="0"/>
    <x v="0"/>
    <x v="1"/>
    <x v="5"/>
    <n v="312"/>
    <n v="265.2"/>
    <n v="0"/>
    <n v="0"/>
    <n v="0"/>
    <n v="0"/>
    <n v="3"/>
    <x v="1"/>
    <n v="0"/>
    <n v="18"/>
    <n v="0"/>
    <n v="0"/>
    <n v="26.17"/>
    <n v="0"/>
    <n v="0"/>
    <n v="27.746237112155811"/>
    <m/>
    <m/>
    <n v="6940.2840000000006"/>
    <n v="0"/>
    <n v="0"/>
    <n v="7358.3020821437203"/>
    <n v="0"/>
    <n v="0"/>
  </r>
  <r>
    <s v="Regular"/>
    <x v="1"/>
    <x v="2"/>
    <x v="6"/>
    <x v="2"/>
    <x v="0"/>
    <x v="0"/>
    <x v="1"/>
    <x v="6"/>
    <n v="305"/>
    <n v="259.25"/>
    <n v="0"/>
    <n v="0"/>
    <n v="0"/>
    <n v="0"/>
    <n v="3"/>
    <x v="1"/>
    <n v="0"/>
    <n v="18"/>
    <n v="0"/>
    <n v="0"/>
    <n v="26.17"/>
    <n v="0"/>
    <n v="0"/>
    <n v="27.746237112155811"/>
    <m/>
    <m/>
    <n v="6784.5725000000002"/>
    <n v="0"/>
    <n v="0"/>
    <n v="7193.2119713263937"/>
    <n v="0"/>
    <n v="0"/>
  </r>
  <r>
    <s v="Regular"/>
    <x v="1"/>
    <x v="2"/>
    <x v="6"/>
    <x v="2"/>
    <x v="0"/>
    <x v="0"/>
    <x v="1"/>
    <x v="7"/>
    <n v="314"/>
    <n v="266.89999999999998"/>
    <n v="0"/>
    <n v="0"/>
    <n v="0"/>
    <n v="0"/>
    <n v="3"/>
    <x v="1"/>
    <n v="0"/>
    <n v="18"/>
    <n v="0"/>
    <n v="0"/>
    <n v="26.17"/>
    <n v="0"/>
    <n v="0"/>
    <n v="27.746237112155811"/>
    <m/>
    <m/>
    <n v="6984.7730000000001"/>
    <n v="0"/>
    <n v="0"/>
    <n v="7405.4706852343852"/>
    <n v="0"/>
    <n v="0"/>
  </r>
  <r>
    <s v="Regular"/>
    <x v="1"/>
    <x v="2"/>
    <x v="6"/>
    <x v="2"/>
    <x v="0"/>
    <x v="0"/>
    <x v="1"/>
    <x v="8"/>
    <n v="311"/>
    <n v="264.34999999999997"/>
    <n v="0"/>
    <n v="0"/>
    <n v="0"/>
    <n v="0"/>
    <n v="3"/>
    <x v="1"/>
    <n v="0"/>
    <n v="18"/>
    <n v="0"/>
    <n v="0"/>
    <n v="26.17"/>
    <n v="0"/>
    <n v="0"/>
    <n v="27.746237112155811"/>
    <m/>
    <m/>
    <n v="6918.0394999999999"/>
    <n v="0"/>
    <n v="0"/>
    <n v="7334.7177805983874"/>
    <n v="0"/>
    <n v="0"/>
  </r>
  <r>
    <s v="Regular"/>
    <x v="1"/>
    <x v="2"/>
    <x v="6"/>
    <x v="2"/>
    <x v="0"/>
    <x v="0"/>
    <x v="1"/>
    <x v="9"/>
    <n v="315"/>
    <n v="267.75"/>
    <n v="0"/>
    <n v="0"/>
    <n v="0"/>
    <n v="0"/>
    <n v="3"/>
    <x v="1"/>
    <n v="0"/>
    <n v="18"/>
    <n v="0"/>
    <n v="0"/>
    <n v="26.17"/>
    <n v="0"/>
    <n v="0"/>
    <n v="27.746237112155811"/>
    <m/>
    <m/>
    <n v="7007.0175000000008"/>
    <n v="0"/>
    <n v="0"/>
    <n v="7429.0549867797181"/>
    <n v="0"/>
    <n v="0"/>
  </r>
  <r>
    <s v="Regular"/>
    <x v="1"/>
    <x v="2"/>
    <x v="6"/>
    <x v="2"/>
    <x v="0"/>
    <x v="0"/>
    <x v="1"/>
    <x v="10"/>
    <n v="319"/>
    <n v="271.14999999999998"/>
    <n v="0"/>
    <n v="0"/>
    <n v="0"/>
    <n v="0"/>
    <n v="3"/>
    <x v="1"/>
    <n v="0"/>
    <n v="18"/>
    <n v="0"/>
    <n v="0"/>
    <n v="26.17"/>
    <n v="0"/>
    <n v="0"/>
    <n v="27.746237112155811"/>
    <m/>
    <m/>
    <n v="7095.9955"/>
    <n v="0"/>
    <n v="0"/>
    <n v="7523.3921929610478"/>
    <n v="0"/>
    <n v="0"/>
  </r>
  <r>
    <s v="Regular"/>
    <x v="1"/>
    <x v="2"/>
    <x v="6"/>
    <x v="2"/>
    <x v="0"/>
    <x v="0"/>
    <x v="1"/>
    <x v="11"/>
    <n v="310"/>
    <n v="263.5"/>
    <n v="0"/>
    <n v="0"/>
    <n v="0"/>
    <n v="0"/>
    <n v="3"/>
    <x v="1"/>
    <n v="0"/>
    <n v="18"/>
    <n v="0"/>
    <n v="0"/>
    <n v="26.17"/>
    <n v="0"/>
    <n v="0"/>
    <n v="27.746237112155811"/>
    <m/>
    <m/>
    <n v="6895.7950000000001"/>
    <n v="0"/>
    <n v="0"/>
    <n v="7311.1334790530564"/>
    <n v="0"/>
    <n v="0"/>
  </r>
  <r>
    <s v="Regular"/>
    <x v="1"/>
    <x v="2"/>
    <x v="6"/>
    <x v="2"/>
    <x v="0"/>
    <x v="0"/>
    <x v="2"/>
    <x v="0"/>
    <n v="0"/>
    <n v="0"/>
    <n v="1.9890000000000001"/>
    <n v="1.8696600000000001"/>
    <n v="1.9890000000000001"/>
    <n v="1.8696600000000001"/>
    <n v="0"/>
    <x v="1"/>
    <n v="0"/>
    <n v="0"/>
    <n v="12"/>
    <n v="66"/>
    <n v="0"/>
    <n v="1124.7"/>
    <n v="185.18"/>
    <m/>
    <n v="1194.906449742829"/>
    <n v="198.13390838089941"/>
    <n v="0"/>
    <n v="2102.8066020000001"/>
    <n v="346.2236388"/>
    <n v="0"/>
    <n v="2234.0687928261777"/>
    <n v="370.44304314343242"/>
  </r>
  <r>
    <s v="Refaturamento - Regular"/>
    <x v="1"/>
    <x v="2"/>
    <x v="6"/>
    <x v="2"/>
    <x v="0"/>
    <x v="0"/>
    <x v="2"/>
    <x v="0"/>
    <n v="0"/>
    <n v="0"/>
    <n v="-1.4870000000000001"/>
    <n v="-1.39778"/>
    <n v="-1.4870000000000001"/>
    <n v="-1.39778"/>
    <n v="0"/>
    <x v="1"/>
    <n v="0"/>
    <n v="0"/>
    <n v="12"/>
    <n v="66"/>
    <n v="0"/>
    <n v="1124.7"/>
    <n v="185.18"/>
    <m/>
    <n v="1194.906449742829"/>
    <n v="198.13390838089941"/>
    <n v="0"/>
    <n v="-1572.0831660000001"/>
    <n v="-258.84090040000001"/>
    <n v="0"/>
    <n v="-1670.2163373215315"/>
    <n v="-276.94761445665358"/>
  </r>
  <r>
    <s v="Regular"/>
    <x v="1"/>
    <x v="2"/>
    <x v="6"/>
    <x v="2"/>
    <x v="0"/>
    <x v="0"/>
    <x v="2"/>
    <x v="1"/>
    <n v="0"/>
    <n v="0"/>
    <n v="0.79400000000000004"/>
    <n v="0.74636000000000002"/>
    <n v="0.79400000000000004"/>
    <n v="0.74636000000000002"/>
    <n v="0"/>
    <x v="1"/>
    <n v="0"/>
    <n v="0"/>
    <n v="12"/>
    <n v="66"/>
    <n v="0"/>
    <n v="1124.7"/>
    <n v="185.18"/>
    <m/>
    <n v="1194.906449742829"/>
    <n v="198.13390838089941"/>
    <n v="0"/>
    <n v="839.43109200000004"/>
    <n v="138.21094480000002"/>
    <n v="0"/>
    <n v="891.83037783005784"/>
    <n v="147.87922385916809"/>
  </r>
  <r>
    <s v="Regular"/>
    <x v="1"/>
    <x v="2"/>
    <x v="6"/>
    <x v="2"/>
    <x v="0"/>
    <x v="0"/>
    <x v="2"/>
    <x v="2"/>
    <n v="0"/>
    <n v="0"/>
    <n v="2.4329999999999998"/>
    <n v="2.2870199999999996"/>
    <n v="2.4329999999999998"/>
    <n v="2.2870199999999996"/>
    <n v="0"/>
    <x v="1"/>
    <n v="0"/>
    <n v="0"/>
    <n v="12"/>
    <n v="66"/>
    <n v="0"/>
    <n v="1124.7"/>
    <n v="185.18"/>
    <m/>
    <n v="1194.906449742829"/>
    <n v="198.13390838089941"/>
    <n v="0"/>
    <n v="2572.2113939999995"/>
    <n v="423.51036359999995"/>
    <n v="0"/>
    <n v="2732.7749486908442"/>
    <n v="453.13621114528451"/>
  </r>
  <r>
    <s v="Regular"/>
    <x v="1"/>
    <x v="2"/>
    <x v="6"/>
    <x v="2"/>
    <x v="0"/>
    <x v="0"/>
    <x v="2"/>
    <x v="3"/>
    <n v="0"/>
    <n v="0"/>
    <n v="4.9050000000000002"/>
    <n v="4.6106999999999996"/>
    <n v="4.9050000000000002"/>
    <n v="4.6106999999999996"/>
    <n v="0"/>
    <x v="1"/>
    <n v="0"/>
    <n v="0"/>
    <n v="12"/>
    <n v="66"/>
    <n v="0"/>
    <n v="1124.7"/>
    <n v="185.18"/>
    <m/>
    <n v="1194.906449742829"/>
    <n v="198.13390838089941"/>
    <n v="0"/>
    <n v="5185.6542899999995"/>
    <n v="853.80942599999992"/>
    <n v="0"/>
    <n v="5509.3551678292606"/>
    <n v="913.53601137181283"/>
  </r>
  <r>
    <s v="Regular"/>
    <x v="1"/>
    <x v="2"/>
    <x v="6"/>
    <x v="2"/>
    <x v="0"/>
    <x v="0"/>
    <x v="2"/>
    <x v="4"/>
    <n v="0"/>
    <n v="0"/>
    <n v="5.0819999999999999"/>
    <n v="4.7770799999999998"/>
    <n v="5.0819999999999999"/>
    <n v="4.7770799999999998"/>
    <n v="0"/>
    <x v="1"/>
    <n v="0"/>
    <n v="0"/>
    <n v="12"/>
    <n v="66"/>
    <n v="0"/>
    <n v="1124.7"/>
    <n v="185.18"/>
    <m/>
    <n v="1194.906449742829"/>
    <n v="198.13390838089941"/>
    <n v="0"/>
    <n v="5372.781876"/>
    <n v="884.61967440000001"/>
    <n v="0"/>
    <n v="5708.1637029374733"/>
    <n v="946.50153104822698"/>
  </r>
  <r>
    <s v="Regular"/>
    <x v="1"/>
    <x v="2"/>
    <x v="6"/>
    <x v="2"/>
    <x v="0"/>
    <x v="0"/>
    <x v="2"/>
    <x v="5"/>
    <n v="0"/>
    <n v="0"/>
    <n v="5.3470000000000004"/>
    <n v="5.0261800000000001"/>
    <n v="5.3470000000000004"/>
    <n v="5.0261800000000001"/>
    <n v="0"/>
    <x v="1"/>
    <n v="0"/>
    <n v="0"/>
    <n v="12"/>
    <n v="66"/>
    <n v="0"/>
    <n v="1124.7"/>
    <n v="185.18"/>
    <m/>
    <n v="1194.906449742829"/>
    <n v="198.13390838089941"/>
    <n v="0"/>
    <n v="5652.9446459999999"/>
    <n v="930.74801240000011"/>
    <n v="0"/>
    <n v="6005.8148995684123"/>
    <n v="995.85668762590899"/>
  </r>
  <r>
    <s v="Regular"/>
    <x v="1"/>
    <x v="2"/>
    <x v="6"/>
    <x v="2"/>
    <x v="0"/>
    <x v="0"/>
    <x v="2"/>
    <x v="6"/>
    <n v="0"/>
    <n v="0"/>
    <n v="5.4029999999999996"/>
    <n v="5.0788199999999994"/>
    <n v="5.4029999999999996"/>
    <n v="5.0788199999999994"/>
    <n v="0"/>
    <x v="1"/>
    <n v="0"/>
    <n v="0"/>
    <n v="12"/>
    <n v="66"/>
    <n v="0"/>
    <n v="1124.7"/>
    <n v="185.18"/>
    <m/>
    <n v="1194.906449742829"/>
    <n v="198.13390838089941"/>
    <n v="0"/>
    <n v="5712.148854"/>
    <n v="940.49588759999995"/>
    <n v="0"/>
    <n v="6068.7147750828735"/>
    <n v="1006.2864565630795"/>
  </r>
  <r>
    <s v="Regular"/>
    <x v="1"/>
    <x v="2"/>
    <x v="6"/>
    <x v="2"/>
    <x v="0"/>
    <x v="0"/>
    <x v="2"/>
    <x v="7"/>
    <n v="0"/>
    <n v="0"/>
    <n v="1.93"/>
    <n v="1.8141999999999998"/>
    <n v="1.93"/>
    <n v="1.8141999999999998"/>
    <n v="0"/>
    <x v="1"/>
    <n v="0"/>
    <n v="0"/>
    <n v="12"/>
    <n v="66"/>
    <n v="0"/>
    <n v="1124.7"/>
    <n v="185.18"/>
    <m/>
    <n v="1194.906449742829"/>
    <n v="198.13390838089941"/>
    <n v="0"/>
    <n v="2040.4307399999998"/>
    <n v="335.95355599999999"/>
    <n v="0"/>
    <n v="2167.7992811234399"/>
    <n v="359.4545365846277"/>
  </r>
  <r>
    <s v="Regular"/>
    <x v="1"/>
    <x v="2"/>
    <x v="6"/>
    <x v="2"/>
    <x v="0"/>
    <x v="0"/>
    <x v="2"/>
    <x v="8"/>
    <n v="0"/>
    <n v="0"/>
    <n v="2.74"/>
    <n v="2.5756000000000001"/>
    <n v="2.74"/>
    <n v="2.5756000000000001"/>
    <n v="0"/>
    <x v="1"/>
    <n v="0"/>
    <n v="0"/>
    <n v="12"/>
    <n v="66"/>
    <n v="0"/>
    <n v="1124.7"/>
    <n v="185.18"/>
    <m/>
    <n v="1194.906449742829"/>
    <n v="198.13390838089941"/>
    <n v="0"/>
    <n v="2896.7773200000001"/>
    <n v="476.94960800000001"/>
    <n v="0"/>
    <n v="3077.6010519576303"/>
    <n v="510.31369442584457"/>
  </r>
  <r>
    <s v="Regular"/>
    <x v="1"/>
    <x v="2"/>
    <x v="6"/>
    <x v="2"/>
    <x v="0"/>
    <x v="0"/>
    <x v="2"/>
    <x v="9"/>
    <n v="0"/>
    <n v="0"/>
    <n v="1.5589999999999999"/>
    <n v="1.4654599999999998"/>
    <n v="1.5589999999999999"/>
    <n v="1.4654599999999998"/>
    <n v="0"/>
    <x v="1"/>
    <n v="0"/>
    <n v="0"/>
    <n v="12"/>
    <n v="66"/>
    <n v="0"/>
    <n v="1124.7"/>
    <n v="185.18"/>
    <m/>
    <n v="1194.906449742829"/>
    <n v="198.13390838089941"/>
    <n v="0"/>
    <n v="1648.2028619999999"/>
    <n v="271.37388279999999"/>
    <n v="0"/>
    <n v="1751.0876058401259"/>
    <n v="290.35731737587281"/>
  </r>
  <r>
    <s v="Regular"/>
    <x v="1"/>
    <x v="2"/>
    <x v="6"/>
    <x v="2"/>
    <x v="0"/>
    <x v="0"/>
    <x v="2"/>
    <x v="10"/>
    <n v="0"/>
    <n v="0"/>
    <n v="1.2789999999999999"/>
    <n v="1.2022599999999999"/>
    <n v="1.2789999999999999"/>
    <n v="1.2022599999999999"/>
    <n v="0"/>
    <x v="1"/>
    <n v="0"/>
    <n v="0"/>
    <n v="12"/>
    <n v="66"/>
    <n v="0"/>
    <n v="1124.7"/>
    <n v="185.18"/>
    <m/>
    <n v="1194.906449742829"/>
    <n v="198.13390838089941"/>
    <n v="0"/>
    <n v="1352.181822"/>
    <n v="222.6345068"/>
    <n v="0"/>
    <n v="1436.5882282678133"/>
    <n v="238.2084726900201"/>
  </r>
  <r>
    <s v="Regular"/>
    <x v="1"/>
    <x v="2"/>
    <x v="6"/>
    <x v="2"/>
    <x v="0"/>
    <x v="0"/>
    <x v="2"/>
    <x v="11"/>
    <n v="0"/>
    <n v="0"/>
    <n v="1.8779999999999999"/>
    <n v="1.7653199999999998"/>
    <n v="1.8779999999999999"/>
    <n v="1.7653199999999998"/>
    <n v="0"/>
    <x v="1"/>
    <n v="0"/>
    <n v="0"/>
    <n v="12"/>
    <n v="66"/>
    <n v="0"/>
    <n v="1124.7"/>
    <n v="185.18"/>
    <m/>
    <n v="1194.906449742829"/>
    <n v="198.13390838089941"/>
    <n v="0"/>
    <n v="1985.4554039999998"/>
    <n v="326.90195759999995"/>
    <n v="0"/>
    <n v="2109.3922538600104"/>
    <n v="349.76975114296931"/>
  </r>
  <r>
    <s v="Regular"/>
    <x v="2"/>
    <x v="3"/>
    <x v="7"/>
    <x v="3"/>
    <x v="0"/>
    <x v="0"/>
    <x v="1"/>
    <x v="0"/>
    <n v="0"/>
    <n v="0"/>
    <n v="1945.799"/>
    <n v="1945.799"/>
    <n v="1945.799"/>
    <n v="1945.799"/>
    <n v="11707"/>
    <x v="1"/>
    <n v="0"/>
    <n v="0"/>
    <n v="11"/>
    <n v="46"/>
    <n v="0"/>
    <n v="272.91000000000003"/>
    <n v="185.18"/>
    <m/>
    <n v="315.8126451707094"/>
    <n v="198.13390838089941"/>
    <n v="0"/>
    <n v="531028.00508999999"/>
    <n v="360323.05882000003"/>
    <n v="0"/>
    <n v="614507.92916052113"/>
    <n v="385528.76079364569"/>
  </r>
  <r>
    <s v="Refaturamento - Regular"/>
    <x v="2"/>
    <x v="3"/>
    <x v="7"/>
    <x v="3"/>
    <x v="0"/>
    <x v="0"/>
    <x v="1"/>
    <x v="0"/>
    <n v="0"/>
    <n v="0"/>
    <n v="-20.111000000000001"/>
    <n v="-20.111000000000001"/>
    <n v="-20.111000000000001"/>
    <n v="-20.111000000000001"/>
    <n v="-22"/>
    <x v="1"/>
    <n v="0"/>
    <n v="0"/>
    <n v="11"/>
    <n v="46"/>
    <n v="0"/>
    <n v="272.91000000000003"/>
    <n v="185.18"/>
    <m/>
    <n v="315.8126451707094"/>
    <n v="198.13390838089941"/>
    <n v="0"/>
    <n v="-5488.493010000001"/>
    <n v="-3724.1549800000003"/>
    <n v="0"/>
    <n v="-6351.3081070281369"/>
    <n v="-3984.6710314482684"/>
  </r>
  <r>
    <s v="Sistema de Compensação"/>
    <x v="2"/>
    <x v="3"/>
    <x v="7"/>
    <x v="3"/>
    <x v="0"/>
    <x v="0"/>
    <x v="1"/>
    <x v="0"/>
    <n v="0"/>
    <n v="0"/>
    <n v="40.484000000000002"/>
    <n v="40.484000000000002"/>
    <n v="40.484000000000002"/>
    <n v="40.484000000000002"/>
    <n v="219"/>
    <x v="1"/>
    <n v="0"/>
    <n v="0"/>
    <n v="11"/>
    <n v="46"/>
    <n v="0"/>
    <n v="272.91000000000003"/>
    <n v="185.18"/>
    <m/>
    <n v="315.8126451707094"/>
    <n v="198.13390838089941"/>
    <n v="0"/>
    <n v="11048.488440000001"/>
    <n v="7496.8271200000008"/>
    <n v="0"/>
    <n v="12785.359127091"/>
    <n v="8021.2531468923326"/>
  </r>
  <r>
    <s v="Sistema de Compensação"/>
    <x v="2"/>
    <x v="3"/>
    <x v="7"/>
    <x v="3"/>
    <x v="0"/>
    <x v="0"/>
    <x v="1"/>
    <x v="0"/>
    <n v="0"/>
    <n v="0"/>
    <n v="-1.849"/>
    <n v="-1.849"/>
    <n v="-1.849"/>
    <n v="-1.849"/>
    <n v="-3"/>
    <x v="1"/>
    <n v="0"/>
    <n v="0"/>
    <n v="11"/>
    <n v="46"/>
    <n v="0"/>
    <n v="272.91000000000003"/>
    <n v="185.18"/>
    <m/>
    <n v="315.8126451707094"/>
    <n v="198.13390838089941"/>
    <n v="0"/>
    <n v="-504.61059000000006"/>
    <n v="-342.39782000000002"/>
    <n v="0"/>
    <n v="-583.93758092064172"/>
    <n v="-366.34959659628299"/>
  </r>
  <r>
    <s v="Regular"/>
    <x v="2"/>
    <x v="3"/>
    <x v="7"/>
    <x v="3"/>
    <x v="0"/>
    <x v="0"/>
    <x v="1"/>
    <x v="1"/>
    <n v="0"/>
    <n v="0"/>
    <n v="2008.0830000000001"/>
    <n v="2008.0830000000001"/>
    <n v="2008.0830000000001"/>
    <n v="2008.0830000000001"/>
    <n v="11759"/>
    <x v="1"/>
    <n v="0"/>
    <n v="0"/>
    <n v="11"/>
    <n v="46"/>
    <n v="0"/>
    <n v="272.91000000000003"/>
    <n v="185.18"/>
    <m/>
    <n v="315.8126451707094"/>
    <n v="198.13390838089941"/>
    <n v="0"/>
    <n v="548025.93153000006"/>
    <n v="371856.80994000001"/>
    <n v="0"/>
    <n v="634178.0039523337"/>
    <n v="397869.33314324165"/>
  </r>
  <r>
    <s v="Refaturamento - Regular"/>
    <x v="2"/>
    <x v="3"/>
    <x v="7"/>
    <x v="3"/>
    <x v="0"/>
    <x v="0"/>
    <x v="1"/>
    <x v="1"/>
    <n v="0"/>
    <n v="0"/>
    <n v="-2.7269999999999999"/>
    <n v="-2.7269999999999999"/>
    <n v="-2.7269999999999999"/>
    <n v="-2.7269999999999999"/>
    <n v="-23"/>
    <x v="1"/>
    <n v="0"/>
    <n v="0"/>
    <n v="11"/>
    <n v="46"/>
    <n v="0"/>
    <n v="272.91000000000003"/>
    <n v="185.18"/>
    <m/>
    <n v="315.8126451707094"/>
    <n v="198.13390838089941"/>
    <n v="0"/>
    <n v="-744.22557000000006"/>
    <n v="-504.98586"/>
    <n v="0"/>
    <n v="-861.22108338052453"/>
    <n v="-540.31116815471262"/>
  </r>
  <r>
    <s v="Sistema de Compensação"/>
    <x v="2"/>
    <x v="3"/>
    <x v="7"/>
    <x v="3"/>
    <x v="0"/>
    <x v="0"/>
    <x v="1"/>
    <x v="1"/>
    <n v="0"/>
    <n v="0"/>
    <n v="32.497"/>
    <n v="32.497"/>
    <n v="32.497"/>
    <n v="32.497"/>
    <n v="223"/>
    <x v="1"/>
    <n v="0"/>
    <n v="0"/>
    <n v="11"/>
    <n v="46"/>
    <n v="0"/>
    <n v="272.91000000000003"/>
    <n v="185.18"/>
    <m/>
    <n v="315.8126451707094"/>
    <n v="198.13390838089941"/>
    <n v="0"/>
    <n v="8868.7562700000017"/>
    <n v="6017.7944600000001"/>
    <n v="0"/>
    <n v="10262.963530112544"/>
    <n v="6438.757620654088"/>
  </r>
  <r>
    <s v="Sistema de Compensação"/>
    <x v="2"/>
    <x v="3"/>
    <x v="7"/>
    <x v="3"/>
    <x v="0"/>
    <x v="0"/>
    <x v="1"/>
    <x v="1"/>
    <n v="0"/>
    <n v="0"/>
    <n v="-0.54500000000000004"/>
    <n v="-0.54500000000000004"/>
    <n v="-0.54500000000000004"/>
    <n v="-0.54500000000000004"/>
    <n v="-1"/>
    <x v="1"/>
    <n v="0"/>
    <n v="0"/>
    <n v="11"/>
    <n v="46"/>
    <n v="0"/>
    <n v="272.91000000000003"/>
    <n v="185.18"/>
    <m/>
    <n v="315.8126451707094"/>
    <n v="198.13390838089941"/>
    <n v="0"/>
    <n v="-148.73595000000003"/>
    <n v="-100.92310000000001"/>
    <n v="0"/>
    <n v="-172.11789161803662"/>
    <n v="-107.98298006759019"/>
  </r>
  <r>
    <s v="Regular"/>
    <x v="2"/>
    <x v="3"/>
    <x v="7"/>
    <x v="3"/>
    <x v="0"/>
    <x v="0"/>
    <x v="1"/>
    <x v="2"/>
    <n v="0"/>
    <n v="0"/>
    <n v="1948.9069999999999"/>
    <n v="1948.9069999999999"/>
    <n v="1948.9069999999999"/>
    <n v="1948.9069999999999"/>
    <n v="11789"/>
    <x v="1"/>
    <n v="0"/>
    <n v="0"/>
    <n v="11"/>
    <n v="46"/>
    <n v="0"/>
    <n v="272.91000000000003"/>
    <n v="185.18"/>
    <m/>
    <n v="315.8126451707094"/>
    <n v="198.13390838089941"/>
    <n v="0"/>
    <n v="531876.20937000006"/>
    <n v="360898.59826"/>
    <n v="0"/>
    <n v="615489.47486171173"/>
    <n v="386144.5609808935"/>
  </r>
  <r>
    <s v="Refaturamento - Regular"/>
    <x v="2"/>
    <x v="3"/>
    <x v="7"/>
    <x v="3"/>
    <x v="0"/>
    <x v="0"/>
    <x v="1"/>
    <x v="2"/>
    <n v="0"/>
    <n v="0"/>
    <n v="-3.3140000000000001"/>
    <n v="-3.3140000000000001"/>
    <n v="-3.3140000000000001"/>
    <n v="-3.3140000000000001"/>
    <n v="-16"/>
    <x v="1"/>
    <n v="0"/>
    <n v="0"/>
    <n v="11"/>
    <n v="46"/>
    <n v="0"/>
    <n v="272.91000000000003"/>
    <n v="185.18"/>
    <m/>
    <n v="315.8126451707094"/>
    <n v="198.13390838089941"/>
    <n v="0"/>
    <n v="-904.42374000000007"/>
    <n v="-613.68652000000009"/>
    <n v="0"/>
    <n v="-1046.6031060957309"/>
    <n v="-656.61577237430072"/>
  </r>
  <r>
    <s v="Sistema de Compensação"/>
    <x v="2"/>
    <x v="3"/>
    <x v="7"/>
    <x v="3"/>
    <x v="0"/>
    <x v="0"/>
    <x v="1"/>
    <x v="2"/>
    <n v="0"/>
    <n v="0"/>
    <n v="27.757999999999999"/>
    <n v="27.757999999999999"/>
    <n v="27.757999999999999"/>
    <n v="27.757999999999999"/>
    <n v="239"/>
    <x v="1"/>
    <n v="0"/>
    <n v="0"/>
    <n v="11"/>
    <n v="46"/>
    <n v="0"/>
    <n v="272.91000000000003"/>
    <n v="185.18"/>
    <m/>
    <n v="315.8126451707094"/>
    <n v="198.13390838089941"/>
    <n v="0"/>
    <n v="7575.4357800000007"/>
    <n v="5140.2264400000004"/>
    <n v="0"/>
    <n v="8766.3274046485512"/>
    <n v="5499.801028837006"/>
  </r>
  <r>
    <s v="Sistema de Compensação"/>
    <x v="2"/>
    <x v="3"/>
    <x v="7"/>
    <x v="3"/>
    <x v="0"/>
    <x v="0"/>
    <x v="1"/>
    <x v="2"/>
    <n v="0"/>
    <n v="0"/>
    <n v="-6.7779999999999996"/>
    <n v="-6.7779999999999996"/>
    <n v="-6.7779999999999996"/>
    <n v="-6.7779999999999996"/>
    <n v="0"/>
    <x v="1"/>
    <n v="0"/>
    <n v="0"/>
    <n v="11"/>
    <n v="46"/>
    <n v="0"/>
    <n v="272.91000000000003"/>
    <n v="185.18"/>
    <m/>
    <n v="315.8126451707094"/>
    <n v="198.13390838089941"/>
    <n v="0"/>
    <n v="-1849.7839800000002"/>
    <n v="-1255.15004"/>
    <n v="0"/>
    <n v="-2140.5781089670681"/>
    <n v="-1342.9516310057361"/>
  </r>
  <r>
    <s v="Regular"/>
    <x v="2"/>
    <x v="3"/>
    <x v="7"/>
    <x v="3"/>
    <x v="0"/>
    <x v="0"/>
    <x v="1"/>
    <x v="3"/>
    <n v="0"/>
    <n v="0"/>
    <n v="1869.463"/>
    <n v="1869.463"/>
    <n v="1869.463"/>
    <n v="1869.463"/>
    <n v="11866"/>
    <x v="1"/>
    <n v="0"/>
    <n v="0"/>
    <n v="11"/>
    <n v="46"/>
    <n v="0"/>
    <n v="272.91000000000003"/>
    <n v="185.18"/>
    <m/>
    <n v="315.8126451707094"/>
    <n v="198.13390838089941"/>
    <n v="0"/>
    <n v="510195.14733000007"/>
    <n v="346187.15834000002"/>
    <n v="0"/>
    <n v="590400.05507876992"/>
    <n v="370404.01076348138"/>
  </r>
  <r>
    <s v="Refaturamento - Regular"/>
    <x v="2"/>
    <x v="3"/>
    <x v="7"/>
    <x v="3"/>
    <x v="0"/>
    <x v="0"/>
    <x v="1"/>
    <x v="3"/>
    <n v="0"/>
    <n v="0"/>
    <n v="-5.8220000000000001"/>
    <n v="-5.8220000000000001"/>
    <n v="-5.8220000000000001"/>
    <n v="-5.8220000000000001"/>
    <n v="-24"/>
    <x v="1"/>
    <n v="0"/>
    <n v="0"/>
    <n v="11"/>
    <n v="46"/>
    <n v="0"/>
    <n v="272.91000000000003"/>
    <n v="185.18"/>
    <m/>
    <n v="315.8126451707094"/>
    <n v="198.13390838089941"/>
    <n v="0"/>
    <n v="-1588.8820200000002"/>
    <n v="-1078.11796"/>
    <n v="0"/>
    <n v="-1838.6612201838702"/>
    <n v="-1153.5356145935964"/>
  </r>
  <r>
    <s v="Sistema de Compensação"/>
    <x v="2"/>
    <x v="3"/>
    <x v="7"/>
    <x v="3"/>
    <x v="0"/>
    <x v="0"/>
    <x v="1"/>
    <x v="3"/>
    <n v="0"/>
    <n v="0"/>
    <n v="26.66"/>
    <n v="26.66"/>
    <n v="26.66"/>
    <n v="26.66"/>
    <n v="253"/>
    <x v="1"/>
    <n v="0"/>
    <n v="0"/>
    <n v="11"/>
    <n v="46"/>
    <n v="0"/>
    <n v="272.91000000000003"/>
    <n v="185.18"/>
    <m/>
    <n v="315.8126451707094"/>
    <n v="198.13390838089941"/>
    <n v="0"/>
    <n v="7275.780600000001"/>
    <n v="4936.8987999999999"/>
    <n v="0"/>
    <n v="8419.5651202511126"/>
    <n v="5282.2499974347784"/>
  </r>
  <r>
    <s v="Sistema de Compensação"/>
    <x v="2"/>
    <x v="3"/>
    <x v="7"/>
    <x v="3"/>
    <x v="0"/>
    <x v="0"/>
    <x v="1"/>
    <x v="3"/>
    <n v="0"/>
    <n v="0"/>
    <n v="-1.484"/>
    <n v="-1.484"/>
    <n v="-1.484"/>
    <n v="-1.484"/>
    <n v="-1"/>
    <x v="1"/>
    <n v="0"/>
    <n v="0"/>
    <n v="11"/>
    <n v="46"/>
    <n v="0"/>
    <n v="272.91000000000003"/>
    <n v="185.18"/>
    <m/>
    <n v="315.8126451707094"/>
    <n v="198.13390838089941"/>
    <n v="0"/>
    <n v="-404.99844000000002"/>
    <n v="-274.80712"/>
    <n v="0"/>
    <n v="-468.66596543333276"/>
    <n v="-294.03072003725475"/>
  </r>
  <r>
    <s v="Regular"/>
    <x v="2"/>
    <x v="3"/>
    <x v="7"/>
    <x v="3"/>
    <x v="0"/>
    <x v="0"/>
    <x v="1"/>
    <x v="4"/>
    <n v="0"/>
    <n v="0"/>
    <n v="2025.742"/>
    <n v="2025.742"/>
    <n v="2025.742"/>
    <n v="2025.742"/>
    <n v="11922"/>
    <x v="1"/>
    <n v="0"/>
    <n v="0"/>
    <n v="11"/>
    <n v="46"/>
    <n v="0"/>
    <n v="272.91000000000003"/>
    <n v="185.18"/>
    <m/>
    <n v="315.8126451707094"/>
    <n v="198.13390838089941"/>
    <n v="0"/>
    <n v="552845.24922"/>
    <n v="375126.90356000001"/>
    <n v="0"/>
    <n v="639754.93945340323"/>
    <n v="401368.17983133992"/>
  </r>
  <r>
    <s v="Refaturamento - Regular"/>
    <x v="2"/>
    <x v="3"/>
    <x v="7"/>
    <x v="3"/>
    <x v="0"/>
    <x v="0"/>
    <x v="1"/>
    <x v="4"/>
    <n v="0"/>
    <n v="0"/>
    <n v="-6.27"/>
    <n v="-6.27"/>
    <n v="-6.27"/>
    <n v="-6.27"/>
    <n v="-29"/>
    <x v="1"/>
    <n v="0"/>
    <n v="0"/>
    <n v="11"/>
    <n v="46"/>
    <n v="0"/>
    <n v="272.91000000000003"/>
    <n v="185.18"/>
    <m/>
    <n v="315.8126451707094"/>
    <n v="198.13390838089941"/>
    <n v="0"/>
    <n v="-1711.1457"/>
    <n v="-1161.0786000000001"/>
    <n v="0"/>
    <n v="-1980.1452852203479"/>
    <n v="-1242.2996055482392"/>
  </r>
  <r>
    <s v="Sistema de Compensação"/>
    <x v="2"/>
    <x v="3"/>
    <x v="7"/>
    <x v="3"/>
    <x v="0"/>
    <x v="0"/>
    <x v="1"/>
    <x v="4"/>
    <n v="0"/>
    <n v="0"/>
    <n v="21.283000000000001"/>
    <n v="21.283000000000001"/>
    <n v="21.283000000000001"/>
    <n v="21.283000000000001"/>
    <n v="265"/>
    <x v="1"/>
    <n v="0"/>
    <n v="0"/>
    <n v="11"/>
    <n v="46"/>
    <n v="0"/>
    <n v="272.91000000000003"/>
    <n v="185.18"/>
    <m/>
    <n v="315.8126451707094"/>
    <n v="198.13390838089941"/>
    <n v="0"/>
    <n v="5808.343530000001"/>
    <n v="3941.1859400000003"/>
    <n v="0"/>
    <n v="6721.440527168209"/>
    <n v="4216.8839720706828"/>
  </r>
  <r>
    <s v="Regular"/>
    <x v="2"/>
    <x v="3"/>
    <x v="7"/>
    <x v="3"/>
    <x v="0"/>
    <x v="0"/>
    <x v="1"/>
    <x v="5"/>
    <n v="0"/>
    <n v="0"/>
    <n v="1872.143"/>
    <n v="1872.143"/>
    <n v="1872.143"/>
    <n v="1872.143"/>
    <n v="11970"/>
    <x v="1"/>
    <n v="0"/>
    <n v="0"/>
    <n v="11"/>
    <n v="46"/>
    <n v="0"/>
    <n v="272.91000000000003"/>
    <n v="185.18"/>
    <m/>
    <n v="315.8126451707094"/>
    <n v="198.13390838089941"/>
    <n v="0"/>
    <n v="510926.54613000003"/>
    <n v="346683.44073999999"/>
    <n v="0"/>
    <n v="591246.43296782742"/>
    <n v="370935.00963794219"/>
  </r>
  <r>
    <s v="Refaturamento - Regular"/>
    <x v="2"/>
    <x v="3"/>
    <x v="7"/>
    <x v="3"/>
    <x v="0"/>
    <x v="0"/>
    <x v="1"/>
    <x v="5"/>
    <n v="0"/>
    <n v="0"/>
    <n v="-11.680999999999999"/>
    <n v="-11.680999999999999"/>
    <n v="-11.680999999999999"/>
    <n v="-11.680999999999999"/>
    <n v="-30"/>
    <x v="1"/>
    <n v="0"/>
    <n v="0"/>
    <n v="11"/>
    <n v="46"/>
    <n v="0"/>
    <n v="272.91000000000003"/>
    <n v="185.18"/>
    <m/>
    <n v="315.8126451707094"/>
    <n v="198.13390838089941"/>
    <n v="0"/>
    <n v="-3187.8617100000001"/>
    <n v="-2163.0875799999999"/>
    <n v="0"/>
    <n v="-3689.0075082390563"/>
    <n v="-2314.4021837972859"/>
  </r>
  <r>
    <s v="Regular"/>
    <x v="2"/>
    <x v="3"/>
    <x v="7"/>
    <x v="3"/>
    <x v="0"/>
    <x v="0"/>
    <x v="1"/>
    <x v="6"/>
    <n v="0"/>
    <n v="0"/>
    <n v="2508.9960000000001"/>
    <n v="2508.9960000000001"/>
    <n v="2508.9960000000001"/>
    <n v="2508.9960000000001"/>
    <n v="11964"/>
    <x v="1"/>
    <n v="0"/>
    <n v="0"/>
    <n v="11"/>
    <n v="46"/>
    <n v="0"/>
    <n v="272.91000000000003"/>
    <n v="185.18"/>
    <m/>
    <n v="315.8126451707094"/>
    <n v="198.13390838089941"/>
    <n v="0"/>
    <n v="684730.09836000006"/>
    <n v="464615.87928000005"/>
    <n v="0"/>
    <n v="792372.66348272923"/>
    <n v="497117.18359204312"/>
  </r>
  <r>
    <s v="Refaturamento - Regular"/>
    <x v="2"/>
    <x v="3"/>
    <x v="7"/>
    <x v="3"/>
    <x v="0"/>
    <x v="0"/>
    <x v="1"/>
    <x v="6"/>
    <n v="0"/>
    <n v="0"/>
    <n v="-6.5570000000000004"/>
    <n v="-6.5570000000000004"/>
    <n v="-6.5570000000000004"/>
    <n v="-6.5570000000000004"/>
    <n v="-19"/>
    <x v="1"/>
    <n v="0"/>
    <n v="0"/>
    <n v="11"/>
    <n v="46"/>
    <n v="0"/>
    <n v="272.91000000000003"/>
    <n v="185.18"/>
    <m/>
    <n v="315.8126451707094"/>
    <n v="198.13390838089941"/>
    <n v="0"/>
    <n v="-1789.4708700000003"/>
    <n v="-1214.2252600000002"/>
    <n v="0"/>
    <n v="-2070.7835143843417"/>
    <n v="-1299.1640372535576"/>
  </r>
  <r>
    <s v="Sistema de Compensação"/>
    <x v="2"/>
    <x v="3"/>
    <x v="7"/>
    <x v="3"/>
    <x v="0"/>
    <x v="0"/>
    <x v="1"/>
    <x v="6"/>
    <n v="0"/>
    <n v="0"/>
    <n v="39.972999999999999"/>
    <n v="39.972999999999999"/>
    <n v="39.972999999999999"/>
    <n v="39.972999999999999"/>
    <n v="313"/>
    <x v="1"/>
    <n v="0"/>
    <n v="0"/>
    <n v="11"/>
    <n v="46"/>
    <n v="0"/>
    <n v="272.91000000000003"/>
    <n v="185.18"/>
    <m/>
    <n v="315.8126451707094"/>
    <n v="198.13390838089941"/>
    <n v="0"/>
    <n v="10909.031430000001"/>
    <n v="7402.2001399999999"/>
    <n v="0"/>
    <n v="12623.978865408766"/>
    <n v="7920.0067197096923"/>
  </r>
  <r>
    <s v="Sistema de Compensação"/>
    <x v="2"/>
    <x v="3"/>
    <x v="7"/>
    <x v="3"/>
    <x v="0"/>
    <x v="0"/>
    <x v="1"/>
    <x v="6"/>
    <n v="0"/>
    <n v="0"/>
    <n v="-3.0430000000000001"/>
    <n v="-3.0430000000000001"/>
    <n v="-3.0430000000000001"/>
    <n v="-3.0430000000000001"/>
    <n v="-1"/>
    <x v="1"/>
    <n v="0"/>
    <n v="0"/>
    <n v="11"/>
    <n v="46"/>
    <n v="0"/>
    <n v="272.91000000000003"/>
    <n v="185.18"/>
    <m/>
    <n v="315.8126451707094"/>
    <n v="198.13390838089941"/>
    <n v="0"/>
    <n v="-830.46513000000016"/>
    <n v="-563.50274000000002"/>
    <n v="0"/>
    <n v="-961.01787925446877"/>
    <n v="-602.92148320307695"/>
  </r>
  <r>
    <s v="Regular"/>
    <x v="2"/>
    <x v="3"/>
    <x v="7"/>
    <x v="3"/>
    <x v="0"/>
    <x v="0"/>
    <x v="1"/>
    <x v="7"/>
    <n v="0"/>
    <n v="0"/>
    <n v="2423.3310000000001"/>
    <n v="2423.3310000000001"/>
    <n v="2423.3310000000001"/>
    <n v="2423.3310000000001"/>
    <n v="11813"/>
    <x v="1"/>
    <n v="0"/>
    <n v="0"/>
    <n v="11"/>
    <n v="46"/>
    <n v="0"/>
    <n v="272.91000000000003"/>
    <n v="185.18"/>
    <m/>
    <n v="315.8126451707094"/>
    <n v="198.13390838089941"/>
    <n v="0"/>
    <n v="661351.26321000012"/>
    <n v="448752.43458000006"/>
    <n v="0"/>
    <n v="765318.57323418045"/>
    <n v="480144.04233059339"/>
  </r>
  <r>
    <s v="Refaturamento - Regular"/>
    <x v="2"/>
    <x v="3"/>
    <x v="7"/>
    <x v="3"/>
    <x v="0"/>
    <x v="0"/>
    <x v="1"/>
    <x v="7"/>
    <n v="0"/>
    <n v="0"/>
    <n v="-1.8859999999999999"/>
    <n v="-1.8859999999999999"/>
    <n v="-1.8859999999999999"/>
    <n v="-1.8859999999999999"/>
    <n v="-18"/>
    <x v="1"/>
    <n v="0"/>
    <n v="0"/>
    <n v="11"/>
    <n v="46"/>
    <n v="0"/>
    <n v="272.91000000000003"/>
    <n v="185.18"/>
    <m/>
    <n v="315.8126451707094"/>
    <n v="198.13390838089941"/>
    <n v="0"/>
    <n v="-514.70826"/>
    <n v="-349.24948000000001"/>
    <n v="0"/>
    <n v="-595.62264879195789"/>
    <n v="-373.68055120637626"/>
  </r>
  <r>
    <s v="Sistema de Compensação"/>
    <x v="2"/>
    <x v="3"/>
    <x v="7"/>
    <x v="3"/>
    <x v="0"/>
    <x v="0"/>
    <x v="1"/>
    <x v="7"/>
    <n v="0"/>
    <n v="0"/>
    <n v="47.473999999999997"/>
    <n v="47.473999999999997"/>
    <n v="47.473999999999997"/>
    <n v="47.473999999999997"/>
    <n v="330"/>
    <x v="1"/>
    <n v="0"/>
    <n v="0"/>
    <n v="11"/>
    <n v="46"/>
    <n v="0"/>
    <n v="272.91000000000003"/>
    <n v="185.18"/>
    <m/>
    <n v="315.8126451707094"/>
    <n v="198.13390838089941"/>
    <n v="0"/>
    <n v="12956.12934"/>
    <n v="8791.2353199999998"/>
    <n v="0"/>
    <n v="14992.889516834257"/>
    <n v="9406.2091664748186"/>
  </r>
  <r>
    <s v="Regular"/>
    <x v="2"/>
    <x v="3"/>
    <x v="7"/>
    <x v="3"/>
    <x v="0"/>
    <x v="0"/>
    <x v="1"/>
    <x v="8"/>
    <n v="0"/>
    <n v="0"/>
    <n v="2159.6990000000001"/>
    <n v="2159.6990000000001"/>
    <n v="2159.6990000000001"/>
    <n v="2159.6990000000001"/>
    <n v="11765"/>
    <x v="1"/>
    <n v="0"/>
    <n v="0"/>
    <n v="11"/>
    <n v="46"/>
    <n v="0"/>
    <n v="272.91000000000003"/>
    <n v="185.18"/>
    <m/>
    <n v="315.8126451707094"/>
    <n v="198.13390838089941"/>
    <n v="0"/>
    <n v="589403.45409000013"/>
    <n v="399933.06082000001"/>
    <n v="0"/>
    <n v="682060.25396253599"/>
    <n v="427909.60379632009"/>
  </r>
  <r>
    <s v="Refaturamento - Regular"/>
    <x v="2"/>
    <x v="3"/>
    <x v="7"/>
    <x v="3"/>
    <x v="0"/>
    <x v="0"/>
    <x v="1"/>
    <x v="8"/>
    <n v="0"/>
    <n v="0"/>
    <n v="-2.4089999999999998"/>
    <n v="-2.4089999999999998"/>
    <n v="-2.4089999999999998"/>
    <n v="-2.4089999999999998"/>
    <n v="-17"/>
    <x v="1"/>
    <n v="0"/>
    <n v="0"/>
    <n v="11"/>
    <n v="46"/>
    <n v="0"/>
    <n v="272.91000000000003"/>
    <n v="185.18"/>
    <m/>
    <n v="315.8126451707094"/>
    <n v="198.13390838089941"/>
    <n v="0"/>
    <n v="-657.44019000000003"/>
    <n v="-446.09861999999998"/>
    <n v="0"/>
    <n v="-760.79266221623891"/>
    <n v="-477.30458528958667"/>
  </r>
  <r>
    <s v="Sistema de Compensação"/>
    <x v="2"/>
    <x v="3"/>
    <x v="7"/>
    <x v="3"/>
    <x v="0"/>
    <x v="0"/>
    <x v="1"/>
    <x v="8"/>
    <n v="0"/>
    <n v="0"/>
    <n v="48.741999999999997"/>
    <n v="48.741999999999997"/>
    <n v="48.741999999999997"/>
    <n v="48.741999999999997"/>
    <n v="362"/>
    <x v="1"/>
    <n v="0"/>
    <n v="0"/>
    <n v="11"/>
    <n v="46"/>
    <n v="0"/>
    <n v="272.91000000000003"/>
    <n v="185.18"/>
    <m/>
    <n v="315.8126451707094"/>
    <n v="198.13390838089941"/>
    <n v="0"/>
    <n v="13302.17922"/>
    <n v="9026.0435600000001"/>
    <n v="0"/>
    <n v="15393.339950910717"/>
    <n v="9657.4429623017986"/>
  </r>
  <r>
    <s v="Sistema de Compensação"/>
    <x v="2"/>
    <x v="3"/>
    <x v="7"/>
    <x v="3"/>
    <x v="0"/>
    <x v="0"/>
    <x v="1"/>
    <x v="8"/>
    <n v="0"/>
    <n v="0"/>
    <n v="-1.952"/>
    <n v="-1.952"/>
    <n v="-1.952"/>
    <n v="-1.952"/>
    <n v="-1"/>
    <x v="1"/>
    <n v="0"/>
    <n v="0"/>
    <n v="11"/>
    <n v="46"/>
    <n v="0"/>
    <n v="272.91000000000003"/>
    <n v="185.18"/>
    <m/>
    <n v="315.8126451707094"/>
    <n v="198.13390838089941"/>
    <n v="0"/>
    <n v="-532.72032000000002"/>
    <n v="-361.47136"/>
    <n v="0"/>
    <n v="-616.46628337322477"/>
    <n v="-386.75738915951564"/>
  </r>
  <r>
    <s v="Regular"/>
    <x v="2"/>
    <x v="3"/>
    <x v="7"/>
    <x v="3"/>
    <x v="0"/>
    <x v="0"/>
    <x v="1"/>
    <x v="9"/>
    <n v="0"/>
    <n v="0"/>
    <n v="1869.0219999999999"/>
    <n v="1869.0219999999999"/>
    <n v="1869.0219999999999"/>
    <n v="1869.0219999999999"/>
    <n v="11387"/>
    <x v="1"/>
    <n v="0"/>
    <n v="0"/>
    <n v="11"/>
    <n v="46"/>
    <n v="0"/>
    <n v="272.91000000000003"/>
    <n v="185.18"/>
    <m/>
    <n v="315.8126451707094"/>
    <n v="198.13390838089941"/>
    <n v="0"/>
    <n v="510074.79402000003"/>
    <n v="346105.49395999999"/>
    <n v="0"/>
    <n v="590260.78170224966"/>
    <n v="370316.63370988535"/>
  </r>
  <r>
    <s v="Refaturamento - Regular"/>
    <x v="2"/>
    <x v="3"/>
    <x v="7"/>
    <x v="3"/>
    <x v="0"/>
    <x v="0"/>
    <x v="1"/>
    <x v="9"/>
    <n v="0"/>
    <n v="0"/>
    <n v="-5.2"/>
    <n v="-5.2"/>
    <n v="-5.2"/>
    <n v="-5.2"/>
    <n v="-36"/>
    <x v="1"/>
    <n v="0"/>
    <n v="0"/>
    <n v="11"/>
    <n v="46"/>
    <n v="0"/>
    <n v="272.91000000000003"/>
    <n v="185.18"/>
    <m/>
    <n v="315.8126451707094"/>
    <n v="198.13390838089941"/>
    <n v="0"/>
    <n v="-1419.1320000000003"/>
    <n v="-962.93600000000004"/>
    <n v="0"/>
    <n v="-1642.2257548876889"/>
    <n v="-1030.2963235806769"/>
  </r>
  <r>
    <s v="Sistema de Compensação"/>
    <x v="2"/>
    <x v="3"/>
    <x v="7"/>
    <x v="3"/>
    <x v="0"/>
    <x v="0"/>
    <x v="1"/>
    <x v="9"/>
    <n v="0"/>
    <n v="0"/>
    <n v="74.456999999999994"/>
    <n v="74.456999999999994"/>
    <n v="74.456999999999994"/>
    <n v="74.456999999999994"/>
    <n v="390"/>
    <x v="1"/>
    <n v="0"/>
    <n v="0"/>
    <n v="11"/>
    <n v="46"/>
    <n v="0"/>
    <n v="272.91000000000003"/>
    <n v="185.18"/>
    <m/>
    <n v="315.8126451707094"/>
    <n v="198.13390838089941"/>
    <n v="0"/>
    <n v="20320.059870000001"/>
    <n v="13787.947259999999"/>
    <n v="0"/>
    <n v="23514.462121475506"/>
    <n v="14752.456416316627"/>
  </r>
  <r>
    <s v="Sistema de Compensação"/>
    <x v="2"/>
    <x v="3"/>
    <x v="7"/>
    <x v="3"/>
    <x v="0"/>
    <x v="0"/>
    <x v="1"/>
    <x v="9"/>
    <n v="0"/>
    <n v="0"/>
    <n v="-3.3929999999999998"/>
    <n v="-3.3929999999999998"/>
    <n v="-3.3929999999999998"/>
    <n v="-3.3929999999999998"/>
    <n v="-1"/>
    <x v="1"/>
    <n v="0"/>
    <n v="0"/>
    <n v="11"/>
    <n v="46"/>
    <n v="0"/>
    <n v="272.91000000000003"/>
    <n v="185.18"/>
    <m/>
    <n v="315.8126451707094"/>
    <n v="198.13390838089941"/>
    <n v="0"/>
    <n v="-925.98363000000006"/>
    <n v="-628.31574000000001"/>
    <n v="0"/>
    <n v="-1071.5523050642169"/>
    <n v="-672.26835113639163"/>
  </r>
  <r>
    <s v="Regular"/>
    <x v="2"/>
    <x v="3"/>
    <x v="7"/>
    <x v="3"/>
    <x v="0"/>
    <x v="0"/>
    <x v="1"/>
    <x v="10"/>
    <n v="0"/>
    <n v="0"/>
    <n v="1699.2270000000001"/>
    <n v="1699.2270000000001"/>
    <n v="1699.2270000000001"/>
    <n v="1699.2270000000001"/>
    <n v="38136"/>
    <x v="1"/>
    <n v="0"/>
    <n v="0"/>
    <n v="11"/>
    <n v="46"/>
    <n v="0"/>
    <n v="272.91000000000003"/>
    <n v="185.18"/>
    <m/>
    <n v="315.8126451707094"/>
    <n v="198.13390838089941"/>
    <n v="0"/>
    <n v="463736.04057000007"/>
    <n v="314662.85586000001"/>
    <n v="0"/>
    <n v="536637.37361548911"/>
    <n v="336674.48673635058"/>
  </r>
  <r>
    <s v="Refaturamento - Regular"/>
    <x v="2"/>
    <x v="3"/>
    <x v="7"/>
    <x v="3"/>
    <x v="0"/>
    <x v="0"/>
    <x v="1"/>
    <x v="10"/>
    <n v="0"/>
    <n v="0"/>
    <n v="-5.6769999999999996"/>
    <n v="-5.6769999999999996"/>
    <n v="-5.6769999999999996"/>
    <n v="-5.6769999999999996"/>
    <n v="-26832"/>
    <x v="1"/>
    <n v="0"/>
    <n v="0"/>
    <n v="11"/>
    <n v="46"/>
    <n v="0"/>
    <n v="272.91000000000003"/>
    <n v="185.18"/>
    <m/>
    <n v="315.8126451707094"/>
    <n v="198.13390838089941"/>
    <n v="0"/>
    <n v="-1549.31007"/>
    <n v="-1051.26686"/>
    <n v="0"/>
    <n v="-1792.8683866341171"/>
    <n v="-1124.806197878366"/>
  </r>
  <r>
    <s v="Sistema de Compensação"/>
    <x v="2"/>
    <x v="3"/>
    <x v="7"/>
    <x v="3"/>
    <x v="0"/>
    <x v="0"/>
    <x v="1"/>
    <x v="10"/>
    <n v="0"/>
    <n v="0"/>
    <n v="53.591999999999999"/>
    <n v="53.591999999999999"/>
    <n v="53.591999999999999"/>
    <n v="53.591999999999999"/>
    <n v="407"/>
    <x v="1"/>
    <n v="0"/>
    <n v="0"/>
    <n v="11"/>
    <n v="46"/>
    <n v="0"/>
    <n v="272.91000000000003"/>
    <n v="185.18"/>
    <m/>
    <n v="315.8126451707094"/>
    <n v="198.13390838089941"/>
    <n v="0"/>
    <n v="14625.792720000001"/>
    <n v="9924.1665599999997"/>
    <n v="0"/>
    <n v="16925.03127998866"/>
    <n v="10618.392417949161"/>
  </r>
  <r>
    <s v="Sistema de Compensação"/>
    <x v="2"/>
    <x v="3"/>
    <x v="7"/>
    <x v="3"/>
    <x v="0"/>
    <x v="0"/>
    <x v="1"/>
    <x v="10"/>
    <n v="0"/>
    <n v="0"/>
    <n v="-35.850999999999999"/>
    <n v="-35.850999999999999"/>
    <n v="-35.850999999999999"/>
    <n v="-35.850999999999999"/>
    <n v="-2"/>
    <x v="1"/>
    <n v="0"/>
    <n v="0"/>
    <n v="11"/>
    <n v="46"/>
    <n v="0"/>
    <n v="272.91000000000003"/>
    <n v="185.18"/>
    <m/>
    <n v="315.8126451707094"/>
    <n v="198.13390838089941"/>
    <n v="0"/>
    <n v="-9784.0964100000001"/>
    <n v="-6638.8881799999999"/>
    <n v="0"/>
    <n v="-11322.199142015103"/>
    <n v="-7103.2987493636247"/>
  </r>
  <r>
    <s v="Regular"/>
    <x v="2"/>
    <x v="3"/>
    <x v="7"/>
    <x v="3"/>
    <x v="0"/>
    <x v="0"/>
    <x v="1"/>
    <x v="11"/>
    <n v="0"/>
    <n v="0"/>
    <n v="1891.549"/>
    <n v="1891.549"/>
    <n v="1891.549"/>
    <n v="1891.549"/>
    <n v="11356"/>
    <x v="1"/>
    <n v="0"/>
    <n v="0"/>
    <n v="11"/>
    <n v="46"/>
    <n v="0"/>
    <n v="272.91000000000003"/>
    <n v="185.18"/>
    <m/>
    <n v="315.8126451707094"/>
    <n v="198.13390838089941"/>
    <n v="0"/>
    <n v="516222.63759000006"/>
    <n v="350277.04382000002"/>
    <n v="0"/>
    <n v="597375.09316001018"/>
    <n v="374779.99626398191"/>
  </r>
  <r>
    <s v="Refaturamento - Regular"/>
    <x v="2"/>
    <x v="3"/>
    <x v="7"/>
    <x v="3"/>
    <x v="0"/>
    <x v="0"/>
    <x v="1"/>
    <x v="11"/>
    <n v="0"/>
    <n v="0"/>
    <n v="-10.9"/>
    <n v="-10.9"/>
    <n v="-10.9"/>
    <n v="-10.9"/>
    <n v="-42"/>
    <x v="1"/>
    <n v="0"/>
    <n v="0"/>
    <n v="11"/>
    <n v="46"/>
    <n v="0"/>
    <n v="272.91000000000003"/>
    <n v="185.18"/>
    <m/>
    <n v="315.8126451707094"/>
    <n v="198.13390838089941"/>
    <n v="0"/>
    <n v="-2974.7190000000005"/>
    <n v="-2018.4620000000002"/>
    <n v="0"/>
    <n v="-3442.3578323607326"/>
    <n v="-2159.6596013518038"/>
  </r>
  <r>
    <s v="Sistema de Compensação"/>
    <x v="2"/>
    <x v="3"/>
    <x v="7"/>
    <x v="3"/>
    <x v="0"/>
    <x v="0"/>
    <x v="1"/>
    <x v="11"/>
    <n v="0"/>
    <n v="0"/>
    <n v="77.406000000000006"/>
    <n v="77.406000000000006"/>
    <n v="77.406000000000006"/>
    <n v="77.406000000000006"/>
    <n v="450"/>
    <x v="1"/>
    <n v="0"/>
    <n v="0"/>
    <n v="11"/>
    <n v="46"/>
    <n v="0"/>
    <n v="272.91000000000003"/>
    <n v="185.18"/>
    <m/>
    <n v="315.8126451707094"/>
    <n v="198.13390838089941"/>
    <n v="0"/>
    <n v="21124.871460000002"/>
    <n v="14334.043080000001"/>
    <n v="0"/>
    <n v="24445.793612083933"/>
    <n v="15336.753312131901"/>
  </r>
  <r>
    <s v="Sistema de Compensação"/>
    <x v="2"/>
    <x v="3"/>
    <x v="7"/>
    <x v="3"/>
    <x v="0"/>
    <x v="0"/>
    <x v="1"/>
    <x v="11"/>
    <n v="0"/>
    <n v="0"/>
    <n v="-1.7909999999999999"/>
    <n v="-1.7909999999999999"/>
    <n v="-1.7909999999999999"/>
    <n v="-1.7909999999999999"/>
    <n v="-2"/>
    <x v="1"/>
    <n v="0"/>
    <n v="0"/>
    <n v="11"/>
    <n v="46"/>
    <n v="0"/>
    <n v="272.91000000000003"/>
    <n v="185.18"/>
    <m/>
    <n v="315.8126451707094"/>
    <n v="198.13390838089941"/>
    <n v="0"/>
    <n v="-488.78181000000001"/>
    <n v="-331.65737999999999"/>
    <n v="0"/>
    <n v="-565.62044750074051"/>
    <n v="-354.85782991019084"/>
  </r>
  <r>
    <s v="Regular"/>
    <x v="2"/>
    <x v="3"/>
    <x v="7"/>
    <x v="4"/>
    <x v="0"/>
    <x v="0"/>
    <x v="1"/>
    <x v="0"/>
    <n v="0"/>
    <n v="0"/>
    <n v="7.14"/>
    <n v="7.14"/>
    <n v="7.14"/>
    <n v="7.14"/>
    <n v="12"/>
    <x v="1"/>
    <n v="0"/>
    <n v="0"/>
    <n v="10"/>
    <n v="57"/>
    <n v="0"/>
    <n v="71.83"/>
    <n v="64.81"/>
    <m/>
    <n v="76.497360298077055"/>
    <n v="69.346867933314783"/>
    <n v="0"/>
    <n v="512.86619999999994"/>
    <n v="462.74340000000001"/>
    <n v="0"/>
    <n v="546.19115252827009"/>
    <n v="495.13663704386755"/>
  </r>
  <r>
    <s v="Regular"/>
    <x v="2"/>
    <x v="3"/>
    <x v="7"/>
    <x v="4"/>
    <x v="0"/>
    <x v="0"/>
    <x v="1"/>
    <x v="1"/>
    <n v="0"/>
    <n v="0"/>
    <n v="7.2"/>
    <n v="7.2"/>
    <n v="7.2"/>
    <n v="7.2"/>
    <n v="8"/>
    <x v="1"/>
    <n v="0"/>
    <n v="0"/>
    <n v="10"/>
    <n v="57"/>
    <n v="0"/>
    <n v="71.83"/>
    <n v="64.81"/>
    <m/>
    <n v="76.497360298077055"/>
    <n v="69.346867933314783"/>
    <n v="0"/>
    <n v="517.17600000000004"/>
    <n v="466.63200000000001"/>
    <n v="0"/>
    <n v="550.78099414615485"/>
    <n v="499.29744911986643"/>
  </r>
  <r>
    <s v="Regular"/>
    <x v="2"/>
    <x v="3"/>
    <x v="7"/>
    <x v="4"/>
    <x v="0"/>
    <x v="0"/>
    <x v="1"/>
    <x v="2"/>
    <n v="0"/>
    <n v="0"/>
    <n v="7.29"/>
    <n v="7.29"/>
    <n v="7.29"/>
    <n v="7.29"/>
    <n v="9"/>
    <x v="1"/>
    <n v="0"/>
    <n v="0"/>
    <n v="10"/>
    <n v="57"/>
    <n v="0"/>
    <n v="71.83"/>
    <n v="64.81"/>
    <m/>
    <n v="76.497360298077055"/>
    <n v="69.346867933314783"/>
    <n v="0"/>
    <n v="523.64070000000004"/>
    <n v="472.4649"/>
    <n v="0"/>
    <n v="557.66575657298176"/>
    <n v="505.53866723386477"/>
  </r>
  <r>
    <s v="Regular"/>
    <x v="2"/>
    <x v="3"/>
    <x v="7"/>
    <x v="4"/>
    <x v="0"/>
    <x v="0"/>
    <x v="1"/>
    <x v="3"/>
    <n v="0"/>
    <n v="0"/>
    <n v="7.38"/>
    <n v="7.38"/>
    <n v="7.38"/>
    <n v="7.38"/>
    <n v="10"/>
    <x v="1"/>
    <n v="0"/>
    <n v="0"/>
    <n v="10"/>
    <n v="57"/>
    <n v="0"/>
    <n v="71.83"/>
    <n v="64.81"/>
    <m/>
    <n v="76.497360298077055"/>
    <n v="69.346867933314783"/>
    <n v="0"/>
    <n v="530.10540000000003"/>
    <n v="478.2978"/>
    <n v="0"/>
    <n v="564.55051899980867"/>
    <n v="511.77988534786311"/>
  </r>
  <r>
    <s v="Regular"/>
    <x v="2"/>
    <x v="3"/>
    <x v="7"/>
    <x v="4"/>
    <x v="0"/>
    <x v="0"/>
    <x v="1"/>
    <x v="4"/>
    <n v="0"/>
    <n v="0"/>
    <n v="7.98"/>
    <n v="7.98"/>
    <n v="7.98"/>
    <n v="7.98"/>
    <n v="14"/>
    <x v="1"/>
    <n v="0"/>
    <n v="0"/>
    <n v="10"/>
    <n v="57"/>
    <n v="0"/>
    <n v="71.83"/>
    <n v="64.81"/>
    <m/>
    <n v="76.497360298077055"/>
    <n v="69.346867933314783"/>
    <n v="0"/>
    <n v="573.20339999999999"/>
    <n v="517.18380000000002"/>
    <n v="0"/>
    <n v="610.44893517865489"/>
    <n v="553.38800610785199"/>
  </r>
  <r>
    <s v="Refaturamento - Regular"/>
    <x v="2"/>
    <x v="3"/>
    <x v="7"/>
    <x v="4"/>
    <x v="0"/>
    <x v="0"/>
    <x v="1"/>
    <x v="4"/>
    <n v="0"/>
    <n v="0"/>
    <n v="-0.21"/>
    <n v="-0.21"/>
    <n v="-0.21"/>
    <n v="-0.21"/>
    <n v="-1"/>
    <x v="1"/>
    <n v="0"/>
    <n v="0"/>
    <n v="10"/>
    <n v="57"/>
    <n v="0"/>
    <n v="71.83"/>
    <n v="64.81"/>
    <m/>
    <n v="76.497360298077055"/>
    <n v="69.346867933314783"/>
    <n v="0"/>
    <n v="-15.084299999999999"/>
    <n v="-13.610099999999999"/>
    <n v="0"/>
    <n v="-16.064445662596182"/>
    <n v="-14.562842265996103"/>
  </r>
  <r>
    <s v="Regular"/>
    <x v="2"/>
    <x v="3"/>
    <x v="7"/>
    <x v="4"/>
    <x v="0"/>
    <x v="0"/>
    <x v="1"/>
    <x v="5"/>
    <n v="0"/>
    <n v="0"/>
    <n v="7.83"/>
    <n v="7.83"/>
    <n v="7.83"/>
    <n v="7.83"/>
    <n v="9"/>
    <x v="1"/>
    <n v="0"/>
    <n v="0"/>
    <n v="10"/>
    <n v="57"/>
    <n v="0"/>
    <n v="71.83"/>
    <n v="64.81"/>
    <m/>
    <n v="76.497360298077055"/>
    <n v="69.346867933314783"/>
    <n v="0"/>
    <n v="562.4289"/>
    <n v="507.46230000000003"/>
    <n v="0"/>
    <n v="598.97433113394334"/>
    <n v="542.98597591785472"/>
  </r>
  <r>
    <s v="Regular"/>
    <x v="2"/>
    <x v="3"/>
    <x v="7"/>
    <x v="4"/>
    <x v="0"/>
    <x v="0"/>
    <x v="1"/>
    <x v="6"/>
    <n v="0"/>
    <n v="0"/>
    <n v="7.95"/>
    <n v="7.95"/>
    <n v="7.95"/>
    <n v="7.95"/>
    <n v="8"/>
    <x v="1"/>
    <n v="0"/>
    <n v="0"/>
    <n v="10"/>
    <n v="57"/>
    <n v="0"/>
    <n v="71.83"/>
    <n v="64.81"/>
    <m/>
    <n v="76.497360298077055"/>
    <n v="69.346867933314783"/>
    <n v="0"/>
    <n v="571.04849999999999"/>
    <n v="515.23950000000002"/>
    <n v="0"/>
    <n v="608.15401436971263"/>
    <n v="551.30760006985258"/>
  </r>
  <r>
    <s v="Regular"/>
    <x v="2"/>
    <x v="3"/>
    <x v="7"/>
    <x v="4"/>
    <x v="0"/>
    <x v="0"/>
    <x v="1"/>
    <x v="7"/>
    <n v="0"/>
    <n v="0"/>
    <n v="13.92"/>
    <n v="13.92"/>
    <n v="13.92"/>
    <n v="13.92"/>
    <n v="36"/>
    <x v="1"/>
    <n v="0"/>
    <n v="0"/>
    <n v="10"/>
    <n v="57"/>
    <n v="0"/>
    <n v="71.83"/>
    <n v="64.81"/>
    <m/>
    <n v="76.497360298077055"/>
    <n v="69.346867933314783"/>
    <n v="0"/>
    <n v="999.87360000000001"/>
    <n v="902.15520000000004"/>
    <n v="0"/>
    <n v="1064.8432553492325"/>
    <n v="965.30840163174173"/>
  </r>
  <r>
    <s v="Regular"/>
    <x v="2"/>
    <x v="3"/>
    <x v="7"/>
    <x v="4"/>
    <x v="0"/>
    <x v="0"/>
    <x v="1"/>
    <x v="8"/>
    <n v="0"/>
    <n v="0"/>
    <n v="17.373000000000001"/>
    <n v="17.373000000000001"/>
    <n v="17.373000000000001"/>
    <n v="17.373000000000001"/>
    <n v="43"/>
    <x v="1"/>
    <n v="0"/>
    <n v="0"/>
    <n v="10"/>
    <n v="57"/>
    <n v="0"/>
    <n v="71.83"/>
    <n v="64.81"/>
    <m/>
    <n v="76.497360298077055"/>
    <n v="69.346867933314783"/>
    <n v="0"/>
    <n v="1247.9025900000001"/>
    <n v="1125.9441300000001"/>
    <n v="0"/>
    <n v="1328.9886404584927"/>
    <n v="1204.7631366054777"/>
  </r>
  <r>
    <s v="Refaturamento - Regular"/>
    <x v="2"/>
    <x v="3"/>
    <x v="7"/>
    <x v="4"/>
    <x v="0"/>
    <x v="0"/>
    <x v="1"/>
    <x v="8"/>
    <n v="0"/>
    <n v="0"/>
    <n v="-0.03"/>
    <n v="-0.03"/>
    <n v="-0.03"/>
    <n v="-0.03"/>
    <n v="0"/>
    <x v="1"/>
    <n v="0"/>
    <n v="0"/>
    <n v="10"/>
    <n v="57"/>
    <n v="0"/>
    <n v="71.83"/>
    <n v="64.81"/>
    <m/>
    <n v="76.497360298077055"/>
    <n v="69.346867933314783"/>
    <n v="0"/>
    <n v="-2.1549"/>
    <n v="-1.9442999999999999"/>
    <n v="0"/>
    <n v="-2.2949208089423117"/>
    <n v="-2.0804060379994436"/>
  </r>
  <r>
    <s v="Regular"/>
    <x v="2"/>
    <x v="3"/>
    <x v="7"/>
    <x v="4"/>
    <x v="0"/>
    <x v="0"/>
    <x v="1"/>
    <x v="9"/>
    <n v="0"/>
    <n v="0"/>
    <n v="29.131"/>
    <n v="29.131"/>
    <n v="29.131"/>
    <n v="29.131"/>
    <n v="73"/>
    <x v="1"/>
    <n v="0"/>
    <n v="0"/>
    <n v="10"/>
    <n v="57"/>
    <n v="0"/>
    <n v="71.83"/>
    <n v="64.81"/>
    <m/>
    <n v="76.497360298077055"/>
    <n v="69.346867933314783"/>
    <n v="0"/>
    <n v="2092.47973"/>
    <n v="1887.98011"/>
    <n v="0"/>
    <n v="2228.4446028432826"/>
    <n v="2020.143609765393"/>
  </r>
  <r>
    <s v="Regular"/>
    <x v="2"/>
    <x v="3"/>
    <x v="7"/>
    <x v="4"/>
    <x v="0"/>
    <x v="0"/>
    <x v="1"/>
    <x v="10"/>
    <n v="0"/>
    <n v="0"/>
    <n v="31.393000000000001"/>
    <n v="31.393000000000001"/>
    <n v="31.393000000000001"/>
    <n v="31.393000000000001"/>
    <n v="84"/>
    <x v="1"/>
    <n v="0"/>
    <n v="0"/>
    <n v="10"/>
    <n v="57"/>
    <n v="0"/>
    <n v="71.83"/>
    <n v="64.81"/>
    <m/>
    <n v="76.497360298077055"/>
    <n v="69.346867933314783"/>
    <n v="0"/>
    <n v="2254.95919"/>
    <n v="2034.58033"/>
    <n v="0"/>
    <n v="2401.4816318375329"/>
    <n v="2177.0062250305509"/>
  </r>
  <r>
    <s v="Regular"/>
    <x v="2"/>
    <x v="3"/>
    <x v="7"/>
    <x v="4"/>
    <x v="0"/>
    <x v="0"/>
    <x v="1"/>
    <x v="11"/>
    <n v="0"/>
    <n v="0"/>
    <n v="31.45"/>
    <n v="31.45"/>
    <n v="31.45"/>
    <n v="31.45"/>
    <n v="103"/>
    <x v="1"/>
    <n v="0"/>
    <n v="0"/>
    <n v="10"/>
    <n v="57"/>
    <n v="0"/>
    <n v="71.83"/>
    <n v="64.81"/>
    <m/>
    <n v="76.497360298077055"/>
    <n v="69.346867933314783"/>
    <n v="0"/>
    <n v="2259.0535"/>
    <n v="2038.2745"/>
    <n v="0"/>
    <n v="2405.8419813745231"/>
    <n v="2180.9589965027499"/>
  </r>
  <r>
    <s v="Refaturamento - Regular"/>
    <x v="2"/>
    <x v="3"/>
    <x v="7"/>
    <x v="4"/>
    <x v="0"/>
    <x v="0"/>
    <x v="1"/>
    <x v="11"/>
    <n v="0"/>
    <n v="0"/>
    <n v="-0.06"/>
    <n v="-0.06"/>
    <n v="-0.06"/>
    <n v="-0.06"/>
    <n v="-2"/>
    <x v="1"/>
    <n v="0"/>
    <n v="0"/>
    <n v="10"/>
    <n v="57"/>
    <n v="0"/>
    <n v="71.83"/>
    <n v="64.81"/>
    <m/>
    <n v="76.497360298077055"/>
    <n v="69.346867933314783"/>
    <n v="0"/>
    <n v="-4.3098000000000001"/>
    <n v="-3.8885999999999998"/>
    <n v="0"/>
    <n v="-4.5898416178846233"/>
    <n v="-4.1608120759988871"/>
  </r>
  <r>
    <s v="Regular"/>
    <x v="2"/>
    <x v="3"/>
    <x v="7"/>
    <x v="5"/>
    <x v="0"/>
    <x v="0"/>
    <x v="1"/>
    <x v="0"/>
    <n v="0"/>
    <n v="0"/>
    <n v="1.8169999999999999"/>
    <n v="1.8169999999999999"/>
    <n v="1.8169999999999999"/>
    <n v="1.8169999999999999"/>
    <n v="43"/>
    <x v="1"/>
    <n v="0"/>
    <n v="0"/>
    <n v="6"/>
    <n v="55"/>
    <n v="0"/>
    <n v="123.13"/>
    <n v="111.11"/>
    <m/>
    <n v="131.13833193956069"/>
    <n v="118.88034502853964"/>
    <n v="0"/>
    <n v="223.72720999999999"/>
    <n v="201.88686999999999"/>
    <n v="0"/>
    <n v="238.27834913418175"/>
    <n v="216.00558691685652"/>
  </r>
  <r>
    <s v="Regular"/>
    <x v="2"/>
    <x v="3"/>
    <x v="7"/>
    <x v="5"/>
    <x v="0"/>
    <x v="0"/>
    <x v="1"/>
    <x v="1"/>
    <n v="0"/>
    <n v="0"/>
    <n v="1.9450000000000001"/>
    <n v="1.9450000000000001"/>
    <n v="1.9450000000000001"/>
    <n v="1.9450000000000001"/>
    <n v="43"/>
    <x v="1"/>
    <n v="0"/>
    <n v="0"/>
    <n v="6"/>
    <n v="55"/>
    <n v="0"/>
    <n v="123.13"/>
    <n v="111.11"/>
    <m/>
    <n v="131.13833193956069"/>
    <n v="118.88034502853964"/>
    <n v="0"/>
    <n v="239.48785000000001"/>
    <n v="216.10894999999999"/>
    <n v="0"/>
    <n v="255.06405562244555"/>
    <n v="231.22227108050961"/>
  </r>
  <r>
    <s v="Regular"/>
    <x v="2"/>
    <x v="3"/>
    <x v="7"/>
    <x v="5"/>
    <x v="0"/>
    <x v="0"/>
    <x v="1"/>
    <x v="2"/>
    <n v="0"/>
    <n v="0"/>
    <n v="1.7030000000000001"/>
    <n v="1.7030000000000001"/>
    <n v="1.7030000000000001"/>
    <n v="1.7030000000000001"/>
    <n v="32"/>
    <x v="1"/>
    <n v="0"/>
    <n v="0"/>
    <n v="6"/>
    <n v="55"/>
    <n v="0"/>
    <n v="123.13"/>
    <n v="111.11"/>
    <m/>
    <n v="131.13833193956069"/>
    <n v="118.88034502853964"/>
    <n v="0"/>
    <n v="209.69039000000001"/>
    <n v="189.22033000000002"/>
    <n v="0"/>
    <n v="223.32857929307187"/>
    <n v="202.453227583603"/>
  </r>
  <r>
    <s v="Regular"/>
    <x v="2"/>
    <x v="3"/>
    <x v="7"/>
    <x v="5"/>
    <x v="0"/>
    <x v="0"/>
    <x v="1"/>
    <x v="3"/>
    <n v="0"/>
    <n v="0"/>
    <n v="1.8560000000000001"/>
    <n v="1.8560000000000001"/>
    <n v="1.8560000000000001"/>
    <n v="1.8560000000000001"/>
    <n v="41"/>
    <x v="1"/>
    <n v="0"/>
    <n v="0"/>
    <n v="6"/>
    <n v="55"/>
    <n v="0"/>
    <n v="123.13"/>
    <n v="111.11"/>
    <m/>
    <n v="131.13833193956069"/>
    <n v="118.88034502853964"/>
    <n v="0"/>
    <n v="228.52928"/>
    <n v="206.22016000000002"/>
    <n v="0"/>
    <n v="243.39274407982464"/>
    <n v="220.64192037296957"/>
  </r>
  <r>
    <s v="Regular"/>
    <x v="2"/>
    <x v="3"/>
    <x v="7"/>
    <x v="5"/>
    <x v="0"/>
    <x v="0"/>
    <x v="1"/>
    <x v="4"/>
    <n v="0"/>
    <n v="0"/>
    <n v="1.742"/>
    <n v="1.742"/>
    <n v="1.742"/>
    <n v="1.742"/>
    <n v="35"/>
    <x v="1"/>
    <n v="0"/>
    <n v="0"/>
    <n v="6"/>
    <n v="55"/>
    <n v="0"/>
    <n v="123.13"/>
    <n v="111.11"/>
    <m/>
    <n v="131.13833193956069"/>
    <n v="118.88034502853964"/>
    <n v="0"/>
    <n v="214.49245999999999"/>
    <n v="193.55362"/>
    <n v="0"/>
    <n v="228.44297423871473"/>
    <n v="207.08956103971605"/>
  </r>
  <r>
    <s v="Refaturamento - Regular"/>
    <x v="2"/>
    <x v="3"/>
    <x v="7"/>
    <x v="5"/>
    <x v="0"/>
    <x v="0"/>
    <x v="1"/>
    <x v="4"/>
    <n v="0"/>
    <n v="0"/>
    <n v="-0.16600000000000001"/>
    <n v="-0.16600000000000001"/>
    <n v="-0.16600000000000001"/>
    <n v="-0.16600000000000001"/>
    <n v="-1"/>
    <x v="1"/>
    <n v="0"/>
    <n v="0"/>
    <n v="6"/>
    <n v="55"/>
    <n v="0"/>
    <n v="123.13"/>
    <n v="111.11"/>
    <m/>
    <n v="131.13833193956069"/>
    <n v="118.88034502853964"/>
    <n v="0"/>
    <n v="-20.439579999999999"/>
    <n v="-18.44426"/>
    <n v="0"/>
    <n v="-21.768963101967074"/>
    <n v="-19.734137274737581"/>
  </r>
  <r>
    <s v="Regular"/>
    <x v="2"/>
    <x v="3"/>
    <x v="7"/>
    <x v="5"/>
    <x v="0"/>
    <x v="0"/>
    <x v="1"/>
    <x v="5"/>
    <n v="0"/>
    <n v="0"/>
    <n v="2.04"/>
    <n v="2.04"/>
    <n v="2.04"/>
    <n v="2.04"/>
    <n v="43"/>
    <x v="1"/>
    <n v="0"/>
    <n v="0"/>
    <n v="6"/>
    <n v="55"/>
    <n v="0"/>
    <n v="123.13"/>
    <n v="111.11"/>
    <m/>
    <n v="131.13833193956069"/>
    <n v="118.88034502853964"/>
    <n v="0"/>
    <n v="251.18520000000001"/>
    <n v="226.6644"/>
    <n v="0"/>
    <n v="267.52219715670378"/>
    <n v="242.51590385822087"/>
  </r>
  <r>
    <s v="Regular"/>
    <x v="2"/>
    <x v="3"/>
    <x v="7"/>
    <x v="5"/>
    <x v="0"/>
    <x v="0"/>
    <x v="1"/>
    <x v="6"/>
    <n v="0"/>
    <n v="0"/>
    <n v="11.269"/>
    <n v="11.269"/>
    <n v="11.269"/>
    <n v="11.269"/>
    <n v="28"/>
    <x v="1"/>
    <n v="0"/>
    <n v="0"/>
    <n v="6"/>
    <n v="55"/>
    <n v="0"/>
    <n v="123.13"/>
    <n v="111.11"/>
    <m/>
    <n v="131.13833193956069"/>
    <n v="118.88034502853964"/>
    <n v="0"/>
    <n v="1387.55197"/>
    <n v="1252.0985900000001"/>
    <n v="0"/>
    <n v="1477.7978626269094"/>
    <n v="1339.6626081266131"/>
  </r>
  <r>
    <s v="Regular"/>
    <x v="2"/>
    <x v="3"/>
    <x v="7"/>
    <x v="5"/>
    <x v="0"/>
    <x v="0"/>
    <x v="1"/>
    <x v="7"/>
    <n v="0"/>
    <n v="0"/>
    <n v="3.0270000000000001"/>
    <n v="3.0270000000000001"/>
    <n v="3.0270000000000001"/>
    <n v="3.0270000000000001"/>
    <n v="69"/>
    <x v="1"/>
    <n v="0"/>
    <n v="0"/>
    <n v="6"/>
    <n v="55"/>
    <n v="0"/>
    <n v="123.13"/>
    <n v="111.11"/>
    <m/>
    <n v="131.13833193956069"/>
    <n v="118.88034502853964"/>
    <n v="0"/>
    <n v="372.71451000000002"/>
    <n v="336.32997"/>
    <n v="0"/>
    <n v="396.95573078105019"/>
    <n v="359.8508044013895"/>
  </r>
  <r>
    <s v="Regular"/>
    <x v="2"/>
    <x v="3"/>
    <x v="7"/>
    <x v="5"/>
    <x v="0"/>
    <x v="0"/>
    <x v="1"/>
    <x v="8"/>
    <n v="0"/>
    <n v="0"/>
    <n v="4.7270000000000003"/>
    <n v="4.7270000000000003"/>
    <n v="4.7270000000000003"/>
    <n v="4.7270000000000003"/>
    <n v="112"/>
    <x v="1"/>
    <n v="0"/>
    <n v="0"/>
    <n v="6"/>
    <n v="55"/>
    <n v="0"/>
    <n v="123.13"/>
    <n v="111.11"/>
    <m/>
    <n v="131.13833193956069"/>
    <n v="118.88034502853964"/>
    <n v="0"/>
    <n v="582.03551000000004"/>
    <n v="525.21697000000006"/>
    <n v="0"/>
    <n v="619.8908950783034"/>
    <n v="561.94739094990689"/>
  </r>
  <r>
    <s v="Sistema de Compensação"/>
    <x v="2"/>
    <x v="3"/>
    <x v="7"/>
    <x v="5"/>
    <x v="0"/>
    <x v="0"/>
    <x v="1"/>
    <x v="8"/>
    <n v="0"/>
    <n v="0"/>
    <n v="0.03"/>
    <n v="0.03"/>
    <n v="0.03"/>
    <n v="0.03"/>
    <n v="1"/>
    <x v="1"/>
    <n v="0"/>
    <n v="0"/>
    <n v="6"/>
    <n v="55"/>
    <n v="0"/>
    <n v="123.13"/>
    <n v="111.11"/>
    <m/>
    <n v="131.13833193956069"/>
    <n v="118.88034502853964"/>
    <n v="0"/>
    <n v="3.6938999999999997"/>
    <n v="3.3332999999999999"/>
    <n v="0"/>
    <n v="3.9341499581868202"/>
    <n v="3.5664103508561888"/>
  </r>
  <r>
    <s v="Regular"/>
    <x v="2"/>
    <x v="3"/>
    <x v="7"/>
    <x v="5"/>
    <x v="0"/>
    <x v="0"/>
    <x v="1"/>
    <x v="9"/>
    <n v="0"/>
    <n v="0"/>
    <n v="9.3559999999999999"/>
    <n v="9.3559999999999999"/>
    <n v="9.3559999999999999"/>
    <n v="9.3559999999999999"/>
    <n v="216"/>
    <x v="1"/>
    <n v="0"/>
    <n v="0"/>
    <n v="6"/>
    <n v="55"/>
    <n v="0"/>
    <n v="123.13"/>
    <n v="111.11"/>
    <m/>
    <n v="131.13833193956069"/>
    <n v="118.88034502853964"/>
    <n v="0"/>
    <n v="1152.0042799999999"/>
    <n v="1039.5451599999999"/>
    <n v="0"/>
    <n v="1226.9302336265298"/>
    <n v="1112.2445080870168"/>
  </r>
  <r>
    <s v="Regular"/>
    <x v="2"/>
    <x v="3"/>
    <x v="7"/>
    <x v="5"/>
    <x v="0"/>
    <x v="0"/>
    <x v="1"/>
    <x v="10"/>
    <n v="0"/>
    <n v="0"/>
    <n v="10.936"/>
    <n v="10.936"/>
    <n v="10.936"/>
    <n v="10.936"/>
    <n v="266"/>
    <x v="1"/>
    <n v="0"/>
    <n v="0"/>
    <n v="6"/>
    <n v="55"/>
    <n v="0"/>
    <n v="123.13"/>
    <n v="111.11"/>
    <m/>
    <n v="131.13833193956069"/>
    <n v="118.88034502853964"/>
    <n v="0"/>
    <n v="1346.5496799999999"/>
    <n v="1215.09896"/>
    <n v="0"/>
    <n v="1434.1287980910356"/>
    <n v="1300.0754532321096"/>
  </r>
  <r>
    <s v="Regular"/>
    <x v="2"/>
    <x v="3"/>
    <x v="7"/>
    <x v="5"/>
    <x v="0"/>
    <x v="0"/>
    <x v="1"/>
    <x v="11"/>
    <n v="0"/>
    <n v="0"/>
    <n v="9.8409999999999993"/>
    <n v="9.8409999999999993"/>
    <n v="9.8409999999999993"/>
    <n v="9.8409999999999993"/>
    <n v="229"/>
    <x v="1"/>
    <n v="0"/>
    <n v="0"/>
    <n v="6"/>
    <n v="55"/>
    <n v="0"/>
    <n v="123.13"/>
    <n v="111.11"/>
    <m/>
    <n v="131.13833193956069"/>
    <n v="118.88034502853964"/>
    <n v="0"/>
    <n v="1211.7223299999998"/>
    <n v="1093.4335099999998"/>
    <n v="0"/>
    <n v="1290.5323246172165"/>
    <n v="1169.9014754258585"/>
  </r>
  <r>
    <s v="Regular"/>
    <x v="2"/>
    <x v="3"/>
    <x v="7"/>
    <x v="6"/>
    <x v="0"/>
    <x v="0"/>
    <x v="1"/>
    <x v="0"/>
    <n v="0"/>
    <n v="0"/>
    <n v="20.117999999999999"/>
    <n v="20.117999999999999"/>
    <n v="20.117999999999999"/>
    <n v="20.117999999999999"/>
    <n v="130"/>
    <x v="1"/>
    <n v="0"/>
    <n v="0"/>
    <n v="15"/>
    <n v="86"/>
    <n v="0"/>
    <n v="184.7"/>
    <n v="166.66"/>
    <m/>
    <n v="196.70749790934101"/>
    <n v="178.32051754280948"/>
    <n v="0"/>
    <n v="3715.7945999999997"/>
    <n v="3352.8658799999998"/>
    <n v="0"/>
    <n v="3957.3614429401223"/>
    <n v="3587.4521719262411"/>
  </r>
  <r>
    <s v="Regular"/>
    <x v="2"/>
    <x v="3"/>
    <x v="7"/>
    <x v="6"/>
    <x v="0"/>
    <x v="0"/>
    <x v="1"/>
    <x v="1"/>
    <n v="0"/>
    <n v="0"/>
    <n v="21.292999999999999"/>
    <n v="21.292999999999999"/>
    <n v="21.292999999999999"/>
    <n v="21.292999999999999"/>
    <n v="132"/>
    <x v="1"/>
    <n v="0"/>
    <n v="0"/>
    <n v="15"/>
    <n v="86"/>
    <n v="0"/>
    <n v="184.7"/>
    <n v="166.66"/>
    <m/>
    <n v="196.70749790934101"/>
    <n v="178.32051754280948"/>
    <n v="0"/>
    <n v="3932.8170999999998"/>
    <n v="3548.6913799999998"/>
    <n v="0"/>
    <n v="4188.4927529835977"/>
    <n v="3796.9787800390422"/>
  </r>
  <r>
    <s v="Regular"/>
    <x v="2"/>
    <x v="3"/>
    <x v="7"/>
    <x v="6"/>
    <x v="0"/>
    <x v="0"/>
    <x v="1"/>
    <x v="2"/>
    <n v="0"/>
    <n v="0"/>
    <n v="22.510999999999999"/>
    <n v="22.510999999999999"/>
    <n v="22.510999999999999"/>
    <n v="22.510999999999999"/>
    <n v="141"/>
    <x v="1"/>
    <n v="0"/>
    <n v="0"/>
    <n v="15"/>
    <n v="86"/>
    <n v="0"/>
    <n v="184.7"/>
    <n v="166.66"/>
    <m/>
    <n v="196.70749790934101"/>
    <n v="178.32051754280948"/>
    <n v="0"/>
    <n v="4157.7816999999995"/>
    <n v="3751.6832599999998"/>
    <n v="0"/>
    <n v="4428.0824854371758"/>
    <n v="4014.173170406184"/>
  </r>
  <r>
    <s v="Regular"/>
    <x v="2"/>
    <x v="3"/>
    <x v="7"/>
    <x v="6"/>
    <x v="0"/>
    <x v="0"/>
    <x v="1"/>
    <x v="3"/>
    <n v="0"/>
    <n v="0"/>
    <n v="22.129000000000001"/>
    <n v="22.129000000000001"/>
    <n v="22.129000000000001"/>
    <n v="22.129000000000001"/>
    <n v="143"/>
    <x v="1"/>
    <n v="0"/>
    <n v="0"/>
    <n v="15"/>
    <n v="86"/>
    <n v="0"/>
    <n v="184.7"/>
    <n v="166.66"/>
    <m/>
    <n v="196.70749790934101"/>
    <n v="178.32051754280948"/>
    <n v="0"/>
    <n v="4087.2262999999998"/>
    <n v="3688.0191400000003"/>
    <n v="0"/>
    <n v="4352.9402212358073"/>
    <n v="3946.0547327048312"/>
  </r>
  <r>
    <s v="Regular"/>
    <x v="2"/>
    <x v="3"/>
    <x v="7"/>
    <x v="6"/>
    <x v="0"/>
    <x v="0"/>
    <x v="1"/>
    <x v="4"/>
    <n v="0"/>
    <n v="0"/>
    <n v="23.164999999999999"/>
    <n v="23.164999999999999"/>
    <n v="23.164999999999999"/>
    <n v="23.164999999999999"/>
    <n v="142"/>
    <x v="1"/>
    <n v="0"/>
    <n v="0"/>
    <n v="15"/>
    <n v="86"/>
    <n v="0"/>
    <n v="184.7"/>
    <n v="166.66"/>
    <m/>
    <n v="196.70749790934101"/>
    <n v="178.32051754280948"/>
    <n v="0"/>
    <n v="4278.5754999999999"/>
    <n v="3860.6788999999999"/>
    <n v="0"/>
    <n v="4556.7291890698843"/>
    <n v="4130.7947888791814"/>
  </r>
  <r>
    <s v="Refaturamento - Regular"/>
    <x v="2"/>
    <x v="3"/>
    <x v="7"/>
    <x v="6"/>
    <x v="0"/>
    <x v="0"/>
    <x v="1"/>
    <x v="4"/>
    <n v="0"/>
    <n v="0"/>
    <n v="-0.68700000000000006"/>
    <n v="-0.68700000000000006"/>
    <n v="-0.68700000000000006"/>
    <n v="-0.68700000000000006"/>
    <n v="-6"/>
    <x v="1"/>
    <n v="0"/>
    <n v="0"/>
    <n v="15"/>
    <n v="86"/>
    <n v="0"/>
    <n v="184.7"/>
    <n v="166.66"/>
    <m/>
    <n v="196.70749790934101"/>
    <n v="178.32051754280948"/>
    <n v="0"/>
    <n v="-126.88890000000001"/>
    <n v="-114.49542000000001"/>
    <n v="0"/>
    <n v="-135.13805106371728"/>
    <n v="-122.50619555191012"/>
  </r>
  <r>
    <s v="Sistema de Compensação"/>
    <x v="2"/>
    <x v="3"/>
    <x v="7"/>
    <x v="6"/>
    <x v="0"/>
    <x v="0"/>
    <x v="1"/>
    <x v="4"/>
    <n v="0"/>
    <n v="0"/>
    <n v="0.03"/>
    <n v="0.03"/>
    <n v="0.03"/>
    <n v="0.03"/>
    <n v="1"/>
    <x v="1"/>
    <n v="0"/>
    <n v="0"/>
    <n v="15"/>
    <n v="86"/>
    <n v="0"/>
    <n v="184.7"/>
    <n v="166.66"/>
    <m/>
    <n v="196.70749790934101"/>
    <n v="178.32051754280948"/>
    <n v="0"/>
    <n v="5.5409999999999995"/>
    <n v="4.9997999999999996"/>
    <n v="0"/>
    <n v="5.9012249372802303"/>
    <n v="5.3496155262842846"/>
  </r>
  <r>
    <s v="Regular"/>
    <x v="2"/>
    <x v="3"/>
    <x v="7"/>
    <x v="6"/>
    <x v="0"/>
    <x v="0"/>
    <x v="1"/>
    <x v="5"/>
    <n v="0"/>
    <n v="0"/>
    <n v="22.89"/>
    <n v="22.89"/>
    <n v="22.89"/>
    <n v="22.89"/>
    <n v="144"/>
    <x v="1"/>
    <n v="0"/>
    <n v="0"/>
    <n v="15"/>
    <n v="86"/>
    <n v="0"/>
    <n v="184.7"/>
    <n v="166.66"/>
    <m/>
    <n v="196.70749790934101"/>
    <n v="178.32051754280948"/>
    <n v="0"/>
    <n v="4227.7829999999994"/>
    <n v="3814.8474000000001"/>
    <n v="0"/>
    <n v="4502.6346271448156"/>
    <n v="4081.7566465549094"/>
  </r>
  <r>
    <s v="Regular"/>
    <x v="2"/>
    <x v="3"/>
    <x v="7"/>
    <x v="6"/>
    <x v="0"/>
    <x v="0"/>
    <x v="1"/>
    <x v="6"/>
    <n v="0"/>
    <n v="0"/>
    <n v="21.231999999999999"/>
    <n v="21.231999999999999"/>
    <n v="21.231999999999999"/>
    <n v="21.231999999999999"/>
    <n v="123"/>
    <x v="1"/>
    <n v="0"/>
    <n v="0"/>
    <n v="15"/>
    <n v="86"/>
    <n v="0"/>
    <n v="184.7"/>
    <n v="166.66"/>
    <m/>
    <n v="196.70749790934101"/>
    <n v="178.32051754280948"/>
    <n v="0"/>
    <n v="3921.5503999999996"/>
    <n v="3538.5251199999998"/>
    <n v="0"/>
    <n v="4176.4935956111285"/>
    <n v="3786.1012284689309"/>
  </r>
  <r>
    <s v="Sistema de Compensação"/>
    <x v="2"/>
    <x v="3"/>
    <x v="7"/>
    <x v="6"/>
    <x v="0"/>
    <x v="0"/>
    <x v="1"/>
    <x v="6"/>
    <n v="0"/>
    <n v="0"/>
    <n v="0.03"/>
    <n v="0.03"/>
    <n v="0.03"/>
    <n v="0.03"/>
    <n v="1"/>
    <x v="1"/>
    <n v="0"/>
    <n v="0"/>
    <n v="15"/>
    <n v="86"/>
    <n v="0"/>
    <n v="184.7"/>
    <n v="166.66"/>
    <m/>
    <n v="196.70749790934101"/>
    <n v="178.32051754280948"/>
    <n v="0"/>
    <n v="5.5409999999999995"/>
    <n v="4.9997999999999996"/>
    <n v="0"/>
    <n v="5.9012249372802303"/>
    <n v="5.3496155262842846"/>
  </r>
  <r>
    <s v="Regular"/>
    <x v="2"/>
    <x v="3"/>
    <x v="7"/>
    <x v="6"/>
    <x v="0"/>
    <x v="0"/>
    <x v="1"/>
    <x v="7"/>
    <n v="0"/>
    <n v="0"/>
    <n v="37.284999999999997"/>
    <n v="37.284999999999997"/>
    <n v="37.284999999999997"/>
    <n v="37.284999999999997"/>
    <n v="213"/>
    <x v="1"/>
    <n v="0"/>
    <n v="0"/>
    <n v="15"/>
    <n v="86"/>
    <n v="0"/>
    <n v="184.7"/>
    <n v="166.66"/>
    <m/>
    <n v="196.70749790934101"/>
    <n v="178.32051754280948"/>
    <n v="0"/>
    <n v="6886.539499999999"/>
    <n v="6213.918099999999"/>
    <n v="0"/>
    <n v="7334.2390595497791"/>
    <n v="6648.6804965836509"/>
  </r>
  <r>
    <s v="Sistema de Compensação"/>
    <x v="2"/>
    <x v="3"/>
    <x v="7"/>
    <x v="6"/>
    <x v="0"/>
    <x v="0"/>
    <x v="1"/>
    <x v="7"/>
    <n v="0"/>
    <n v="0"/>
    <n v="0.03"/>
    <n v="0.03"/>
    <n v="0.03"/>
    <n v="0.03"/>
    <n v="1"/>
    <x v="1"/>
    <n v="0"/>
    <n v="0"/>
    <n v="15"/>
    <n v="86"/>
    <n v="0"/>
    <n v="184.7"/>
    <n v="166.66"/>
    <m/>
    <n v="196.70749790934101"/>
    <n v="178.32051754280948"/>
    <n v="0"/>
    <n v="5.5409999999999995"/>
    <n v="4.9997999999999996"/>
    <n v="0"/>
    <n v="5.9012249372802303"/>
    <n v="5.3496155262842846"/>
  </r>
  <r>
    <s v="Regular"/>
    <x v="2"/>
    <x v="3"/>
    <x v="7"/>
    <x v="6"/>
    <x v="0"/>
    <x v="0"/>
    <x v="1"/>
    <x v="8"/>
    <n v="0"/>
    <n v="0"/>
    <n v="46.143000000000001"/>
    <n v="46.143000000000001"/>
    <n v="46.143000000000001"/>
    <n v="46.143000000000001"/>
    <n v="282"/>
    <x v="1"/>
    <n v="0"/>
    <n v="0"/>
    <n v="15"/>
    <n v="86"/>
    <n v="0"/>
    <n v="184.7"/>
    <n v="166.66"/>
    <m/>
    <n v="196.70749790934101"/>
    <n v="178.32051754280948"/>
    <n v="0"/>
    <n v="8522.6121000000003"/>
    <n v="7690.1923799999995"/>
    <n v="0"/>
    <n v="9076.6740760307221"/>
    <n v="8228.2436409778584"/>
  </r>
  <r>
    <s v="Refaturamento - Regular"/>
    <x v="2"/>
    <x v="3"/>
    <x v="7"/>
    <x v="6"/>
    <x v="0"/>
    <x v="0"/>
    <x v="1"/>
    <x v="8"/>
    <n v="0"/>
    <n v="0"/>
    <n v="-8.1000000000000003E-2"/>
    <n v="-8.1000000000000003E-2"/>
    <n v="-8.1000000000000003E-2"/>
    <n v="-8.1000000000000003E-2"/>
    <n v="-1"/>
    <x v="1"/>
    <n v="0"/>
    <n v="0"/>
    <n v="15"/>
    <n v="86"/>
    <n v="0"/>
    <n v="184.7"/>
    <n v="166.66"/>
    <m/>
    <n v="196.70749790934101"/>
    <n v="178.32051754280948"/>
    <n v="0"/>
    <n v="-14.960699999999999"/>
    <n v="-13.499460000000001"/>
    <n v="0"/>
    <n v="-15.933307330656623"/>
    <n v="-14.443961920967569"/>
  </r>
  <r>
    <s v="Regular"/>
    <x v="2"/>
    <x v="3"/>
    <x v="7"/>
    <x v="6"/>
    <x v="0"/>
    <x v="0"/>
    <x v="1"/>
    <x v="9"/>
    <n v="0"/>
    <n v="0"/>
    <n v="74.665999999999997"/>
    <n v="74.665999999999997"/>
    <n v="74.665999999999997"/>
    <n v="74.665999999999997"/>
    <n v="476"/>
    <x v="1"/>
    <n v="0"/>
    <n v="0"/>
    <n v="15"/>
    <n v="86"/>
    <n v="0"/>
    <n v="184.7"/>
    <n v="166.66"/>
    <m/>
    <n v="196.70749790934101"/>
    <n v="178.32051754280948"/>
    <n v="0"/>
    <n v="13790.810199999998"/>
    <n v="12443.83556"/>
    <n v="0"/>
    <n v="14687.362038898855"/>
    <n v="13314.479762851412"/>
  </r>
  <r>
    <s v="Sistema de Compensação"/>
    <x v="2"/>
    <x v="3"/>
    <x v="7"/>
    <x v="6"/>
    <x v="0"/>
    <x v="0"/>
    <x v="1"/>
    <x v="9"/>
    <n v="0"/>
    <n v="0"/>
    <n v="0.03"/>
    <n v="0.03"/>
    <n v="0.03"/>
    <n v="0.03"/>
    <n v="1"/>
    <x v="1"/>
    <n v="0"/>
    <n v="0"/>
    <n v="15"/>
    <n v="86"/>
    <n v="0"/>
    <n v="184.7"/>
    <n v="166.66"/>
    <m/>
    <n v="196.70749790934101"/>
    <n v="178.32051754280948"/>
    <n v="0"/>
    <n v="5.5409999999999995"/>
    <n v="4.9997999999999996"/>
    <n v="0"/>
    <n v="5.9012249372802303"/>
    <n v="5.3496155262842846"/>
  </r>
  <r>
    <s v="Regular"/>
    <x v="2"/>
    <x v="3"/>
    <x v="7"/>
    <x v="6"/>
    <x v="0"/>
    <x v="0"/>
    <x v="1"/>
    <x v="10"/>
    <n v="0"/>
    <n v="0"/>
    <n v="76.320999999999998"/>
    <n v="76.320999999999998"/>
    <n v="76.320999999999998"/>
    <n v="76.320999999999998"/>
    <n v="514"/>
    <x v="1"/>
    <n v="0"/>
    <n v="0"/>
    <n v="15"/>
    <n v="86"/>
    <n v="0"/>
    <n v="184.7"/>
    <n v="166.66"/>
    <m/>
    <n v="196.70749790934101"/>
    <n v="178.32051754280948"/>
    <n v="0"/>
    <n v="14096.488699999998"/>
    <n v="12719.657859999999"/>
    <n v="0"/>
    <n v="15012.912947938816"/>
    <n v="13609.600219384762"/>
  </r>
  <r>
    <s v="Sistema de Compensação"/>
    <x v="2"/>
    <x v="3"/>
    <x v="7"/>
    <x v="6"/>
    <x v="0"/>
    <x v="0"/>
    <x v="1"/>
    <x v="10"/>
    <n v="0"/>
    <n v="0"/>
    <n v="0.03"/>
    <n v="0.03"/>
    <n v="0.03"/>
    <n v="0.03"/>
    <n v="1"/>
    <x v="1"/>
    <n v="0"/>
    <n v="0"/>
    <n v="15"/>
    <n v="86"/>
    <n v="0"/>
    <n v="184.7"/>
    <n v="166.66"/>
    <m/>
    <n v="196.70749790934101"/>
    <n v="178.32051754280948"/>
    <n v="0"/>
    <n v="5.5409999999999995"/>
    <n v="4.9997999999999996"/>
    <n v="0"/>
    <n v="5.9012249372802303"/>
    <n v="5.3496155262842846"/>
  </r>
  <r>
    <s v="Regular"/>
    <x v="2"/>
    <x v="3"/>
    <x v="7"/>
    <x v="6"/>
    <x v="0"/>
    <x v="0"/>
    <x v="1"/>
    <x v="11"/>
    <n v="0"/>
    <n v="0"/>
    <n v="76.268000000000001"/>
    <n v="76.268000000000001"/>
    <n v="76.268000000000001"/>
    <n v="76.268000000000001"/>
    <n v="501"/>
    <x v="1"/>
    <n v="0"/>
    <n v="0"/>
    <n v="15"/>
    <n v="86"/>
    <n v="0"/>
    <n v="184.7"/>
    <n v="166.66"/>
    <m/>
    <n v="196.70749790934101"/>
    <n v="178.32051754280948"/>
    <n v="0"/>
    <n v="14086.6996"/>
    <n v="12710.82488"/>
    <n v="0"/>
    <n v="15002.487450549621"/>
    <n v="13600.149231954994"/>
  </r>
  <r>
    <s v="Sistema de Compensação"/>
    <x v="2"/>
    <x v="3"/>
    <x v="7"/>
    <x v="6"/>
    <x v="0"/>
    <x v="0"/>
    <x v="1"/>
    <x v="11"/>
    <n v="0"/>
    <n v="0"/>
    <n v="0.03"/>
    <n v="0.03"/>
    <n v="0.03"/>
    <n v="0.03"/>
    <n v="1"/>
    <x v="1"/>
    <n v="0"/>
    <n v="0"/>
    <n v="15"/>
    <n v="86"/>
    <n v="0"/>
    <n v="184.7"/>
    <n v="166.66"/>
    <m/>
    <n v="196.70749790934101"/>
    <n v="178.32051754280948"/>
    <n v="0"/>
    <n v="5.5409999999999995"/>
    <n v="4.9997999999999996"/>
    <n v="0"/>
    <n v="5.9012249372802303"/>
    <n v="5.3496155262842846"/>
  </r>
  <r>
    <s v="Regular"/>
    <x v="2"/>
    <x v="3"/>
    <x v="7"/>
    <x v="7"/>
    <x v="0"/>
    <x v="0"/>
    <x v="1"/>
    <x v="0"/>
    <n v="0"/>
    <n v="0"/>
    <n v="11.138"/>
    <n v="11.138"/>
    <n v="11.138"/>
    <n v="11.138"/>
    <n v="53"/>
    <x v="1"/>
    <n v="0"/>
    <n v="0"/>
    <n v="13"/>
    <n v="71"/>
    <n v="0"/>
    <n v="205.22"/>
    <n v="185.18"/>
    <m/>
    <n v="218.56388656593447"/>
    <n v="198.13390838089941"/>
    <n v="0"/>
    <n v="2285.7403599999998"/>
    <n v="2062.5348400000003"/>
    <n v="0"/>
    <n v="2434.3645685713782"/>
    <n v="2206.8154715464575"/>
  </r>
  <r>
    <s v="Sistema de Compensação"/>
    <x v="2"/>
    <x v="3"/>
    <x v="7"/>
    <x v="7"/>
    <x v="0"/>
    <x v="0"/>
    <x v="1"/>
    <x v="0"/>
    <n v="0"/>
    <n v="0"/>
    <n v="0.35099999999999998"/>
    <n v="0.35099999999999998"/>
    <n v="0.35099999999999998"/>
    <n v="0.35099999999999998"/>
    <n v="1"/>
    <x v="1"/>
    <n v="0"/>
    <n v="0"/>
    <n v="13"/>
    <n v="71"/>
    <n v="0"/>
    <n v="205.22"/>
    <n v="185.18"/>
    <m/>
    <n v="218.56388656593447"/>
    <n v="198.13390838089941"/>
    <n v="0"/>
    <n v="72.032219999999995"/>
    <n v="64.998180000000005"/>
    <n v="0"/>
    <n v="76.715924184642986"/>
    <n v="69.545001841695694"/>
  </r>
  <r>
    <s v="Regular"/>
    <x v="2"/>
    <x v="3"/>
    <x v="7"/>
    <x v="7"/>
    <x v="0"/>
    <x v="0"/>
    <x v="1"/>
    <x v="1"/>
    <n v="0"/>
    <n v="0"/>
    <n v="11.95"/>
    <n v="11.95"/>
    <n v="11.95"/>
    <n v="11.95"/>
    <n v="57"/>
    <x v="1"/>
    <n v="0"/>
    <n v="0"/>
    <n v="13"/>
    <n v="71"/>
    <n v="0"/>
    <n v="205.22"/>
    <n v="185.18"/>
    <m/>
    <n v="218.56388656593447"/>
    <n v="198.13390838089941"/>
    <n v="0"/>
    <n v="2452.3789999999999"/>
    <n v="2212.9009999999998"/>
    <n v="0"/>
    <n v="2611.8384444629169"/>
    <n v="2367.7002051517479"/>
  </r>
  <r>
    <s v="Sistema de Compensação"/>
    <x v="2"/>
    <x v="3"/>
    <x v="7"/>
    <x v="7"/>
    <x v="0"/>
    <x v="0"/>
    <x v="1"/>
    <x v="1"/>
    <n v="0"/>
    <n v="0"/>
    <n v="0.12"/>
    <n v="0.12"/>
    <n v="0.12"/>
    <n v="0.12"/>
    <n v="1"/>
    <x v="1"/>
    <n v="0"/>
    <n v="0"/>
    <n v="13"/>
    <n v="71"/>
    <n v="0"/>
    <n v="205.22"/>
    <n v="185.18"/>
    <m/>
    <n v="218.56388656593447"/>
    <n v="198.13390838089941"/>
    <n v="0"/>
    <n v="24.6264"/>
    <n v="22.221599999999999"/>
    <n v="0"/>
    <n v="26.227666387912134"/>
    <n v="23.776069005707928"/>
  </r>
  <r>
    <s v="Regular"/>
    <x v="2"/>
    <x v="3"/>
    <x v="7"/>
    <x v="7"/>
    <x v="0"/>
    <x v="0"/>
    <x v="1"/>
    <x v="2"/>
    <n v="0"/>
    <n v="0"/>
    <n v="12.823"/>
    <n v="12.823"/>
    <n v="12.823"/>
    <n v="12.823"/>
    <n v="62"/>
    <x v="1"/>
    <n v="0"/>
    <n v="0"/>
    <n v="13"/>
    <n v="71"/>
    <n v="0"/>
    <n v="205.22"/>
    <n v="185.18"/>
    <m/>
    <n v="218.56388656593447"/>
    <n v="198.13390838089941"/>
    <n v="0"/>
    <n v="2631.5360599999999"/>
    <n v="2374.5631400000002"/>
    <n v="0"/>
    <n v="2802.6447174349778"/>
    <n v="2540.6711071682735"/>
  </r>
  <r>
    <s v="Sistema de Compensação"/>
    <x v="2"/>
    <x v="3"/>
    <x v="7"/>
    <x v="7"/>
    <x v="0"/>
    <x v="0"/>
    <x v="1"/>
    <x v="2"/>
    <n v="0"/>
    <n v="0"/>
    <n v="7.0999999999999994E-2"/>
    <n v="7.0999999999999994E-2"/>
    <n v="7.0999999999999994E-2"/>
    <n v="7.0999999999999994E-2"/>
    <n v="1"/>
    <x v="1"/>
    <n v="0"/>
    <n v="0"/>
    <n v="13"/>
    <n v="71"/>
    <n v="0"/>
    <n v="205.22"/>
    <n v="185.18"/>
    <m/>
    <n v="218.56388656593447"/>
    <n v="198.13390838089941"/>
    <n v="0"/>
    <n v="14.570619999999998"/>
    <n v="13.147779999999999"/>
    <n v="0"/>
    <n v="15.518035946181346"/>
    <n v="14.067507495043857"/>
  </r>
  <r>
    <s v="Regular"/>
    <x v="2"/>
    <x v="3"/>
    <x v="7"/>
    <x v="7"/>
    <x v="0"/>
    <x v="0"/>
    <x v="1"/>
    <x v="3"/>
    <n v="0"/>
    <n v="0"/>
    <n v="11.367000000000001"/>
    <n v="11.367000000000001"/>
    <n v="11.367000000000001"/>
    <n v="11.367000000000001"/>
    <n v="52"/>
    <x v="1"/>
    <n v="0"/>
    <n v="0"/>
    <n v="13"/>
    <n v="71"/>
    <n v="0"/>
    <n v="205.22"/>
    <n v="185.18"/>
    <m/>
    <n v="218.56388656593447"/>
    <n v="198.13390838089941"/>
    <n v="0"/>
    <n v="2332.7357400000001"/>
    <n v="2104.9410600000001"/>
    <n v="0"/>
    <n v="2484.4156985949771"/>
    <n v="2252.1881365656836"/>
  </r>
  <r>
    <s v="Sistema de Compensação"/>
    <x v="2"/>
    <x v="3"/>
    <x v="7"/>
    <x v="7"/>
    <x v="0"/>
    <x v="0"/>
    <x v="1"/>
    <x v="3"/>
    <n v="0"/>
    <n v="0"/>
    <n v="0.03"/>
    <n v="0.03"/>
    <n v="0.03"/>
    <n v="0.03"/>
    <n v="1"/>
    <x v="1"/>
    <n v="0"/>
    <n v="0"/>
    <n v="13"/>
    <n v="71"/>
    <n v="0"/>
    <n v="205.22"/>
    <n v="185.18"/>
    <m/>
    <n v="218.56388656593447"/>
    <n v="198.13390838089941"/>
    <n v="0"/>
    <n v="6.1566000000000001"/>
    <n v="5.5553999999999997"/>
    <n v="0"/>
    <n v="6.5569165969780334"/>
    <n v="5.944017251426982"/>
  </r>
  <r>
    <s v="Regular"/>
    <x v="2"/>
    <x v="3"/>
    <x v="7"/>
    <x v="7"/>
    <x v="0"/>
    <x v="0"/>
    <x v="1"/>
    <x v="4"/>
    <n v="0"/>
    <n v="0"/>
    <n v="16.094000000000001"/>
    <n v="16.094000000000001"/>
    <n v="16.094000000000001"/>
    <n v="16.094000000000001"/>
    <n v="70"/>
    <x v="1"/>
    <n v="0"/>
    <n v="0"/>
    <n v="13"/>
    <n v="71"/>
    <n v="0"/>
    <n v="205.22"/>
    <n v="185.18"/>
    <m/>
    <n v="218.56388656593447"/>
    <n v="198.13390838089941"/>
    <n v="0"/>
    <n v="3302.81068"/>
    <n v="2980.2869200000005"/>
    <n v="0"/>
    <n v="3517.5671903921498"/>
    <n v="3188.7671214821953"/>
  </r>
  <r>
    <s v="Refaturamento - Regular"/>
    <x v="2"/>
    <x v="3"/>
    <x v="7"/>
    <x v="7"/>
    <x v="0"/>
    <x v="0"/>
    <x v="1"/>
    <x v="4"/>
    <n v="0"/>
    <n v="0"/>
    <n v="-1.292"/>
    <n v="-1.292"/>
    <n v="-1.292"/>
    <n v="-1.292"/>
    <n v="-1"/>
    <x v="1"/>
    <n v="0"/>
    <n v="0"/>
    <n v="13"/>
    <n v="71"/>
    <n v="0"/>
    <n v="205.22"/>
    <n v="185.18"/>
    <m/>
    <n v="218.56388656593447"/>
    <n v="198.13390838089941"/>
    <n v="0"/>
    <n v="-265.14424000000002"/>
    <n v="-239.25256000000002"/>
    <n v="0"/>
    <n v="-282.38454144318735"/>
    <n v="-255.98900962812206"/>
  </r>
  <r>
    <s v="Regular"/>
    <x v="2"/>
    <x v="3"/>
    <x v="7"/>
    <x v="7"/>
    <x v="0"/>
    <x v="0"/>
    <x v="1"/>
    <x v="5"/>
    <n v="0"/>
    <n v="0"/>
    <n v="13.026"/>
    <n v="13.026"/>
    <n v="13.026"/>
    <n v="13.026"/>
    <n v="65"/>
    <x v="1"/>
    <n v="0"/>
    <n v="0"/>
    <n v="13"/>
    <n v="71"/>
    <n v="0"/>
    <n v="205.22"/>
    <n v="185.18"/>
    <m/>
    <n v="218.56388656593447"/>
    <n v="198.13390838089941"/>
    <n v="0"/>
    <n v="2673.1957200000002"/>
    <n v="2412.1546800000001"/>
    <n v="0"/>
    <n v="2847.0131864078621"/>
    <n v="2580.8922905695958"/>
  </r>
  <r>
    <s v="Regular"/>
    <x v="2"/>
    <x v="3"/>
    <x v="7"/>
    <x v="7"/>
    <x v="0"/>
    <x v="0"/>
    <x v="1"/>
    <x v="6"/>
    <n v="0"/>
    <n v="0"/>
    <n v="15.836"/>
    <n v="15.836"/>
    <n v="15.836"/>
    <n v="15.836"/>
    <n v="106"/>
    <x v="1"/>
    <n v="0"/>
    <n v="0"/>
    <n v="13"/>
    <n v="71"/>
    <n v="0"/>
    <n v="205.22"/>
    <n v="185.18"/>
    <m/>
    <n v="218.56388656593447"/>
    <n v="198.13390838089941"/>
    <n v="0"/>
    <n v="3249.8639200000002"/>
    <n v="2932.5104800000004"/>
    <n v="0"/>
    <n v="3461.1777076581384"/>
    <n v="3137.6485731199232"/>
  </r>
  <r>
    <s v="Regular"/>
    <x v="2"/>
    <x v="3"/>
    <x v="7"/>
    <x v="7"/>
    <x v="0"/>
    <x v="0"/>
    <x v="1"/>
    <x v="7"/>
    <n v="0"/>
    <n v="0"/>
    <n v="39.064"/>
    <n v="39.064"/>
    <n v="39.064"/>
    <n v="39.064"/>
    <n v="147"/>
    <x v="1"/>
    <n v="0"/>
    <n v="0"/>
    <n v="13"/>
    <n v="71"/>
    <n v="0"/>
    <n v="205.22"/>
    <n v="185.18"/>
    <m/>
    <n v="218.56388656593447"/>
    <n v="198.13390838089941"/>
    <n v="0"/>
    <n v="8016.7140799999997"/>
    <n v="7233.8715200000006"/>
    <n v="0"/>
    <n v="8537.9796648116644"/>
    <n v="7739.9029969914545"/>
  </r>
  <r>
    <s v="Regular"/>
    <x v="2"/>
    <x v="3"/>
    <x v="7"/>
    <x v="7"/>
    <x v="0"/>
    <x v="0"/>
    <x v="1"/>
    <x v="8"/>
    <n v="0"/>
    <n v="0"/>
    <n v="35.491999999999997"/>
    <n v="35.491999999999997"/>
    <n v="35.491999999999997"/>
    <n v="35.491999999999997"/>
    <n v="144"/>
    <x v="1"/>
    <n v="0"/>
    <n v="0"/>
    <n v="13"/>
    <n v="71"/>
    <n v="0"/>
    <n v="205.22"/>
    <n v="185.18"/>
    <m/>
    <n v="218.56388656593447"/>
    <n v="198.13390838089941"/>
    <n v="0"/>
    <n v="7283.6682399999991"/>
    <n v="6572.4085599999999"/>
    <n v="0"/>
    <n v="7757.2694619981457"/>
    <n v="7032.1686762548816"/>
  </r>
  <r>
    <s v="Regular"/>
    <x v="2"/>
    <x v="3"/>
    <x v="7"/>
    <x v="7"/>
    <x v="0"/>
    <x v="0"/>
    <x v="1"/>
    <x v="9"/>
    <n v="0"/>
    <n v="0"/>
    <n v="45.762999999999998"/>
    <n v="45.762999999999998"/>
    <n v="45.762999999999998"/>
    <n v="45.762999999999998"/>
    <n v="207"/>
    <x v="1"/>
    <n v="0"/>
    <n v="0"/>
    <n v="13"/>
    <n v="71"/>
    <n v="0"/>
    <n v="205.22"/>
    <n v="185.18"/>
    <m/>
    <n v="218.56388656593447"/>
    <n v="198.13390838089941"/>
    <n v="0"/>
    <n v="9391.4828600000001"/>
    <n v="8474.3923400000003"/>
    <n v="0"/>
    <n v="10002.139140916859"/>
    <n v="9067.2020492351003"/>
  </r>
  <r>
    <s v="Regular"/>
    <x v="2"/>
    <x v="3"/>
    <x v="7"/>
    <x v="7"/>
    <x v="0"/>
    <x v="0"/>
    <x v="1"/>
    <x v="10"/>
    <n v="0"/>
    <n v="0"/>
    <n v="42.765999999999998"/>
    <n v="42.765999999999998"/>
    <n v="42.765999999999998"/>
    <n v="42.765999999999998"/>
    <n v="187"/>
    <x v="1"/>
    <n v="0"/>
    <n v="0"/>
    <n v="13"/>
    <n v="71"/>
    <n v="0"/>
    <n v="205.22"/>
    <n v="185.18"/>
    <m/>
    <n v="218.56388656593447"/>
    <n v="198.13390838089941"/>
    <n v="0"/>
    <n v="8776.4385199999997"/>
    <n v="7919.4078799999997"/>
    <n v="0"/>
    <n v="9347.103172878753"/>
    <n v="8473.3947258175431"/>
  </r>
  <r>
    <s v="Sistema de Compensação"/>
    <x v="2"/>
    <x v="3"/>
    <x v="7"/>
    <x v="7"/>
    <x v="0"/>
    <x v="0"/>
    <x v="1"/>
    <x v="10"/>
    <n v="0"/>
    <n v="0"/>
    <n v="0.05"/>
    <n v="0.05"/>
    <n v="0.05"/>
    <n v="0.05"/>
    <n v="1"/>
    <x v="1"/>
    <n v="0"/>
    <n v="0"/>
    <n v="13"/>
    <n v="71"/>
    <n v="0"/>
    <n v="205.22"/>
    <n v="185.18"/>
    <m/>
    <n v="218.56388656593447"/>
    <n v="198.13390838089941"/>
    <n v="0"/>
    <n v="10.261000000000001"/>
    <n v="9.2590000000000003"/>
    <n v="0"/>
    <n v="10.928194328296724"/>
    <n v="9.9066954190449721"/>
  </r>
  <r>
    <s v="Regular"/>
    <x v="2"/>
    <x v="3"/>
    <x v="7"/>
    <x v="7"/>
    <x v="0"/>
    <x v="0"/>
    <x v="1"/>
    <x v="11"/>
    <n v="0"/>
    <n v="0"/>
    <n v="48.942"/>
    <n v="48.942"/>
    <n v="48.942"/>
    <n v="48.942"/>
    <n v="217"/>
    <x v="1"/>
    <n v="0"/>
    <n v="0"/>
    <n v="13"/>
    <n v="71"/>
    <n v="0"/>
    <n v="205.22"/>
    <n v="185.18"/>
    <m/>
    <n v="218.56388656593447"/>
    <n v="198.13390838089941"/>
    <n v="0"/>
    <n v="10043.87724"/>
    <n v="9063.0795600000001"/>
    <n v="0"/>
    <n v="10696.953736309964"/>
    <n v="9697.0697439779797"/>
  </r>
  <r>
    <s v="Sistema de Compensação"/>
    <x v="2"/>
    <x v="3"/>
    <x v="7"/>
    <x v="7"/>
    <x v="0"/>
    <x v="0"/>
    <x v="1"/>
    <x v="11"/>
    <n v="0"/>
    <n v="0"/>
    <n v="0.05"/>
    <n v="0.05"/>
    <n v="0.05"/>
    <n v="0.05"/>
    <n v="1"/>
    <x v="1"/>
    <n v="0"/>
    <n v="0"/>
    <n v="13"/>
    <n v="71"/>
    <n v="0"/>
    <n v="205.22"/>
    <n v="185.18"/>
    <m/>
    <n v="218.56388656593447"/>
    <n v="198.13390838089941"/>
    <n v="0"/>
    <n v="10.261000000000001"/>
    <n v="9.2590000000000003"/>
    <n v="0"/>
    <n v="10.928194328296724"/>
    <n v="9.9066954190449721"/>
  </r>
  <r>
    <s v="Regular"/>
    <x v="3"/>
    <x v="3"/>
    <x v="5"/>
    <x v="1"/>
    <x v="2"/>
    <x v="0"/>
    <x v="1"/>
    <x v="0"/>
    <n v="0"/>
    <n v="0"/>
    <n v="64.334999999999994"/>
    <n v="25.734000000000002"/>
    <n v="64.334999999999994"/>
    <n v="25.734000000000002"/>
    <n v="0"/>
    <x v="1"/>
    <n v="0"/>
    <n v="0"/>
    <n v="40"/>
    <n v="78"/>
    <n v="0"/>
    <n v="240.16"/>
    <n v="162.96"/>
    <m/>
    <n v="296.8638864604668"/>
    <n v="186.24587387804544"/>
    <n v="0"/>
    <n v="6180.2774400000008"/>
    <n v="4193.6126400000003"/>
    <n v="0"/>
    <n v="7639.4952541736529"/>
    <n v="4792.8513183776222"/>
  </r>
  <r>
    <s v="Refaturamento - Regular"/>
    <x v="3"/>
    <x v="3"/>
    <x v="5"/>
    <x v="1"/>
    <x v="2"/>
    <x v="0"/>
    <x v="1"/>
    <x v="0"/>
    <n v="0"/>
    <n v="0"/>
    <n v="-1.1140000000000001"/>
    <n v="-0.4456"/>
    <n v="-1.1140000000000001"/>
    <n v="-0.4456"/>
    <n v="0"/>
    <x v="1"/>
    <n v="0"/>
    <n v="0"/>
    <n v="40"/>
    <n v="78"/>
    <n v="0"/>
    <n v="240.16"/>
    <n v="162.96"/>
    <m/>
    <n v="296.8638864604668"/>
    <n v="186.24587387804544"/>
    <n v="0"/>
    <n v="-107.01529599999999"/>
    <n v="-72.614975999999999"/>
    <n v="0"/>
    <n v="-132.28254780678401"/>
    <n v="-82.991161400057052"/>
  </r>
  <r>
    <s v="Sistema de Compensação"/>
    <x v="3"/>
    <x v="3"/>
    <x v="5"/>
    <x v="1"/>
    <x v="2"/>
    <x v="0"/>
    <x v="1"/>
    <x v="0"/>
    <n v="0"/>
    <n v="0"/>
    <n v="0.437"/>
    <n v="0.17480000000000001"/>
    <n v="0.437"/>
    <n v="0.17480000000000001"/>
    <n v="0"/>
    <x v="1"/>
    <n v="0"/>
    <n v="0"/>
    <n v="40"/>
    <n v="78"/>
    <n v="0"/>
    <n v="240.16"/>
    <n v="162.96"/>
    <m/>
    <n v="296.8638864604668"/>
    <n v="186.24587387804544"/>
    <n v="0"/>
    <n v="41.979968"/>
    <n v="28.485408000000003"/>
    <n v="0"/>
    <n v="51.8918073532896"/>
    <n v="32.555778753882343"/>
  </r>
  <r>
    <s v="Regular"/>
    <x v="3"/>
    <x v="3"/>
    <x v="5"/>
    <x v="1"/>
    <x v="2"/>
    <x v="0"/>
    <x v="1"/>
    <x v="1"/>
    <n v="0"/>
    <n v="0"/>
    <n v="89.831999999999994"/>
    <n v="35.9328"/>
    <n v="89.831999999999994"/>
    <n v="35.9328"/>
    <n v="0"/>
    <x v="1"/>
    <n v="0"/>
    <n v="0"/>
    <n v="40"/>
    <n v="78"/>
    <n v="0"/>
    <n v="240.16"/>
    <n v="162.96"/>
    <m/>
    <n v="296.8638864604668"/>
    <n v="186.24587387804544"/>
    <n v="0"/>
    <n v="8629.6212479999995"/>
    <n v="5855.6090880000002"/>
    <n v="0"/>
    <n v="10667.150659406661"/>
    <n v="6692.3357368850311"/>
  </r>
  <r>
    <s v="Refaturamento - Regular"/>
    <x v="3"/>
    <x v="3"/>
    <x v="5"/>
    <x v="1"/>
    <x v="2"/>
    <x v="0"/>
    <x v="1"/>
    <x v="1"/>
    <n v="0"/>
    <n v="0"/>
    <n v="-9.1999999999999998E-2"/>
    <n v="-3.6799999999999999E-2"/>
    <n v="-9.1999999999999998E-2"/>
    <n v="-3.6799999999999999E-2"/>
    <n v="0"/>
    <x v="1"/>
    <n v="0"/>
    <n v="0"/>
    <n v="40"/>
    <n v="78"/>
    <n v="0"/>
    <n v="240.16"/>
    <n v="162.96"/>
    <m/>
    <n v="296.8638864604668"/>
    <n v="186.24587387804544"/>
    <n v="0"/>
    <n v="-8.8378879999999995"/>
    <n v="-5.9969280000000005"/>
    <n v="0"/>
    <n v="-10.924591021745178"/>
    <n v="-6.8538481587120721"/>
  </r>
  <r>
    <s v="Sistema de Compensação"/>
    <x v="3"/>
    <x v="3"/>
    <x v="5"/>
    <x v="1"/>
    <x v="2"/>
    <x v="0"/>
    <x v="1"/>
    <x v="1"/>
    <n v="0"/>
    <n v="0"/>
    <n v="0.52100000000000002"/>
    <n v="0.2084"/>
    <n v="0.52100000000000002"/>
    <n v="0.2084"/>
    <n v="0"/>
    <x v="1"/>
    <n v="0"/>
    <n v="0"/>
    <n v="40"/>
    <n v="78"/>
    <n v="0"/>
    <n v="240.16"/>
    <n v="162.96"/>
    <m/>
    <n v="296.8638864604668"/>
    <n v="186.24587387804544"/>
    <n v="0"/>
    <n v="50.049343999999998"/>
    <n v="33.960864000000001"/>
    <n v="0"/>
    <n v="61.866433938361283"/>
    <n v="38.813640116184672"/>
  </r>
  <r>
    <s v="Regular"/>
    <x v="3"/>
    <x v="3"/>
    <x v="5"/>
    <x v="1"/>
    <x v="2"/>
    <x v="0"/>
    <x v="1"/>
    <x v="2"/>
    <n v="0"/>
    <n v="0"/>
    <n v="126.84"/>
    <n v="50.735999999999997"/>
    <n v="126.84"/>
    <n v="50.735999999999997"/>
    <n v="0"/>
    <x v="1"/>
    <n v="0"/>
    <n v="0"/>
    <n v="40"/>
    <n v="78"/>
    <n v="0"/>
    <n v="240.16"/>
    <n v="162.96"/>
    <m/>
    <n v="296.8638864604668"/>
    <n v="186.24587387804544"/>
    <n v="0"/>
    <n v="12184.757759999999"/>
    <n v="8267.9385600000005"/>
    <n v="0"/>
    <n v="15061.686143458242"/>
    <n v="9449.3706570765135"/>
  </r>
  <r>
    <s v="Refaturamento - Regular"/>
    <x v="3"/>
    <x v="3"/>
    <x v="5"/>
    <x v="1"/>
    <x v="2"/>
    <x v="0"/>
    <x v="1"/>
    <x v="2"/>
    <n v="0"/>
    <n v="0"/>
    <n v="-2.19"/>
    <n v="-0.876"/>
    <n v="-2.19"/>
    <n v="-0.876"/>
    <n v="0"/>
    <x v="1"/>
    <n v="0"/>
    <n v="0"/>
    <n v="40"/>
    <n v="78"/>
    <n v="0"/>
    <n v="240.16"/>
    <n v="162.96"/>
    <m/>
    <n v="296.8638864604668"/>
    <n v="186.24587387804544"/>
    <n v="0"/>
    <n v="-210.38015999999999"/>
    <n v="-142.75296"/>
    <n v="0"/>
    <n v="-260.05276453936892"/>
    <n v="-163.1513855171678"/>
  </r>
  <r>
    <s v="Sistema de Compensação"/>
    <x v="3"/>
    <x v="3"/>
    <x v="5"/>
    <x v="1"/>
    <x v="2"/>
    <x v="0"/>
    <x v="1"/>
    <x v="2"/>
    <n v="0"/>
    <n v="0"/>
    <n v="1.6890000000000001"/>
    <n v="0.67559999999999998"/>
    <n v="1.6890000000000001"/>
    <n v="0.67559999999999998"/>
    <n v="0"/>
    <x v="1"/>
    <n v="0"/>
    <n v="0"/>
    <n v="40"/>
    <n v="78"/>
    <n v="0"/>
    <n v="240.16"/>
    <n v="162.96"/>
    <m/>
    <n v="296.8638864604668"/>
    <n v="186.24587387804544"/>
    <n v="0"/>
    <n v="162.25209599999999"/>
    <n v="110.095776"/>
    <n v="0"/>
    <n v="200.56124169269137"/>
    <n v="125.8277123920075"/>
  </r>
  <r>
    <s v="Regular"/>
    <x v="3"/>
    <x v="3"/>
    <x v="5"/>
    <x v="1"/>
    <x v="2"/>
    <x v="0"/>
    <x v="1"/>
    <x v="3"/>
    <n v="0"/>
    <n v="0"/>
    <n v="84.653000000000006"/>
    <n v="33.861199999999997"/>
    <n v="84.653000000000006"/>
    <n v="33.861199999999997"/>
    <n v="0"/>
    <x v="1"/>
    <n v="0"/>
    <n v="0"/>
    <n v="40"/>
    <n v="78"/>
    <n v="0"/>
    <n v="240.16"/>
    <n v="162.96"/>
    <m/>
    <n v="296.8638864604668"/>
    <n v="186.24587387804544"/>
    <n v="0"/>
    <n v="8132.1057919999994"/>
    <n v="5518.0211519999993"/>
    <n v="0"/>
    <n v="10052.167432215158"/>
    <n v="6306.5087845592716"/>
  </r>
  <r>
    <s v="Refaturamento - Regular"/>
    <x v="3"/>
    <x v="3"/>
    <x v="5"/>
    <x v="1"/>
    <x v="2"/>
    <x v="0"/>
    <x v="1"/>
    <x v="3"/>
    <n v="0"/>
    <n v="0"/>
    <n v="-5.9939999999999998"/>
    <n v="-2.3976000000000002"/>
    <n v="-5.9939999999999998"/>
    <n v="-2.3976000000000002"/>
    <n v="0"/>
    <x v="1"/>
    <n v="0"/>
    <n v="0"/>
    <n v="40"/>
    <n v="78"/>
    <n v="0"/>
    <n v="240.16"/>
    <n v="162.96"/>
    <m/>
    <n v="296.8638864604668"/>
    <n v="186.24587387804544"/>
    <n v="0"/>
    <n v="-575.80761600000005"/>
    <n v="-390.71289600000006"/>
    <n v="0"/>
    <n v="-711.76085417761522"/>
    <n v="-446.54310721000178"/>
  </r>
  <r>
    <s v="Sistema de Compensação"/>
    <x v="3"/>
    <x v="3"/>
    <x v="5"/>
    <x v="1"/>
    <x v="2"/>
    <x v="0"/>
    <x v="1"/>
    <x v="3"/>
    <n v="0"/>
    <n v="0"/>
    <n v="4.5019999999999998"/>
    <n v="1.8008"/>
    <n v="4.5019999999999998"/>
    <n v="1.8008"/>
    <n v="0"/>
    <x v="1"/>
    <n v="0"/>
    <n v="0"/>
    <n v="40"/>
    <n v="78"/>
    <n v="0"/>
    <n v="240.16"/>
    <n v="162.96"/>
    <m/>
    <n v="296.8638864604668"/>
    <n v="186.24587387804544"/>
    <n v="0"/>
    <n v="432.48012799999998"/>
    <n v="293.45836800000001"/>
    <n v="0"/>
    <n v="534.59248673800857"/>
    <n v="335.39156967958422"/>
  </r>
  <r>
    <s v="Regular"/>
    <x v="3"/>
    <x v="3"/>
    <x v="5"/>
    <x v="1"/>
    <x v="2"/>
    <x v="0"/>
    <x v="1"/>
    <x v="4"/>
    <n v="0"/>
    <n v="0"/>
    <n v="183.863"/>
    <n v="73.545199999999994"/>
    <n v="183.863"/>
    <n v="73.545199999999994"/>
    <n v="0"/>
    <x v="1"/>
    <n v="0"/>
    <n v="0"/>
    <n v="40"/>
    <n v="78"/>
    <n v="0"/>
    <n v="240.16"/>
    <n v="162.96"/>
    <m/>
    <n v="296.8638864604668"/>
    <n v="186.24587387804544"/>
    <n v="0"/>
    <n v="17662.615232"/>
    <n v="11984.925792"/>
    <n v="0"/>
    <n v="21832.913902512322"/>
    <n v="13697.490043535627"/>
  </r>
  <r>
    <s v="Sistema de Compensação"/>
    <x v="3"/>
    <x v="3"/>
    <x v="5"/>
    <x v="1"/>
    <x v="2"/>
    <x v="0"/>
    <x v="1"/>
    <x v="4"/>
    <n v="0"/>
    <n v="0"/>
    <n v="4.9530000000000003"/>
    <n v="1.9812000000000001"/>
    <n v="4.9530000000000003"/>
    <n v="1.9812000000000001"/>
    <n v="0"/>
    <x v="1"/>
    <n v="0"/>
    <n v="0"/>
    <n v="40"/>
    <n v="78"/>
    <n v="0"/>
    <n v="240.16"/>
    <n v="162.96"/>
    <m/>
    <n v="296.8638864604668"/>
    <n v="186.24587387804544"/>
    <n v="0"/>
    <n v="475.80499200000003"/>
    <n v="322.85635200000002"/>
    <n v="0"/>
    <n v="588.1467318554769"/>
    <n v="368.99032532718365"/>
  </r>
  <r>
    <s v="Regular"/>
    <x v="3"/>
    <x v="3"/>
    <x v="5"/>
    <x v="1"/>
    <x v="2"/>
    <x v="0"/>
    <x v="1"/>
    <x v="5"/>
    <n v="0"/>
    <n v="0"/>
    <n v="957.06500000000005"/>
    <n v="382.82600000000002"/>
    <n v="957.06500000000005"/>
    <n v="382.82600000000002"/>
    <n v="0"/>
    <x v="1"/>
    <n v="0"/>
    <n v="0"/>
    <n v="40"/>
    <n v="78"/>
    <n v="0"/>
    <n v="240.16"/>
    <n v="162.96"/>
    <m/>
    <n v="296.8638864604668"/>
    <n v="186.24587387804544"/>
    <n v="0"/>
    <n v="91939.492160000009"/>
    <n v="62385.324960000005"/>
    <n v="0"/>
    <n v="113647.21419811467"/>
    <n v="71299.762913236627"/>
  </r>
  <r>
    <s v="Refaturamento - Regular"/>
    <x v="3"/>
    <x v="3"/>
    <x v="5"/>
    <x v="1"/>
    <x v="2"/>
    <x v="0"/>
    <x v="1"/>
    <x v="5"/>
    <n v="0"/>
    <n v="0"/>
    <n v="-75.600999999999999"/>
    <n v="-30.240400000000001"/>
    <n v="-75.600999999999999"/>
    <n v="-30.240400000000001"/>
    <n v="0"/>
    <x v="1"/>
    <n v="0"/>
    <n v="0"/>
    <n v="40"/>
    <n v="78"/>
    <n v="0"/>
    <n v="240.16"/>
    <n v="162.96"/>
    <m/>
    <n v="296.8638864604668"/>
    <n v="186.24587387804544"/>
    <n v="0"/>
    <n v="-7262.5344640000003"/>
    <n v="-4927.9755840000007"/>
    <n v="0"/>
    <n v="-8977.2826721191013"/>
    <n v="-5632.1497244216453"/>
  </r>
  <r>
    <s v="Regular"/>
    <x v="3"/>
    <x v="3"/>
    <x v="5"/>
    <x v="1"/>
    <x v="2"/>
    <x v="0"/>
    <x v="1"/>
    <x v="6"/>
    <n v="0"/>
    <n v="0"/>
    <n v="1113.9190000000001"/>
    <n v="445.56760000000003"/>
    <n v="1113.9190000000001"/>
    <n v="445.56760000000003"/>
    <n v="0"/>
    <x v="1"/>
    <n v="0"/>
    <n v="0"/>
    <n v="40"/>
    <n v="78"/>
    <n v="0"/>
    <n v="240.16"/>
    <n v="162.96"/>
    <m/>
    <n v="296.8638864604668"/>
    <n v="186.24587387804544"/>
    <n v="0"/>
    <n v="107007.51481600001"/>
    <n v="72609.696096000014"/>
    <n v="0"/>
    <n v="132272.92941686269"/>
    <n v="82985.127033743411"/>
  </r>
  <r>
    <s v="Refaturamento - Regular"/>
    <x v="3"/>
    <x v="3"/>
    <x v="5"/>
    <x v="1"/>
    <x v="2"/>
    <x v="0"/>
    <x v="1"/>
    <x v="6"/>
    <n v="0"/>
    <n v="0"/>
    <n v="-8.4"/>
    <n v="-3.36"/>
    <n v="-8.4"/>
    <n v="-3.36"/>
    <n v="0"/>
    <x v="1"/>
    <n v="0"/>
    <n v="0"/>
    <n v="40"/>
    <n v="78"/>
    <n v="0"/>
    <n v="240.16"/>
    <n v="162.96"/>
    <m/>
    <n v="296.8638864604668"/>
    <n v="186.24587387804544"/>
    <n v="0"/>
    <n v="-806.93759999999997"/>
    <n v="-547.54560000000004"/>
    <n v="0"/>
    <n v="-997.46265850716838"/>
    <n v="-625.78613623023261"/>
  </r>
  <r>
    <s v="Sistema de Compensação"/>
    <x v="3"/>
    <x v="3"/>
    <x v="5"/>
    <x v="1"/>
    <x v="2"/>
    <x v="0"/>
    <x v="1"/>
    <x v="6"/>
    <n v="0"/>
    <n v="0"/>
    <n v="59.715000000000003"/>
    <n v="23.885999999999999"/>
    <n v="59.715000000000003"/>
    <n v="23.885999999999999"/>
    <n v="0"/>
    <x v="1"/>
    <n v="0"/>
    <n v="0"/>
    <n v="40"/>
    <n v="78"/>
    <n v="0"/>
    <n v="240.16"/>
    <n v="162.96"/>
    <m/>
    <n v="296.8638864604668"/>
    <n v="186.24587387804544"/>
    <n v="0"/>
    <n v="5736.4617600000001"/>
    <n v="3892.4625599999999"/>
    <n v="0"/>
    <n v="7090.8907919947096"/>
    <n v="4448.6689434509935"/>
  </r>
  <r>
    <s v="Regular"/>
    <x v="3"/>
    <x v="3"/>
    <x v="5"/>
    <x v="1"/>
    <x v="2"/>
    <x v="0"/>
    <x v="1"/>
    <x v="7"/>
    <n v="0"/>
    <n v="0"/>
    <n v="797.46600000000001"/>
    <n v="318.9864"/>
    <n v="797.46600000000001"/>
    <n v="318.9864"/>
    <n v="0"/>
    <x v="1"/>
    <n v="0"/>
    <n v="0"/>
    <n v="40"/>
    <n v="78"/>
    <n v="0"/>
    <n v="240.16"/>
    <n v="162.96"/>
    <m/>
    <n v="296.8638864604668"/>
    <n v="186.24587387804544"/>
    <n v="0"/>
    <n v="76607.773824000004"/>
    <n v="51982.023744000006"/>
    <n v="0"/>
    <n v="94695.542432033049"/>
    <n v="59409.900823211756"/>
  </r>
  <r>
    <s v="Refaturamento - Regular"/>
    <x v="3"/>
    <x v="3"/>
    <x v="5"/>
    <x v="1"/>
    <x v="2"/>
    <x v="0"/>
    <x v="1"/>
    <x v="7"/>
    <n v="0"/>
    <n v="0"/>
    <n v="-16.84"/>
    <n v="-6.7359999999999998"/>
    <n v="-16.84"/>
    <n v="-6.7359999999999998"/>
    <n v="0"/>
    <x v="1"/>
    <n v="0"/>
    <n v="0"/>
    <n v="40"/>
    <n v="78"/>
    <n v="0"/>
    <n v="240.16"/>
    <n v="162.96"/>
    <m/>
    <n v="296.8638864604668"/>
    <n v="186.24587387804544"/>
    <n v="0"/>
    <n v="-1617.71776"/>
    <n v="-1097.69856"/>
    <n v="0"/>
    <n v="-1999.6751391977043"/>
    <n v="-1254.552206442514"/>
  </r>
  <r>
    <s v="Sistema de Compensação"/>
    <x v="3"/>
    <x v="3"/>
    <x v="5"/>
    <x v="1"/>
    <x v="2"/>
    <x v="0"/>
    <x v="1"/>
    <x v="7"/>
    <n v="0"/>
    <n v="0"/>
    <n v="40.540999999999997"/>
    <n v="16.2164"/>
    <n v="40.540999999999997"/>
    <n v="16.2164"/>
    <n v="0"/>
    <x v="1"/>
    <n v="0"/>
    <n v="0"/>
    <n v="40"/>
    <n v="78"/>
    <n v="0"/>
    <n v="240.16"/>
    <n v="162.96"/>
    <m/>
    <n v="296.8638864604668"/>
    <n v="186.24587387804544"/>
    <n v="0"/>
    <n v="3894.530624"/>
    <n v="2642.6245440000002"/>
    <n v="0"/>
    <n v="4814.0635283975134"/>
    <n v="3020.2375891559363"/>
  </r>
  <r>
    <s v="Regular"/>
    <x v="3"/>
    <x v="3"/>
    <x v="5"/>
    <x v="1"/>
    <x v="2"/>
    <x v="0"/>
    <x v="1"/>
    <x v="8"/>
    <n v="0"/>
    <n v="0"/>
    <n v="557.976"/>
    <n v="223.19040000000001"/>
    <n v="557.976"/>
    <n v="223.19040000000001"/>
    <n v="0"/>
    <x v="1"/>
    <n v="0"/>
    <n v="0"/>
    <n v="40"/>
    <n v="78"/>
    <n v="0"/>
    <n v="240.16"/>
    <n v="162.96"/>
    <m/>
    <n v="296.8638864604668"/>
    <n v="186.24587387804544"/>
    <n v="0"/>
    <n v="53601.406464"/>
    <n v="36371.107584000005"/>
    <n v="0"/>
    <n v="66257.169564666168"/>
    <n v="41568.291089190519"/>
  </r>
  <r>
    <s v="Refaturamento - Regular"/>
    <x v="3"/>
    <x v="3"/>
    <x v="5"/>
    <x v="1"/>
    <x v="2"/>
    <x v="0"/>
    <x v="1"/>
    <x v="8"/>
    <n v="0"/>
    <n v="0"/>
    <n v="-8.3610000000000007"/>
    <n v="-3.3443999999999998"/>
    <n v="-8.3610000000000007"/>
    <n v="-3.3443999999999998"/>
    <n v="0"/>
    <x v="1"/>
    <n v="0"/>
    <n v="0"/>
    <n v="40"/>
    <n v="78"/>
    <n v="0"/>
    <n v="240.16"/>
    <n v="162.96"/>
    <m/>
    <n v="296.8638864604668"/>
    <n v="186.24587387804544"/>
    <n v="0"/>
    <n v="-803.191104"/>
    <n v="-545.003424"/>
    <n v="0"/>
    <n v="-992.83158187838512"/>
    <n v="-622.8807005977352"/>
  </r>
  <r>
    <s v="Sistema de Compensação"/>
    <x v="3"/>
    <x v="3"/>
    <x v="5"/>
    <x v="1"/>
    <x v="2"/>
    <x v="0"/>
    <x v="1"/>
    <x v="8"/>
    <n v="0"/>
    <n v="0"/>
    <n v="38.441000000000003"/>
    <n v="15.3764"/>
    <n v="38.441000000000003"/>
    <n v="15.3764"/>
    <n v="0"/>
    <x v="1"/>
    <n v="0"/>
    <n v="0"/>
    <n v="40"/>
    <n v="78"/>
    <n v="0"/>
    <n v="240.16"/>
    <n v="162.96"/>
    <m/>
    <n v="296.8638864604668"/>
    <n v="186.24587387804544"/>
    <n v="0"/>
    <n v="3692.7962240000002"/>
    <n v="2505.7381440000004"/>
    <n v="0"/>
    <n v="4564.6978637707216"/>
    <n v="2863.7910550983779"/>
  </r>
  <r>
    <s v="Sistema de Compensação"/>
    <x v="3"/>
    <x v="3"/>
    <x v="5"/>
    <x v="1"/>
    <x v="2"/>
    <x v="0"/>
    <x v="1"/>
    <x v="8"/>
    <n v="0"/>
    <n v="0"/>
    <n v="-17.835000000000001"/>
    <n v="-7.1340000000000003"/>
    <n v="-17.835000000000001"/>
    <n v="-7.1340000000000003"/>
    <n v="0"/>
    <x v="1"/>
    <n v="0"/>
    <n v="0"/>
    <n v="40"/>
    <n v="78"/>
    <n v="0"/>
    <n v="240.16"/>
    <n v="162.96"/>
    <m/>
    <n v="296.8638864604668"/>
    <n v="186.24587387804544"/>
    <n v="0"/>
    <n v="-1713.30144"/>
    <n v="-1162.55664"/>
    <n v="0"/>
    <n v="-2117.8269660089704"/>
    <n v="-1328.6780642459762"/>
  </r>
  <r>
    <s v="Regular"/>
    <x v="3"/>
    <x v="3"/>
    <x v="5"/>
    <x v="1"/>
    <x v="2"/>
    <x v="0"/>
    <x v="1"/>
    <x v="9"/>
    <n v="0"/>
    <n v="0"/>
    <n v="209.69399999999999"/>
    <n v="83.877600000000001"/>
    <n v="209.69399999999999"/>
    <n v="83.877600000000001"/>
    <n v="0"/>
    <x v="1"/>
    <n v="0"/>
    <n v="0"/>
    <n v="40"/>
    <n v="78"/>
    <n v="0"/>
    <n v="240.16"/>
    <n v="162.96"/>
    <m/>
    <n v="296.8638864604668"/>
    <n v="186.24587387804544"/>
    <n v="0"/>
    <n v="20144.044416000001"/>
    <n v="13668.693696"/>
    <n v="0"/>
    <n v="24900.230322976451"/>
    <n v="15621.856910793145"/>
  </r>
  <r>
    <s v="Sistema de Compensação"/>
    <x v="3"/>
    <x v="3"/>
    <x v="5"/>
    <x v="1"/>
    <x v="2"/>
    <x v="0"/>
    <x v="1"/>
    <x v="9"/>
    <n v="0"/>
    <n v="0"/>
    <n v="15.032"/>
    <n v="6.0128000000000004"/>
    <n v="15.032"/>
    <n v="6.0128000000000004"/>
    <n v="0"/>
    <x v="1"/>
    <n v="0"/>
    <n v="0"/>
    <n v="40"/>
    <n v="78"/>
    <n v="0"/>
    <n v="240.16"/>
    <n v="162.96"/>
    <m/>
    <n v="296.8638864604668"/>
    <n v="186.24587387804544"/>
    <n v="0"/>
    <n v="1444.034048"/>
    <n v="979.84588800000006"/>
    <n v="0"/>
    <n v="1784.9831765094948"/>
    <n v="1119.8591904539117"/>
  </r>
  <r>
    <s v="Regular"/>
    <x v="3"/>
    <x v="3"/>
    <x v="5"/>
    <x v="1"/>
    <x v="2"/>
    <x v="0"/>
    <x v="1"/>
    <x v="10"/>
    <n v="0"/>
    <n v="0"/>
    <n v="151.33600000000001"/>
    <n v="60.534399999999998"/>
    <n v="151.33600000000001"/>
    <n v="60.534399999999998"/>
    <n v="0"/>
    <x v="1"/>
    <n v="0"/>
    <n v="0"/>
    <n v="40"/>
    <n v="78"/>
    <n v="0"/>
    <n v="240.16"/>
    <n v="162.96"/>
    <m/>
    <n v="296.8638864604668"/>
    <n v="186.24587387804544"/>
    <n v="0"/>
    <n v="14537.941503999999"/>
    <n v="9864.6858240000001"/>
    <n v="0"/>
    <n v="17970.477248552481"/>
    <n v="11274.282227683154"/>
  </r>
  <r>
    <s v="Refaturamento - Regular"/>
    <x v="3"/>
    <x v="3"/>
    <x v="5"/>
    <x v="1"/>
    <x v="2"/>
    <x v="0"/>
    <x v="1"/>
    <x v="10"/>
    <n v="0"/>
    <n v="0"/>
    <n v="-25.431999999999999"/>
    <n v="-10.172800000000001"/>
    <n v="-25.431999999999999"/>
    <n v="-10.172800000000001"/>
    <n v="0"/>
    <x v="1"/>
    <n v="0"/>
    <n v="0"/>
    <n v="40"/>
    <n v="78"/>
    <n v="0"/>
    <n v="240.16"/>
    <n v="162.96"/>
    <m/>
    <n v="296.8638864604668"/>
    <n v="186.24587387804544"/>
    <n v="0"/>
    <n v="-2443.0996479999999"/>
    <n v="-1657.7594880000001"/>
    <n v="0"/>
    <n v="-3019.9369441850367"/>
    <n v="-1894.6420257865807"/>
  </r>
  <r>
    <s v="Sistema de Compensação"/>
    <x v="3"/>
    <x v="3"/>
    <x v="5"/>
    <x v="1"/>
    <x v="2"/>
    <x v="0"/>
    <x v="1"/>
    <x v="10"/>
    <n v="0"/>
    <n v="0"/>
    <n v="5.3159999999999998"/>
    <n v="2.1263999999999998"/>
    <n v="5.3159999999999998"/>
    <n v="2.1263999999999998"/>
    <n v="0"/>
    <x v="1"/>
    <n v="0"/>
    <n v="0"/>
    <n v="40"/>
    <n v="78"/>
    <n v="0"/>
    <n v="240.16"/>
    <n v="162.96"/>
    <m/>
    <n v="296.8638864604668"/>
    <n v="186.24587387804544"/>
    <n v="0"/>
    <n v="510.67622399999993"/>
    <n v="346.51814400000001"/>
    <n v="0"/>
    <n v="631.25136816953659"/>
    <n v="396.03322621427583"/>
  </r>
  <r>
    <s v="Regular"/>
    <x v="3"/>
    <x v="3"/>
    <x v="5"/>
    <x v="1"/>
    <x v="2"/>
    <x v="0"/>
    <x v="1"/>
    <x v="11"/>
    <n v="0"/>
    <n v="0"/>
    <n v="141.572"/>
    <n v="56.628799999999998"/>
    <n v="141.572"/>
    <n v="56.628799999999998"/>
    <n v="0"/>
    <x v="1"/>
    <n v="0"/>
    <n v="0"/>
    <n v="40"/>
    <n v="78"/>
    <n v="0"/>
    <n v="240.16"/>
    <n v="162.96"/>
    <m/>
    <n v="296.8638864604668"/>
    <n v="186.24587387804544"/>
    <n v="0"/>
    <n v="13599.972608"/>
    <n v="9228.2292479999996"/>
    <n v="0"/>
    <n v="16811.045653592482"/>
    <n v="10546.880342665059"/>
  </r>
  <r>
    <s v="Refaturamento - Regular"/>
    <x v="3"/>
    <x v="3"/>
    <x v="5"/>
    <x v="1"/>
    <x v="2"/>
    <x v="0"/>
    <x v="1"/>
    <x v="11"/>
    <n v="0"/>
    <n v="0"/>
    <n v="-0.52"/>
    <n v="-0.20799999999999999"/>
    <n v="-0.52"/>
    <n v="-0.20799999999999999"/>
    <n v="0"/>
    <x v="1"/>
    <n v="0"/>
    <n v="0"/>
    <n v="40"/>
    <n v="78"/>
    <n v="0"/>
    <n v="240.16"/>
    <n v="162.96"/>
    <m/>
    <n v="296.8638864604668"/>
    <n v="186.24587387804544"/>
    <n v="0"/>
    <n v="-49.953279999999999"/>
    <n v="-33.895679999999999"/>
    <n v="0"/>
    <n v="-61.747688383777088"/>
    <n v="-38.739141766633452"/>
  </r>
  <r>
    <s v="Sistema de Compensação"/>
    <x v="3"/>
    <x v="3"/>
    <x v="5"/>
    <x v="1"/>
    <x v="2"/>
    <x v="0"/>
    <x v="1"/>
    <x v="11"/>
    <n v="0"/>
    <n v="0"/>
    <n v="1.079"/>
    <n v="0.43159999999999998"/>
    <n v="1.079"/>
    <n v="0.43159999999999998"/>
    <n v="0"/>
    <x v="1"/>
    <n v="0"/>
    <n v="0"/>
    <n v="40"/>
    <n v="78"/>
    <n v="0"/>
    <n v="240.16"/>
    <n v="162.96"/>
    <m/>
    <n v="296.8638864604668"/>
    <n v="186.24587387804544"/>
    <n v="0"/>
    <n v="103.65305599999999"/>
    <n v="70.333535999999995"/>
    <n v="0"/>
    <n v="128.12645339633747"/>
    <n v="80.383719165764404"/>
  </r>
  <r>
    <s v="Regular"/>
    <x v="3"/>
    <x v="3"/>
    <x v="5"/>
    <x v="1"/>
    <x v="3"/>
    <x v="0"/>
    <x v="1"/>
    <x v="0"/>
    <n v="0"/>
    <n v="0"/>
    <n v="39.204000000000001"/>
    <n v="15.6816"/>
    <n v="39.204000000000001"/>
    <n v="15.6816"/>
    <n v="0"/>
    <x v="1"/>
    <n v="0"/>
    <n v="0"/>
    <n v="40"/>
    <n v="78"/>
    <n v="0"/>
    <n v="240.16"/>
    <n v="162.96"/>
    <m/>
    <n v="296.8638864604668"/>
    <n v="186.24587387804544"/>
    <n v="0"/>
    <n v="3766.0930559999997"/>
    <n v="2555.473536"/>
    <n v="0"/>
    <n v="4655.3007219184565"/>
    <n v="2920.6332958059575"/>
  </r>
  <r>
    <s v="Refaturamento - Regular"/>
    <x v="3"/>
    <x v="3"/>
    <x v="5"/>
    <x v="1"/>
    <x v="3"/>
    <x v="0"/>
    <x v="1"/>
    <x v="0"/>
    <n v="0"/>
    <n v="0"/>
    <n v="-0.501"/>
    <n v="-0.20039999999999999"/>
    <n v="-0.501"/>
    <n v="-0.20039999999999999"/>
    <n v="0"/>
    <x v="1"/>
    <n v="0"/>
    <n v="0"/>
    <n v="40"/>
    <n v="78"/>
    <n v="0"/>
    <n v="240.16"/>
    <n v="162.96"/>
    <m/>
    <n v="296.8638864604668"/>
    <n v="186.24587387804544"/>
    <n v="0"/>
    <n v="-48.128063999999995"/>
    <n v="-32.657184000000001"/>
    <n v="0"/>
    <n v="-59.491522846677547"/>
    <n v="-37.323673125160305"/>
  </r>
  <r>
    <s v="Regular"/>
    <x v="3"/>
    <x v="3"/>
    <x v="5"/>
    <x v="1"/>
    <x v="3"/>
    <x v="0"/>
    <x v="1"/>
    <x v="1"/>
    <n v="0"/>
    <n v="0"/>
    <n v="62.941000000000003"/>
    <n v="25.176400000000001"/>
    <n v="62.941000000000003"/>
    <n v="25.176400000000001"/>
    <n v="0"/>
    <x v="1"/>
    <n v="0"/>
    <n v="0"/>
    <n v="40"/>
    <n v="78"/>
    <n v="0"/>
    <n v="240.16"/>
    <n v="162.96"/>
    <m/>
    <n v="296.8638864604668"/>
    <n v="186.24587387804544"/>
    <n v="0"/>
    <n v="6046.3642239999999"/>
    <n v="4102.7461440000006"/>
    <n v="0"/>
    <n v="7473.9639510832967"/>
    <n v="4689.0006191032235"/>
  </r>
  <r>
    <s v="Refaturamento - Regular"/>
    <x v="3"/>
    <x v="3"/>
    <x v="5"/>
    <x v="1"/>
    <x v="3"/>
    <x v="0"/>
    <x v="1"/>
    <x v="1"/>
    <n v="0"/>
    <n v="0"/>
    <n v="-8.0000000000000002E-3"/>
    <n v="-3.2000000000000002E-3"/>
    <n v="-8.0000000000000002E-3"/>
    <n v="-3.2000000000000002E-3"/>
    <n v="0"/>
    <x v="1"/>
    <n v="0"/>
    <n v="0"/>
    <n v="40"/>
    <n v="78"/>
    <n v="0"/>
    <n v="240.16"/>
    <n v="162.96"/>
    <m/>
    <n v="296.8638864604668"/>
    <n v="186.24587387804544"/>
    <n v="0"/>
    <n v="-0.76851199999999997"/>
    <n v="-0.52147200000000005"/>
    <n v="0"/>
    <n v="-0.94996443667349384"/>
    <n v="-0.5959867964097455"/>
  </r>
  <r>
    <s v="Regular"/>
    <x v="3"/>
    <x v="3"/>
    <x v="5"/>
    <x v="1"/>
    <x v="3"/>
    <x v="0"/>
    <x v="1"/>
    <x v="2"/>
    <n v="0"/>
    <n v="0"/>
    <n v="101.327"/>
    <n v="40.530799999999999"/>
    <n v="101.327"/>
    <n v="40.530799999999999"/>
    <n v="0"/>
    <x v="1"/>
    <n v="0"/>
    <n v="0"/>
    <n v="40"/>
    <n v="78"/>
    <n v="0"/>
    <n v="240.16"/>
    <n v="162.96"/>
    <m/>
    <n v="296.8638864604668"/>
    <n v="186.24587387804544"/>
    <n v="0"/>
    <n v="9733.8769279999997"/>
    <n v="6604.8991679999999"/>
    <n v="0"/>
    <n v="12032.130809351887"/>
    <n v="7548.6942649762841"/>
  </r>
  <r>
    <s v="Refaturamento - Regular"/>
    <x v="3"/>
    <x v="3"/>
    <x v="5"/>
    <x v="1"/>
    <x v="3"/>
    <x v="0"/>
    <x v="1"/>
    <x v="2"/>
    <n v="0"/>
    <n v="0"/>
    <n v="-0.69"/>
    <n v="-0.27600000000000002"/>
    <n v="-0.69"/>
    <n v="-0.27600000000000002"/>
    <n v="0"/>
    <x v="1"/>
    <n v="0"/>
    <n v="0"/>
    <n v="40"/>
    <n v="78"/>
    <n v="0"/>
    <n v="240.16"/>
    <n v="162.96"/>
    <m/>
    <n v="296.8638864604668"/>
    <n v="186.24587387804544"/>
    <n v="0"/>
    <n v="-66.28416"/>
    <n v="-44.976960000000005"/>
    <n v="0"/>
    <n v="-81.934432663088842"/>
    <n v="-51.40386119034055"/>
  </r>
  <r>
    <s v="Sistema de Compensação"/>
    <x v="3"/>
    <x v="3"/>
    <x v="5"/>
    <x v="1"/>
    <x v="3"/>
    <x v="0"/>
    <x v="1"/>
    <x v="2"/>
    <n v="0"/>
    <n v="0"/>
    <n v="0.1"/>
    <n v="0.04"/>
    <n v="0.1"/>
    <n v="0.04"/>
    <n v="0"/>
    <x v="1"/>
    <n v="0"/>
    <n v="0"/>
    <n v="40"/>
    <n v="78"/>
    <n v="0"/>
    <n v="240.16"/>
    <n v="162.96"/>
    <m/>
    <n v="296.8638864604668"/>
    <n v="186.24587387804544"/>
    <n v="0"/>
    <n v="9.6064000000000007"/>
    <n v="6.5184000000000006"/>
    <n v="0"/>
    <n v="11.874555458418673"/>
    <n v="7.4498349551218181"/>
  </r>
  <r>
    <s v="Regular"/>
    <x v="3"/>
    <x v="3"/>
    <x v="5"/>
    <x v="1"/>
    <x v="3"/>
    <x v="0"/>
    <x v="1"/>
    <x v="3"/>
    <n v="0"/>
    <n v="0"/>
    <n v="49.481999999999999"/>
    <n v="19.7928"/>
    <n v="49.481999999999999"/>
    <n v="19.7928"/>
    <n v="0"/>
    <x v="1"/>
    <n v="0"/>
    <n v="0"/>
    <n v="40"/>
    <n v="78"/>
    <n v="0"/>
    <n v="240.16"/>
    <n v="162.96"/>
    <m/>
    <n v="296.8638864604668"/>
    <n v="186.24587387804544"/>
    <n v="0"/>
    <n v="4753.4388479999998"/>
    <n v="3225.4346880000003"/>
    <n v="0"/>
    <n v="5875.7675319347272"/>
    <n v="3686.327332493378"/>
  </r>
  <r>
    <s v="Refaturamento - Regular"/>
    <x v="3"/>
    <x v="3"/>
    <x v="5"/>
    <x v="1"/>
    <x v="3"/>
    <x v="0"/>
    <x v="1"/>
    <x v="3"/>
    <n v="0"/>
    <n v="0"/>
    <n v="-1.534"/>
    <n v="-0.61360000000000003"/>
    <n v="-1.534"/>
    <n v="-0.61360000000000003"/>
    <n v="0"/>
    <x v="1"/>
    <n v="0"/>
    <n v="0"/>
    <n v="40"/>
    <n v="78"/>
    <n v="0"/>
    <n v="240.16"/>
    <n v="162.96"/>
    <m/>
    <n v="296.8638864604668"/>
    <n v="186.24587387804544"/>
    <n v="0"/>
    <n v="-147.36217600000001"/>
    <n v="-99.992256000000012"/>
    <n v="0"/>
    <n v="-182.15568073214243"/>
    <n v="-114.28046821156869"/>
  </r>
  <r>
    <s v="Regular"/>
    <x v="3"/>
    <x v="3"/>
    <x v="5"/>
    <x v="1"/>
    <x v="3"/>
    <x v="0"/>
    <x v="1"/>
    <x v="4"/>
    <n v="0"/>
    <n v="0"/>
    <n v="131.38300000000001"/>
    <n v="52.553199999999997"/>
    <n v="131.38300000000001"/>
    <n v="52.553199999999997"/>
    <n v="0"/>
    <x v="1"/>
    <n v="0"/>
    <n v="0"/>
    <n v="40"/>
    <n v="78"/>
    <n v="0"/>
    <n v="240.16"/>
    <n v="162.96"/>
    <m/>
    <n v="296.8638864604668"/>
    <n v="186.24587387804544"/>
    <n v="0"/>
    <n v="12621.176511999998"/>
    <n v="8564.0694719999992"/>
    <n v="0"/>
    <n v="15601.147197934202"/>
    <n v="9787.8166590876972"/>
  </r>
  <r>
    <s v="Regular"/>
    <x v="3"/>
    <x v="3"/>
    <x v="5"/>
    <x v="1"/>
    <x v="3"/>
    <x v="0"/>
    <x v="1"/>
    <x v="5"/>
    <n v="0"/>
    <n v="0"/>
    <n v="812.57"/>
    <n v="325.02800000000002"/>
    <n v="812.57"/>
    <n v="325.02800000000002"/>
    <n v="0"/>
    <x v="1"/>
    <n v="0"/>
    <n v="0"/>
    <n v="40"/>
    <n v="78"/>
    <n v="0"/>
    <n v="240.16"/>
    <n v="162.96"/>
    <m/>
    <n v="296.8638864604668"/>
    <n v="186.24587387804544"/>
    <n v="0"/>
    <n v="78058.724480000004"/>
    <n v="52966.562880000005"/>
    <n v="0"/>
    <n v="96489.07528847261"/>
    <n v="60535.123894833356"/>
  </r>
  <r>
    <s v="Refaturamento - Regular"/>
    <x v="3"/>
    <x v="3"/>
    <x v="5"/>
    <x v="1"/>
    <x v="3"/>
    <x v="0"/>
    <x v="1"/>
    <x v="5"/>
    <n v="0"/>
    <n v="0"/>
    <n v="-44.145000000000003"/>
    <n v="-17.658000000000001"/>
    <n v="-44.145000000000003"/>
    <n v="-17.658000000000001"/>
    <n v="0"/>
    <x v="1"/>
    <n v="0"/>
    <n v="0"/>
    <n v="40"/>
    <n v="78"/>
    <n v="0"/>
    <n v="240.16"/>
    <n v="162.96"/>
    <m/>
    <n v="296.8638864604668"/>
    <n v="186.24587387804544"/>
    <n v="0"/>
    <n v="-4240.7452800000001"/>
    <n v="-2877.5476800000001"/>
    <n v="0"/>
    <n v="-5242.0225071189234"/>
    <n v="-3288.7296409385267"/>
  </r>
  <r>
    <s v="Regular"/>
    <x v="3"/>
    <x v="3"/>
    <x v="5"/>
    <x v="1"/>
    <x v="3"/>
    <x v="0"/>
    <x v="1"/>
    <x v="6"/>
    <n v="0"/>
    <n v="0"/>
    <n v="1028.1130000000001"/>
    <n v="411.24520000000001"/>
    <n v="1028.1130000000001"/>
    <n v="411.24520000000001"/>
    <n v="0"/>
    <x v="1"/>
    <n v="0"/>
    <n v="0"/>
    <n v="40"/>
    <n v="78"/>
    <n v="0"/>
    <n v="240.16"/>
    <n v="162.96"/>
    <m/>
    <n v="296.8638864604668"/>
    <n v="186.24587387804544"/>
    <n v="0"/>
    <n v="98764.647232000003"/>
    <n v="67016.517791999999"/>
    <n v="0"/>
    <n v="122083.84836021197"/>
    <n v="76592.72165215158"/>
  </r>
  <r>
    <s v="Sistema de Compensação"/>
    <x v="3"/>
    <x v="3"/>
    <x v="5"/>
    <x v="1"/>
    <x v="3"/>
    <x v="0"/>
    <x v="1"/>
    <x v="6"/>
    <n v="0"/>
    <n v="0"/>
    <n v="17.23"/>
    <n v="6.8920000000000003"/>
    <n v="17.23"/>
    <n v="6.8920000000000003"/>
    <n v="0"/>
    <x v="1"/>
    <n v="0"/>
    <n v="0"/>
    <n v="40"/>
    <n v="78"/>
    <n v="0"/>
    <n v="240.16"/>
    <n v="162.96"/>
    <m/>
    <n v="296.8638864604668"/>
    <n v="186.24587387804544"/>
    <n v="0"/>
    <n v="1655.18272"/>
    <n v="1123.1203200000002"/>
    <n v="0"/>
    <n v="2045.9859054855374"/>
    <n v="1283.6065627674893"/>
  </r>
  <r>
    <s v="Regular"/>
    <x v="3"/>
    <x v="3"/>
    <x v="5"/>
    <x v="1"/>
    <x v="3"/>
    <x v="0"/>
    <x v="1"/>
    <x v="7"/>
    <n v="0"/>
    <n v="0"/>
    <n v="742.851"/>
    <n v="297.1404"/>
    <n v="742.851"/>
    <n v="297.1404"/>
    <n v="0"/>
    <x v="1"/>
    <n v="0"/>
    <n v="0"/>
    <n v="40"/>
    <n v="78"/>
    <n v="0"/>
    <n v="240.16"/>
    <n v="162.96"/>
    <m/>
    <n v="296.8638864604668"/>
    <n v="186.24587387804544"/>
    <n v="0"/>
    <n v="71361.238463999995"/>
    <n v="48421.999584000005"/>
    <n v="0"/>
    <n v="88210.253968417688"/>
    <n v="55341.173462471976"/>
  </r>
  <r>
    <s v="Refaturamento - Regular"/>
    <x v="3"/>
    <x v="3"/>
    <x v="5"/>
    <x v="1"/>
    <x v="3"/>
    <x v="0"/>
    <x v="1"/>
    <x v="7"/>
    <n v="0"/>
    <n v="0"/>
    <n v="-25.92"/>
    <n v="-10.368"/>
    <n v="-25.92"/>
    <n v="-10.368"/>
    <n v="0"/>
    <x v="1"/>
    <n v="0"/>
    <n v="0"/>
    <n v="40"/>
    <n v="78"/>
    <n v="0"/>
    <n v="240.16"/>
    <n v="162.96"/>
    <m/>
    <n v="296.8638864604668"/>
    <n v="186.24587387804544"/>
    <n v="0"/>
    <n v="-2489.9788800000001"/>
    <n v="-1689.5692800000002"/>
    <n v="0"/>
    <n v="-3077.8847748221201"/>
    <n v="-1930.9972203675752"/>
  </r>
  <r>
    <s v="Sistema de Compensação"/>
    <x v="3"/>
    <x v="3"/>
    <x v="5"/>
    <x v="1"/>
    <x v="3"/>
    <x v="0"/>
    <x v="1"/>
    <x v="7"/>
    <n v="0"/>
    <n v="0"/>
    <n v="16.576000000000001"/>
    <n v="6.6303999999999998"/>
    <n v="16.576000000000001"/>
    <n v="6.6303999999999998"/>
    <n v="0"/>
    <x v="1"/>
    <n v="0"/>
    <n v="0"/>
    <n v="40"/>
    <n v="78"/>
    <n v="0"/>
    <n v="240.16"/>
    <n v="162.96"/>
    <m/>
    <n v="296.8638864604668"/>
    <n v="186.24587387804544"/>
    <n v="0"/>
    <n v="1592.3568639999999"/>
    <n v="1080.489984"/>
    <n v="0"/>
    <n v="1968.3263127874791"/>
    <n v="1234.8846421609924"/>
  </r>
  <r>
    <s v="Regular"/>
    <x v="3"/>
    <x v="3"/>
    <x v="5"/>
    <x v="1"/>
    <x v="3"/>
    <x v="0"/>
    <x v="1"/>
    <x v="8"/>
    <n v="0"/>
    <n v="0"/>
    <n v="580.45299999999997"/>
    <n v="232.18119999999999"/>
    <n v="580.45299999999997"/>
    <n v="232.18119999999999"/>
    <n v="0"/>
    <x v="1"/>
    <n v="0"/>
    <n v="0"/>
    <n v="40"/>
    <n v="78"/>
    <n v="0"/>
    <n v="240.16"/>
    <n v="162.96"/>
    <m/>
    <n v="296.8638864604668"/>
    <n v="186.24587387804544"/>
    <n v="0"/>
    <n v="55760.636992"/>
    <n v="37836.248352000002"/>
    <n v="0"/>
    <n v="68926.213395054932"/>
    <n v="43242.790492053246"/>
  </r>
  <r>
    <s v="Refaturamento - Regular"/>
    <x v="3"/>
    <x v="3"/>
    <x v="5"/>
    <x v="1"/>
    <x v="3"/>
    <x v="0"/>
    <x v="1"/>
    <x v="8"/>
    <n v="0"/>
    <n v="0"/>
    <n v="-10.492000000000001"/>
    <n v="-4.1967999999999996"/>
    <n v="-10.492000000000001"/>
    <n v="-4.1967999999999996"/>
    <n v="0"/>
    <x v="1"/>
    <n v="0"/>
    <n v="0"/>
    <n v="40"/>
    <n v="78"/>
    <n v="0"/>
    <n v="240.16"/>
    <n v="162.96"/>
    <m/>
    <n v="296.8638864604668"/>
    <n v="186.24587387804544"/>
    <n v="0"/>
    <n v="-1007.9034879999999"/>
    <n v="-683.910528"/>
    <n v="0"/>
    <n v="-1245.878358697287"/>
    <n v="-781.63668349138106"/>
  </r>
  <r>
    <s v="Sistema de Compensação"/>
    <x v="3"/>
    <x v="3"/>
    <x v="5"/>
    <x v="1"/>
    <x v="3"/>
    <x v="0"/>
    <x v="1"/>
    <x v="8"/>
    <n v="0"/>
    <n v="0"/>
    <n v="1.9239999999999999"/>
    <n v="0.76959999999999995"/>
    <n v="1.9239999999999999"/>
    <n v="0.76959999999999995"/>
    <n v="0"/>
    <x v="1"/>
    <n v="0"/>
    <n v="0"/>
    <n v="40"/>
    <n v="78"/>
    <n v="0"/>
    <n v="240.16"/>
    <n v="162.96"/>
    <m/>
    <n v="296.8638864604668"/>
    <n v="186.24587387804544"/>
    <n v="0"/>
    <n v="184.827136"/>
    <n v="125.414016"/>
    <n v="0"/>
    <n v="228.46644701997525"/>
    <n v="143.33482453654378"/>
  </r>
  <r>
    <s v="Regular"/>
    <x v="3"/>
    <x v="3"/>
    <x v="5"/>
    <x v="1"/>
    <x v="3"/>
    <x v="0"/>
    <x v="1"/>
    <x v="9"/>
    <n v="0"/>
    <n v="0"/>
    <n v="174.64699999999999"/>
    <n v="69.858800000000002"/>
    <n v="174.64699999999999"/>
    <n v="69.858800000000002"/>
    <n v="0"/>
    <x v="1"/>
    <n v="0"/>
    <n v="0"/>
    <n v="40"/>
    <n v="78"/>
    <n v="0"/>
    <n v="240.16"/>
    <n v="162.96"/>
    <m/>
    <n v="296.8638864604668"/>
    <n v="186.24587387804544"/>
    <n v="0"/>
    <n v="16777.289408000001"/>
    <n v="11384.190048"/>
    <n v="0"/>
    <n v="20738.554871464457"/>
    <n v="13010.913254071602"/>
  </r>
  <r>
    <s v="Sistema de Compensação"/>
    <x v="3"/>
    <x v="3"/>
    <x v="5"/>
    <x v="1"/>
    <x v="3"/>
    <x v="0"/>
    <x v="1"/>
    <x v="9"/>
    <n v="0"/>
    <n v="0"/>
    <n v="1.6060000000000001"/>
    <n v="0.64239999999999997"/>
    <n v="1.6060000000000001"/>
    <n v="0.64239999999999997"/>
    <n v="0"/>
    <x v="1"/>
    <n v="0"/>
    <n v="0"/>
    <n v="40"/>
    <n v="78"/>
    <n v="0"/>
    <n v="240.16"/>
    <n v="162.96"/>
    <m/>
    <n v="296.8638864604668"/>
    <n v="186.24587387804544"/>
    <n v="0"/>
    <n v="154.278784"/>
    <n v="104.68550399999999"/>
    <n v="0"/>
    <n v="190.70536066220387"/>
    <n v="119.64434937925638"/>
  </r>
  <r>
    <s v="Regular"/>
    <x v="3"/>
    <x v="3"/>
    <x v="5"/>
    <x v="1"/>
    <x v="3"/>
    <x v="0"/>
    <x v="1"/>
    <x v="10"/>
    <n v="0"/>
    <n v="0"/>
    <n v="93.233999999999995"/>
    <n v="37.293599999999998"/>
    <n v="93.233999999999995"/>
    <n v="37.293599999999998"/>
    <n v="0"/>
    <x v="1"/>
    <n v="0"/>
    <n v="0"/>
    <n v="40"/>
    <n v="78"/>
    <n v="0"/>
    <n v="240.16"/>
    <n v="162.96"/>
    <m/>
    <n v="296.8638864604668"/>
    <n v="186.24587387804544"/>
    <n v="0"/>
    <n v="8956.4309759999996"/>
    <n v="6077.3650559999996"/>
    <n v="0"/>
    <n v="11071.123036102064"/>
    <n v="6945.7791220582749"/>
  </r>
  <r>
    <s v="Refaturamento - Regular"/>
    <x v="3"/>
    <x v="3"/>
    <x v="5"/>
    <x v="1"/>
    <x v="3"/>
    <x v="0"/>
    <x v="1"/>
    <x v="10"/>
    <n v="0"/>
    <n v="0"/>
    <n v="-7.5999999999999998E-2"/>
    <n v="-3.04E-2"/>
    <n v="-7.5999999999999998E-2"/>
    <n v="-3.04E-2"/>
    <n v="0"/>
    <x v="1"/>
    <n v="0"/>
    <n v="0"/>
    <n v="40"/>
    <n v="78"/>
    <n v="0"/>
    <n v="240.16"/>
    <n v="162.96"/>
    <m/>
    <n v="296.8638864604668"/>
    <n v="186.24587387804544"/>
    <n v="0"/>
    <n v="-7.3008639999999998"/>
    <n v="-4.9539840000000002"/>
    <n v="0"/>
    <n v="-9.0246621483981908"/>
    <n v="-5.6618745658925818"/>
  </r>
  <r>
    <s v="Regular"/>
    <x v="3"/>
    <x v="3"/>
    <x v="5"/>
    <x v="1"/>
    <x v="3"/>
    <x v="0"/>
    <x v="1"/>
    <x v="11"/>
    <n v="0"/>
    <n v="0"/>
    <n v="77.635999999999996"/>
    <n v="31.054400000000001"/>
    <n v="77.635999999999996"/>
    <n v="31.054400000000001"/>
    <n v="0"/>
    <x v="1"/>
    <n v="0"/>
    <n v="0"/>
    <n v="40"/>
    <n v="78"/>
    <n v="0"/>
    <n v="240.16"/>
    <n v="162.96"/>
    <m/>
    <n v="296.8638864604668"/>
    <n v="186.24587387804544"/>
    <n v="0"/>
    <n v="7458.0247040000004"/>
    <n v="5060.6250240000008"/>
    <n v="0"/>
    <n v="9218.9298756979206"/>
    <n v="5783.7538657583746"/>
  </r>
  <r>
    <s v="Refaturamento - Regular"/>
    <x v="3"/>
    <x v="3"/>
    <x v="5"/>
    <x v="1"/>
    <x v="3"/>
    <x v="0"/>
    <x v="1"/>
    <x v="11"/>
    <n v="0"/>
    <n v="0"/>
    <n v="-0.222"/>
    <n v="-8.8800000000000004E-2"/>
    <n v="-0.222"/>
    <n v="-8.8800000000000004E-2"/>
    <n v="0"/>
    <x v="1"/>
    <n v="0"/>
    <n v="0"/>
    <n v="40"/>
    <n v="78"/>
    <n v="0"/>
    <n v="240.16"/>
    <n v="162.96"/>
    <m/>
    <n v="296.8638864604668"/>
    <n v="186.24587387804544"/>
    <n v="0"/>
    <n v="-21.326208000000001"/>
    <n v="-14.470848000000002"/>
    <n v="0"/>
    <n v="-26.361513117689451"/>
    <n v="-16.538633600370435"/>
  </r>
  <r>
    <s v="Sistema de Compensação"/>
    <x v="3"/>
    <x v="3"/>
    <x v="5"/>
    <x v="1"/>
    <x v="3"/>
    <x v="0"/>
    <x v="1"/>
    <x v="11"/>
    <n v="0"/>
    <n v="0"/>
    <n v="0.106"/>
    <n v="4.24E-2"/>
    <n v="0.106"/>
    <n v="4.24E-2"/>
    <n v="0"/>
    <x v="1"/>
    <n v="0"/>
    <n v="0"/>
    <n v="40"/>
    <n v="78"/>
    <n v="0"/>
    <n v="240.16"/>
    <n v="162.96"/>
    <m/>
    <n v="296.8638864604668"/>
    <n v="186.24587387804544"/>
    <n v="0"/>
    <n v="10.182784"/>
    <n v="6.9095040000000001"/>
    <n v="0"/>
    <n v="12.587028785923792"/>
    <n v="7.8968250524291266"/>
  </r>
  <r>
    <s v="Regular"/>
    <x v="3"/>
    <x v="3"/>
    <x v="5"/>
    <x v="0"/>
    <x v="0"/>
    <x v="0"/>
    <x v="1"/>
    <x v="0"/>
    <n v="0"/>
    <n v="0"/>
    <n v="13253.995000000001"/>
    <n v="13253.995000000001"/>
    <n v="13253.995000000001"/>
    <n v="13253.995000000001"/>
    <n v="38346"/>
    <x v="1"/>
    <n v="0"/>
    <n v="0"/>
    <n v="40"/>
    <n v="78"/>
    <n v="0"/>
    <n v="240.16"/>
    <n v="162.96"/>
    <m/>
    <n v="296.8638864604668"/>
    <n v="186.24587387804544"/>
    <n v="0"/>
    <n v="3183079.4392000004"/>
    <n v="2159871.0252"/>
    <n v="0"/>
    <n v="3934632.4668275951"/>
    <n v="2468501.8811502452"/>
  </r>
  <r>
    <s v="Refaturamento - Regular"/>
    <x v="3"/>
    <x v="3"/>
    <x v="5"/>
    <x v="0"/>
    <x v="0"/>
    <x v="0"/>
    <x v="1"/>
    <x v="0"/>
    <n v="0"/>
    <n v="0"/>
    <n v="-51.018000000000001"/>
    <n v="-51.018000000000001"/>
    <n v="-51.018000000000001"/>
    <n v="-51.018000000000001"/>
    <n v="-34"/>
    <x v="1"/>
    <n v="0"/>
    <n v="0"/>
    <n v="40"/>
    <n v="78"/>
    <n v="0"/>
    <n v="240.16"/>
    <n v="162.96"/>
    <m/>
    <n v="296.8638864604668"/>
    <n v="186.24587387804544"/>
    <n v="0"/>
    <n v="-12252.48288"/>
    <n v="-8313.8932800000002"/>
    <n v="0"/>
    <n v="-15145.401759440096"/>
    <n v="-9501.8919935101221"/>
  </r>
  <r>
    <s v="Sistema de Compensação"/>
    <x v="3"/>
    <x v="3"/>
    <x v="5"/>
    <x v="0"/>
    <x v="0"/>
    <x v="0"/>
    <x v="1"/>
    <x v="0"/>
    <n v="0"/>
    <n v="0"/>
    <n v="293.98700000000002"/>
    <n v="293.98700000000002"/>
    <n v="293.98700000000002"/>
    <n v="293.98700000000002"/>
    <n v="585"/>
    <x v="1"/>
    <n v="0"/>
    <n v="0"/>
    <n v="40"/>
    <n v="78"/>
    <n v="0"/>
    <n v="240.16"/>
    <n v="162.96"/>
    <m/>
    <n v="296.8638864604668"/>
    <n v="186.24587387804544"/>
    <n v="0"/>
    <n v="70603.917920000007"/>
    <n v="47908.121520000008"/>
    <n v="0"/>
    <n v="87274.123388853259"/>
    <n v="54753.865723784947"/>
  </r>
  <r>
    <s v="Sistema de Compensação"/>
    <x v="3"/>
    <x v="3"/>
    <x v="5"/>
    <x v="0"/>
    <x v="0"/>
    <x v="0"/>
    <x v="1"/>
    <x v="0"/>
    <n v="0"/>
    <n v="0"/>
    <n v="-235.166"/>
    <n v="-235.166"/>
    <n v="-235.166"/>
    <n v="-235.166"/>
    <n v="-1"/>
    <x v="1"/>
    <n v="0"/>
    <n v="0"/>
    <n v="40"/>
    <n v="78"/>
    <n v="0"/>
    <n v="240.16"/>
    <n v="162.96"/>
    <m/>
    <n v="296.8638864604668"/>
    <n v="186.24587387804544"/>
    <n v="0"/>
    <n v="-56477.466560000001"/>
    <n v="-38322.651360000003"/>
    <n v="0"/>
    <n v="-69812.29272336213"/>
    <n v="-43798.697176404436"/>
  </r>
  <r>
    <s v="Regular"/>
    <x v="3"/>
    <x v="3"/>
    <x v="5"/>
    <x v="0"/>
    <x v="0"/>
    <x v="0"/>
    <x v="1"/>
    <x v="1"/>
    <n v="0"/>
    <n v="0"/>
    <n v="14833.175999999999"/>
    <n v="14833.175999999999"/>
    <n v="14833.175999999999"/>
    <n v="14833.175999999999"/>
    <n v="38377"/>
    <x v="1"/>
    <n v="0"/>
    <n v="0"/>
    <n v="40"/>
    <n v="78"/>
    <n v="0"/>
    <n v="240.16"/>
    <n v="162.96"/>
    <m/>
    <n v="296.8638864604668"/>
    <n v="186.24587387804544"/>
    <n v="0"/>
    <n v="3562335.5481599998"/>
    <n v="2417214.3609600002"/>
    <n v="0"/>
    <n v="4403434.2759121209"/>
    <n v="2762617.8265068503"/>
  </r>
  <r>
    <s v="Refaturamento - Regular"/>
    <x v="3"/>
    <x v="3"/>
    <x v="5"/>
    <x v="0"/>
    <x v="0"/>
    <x v="0"/>
    <x v="1"/>
    <x v="1"/>
    <n v="0"/>
    <n v="0"/>
    <n v="-967.94100000000003"/>
    <n v="-967.94100000000003"/>
    <n v="-967.94100000000003"/>
    <n v="-967.94100000000003"/>
    <n v="-40"/>
    <x v="1"/>
    <n v="0"/>
    <n v="0"/>
    <n v="40"/>
    <n v="78"/>
    <n v="0"/>
    <n v="240.16"/>
    <n v="162.96"/>
    <m/>
    <n v="296.8638864604668"/>
    <n v="186.24587387804544"/>
    <n v="0"/>
    <n v="-232460.71056000001"/>
    <n v="-157735.66536000001"/>
    <n v="0"/>
    <n v="-287346.7271244307"/>
    <n v="-180275.01740738918"/>
  </r>
  <r>
    <s v="Sistema de Compensação"/>
    <x v="3"/>
    <x v="3"/>
    <x v="5"/>
    <x v="0"/>
    <x v="0"/>
    <x v="0"/>
    <x v="1"/>
    <x v="1"/>
    <n v="0"/>
    <n v="0"/>
    <n v="228.06700000000001"/>
    <n v="228.06700000000001"/>
    <n v="228.06700000000001"/>
    <n v="228.06700000000001"/>
    <n v="605"/>
    <x v="1"/>
    <n v="0"/>
    <n v="0"/>
    <n v="40"/>
    <n v="78"/>
    <n v="0"/>
    <n v="240.16"/>
    <n v="162.96"/>
    <m/>
    <n v="296.8638864604668"/>
    <n v="186.24587387804544"/>
    <n v="0"/>
    <n v="54772.570720000003"/>
    <n v="37165.798320000002"/>
    <n v="0"/>
    <n v="67704.855993379286"/>
    <n v="42476.537717744191"/>
  </r>
  <r>
    <s v="Sistema de Compensação"/>
    <x v="3"/>
    <x v="3"/>
    <x v="5"/>
    <x v="0"/>
    <x v="0"/>
    <x v="0"/>
    <x v="1"/>
    <x v="1"/>
    <n v="0"/>
    <n v="0"/>
    <n v="-2.5059999999999998"/>
    <n v="-2.5059999999999998"/>
    <n v="-2.5059999999999998"/>
    <n v="-2.5059999999999998"/>
    <n v="-1"/>
    <x v="1"/>
    <n v="0"/>
    <n v="0"/>
    <n v="40"/>
    <n v="78"/>
    <n v="0"/>
    <n v="240.16"/>
    <n v="162.96"/>
    <m/>
    <n v="296.8638864604668"/>
    <n v="186.24587387804544"/>
    <n v="0"/>
    <n v="-601.84096"/>
    <n v="-408.37775999999997"/>
    <n v="0"/>
    <n v="-743.94089946992972"/>
    <n v="-466.73215993838187"/>
  </r>
  <r>
    <s v="Regular"/>
    <x v="3"/>
    <x v="3"/>
    <x v="5"/>
    <x v="0"/>
    <x v="0"/>
    <x v="0"/>
    <x v="1"/>
    <x v="2"/>
    <n v="0"/>
    <n v="0"/>
    <n v="14070.333000000001"/>
    <n v="14070.333000000001"/>
    <n v="14070.333000000001"/>
    <n v="14070.333000000001"/>
    <n v="38401"/>
    <x v="1"/>
    <n v="0"/>
    <n v="0"/>
    <n v="40"/>
    <n v="78"/>
    <n v="0"/>
    <n v="240.16"/>
    <n v="162.96"/>
    <m/>
    <n v="296.8638864604668"/>
    <n v="186.24587387804544"/>
    <n v="0"/>
    <n v="3379131.1732800002"/>
    <n v="2292901.4656800004"/>
    <n v="0"/>
    <n v="4176973.7381729595"/>
    <n v="2620541.4653401007"/>
  </r>
  <r>
    <s v="Refaturamento - Regular"/>
    <x v="3"/>
    <x v="3"/>
    <x v="5"/>
    <x v="0"/>
    <x v="0"/>
    <x v="0"/>
    <x v="1"/>
    <x v="2"/>
    <n v="0"/>
    <n v="0"/>
    <n v="-58.732999999999997"/>
    <n v="-58.732999999999997"/>
    <n v="-58.732999999999997"/>
    <n v="-58.732999999999997"/>
    <n v="-34"/>
    <x v="1"/>
    <n v="0"/>
    <n v="0"/>
    <n v="40"/>
    <n v="78"/>
    <n v="0"/>
    <n v="240.16"/>
    <n v="162.96"/>
    <m/>
    <n v="296.8638864604668"/>
    <n v="186.24587387804544"/>
    <n v="0"/>
    <n v="-14105.317279999999"/>
    <n v="-9571.12968"/>
    <n v="0"/>
    <n v="-17435.706643482597"/>
    <n v="-10938.778910479243"/>
  </r>
  <r>
    <s v="Sistema de Compensação"/>
    <x v="3"/>
    <x v="3"/>
    <x v="5"/>
    <x v="0"/>
    <x v="0"/>
    <x v="0"/>
    <x v="1"/>
    <x v="2"/>
    <n v="0"/>
    <n v="0"/>
    <n v="258.58300000000003"/>
    <n v="258.58300000000003"/>
    <n v="258.58300000000003"/>
    <n v="258.58300000000003"/>
    <n v="644"/>
    <x v="1"/>
    <n v="0"/>
    <n v="0"/>
    <n v="40"/>
    <n v="78"/>
    <n v="0"/>
    <n v="240.16"/>
    <n v="162.96"/>
    <m/>
    <n v="296.8638864604668"/>
    <n v="186.24587387804544"/>
    <n v="0"/>
    <n v="62101.293280000005"/>
    <n v="42138.68568000001"/>
    <n v="0"/>
    <n v="76763.954352606888"/>
    <n v="48160.016805006628"/>
  </r>
  <r>
    <s v="Regular"/>
    <x v="3"/>
    <x v="3"/>
    <x v="5"/>
    <x v="0"/>
    <x v="0"/>
    <x v="0"/>
    <x v="1"/>
    <x v="3"/>
    <n v="0"/>
    <n v="0"/>
    <n v="13768.293"/>
    <n v="13768.293"/>
    <n v="13768.293"/>
    <n v="13768.293"/>
    <n v="38395"/>
    <x v="1"/>
    <n v="0"/>
    <n v="0"/>
    <n v="40"/>
    <n v="78"/>
    <n v="0"/>
    <n v="240.16"/>
    <n v="162.96"/>
    <m/>
    <n v="296.8638864604668"/>
    <n v="186.24587387804544"/>
    <n v="0"/>
    <n v="3306593.24688"/>
    <n v="2243681.02728"/>
    <n v="0"/>
    <n v="4087308.9699064395"/>
    <n v="2564287.7615939761"/>
  </r>
  <r>
    <s v="Refaturamento - Regular"/>
    <x v="3"/>
    <x v="3"/>
    <x v="5"/>
    <x v="0"/>
    <x v="0"/>
    <x v="0"/>
    <x v="1"/>
    <x v="3"/>
    <n v="0"/>
    <n v="0"/>
    <n v="-65.221000000000004"/>
    <n v="-65.221000000000004"/>
    <n v="-65.221000000000004"/>
    <n v="-65.221000000000004"/>
    <n v="-25"/>
    <x v="1"/>
    <n v="0"/>
    <n v="0"/>
    <n v="40"/>
    <n v="78"/>
    <n v="0"/>
    <n v="240.16"/>
    <n v="162.96"/>
    <m/>
    <n v="296.8638864604668"/>
    <n v="186.24587387804544"/>
    <n v="0"/>
    <n v="-15663.47536"/>
    <n v="-10628.41416"/>
    <n v="0"/>
    <n v="-19361.759538838105"/>
    <n v="-12147.142140200003"/>
  </r>
  <r>
    <s v="Sistema de Compensação"/>
    <x v="3"/>
    <x v="3"/>
    <x v="5"/>
    <x v="0"/>
    <x v="0"/>
    <x v="0"/>
    <x v="1"/>
    <x v="3"/>
    <n v="0"/>
    <n v="0"/>
    <n v="274.07600000000002"/>
    <n v="274.07600000000002"/>
    <n v="274.07600000000002"/>
    <n v="274.07600000000002"/>
    <n v="689"/>
    <x v="1"/>
    <n v="0"/>
    <n v="0"/>
    <n v="40"/>
    <n v="78"/>
    <n v="0"/>
    <n v="240.16"/>
    <n v="162.96"/>
    <m/>
    <n v="296.8638864604668"/>
    <n v="186.24587387804544"/>
    <n v="0"/>
    <n v="65822.09216"/>
    <n v="44663.424960000004"/>
    <n v="0"/>
    <n v="81363.266545538907"/>
    <n v="51045.52412899919"/>
  </r>
  <r>
    <s v="Sistema de Compensação"/>
    <x v="3"/>
    <x v="3"/>
    <x v="5"/>
    <x v="0"/>
    <x v="0"/>
    <x v="0"/>
    <x v="1"/>
    <x v="3"/>
    <n v="0"/>
    <n v="0"/>
    <n v="-1.3"/>
    <n v="-1.3"/>
    <n v="-1.3"/>
    <n v="-1.3"/>
    <n v="-3"/>
    <x v="1"/>
    <n v="0"/>
    <n v="0"/>
    <n v="40"/>
    <n v="78"/>
    <n v="0"/>
    <n v="240.16"/>
    <n v="162.96"/>
    <m/>
    <n v="296.8638864604668"/>
    <n v="186.24587387804544"/>
    <n v="0"/>
    <n v="-312.20800000000003"/>
    <n v="-211.84800000000001"/>
    <n v="0"/>
    <n v="-385.92305239860684"/>
    <n v="-242.11963604145907"/>
  </r>
  <r>
    <s v="Regular"/>
    <x v="3"/>
    <x v="3"/>
    <x v="5"/>
    <x v="0"/>
    <x v="0"/>
    <x v="0"/>
    <x v="1"/>
    <x v="4"/>
    <n v="0"/>
    <n v="0"/>
    <n v="14379.513999999999"/>
    <n v="14379.513999999999"/>
    <n v="14379.513999999999"/>
    <n v="14379.513999999999"/>
    <n v="38395"/>
    <x v="1"/>
    <n v="0"/>
    <n v="0"/>
    <n v="40"/>
    <n v="78"/>
    <n v="0"/>
    <n v="240.16"/>
    <n v="162.96"/>
    <m/>
    <n v="296.8638864604668"/>
    <n v="186.24587387804544"/>
    <n v="0"/>
    <n v="3453384.0822399999"/>
    <n v="2343285.6014399999"/>
    <n v="0"/>
    <n v="4268758.4114526929"/>
    <n v="2678125.1508715884"/>
  </r>
  <r>
    <s v="Refaturamento - Regular"/>
    <x v="3"/>
    <x v="3"/>
    <x v="5"/>
    <x v="0"/>
    <x v="0"/>
    <x v="0"/>
    <x v="1"/>
    <x v="4"/>
    <n v="0"/>
    <n v="0"/>
    <n v="-87.367999999999995"/>
    <n v="-87.367999999999995"/>
    <n v="-87.367999999999995"/>
    <n v="-87.367999999999995"/>
    <n v="-41"/>
    <x v="1"/>
    <n v="0"/>
    <n v="0"/>
    <n v="40"/>
    <n v="78"/>
    <n v="0"/>
    <n v="240.16"/>
    <n v="162.96"/>
    <m/>
    <n v="296.8638864604668"/>
    <n v="186.24587387804544"/>
    <n v="0"/>
    <n v="-20982.298879999998"/>
    <n v="-14237.48928"/>
    <n v="0"/>
    <n v="-25936.404032278064"/>
    <n v="-16271.929508977073"/>
  </r>
  <r>
    <s v="Sistema de Compensação"/>
    <x v="3"/>
    <x v="3"/>
    <x v="5"/>
    <x v="0"/>
    <x v="0"/>
    <x v="0"/>
    <x v="1"/>
    <x v="4"/>
    <n v="0"/>
    <n v="0"/>
    <n v="262.69299999999998"/>
    <n v="262.69299999999998"/>
    <n v="262.69299999999998"/>
    <n v="262.69299999999998"/>
    <n v="736"/>
    <x v="1"/>
    <n v="0"/>
    <n v="0"/>
    <n v="40"/>
    <n v="78"/>
    <n v="0"/>
    <n v="240.16"/>
    <n v="162.96"/>
    <m/>
    <n v="296.8638864604668"/>
    <n v="186.24587387804544"/>
    <n v="0"/>
    <n v="63088.350879999998"/>
    <n v="42808.451280000001"/>
    <n v="0"/>
    <n v="77984.064925959407"/>
    <n v="48925.487346645386"/>
  </r>
  <r>
    <s v="Sistema de Compensação"/>
    <x v="3"/>
    <x v="3"/>
    <x v="5"/>
    <x v="0"/>
    <x v="0"/>
    <x v="0"/>
    <x v="1"/>
    <x v="4"/>
    <n v="0"/>
    <n v="0"/>
    <n v="-0.72599999999999998"/>
    <n v="-0.72599999999999998"/>
    <n v="-0.72599999999999998"/>
    <n v="-0.72599999999999998"/>
    <n v="-2"/>
    <x v="1"/>
    <n v="0"/>
    <n v="0"/>
    <n v="40"/>
    <n v="78"/>
    <n v="0"/>
    <n v="240.16"/>
    <n v="162.96"/>
    <m/>
    <n v="296.8638864604668"/>
    <n v="186.24587387804544"/>
    <n v="0"/>
    <n v="-174.35615999999999"/>
    <n v="-118.30896"/>
    <n v="0"/>
    <n v="-215.5231815702989"/>
    <n v="-135.21450443546098"/>
  </r>
  <r>
    <s v="Regular"/>
    <x v="3"/>
    <x v="3"/>
    <x v="5"/>
    <x v="0"/>
    <x v="0"/>
    <x v="0"/>
    <x v="1"/>
    <x v="5"/>
    <n v="0"/>
    <n v="0"/>
    <n v="15397.703"/>
    <n v="15397.703"/>
    <n v="15397.703"/>
    <n v="15397.703"/>
    <n v="38410"/>
    <x v="1"/>
    <n v="0"/>
    <n v="0"/>
    <n v="40"/>
    <n v="78"/>
    <n v="0"/>
    <n v="240.16"/>
    <n v="162.96"/>
    <m/>
    <n v="296.8638864604668"/>
    <n v="186.24587387804544"/>
    <n v="0"/>
    <n v="3697912.3524799999"/>
    <n v="2509209.6808799999"/>
    <n v="0"/>
    <n v="4571021.9551439891"/>
    <n v="2867758.650949602"/>
  </r>
  <r>
    <s v="Refaturamento - Regular"/>
    <x v="3"/>
    <x v="3"/>
    <x v="5"/>
    <x v="0"/>
    <x v="0"/>
    <x v="0"/>
    <x v="1"/>
    <x v="5"/>
    <n v="0"/>
    <n v="0"/>
    <n v="-1027.2639999999999"/>
    <n v="-1027.2639999999999"/>
    <n v="-1027.2639999999999"/>
    <n v="-1027.2639999999999"/>
    <n v="-39"/>
    <x v="1"/>
    <n v="0"/>
    <n v="0"/>
    <n v="40"/>
    <n v="78"/>
    <n v="0"/>
    <n v="240.16"/>
    <n v="162.96"/>
    <m/>
    <n v="296.8638864604668"/>
    <n v="186.24587387804544"/>
    <n v="0"/>
    <n v="-246707.72223999997"/>
    <n v="-167402.94144"/>
    <n v="0"/>
    <n v="-304957.58346092491"/>
    <n v="-191323.68138345645"/>
  </r>
  <r>
    <s v="Sistema de Compensação"/>
    <x v="3"/>
    <x v="3"/>
    <x v="5"/>
    <x v="0"/>
    <x v="0"/>
    <x v="0"/>
    <x v="1"/>
    <x v="5"/>
    <n v="0"/>
    <n v="0"/>
    <n v="-0.309"/>
    <n v="-0.309"/>
    <n v="-0.309"/>
    <n v="-0.309"/>
    <n v="-2"/>
    <x v="1"/>
    <n v="0"/>
    <n v="0"/>
    <n v="40"/>
    <n v="78"/>
    <n v="0"/>
    <n v="240.16"/>
    <n v="162.96"/>
    <m/>
    <n v="296.8638864604668"/>
    <n v="186.24587387804544"/>
    <n v="0"/>
    <n v="-74.209440000000001"/>
    <n v="-50.354640000000003"/>
    <n v="0"/>
    <n v="-91.73094091628424"/>
    <n v="-57.549975028316041"/>
  </r>
  <r>
    <s v="Regular"/>
    <x v="3"/>
    <x v="3"/>
    <x v="5"/>
    <x v="0"/>
    <x v="0"/>
    <x v="0"/>
    <x v="1"/>
    <x v="6"/>
    <n v="0"/>
    <n v="0"/>
    <n v="17247.62"/>
    <n v="17247.62"/>
    <n v="17247.62"/>
    <n v="17247.62"/>
    <n v="38314"/>
    <x v="1"/>
    <n v="0"/>
    <n v="0"/>
    <n v="40"/>
    <n v="78"/>
    <n v="0"/>
    <n v="240.16"/>
    <n v="162.96"/>
    <m/>
    <n v="296.8638864604668"/>
    <n v="186.24587387804544"/>
    <n v="0"/>
    <n v="4142188.4191999999"/>
    <n v="2810672.1551999999"/>
    <n v="0"/>
    <n v="5120195.505393276"/>
    <n v="3212298.0592164542"/>
  </r>
  <r>
    <s v="Refaturamento - Regular"/>
    <x v="3"/>
    <x v="3"/>
    <x v="5"/>
    <x v="0"/>
    <x v="0"/>
    <x v="0"/>
    <x v="1"/>
    <x v="6"/>
    <n v="0"/>
    <n v="0"/>
    <n v="-29.346"/>
    <n v="-29.346"/>
    <n v="-29.346"/>
    <n v="-29.346"/>
    <n v="-36"/>
    <x v="1"/>
    <n v="0"/>
    <n v="0"/>
    <n v="40"/>
    <n v="78"/>
    <n v="0"/>
    <n v="240.16"/>
    <n v="162.96"/>
    <m/>
    <n v="296.8638864604668"/>
    <n v="186.24587387804544"/>
    <n v="0"/>
    <n v="-7047.7353599999997"/>
    <n v="-4782.2241600000007"/>
    <n v="0"/>
    <n v="-8711.7676120688593"/>
    <n v="-5465.5714148251218"/>
  </r>
  <r>
    <s v="Sistema de Compensação"/>
    <x v="3"/>
    <x v="3"/>
    <x v="5"/>
    <x v="0"/>
    <x v="0"/>
    <x v="0"/>
    <x v="1"/>
    <x v="6"/>
    <n v="0"/>
    <n v="0"/>
    <n v="324.33800000000002"/>
    <n v="324.33800000000002"/>
    <n v="324.33800000000002"/>
    <n v="324.33800000000002"/>
    <n v="858"/>
    <x v="1"/>
    <n v="0"/>
    <n v="0"/>
    <n v="40"/>
    <n v="78"/>
    <n v="0"/>
    <n v="240.16"/>
    <n v="162.96"/>
    <m/>
    <n v="296.8638864604668"/>
    <n v="186.24587387804544"/>
    <n v="0"/>
    <n v="77893.014080000008"/>
    <n v="52854.120480000005"/>
    <n v="0"/>
    <n v="96284.239206814891"/>
    <n v="60406.614241857511"/>
  </r>
  <r>
    <s v="Sistema de Compensação"/>
    <x v="3"/>
    <x v="3"/>
    <x v="5"/>
    <x v="0"/>
    <x v="0"/>
    <x v="0"/>
    <x v="1"/>
    <x v="6"/>
    <n v="0"/>
    <n v="0"/>
    <n v="-0.47799999999999998"/>
    <n v="-0.47799999999999998"/>
    <n v="-0.47799999999999998"/>
    <n v="-0.47799999999999998"/>
    <n v="-2"/>
    <x v="1"/>
    <n v="0"/>
    <n v="0"/>
    <n v="40"/>
    <n v="78"/>
    <n v="0"/>
    <n v="240.16"/>
    <n v="162.96"/>
    <m/>
    <n v="296.8638864604668"/>
    <n v="186.24587387804544"/>
    <n v="0"/>
    <n v="-114.79647999999999"/>
    <n v="-77.894880000000001"/>
    <n v="0"/>
    <n v="-141.90093772810312"/>
    <n v="-89.025527713705713"/>
  </r>
  <r>
    <s v="Regular"/>
    <x v="3"/>
    <x v="3"/>
    <x v="5"/>
    <x v="0"/>
    <x v="0"/>
    <x v="0"/>
    <x v="1"/>
    <x v="7"/>
    <n v="0"/>
    <n v="0"/>
    <n v="17167.484"/>
    <n v="17167.484"/>
    <n v="17167.484"/>
    <n v="17167.484"/>
    <n v="38240"/>
    <x v="1"/>
    <n v="0"/>
    <n v="0"/>
    <n v="40"/>
    <n v="78"/>
    <n v="0"/>
    <n v="240.16"/>
    <n v="162.96"/>
    <m/>
    <n v="296.8638864604668"/>
    <n v="186.24587387804544"/>
    <n v="0"/>
    <n v="4122942.95744"/>
    <n v="2797613.19264"/>
    <n v="0"/>
    <n v="5096406.0209878804"/>
    <n v="3197373.059867363"/>
  </r>
  <r>
    <s v="Refaturamento - Regular"/>
    <x v="3"/>
    <x v="3"/>
    <x v="5"/>
    <x v="0"/>
    <x v="0"/>
    <x v="0"/>
    <x v="1"/>
    <x v="7"/>
    <n v="0"/>
    <n v="0"/>
    <n v="-233.511"/>
    <n v="-233.511"/>
    <n v="-233.511"/>
    <n v="-233.511"/>
    <n v="-31"/>
    <x v="1"/>
    <n v="0"/>
    <n v="0"/>
    <n v="40"/>
    <n v="78"/>
    <n v="0"/>
    <n v="240.16"/>
    <n v="162.96"/>
    <m/>
    <n v="296.8638864604668"/>
    <n v="186.24587387804544"/>
    <n v="0"/>
    <n v="-56080.001759999999"/>
    <n v="-38052.952559999998"/>
    <n v="0"/>
    <n v="-69320.982991270066"/>
    <n v="-43490.46025513627"/>
  </r>
  <r>
    <s v="Sistema de Compensação"/>
    <x v="3"/>
    <x v="3"/>
    <x v="5"/>
    <x v="0"/>
    <x v="0"/>
    <x v="0"/>
    <x v="1"/>
    <x v="7"/>
    <n v="0"/>
    <n v="0"/>
    <n v="378.44400000000002"/>
    <n v="378.44400000000002"/>
    <n v="378.44400000000002"/>
    <n v="378.44400000000002"/>
    <n v="920"/>
    <x v="1"/>
    <n v="0"/>
    <n v="0"/>
    <n v="40"/>
    <n v="78"/>
    <n v="0"/>
    <n v="240.16"/>
    <n v="162.96"/>
    <m/>
    <n v="296.8638864604668"/>
    <n v="186.24587387804544"/>
    <n v="0"/>
    <n v="90887.111040000003"/>
    <n v="61671.234240000005"/>
    <n v="0"/>
    <n v="112346.35664764491"/>
    <n v="70483.633493903035"/>
  </r>
  <r>
    <s v="Sistema de Compensação"/>
    <x v="3"/>
    <x v="3"/>
    <x v="5"/>
    <x v="0"/>
    <x v="0"/>
    <x v="0"/>
    <x v="1"/>
    <x v="7"/>
    <n v="0"/>
    <n v="0"/>
    <n v="-19.927"/>
    <n v="-19.927"/>
    <n v="-19.927"/>
    <n v="-19.927"/>
    <n v="-6"/>
    <x v="1"/>
    <n v="0"/>
    <n v="0"/>
    <n v="40"/>
    <n v="78"/>
    <n v="0"/>
    <n v="240.16"/>
    <n v="162.96"/>
    <m/>
    <n v="296.8638864604668"/>
    <n v="186.24587387804544"/>
    <n v="0"/>
    <n v="-4785.6683199999998"/>
    <n v="-3247.3039200000003"/>
    <n v="0"/>
    <n v="-5915.6066654977221"/>
    <n v="-3711.3215287678113"/>
  </r>
  <r>
    <s v="Regular"/>
    <x v="3"/>
    <x v="3"/>
    <x v="5"/>
    <x v="0"/>
    <x v="0"/>
    <x v="0"/>
    <x v="1"/>
    <x v="8"/>
    <n v="0"/>
    <n v="0"/>
    <n v="15254.337"/>
    <n v="15254.337"/>
    <n v="15254.337"/>
    <n v="15254.337"/>
    <n v="38227"/>
    <x v="1"/>
    <n v="0"/>
    <n v="0"/>
    <n v="40"/>
    <n v="78"/>
    <n v="0"/>
    <n v="240.16"/>
    <n v="162.96"/>
    <m/>
    <n v="296.8638864604668"/>
    <n v="186.24587387804544"/>
    <n v="0"/>
    <n v="3663481.5739199999"/>
    <n v="2485846.75752"/>
    <n v="0"/>
    <n v="4528461.7671976974"/>
    <n v="2841057.324995202"/>
  </r>
  <r>
    <s v="Refaturamento - Regular"/>
    <x v="3"/>
    <x v="3"/>
    <x v="5"/>
    <x v="0"/>
    <x v="0"/>
    <x v="0"/>
    <x v="1"/>
    <x v="8"/>
    <n v="0"/>
    <n v="0"/>
    <n v="-19.346"/>
    <n v="-19.346"/>
    <n v="-19.346"/>
    <n v="-19.346"/>
    <n v="-33"/>
    <x v="1"/>
    <n v="0"/>
    <n v="0"/>
    <n v="40"/>
    <n v="78"/>
    <n v="0"/>
    <n v="240.16"/>
    <n v="162.96"/>
    <m/>
    <n v="296.8638864604668"/>
    <n v="186.24587387804544"/>
    <n v="0"/>
    <n v="-4646.1353600000002"/>
    <n v="-3152.6241600000003"/>
    <n v="0"/>
    <n v="-5743.1287474641904"/>
    <n v="-3603.1126760446673"/>
  </r>
  <r>
    <s v="Sistema de Compensação"/>
    <x v="3"/>
    <x v="3"/>
    <x v="5"/>
    <x v="0"/>
    <x v="0"/>
    <x v="0"/>
    <x v="1"/>
    <x v="8"/>
    <n v="0"/>
    <n v="0"/>
    <n v="363.209"/>
    <n v="363.209"/>
    <n v="363.209"/>
    <n v="363.209"/>
    <n v="991"/>
    <x v="1"/>
    <n v="0"/>
    <n v="0"/>
    <n v="40"/>
    <n v="78"/>
    <n v="0"/>
    <n v="240.16"/>
    <n v="162.96"/>
    <m/>
    <n v="296.8638864604668"/>
    <n v="186.24587387804544"/>
    <n v="0"/>
    <n v="87228.273440000004"/>
    <n v="59188.538640000006"/>
    <n v="0"/>
    <n v="107823.63533741969"/>
    <n v="67646.177605371005"/>
  </r>
  <r>
    <s v="Sistema de Compensação"/>
    <x v="3"/>
    <x v="3"/>
    <x v="5"/>
    <x v="0"/>
    <x v="0"/>
    <x v="0"/>
    <x v="1"/>
    <x v="8"/>
    <n v="0"/>
    <n v="0"/>
    <n v="-2.9689999999999999"/>
    <n v="-2.9689999999999999"/>
    <n v="-2.9689999999999999"/>
    <n v="-2.9689999999999999"/>
    <n v="-3"/>
    <x v="1"/>
    <n v="0"/>
    <n v="0"/>
    <n v="40"/>
    <n v="78"/>
    <n v="0"/>
    <n v="240.16"/>
    <n v="162.96"/>
    <m/>
    <n v="296.8638864604668"/>
    <n v="186.24587387804544"/>
    <n v="0"/>
    <n v="-713.03503999999998"/>
    <n v="-483.82823999999999"/>
    <n v="0"/>
    <n v="-881.38887890112585"/>
    <n v="-552.96399954391688"/>
  </r>
  <r>
    <s v="Regular"/>
    <x v="3"/>
    <x v="3"/>
    <x v="5"/>
    <x v="0"/>
    <x v="0"/>
    <x v="0"/>
    <x v="1"/>
    <x v="9"/>
    <n v="0"/>
    <n v="0"/>
    <n v="14589.105"/>
    <n v="14589.105"/>
    <n v="14589.105"/>
    <n v="14589.105"/>
    <n v="38180"/>
    <x v="1"/>
    <n v="0"/>
    <n v="0"/>
    <n v="40"/>
    <n v="78"/>
    <n v="0"/>
    <n v="240.16"/>
    <n v="162.96"/>
    <m/>
    <n v="296.8638864604668"/>
    <n v="186.24587387804544"/>
    <n v="0"/>
    <n v="3503719.4567999998"/>
    <n v="2377440.5507999999"/>
    <n v="0"/>
    <n v="4330978.4102798281"/>
    <n v="2717160.6098235622"/>
  </r>
  <r>
    <s v="Refaturamento - Regular"/>
    <x v="3"/>
    <x v="3"/>
    <x v="5"/>
    <x v="0"/>
    <x v="0"/>
    <x v="0"/>
    <x v="1"/>
    <x v="9"/>
    <n v="0"/>
    <n v="0"/>
    <n v="-113.94499999999999"/>
    <n v="-113.94499999999999"/>
    <n v="-113.94499999999999"/>
    <n v="-113.94499999999999"/>
    <n v="-58"/>
    <x v="1"/>
    <n v="0"/>
    <n v="0"/>
    <n v="40"/>
    <n v="78"/>
    <n v="0"/>
    <n v="240.16"/>
    <n v="162.96"/>
    <m/>
    <n v="296.8638864604668"/>
    <n v="186.24587387804544"/>
    <n v="0"/>
    <n v="-27365.031199999998"/>
    <n v="-18568.477200000001"/>
    <n v="0"/>
    <n v="-33826.155542737884"/>
    <n v="-21221.786099033889"/>
  </r>
  <r>
    <s v="Sistema de Compensação"/>
    <x v="3"/>
    <x v="3"/>
    <x v="5"/>
    <x v="0"/>
    <x v="0"/>
    <x v="0"/>
    <x v="1"/>
    <x v="9"/>
    <n v="0"/>
    <n v="0"/>
    <n v="415.89499999999998"/>
    <n v="415.89499999999998"/>
    <n v="415.89499999999998"/>
    <n v="415.89499999999998"/>
    <n v="1083"/>
    <x v="1"/>
    <n v="0"/>
    <n v="0"/>
    <n v="40"/>
    <n v="78"/>
    <n v="0"/>
    <n v="240.16"/>
    <n v="162.96"/>
    <m/>
    <n v="296.8638864604668"/>
    <n v="186.24587387804544"/>
    <n v="0"/>
    <n v="99881.343199999988"/>
    <n v="67774.249200000006"/>
    <n v="0"/>
    <n v="123464.20605947584"/>
    <n v="77458.727716509704"/>
  </r>
  <r>
    <s v="Sistema de Compensação"/>
    <x v="3"/>
    <x v="3"/>
    <x v="5"/>
    <x v="0"/>
    <x v="0"/>
    <x v="0"/>
    <x v="1"/>
    <x v="9"/>
    <n v="0"/>
    <n v="0"/>
    <n v="-141.548"/>
    <n v="-141.548"/>
    <n v="-141.548"/>
    <n v="-141.548"/>
    <n v="0"/>
    <x v="1"/>
    <n v="0"/>
    <n v="0"/>
    <n v="40"/>
    <n v="78"/>
    <n v="0"/>
    <n v="240.16"/>
    <n v="162.96"/>
    <m/>
    <n v="296.8638864604668"/>
    <n v="186.24587387804544"/>
    <n v="0"/>
    <n v="-33994.167679999999"/>
    <n v="-23066.662080000002"/>
    <n v="0"/>
    <n v="-42020.489400706152"/>
    <n v="-26362.730955689578"/>
  </r>
  <r>
    <s v="Regular"/>
    <x v="3"/>
    <x v="3"/>
    <x v="5"/>
    <x v="0"/>
    <x v="0"/>
    <x v="0"/>
    <x v="1"/>
    <x v="10"/>
    <n v="0"/>
    <n v="0"/>
    <n v="13509.707"/>
    <n v="13509.707"/>
    <n v="13509.707"/>
    <n v="13509.707"/>
    <n v="38176"/>
    <x v="1"/>
    <n v="0"/>
    <n v="0"/>
    <n v="40"/>
    <n v="78"/>
    <n v="0"/>
    <n v="240.16"/>
    <n v="162.96"/>
    <m/>
    <n v="296.8638864604668"/>
    <n v="186.24587387804544"/>
    <n v="0"/>
    <n v="3244491.23312"/>
    <n v="2201541.8527200003"/>
    <n v="0"/>
    <n v="4010544.1249621739"/>
    <n v="2516127.1860513478"/>
  </r>
  <r>
    <s v="Refaturamento - Regular"/>
    <x v="3"/>
    <x v="3"/>
    <x v="5"/>
    <x v="0"/>
    <x v="0"/>
    <x v="0"/>
    <x v="1"/>
    <x v="10"/>
    <n v="0"/>
    <n v="0"/>
    <n v="-26.937999999999999"/>
    <n v="-26.937999999999999"/>
    <n v="-26.937999999999999"/>
    <n v="-26.937999999999999"/>
    <n v="-80"/>
    <x v="1"/>
    <n v="0"/>
    <n v="0"/>
    <n v="40"/>
    <n v="78"/>
    <n v="0"/>
    <n v="240.16"/>
    <n v="162.96"/>
    <m/>
    <n v="296.8638864604668"/>
    <n v="186.24587387804544"/>
    <n v="0"/>
    <n v="-6469.4300799999992"/>
    <n v="-4389.8164800000004"/>
    <n v="0"/>
    <n v="-7996.9193734720548"/>
    <n v="-5017.0913505267881"/>
  </r>
  <r>
    <s v="Sistema de Compensação"/>
    <x v="3"/>
    <x v="3"/>
    <x v="5"/>
    <x v="0"/>
    <x v="0"/>
    <x v="0"/>
    <x v="1"/>
    <x v="10"/>
    <n v="0"/>
    <n v="0"/>
    <n v="484.18"/>
    <n v="484.18"/>
    <n v="484.18"/>
    <n v="484.18"/>
    <n v="1167"/>
    <x v="1"/>
    <n v="0"/>
    <n v="0"/>
    <n v="40"/>
    <n v="78"/>
    <n v="0"/>
    <n v="240.16"/>
    <n v="162.96"/>
    <m/>
    <n v="296.8638864604668"/>
    <n v="186.24587387804544"/>
    <n v="0"/>
    <n v="116280.6688"/>
    <n v="78901.972800000003"/>
    <n v="0"/>
    <n v="143735.55654642882"/>
    <n v="90176.52721427205"/>
  </r>
  <r>
    <s v="Sistema de Compensação"/>
    <x v="3"/>
    <x v="3"/>
    <x v="5"/>
    <x v="0"/>
    <x v="0"/>
    <x v="0"/>
    <x v="1"/>
    <x v="10"/>
    <n v="0"/>
    <n v="0"/>
    <n v="-1.546"/>
    <n v="-1.546"/>
    <n v="-1.546"/>
    <n v="-1.546"/>
    <n v="-3"/>
    <x v="1"/>
    <n v="0"/>
    <n v="0"/>
    <n v="40"/>
    <n v="78"/>
    <n v="0"/>
    <n v="240.16"/>
    <n v="162.96"/>
    <m/>
    <n v="296.8638864604668"/>
    <n v="186.24587387804544"/>
    <n v="0"/>
    <n v="-371.28735999999998"/>
    <n v="-251.93616000000003"/>
    <n v="0"/>
    <n v="-458.95156846788171"/>
    <n v="-287.93612101545824"/>
  </r>
  <r>
    <s v="Regular"/>
    <x v="3"/>
    <x v="3"/>
    <x v="5"/>
    <x v="0"/>
    <x v="0"/>
    <x v="0"/>
    <x v="1"/>
    <x v="11"/>
    <n v="0"/>
    <n v="0"/>
    <n v="13373.441999999999"/>
    <n v="13373.441999999999"/>
    <n v="13373.441999999999"/>
    <n v="13373.441999999999"/>
    <n v="38093"/>
    <x v="1"/>
    <n v="0"/>
    <n v="0"/>
    <n v="40"/>
    <n v="78"/>
    <n v="0"/>
    <n v="240.16"/>
    <n v="162.96"/>
    <m/>
    <n v="296.8638864604668"/>
    <n v="186.24587387804544"/>
    <n v="0"/>
    <n v="3211765.83072"/>
    <n v="2179336.1083200001"/>
    <n v="0"/>
    <n v="3970091.9674736378"/>
    <n v="2490748.3920473554"/>
  </r>
  <r>
    <s v="Refaturamento - Regular"/>
    <x v="3"/>
    <x v="3"/>
    <x v="5"/>
    <x v="0"/>
    <x v="0"/>
    <x v="0"/>
    <x v="1"/>
    <x v="11"/>
    <n v="0"/>
    <n v="0"/>
    <n v="-42.703000000000003"/>
    <n v="-42.703000000000003"/>
    <n v="-42.703000000000003"/>
    <n v="-42.703000000000003"/>
    <n v="-56"/>
    <x v="1"/>
    <n v="0"/>
    <n v="0"/>
    <n v="40"/>
    <n v="78"/>
    <n v="0"/>
    <n v="240.16"/>
    <n v="162.96"/>
    <m/>
    <n v="296.8638864604668"/>
    <n v="186.24587387804544"/>
    <n v="0"/>
    <n v="-10255.55248"/>
    <n v="-6958.8808800000006"/>
    <n v="0"/>
    <n v="-12676.978543521314"/>
    <n v="-7953.2575522141751"/>
  </r>
  <r>
    <s v="Sistema de Compensação"/>
    <x v="3"/>
    <x v="3"/>
    <x v="5"/>
    <x v="0"/>
    <x v="0"/>
    <x v="0"/>
    <x v="1"/>
    <x v="11"/>
    <n v="0"/>
    <n v="0"/>
    <n v="691.78"/>
    <n v="691.78"/>
    <n v="691.78"/>
    <n v="691.78"/>
    <n v="1257"/>
    <x v="1"/>
    <n v="0"/>
    <n v="0"/>
    <n v="40"/>
    <n v="78"/>
    <n v="0"/>
    <n v="240.16"/>
    <n v="162.96"/>
    <m/>
    <n v="296.8638864604668"/>
    <n v="186.24587387804544"/>
    <n v="0"/>
    <n v="166137.8848"/>
    <n v="112732.4688"/>
    <n v="0"/>
    <n v="205364.49937562173"/>
    <n v="128841.17063135427"/>
  </r>
  <r>
    <s v="Sistema de Compensação"/>
    <x v="3"/>
    <x v="3"/>
    <x v="5"/>
    <x v="0"/>
    <x v="0"/>
    <x v="0"/>
    <x v="1"/>
    <x v="11"/>
    <n v="0"/>
    <n v="0"/>
    <n v="-43.121000000000002"/>
    <n v="-43.121000000000002"/>
    <n v="-43.121000000000002"/>
    <n v="-43.121000000000002"/>
    <n v="-3"/>
    <x v="1"/>
    <n v="0"/>
    <n v="0"/>
    <n v="40"/>
    <n v="78"/>
    <n v="0"/>
    <n v="240.16"/>
    <n v="162.96"/>
    <m/>
    <n v="296.8638864604668"/>
    <n v="186.24587387804544"/>
    <n v="0"/>
    <n v="-10355.93936"/>
    <n v="-7026.998160000001"/>
    <n v="0"/>
    <n v="-12801.067648061789"/>
    <n v="-8031.108327495198"/>
  </r>
  <r>
    <s v="Regular"/>
    <x v="4"/>
    <x v="3"/>
    <x v="1"/>
    <x v="0"/>
    <x v="0"/>
    <x v="0"/>
    <x v="1"/>
    <x v="0"/>
    <n v="0"/>
    <n v="0"/>
    <n v="977.89"/>
    <n v="977.89"/>
    <n v="977.89"/>
    <n v="977.89"/>
    <n v="2189"/>
    <x v="1"/>
    <n v="0"/>
    <n v="0"/>
    <n v="17"/>
    <n v="89"/>
    <n v="0"/>
    <n v="272.91000000000003"/>
    <n v="185.18"/>
    <m/>
    <n v="315.8126451707094"/>
    <n v="198.13390838089941"/>
    <n v="0"/>
    <n v="266875.95990000002"/>
    <n v="181085.67019999999"/>
    <n v="0"/>
    <n v="308830.02758598502"/>
    <n v="193753.16766659773"/>
  </r>
  <r>
    <s v="Refaturamento - Regular"/>
    <x v="4"/>
    <x v="3"/>
    <x v="1"/>
    <x v="0"/>
    <x v="0"/>
    <x v="0"/>
    <x v="1"/>
    <x v="0"/>
    <n v="0"/>
    <n v="0"/>
    <n v="-2.94"/>
    <n v="-2.94"/>
    <n v="-2.94"/>
    <n v="-2.94"/>
    <n v="-1"/>
    <x v="1"/>
    <n v="0"/>
    <n v="0"/>
    <n v="17"/>
    <n v="89"/>
    <n v="0"/>
    <n v="272.91000000000003"/>
    <n v="185.18"/>
    <m/>
    <n v="315.8126451707094"/>
    <n v="198.13390838089941"/>
    <n v="0"/>
    <n v="-802.35540000000003"/>
    <n v="-544.42920000000004"/>
    <n v="0"/>
    <n v="-928.48917680188561"/>
    <n v="-582.5136906398443"/>
  </r>
  <r>
    <s v="Sistema de Compensação"/>
    <x v="4"/>
    <x v="3"/>
    <x v="1"/>
    <x v="0"/>
    <x v="0"/>
    <x v="0"/>
    <x v="1"/>
    <x v="0"/>
    <n v="0"/>
    <n v="0"/>
    <n v="58.000999999999998"/>
    <n v="58.000999999999998"/>
    <n v="58.000999999999998"/>
    <n v="58.000999999999998"/>
    <n v="120"/>
    <x v="1"/>
    <n v="0"/>
    <n v="0"/>
    <n v="17"/>
    <n v="89"/>
    <n v="0"/>
    <n v="272.91000000000003"/>
    <n v="185.18"/>
    <m/>
    <n v="315.8126451707094"/>
    <n v="198.13390838089941"/>
    <n v="0"/>
    <n v="15829.05291"/>
    <n v="10740.625179999999"/>
    <n v="0"/>
    <n v="18317.449232546314"/>
    <n v="11491.964820000547"/>
  </r>
  <r>
    <s v="Regular"/>
    <x v="4"/>
    <x v="3"/>
    <x v="1"/>
    <x v="0"/>
    <x v="0"/>
    <x v="0"/>
    <x v="1"/>
    <x v="1"/>
    <n v="0"/>
    <n v="0"/>
    <n v="1032.7139999999999"/>
    <n v="1032.7139999999999"/>
    <n v="1032.7139999999999"/>
    <n v="1032.7139999999999"/>
    <n v="2179"/>
    <x v="1"/>
    <n v="0"/>
    <n v="0"/>
    <n v="17"/>
    <n v="89"/>
    <n v="0"/>
    <n v="272.91000000000003"/>
    <n v="185.18"/>
    <m/>
    <n v="315.8126451707094"/>
    <n v="198.13390838089941"/>
    <n v="0"/>
    <n v="281837.97774"/>
    <n v="191237.97852"/>
    <n v="0"/>
    <n v="326144.14004482399"/>
    <n v="204615.66105967216"/>
  </r>
  <r>
    <s v="Refaturamento - Regular"/>
    <x v="4"/>
    <x v="3"/>
    <x v="1"/>
    <x v="0"/>
    <x v="0"/>
    <x v="0"/>
    <x v="1"/>
    <x v="1"/>
    <n v="0"/>
    <n v="0"/>
    <n v="-0.2"/>
    <n v="-0.2"/>
    <n v="-0.2"/>
    <n v="-0.2"/>
    <n v="-2"/>
    <x v="1"/>
    <n v="0"/>
    <n v="0"/>
    <n v="17"/>
    <n v="89"/>
    <n v="0"/>
    <n v="272.91000000000003"/>
    <n v="185.18"/>
    <m/>
    <n v="315.8126451707094"/>
    <n v="198.13390838089941"/>
    <n v="0"/>
    <n v="-54.582000000000008"/>
    <n v="-37.036000000000001"/>
    <n v="0"/>
    <n v="-63.162529034141883"/>
    <n v="-39.626781676179888"/>
  </r>
  <r>
    <s v="Sistema de Compensação"/>
    <x v="4"/>
    <x v="3"/>
    <x v="1"/>
    <x v="0"/>
    <x v="0"/>
    <x v="0"/>
    <x v="1"/>
    <x v="1"/>
    <n v="0"/>
    <n v="0"/>
    <n v="56.6"/>
    <n v="56.6"/>
    <n v="56.6"/>
    <n v="56.6"/>
    <n v="130"/>
    <x v="1"/>
    <n v="0"/>
    <n v="0"/>
    <n v="17"/>
    <n v="89"/>
    <n v="0"/>
    <n v="272.91000000000003"/>
    <n v="185.18"/>
    <m/>
    <n v="315.8126451707094"/>
    <n v="198.13390838089941"/>
    <n v="0"/>
    <n v="15446.706000000002"/>
    <n v="10481.188"/>
    <n v="0"/>
    <n v="17874.995716662153"/>
    <n v="11214.379214358907"/>
  </r>
  <r>
    <s v="Regular"/>
    <x v="4"/>
    <x v="3"/>
    <x v="1"/>
    <x v="0"/>
    <x v="0"/>
    <x v="0"/>
    <x v="1"/>
    <x v="2"/>
    <n v="0"/>
    <n v="0"/>
    <n v="1077.2850000000001"/>
    <n v="1077.2850000000001"/>
    <n v="1077.2850000000001"/>
    <n v="1077.2850000000001"/>
    <n v="2197"/>
    <x v="1"/>
    <n v="0"/>
    <n v="0"/>
    <n v="17"/>
    <n v="89"/>
    <n v="0"/>
    <n v="272.91000000000003"/>
    <n v="185.18"/>
    <m/>
    <n v="315.8126451707094"/>
    <n v="198.13390838089941"/>
    <n v="0"/>
    <n v="294001.84935000003"/>
    <n v="199491.63630000001"/>
    <n v="0"/>
    <n v="340220.2254527277"/>
    <n v="213446.68749011724"/>
  </r>
  <r>
    <s v="Refaturamento - Regular"/>
    <x v="4"/>
    <x v="3"/>
    <x v="1"/>
    <x v="0"/>
    <x v="0"/>
    <x v="0"/>
    <x v="1"/>
    <x v="2"/>
    <n v="0"/>
    <n v="0"/>
    <n v="-1.911"/>
    <n v="-1.911"/>
    <n v="-1.911"/>
    <n v="-1.911"/>
    <n v="-5"/>
    <x v="1"/>
    <n v="0"/>
    <n v="0"/>
    <n v="17"/>
    <n v="89"/>
    <n v="0"/>
    <n v="272.91000000000003"/>
    <n v="185.18"/>
    <m/>
    <n v="315.8126451707094"/>
    <n v="198.13390838089941"/>
    <n v="0"/>
    <n v="-521.53101000000004"/>
    <n v="-353.87898000000001"/>
    <n v="0"/>
    <n v="-603.51796492122571"/>
    <n v="-378.63389891589878"/>
  </r>
  <r>
    <s v="Sistema de Compensação"/>
    <x v="4"/>
    <x v="3"/>
    <x v="1"/>
    <x v="0"/>
    <x v="0"/>
    <x v="0"/>
    <x v="1"/>
    <x v="2"/>
    <n v="0"/>
    <n v="0"/>
    <n v="53.055"/>
    <n v="53.055"/>
    <n v="53.055"/>
    <n v="53.055"/>
    <n v="132"/>
    <x v="1"/>
    <n v="0"/>
    <n v="0"/>
    <n v="17"/>
    <n v="89"/>
    <n v="0"/>
    <n v="272.91000000000003"/>
    <n v="185.18"/>
    <m/>
    <n v="315.8126451707094"/>
    <n v="198.13390838089941"/>
    <n v="0"/>
    <n v="14479.240050000002"/>
    <n v="9824.7249000000011"/>
    <n v="0"/>
    <n v="16755.439889531986"/>
    <n v="10511.994509148619"/>
  </r>
  <r>
    <s v="Regular"/>
    <x v="4"/>
    <x v="3"/>
    <x v="1"/>
    <x v="0"/>
    <x v="0"/>
    <x v="0"/>
    <x v="1"/>
    <x v="3"/>
    <n v="0"/>
    <n v="0"/>
    <n v="1003.989"/>
    <n v="1003.989"/>
    <n v="1003.989"/>
    <n v="1003.989"/>
    <n v="2201"/>
    <x v="1"/>
    <n v="0"/>
    <n v="0"/>
    <n v="17"/>
    <n v="89"/>
    <n v="0"/>
    <n v="272.91000000000003"/>
    <n v="185.18"/>
    <m/>
    <n v="315.8126451707094"/>
    <n v="198.13390838089941"/>
    <n v="0"/>
    <n v="273998.63799000002"/>
    <n v="185918.68302000003"/>
    <n v="0"/>
    <n v="317072.42181229539"/>
    <n v="198924.26454143084"/>
  </r>
  <r>
    <s v="Refaturamento - Regular"/>
    <x v="4"/>
    <x v="3"/>
    <x v="1"/>
    <x v="0"/>
    <x v="0"/>
    <x v="0"/>
    <x v="1"/>
    <x v="3"/>
    <n v="0"/>
    <n v="0"/>
    <n v="-3.92"/>
    <n v="-3.92"/>
    <n v="-3.92"/>
    <n v="-3.92"/>
    <n v="-1"/>
    <x v="1"/>
    <n v="0"/>
    <n v="0"/>
    <n v="17"/>
    <n v="89"/>
    <n v="0"/>
    <n v="272.91000000000003"/>
    <n v="185.18"/>
    <m/>
    <n v="315.8126451707094"/>
    <n v="198.13390838089941"/>
    <n v="0"/>
    <n v="-1069.8072"/>
    <n v="-725.90560000000005"/>
    <n v="0"/>
    <n v="-1237.9855690691809"/>
    <n v="-776.68492085312573"/>
  </r>
  <r>
    <s v="Sistema de Compensação"/>
    <x v="4"/>
    <x v="3"/>
    <x v="1"/>
    <x v="0"/>
    <x v="0"/>
    <x v="0"/>
    <x v="1"/>
    <x v="3"/>
    <n v="0"/>
    <n v="0"/>
    <n v="53.357999999999997"/>
    <n v="53.357999999999997"/>
    <n v="53.357999999999997"/>
    <n v="53.357999999999997"/>
    <n v="141"/>
    <x v="1"/>
    <n v="0"/>
    <n v="0"/>
    <n v="17"/>
    <n v="89"/>
    <n v="0"/>
    <n v="272.91000000000003"/>
    <n v="185.18"/>
    <m/>
    <n v="315.8126451707094"/>
    <n v="198.13390838089941"/>
    <n v="0"/>
    <n v="14561.931780000001"/>
    <n v="9880.8344400000005"/>
    <n v="0"/>
    <n v="16851.131121018712"/>
    <n v="10572.02908338803"/>
  </r>
  <r>
    <s v="Sistema de Compensação"/>
    <x v="4"/>
    <x v="3"/>
    <x v="1"/>
    <x v="0"/>
    <x v="0"/>
    <x v="0"/>
    <x v="1"/>
    <x v="3"/>
    <n v="0"/>
    <n v="0"/>
    <n v="-0.98299999999999998"/>
    <n v="-0.98299999999999998"/>
    <n v="-0.98299999999999998"/>
    <n v="-0.98299999999999998"/>
    <n v="-1"/>
    <x v="1"/>
    <n v="0"/>
    <n v="0"/>
    <n v="17"/>
    <n v="89"/>
    <n v="0"/>
    <n v="272.91000000000003"/>
    <n v="185.18"/>
    <m/>
    <n v="315.8126451707094"/>
    <n v="198.13390838089941"/>
    <n v="0"/>
    <n v="-268.27053000000001"/>
    <n v="-182.03193999999999"/>
    <n v="0"/>
    <n v="-310.44383020280736"/>
    <n v="-194.76563193842412"/>
  </r>
  <r>
    <s v="Regular"/>
    <x v="4"/>
    <x v="3"/>
    <x v="1"/>
    <x v="0"/>
    <x v="0"/>
    <x v="0"/>
    <x v="1"/>
    <x v="4"/>
    <n v="0"/>
    <n v="0"/>
    <n v="1066.8679999999999"/>
    <n v="1066.8679999999999"/>
    <n v="1066.8679999999999"/>
    <n v="1066.8679999999999"/>
    <n v="2212"/>
    <x v="1"/>
    <n v="0"/>
    <n v="0"/>
    <n v="17"/>
    <n v="89"/>
    <n v="0"/>
    <n v="272.91000000000003"/>
    <n v="185.18"/>
    <m/>
    <n v="315.8126451707094"/>
    <n v="198.13390838089941"/>
    <n v="0"/>
    <n v="291158.94588000001"/>
    <n v="197562.61624"/>
    <n v="0"/>
    <n v="336930.40512798436"/>
    <n v="211382.72656651339"/>
  </r>
  <r>
    <s v="Refaturamento - Regular"/>
    <x v="4"/>
    <x v="3"/>
    <x v="1"/>
    <x v="0"/>
    <x v="0"/>
    <x v="0"/>
    <x v="1"/>
    <x v="4"/>
    <n v="0"/>
    <n v="0"/>
    <n v="-3.661"/>
    <n v="-3.661"/>
    <n v="-3.661"/>
    <n v="-3.661"/>
    <n v="-3"/>
    <x v="1"/>
    <n v="0"/>
    <n v="0"/>
    <n v="17"/>
    <n v="89"/>
    <n v="0"/>
    <n v="272.91000000000003"/>
    <n v="185.18"/>
    <m/>
    <n v="315.8126451707094"/>
    <n v="198.13390838089941"/>
    <n v="0"/>
    <n v="-999.12351000000012"/>
    <n v="-677.94398000000001"/>
    <n v="0"/>
    <n v="-1156.1900939699672"/>
    <n v="-725.36823858247271"/>
  </r>
  <r>
    <s v="Sistema de Compensação"/>
    <x v="4"/>
    <x v="3"/>
    <x v="1"/>
    <x v="0"/>
    <x v="0"/>
    <x v="0"/>
    <x v="1"/>
    <x v="4"/>
    <n v="0"/>
    <n v="0"/>
    <n v="41.097000000000001"/>
    <n v="41.097000000000001"/>
    <n v="41.097000000000001"/>
    <n v="41.097000000000001"/>
    <n v="145"/>
    <x v="1"/>
    <n v="0"/>
    <n v="0"/>
    <n v="17"/>
    <n v="89"/>
    <n v="0"/>
    <n v="272.91000000000003"/>
    <n v="185.18"/>
    <m/>
    <n v="315.8126451707094"/>
    <n v="198.13390838089941"/>
    <n v="0"/>
    <n v="11215.782270000002"/>
    <n v="7610.3424600000008"/>
    <n v="0"/>
    <n v="12978.952278580644"/>
    <n v="8142.7092327298233"/>
  </r>
  <r>
    <s v="Regular"/>
    <x v="4"/>
    <x v="3"/>
    <x v="1"/>
    <x v="0"/>
    <x v="0"/>
    <x v="0"/>
    <x v="1"/>
    <x v="5"/>
    <n v="0"/>
    <n v="0"/>
    <n v="1080.982"/>
    <n v="1080.982"/>
    <n v="1080.982"/>
    <n v="1080.982"/>
    <n v="2215"/>
    <x v="1"/>
    <n v="0"/>
    <n v="0"/>
    <n v="17"/>
    <n v="89"/>
    <n v="0"/>
    <n v="272.91000000000003"/>
    <n v="185.18"/>
    <m/>
    <n v="315.8126451707094"/>
    <n v="198.13390838089941"/>
    <n v="0"/>
    <n v="295010.79762000003"/>
    <n v="200176.24676000001"/>
    <n v="0"/>
    <n v="341387.78480192379"/>
    <n v="214179.18854940141"/>
  </r>
  <r>
    <s v="Refaturamento - Regular"/>
    <x v="4"/>
    <x v="3"/>
    <x v="1"/>
    <x v="0"/>
    <x v="0"/>
    <x v="0"/>
    <x v="1"/>
    <x v="5"/>
    <n v="0"/>
    <n v="0"/>
    <n v="-5.9909999999999997"/>
    <n v="-5.9909999999999997"/>
    <n v="-5.9909999999999997"/>
    <n v="-5.9909999999999997"/>
    <n v="-2"/>
    <x v="1"/>
    <n v="0"/>
    <n v="0"/>
    <n v="17"/>
    <n v="89"/>
    <n v="0"/>
    <n v="272.91000000000003"/>
    <n v="185.18"/>
    <m/>
    <n v="315.8126451707094"/>
    <n v="198.13390838089941"/>
    <n v="0"/>
    <n v="-1635.0038100000002"/>
    <n v="-1109.41338"/>
    <n v="0"/>
    <n v="-1892.0335572177198"/>
    <n v="-1187.0202451099683"/>
  </r>
  <r>
    <s v="Regular"/>
    <x v="4"/>
    <x v="3"/>
    <x v="1"/>
    <x v="0"/>
    <x v="0"/>
    <x v="0"/>
    <x v="1"/>
    <x v="6"/>
    <n v="0"/>
    <n v="0"/>
    <n v="1296.5409999999999"/>
    <n v="1296.5409999999999"/>
    <n v="1296.5409999999999"/>
    <n v="1296.5409999999999"/>
    <n v="2213"/>
    <x v="1"/>
    <n v="0"/>
    <n v="0"/>
    <n v="17"/>
    <n v="89"/>
    <n v="0"/>
    <n v="272.91000000000003"/>
    <n v="185.18"/>
    <m/>
    <n v="315.8126451707094"/>
    <n v="198.13390838089941"/>
    <n v="0"/>
    <n v="353839.00430999999"/>
    <n v="240093.46238000001"/>
    <n v="0"/>
    <n v="409464.04278227669"/>
    <n v="256888.73570607969"/>
  </r>
  <r>
    <s v="Refaturamento - Regular"/>
    <x v="4"/>
    <x v="3"/>
    <x v="1"/>
    <x v="0"/>
    <x v="0"/>
    <x v="0"/>
    <x v="1"/>
    <x v="6"/>
    <n v="0"/>
    <n v="0"/>
    <n v="-0.69299999999999995"/>
    <n v="-0.69299999999999995"/>
    <n v="-0.69299999999999995"/>
    <n v="-0.69299999999999995"/>
    <n v="-1"/>
    <x v="1"/>
    <n v="0"/>
    <n v="0"/>
    <n v="17"/>
    <n v="89"/>
    <n v="0"/>
    <n v="272.91000000000003"/>
    <n v="185.18"/>
    <m/>
    <n v="315.8126451707094"/>
    <n v="198.13390838089941"/>
    <n v="0"/>
    <n v="-189.12663000000001"/>
    <n v="-128.32973999999999"/>
    <n v="0"/>
    <n v="-218.85816310330159"/>
    <n v="-137.30679850796329"/>
  </r>
  <r>
    <s v="Sistema de Compensação"/>
    <x v="4"/>
    <x v="3"/>
    <x v="1"/>
    <x v="0"/>
    <x v="0"/>
    <x v="0"/>
    <x v="1"/>
    <x v="6"/>
    <n v="0"/>
    <n v="0"/>
    <n v="60.875"/>
    <n v="60.875"/>
    <n v="60.875"/>
    <n v="60.875"/>
    <n v="159"/>
    <x v="1"/>
    <n v="0"/>
    <n v="0"/>
    <n v="17"/>
    <n v="89"/>
    <n v="0"/>
    <n v="272.91000000000003"/>
    <n v="185.18"/>
    <m/>
    <n v="315.8126451707094"/>
    <n v="198.13390838089941"/>
    <n v="0"/>
    <n v="16613.396250000002"/>
    <n v="11272.8325"/>
    <n v="0"/>
    <n v="19225.094774766934"/>
    <n v="12061.401672687252"/>
  </r>
  <r>
    <s v="Regular"/>
    <x v="4"/>
    <x v="3"/>
    <x v="1"/>
    <x v="0"/>
    <x v="0"/>
    <x v="0"/>
    <x v="1"/>
    <x v="7"/>
    <n v="0"/>
    <n v="0"/>
    <n v="1223.2349999999999"/>
    <n v="1223.2349999999999"/>
    <n v="1223.2349999999999"/>
    <n v="1223.2349999999999"/>
    <n v="2220"/>
    <x v="1"/>
    <n v="0"/>
    <n v="0"/>
    <n v="17"/>
    <n v="89"/>
    <n v="0"/>
    <n v="272.91000000000003"/>
    <n v="185.18"/>
    <m/>
    <n v="315.8126451707094"/>
    <n v="198.13390838089941"/>
    <n v="0"/>
    <n v="333833.06384999998"/>
    <n v="226518.65729999999"/>
    <n v="0"/>
    <n v="386313.08101539267"/>
    <n v="242364.33141830948"/>
  </r>
  <r>
    <s v="Refaturamento - Regular"/>
    <x v="4"/>
    <x v="3"/>
    <x v="1"/>
    <x v="0"/>
    <x v="0"/>
    <x v="0"/>
    <x v="1"/>
    <x v="7"/>
    <n v="0"/>
    <n v="0"/>
    <n v="-2.3679999999999999"/>
    <n v="-2.3679999999999999"/>
    <n v="-2.3679999999999999"/>
    <n v="-2.3679999999999999"/>
    <n v="-1"/>
    <x v="1"/>
    <n v="0"/>
    <n v="0"/>
    <n v="17"/>
    <n v="89"/>
    <n v="0"/>
    <n v="272.91000000000003"/>
    <n v="185.18"/>
    <m/>
    <n v="315.8126451707094"/>
    <n v="198.13390838089941"/>
    <n v="0"/>
    <n v="-646.25088000000005"/>
    <n v="-438.50623999999999"/>
    <n v="0"/>
    <n v="-747.84434376423985"/>
    <n v="-469.18109504596981"/>
  </r>
  <r>
    <s v="Sistema de Compensação"/>
    <x v="4"/>
    <x v="3"/>
    <x v="1"/>
    <x v="0"/>
    <x v="0"/>
    <x v="0"/>
    <x v="1"/>
    <x v="7"/>
    <n v="0"/>
    <n v="0"/>
    <n v="69.141000000000005"/>
    <n v="69.141000000000005"/>
    <n v="69.141000000000005"/>
    <n v="69.141000000000005"/>
    <n v="164"/>
    <x v="1"/>
    <n v="0"/>
    <n v="0"/>
    <n v="17"/>
    <n v="89"/>
    <n v="0"/>
    <n v="272.91000000000003"/>
    <n v="185.18"/>
    <m/>
    <n v="315.8126451707094"/>
    <n v="198.13390838089941"/>
    <n v="0"/>
    <n v="18869.270310000004"/>
    <n v="12803.530380000002"/>
    <n v="0"/>
    <n v="21835.602099748019"/>
    <n v="13699.176559363767"/>
  </r>
  <r>
    <s v="Regular"/>
    <x v="4"/>
    <x v="3"/>
    <x v="1"/>
    <x v="0"/>
    <x v="0"/>
    <x v="0"/>
    <x v="1"/>
    <x v="8"/>
    <n v="0"/>
    <n v="0"/>
    <n v="1206.835"/>
    <n v="1206.835"/>
    <n v="1206.835"/>
    <n v="1206.835"/>
    <n v="2222"/>
    <x v="1"/>
    <n v="0"/>
    <n v="0"/>
    <n v="17"/>
    <n v="89"/>
    <n v="0"/>
    <n v="272.91000000000003"/>
    <n v="185.18"/>
    <m/>
    <n v="315.8126451707094"/>
    <n v="198.13390838089941"/>
    <n v="0"/>
    <n v="329357.33985000005"/>
    <n v="223481.7053"/>
    <n v="0"/>
    <n v="381133.7536345931"/>
    <n v="239114.93532086274"/>
  </r>
  <r>
    <s v="Refaturamento - Regular"/>
    <x v="4"/>
    <x v="3"/>
    <x v="1"/>
    <x v="0"/>
    <x v="0"/>
    <x v="0"/>
    <x v="1"/>
    <x v="8"/>
    <n v="0"/>
    <n v="0"/>
    <n v="-0.67700000000000005"/>
    <n v="-0.67700000000000005"/>
    <n v="-0.67700000000000005"/>
    <n v="-0.67700000000000005"/>
    <n v="-3"/>
    <x v="1"/>
    <n v="0"/>
    <n v="0"/>
    <n v="17"/>
    <n v="89"/>
    <n v="0"/>
    <n v="272.91000000000003"/>
    <n v="185.18"/>
    <m/>
    <n v="315.8126451707094"/>
    <n v="198.13390838089941"/>
    <n v="0"/>
    <n v="-184.76007000000004"/>
    <n v="-125.36686000000002"/>
    <n v="0"/>
    <n v="-213.80516078057028"/>
    <n v="-134.13665597386893"/>
  </r>
  <r>
    <s v="Sistema de Compensação"/>
    <x v="4"/>
    <x v="3"/>
    <x v="1"/>
    <x v="0"/>
    <x v="0"/>
    <x v="0"/>
    <x v="1"/>
    <x v="8"/>
    <n v="0"/>
    <n v="0"/>
    <n v="72.168000000000006"/>
    <n v="72.168000000000006"/>
    <n v="72.168000000000006"/>
    <n v="72.168000000000006"/>
    <n v="168"/>
    <x v="1"/>
    <n v="0"/>
    <n v="0"/>
    <n v="17"/>
    <n v="89"/>
    <n v="0"/>
    <n v="272.91000000000003"/>
    <n v="185.18"/>
    <m/>
    <n v="315.8126451707094"/>
    <n v="198.13390838089941"/>
    <n v="0"/>
    <n v="19695.368880000002"/>
    <n v="13364.070240000001"/>
    <n v="0"/>
    <n v="22791.566976679758"/>
    <n v="14298.92790003275"/>
  </r>
  <r>
    <s v="Regular"/>
    <x v="4"/>
    <x v="3"/>
    <x v="1"/>
    <x v="0"/>
    <x v="0"/>
    <x v="0"/>
    <x v="1"/>
    <x v="9"/>
    <n v="0"/>
    <n v="0"/>
    <n v="1147.348"/>
    <n v="1147.348"/>
    <n v="1147.348"/>
    <n v="1147.348"/>
    <n v="2217"/>
    <x v="1"/>
    <n v="0"/>
    <n v="0"/>
    <n v="17"/>
    <n v="89"/>
    <n v="0"/>
    <n v="272.91000000000003"/>
    <n v="185.18"/>
    <m/>
    <n v="315.8126451707094"/>
    <n v="198.13390838089941"/>
    <n v="0"/>
    <n v="313122.74268000002"/>
    <n v="212465.90263999999"/>
    <n v="0"/>
    <n v="362347.00681132305"/>
    <n v="227328.54351300816"/>
  </r>
  <r>
    <s v="Refaturamento - Regular"/>
    <x v="4"/>
    <x v="3"/>
    <x v="1"/>
    <x v="0"/>
    <x v="0"/>
    <x v="0"/>
    <x v="1"/>
    <x v="9"/>
    <n v="0"/>
    <n v="0"/>
    <n v="-40.024000000000001"/>
    <n v="-40.024000000000001"/>
    <n v="-40.024000000000001"/>
    <n v="-40.024000000000001"/>
    <n v="-2"/>
    <x v="1"/>
    <n v="0"/>
    <n v="0"/>
    <n v="17"/>
    <n v="89"/>
    <n v="0"/>
    <n v="272.91000000000003"/>
    <n v="185.18"/>
    <m/>
    <n v="315.8126451707094"/>
    <n v="198.13390838089941"/>
    <n v="0"/>
    <n v="-10922.949840000001"/>
    <n v="-7411.6443200000003"/>
    <n v="0"/>
    <n v="-12640.085310312474"/>
    <n v="-7930.1115490371185"/>
  </r>
  <r>
    <s v="Sistema de Compensação"/>
    <x v="4"/>
    <x v="3"/>
    <x v="1"/>
    <x v="0"/>
    <x v="0"/>
    <x v="0"/>
    <x v="1"/>
    <x v="9"/>
    <n v="0"/>
    <n v="0"/>
    <n v="96.531000000000006"/>
    <n v="96.531000000000006"/>
    <n v="96.531000000000006"/>
    <n v="96.531000000000006"/>
    <n v="175"/>
    <x v="1"/>
    <n v="0"/>
    <n v="0"/>
    <n v="17"/>
    <n v="89"/>
    <n v="0"/>
    <n v="272.91000000000003"/>
    <n v="185.18"/>
    <m/>
    <n v="315.8126451707094"/>
    <n v="198.13390838089941"/>
    <n v="0"/>
    <n v="26344.275210000003"/>
    <n v="17875.61058"/>
    <n v="0"/>
    <n v="30485.710450973751"/>
    <n v="19126.064309916601"/>
  </r>
  <r>
    <s v="Regular"/>
    <x v="4"/>
    <x v="3"/>
    <x v="1"/>
    <x v="0"/>
    <x v="0"/>
    <x v="0"/>
    <x v="1"/>
    <x v="10"/>
    <n v="0"/>
    <n v="0"/>
    <n v="1131.5830000000001"/>
    <n v="1131.5830000000001"/>
    <n v="1131.5830000000001"/>
    <n v="1131.5830000000001"/>
    <n v="2224"/>
    <x v="1"/>
    <n v="0"/>
    <n v="0"/>
    <n v="17"/>
    <n v="89"/>
    <n v="0"/>
    <n v="272.91000000000003"/>
    <n v="185.18"/>
    <m/>
    <n v="315.8126451707094"/>
    <n v="198.13390838089941"/>
    <n v="0"/>
    <n v="308820.31653000007"/>
    <n v="209546.53994000002"/>
    <n v="0"/>
    <n v="357368.22046020691"/>
    <n v="224204.96244738332"/>
  </r>
  <r>
    <s v="Refaturamento - Regular"/>
    <x v="4"/>
    <x v="3"/>
    <x v="1"/>
    <x v="0"/>
    <x v="0"/>
    <x v="0"/>
    <x v="1"/>
    <x v="10"/>
    <n v="0"/>
    <n v="0"/>
    <n v="-12.000999999999999"/>
    <n v="-12.000999999999999"/>
    <n v="-12.000999999999999"/>
    <n v="-12.000999999999999"/>
    <n v="-5"/>
    <x v="1"/>
    <n v="0"/>
    <n v="0"/>
    <n v="17"/>
    <n v="89"/>
    <n v="0"/>
    <n v="272.91000000000003"/>
    <n v="185.18"/>
    <m/>
    <n v="315.8126451707094"/>
    <n v="198.13390838089941"/>
    <n v="0"/>
    <n v="-3275.1929100000002"/>
    <n v="-2222.3451799999998"/>
    <n v="0"/>
    <n v="-3790.0675546936832"/>
    <n v="-2377.8050344791736"/>
  </r>
  <r>
    <s v="Sistema de Compensação"/>
    <x v="4"/>
    <x v="3"/>
    <x v="1"/>
    <x v="0"/>
    <x v="0"/>
    <x v="0"/>
    <x v="1"/>
    <x v="10"/>
    <n v="0"/>
    <n v="0"/>
    <n v="93.521000000000001"/>
    <n v="93.521000000000001"/>
    <n v="93.521000000000001"/>
    <n v="93.521000000000001"/>
    <n v="181"/>
    <x v="1"/>
    <n v="0"/>
    <n v="0"/>
    <n v="17"/>
    <n v="89"/>
    <n v="0"/>
    <n v="272.91000000000003"/>
    <n v="185.18"/>
    <m/>
    <n v="315.8126451707094"/>
    <n v="198.13390838089941"/>
    <n v="0"/>
    <n v="25522.816110000003"/>
    <n v="17318.218779999999"/>
    <n v="0"/>
    <n v="29535.114389009916"/>
    <n v="18529.681245690095"/>
  </r>
  <r>
    <s v="Regular"/>
    <x v="4"/>
    <x v="3"/>
    <x v="1"/>
    <x v="0"/>
    <x v="0"/>
    <x v="0"/>
    <x v="1"/>
    <x v="11"/>
    <n v="0"/>
    <n v="0"/>
    <n v="1098.05"/>
    <n v="1098.05"/>
    <n v="1098.05"/>
    <n v="1098.05"/>
    <n v="2233"/>
    <x v="1"/>
    <n v="0"/>
    <n v="0"/>
    <n v="17"/>
    <n v="89"/>
    <n v="0"/>
    <n v="272.91000000000003"/>
    <n v="185.18"/>
    <m/>
    <n v="315.8126451707094"/>
    <n v="198.13390838089941"/>
    <n v="0"/>
    <n v="299668.82550000004"/>
    <n v="203336.899"/>
    <n v="0"/>
    <n v="346778.07502969744"/>
    <n v="217560.93809764661"/>
  </r>
  <r>
    <s v="Refaturamento - Regular"/>
    <x v="4"/>
    <x v="3"/>
    <x v="1"/>
    <x v="0"/>
    <x v="0"/>
    <x v="0"/>
    <x v="1"/>
    <x v="11"/>
    <n v="0"/>
    <n v="0"/>
    <n v="-2.597"/>
    <n v="-2.597"/>
    <n v="-2.597"/>
    <n v="-2.597"/>
    <n v="-5"/>
    <x v="1"/>
    <n v="0"/>
    <n v="0"/>
    <n v="17"/>
    <n v="89"/>
    <n v="0"/>
    <n v="272.91000000000003"/>
    <n v="185.18"/>
    <m/>
    <n v="315.8126451707094"/>
    <n v="198.13390838089941"/>
    <n v="0"/>
    <n v="-708.74727000000007"/>
    <n v="-480.91246000000001"/>
    <n v="0"/>
    <n v="-820.16543950833227"/>
    <n v="-514.55376006519577"/>
  </r>
  <r>
    <s v="Sistema de Compensação"/>
    <x v="4"/>
    <x v="3"/>
    <x v="1"/>
    <x v="0"/>
    <x v="0"/>
    <x v="0"/>
    <x v="1"/>
    <x v="11"/>
    <n v="0"/>
    <n v="0"/>
    <n v="105.077"/>
    <n v="105.077"/>
    <n v="105.077"/>
    <n v="105.077"/>
    <n v="185"/>
    <x v="1"/>
    <n v="0"/>
    <n v="0"/>
    <n v="17"/>
    <n v="89"/>
    <n v="0"/>
    <n v="272.91000000000003"/>
    <n v="185.18"/>
    <m/>
    <n v="315.8126451707094"/>
    <n v="198.13390838089941"/>
    <n v="0"/>
    <n v="28676.56407"/>
    <n v="19458.15886"/>
    <n v="0"/>
    <n v="33184.645316602633"/>
    <n v="20819.316690939766"/>
  </r>
  <r>
    <s v="Regular"/>
    <x v="4"/>
    <x v="3"/>
    <x v="3"/>
    <x v="0"/>
    <x v="0"/>
    <x v="0"/>
    <x v="1"/>
    <x v="0"/>
    <n v="0"/>
    <n v="0"/>
    <n v="16.654"/>
    <n v="16.654"/>
    <n v="16.654"/>
    <n v="16.654"/>
    <n v="13"/>
    <x v="1"/>
    <n v="0"/>
    <n v="0"/>
    <n v="17"/>
    <n v="89"/>
    <n v="0"/>
    <n v="272.91000000000003"/>
    <n v="185.18"/>
    <m/>
    <n v="315.8126451707094"/>
    <n v="198.13390838089941"/>
    <n v="0"/>
    <n v="4545.0431400000007"/>
    <n v="3083.9877200000001"/>
    <n v="0"/>
    <n v="5259.5437926729946"/>
    <n v="3299.722110175499"/>
  </r>
  <r>
    <s v="Regular"/>
    <x v="4"/>
    <x v="3"/>
    <x v="3"/>
    <x v="0"/>
    <x v="0"/>
    <x v="0"/>
    <x v="1"/>
    <x v="1"/>
    <n v="0"/>
    <n v="0"/>
    <n v="17.527999999999999"/>
    <n v="17.527999999999999"/>
    <n v="17.527999999999999"/>
    <n v="17.527999999999999"/>
    <n v="13"/>
    <x v="1"/>
    <n v="0"/>
    <n v="0"/>
    <n v="17"/>
    <n v="89"/>
    <n v="0"/>
    <n v="272.91000000000003"/>
    <n v="185.18"/>
    <m/>
    <n v="315.8126451707094"/>
    <n v="198.13390838089941"/>
    <n v="0"/>
    <n v="4783.5664800000004"/>
    <n v="3245.8350399999999"/>
    <n v="0"/>
    <n v="5535.564044552194"/>
    <n v="3472.8911461004045"/>
  </r>
  <r>
    <s v="Regular"/>
    <x v="4"/>
    <x v="3"/>
    <x v="3"/>
    <x v="0"/>
    <x v="0"/>
    <x v="0"/>
    <x v="1"/>
    <x v="2"/>
    <n v="0"/>
    <n v="0"/>
    <n v="18.817"/>
    <n v="18.817"/>
    <n v="18.817"/>
    <n v="18.817"/>
    <n v="13"/>
    <x v="1"/>
    <n v="0"/>
    <n v="0"/>
    <n v="17"/>
    <n v="89"/>
    <n v="0"/>
    <n v="272.91000000000003"/>
    <n v="185.18"/>
    <m/>
    <n v="315.8126451707094"/>
    <n v="198.13390838089941"/>
    <n v="0"/>
    <n v="5135.3474700000006"/>
    <n v="3484.53206"/>
    <n v="0"/>
    <n v="5942.6465441772389"/>
    <n v="3728.2857540033842"/>
  </r>
  <r>
    <s v="Regular"/>
    <x v="4"/>
    <x v="3"/>
    <x v="3"/>
    <x v="0"/>
    <x v="0"/>
    <x v="0"/>
    <x v="1"/>
    <x v="3"/>
    <n v="0"/>
    <n v="0"/>
    <n v="18.372"/>
    <n v="18.372"/>
    <n v="18.372"/>
    <n v="18.372"/>
    <n v="13"/>
    <x v="1"/>
    <n v="0"/>
    <n v="0"/>
    <n v="17"/>
    <n v="89"/>
    <n v="0"/>
    <n v="272.91000000000003"/>
    <n v="185.18"/>
    <m/>
    <n v="315.8126451707094"/>
    <n v="198.13390838089941"/>
    <n v="0"/>
    <n v="5013.9025200000005"/>
    <n v="3402.1269600000001"/>
    <n v="0"/>
    <n v="5802.1099170762727"/>
    <n v="3640.1161647738841"/>
  </r>
  <r>
    <s v="Regular"/>
    <x v="4"/>
    <x v="3"/>
    <x v="3"/>
    <x v="0"/>
    <x v="0"/>
    <x v="0"/>
    <x v="1"/>
    <x v="4"/>
    <n v="0"/>
    <n v="0"/>
    <n v="19.646000000000001"/>
    <n v="19.646000000000001"/>
    <n v="19.646000000000001"/>
    <n v="19.646000000000001"/>
    <n v="13"/>
    <x v="1"/>
    <n v="0"/>
    <n v="0"/>
    <n v="17"/>
    <n v="89"/>
    <n v="0"/>
    <n v="272.91000000000003"/>
    <n v="185.18"/>
    <m/>
    <n v="315.8126451707094"/>
    <n v="198.13390838089941"/>
    <n v="0"/>
    <n v="5361.589860000001"/>
    <n v="3638.0462800000005"/>
    <n v="0"/>
    <n v="6204.4552270237573"/>
    <n v="3892.5387640511499"/>
  </r>
  <r>
    <s v="Regular"/>
    <x v="4"/>
    <x v="3"/>
    <x v="3"/>
    <x v="0"/>
    <x v="0"/>
    <x v="0"/>
    <x v="1"/>
    <x v="5"/>
    <n v="0"/>
    <n v="0"/>
    <n v="19.978000000000002"/>
    <n v="19.978000000000002"/>
    <n v="19.978000000000002"/>
    <n v="19.978000000000002"/>
    <n v="14"/>
    <x v="1"/>
    <n v="0"/>
    <n v="0"/>
    <n v="17"/>
    <n v="89"/>
    <n v="0"/>
    <n v="272.91000000000003"/>
    <n v="185.18"/>
    <m/>
    <n v="315.8126451707094"/>
    <n v="198.13390838089941"/>
    <n v="0"/>
    <n v="5452.1959800000013"/>
    <n v="3699.5260400000002"/>
    <n v="0"/>
    <n v="6309.305025220433"/>
    <n v="3958.3192216336088"/>
  </r>
  <r>
    <s v="Regular"/>
    <x v="4"/>
    <x v="3"/>
    <x v="3"/>
    <x v="0"/>
    <x v="0"/>
    <x v="0"/>
    <x v="1"/>
    <x v="6"/>
    <n v="0"/>
    <n v="0"/>
    <n v="24.887"/>
    <n v="24.887"/>
    <n v="24.887"/>
    <n v="24.887"/>
    <n v="14"/>
    <x v="1"/>
    <n v="0"/>
    <n v="0"/>
    <n v="17"/>
    <n v="89"/>
    <n v="0"/>
    <n v="272.91000000000003"/>
    <n v="185.18"/>
    <m/>
    <n v="315.8126451707094"/>
    <n v="198.13390838089941"/>
    <n v="0"/>
    <n v="6791.9111700000003"/>
    <n v="4608.5746600000002"/>
    <n v="0"/>
    <n v="7859.6293003634446"/>
    <n v="4930.9585778754436"/>
  </r>
  <r>
    <s v="Regular"/>
    <x v="4"/>
    <x v="3"/>
    <x v="3"/>
    <x v="0"/>
    <x v="0"/>
    <x v="0"/>
    <x v="1"/>
    <x v="7"/>
    <n v="0"/>
    <n v="0"/>
    <n v="24.308"/>
    <n v="24.308"/>
    <n v="24.308"/>
    <n v="24.308"/>
    <n v="14"/>
    <x v="1"/>
    <n v="0"/>
    <n v="0"/>
    <n v="17"/>
    <n v="89"/>
    <n v="0"/>
    <n v="272.91000000000003"/>
    <n v="185.18"/>
    <m/>
    <n v="315.8126451707094"/>
    <n v="198.13390838089941"/>
    <n v="0"/>
    <n v="6633.8962800000008"/>
    <n v="4501.3554400000003"/>
    <n v="0"/>
    <n v="7676.7737788096038"/>
    <n v="4816.2390449229033"/>
  </r>
  <r>
    <s v="Regular"/>
    <x v="4"/>
    <x v="3"/>
    <x v="3"/>
    <x v="0"/>
    <x v="0"/>
    <x v="0"/>
    <x v="1"/>
    <x v="8"/>
    <n v="0"/>
    <n v="0"/>
    <n v="19.253"/>
    <n v="19.253"/>
    <n v="19.253"/>
    <n v="19.253"/>
    <n v="14"/>
    <x v="1"/>
    <n v="0"/>
    <n v="0"/>
    <n v="17"/>
    <n v="89"/>
    <n v="0"/>
    <n v="272.91000000000003"/>
    <n v="185.18"/>
    <m/>
    <n v="315.8126451707094"/>
    <n v="198.13390838089941"/>
    <n v="0"/>
    <n v="5254.3362300000008"/>
    <n v="3565.27054"/>
    <n v="0"/>
    <n v="6080.3408574716677"/>
    <n v="3814.6721380574563"/>
  </r>
  <r>
    <s v="Regular"/>
    <x v="4"/>
    <x v="3"/>
    <x v="3"/>
    <x v="0"/>
    <x v="0"/>
    <x v="0"/>
    <x v="1"/>
    <x v="9"/>
    <n v="0"/>
    <n v="0"/>
    <n v="20.044"/>
    <n v="20.044"/>
    <n v="20.044"/>
    <n v="20.044"/>
    <n v="14"/>
    <x v="1"/>
    <n v="0"/>
    <n v="0"/>
    <n v="17"/>
    <n v="89"/>
    <n v="0"/>
    <n v="272.91000000000003"/>
    <n v="185.18"/>
    <m/>
    <n v="315.8126451707094"/>
    <n v="198.13390838089941"/>
    <n v="0"/>
    <n v="5470.2080400000004"/>
    <n v="3711.7479200000002"/>
    <n v="0"/>
    <n v="6330.1486598016991"/>
    <n v="3971.3960595867479"/>
  </r>
  <r>
    <s v="Regular"/>
    <x v="4"/>
    <x v="3"/>
    <x v="3"/>
    <x v="0"/>
    <x v="0"/>
    <x v="0"/>
    <x v="1"/>
    <x v="10"/>
    <n v="0"/>
    <n v="0"/>
    <n v="17.527000000000001"/>
    <n v="17.527000000000001"/>
    <n v="17.527000000000001"/>
    <n v="17.527000000000001"/>
    <n v="14"/>
    <x v="1"/>
    <n v="0"/>
    <n v="0"/>
    <n v="17"/>
    <n v="89"/>
    <n v="0"/>
    <n v="272.91000000000003"/>
    <n v="185.18"/>
    <m/>
    <n v="315.8126451707094"/>
    <n v="198.13390838089941"/>
    <n v="0"/>
    <n v="4783.2935700000007"/>
    <n v="3245.6498600000004"/>
    <n v="0"/>
    <n v="5535.2482319070241"/>
    <n v="3472.6930121920241"/>
  </r>
  <r>
    <s v="Regular"/>
    <x v="4"/>
    <x v="3"/>
    <x v="3"/>
    <x v="0"/>
    <x v="0"/>
    <x v="0"/>
    <x v="1"/>
    <x v="11"/>
    <n v="0"/>
    <n v="0"/>
    <n v="19.677"/>
    <n v="19.677"/>
    <n v="19.677"/>
    <n v="19.677"/>
    <n v="14"/>
    <x v="1"/>
    <n v="0"/>
    <n v="0"/>
    <n v="17"/>
    <n v="89"/>
    <n v="0"/>
    <n v="272.91000000000003"/>
    <n v="185.18"/>
    <m/>
    <n v="315.8126451707094"/>
    <n v="198.13390838089941"/>
    <n v="0"/>
    <n v="5370.0500700000002"/>
    <n v="3643.7868600000002"/>
    <n v="0"/>
    <n v="6214.2454190240487"/>
    <n v="3898.6809152109577"/>
  </r>
  <r>
    <s v="Regular"/>
    <x v="4"/>
    <x v="3"/>
    <x v="0"/>
    <x v="0"/>
    <x v="0"/>
    <x v="0"/>
    <x v="1"/>
    <x v="0"/>
    <n v="0"/>
    <n v="0"/>
    <n v="331.35599999999999"/>
    <n v="331.35599999999999"/>
    <n v="331.35599999999999"/>
    <n v="331.35599999999999"/>
    <n v="328"/>
    <x v="1"/>
    <n v="0"/>
    <n v="0"/>
    <n v="17"/>
    <n v="89"/>
    <n v="0"/>
    <n v="272.91000000000003"/>
    <n v="185.18"/>
    <m/>
    <n v="315.8126451707094"/>
    <n v="198.13390838089941"/>
    <n v="0"/>
    <n v="90430.36596000001"/>
    <n v="61360.504079999999"/>
    <n v="0"/>
    <n v="104646.41485318559"/>
    <n v="65652.8593454613"/>
  </r>
  <r>
    <s v="Refaturamento - Regular"/>
    <x v="4"/>
    <x v="3"/>
    <x v="0"/>
    <x v="0"/>
    <x v="0"/>
    <x v="0"/>
    <x v="1"/>
    <x v="0"/>
    <n v="0"/>
    <n v="0"/>
    <n v="-0.89200000000000002"/>
    <n v="-0.89200000000000002"/>
    <n v="-0.89200000000000002"/>
    <n v="-0.89200000000000002"/>
    <n v="-3"/>
    <x v="1"/>
    <n v="0"/>
    <n v="0"/>
    <n v="17"/>
    <n v="89"/>
    <n v="0"/>
    <n v="272.91000000000003"/>
    <n v="185.18"/>
    <m/>
    <n v="315.8126451707094"/>
    <n v="198.13390838089941"/>
    <n v="0"/>
    <n v="-243.43572000000003"/>
    <n v="-165.18056000000001"/>
    <n v="0"/>
    <n v="-281.70487949227277"/>
    <n v="-176.73544627576229"/>
  </r>
  <r>
    <s v="Sistema de Compensação"/>
    <x v="4"/>
    <x v="3"/>
    <x v="0"/>
    <x v="0"/>
    <x v="0"/>
    <x v="0"/>
    <x v="1"/>
    <x v="0"/>
    <n v="0"/>
    <n v="0"/>
    <n v="63.741999999999997"/>
    <n v="63.741999999999997"/>
    <n v="63.741999999999997"/>
    <n v="63.741999999999997"/>
    <n v="30"/>
    <x v="1"/>
    <n v="0"/>
    <n v="0"/>
    <n v="17"/>
    <n v="89"/>
    <n v="0"/>
    <n v="272.91000000000003"/>
    <n v="185.18"/>
    <m/>
    <n v="315.8126451707094"/>
    <n v="198.13390838089941"/>
    <n v="0"/>
    <n v="17395.82922"/>
    <n v="11803.743560000001"/>
    <n v="0"/>
    <n v="20130.529628471359"/>
    <n v="12629.45158801529"/>
  </r>
  <r>
    <s v="Regular"/>
    <x v="4"/>
    <x v="3"/>
    <x v="0"/>
    <x v="0"/>
    <x v="0"/>
    <x v="0"/>
    <x v="1"/>
    <x v="1"/>
    <n v="0"/>
    <n v="0"/>
    <n v="374.75"/>
    <n v="374.75"/>
    <n v="374.75"/>
    <n v="374.75"/>
    <n v="331"/>
    <x v="1"/>
    <n v="0"/>
    <n v="0"/>
    <n v="17"/>
    <n v="89"/>
    <n v="0"/>
    <n v="272.91000000000003"/>
    <n v="185.18"/>
    <m/>
    <n v="315.8126451707094"/>
    <n v="198.13390838089941"/>
    <n v="0"/>
    <n v="102273.02250000001"/>
    <n v="69396.205000000002"/>
    <n v="0"/>
    <n v="118350.78877772336"/>
    <n v="74250.682165742051"/>
  </r>
  <r>
    <s v="Refaturamento - Regular"/>
    <x v="4"/>
    <x v="3"/>
    <x v="0"/>
    <x v="0"/>
    <x v="0"/>
    <x v="0"/>
    <x v="1"/>
    <x v="1"/>
    <n v="0"/>
    <n v="0"/>
    <n v="-0.03"/>
    <n v="-0.03"/>
    <n v="-0.03"/>
    <n v="-0.03"/>
    <n v="-1"/>
    <x v="1"/>
    <n v="0"/>
    <n v="0"/>
    <n v="17"/>
    <n v="89"/>
    <n v="0"/>
    <n v="272.91000000000003"/>
    <n v="185.18"/>
    <m/>
    <n v="315.8126451707094"/>
    <n v="198.13390838089941"/>
    <n v="0"/>
    <n v="-8.1873000000000005"/>
    <n v="-5.5553999999999997"/>
    <n v="0"/>
    <n v="-9.4743793551212825"/>
    <n v="-5.944017251426982"/>
  </r>
  <r>
    <s v="Sistema de Compensação"/>
    <x v="4"/>
    <x v="3"/>
    <x v="0"/>
    <x v="0"/>
    <x v="0"/>
    <x v="0"/>
    <x v="1"/>
    <x v="1"/>
    <n v="0"/>
    <n v="0"/>
    <n v="61.542000000000002"/>
    <n v="61.542000000000002"/>
    <n v="61.542000000000002"/>
    <n v="61.542000000000002"/>
    <n v="32"/>
    <x v="1"/>
    <n v="0"/>
    <n v="0"/>
    <n v="17"/>
    <n v="89"/>
    <n v="0"/>
    <n v="272.91000000000003"/>
    <n v="185.18"/>
    <m/>
    <n v="315.8126451707094"/>
    <n v="198.13390838089941"/>
    <n v="0"/>
    <n v="16795.427220000001"/>
    <n v="11396.34756"/>
    <n v="0"/>
    <n v="19435.741809095798"/>
    <n v="12193.556989577311"/>
  </r>
  <r>
    <s v="Regular"/>
    <x v="4"/>
    <x v="3"/>
    <x v="0"/>
    <x v="0"/>
    <x v="0"/>
    <x v="0"/>
    <x v="1"/>
    <x v="2"/>
    <n v="0"/>
    <n v="0"/>
    <n v="379.935"/>
    <n v="379.935"/>
    <n v="379.935"/>
    <n v="379.935"/>
    <n v="323"/>
    <x v="1"/>
    <n v="0"/>
    <n v="0"/>
    <n v="17"/>
    <n v="89"/>
    <n v="0"/>
    <n v="272.91000000000003"/>
    <n v="185.18"/>
    <m/>
    <n v="315.8126451707094"/>
    <n v="198.13390838089941"/>
    <n v="0"/>
    <n v="103688.06085000001"/>
    <n v="70356.363299999997"/>
    <n v="0"/>
    <n v="119988.27734293348"/>
    <n v="75278.006480697019"/>
  </r>
  <r>
    <s v="Refaturamento - Regular"/>
    <x v="4"/>
    <x v="3"/>
    <x v="0"/>
    <x v="0"/>
    <x v="0"/>
    <x v="0"/>
    <x v="1"/>
    <x v="2"/>
    <n v="0"/>
    <n v="0"/>
    <n v="-0.2"/>
    <n v="-0.2"/>
    <n v="-0.2"/>
    <n v="-0.2"/>
    <n v="-1"/>
    <x v="1"/>
    <n v="0"/>
    <n v="0"/>
    <n v="17"/>
    <n v="89"/>
    <n v="0"/>
    <n v="272.91000000000003"/>
    <n v="185.18"/>
    <m/>
    <n v="315.8126451707094"/>
    <n v="198.13390838089941"/>
    <n v="0"/>
    <n v="-54.582000000000008"/>
    <n v="-37.036000000000001"/>
    <n v="0"/>
    <n v="-63.162529034141883"/>
    <n v="-39.626781676179888"/>
  </r>
  <r>
    <s v="Sistema de Compensação"/>
    <x v="4"/>
    <x v="3"/>
    <x v="0"/>
    <x v="0"/>
    <x v="0"/>
    <x v="0"/>
    <x v="1"/>
    <x v="2"/>
    <n v="0"/>
    <n v="0"/>
    <n v="61.863999999999997"/>
    <n v="61.863999999999997"/>
    <n v="61.863999999999997"/>
    <n v="61.863999999999997"/>
    <n v="33"/>
    <x v="1"/>
    <n v="0"/>
    <n v="0"/>
    <n v="17"/>
    <n v="89"/>
    <n v="0"/>
    <n v="272.91000000000003"/>
    <n v="185.18"/>
    <m/>
    <n v="315.8126451707094"/>
    <n v="198.13390838089941"/>
    <n v="0"/>
    <n v="16883.304240000001"/>
    <n v="11455.97552"/>
    <n v="0"/>
    <n v="19537.433480840766"/>
    <n v="12257.356108075961"/>
  </r>
  <r>
    <s v="Regular"/>
    <x v="4"/>
    <x v="3"/>
    <x v="0"/>
    <x v="0"/>
    <x v="0"/>
    <x v="0"/>
    <x v="1"/>
    <x v="3"/>
    <n v="0"/>
    <n v="0"/>
    <n v="384.80700000000002"/>
    <n v="384.80700000000002"/>
    <n v="384.80700000000002"/>
    <n v="384.80700000000002"/>
    <n v="323"/>
    <x v="1"/>
    <n v="0"/>
    <n v="0"/>
    <n v="17"/>
    <n v="89"/>
    <n v="0"/>
    <n v="272.91000000000003"/>
    <n v="185.18"/>
    <m/>
    <n v="315.8126451707094"/>
    <n v="198.13390838089941"/>
    <n v="0"/>
    <n v="105017.67837000001"/>
    <n v="71258.560259999998"/>
    <n v="0"/>
    <n v="121526.91655020518"/>
    <n v="76243.314882328763"/>
  </r>
  <r>
    <s v="Refaturamento - Regular"/>
    <x v="4"/>
    <x v="3"/>
    <x v="0"/>
    <x v="0"/>
    <x v="0"/>
    <x v="0"/>
    <x v="1"/>
    <x v="3"/>
    <n v="0"/>
    <n v="0"/>
    <n v="-0.58099999999999996"/>
    <n v="-0.58099999999999996"/>
    <n v="-0.58099999999999996"/>
    <n v="-0.58099999999999996"/>
    <n v="-2"/>
    <x v="1"/>
    <n v="0"/>
    <n v="0"/>
    <n v="17"/>
    <n v="89"/>
    <n v="0"/>
    <n v="272.91000000000003"/>
    <n v="185.18"/>
    <m/>
    <n v="315.8126451707094"/>
    <n v="198.13390838089941"/>
    <n v="0"/>
    <n v="-158.56071"/>
    <n v="-107.58958"/>
    <n v="0"/>
    <n v="-183.48714684418215"/>
    <n v="-115.11580076930255"/>
  </r>
  <r>
    <s v="Sistema de Compensação"/>
    <x v="4"/>
    <x v="3"/>
    <x v="0"/>
    <x v="0"/>
    <x v="0"/>
    <x v="0"/>
    <x v="1"/>
    <x v="3"/>
    <n v="0"/>
    <n v="0"/>
    <n v="62.674999999999997"/>
    <n v="62.674999999999997"/>
    <n v="62.674999999999997"/>
    <n v="62.674999999999997"/>
    <n v="33"/>
    <x v="1"/>
    <n v="0"/>
    <n v="0"/>
    <n v="17"/>
    <n v="89"/>
    <n v="0"/>
    <n v="272.91000000000003"/>
    <n v="185.18"/>
    <m/>
    <n v="315.8126451707094"/>
    <n v="198.13390838089941"/>
    <n v="0"/>
    <n v="17104.634249999999"/>
    <n v="11606.156499999999"/>
    <n v="0"/>
    <n v="19793.557536074211"/>
    <n v="12418.042707772871"/>
  </r>
  <r>
    <s v="Regular"/>
    <x v="4"/>
    <x v="3"/>
    <x v="0"/>
    <x v="0"/>
    <x v="0"/>
    <x v="0"/>
    <x v="1"/>
    <x v="4"/>
    <n v="0"/>
    <n v="0"/>
    <n v="383.32400000000001"/>
    <n v="383.32400000000001"/>
    <n v="383.32400000000001"/>
    <n v="383.32400000000001"/>
    <n v="322"/>
    <x v="1"/>
    <n v="0"/>
    <n v="0"/>
    <n v="17"/>
    <n v="89"/>
    <n v="0"/>
    <n v="272.91000000000003"/>
    <n v="185.18"/>
    <m/>
    <n v="315.8126451707094"/>
    <n v="198.13390838089941"/>
    <n v="0"/>
    <n v="104612.95284000001"/>
    <n v="70983.938320000001"/>
    <n v="0"/>
    <n v="121058.56639741702"/>
    <n v="75949.482296199887"/>
  </r>
  <r>
    <s v="Sistema de Compensação"/>
    <x v="4"/>
    <x v="3"/>
    <x v="0"/>
    <x v="0"/>
    <x v="0"/>
    <x v="0"/>
    <x v="1"/>
    <x v="4"/>
    <n v="0"/>
    <n v="0"/>
    <n v="41.142000000000003"/>
    <n v="41.142000000000003"/>
    <n v="41.142000000000003"/>
    <n v="41.142000000000003"/>
    <n v="37"/>
    <x v="1"/>
    <n v="0"/>
    <n v="0"/>
    <n v="17"/>
    <n v="89"/>
    <n v="0"/>
    <n v="272.91000000000003"/>
    <n v="185.18"/>
    <m/>
    <n v="315.8126451707094"/>
    <n v="198.13390838089941"/>
    <n v="0"/>
    <n v="11228.063220000002"/>
    <n v="7618.6755600000006"/>
    <n v="0"/>
    <n v="12993.163847613327"/>
    <n v="8151.6252586069641"/>
  </r>
  <r>
    <s v="Regular"/>
    <x v="4"/>
    <x v="3"/>
    <x v="0"/>
    <x v="0"/>
    <x v="0"/>
    <x v="0"/>
    <x v="1"/>
    <x v="5"/>
    <n v="0"/>
    <n v="0"/>
    <n v="384.40499999999997"/>
    <n v="384.40499999999997"/>
    <n v="384.40499999999997"/>
    <n v="384.40499999999997"/>
    <n v="328"/>
    <x v="1"/>
    <n v="0"/>
    <n v="0"/>
    <n v="17"/>
    <n v="89"/>
    <n v="0"/>
    <n v="272.91000000000003"/>
    <n v="185.18"/>
    <m/>
    <n v="315.8126451707094"/>
    <n v="198.13390838089941"/>
    <n v="0"/>
    <n v="104907.96855000001"/>
    <n v="71184.117899999997"/>
    <n v="0"/>
    <n v="121399.95986684653"/>
    <n v="76163.665051159638"/>
  </r>
  <r>
    <s v="Refaturamento - Regular"/>
    <x v="4"/>
    <x v="3"/>
    <x v="0"/>
    <x v="0"/>
    <x v="0"/>
    <x v="0"/>
    <x v="1"/>
    <x v="5"/>
    <n v="0"/>
    <n v="0"/>
    <n v="-0.66"/>
    <n v="-0.66"/>
    <n v="-0.66"/>
    <n v="-0.66"/>
    <n v="-2"/>
    <x v="1"/>
    <n v="0"/>
    <n v="0"/>
    <n v="17"/>
    <n v="89"/>
    <n v="0"/>
    <n v="272.91000000000003"/>
    <n v="185.18"/>
    <m/>
    <n v="315.8126451707094"/>
    <n v="198.13390838089941"/>
    <n v="0"/>
    <n v="-180.12060000000002"/>
    <n v="-122.21880000000002"/>
    <n v="0"/>
    <n v="-208.43634581266821"/>
    <n v="-130.76837953139361"/>
  </r>
  <r>
    <s v="Regular"/>
    <x v="4"/>
    <x v="3"/>
    <x v="0"/>
    <x v="0"/>
    <x v="0"/>
    <x v="0"/>
    <x v="1"/>
    <x v="6"/>
    <n v="0"/>
    <n v="0"/>
    <n v="390.27600000000001"/>
    <n v="390.27600000000001"/>
    <n v="390.27600000000001"/>
    <n v="390.27600000000001"/>
    <n v="323"/>
    <x v="1"/>
    <n v="0"/>
    <n v="0"/>
    <n v="17"/>
    <n v="89"/>
    <n v="0"/>
    <n v="272.91000000000003"/>
    <n v="185.18"/>
    <m/>
    <n v="315.8126451707094"/>
    <n v="198.13390838089941"/>
    <n v="0"/>
    <n v="106510.22316000001"/>
    <n v="72271.309680000006"/>
    <n v="0"/>
    <n v="123254.09590664378"/>
    <n v="77326.909227263895"/>
  </r>
  <r>
    <s v="Refaturamento - Regular"/>
    <x v="4"/>
    <x v="3"/>
    <x v="0"/>
    <x v="0"/>
    <x v="0"/>
    <x v="0"/>
    <x v="1"/>
    <x v="6"/>
    <n v="0"/>
    <n v="0"/>
    <n v="-0.49299999999999999"/>
    <n v="-0.49299999999999999"/>
    <n v="-0.49299999999999999"/>
    <n v="-0.49299999999999999"/>
    <n v="-1"/>
    <x v="1"/>
    <n v="0"/>
    <n v="0"/>
    <n v="17"/>
    <n v="89"/>
    <n v="0"/>
    <n v="272.91000000000003"/>
    <n v="185.18"/>
    <m/>
    <n v="315.8126451707094"/>
    <n v="198.13390838089941"/>
    <n v="0"/>
    <n v="-134.54463000000001"/>
    <n v="-91.29374"/>
    <n v="0"/>
    <n v="-155.69563406915972"/>
    <n v="-97.680016831783405"/>
  </r>
  <r>
    <s v="Sistema de Compensação"/>
    <x v="4"/>
    <x v="3"/>
    <x v="0"/>
    <x v="0"/>
    <x v="0"/>
    <x v="0"/>
    <x v="1"/>
    <x v="6"/>
    <n v="0"/>
    <n v="0"/>
    <n v="39.645000000000003"/>
    <n v="39.645000000000003"/>
    <n v="39.645000000000003"/>
    <n v="39.645000000000003"/>
    <n v="42"/>
    <x v="1"/>
    <n v="0"/>
    <n v="0"/>
    <n v="17"/>
    <n v="89"/>
    <n v="0"/>
    <n v="272.91000000000003"/>
    <n v="185.18"/>
    <m/>
    <n v="315.8126451707094"/>
    <n v="198.13390838089941"/>
    <n v="0"/>
    <n v="10819.516950000001"/>
    <n v="7341.4611000000004"/>
    <n v="0"/>
    <n v="12520.392317792775"/>
    <n v="7855.0187977607575"/>
  </r>
  <r>
    <s v="Regular"/>
    <x v="4"/>
    <x v="3"/>
    <x v="0"/>
    <x v="0"/>
    <x v="0"/>
    <x v="0"/>
    <x v="1"/>
    <x v="7"/>
    <n v="0"/>
    <n v="0"/>
    <n v="384.39699999999999"/>
    <n v="384.39699999999999"/>
    <n v="384.39699999999999"/>
    <n v="384.39699999999999"/>
    <n v="321"/>
    <x v="1"/>
    <n v="0"/>
    <n v="0"/>
    <n v="17"/>
    <n v="89"/>
    <n v="0"/>
    <n v="272.91000000000003"/>
    <n v="185.18"/>
    <m/>
    <n v="315.8126451707094"/>
    <n v="198.13390838089941"/>
    <n v="0"/>
    <n v="104905.78527000001"/>
    <n v="71182.636459999994"/>
    <n v="0"/>
    <n v="121397.43336568518"/>
    <n v="76162.079979892587"/>
  </r>
  <r>
    <s v="Sistema de Compensação"/>
    <x v="4"/>
    <x v="3"/>
    <x v="0"/>
    <x v="0"/>
    <x v="0"/>
    <x v="0"/>
    <x v="1"/>
    <x v="7"/>
    <n v="0"/>
    <n v="0"/>
    <n v="46.658000000000001"/>
    <n v="46.658000000000001"/>
    <n v="46.658000000000001"/>
    <n v="46.658000000000001"/>
    <n v="42"/>
    <x v="1"/>
    <n v="0"/>
    <n v="0"/>
    <n v="17"/>
    <n v="89"/>
    <n v="0"/>
    <n v="272.91000000000003"/>
    <n v="185.18"/>
    <m/>
    <n v="315.8126451707094"/>
    <n v="198.13390838089941"/>
    <n v="0"/>
    <n v="12733.434780000001"/>
    <n v="8640.1284400000004"/>
    <n v="0"/>
    <n v="14735.186398374959"/>
    <n v="9244.5318972360055"/>
  </r>
  <r>
    <s v="Regular"/>
    <x v="4"/>
    <x v="3"/>
    <x v="0"/>
    <x v="0"/>
    <x v="0"/>
    <x v="0"/>
    <x v="1"/>
    <x v="8"/>
    <n v="0"/>
    <n v="0"/>
    <n v="397.18299999999999"/>
    <n v="397.18299999999999"/>
    <n v="397.18299999999999"/>
    <n v="397.18299999999999"/>
    <n v="320"/>
    <x v="1"/>
    <n v="0"/>
    <n v="0"/>
    <n v="17"/>
    <n v="89"/>
    <n v="0"/>
    <n v="272.91000000000003"/>
    <n v="185.18"/>
    <m/>
    <n v="315.8126451707094"/>
    <n v="198.13390838089941"/>
    <n v="0"/>
    <n v="108395.21253"/>
    <n v="73550.347940000007"/>
    <n v="0"/>
    <n v="125435.41384683787"/>
    <n v="78695.420132450774"/>
  </r>
  <r>
    <s v="Sistema de Compensação"/>
    <x v="4"/>
    <x v="3"/>
    <x v="0"/>
    <x v="0"/>
    <x v="0"/>
    <x v="0"/>
    <x v="1"/>
    <x v="8"/>
    <n v="0"/>
    <n v="0"/>
    <n v="50.447000000000003"/>
    <n v="50.447000000000003"/>
    <n v="50.447000000000003"/>
    <n v="50.447000000000003"/>
    <n v="44"/>
    <x v="1"/>
    <n v="0"/>
    <n v="0"/>
    <n v="17"/>
    <n v="89"/>
    <n v="0"/>
    <n v="272.91000000000003"/>
    <n v="185.18"/>
    <m/>
    <n v="315.8126451707094"/>
    <n v="198.13390838089941"/>
    <n v="0"/>
    <n v="13767.490770000002"/>
    <n v="9341.7754600000007"/>
    <n v="0"/>
    <n v="15931.800510926778"/>
    <n v="9995.2612760912325"/>
  </r>
  <r>
    <s v="Regular"/>
    <x v="4"/>
    <x v="3"/>
    <x v="0"/>
    <x v="0"/>
    <x v="0"/>
    <x v="0"/>
    <x v="1"/>
    <x v="9"/>
    <n v="0"/>
    <n v="0"/>
    <n v="423.62799999999999"/>
    <n v="423.62799999999999"/>
    <n v="423.62799999999999"/>
    <n v="423.62799999999999"/>
    <n v="319"/>
    <x v="1"/>
    <n v="0"/>
    <n v="0"/>
    <n v="17"/>
    <n v="89"/>
    <n v="0"/>
    <n v="272.91000000000003"/>
    <n v="185.18"/>
    <m/>
    <n v="315.8126451707094"/>
    <n v="198.13390838089941"/>
    <n v="0"/>
    <n v="115612.31748000001"/>
    <n v="78447.433040000004"/>
    <n v="0"/>
    <n v="133787.07924837727"/>
    <n v="83935.07133958365"/>
  </r>
  <r>
    <s v="Refaturamento - Regular"/>
    <x v="4"/>
    <x v="3"/>
    <x v="0"/>
    <x v="0"/>
    <x v="0"/>
    <x v="0"/>
    <x v="1"/>
    <x v="9"/>
    <n v="0"/>
    <n v="0"/>
    <n v="-22.446999999999999"/>
    <n v="-22.446999999999999"/>
    <n v="-22.446999999999999"/>
    <n v="-22.446999999999999"/>
    <n v="-1"/>
    <x v="1"/>
    <n v="0"/>
    <n v="0"/>
    <n v="17"/>
    <n v="89"/>
    <n v="0"/>
    <n v="272.91000000000003"/>
    <n v="185.18"/>
    <m/>
    <n v="315.8126451707094"/>
    <n v="198.13390838089941"/>
    <n v="0"/>
    <n v="-6126.0107700000008"/>
    <n v="-4156.7354599999999"/>
    <n v="0"/>
    <n v="-7089.0464461469137"/>
    <n v="-4447.5118414260487"/>
  </r>
  <r>
    <s v="Sistema de Compensação"/>
    <x v="4"/>
    <x v="3"/>
    <x v="0"/>
    <x v="0"/>
    <x v="0"/>
    <x v="0"/>
    <x v="1"/>
    <x v="9"/>
    <n v="0"/>
    <n v="0"/>
    <n v="144.24799999999999"/>
    <n v="144.24799999999999"/>
    <n v="144.24799999999999"/>
    <n v="144.24799999999999"/>
    <n v="48"/>
    <x v="1"/>
    <n v="0"/>
    <n v="0"/>
    <n v="17"/>
    <n v="89"/>
    <n v="0"/>
    <n v="272.91000000000003"/>
    <n v="185.18"/>
    <m/>
    <n v="315.8126451707094"/>
    <n v="198.13390838089941"/>
    <n v="0"/>
    <n v="39366.721680000002"/>
    <n v="26711.844639999999"/>
    <n v="0"/>
    <n v="45555.342440584485"/>
    <n v="28580.420016127977"/>
  </r>
  <r>
    <s v="Regular"/>
    <x v="4"/>
    <x v="3"/>
    <x v="0"/>
    <x v="0"/>
    <x v="0"/>
    <x v="0"/>
    <x v="1"/>
    <x v="10"/>
    <n v="0"/>
    <n v="0"/>
    <n v="338.00099999999998"/>
    <n v="338.00099999999998"/>
    <n v="338.00099999999998"/>
    <n v="338.00099999999998"/>
    <n v="325"/>
    <x v="1"/>
    <n v="0"/>
    <n v="0"/>
    <n v="17"/>
    <n v="89"/>
    <n v="0"/>
    <n v="272.91000000000003"/>
    <n v="185.18"/>
    <m/>
    <n v="315.8126451707094"/>
    <n v="198.13390838089941"/>
    <n v="0"/>
    <n v="92243.852910000001"/>
    <n v="62591.025179999997"/>
    <n v="0"/>
    <n v="106744.98988034495"/>
    <n v="66969.459166652377"/>
  </r>
  <r>
    <s v="Refaturamento - Regular"/>
    <x v="4"/>
    <x v="3"/>
    <x v="0"/>
    <x v="0"/>
    <x v="0"/>
    <x v="0"/>
    <x v="1"/>
    <x v="10"/>
    <n v="0"/>
    <n v="0"/>
    <n v="-2.02"/>
    <n v="-2.02"/>
    <n v="-2.02"/>
    <n v="-2.02"/>
    <n v="-2"/>
    <x v="1"/>
    <n v="0"/>
    <n v="0"/>
    <n v="17"/>
    <n v="89"/>
    <n v="0"/>
    <n v="272.91000000000003"/>
    <n v="185.18"/>
    <m/>
    <n v="315.8126451707094"/>
    <n v="198.13390838089941"/>
    <n v="0"/>
    <n v="-551.27820000000008"/>
    <n v="-374.06360000000001"/>
    <n v="0"/>
    <n v="-637.94154324483304"/>
    <n v="-400.23049492941681"/>
  </r>
  <r>
    <s v="Sistema de Compensação"/>
    <x v="4"/>
    <x v="3"/>
    <x v="0"/>
    <x v="0"/>
    <x v="0"/>
    <x v="0"/>
    <x v="1"/>
    <x v="10"/>
    <n v="0"/>
    <n v="0"/>
    <n v="66.900000000000006"/>
    <n v="66.900000000000006"/>
    <n v="66.900000000000006"/>
    <n v="66.900000000000006"/>
    <n v="48"/>
    <x v="1"/>
    <n v="0"/>
    <n v="0"/>
    <n v="17"/>
    <n v="89"/>
    <n v="0"/>
    <n v="272.91000000000003"/>
    <n v="185.18"/>
    <m/>
    <n v="315.8126451707094"/>
    <n v="198.13390838089941"/>
    <n v="0"/>
    <n v="18257.679000000004"/>
    <n v="12388.542000000001"/>
    <n v="0"/>
    <n v="21127.865961920459"/>
    <n v="13255.158470682172"/>
  </r>
  <r>
    <s v="Regular"/>
    <x v="4"/>
    <x v="3"/>
    <x v="0"/>
    <x v="0"/>
    <x v="0"/>
    <x v="0"/>
    <x v="1"/>
    <x v="11"/>
    <n v="0"/>
    <n v="0"/>
    <n v="349.49"/>
    <n v="349.49"/>
    <n v="349.49"/>
    <n v="349.49"/>
    <n v="327"/>
    <x v="1"/>
    <n v="0"/>
    <n v="0"/>
    <n v="17"/>
    <n v="89"/>
    <n v="0"/>
    <n v="272.91000000000003"/>
    <n v="185.18"/>
    <m/>
    <n v="315.8126451707094"/>
    <n v="198.13390838089941"/>
    <n v="0"/>
    <n v="95379.315900000016"/>
    <n v="64718.558200000007"/>
    <n v="0"/>
    <n v="110373.36136071123"/>
    <n v="69245.819640040543"/>
  </r>
  <r>
    <s v="Refaturamento - Regular"/>
    <x v="4"/>
    <x v="3"/>
    <x v="0"/>
    <x v="0"/>
    <x v="0"/>
    <x v="0"/>
    <x v="1"/>
    <x v="11"/>
    <n v="0"/>
    <n v="0"/>
    <n v="-76.959000000000003"/>
    <n v="-76.959000000000003"/>
    <n v="-76.959000000000003"/>
    <n v="-76.959000000000003"/>
    <n v="-2"/>
    <x v="1"/>
    <n v="0"/>
    <n v="0"/>
    <n v="17"/>
    <n v="89"/>
    <n v="0"/>
    <n v="272.91000000000003"/>
    <n v="185.18"/>
    <m/>
    <n v="315.8126451707094"/>
    <n v="198.13390838089941"/>
    <n v="0"/>
    <n v="-21002.880690000002"/>
    <n v="-14251.267620000001"/>
    <n v="0"/>
    <n v="-24304.625359692625"/>
    <n v="-15248.187455085639"/>
  </r>
  <r>
    <s v="Sistema de Compensação"/>
    <x v="4"/>
    <x v="3"/>
    <x v="0"/>
    <x v="0"/>
    <x v="0"/>
    <x v="0"/>
    <x v="1"/>
    <x v="11"/>
    <n v="0"/>
    <n v="0"/>
    <n v="86.507999999999996"/>
    <n v="86.507999999999996"/>
    <n v="86.507999999999996"/>
    <n v="86.507999999999996"/>
    <n v="50"/>
    <x v="1"/>
    <n v="0"/>
    <n v="0"/>
    <n v="17"/>
    <n v="89"/>
    <n v="0"/>
    <n v="272.91000000000003"/>
    <n v="185.18"/>
    <m/>
    <n v="315.8126451707094"/>
    <n v="198.13390838089941"/>
    <n v="0"/>
    <n v="23608.898280000001"/>
    <n v="16019.551439999999"/>
    <n v="0"/>
    <n v="27320.320308427727"/>
    <n v="17140.168146214844"/>
  </r>
  <r>
    <s v="Sistema de Compensação"/>
    <x v="4"/>
    <x v="3"/>
    <x v="0"/>
    <x v="0"/>
    <x v="0"/>
    <x v="0"/>
    <x v="1"/>
    <x v="11"/>
    <n v="0"/>
    <n v="0"/>
    <n v="-141.63"/>
    <n v="-141.63"/>
    <n v="-141.63"/>
    <n v="-141.63"/>
    <n v="0"/>
    <x v="1"/>
    <n v="0"/>
    <n v="0"/>
    <n v="17"/>
    <n v="89"/>
    <n v="0"/>
    <n v="272.91000000000003"/>
    <n v="185.18"/>
    <m/>
    <n v="315.8126451707094"/>
    <n v="198.13390838089941"/>
    <n v="0"/>
    <n v="-38652.243300000002"/>
    <n v="-26227.043399999999"/>
    <n v="0"/>
    <n v="-44728.54493552757"/>
    <n v="-28061.705443986782"/>
  </r>
  <r>
    <s v="Regular"/>
    <x v="4"/>
    <x v="3"/>
    <x v="4"/>
    <x v="0"/>
    <x v="0"/>
    <x v="0"/>
    <x v="1"/>
    <x v="0"/>
    <n v="0"/>
    <n v="0"/>
    <n v="672.27700000000004"/>
    <n v="672.27700000000004"/>
    <n v="672.27700000000004"/>
    <n v="672.27700000000004"/>
    <n v="1071"/>
    <x v="1"/>
    <n v="0"/>
    <n v="0"/>
    <n v="17"/>
    <n v="89"/>
    <n v="0"/>
    <n v="272.91000000000003"/>
    <n v="185.18"/>
    <m/>
    <n v="315.8126451707094"/>
    <n v="198.13390838089941"/>
    <n v="0"/>
    <n v="183471.11607000002"/>
    <n v="124492.25486000002"/>
    <n v="0"/>
    <n v="212313.57765742901"/>
    <n v="133200.86952458593"/>
  </r>
  <r>
    <s v="Regular"/>
    <x v="4"/>
    <x v="3"/>
    <x v="4"/>
    <x v="0"/>
    <x v="0"/>
    <x v="0"/>
    <x v="1"/>
    <x v="1"/>
    <n v="0"/>
    <n v="0"/>
    <n v="691.822"/>
    <n v="691.822"/>
    <n v="691.822"/>
    <n v="691.822"/>
    <n v="1075"/>
    <x v="1"/>
    <n v="0"/>
    <n v="0"/>
    <n v="17"/>
    <n v="89"/>
    <n v="0"/>
    <n v="272.91000000000003"/>
    <n v="185.18"/>
    <m/>
    <n v="315.8126451707094"/>
    <n v="198.13390838089941"/>
    <n v="0"/>
    <n v="188805.14202000003"/>
    <n v="128111.59796"/>
    <n v="0"/>
    <n v="218486.13580729053"/>
    <n v="137073.3967638906"/>
  </r>
  <r>
    <s v="Regular"/>
    <x v="4"/>
    <x v="3"/>
    <x v="4"/>
    <x v="0"/>
    <x v="0"/>
    <x v="0"/>
    <x v="1"/>
    <x v="2"/>
    <n v="0"/>
    <n v="0"/>
    <n v="683.83399999999995"/>
    <n v="683.83399999999995"/>
    <n v="683.83399999999995"/>
    <n v="683.83399999999995"/>
    <n v="1075"/>
    <x v="1"/>
    <n v="0"/>
    <n v="0"/>
    <n v="17"/>
    <n v="89"/>
    <n v="0"/>
    <n v="272.91000000000003"/>
    <n v="185.18"/>
    <m/>
    <n v="315.8126451707094"/>
    <n v="198.13390838089941"/>
    <n v="0"/>
    <n v="186625.13694"/>
    <n v="126632.38012"/>
    <n v="0"/>
    <n v="215963.42439766688"/>
    <n v="135490.70310374396"/>
  </r>
  <r>
    <s v="Regular"/>
    <x v="4"/>
    <x v="3"/>
    <x v="4"/>
    <x v="0"/>
    <x v="0"/>
    <x v="0"/>
    <x v="1"/>
    <x v="3"/>
    <n v="0"/>
    <n v="0"/>
    <n v="634.58399999999995"/>
    <n v="634.58399999999995"/>
    <n v="634.58399999999995"/>
    <n v="634.58399999999995"/>
    <n v="1081"/>
    <x v="1"/>
    <n v="0"/>
    <n v="0"/>
    <n v="17"/>
    <n v="89"/>
    <n v="0"/>
    <n v="272.91000000000003"/>
    <n v="185.18"/>
    <m/>
    <n v="315.8126451707094"/>
    <n v="198.13390838089941"/>
    <n v="0"/>
    <n v="173184.31943999999"/>
    <n v="117512.26512"/>
    <n v="0"/>
    <n v="200409.65162300944"/>
    <n v="125732.60811598467"/>
  </r>
  <r>
    <s v="Regular"/>
    <x v="4"/>
    <x v="3"/>
    <x v="4"/>
    <x v="0"/>
    <x v="0"/>
    <x v="0"/>
    <x v="1"/>
    <x v="4"/>
    <n v="0"/>
    <n v="0"/>
    <n v="674.41800000000001"/>
    <n v="674.41800000000001"/>
    <n v="674.41800000000001"/>
    <n v="674.41800000000001"/>
    <n v="1080"/>
    <x v="1"/>
    <n v="0"/>
    <n v="0"/>
    <n v="17"/>
    <n v="89"/>
    <n v="0"/>
    <n v="272.91000000000003"/>
    <n v="185.18"/>
    <m/>
    <n v="315.8126451707094"/>
    <n v="198.13390838089941"/>
    <n v="0"/>
    <n v="184055.41638000001"/>
    <n v="124888.72524"/>
    <n v="0"/>
    <n v="212989.73253073951"/>
    <n v="133625.07422242942"/>
  </r>
  <r>
    <s v="Regular"/>
    <x v="4"/>
    <x v="3"/>
    <x v="4"/>
    <x v="0"/>
    <x v="0"/>
    <x v="0"/>
    <x v="1"/>
    <x v="5"/>
    <n v="0"/>
    <n v="0"/>
    <n v="681.82799999999997"/>
    <n v="681.82799999999997"/>
    <n v="681.82799999999997"/>
    <n v="681.82799999999997"/>
    <n v="1083"/>
    <x v="1"/>
    <n v="0"/>
    <n v="0"/>
    <n v="17"/>
    <n v="89"/>
    <n v="0"/>
    <n v="272.91000000000003"/>
    <n v="185.18"/>
    <m/>
    <n v="315.8126451707094"/>
    <n v="198.13390838089941"/>
    <n v="0"/>
    <n v="186077.67948000002"/>
    <n v="126260.90904"/>
    <n v="0"/>
    <n v="215329.90423145445"/>
    <n v="135093.24648353187"/>
  </r>
  <r>
    <s v="Refaturamento - Regular"/>
    <x v="4"/>
    <x v="3"/>
    <x v="4"/>
    <x v="0"/>
    <x v="0"/>
    <x v="0"/>
    <x v="1"/>
    <x v="5"/>
    <n v="0"/>
    <n v="0"/>
    <n v="-0.52900000000000003"/>
    <n v="-0.52900000000000003"/>
    <n v="-0.52900000000000003"/>
    <n v="-0.52900000000000003"/>
    <n v="-1"/>
    <x v="1"/>
    <n v="0"/>
    <n v="0"/>
    <n v="17"/>
    <n v="89"/>
    <n v="0"/>
    <n v="272.91000000000003"/>
    <n v="185.18"/>
    <m/>
    <n v="315.8126451707094"/>
    <n v="198.13390838089941"/>
    <n v="0"/>
    <n v="-144.36939000000001"/>
    <n v="-97.960220000000007"/>
    <n v="0"/>
    <n v="-167.06488929530528"/>
    <n v="-104.8128375334958"/>
  </r>
  <r>
    <s v="Regular"/>
    <x v="4"/>
    <x v="3"/>
    <x v="4"/>
    <x v="0"/>
    <x v="0"/>
    <x v="0"/>
    <x v="1"/>
    <x v="6"/>
    <n v="0"/>
    <n v="0"/>
    <n v="884.58799999999997"/>
    <n v="884.58799999999997"/>
    <n v="884.58799999999997"/>
    <n v="884.58799999999997"/>
    <n v="1085"/>
    <x v="1"/>
    <n v="0"/>
    <n v="0"/>
    <n v="17"/>
    <n v="89"/>
    <n v="0"/>
    <n v="272.91000000000003"/>
    <n v="185.18"/>
    <m/>
    <n v="315.8126451707094"/>
    <n v="198.13390838089941"/>
    <n v="0"/>
    <n v="241412.91108000002"/>
    <n v="163808.00584"/>
    <n v="0"/>
    <n v="279364.07616626745"/>
    <n v="175266.87774684303"/>
  </r>
  <r>
    <s v="Regular"/>
    <x v="4"/>
    <x v="3"/>
    <x v="4"/>
    <x v="0"/>
    <x v="0"/>
    <x v="0"/>
    <x v="1"/>
    <x v="7"/>
    <n v="0"/>
    <n v="0"/>
    <n v="766.33500000000004"/>
    <n v="766.33500000000004"/>
    <n v="766.33500000000004"/>
    <n v="766.33500000000004"/>
    <n v="1085"/>
    <x v="1"/>
    <n v="0"/>
    <n v="0"/>
    <n v="17"/>
    <n v="89"/>
    <n v="0"/>
    <n v="272.91000000000003"/>
    <n v="185.18"/>
    <m/>
    <n v="315.8126451707094"/>
    <n v="198.13390838089941"/>
    <n v="0"/>
    <n v="209140.48485000004"/>
    <n v="141909.91530000002"/>
    <n v="0"/>
    <n v="242018.28343689561"/>
    <n v="151836.94867907657"/>
  </r>
  <r>
    <s v="Regular"/>
    <x v="4"/>
    <x v="3"/>
    <x v="4"/>
    <x v="0"/>
    <x v="0"/>
    <x v="0"/>
    <x v="1"/>
    <x v="8"/>
    <n v="0"/>
    <n v="0"/>
    <n v="748.68399999999997"/>
    <n v="748.68399999999997"/>
    <n v="748.68399999999997"/>
    <n v="748.68399999999997"/>
    <n v="1112"/>
    <x v="1"/>
    <n v="0"/>
    <n v="0"/>
    <n v="17"/>
    <n v="89"/>
    <n v="0"/>
    <n v="272.91000000000003"/>
    <n v="185.18"/>
    <m/>
    <n v="315.8126451707094"/>
    <n v="198.13390838089941"/>
    <n v="0"/>
    <n v="204323.35044000001"/>
    <n v="138641.30312"/>
    <n v="0"/>
    <n v="236443.87443698739"/>
    <n v="148339.6870622453"/>
  </r>
  <r>
    <s v="Refaturamento - Regular"/>
    <x v="4"/>
    <x v="3"/>
    <x v="4"/>
    <x v="0"/>
    <x v="0"/>
    <x v="0"/>
    <x v="1"/>
    <x v="8"/>
    <n v="0"/>
    <n v="0"/>
    <n v="-15.083"/>
    <n v="-15.083"/>
    <n v="-15.083"/>
    <n v="-15.083"/>
    <n v="-22"/>
    <x v="1"/>
    <n v="0"/>
    <n v="0"/>
    <n v="17"/>
    <n v="89"/>
    <n v="0"/>
    <n v="272.91000000000003"/>
    <n v="185.18"/>
    <m/>
    <n v="315.8126451707094"/>
    <n v="198.13390838089941"/>
    <n v="0"/>
    <n v="-4116.3015300000006"/>
    <n v="-2793.0699400000003"/>
    <n v="0"/>
    <n v="-4763.40212710981"/>
    <n v="-2988.4537401091061"/>
  </r>
  <r>
    <s v="Regular"/>
    <x v="4"/>
    <x v="3"/>
    <x v="4"/>
    <x v="0"/>
    <x v="0"/>
    <x v="0"/>
    <x v="1"/>
    <x v="9"/>
    <n v="0"/>
    <n v="0"/>
    <n v="759.303"/>
    <n v="759.303"/>
    <n v="759.303"/>
    <n v="759.303"/>
    <n v="1119"/>
    <x v="1"/>
    <n v="0"/>
    <n v="0"/>
    <n v="17"/>
    <n v="89"/>
    <n v="0"/>
    <n v="272.91000000000003"/>
    <n v="185.18"/>
    <m/>
    <n v="315.8126451707094"/>
    <n v="198.13390838089941"/>
    <n v="0"/>
    <n v="207221.38173000002"/>
    <n v="140607.72954"/>
    <n v="0"/>
    <n v="239797.48891605515"/>
    <n v="150443.67103534206"/>
  </r>
  <r>
    <s v="Refaturamento - Regular"/>
    <x v="4"/>
    <x v="3"/>
    <x v="4"/>
    <x v="0"/>
    <x v="0"/>
    <x v="0"/>
    <x v="1"/>
    <x v="9"/>
    <n v="0"/>
    <n v="0"/>
    <n v="-18.253"/>
    <n v="-18.253"/>
    <n v="-18.253"/>
    <n v="-18.253"/>
    <n v="-28"/>
    <x v="1"/>
    <n v="0"/>
    <n v="0"/>
    <n v="17"/>
    <n v="89"/>
    <n v="0"/>
    <n v="272.91000000000003"/>
    <n v="185.18"/>
    <m/>
    <n v="315.8126451707094"/>
    <n v="198.13390838089941"/>
    <n v="0"/>
    <n v="-4981.4262300000009"/>
    <n v="-3380.0905400000001"/>
    <n v="0"/>
    <n v="-5764.5282123009583"/>
    <n v="-3616.538229676557"/>
  </r>
  <r>
    <s v="Regular"/>
    <x v="4"/>
    <x v="3"/>
    <x v="4"/>
    <x v="0"/>
    <x v="0"/>
    <x v="0"/>
    <x v="1"/>
    <x v="10"/>
    <n v="0"/>
    <n v="0"/>
    <n v="658.45799999999997"/>
    <n v="658.45799999999997"/>
    <n v="658.45799999999997"/>
    <n v="658.45799999999997"/>
    <n v="1097"/>
    <x v="1"/>
    <n v="0"/>
    <n v="0"/>
    <n v="17"/>
    <n v="89"/>
    <n v="0"/>
    <n v="272.91000000000003"/>
    <n v="185.18"/>
    <m/>
    <n v="315.8126451707094"/>
    <n v="198.13390838089941"/>
    <n v="0"/>
    <n v="179699.77278"/>
    <n v="121933.25244"/>
    <n v="0"/>
    <n v="207949.36271381497"/>
    <n v="130462.85704467027"/>
  </r>
  <r>
    <s v="Refaturamento - Regular"/>
    <x v="4"/>
    <x v="3"/>
    <x v="4"/>
    <x v="0"/>
    <x v="0"/>
    <x v="0"/>
    <x v="1"/>
    <x v="10"/>
    <n v="0"/>
    <n v="0"/>
    <n v="-2.157"/>
    <n v="-2.157"/>
    <n v="-2.157"/>
    <n v="-2.157"/>
    <n v="-6"/>
    <x v="1"/>
    <n v="0"/>
    <n v="0"/>
    <n v="17"/>
    <n v="89"/>
    <n v="0"/>
    <n v="272.91000000000003"/>
    <n v="185.18"/>
    <m/>
    <n v="315.8126451707094"/>
    <n v="198.13390838089941"/>
    <n v="0"/>
    <n v="-588.66687000000002"/>
    <n v="-399.43326000000002"/>
    <n v="0"/>
    <n v="-681.20787563322017"/>
    <n v="-427.37484037760004"/>
  </r>
  <r>
    <s v="Regular"/>
    <x v="4"/>
    <x v="3"/>
    <x v="4"/>
    <x v="0"/>
    <x v="0"/>
    <x v="0"/>
    <x v="1"/>
    <x v="11"/>
    <n v="0"/>
    <n v="0"/>
    <n v="764.03899999999999"/>
    <n v="764.03899999999999"/>
    <n v="764.03899999999999"/>
    <n v="764.03899999999999"/>
    <n v="1127"/>
    <x v="1"/>
    <n v="0"/>
    <n v="0"/>
    <n v="17"/>
    <n v="89"/>
    <n v="0"/>
    <n v="272.91000000000003"/>
    <n v="185.18"/>
    <m/>
    <n v="315.8126451707094"/>
    <n v="198.13390838089941"/>
    <n v="0"/>
    <n v="208513.88349000001"/>
    <n v="141484.74202000001"/>
    <n v="0"/>
    <n v="241293.17760358364"/>
    <n v="151382.03322543402"/>
  </r>
  <r>
    <s v="Refaturamento - Regular"/>
    <x v="4"/>
    <x v="3"/>
    <x v="4"/>
    <x v="0"/>
    <x v="0"/>
    <x v="0"/>
    <x v="1"/>
    <x v="11"/>
    <n v="0"/>
    <n v="0"/>
    <n v="-10.265000000000001"/>
    <n v="-10.265000000000001"/>
    <n v="-10.265000000000001"/>
    <n v="-10.265000000000001"/>
    <n v="-33"/>
    <x v="1"/>
    <n v="0"/>
    <n v="0"/>
    <n v="17"/>
    <n v="89"/>
    <n v="0"/>
    <n v="272.91000000000003"/>
    <n v="185.18"/>
    <m/>
    <n v="315.8126451707094"/>
    <n v="198.13390838089941"/>
    <n v="0"/>
    <n v="-2801.4211500000006"/>
    <n v="-1900.8727000000001"/>
    <n v="0"/>
    <n v="-3241.8168026773324"/>
    <n v="-2033.8445695299326"/>
  </r>
  <r>
    <s v="Regular"/>
    <x v="4"/>
    <x v="3"/>
    <x v="6"/>
    <x v="2"/>
    <x v="0"/>
    <x v="0"/>
    <x v="1"/>
    <x v="0"/>
    <n v="0"/>
    <n v="0"/>
    <n v="65.478999999999999"/>
    <n v="61.550259999999994"/>
    <n v="65.478999999999999"/>
    <n v="61.550259999999994"/>
    <n v="34"/>
    <x v="1"/>
    <n v="0"/>
    <n v="0"/>
    <n v="17"/>
    <n v="89"/>
    <n v="0"/>
    <n v="272.91000000000003"/>
    <n v="185.18"/>
    <m/>
    <n v="315.8126451707094"/>
    <n v="198.13390838089941"/>
    <n v="0"/>
    <n v="16797.681456599999"/>
    <n v="11397.8771468"/>
    <n v="0"/>
    <n v="19438.350421544907"/>
    <n v="12195.193575660536"/>
  </r>
  <r>
    <s v="Regular"/>
    <x v="4"/>
    <x v="3"/>
    <x v="6"/>
    <x v="2"/>
    <x v="0"/>
    <x v="0"/>
    <x v="1"/>
    <x v="1"/>
    <n v="0"/>
    <n v="0"/>
    <n v="66.245000000000005"/>
    <n v="62.270299999999999"/>
    <n v="66.245000000000005"/>
    <n v="62.270299999999999"/>
    <n v="34"/>
    <x v="1"/>
    <n v="0"/>
    <n v="0"/>
    <n v="17"/>
    <n v="89"/>
    <n v="0"/>
    <n v="272.91000000000003"/>
    <n v="185.18"/>
    <m/>
    <n v="315.8126451707094"/>
    <n v="198.13390838089941"/>
    <n v="0"/>
    <n v="16994.187573000003"/>
    <n v="11531.214153999999"/>
    <n v="0"/>
    <n v="19665.748158573624"/>
    <n v="12337.857915051121"/>
  </r>
  <r>
    <s v="Regular"/>
    <x v="4"/>
    <x v="3"/>
    <x v="6"/>
    <x v="2"/>
    <x v="0"/>
    <x v="0"/>
    <x v="1"/>
    <x v="2"/>
    <n v="0"/>
    <n v="0"/>
    <n v="67.733999999999995"/>
    <n v="63.669959999999989"/>
    <n v="67.733999999999995"/>
    <n v="63.669959999999989"/>
    <n v="34"/>
    <x v="1"/>
    <n v="0"/>
    <n v="0"/>
    <n v="17"/>
    <n v="89"/>
    <n v="0"/>
    <n v="272.91000000000003"/>
    <n v="185.18"/>
    <m/>
    <n v="315.8126451707094"/>
    <n v="198.13390838089941"/>
    <n v="0"/>
    <n v="17376.168783599998"/>
    <n v="11790.403192799999"/>
    <n v="0"/>
    <n v="20107.778485513256"/>
    <n v="12615.178021255528"/>
  </r>
  <r>
    <s v="Regular"/>
    <x v="4"/>
    <x v="3"/>
    <x v="6"/>
    <x v="2"/>
    <x v="0"/>
    <x v="0"/>
    <x v="1"/>
    <x v="3"/>
    <n v="0"/>
    <n v="0"/>
    <n v="67.430999999999997"/>
    <n v="63.385139999999993"/>
    <n v="67.430999999999997"/>
    <n v="63.385139999999993"/>
    <n v="34"/>
    <x v="1"/>
    <n v="0"/>
    <n v="0"/>
    <n v="17"/>
    <n v="89"/>
    <n v="0"/>
    <n v="272.91000000000003"/>
    <n v="185.18"/>
    <m/>
    <n v="315.8126451707094"/>
    <n v="198.13390838089941"/>
    <n v="0"/>
    <n v="17298.438557400001"/>
    <n v="11737.660225199999"/>
    <n v="0"/>
    <n v="20017.828727915738"/>
    <n v="12558.745521470481"/>
  </r>
  <r>
    <s v="Regular"/>
    <x v="4"/>
    <x v="3"/>
    <x v="6"/>
    <x v="2"/>
    <x v="0"/>
    <x v="0"/>
    <x v="1"/>
    <x v="4"/>
    <n v="0"/>
    <n v="0"/>
    <n v="68.873000000000005"/>
    <n v="64.740620000000007"/>
    <n v="68.873000000000005"/>
    <n v="64.740620000000007"/>
    <n v="35"/>
    <x v="1"/>
    <n v="0"/>
    <n v="0"/>
    <n v="17"/>
    <n v="89"/>
    <n v="0"/>
    <n v="272.91000000000003"/>
    <n v="185.18"/>
    <m/>
    <n v="315.8126451707094"/>
    <n v="198.13390838089941"/>
    <n v="0"/>
    <n v="17668.362604200003"/>
    <n v="11988.668011600003"/>
    <n v="0"/>
    <n v="20445.906452191735"/>
    <n v="12827.312071602626"/>
  </r>
  <r>
    <s v="Regular"/>
    <x v="4"/>
    <x v="3"/>
    <x v="6"/>
    <x v="2"/>
    <x v="0"/>
    <x v="0"/>
    <x v="1"/>
    <x v="5"/>
    <n v="0"/>
    <n v="0"/>
    <n v="55.689"/>
    <n v="52.347659999999998"/>
    <n v="55.689"/>
    <n v="52.347659999999998"/>
    <n v="36"/>
    <x v="1"/>
    <n v="0"/>
    <n v="0"/>
    <n v="17"/>
    <n v="89"/>
    <n v="0"/>
    <n v="272.91000000000003"/>
    <n v="185.18"/>
    <m/>
    <n v="315.8126451707094"/>
    <n v="198.13390838089941"/>
    <n v="0"/>
    <n v="14286.199890600001"/>
    <n v="9693.7396788000005"/>
    <n v="0"/>
    <n v="16532.052973096936"/>
    <n v="10371.846470394472"/>
  </r>
  <r>
    <s v="Refaturamento - Regular"/>
    <x v="4"/>
    <x v="3"/>
    <x v="6"/>
    <x v="2"/>
    <x v="0"/>
    <x v="0"/>
    <x v="1"/>
    <x v="5"/>
    <n v="0"/>
    <n v="0"/>
    <n v="-0.03"/>
    <n v="-2.8199999999999996E-2"/>
    <n v="-0.03"/>
    <n v="-2.8199999999999996E-2"/>
    <n v="-1"/>
    <x v="1"/>
    <n v="0"/>
    <n v="0"/>
    <n v="17"/>
    <n v="89"/>
    <n v="0"/>
    <n v="272.91000000000003"/>
    <n v="185.18"/>
    <m/>
    <n v="315.8126451707094"/>
    <n v="198.13390838089941"/>
    <n v="0"/>
    <n v="-7.6960619999999995"/>
    <n v="-5.2220759999999995"/>
    <n v="0"/>
    <n v="-8.9059165938140037"/>
    <n v="-5.5873762163413625"/>
  </r>
  <r>
    <s v="Regular"/>
    <x v="4"/>
    <x v="3"/>
    <x v="6"/>
    <x v="2"/>
    <x v="0"/>
    <x v="0"/>
    <x v="1"/>
    <x v="6"/>
    <n v="0"/>
    <n v="0"/>
    <n v="76.168999999999997"/>
    <n v="71.598859999999988"/>
    <n v="76.168999999999997"/>
    <n v="71.598859999999988"/>
    <n v="36"/>
    <x v="1"/>
    <n v="0"/>
    <n v="0"/>
    <n v="17"/>
    <n v="89"/>
    <n v="0"/>
    <n v="272.91000000000003"/>
    <n v="185.18"/>
    <m/>
    <n v="315.8126451707094"/>
    <n v="198.13390838089941"/>
    <n v="0"/>
    <n v="19540.044882599999"/>
    <n v="13258.676894799999"/>
    <n v="0"/>
    <n v="22611.825367807294"/>
    <n v="14186.161967416841"/>
  </r>
  <r>
    <s v="Regular"/>
    <x v="4"/>
    <x v="3"/>
    <x v="6"/>
    <x v="2"/>
    <x v="0"/>
    <x v="0"/>
    <x v="1"/>
    <x v="7"/>
    <n v="0"/>
    <n v="0"/>
    <n v="66.954999999999998"/>
    <n v="62.937699999999992"/>
    <n v="66.954999999999998"/>
    <n v="62.937699999999992"/>
    <n v="36"/>
    <x v="1"/>
    <n v="0"/>
    <n v="0"/>
    <n v="17"/>
    <n v="89"/>
    <n v="0"/>
    <n v="272.91000000000003"/>
    <n v="185.18"/>
    <m/>
    <n v="315.8126451707094"/>
    <n v="198.13390838089941"/>
    <n v="0"/>
    <n v="17176.327707"/>
    <n v="11654.803285999998"/>
    <n v="0"/>
    <n v="19876.521517960555"/>
    <n v="12470.092485504532"/>
  </r>
  <r>
    <s v="Regular"/>
    <x v="4"/>
    <x v="3"/>
    <x v="6"/>
    <x v="2"/>
    <x v="0"/>
    <x v="0"/>
    <x v="1"/>
    <x v="8"/>
    <n v="0"/>
    <n v="0"/>
    <n v="65.552000000000007"/>
    <n v="61.618880000000004"/>
    <n v="65.552000000000007"/>
    <n v="61.618880000000004"/>
    <n v="36"/>
    <x v="1"/>
    <n v="0"/>
    <n v="0"/>
    <n v="17"/>
    <n v="89"/>
    <n v="0"/>
    <n v="272.91000000000003"/>
    <n v="185.18"/>
    <m/>
    <n v="315.8126451707094"/>
    <n v="198.13390838089941"/>
    <n v="0"/>
    <n v="16816.408540800003"/>
    <n v="11410.584198400002"/>
    <n v="0"/>
    <n v="19460.021485256522"/>
    <n v="12208.789524453636"/>
  </r>
  <r>
    <s v="Regular"/>
    <x v="4"/>
    <x v="3"/>
    <x v="6"/>
    <x v="2"/>
    <x v="0"/>
    <x v="0"/>
    <x v="1"/>
    <x v="9"/>
    <n v="0"/>
    <n v="0"/>
    <n v="69.268000000000001"/>
    <n v="65.111919999999998"/>
    <n v="69.268000000000001"/>
    <n v="65.111919999999998"/>
    <n v="38"/>
    <x v="1"/>
    <n v="0"/>
    <n v="0"/>
    <n v="17"/>
    <n v="89"/>
    <n v="0"/>
    <n v="272.91000000000003"/>
    <n v="185.18"/>
    <m/>
    <n v="315.8126451707094"/>
    <n v="198.13390838089941"/>
    <n v="0"/>
    <n v="17769.694087200001"/>
    <n v="12057.425345600001"/>
    <n v="0"/>
    <n v="20563.167687343615"/>
    <n v="12900.879191784452"/>
  </r>
  <r>
    <s v="Regular"/>
    <x v="4"/>
    <x v="3"/>
    <x v="6"/>
    <x v="2"/>
    <x v="0"/>
    <x v="0"/>
    <x v="1"/>
    <x v="10"/>
    <n v="0"/>
    <n v="0"/>
    <n v="72.277000000000001"/>
    <n v="67.94037999999999"/>
    <n v="72.277000000000001"/>
    <n v="67.94037999999999"/>
    <n v="39"/>
    <x v="1"/>
    <n v="0"/>
    <n v="0"/>
    <n v="17"/>
    <n v="89"/>
    <n v="0"/>
    <n v="272.91000000000003"/>
    <n v="185.18"/>
    <m/>
    <n v="315.8126451707094"/>
    <n v="198.13390838089941"/>
    <n v="0"/>
    <n v="18541.609105799998"/>
    <n v="12581.199568399999"/>
    <n v="0"/>
    <n v="21456.431121703157"/>
    <n v="13461.293026283489"/>
  </r>
  <r>
    <s v="Refaturamento - Regular"/>
    <x v="4"/>
    <x v="3"/>
    <x v="6"/>
    <x v="2"/>
    <x v="0"/>
    <x v="0"/>
    <x v="1"/>
    <x v="10"/>
    <n v="0"/>
    <n v="0"/>
    <n v="-0.19800000000000001"/>
    <n v="-0.18612000000000001"/>
    <n v="-0.19800000000000001"/>
    <n v="-0.18612000000000001"/>
    <n v="-1"/>
    <x v="1"/>
    <n v="0"/>
    <n v="0"/>
    <n v="17"/>
    <n v="89"/>
    <n v="0"/>
    <n v="272.91000000000003"/>
    <n v="185.18"/>
    <m/>
    <n v="315.8126451707094"/>
    <n v="198.13390838089941"/>
    <n v="0"/>
    <n v="-50.794009200000005"/>
    <n v="-34.465701600000003"/>
    <n v="0"/>
    <n v="-58.779049519172439"/>
    <n v="-36.876683027852998"/>
  </r>
  <r>
    <s v="Regular"/>
    <x v="4"/>
    <x v="3"/>
    <x v="6"/>
    <x v="2"/>
    <x v="0"/>
    <x v="0"/>
    <x v="1"/>
    <x v="11"/>
    <n v="0"/>
    <n v="0"/>
    <n v="68.784999999999997"/>
    <n v="64.657899999999998"/>
    <n v="68.784999999999997"/>
    <n v="64.657899999999998"/>
    <n v="38"/>
    <x v="1"/>
    <n v="0"/>
    <n v="0"/>
    <n v="17"/>
    <n v="89"/>
    <n v="0"/>
    <n v="272.91000000000003"/>
    <n v="185.18"/>
    <m/>
    <n v="315.8126451707094"/>
    <n v="198.13390838089941"/>
    <n v="0"/>
    <n v="17645.787489000002"/>
    <n v="11973.349921999999"/>
    <n v="0"/>
    <n v="20419.782430183212"/>
    <n v="12810.922434701355"/>
  </r>
  <r>
    <s v="Regular"/>
    <x v="5"/>
    <x v="3"/>
    <x v="8"/>
    <x v="8"/>
    <x v="0"/>
    <x v="0"/>
    <x v="1"/>
    <x v="0"/>
    <n v="0"/>
    <n v="0"/>
    <n v="608.56500000000005"/>
    <n v="608.56500000000005"/>
    <n v="608.56500000000005"/>
    <n v="608.56500000000005"/>
    <n v="59"/>
    <x v="1"/>
    <n v="0"/>
    <n v="0"/>
    <n v="54"/>
    <n v="92"/>
    <n v="0"/>
    <n v="150.1"/>
    <n v="101.85"/>
    <m/>
    <n v="173.69695484389018"/>
    <n v="108.9736496094947"/>
    <n v="0"/>
    <n v="91345.606500000009"/>
    <n v="61982.345249999998"/>
    <n v="0"/>
    <n v="105705.88732457203"/>
    <n v="66317.549074602153"/>
  </r>
  <r>
    <s v="Regular"/>
    <x v="5"/>
    <x v="3"/>
    <x v="8"/>
    <x v="8"/>
    <x v="0"/>
    <x v="0"/>
    <x v="1"/>
    <x v="1"/>
    <n v="0"/>
    <n v="0"/>
    <n v="204.94200000000001"/>
    <n v="204.94200000000001"/>
    <n v="204.94200000000001"/>
    <n v="204.94200000000001"/>
    <n v="59"/>
    <x v="1"/>
    <n v="0"/>
    <n v="0"/>
    <n v="54"/>
    <n v="92"/>
    <n v="0"/>
    <n v="150.1"/>
    <n v="101.85"/>
    <m/>
    <n v="173.69695484389018"/>
    <n v="108.9736496094947"/>
    <n v="0"/>
    <n v="30761.7942"/>
    <n v="20873.342700000001"/>
    <n v="0"/>
    <n v="35597.801319616541"/>
    <n v="22333.277698269063"/>
  </r>
  <r>
    <s v="Regular"/>
    <x v="5"/>
    <x v="3"/>
    <x v="8"/>
    <x v="8"/>
    <x v="0"/>
    <x v="0"/>
    <x v="1"/>
    <x v="2"/>
    <n v="0"/>
    <n v="0"/>
    <n v="618.27200000000005"/>
    <n v="618.27200000000005"/>
    <n v="618.27200000000005"/>
    <n v="618.27200000000005"/>
    <n v="59"/>
    <x v="1"/>
    <n v="0"/>
    <n v="0"/>
    <n v="54"/>
    <n v="92"/>
    <n v="0"/>
    <n v="150.1"/>
    <n v="101.85"/>
    <m/>
    <n v="173.69695484389018"/>
    <n v="108.9736496094947"/>
    <n v="0"/>
    <n v="92802.627200000003"/>
    <n v="62971.003199999999"/>
    <n v="0"/>
    <n v="107391.96366524168"/>
    <n v="67375.356291361517"/>
  </r>
  <r>
    <s v="Regular"/>
    <x v="5"/>
    <x v="3"/>
    <x v="8"/>
    <x v="8"/>
    <x v="0"/>
    <x v="0"/>
    <x v="1"/>
    <x v="3"/>
    <n v="0"/>
    <n v="0"/>
    <n v="600.58299999999997"/>
    <n v="600.58299999999997"/>
    <n v="600.58299999999997"/>
    <n v="600.58299999999997"/>
    <n v="57"/>
    <x v="1"/>
    <n v="0"/>
    <n v="0"/>
    <n v="54"/>
    <n v="92"/>
    <n v="0"/>
    <n v="150.1"/>
    <n v="101.85"/>
    <m/>
    <n v="173.69695484389018"/>
    <n v="108.9736496094947"/>
    <n v="0"/>
    <n v="90147.508299999987"/>
    <n v="61169.378549999994"/>
    <n v="0"/>
    <n v="104319.4382310081"/>
    <n v="65447.721403419149"/>
  </r>
  <r>
    <s v="Regular"/>
    <x v="5"/>
    <x v="3"/>
    <x v="8"/>
    <x v="8"/>
    <x v="0"/>
    <x v="0"/>
    <x v="1"/>
    <x v="4"/>
    <n v="0"/>
    <n v="0"/>
    <n v="617.64400000000001"/>
    <n v="617.64400000000001"/>
    <n v="617.64400000000001"/>
    <n v="617.64400000000001"/>
    <n v="58"/>
    <x v="1"/>
    <n v="0"/>
    <n v="0"/>
    <n v="54"/>
    <n v="92"/>
    <n v="0"/>
    <n v="150.1"/>
    <n v="101.85"/>
    <m/>
    <n v="173.69695484389018"/>
    <n v="108.9736496094947"/>
    <n v="0"/>
    <n v="92708.364399999991"/>
    <n v="62907.041399999995"/>
    <n v="0"/>
    <n v="107282.88197759971"/>
    <n v="67306.920839406739"/>
  </r>
  <r>
    <s v="Refaturamento - Regular"/>
    <x v="5"/>
    <x v="3"/>
    <x v="8"/>
    <x v="8"/>
    <x v="0"/>
    <x v="0"/>
    <x v="1"/>
    <x v="4"/>
    <n v="0"/>
    <n v="0"/>
    <n v="-0.03"/>
    <n v="-0.03"/>
    <n v="-0.03"/>
    <n v="-0.03"/>
    <n v="-1"/>
    <x v="1"/>
    <n v="0"/>
    <n v="0"/>
    <n v="54"/>
    <n v="92"/>
    <n v="0"/>
    <n v="150.1"/>
    <n v="101.85"/>
    <m/>
    <n v="173.69695484389018"/>
    <n v="108.9736496094947"/>
    <n v="0"/>
    <n v="-4.5029999999999992"/>
    <n v="-3.0554999999999999"/>
    <n v="0"/>
    <n v="-5.2109086453167057"/>
    <n v="-3.269209488284841"/>
  </r>
  <r>
    <s v="Regular"/>
    <x v="5"/>
    <x v="3"/>
    <x v="8"/>
    <x v="8"/>
    <x v="0"/>
    <x v="0"/>
    <x v="1"/>
    <x v="5"/>
    <n v="0"/>
    <n v="0"/>
    <n v="667.58900000000006"/>
    <n v="667.58900000000006"/>
    <n v="667.58900000000006"/>
    <n v="667.58900000000006"/>
    <n v="59"/>
    <x v="1"/>
    <n v="0"/>
    <n v="0"/>
    <n v="54"/>
    <n v="92"/>
    <n v="0"/>
    <n v="150.1"/>
    <n v="101.85"/>
    <m/>
    <n v="173.69695484389018"/>
    <n v="108.9736496094947"/>
    <n v="0"/>
    <n v="100205.10890000001"/>
    <n v="67993.93965"/>
    <n v="0"/>
    <n v="115958.17638727781"/>
    <n v="72749.609769152958"/>
  </r>
  <r>
    <s v="Refaturamento - Regular"/>
    <x v="5"/>
    <x v="3"/>
    <x v="8"/>
    <x v="8"/>
    <x v="0"/>
    <x v="0"/>
    <x v="1"/>
    <x v="5"/>
    <n v="0"/>
    <n v="0"/>
    <n v="-104.538"/>
    <n v="-104.538"/>
    <n v="-104.538"/>
    <n v="-104.538"/>
    <n v="-2"/>
    <x v="1"/>
    <n v="0"/>
    <n v="0"/>
    <n v="54"/>
    <n v="92"/>
    <n v="0"/>
    <n v="150.1"/>
    <n v="101.85"/>
    <m/>
    <n v="173.69695484389018"/>
    <n v="108.9736496094947"/>
    <n v="0"/>
    <n v="-15691.153799999998"/>
    <n v="-10647.195299999999"/>
    <n v="0"/>
    <n v="-18157.93226547059"/>
    <n v="-11391.887382877356"/>
  </r>
  <r>
    <s v="Regular"/>
    <x v="5"/>
    <x v="3"/>
    <x v="8"/>
    <x v="8"/>
    <x v="0"/>
    <x v="0"/>
    <x v="1"/>
    <x v="6"/>
    <n v="0"/>
    <n v="0"/>
    <n v="585.65700000000004"/>
    <n v="585.65700000000004"/>
    <n v="585.65700000000004"/>
    <n v="585.65700000000004"/>
    <n v="57"/>
    <x v="1"/>
    <n v="0"/>
    <n v="0"/>
    <n v="54"/>
    <n v="92"/>
    <n v="0"/>
    <n v="150.1"/>
    <n v="101.85"/>
    <m/>
    <n v="173.69695484389018"/>
    <n v="108.9736496094947"/>
    <n v="0"/>
    <n v="87907.115700000009"/>
    <n v="59649.16545"/>
    <n v="0"/>
    <n v="101726.8374830082"/>
    <n v="63821.180709347842"/>
  </r>
  <r>
    <s v="Regular"/>
    <x v="5"/>
    <x v="3"/>
    <x v="8"/>
    <x v="8"/>
    <x v="0"/>
    <x v="0"/>
    <x v="1"/>
    <x v="7"/>
    <n v="0"/>
    <n v="0"/>
    <n v="578.75900000000001"/>
    <n v="578.75900000000001"/>
    <n v="578.75900000000001"/>
    <n v="578.75900000000001"/>
    <n v="56"/>
    <x v="1"/>
    <n v="0"/>
    <n v="0"/>
    <n v="54"/>
    <n v="92"/>
    <n v="0"/>
    <n v="150.1"/>
    <n v="101.85"/>
    <m/>
    <n v="173.69695484389018"/>
    <n v="108.9736496094947"/>
    <n v="0"/>
    <n v="86871.725900000005"/>
    <n v="58946.604149999999"/>
    <n v="0"/>
    <n v="100528.67588849504"/>
    <n v="63069.480474341544"/>
  </r>
  <r>
    <s v="Regular"/>
    <x v="5"/>
    <x v="3"/>
    <x v="8"/>
    <x v="8"/>
    <x v="0"/>
    <x v="0"/>
    <x v="1"/>
    <x v="8"/>
    <n v="0"/>
    <n v="0"/>
    <n v="544.57299999999998"/>
    <n v="544.57299999999998"/>
    <n v="544.57299999999998"/>
    <n v="544.57299999999998"/>
    <n v="57"/>
    <x v="1"/>
    <n v="0"/>
    <n v="0"/>
    <n v="54"/>
    <n v="92"/>
    <n v="0"/>
    <n v="150.1"/>
    <n v="101.85"/>
    <m/>
    <n v="173.69695484389018"/>
    <n v="108.9736496094947"/>
    <n v="0"/>
    <n v="81740.407299999992"/>
    <n v="55464.760049999997"/>
    <n v="0"/>
    <n v="94590.671790201799"/>
    <n v="59344.107288791354"/>
  </r>
  <r>
    <s v="Refaturamento - Regular"/>
    <x v="5"/>
    <x v="3"/>
    <x v="8"/>
    <x v="8"/>
    <x v="0"/>
    <x v="0"/>
    <x v="1"/>
    <x v="8"/>
    <n v="0"/>
    <n v="0"/>
    <n v="-17.571999999999999"/>
    <n v="-17.571999999999999"/>
    <n v="-17.571999999999999"/>
    <n v="-17.571999999999999"/>
    <n v="-1"/>
    <x v="1"/>
    <n v="0"/>
    <n v="0"/>
    <n v="54"/>
    <n v="92"/>
    <n v="0"/>
    <n v="150.1"/>
    <n v="101.85"/>
    <m/>
    <n v="173.69695484389018"/>
    <n v="108.9736496094947"/>
    <n v="0"/>
    <n v="-2637.5571999999997"/>
    <n v="-1789.7081999999998"/>
    <n v="0"/>
    <n v="-3052.2028905168381"/>
    <n v="-1914.8849709380409"/>
  </r>
  <r>
    <s v="Regular"/>
    <x v="5"/>
    <x v="3"/>
    <x v="8"/>
    <x v="8"/>
    <x v="0"/>
    <x v="0"/>
    <x v="1"/>
    <x v="9"/>
    <n v="0"/>
    <n v="0"/>
    <n v="591.84500000000003"/>
    <n v="591.84500000000003"/>
    <n v="591.84500000000003"/>
    <n v="591.84500000000003"/>
    <n v="59"/>
    <x v="1"/>
    <n v="0"/>
    <n v="0"/>
    <n v="54"/>
    <n v="92"/>
    <n v="0"/>
    <n v="150.1"/>
    <n v="101.85"/>
    <m/>
    <n v="173.69695484389018"/>
    <n v="108.9736496094947"/>
    <n v="0"/>
    <n v="88835.934500000003"/>
    <n v="60279.413249999998"/>
    <n v="0"/>
    <n v="102801.67423958219"/>
    <n v="64495.50965313139"/>
  </r>
  <r>
    <s v="Refaturamento - Regular"/>
    <x v="5"/>
    <x v="3"/>
    <x v="8"/>
    <x v="8"/>
    <x v="0"/>
    <x v="0"/>
    <x v="1"/>
    <x v="9"/>
    <n v="0"/>
    <n v="0"/>
    <n v="-3.806"/>
    <n v="-3.806"/>
    <n v="-3.806"/>
    <n v="-3.806"/>
    <n v="-2"/>
    <x v="1"/>
    <n v="0"/>
    <n v="0"/>
    <n v="54"/>
    <n v="92"/>
    <n v="0"/>
    <n v="150.1"/>
    <n v="101.85"/>
    <m/>
    <n v="173.69695484389018"/>
    <n v="108.9736496094947"/>
    <n v="0"/>
    <n v="-571.28059999999994"/>
    <n v="-387.64109999999999"/>
    <n v="0"/>
    <n v="-661.09061013584608"/>
    <n v="-414.75371041373683"/>
  </r>
  <r>
    <s v="Regular"/>
    <x v="5"/>
    <x v="3"/>
    <x v="8"/>
    <x v="8"/>
    <x v="0"/>
    <x v="0"/>
    <x v="1"/>
    <x v="10"/>
    <n v="0"/>
    <n v="0"/>
    <n v="561.97900000000004"/>
    <n v="561.97900000000004"/>
    <n v="561.97900000000004"/>
    <n v="561.97900000000004"/>
    <n v="57"/>
    <x v="1"/>
    <n v="0"/>
    <n v="0"/>
    <n v="54"/>
    <n v="92"/>
    <n v="0"/>
    <n v="150.1"/>
    <n v="101.85"/>
    <m/>
    <n v="173.69695484389018"/>
    <n v="108.9736496094947"/>
    <n v="0"/>
    <n v="84353.047900000005"/>
    <n v="57237.561150000001"/>
    <n v="0"/>
    <n v="97614.040986214575"/>
    <n v="61240.902633894228"/>
  </r>
  <r>
    <s v="Regular"/>
    <x v="5"/>
    <x v="3"/>
    <x v="8"/>
    <x v="8"/>
    <x v="0"/>
    <x v="0"/>
    <x v="1"/>
    <x v="11"/>
    <n v="0"/>
    <n v="0"/>
    <n v="595.21500000000003"/>
    <n v="595.21500000000003"/>
    <n v="595.21500000000003"/>
    <n v="595.21500000000003"/>
    <n v="59"/>
    <x v="1"/>
    <n v="0"/>
    <n v="0"/>
    <n v="54"/>
    <n v="92"/>
    <n v="0"/>
    <n v="150.1"/>
    <n v="101.85"/>
    <m/>
    <n v="173.69695484389018"/>
    <n v="108.9736496094947"/>
    <n v="0"/>
    <n v="89341.771500000003"/>
    <n v="60622.647749999996"/>
    <n v="0"/>
    <n v="103387.0329774061"/>
    <n v="64862.750852315388"/>
  </r>
  <r>
    <s v="Refaturamento - Regular"/>
    <x v="5"/>
    <x v="3"/>
    <x v="8"/>
    <x v="8"/>
    <x v="0"/>
    <x v="0"/>
    <x v="1"/>
    <x v="11"/>
    <n v="0"/>
    <n v="0"/>
    <n v="-13.686999999999999"/>
    <n v="-13.686999999999999"/>
    <n v="-13.686999999999999"/>
    <n v="-13.686999999999999"/>
    <n v="-2"/>
    <x v="1"/>
    <n v="0"/>
    <n v="0"/>
    <n v="54"/>
    <n v="92"/>
    <n v="0"/>
    <n v="150.1"/>
    <n v="101.85"/>
    <m/>
    <n v="173.69695484389018"/>
    <n v="108.9736496094947"/>
    <n v="0"/>
    <n v="-2054.4186999999997"/>
    <n v="-1394.0209499999999"/>
    <n v="0"/>
    <n v="-2377.3902209483249"/>
    <n v="-1491.52234220515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1">
  <r>
    <s v="Regular"/>
    <x v="0"/>
    <x v="0"/>
    <x v="0"/>
    <x v="0"/>
    <x v="0"/>
    <x v="0"/>
    <x v="0"/>
    <x v="0"/>
    <n v="10052"/>
    <n v="5026"/>
    <n v="0"/>
    <n v="0"/>
    <n v="0"/>
    <n v="0"/>
    <n v="0"/>
    <s v="LIVRE"/>
    <n v="0"/>
    <n v="8"/>
    <n v="0"/>
    <n v="0"/>
    <n v="26.17"/>
    <n v="0"/>
    <n v="0"/>
    <n v="27.746237112155811"/>
    <n v="92.397536067834494"/>
    <m/>
    <n v="131530.42000000001"/>
    <n v="0"/>
    <n v="139452.58772569511"/>
    <n v="0"/>
    <x v="0"/>
  </r>
  <r>
    <s v="Regular"/>
    <x v="0"/>
    <x v="0"/>
    <x v="0"/>
    <x v="0"/>
    <x v="0"/>
    <x v="0"/>
    <x v="0"/>
    <x v="1"/>
    <n v="9827"/>
    <n v="4913.5"/>
    <n v="0"/>
    <n v="0"/>
    <n v="0"/>
    <n v="0"/>
    <n v="0"/>
    <s v="LIVRE"/>
    <n v="0"/>
    <n v="8"/>
    <n v="0"/>
    <n v="0"/>
    <n v="26.17"/>
    <n v="0"/>
    <n v="0"/>
    <n v="27.746237112155811"/>
    <n v="92.397536067834494"/>
    <m/>
    <n v="128586.29500000001"/>
    <n v="0"/>
    <n v="136331.13605057757"/>
    <n v="0"/>
    <x v="0"/>
  </r>
  <r>
    <s v="Regular"/>
    <x v="0"/>
    <x v="0"/>
    <x v="0"/>
    <x v="0"/>
    <x v="0"/>
    <x v="0"/>
    <x v="0"/>
    <x v="2"/>
    <n v="10125"/>
    <n v="5062.5"/>
    <n v="0"/>
    <n v="0"/>
    <n v="0"/>
    <n v="0"/>
    <n v="0"/>
    <s v="LIVRE"/>
    <n v="0"/>
    <n v="8"/>
    <n v="0"/>
    <n v="0"/>
    <n v="26.17"/>
    <n v="0"/>
    <n v="0"/>
    <n v="27.746237112155811"/>
    <n v="92.397536067834494"/>
    <m/>
    <n v="132485.625"/>
    <n v="0"/>
    <n v="140465.32538028879"/>
    <n v="0"/>
    <x v="0"/>
  </r>
  <r>
    <s v="Regular"/>
    <x v="0"/>
    <x v="0"/>
    <x v="0"/>
    <x v="0"/>
    <x v="0"/>
    <x v="0"/>
    <x v="0"/>
    <x v="3"/>
    <n v="10363"/>
    <n v="5181.5"/>
    <n v="0"/>
    <n v="0"/>
    <n v="0"/>
    <n v="0"/>
    <n v="0"/>
    <s v="LIVRE"/>
    <n v="0"/>
    <n v="8"/>
    <n v="0"/>
    <n v="0"/>
    <n v="26.17"/>
    <n v="0"/>
    <n v="0"/>
    <n v="27.746237112155811"/>
    <n v="92.397536067834494"/>
    <m/>
    <n v="135599.85500000001"/>
    <n v="0"/>
    <n v="143767.12759663534"/>
    <n v="0"/>
    <x v="0"/>
  </r>
  <r>
    <s v="Regular"/>
    <x v="0"/>
    <x v="0"/>
    <x v="0"/>
    <x v="0"/>
    <x v="0"/>
    <x v="0"/>
    <x v="0"/>
    <x v="4"/>
    <n v="10291"/>
    <n v="5145.5"/>
    <n v="0"/>
    <n v="0"/>
    <n v="0"/>
    <n v="0"/>
    <n v="0"/>
    <s v="LIVRE"/>
    <n v="0"/>
    <n v="8"/>
    <n v="0"/>
    <n v="0"/>
    <n v="26.17"/>
    <n v="0"/>
    <n v="0"/>
    <n v="27.746237112155811"/>
    <n v="92.397536067834494"/>
    <m/>
    <n v="134657.73500000002"/>
    <n v="0"/>
    <n v="142768.26306059773"/>
    <n v="0"/>
    <x v="0"/>
  </r>
  <r>
    <s v="PROJETADO"/>
    <x v="0"/>
    <x v="0"/>
    <x v="0"/>
    <x v="0"/>
    <x v="0"/>
    <x v="0"/>
    <x v="0"/>
    <x v="5"/>
    <n v="10291"/>
    <n v="5145.5"/>
    <n v="0"/>
    <n v="0"/>
    <n v="0"/>
    <n v="0"/>
    <n v="0"/>
    <s v="LIVRE"/>
    <n v="0"/>
    <n v="8"/>
    <n v="0"/>
    <n v="0"/>
    <n v="26.17"/>
    <n v="0"/>
    <n v="0"/>
    <n v="27.746237112155811"/>
    <n v="92.397536067834494"/>
    <m/>
    <n v="134657.73500000002"/>
    <n v="0"/>
    <n v="142768.26306059773"/>
    <n v="0"/>
    <x v="0"/>
  </r>
  <r>
    <s v="Regular"/>
    <x v="0"/>
    <x v="0"/>
    <x v="0"/>
    <x v="0"/>
    <x v="0"/>
    <x v="0"/>
    <x v="0"/>
    <x v="6"/>
    <n v="10294"/>
    <n v="5147"/>
    <n v="0"/>
    <n v="0"/>
    <n v="0"/>
    <n v="0"/>
    <n v="0"/>
    <s v="LIVRE"/>
    <n v="0"/>
    <n v="8"/>
    <n v="0"/>
    <n v="0"/>
    <n v="26.17"/>
    <n v="0"/>
    <n v="0"/>
    <n v="27.746237112155811"/>
    <n v="92.397536067834494"/>
    <m/>
    <n v="134696.99000000002"/>
    <n v="0"/>
    <n v="142809.88241626596"/>
    <n v="0"/>
    <x v="0"/>
  </r>
  <r>
    <s v="Regular"/>
    <x v="0"/>
    <x v="0"/>
    <x v="0"/>
    <x v="0"/>
    <x v="0"/>
    <x v="0"/>
    <x v="0"/>
    <x v="7"/>
    <n v="10730"/>
    <n v="5365"/>
    <n v="0"/>
    <n v="0"/>
    <n v="0"/>
    <n v="0"/>
    <n v="0"/>
    <s v="LIVRE"/>
    <n v="0"/>
    <n v="8"/>
    <n v="0"/>
    <n v="0"/>
    <n v="26.17"/>
    <n v="0"/>
    <n v="0"/>
    <n v="27.746237112155811"/>
    <n v="92.397536067834494"/>
    <m/>
    <n v="140402.05000000002"/>
    <n v="0"/>
    <n v="148858.56210671592"/>
    <n v="0"/>
    <x v="0"/>
  </r>
  <r>
    <s v="Regular"/>
    <x v="0"/>
    <x v="0"/>
    <x v="0"/>
    <x v="0"/>
    <x v="0"/>
    <x v="0"/>
    <x v="0"/>
    <x v="8"/>
    <n v="10598"/>
    <n v="5299"/>
    <n v="0"/>
    <n v="0"/>
    <n v="0"/>
    <n v="0"/>
    <n v="0"/>
    <s v="LIVRE"/>
    <n v="0"/>
    <n v="8"/>
    <n v="0"/>
    <n v="0"/>
    <n v="26.17"/>
    <n v="0"/>
    <n v="0"/>
    <n v="27.746237112155811"/>
    <n v="92.397536067834494"/>
    <m/>
    <n v="138674.83000000002"/>
    <n v="0"/>
    <n v="147027.31045731364"/>
    <n v="0"/>
    <x v="0"/>
  </r>
  <r>
    <s v="PROJETADO"/>
    <x v="0"/>
    <x v="0"/>
    <x v="0"/>
    <x v="0"/>
    <x v="0"/>
    <x v="0"/>
    <x v="0"/>
    <x v="9"/>
    <n v="10598"/>
    <n v="5299"/>
    <n v="0"/>
    <n v="0"/>
    <n v="0"/>
    <n v="0"/>
    <n v="0"/>
    <s v="LIVRE"/>
    <n v="0"/>
    <n v="8"/>
    <n v="0"/>
    <n v="0"/>
    <n v="26.17"/>
    <n v="0"/>
    <n v="0"/>
    <n v="27.746237112155811"/>
    <n v="92.397536067834494"/>
    <m/>
    <n v="138674.83000000002"/>
    <n v="0"/>
    <n v="147027.31045731364"/>
    <n v="0"/>
    <x v="0"/>
  </r>
  <r>
    <s v="Regular"/>
    <x v="0"/>
    <x v="0"/>
    <x v="0"/>
    <x v="0"/>
    <x v="0"/>
    <x v="0"/>
    <x v="0"/>
    <x v="10"/>
    <n v="12966"/>
    <n v="6483"/>
    <n v="0"/>
    <n v="0"/>
    <n v="0"/>
    <n v="0"/>
    <n v="0"/>
    <s v="LIVRE"/>
    <n v="0"/>
    <n v="8"/>
    <n v="0"/>
    <n v="0"/>
    <n v="26.17"/>
    <n v="0"/>
    <n v="0"/>
    <n v="27.746237112155811"/>
    <n v="92.397536067834494"/>
    <m/>
    <n v="169660.11000000002"/>
    <n v="0"/>
    <n v="179878.85519810612"/>
    <n v="0"/>
    <x v="0"/>
  </r>
  <r>
    <s v="Regular"/>
    <x v="0"/>
    <x v="0"/>
    <x v="0"/>
    <x v="0"/>
    <x v="0"/>
    <x v="0"/>
    <x v="0"/>
    <x v="11"/>
    <n v="13200"/>
    <n v="6600"/>
    <n v="0"/>
    <n v="0"/>
    <n v="0"/>
    <n v="0"/>
    <n v="0"/>
    <s v="LIVRE"/>
    <n v="0"/>
    <n v="8"/>
    <n v="0"/>
    <n v="0"/>
    <n v="26.17"/>
    <n v="0"/>
    <n v="0"/>
    <n v="27.746237112155811"/>
    <n v="92.397536067834494"/>
    <m/>
    <n v="172722"/>
    <n v="0"/>
    <n v="183125.16494022834"/>
    <n v="0"/>
    <x v="0"/>
  </r>
  <r>
    <s v="Regular"/>
    <x v="0"/>
    <x v="0"/>
    <x v="0"/>
    <x v="0"/>
    <x v="0"/>
    <x v="0"/>
    <x v="1"/>
    <x v="0"/>
    <n v="0"/>
    <n v="0"/>
    <n v="4211.4489999999996"/>
    <n v="2105.7244999999998"/>
    <n v="0"/>
    <n v="0"/>
    <n v="4"/>
    <s v="LIVRE"/>
    <n v="0"/>
    <n v="0"/>
    <n v="9"/>
    <n v="0"/>
    <n v="0"/>
    <n v="69.489999999999995"/>
    <n v="0"/>
    <m/>
    <n v="92.397536067834494"/>
    <m/>
    <n v="0"/>
    <n v="146326.79550499999"/>
    <n v="0"/>
    <n v="194563.75543767275"/>
    <x v="0"/>
  </r>
  <r>
    <s v="Regular"/>
    <x v="0"/>
    <x v="0"/>
    <x v="0"/>
    <x v="0"/>
    <x v="0"/>
    <x v="0"/>
    <x v="1"/>
    <x v="1"/>
    <n v="0"/>
    <n v="0"/>
    <n v="4403.2659999999996"/>
    <n v="2201.6329999999998"/>
    <n v="0"/>
    <n v="0"/>
    <n v="4"/>
    <s v="LIVRE"/>
    <n v="0"/>
    <n v="0"/>
    <n v="9"/>
    <n v="0"/>
    <n v="0"/>
    <n v="69.489999999999995"/>
    <n v="0"/>
    <m/>
    <n v="92.397536067834494"/>
    <m/>
    <n v="0"/>
    <n v="152991.47716999997"/>
    <n v="0"/>
    <n v="203425.46452563466"/>
    <x v="0"/>
  </r>
  <r>
    <s v="Regular"/>
    <x v="0"/>
    <x v="0"/>
    <x v="0"/>
    <x v="0"/>
    <x v="0"/>
    <x v="0"/>
    <x v="1"/>
    <x v="2"/>
    <n v="0"/>
    <n v="0"/>
    <n v="4302.3959999999997"/>
    <n v="2151.1979999999999"/>
    <n v="0"/>
    <n v="0"/>
    <n v="4"/>
    <s v="LIVRE"/>
    <n v="0"/>
    <n v="0"/>
    <n v="9"/>
    <n v="0"/>
    <n v="0"/>
    <n v="69.489999999999995"/>
    <n v="0"/>
    <m/>
    <n v="92.397536067834494"/>
    <m/>
    <n v="0"/>
    <n v="149486.74901999999"/>
    <n v="0"/>
    <n v="198765.39479405343"/>
    <x v="0"/>
  </r>
  <r>
    <s v="Regular"/>
    <x v="0"/>
    <x v="0"/>
    <x v="0"/>
    <x v="0"/>
    <x v="0"/>
    <x v="0"/>
    <x v="1"/>
    <x v="3"/>
    <n v="0"/>
    <n v="0"/>
    <n v="4369.4129999999996"/>
    <n v="2184.7064999999998"/>
    <n v="0"/>
    <n v="0"/>
    <n v="4"/>
    <s v="LIVRE"/>
    <n v="0"/>
    <n v="0"/>
    <n v="9"/>
    <n v="0"/>
    <n v="0"/>
    <n v="69.489999999999995"/>
    <n v="0"/>
    <m/>
    <n v="92.397536067834494"/>
    <m/>
    <n v="0"/>
    <n v="151815.25468499996"/>
    <n v="0"/>
    <n v="201861.49763138243"/>
    <x v="0"/>
  </r>
  <r>
    <s v="Regular"/>
    <x v="0"/>
    <x v="0"/>
    <x v="0"/>
    <x v="0"/>
    <x v="0"/>
    <x v="0"/>
    <x v="1"/>
    <x v="4"/>
    <n v="0"/>
    <n v="0"/>
    <n v="4623.4799999999996"/>
    <n v="2311.7399999999998"/>
    <n v="0"/>
    <n v="0"/>
    <n v="4"/>
    <s v="LIVRE"/>
    <n v="0"/>
    <n v="0"/>
    <n v="9"/>
    <n v="0"/>
    <n v="0"/>
    <n v="69.489999999999995"/>
    <n v="0"/>
    <m/>
    <n v="92.397536067834494"/>
    <m/>
    <n v="0"/>
    <n v="160642.81259999998"/>
    <n v="0"/>
    <n v="213599.08002945568"/>
    <x v="0"/>
  </r>
  <r>
    <s v="PROJETADO"/>
    <x v="0"/>
    <x v="0"/>
    <x v="0"/>
    <x v="0"/>
    <x v="0"/>
    <x v="0"/>
    <x v="1"/>
    <x v="5"/>
    <n v="0"/>
    <n v="0"/>
    <n v="4623.4799999999996"/>
    <n v="2311.7399999999998"/>
    <n v="0"/>
    <n v="0"/>
    <n v="4"/>
    <s v="LIVRE"/>
    <n v="0"/>
    <n v="0"/>
    <n v="9"/>
    <n v="0"/>
    <n v="0"/>
    <n v="69.489999999999995"/>
    <n v="0"/>
    <m/>
    <n v="92.397536067834494"/>
    <m/>
    <n v="0"/>
    <n v="160642.81259999998"/>
    <n v="0"/>
    <n v="213599.08002945568"/>
    <x v="0"/>
  </r>
  <r>
    <s v="Regular"/>
    <x v="0"/>
    <x v="0"/>
    <x v="0"/>
    <x v="0"/>
    <x v="0"/>
    <x v="0"/>
    <x v="1"/>
    <x v="6"/>
    <n v="0"/>
    <n v="0"/>
    <n v="4275.4930000000004"/>
    <n v="2137.7465000000002"/>
    <n v="0"/>
    <n v="0"/>
    <n v="4"/>
    <s v="LIVRE"/>
    <n v="0"/>
    <n v="0"/>
    <n v="9"/>
    <n v="0"/>
    <n v="0"/>
    <n v="69.489999999999995"/>
    <n v="0"/>
    <m/>
    <n v="92.397536067834494"/>
    <m/>
    <n v="0"/>
    <n v="148552.004285"/>
    <n v="0"/>
    <n v="197522.50933763696"/>
    <x v="0"/>
  </r>
  <r>
    <s v="Regular"/>
    <x v="0"/>
    <x v="0"/>
    <x v="0"/>
    <x v="0"/>
    <x v="0"/>
    <x v="0"/>
    <x v="1"/>
    <x v="7"/>
    <n v="0"/>
    <n v="0"/>
    <n v="4336.7749999999996"/>
    <n v="2168.3874999999998"/>
    <n v="0"/>
    <n v="0"/>
    <n v="4"/>
    <s v="LIVRE"/>
    <n v="0"/>
    <n v="0"/>
    <n v="9"/>
    <n v="0"/>
    <n v="0"/>
    <n v="69.489999999999995"/>
    <n v="0"/>
    <m/>
    <n v="92.397536067834494"/>
    <m/>
    <n v="0"/>
    <n v="150681.24737499998"/>
    <n v="0"/>
    <n v="200353.66224029145"/>
    <x v="0"/>
  </r>
  <r>
    <s v="Regular"/>
    <x v="0"/>
    <x v="0"/>
    <x v="0"/>
    <x v="0"/>
    <x v="0"/>
    <x v="0"/>
    <x v="1"/>
    <x v="8"/>
    <n v="0"/>
    <n v="0"/>
    <n v="4394.4470000000001"/>
    <n v="2197.2235000000001"/>
    <n v="0"/>
    <n v="0"/>
    <n v="4"/>
    <s v="LIVRE"/>
    <n v="0"/>
    <n v="0"/>
    <n v="9"/>
    <n v="0"/>
    <n v="0"/>
    <n v="69.489999999999995"/>
    <n v="0"/>
    <m/>
    <n v="92.397536067834494"/>
    <m/>
    <n v="0"/>
    <n v="152685.06101499998"/>
    <n v="0"/>
    <n v="203018.03759034356"/>
    <x v="0"/>
  </r>
  <r>
    <s v="PROJETADO"/>
    <x v="0"/>
    <x v="0"/>
    <x v="0"/>
    <x v="0"/>
    <x v="0"/>
    <x v="0"/>
    <x v="1"/>
    <x v="9"/>
    <n v="0"/>
    <n v="0"/>
    <n v="4394.4470000000001"/>
    <n v="2197.2235000000001"/>
    <n v="0"/>
    <n v="0"/>
    <n v="4"/>
    <s v="LIVRE"/>
    <n v="0"/>
    <n v="0"/>
    <n v="9"/>
    <n v="0"/>
    <n v="0"/>
    <n v="69.489999999999995"/>
    <n v="0"/>
    <m/>
    <n v="92.397536067834494"/>
    <m/>
    <n v="0"/>
    <n v="152685.06101499998"/>
    <n v="0"/>
    <n v="203018.03759034356"/>
    <x v="0"/>
  </r>
  <r>
    <s v="Regular"/>
    <x v="0"/>
    <x v="0"/>
    <x v="0"/>
    <x v="0"/>
    <x v="0"/>
    <x v="0"/>
    <x v="1"/>
    <x v="10"/>
    <n v="0"/>
    <n v="0"/>
    <n v="5031.1610000000001"/>
    <n v="5031.1610000000001"/>
    <n v="0"/>
    <n v="0"/>
    <n v="5"/>
    <s v="LIVRE"/>
    <n v="0"/>
    <n v="0"/>
    <n v="9"/>
    <n v="0"/>
    <n v="0"/>
    <n v="69.489999999999995"/>
    <n v="0"/>
    <m/>
    <n v="92.397536067834494"/>
    <m/>
    <n v="0"/>
    <n v="0"/>
    <n v="0"/>
    <n v="0"/>
    <x v="0"/>
  </r>
  <r>
    <s v="Regular"/>
    <x v="0"/>
    <x v="0"/>
    <x v="0"/>
    <x v="0"/>
    <x v="0"/>
    <x v="0"/>
    <x v="1"/>
    <x v="11"/>
    <n v="0"/>
    <n v="0"/>
    <n v="3797.1529999999998"/>
    <n v="3797.1529999999998"/>
    <n v="0"/>
    <n v="0"/>
    <n v="5"/>
    <s v="LIVRE"/>
    <n v="0"/>
    <n v="0"/>
    <n v="9"/>
    <n v="0"/>
    <n v="0"/>
    <n v="69.489999999999995"/>
    <n v="0"/>
    <m/>
    <n v="92.397536067834494"/>
    <m/>
    <n v="0"/>
    <n v="0"/>
    <n v="0"/>
    <n v="0"/>
    <x v="0"/>
  </r>
  <r>
    <s v="Regular"/>
    <x v="0"/>
    <x v="0"/>
    <x v="0"/>
    <x v="0"/>
    <x v="0"/>
    <x v="0"/>
    <x v="2"/>
    <x v="0"/>
    <n v="7706"/>
    <n v="3853"/>
    <n v="0"/>
    <n v="0"/>
    <n v="0"/>
    <n v="0"/>
    <n v="0"/>
    <s v="LIVRE"/>
    <n v="0"/>
    <n v="3"/>
    <n v="0"/>
    <n v="0"/>
    <n v="43.88"/>
    <n v="0"/>
    <n v="0"/>
    <n v="45.842466572743774"/>
    <n v="92.397536067834494"/>
    <m/>
    <n v="169069.64"/>
    <n v="0"/>
    <n v="176631.02370478175"/>
    <n v="0"/>
    <x v="0"/>
  </r>
  <r>
    <s v="Regular"/>
    <x v="0"/>
    <x v="0"/>
    <x v="0"/>
    <x v="0"/>
    <x v="0"/>
    <x v="0"/>
    <x v="2"/>
    <x v="1"/>
    <n v="7647"/>
    <n v="3823.5"/>
    <n v="0"/>
    <n v="0"/>
    <n v="0"/>
    <n v="0"/>
    <n v="0"/>
    <s v="LIVRE"/>
    <n v="0"/>
    <n v="3"/>
    <n v="0"/>
    <n v="0"/>
    <n v="43.88"/>
    <n v="0"/>
    <n v="0"/>
    <n v="45.842466572743774"/>
    <n v="92.397536067834494"/>
    <m/>
    <n v="167775.18000000002"/>
    <n v="0"/>
    <n v="175278.67094088582"/>
    <n v="0"/>
    <x v="0"/>
  </r>
  <r>
    <s v="Regular"/>
    <x v="0"/>
    <x v="0"/>
    <x v="0"/>
    <x v="0"/>
    <x v="0"/>
    <x v="0"/>
    <x v="2"/>
    <x v="2"/>
    <n v="7653"/>
    <n v="3826.5"/>
    <n v="0"/>
    <n v="0"/>
    <n v="0"/>
    <n v="0"/>
    <n v="0"/>
    <s v="LIVRE"/>
    <n v="0"/>
    <n v="3"/>
    <n v="0"/>
    <n v="0"/>
    <n v="43.88"/>
    <n v="0"/>
    <n v="0"/>
    <n v="45.842466572743774"/>
    <n v="92.397536067834494"/>
    <m/>
    <n v="167906.82"/>
    <n v="0"/>
    <n v="175416.19834060405"/>
    <n v="0"/>
    <x v="0"/>
  </r>
  <r>
    <s v="Regular"/>
    <x v="0"/>
    <x v="0"/>
    <x v="0"/>
    <x v="0"/>
    <x v="0"/>
    <x v="0"/>
    <x v="2"/>
    <x v="3"/>
    <n v="7932"/>
    <n v="3966"/>
    <n v="0"/>
    <n v="0"/>
    <n v="0"/>
    <n v="0"/>
    <n v="0"/>
    <s v="LIVRE"/>
    <n v="0"/>
    <n v="3"/>
    <n v="0"/>
    <n v="0"/>
    <n v="43.88"/>
    <n v="0"/>
    <n v="0"/>
    <n v="45.842466572743774"/>
    <n v="92.397536067834494"/>
    <m/>
    <n v="174028.08000000002"/>
    <n v="0"/>
    <n v="181811.22242750181"/>
    <n v="0"/>
    <x v="0"/>
  </r>
  <r>
    <s v="Regular"/>
    <x v="0"/>
    <x v="0"/>
    <x v="0"/>
    <x v="0"/>
    <x v="0"/>
    <x v="0"/>
    <x v="2"/>
    <x v="4"/>
    <n v="7829"/>
    <n v="3914.5"/>
    <n v="0"/>
    <n v="0"/>
    <n v="0"/>
    <n v="0"/>
    <n v="0"/>
    <s v="LIVRE"/>
    <n v="0"/>
    <n v="3"/>
    <n v="0"/>
    <n v="0"/>
    <n v="43.88"/>
    <n v="0"/>
    <n v="0"/>
    <n v="45.842466572743774"/>
    <n v="92.397536067834494"/>
    <m/>
    <n v="171768.26"/>
    <n v="0"/>
    <n v="179450.3353990055"/>
    <n v="0"/>
    <x v="0"/>
  </r>
  <r>
    <s v="PROJETADO"/>
    <x v="0"/>
    <x v="0"/>
    <x v="0"/>
    <x v="0"/>
    <x v="0"/>
    <x v="0"/>
    <x v="2"/>
    <x v="5"/>
    <n v="7829"/>
    <n v="3914.5"/>
    <n v="0"/>
    <n v="0"/>
    <n v="0"/>
    <n v="0"/>
    <n v="0"/>
    <s v="LIVRE"/>
    <n v="0"/>
    <n v="3"/>
    <n v="0"/>
    <n v="0"/>
    <n v="43.88"/>
    <n v="0"/>
    <n v="0"/>
    <n v="45.842466572743774"/>
    <n v="92.397536067834494"/>
    <m/>
    <n v="171768.26"/>
    <n v="0"/>
    <n v="179450.3353990055"/>
    <n v="0"/>
    <x v="0"/>
  </r>
  <r>
    <s v="Regular"/>
    <x v="0"/>
    <x v="0"/>
    <x v="0"/>
    <x v="0"/>
    <x v="0"/>
    <x v="0"/>
    <x v="2"/>
    <x v="6"/>
    <n v="7757"/>
    <n v="3878.5"/>
    <n v="0"/>
    <n v="0"/>
    <n v="0"/>
    <n v="0"/>
    <n v="0"/>
    <s v="LIVRE"/>
    <n v="0"/>
    <n v="3"/>
    <n v="0"/>
    <n v="0"/>
    <n v="43.88"/>
    <n v="0"/>
    <n v="0"/>
    <n v="45.842466572743774"/>
    <n v="92.397536067834494"/>
    <m/>
    <n v="170188.58000000002"/>
    <n v="0"/>
    <n v="177800.00660238674"/>
    <n v="0"/>
    <x v="0"/>
  </r>
  <r>
    <s v="Regular"/>
    <x v="0"/>
    <x v="0"/>
    <x v="0"/>
    <x v="0"/>
    <x v="0"/>
    <x v="0"/>
    <x v="2"/>
    <x v="7"/>
    <n v="8174"/>
    <n v="4087"/>
    <n v="0"/>
    <n v="0"/>
    <n v="0"/>
    <n v="0"/>
    <n v="0"/>
    <s v="LIVRE"/>
    <n v="0"/>
    <n v="3"/>
    <n v="0"/>
    <n v="0"/>
    <n v="43.88"/>
    <n v="0"/>
    <n v="0"/>
    <n v="45.842466572743774"/>
    <n v="92.397536067834494"/>
    <m/>
    <n v="179337.56"/>
    <n v="0"/>
    <n v="187358.16088280382"/>
    <n v="0"/>
    <x v="0"/>
  </r>
  <r>
    <s v="Regular"/>
    <x v="0"/>
    <x v="0"/>
    <x v="0"/>
    <x v="0"/>
    <x v="0"/>
    <x v="0"/>
    <x v="2"/>
    <x v="8"/>
    <n v="8100"/>
    <n v="4050"/>
    <n v="0"/>
    <n v="0"/>
    <n v="0"/>
    <n v="0"/>
    <n v="0"/>
    <s v="LIVRE"/>
    <n v="0"/>
    <n v="3"/>
    <n v="0"/>
    <n v="0"/>
    <n v="43.88"/>
    <n v="0"/>
    <n v="0"/>
    <n v="45.842466572743774"/>
    <n v="92.397536067834494"/>
    <m/>
    <n v="177714"/>
    <n v="0"/>
    <n v="185661.98961961229"/>
    <n v="0"/>
    <x v="0"/>
  </r>
  <r>
    <s v="PROJETADO"/>
    <x v="0"/>
    <x v="0"/>
    <x v="0"/>
    <x v="0"/>
    <x v="0"/>
    <x v="0"/>
    <x v="2"/>
    <x v="9"/>
    <n v="8100"/>
    <n v="4050"/>
    <n v="0"/>
    <n v="0"/>
    <n v="0"/>
    <n v="0"/>
    <n v="0"/>
    <s v="LIVRE"/>
    <n v="0"/>
    <n v="3"/>
    <n v="0"/>
    <n v="0"/>
    <n v="43.88"/>
    <n v="0"/>
    <n v="0"/>
    <n v="45.842466572743774"/>
    <n v="92.397536067834494"/>
    <m/>
    <n v="177714"/>
    <n v="0"/>
    <n v="185661.98961961229"/>
    <n v="0"/>
    <x v="0"/>
  </r>
  <r>
    <s v="Regular"/>
    <x v="0"/>
    <x v="0"/>
    <x v="0"/>
    <x v="0"/>
    <x v="0"/>
    <x v="0"/>
    <x v="2"/>
    <x v="10"/>
    <n v="10059"/>
    <n v="5029.5"/>
    <n v="0"/>
    <n v="0"/>
    <n v="0"/>
    <n v="0"/>
    <n v="0"/>
    <s v="LIVRE"/>
    <n v="0"/>
    <n v="3"/>
    <n v="0"/>
    <n v="0"/>
    <n v="43.88"/>
    <n v="0"/>
    <n v="0"/>
    <n v="45.842466572743774"/>
    <n v="92.397536067834494"/>
    <m/>
    <n v="220694.46000000002"/>
    <n v="0"/>
    <n v="230564.68562761482"/>
    <n v="0"/>
    <x v="0"/>
  </r>
  <r>
    <s v="Regular"/>
    <x v="0"/>
    <x v="0"/>
    <x v="0"/>
    <x v="0"/>
    <x v="0"/>
    <x v="0"/>
    <x v="2"/>
    <x v="11"/>
    <n v="10386"/>
    <n v="5193"/>
    <n v="0"/>
    <n v="0"/>
    <n v="0"/>
    <n v="0"/>
    <n v="0"/>
    <s v="LIVRE"/>
    <n v="0"/>
    <n v="3"/>
    <n v="0"/>
    <n v="0"/>
    <n v="43.88"/>
    <n v="0"/>
    <n v="0"/>
    <n v="45.842466572743774"/>
    <n v="92.397536067834494"/>
    <m/>
    <n v="227868.84000000003"/>
    <n v="0"/>
    <n v="238059.92891225842"/>
    <n v="0"/>
    <x v="0"/>
  </r>
  <r>
    <s v="Regular"/>
    <x v="0"/>
    <x v="1"/>
    <x v="1"/>
    <x v="0"/>
    <x v="1"/>
    <x v="1"/>
    <x v="1"/>
    <x v="0"/>
    <n v="705"/>
    <n v="352.5"/>
    <n v="0"/>
    <n v="0"/>
    <n v="0"/>
    <n v="0"/>
    <n v="0"/>
    <s v="GERAÇÃO"/>
    <n v="706"/>
    <n v="14"/>
    <n v="0"/>
    <n v="0"/>
    <n v="8.08"/>
    <n v="0"/>
    <n v="0"/>
    <n v="7.6006460748490348"/>
    <m/>
    <m/>
    <n v="2848.2"/>
    <n v="0"/>
    <n v="2679.2277413842849"/>
    <n v="0"/>
    <x v="1"/>
  </r>
  <r>
    <s v="Regular"/>
    <x v="0"/>
    <x v="1"/>
    <x v="1"/>
    <x v="0"/>
    <x v="1"/>
    <x v="2"/>
    <x v="1"/>
    <x v="0"/>
    <n v="3700"/>
    <n v="1850"/>
    <n v="0"/>
    <n v="0"/>
    <n v="0"/>
    <n v="0"/>
    <n v="0"/>
    <s v="GERAÇÃO"/>
    <n v="877"/>
    <n v="14"/>
    <n v="0"/>
    <n v="0"/>
    <n v="8.08"/>
    <n v="0"/>
    <n v="0"/>
    <n v="7.6006460748490348"/>
    <m/>
    <m/>
    <n v="14948"/>
    <n v="0"/>
    <n v="14061.195238470715"/>
    <n v="0"/>
    <x v="1"/>
  </r>
  <r>
    <s v="Regular"/>
    <x v="0"/>
    <x v="1"/>
    <x v="1"/>
    <x v="0"/>
    <x v="1"/>
    <x v="3"/>
    <x v="1"/>
    <x v="0"/>
    <n v="880"/>
    <n v="440"/>
    <n v="0"/>
    <n v="0"/>
    <n v="0"/>
    <n v="0"/>
    <n v="0"/>
    <s v="GERAÇÃO"/>
    <n v="2317"/>
    <n v="14"/>
    <n v="0"/>
    <n v="0"/>
    <n v="8.08"/>
    <n v="0"/>
    <n v="0"/>
    <n v="7.6006460748490348"/>
    <m/>
    <m/>
    <n v="3555.2"/>
    <n v="0"/>
    <n v="3344.2842729335753"/>
    <n v="0"/>
    <x v="1"/>
  </r>
  <r>
    <s v="Regular"/>
    <x v="0"/>
    <x v="1"/>
    <x v="1"/>
    <x v="0"/>
    <x v="1"/>
    <x v="4"/>
    <x v="1"/>
    <x v="0"/>
    <n v="780"/>
    <n v="390"/>
    <n v="0"/>
    <n v="0"/>
    <n v="0"/>
    <n v="0"/>
    <n v="0"/>
    <s v="GERAÇÃO"/>
    <n v="28915"/>
    <n v="14"/>
    <n v="0"/>
    <n v="0"/>
    <n v="8.08"/>
    <n v="0"/>
    <n v="0"/>
    <n v="7.6006460748490348"/>
    <m/>
    <m/>
    <n v="3151.2"/>
    <n v="0"/>
    <n v="2964.2519691911234"/>
    <n v="0"/>
    <x v="1"/>
  </r>
  <r>
    <s v="Regular"/>
    <x v="0"/>
    <x v="1"/>
    <x v="1"/>
    <x v="0"/>
    <x v="1"/>
    <x v="5"/>
    <x v="1"/>
    <x v="0"/>
    <n v="1280"/>
    <n v="640"/>
    <n v="0"/>
    <n v="0"/>
    <n v="0"/>
    <n v="0"/>
    <n v="0"/>
    <s v="GERAÇÃO"/>
    <n v="31695"/>
    <n v="14"/>
    <n v="0"/>
    <n v="0"/>
    <n v="8.08"/>
    <n v="0"/>
    <n v="0"/>
    <n v="7.6006460748490348"/>
    <m/>
    <m/>
    <n v="5171.2"/>
    <n v="0"/>
    <n v="4864.4134879033827"/>
    <n v="0"/>
    <x v="1"/>
  </r>
  <r>
    <s v="Regular"/>
    <x v="0"/>
    <x v="1"/>
    <x v="1"/>
    <x v="0"/>
    <x v="1"/>
    <x v="6"/>
    <x v="1"/>
    <x v="0"/>
    <n v="2425"/>
    <n v="1212.5"/>
    <n v="0"/>
    <n v="0"/>
    <n v="0"/>
    <n v="0"/>
    <n v="0"/>
    <s v="GERAÇÃO"/>
    <m/>
    <n v="14"/>
    <n v="0"/>
    <n v="0"/>
    <n v="8.08"/>
    <n v="0"/>
    <n v="0"/>
    <n v="7.6006460748490348"/>
    <m/>
    <m/>
    <n v="9797"/>
    <n v="0"/>
    <n v="9215.7833657544543"/>
    <n v="0"/>
    <x v="1"/>
  </r>
  <r>
    <s v="Regular"/>
    <x v="0"/>
    <x v="1"/>
    <x v="1"/>
    <x v="0"/>
    <x v="1"/>
    <x v="7"/>
    <x v="1"/>
    <x v="0"/>
    <n v="1100"/>
    <n v="550"/>
    <n v="0"/>
    <n v="0"/>
    <n v="0"/>
    <n v="0"/>
    <n v="0"/>
    <s v="GERAÇÃO"/>
    <m/>
    <n v="14"/>
    <n v="0"/>
    <n v="0"/>
    <n v="8.08"/>
    <n v="0"/>
    <n v="0"/>
    <n v="7.6006460748490348"/>
    <m/>
    <m/>
    <n v="4444"/>
    <n v="0"/>
    <n v="4180.3553411669691"/>
    <n v="0"/>
    <x v="1"/>
  </r>
  <r>
    <s v="Regular"/>
    <x v="0"/>
    <x v="1"/>
    <x v="1"/>
    <x v="0"/>
    <x v="1"/>
    <x v="1"/>
    <x v="1"/>
    <x v="1"/>
    <n v="705"/>
    <n v="352.5"/>
    <n v="0"/>
    <n v="0"/>
    <n v="0"/>
    <n v="0"/>
    <n v="0"/>
    <s v="GERAÇÃO"/>
    <n v="706"/>
    <n v="14"/>
    <n v="0"/>
    <n v="0"/>
    <n v="8.08"/>
    <n v="0"/>
    <n v="0"/>
    <n v="7.6006460748490348"/>
    <m/>
    <m/>
    <n v="2848.2"/>
    <n v="0"/>
    <n v="2679.2277413842849"/>
    <n v="0"/>
    <x v="1"/>
  </r>
  <r>
    <s v="Regular"/>
    <x v="0"/>
    <x v="1"/>
    <x v="1"/>
    <x v="0"/>
    <x v="1"/>
    <x v="2"/>
    <x v="1"/>
    <x v="1"/>
    <n v="3700"/>
    <n v="1850"/>
    <n v="0"/>
    <n v="0"/>
    <n v="0"/>
    <n v="0"/>
    <n v="0"/>
    <s v="GERAÇÃO"/>
    <n v="877"/>
    <n v="14"/>
    <n v="0"/>
    <n v="0"/>
    <n v="8.08"/>
    <n v="0"/>
    <n v="0"/>
    <n v="7.6006460748490348"/>
    <m/>
    <m/>
    <n v="14948"/>
    <n v="0"/>
    <n v="14061.195238470715"/>
    <n v="0"/>
    <x v="1"/>
  </r>
  <r>
    <s v="Regular"/>
    <x v="0"/>
    <x v="1"/>
    <x v="1"/>
    <x v="0"/>
    <x v="1"/>
    <x v="3"/>
    <x v="1"/>
    <x v="1"/>
    <n v="880"/>
    <n v="440"/>
    <n v="0"/>
    <n v="0"/>
    <n v="0"/>
    <n v="0"/>
    <n v="0"/>
    <s v="GERAÇÃO"/>
    <n v="2317"/>
    <n v="14"/>
    <n v="0"/>
    <n v="0"/>
    <n v="8.08"/>
    <n v="0"/>
    <n v="0"/>
    <n v="7.6006460748490348"/>
    <m/>
    <m/>
    <n v="3555.2"/>
    <n v="0"/>
    <n v="3344.2842729335753"/>
    <n v="0"/>
    <x v="1"/>
  </r>
  <r>
    <s v="Regular"/>
    <x v="0"/>
    <x v="1"/>
    <x v="1"/>
    <x v="0"/>
    <x v="1"/>
    <x v="4"/>
    <x v="1"/>
    <x v="1"/>
    <n v="780"/>
    <n v="390"/>
    <n v="0"/>
    <n v="0"/>
    <n v="0"/>
    <n v="0"/>
    <n v="0"/>
    <s v="GERAÇÃO"/>
    <n v="28915"/>
    <n v="14"/>
    <n v="0"/>
    <n v="0"/>
    <n v="8.08"/>
    <n v="0"/>
    <n v="0"/>
    <n v="7.6006460748490348"/>
    <m/>
    <m/>
    <n v="3151.2"/>
    <n v="0"/>
    <n v="2964.2519691911234"/>
    <n v="0"/>
    <x v="1"/>
  </r>
  <r>
    <s v="Regular"/>
    <x v="0"/>
    <x v="1"/>
    <x v="1"/>
    <x v="0"/>
    <x v="1"/>
    <x v="5"/>
    <x v="1"/>
    <x v="1"/>
    <n v="1280"/>
    <n v="640"/>
    <n v="0"/>
    <n v="0"/>
    <n v="0"/>
    <n v="0"/>
    <n v="0"/>
    <s v="GERAÇÃO"/>
    <n v="31695"/>
    <n v="14"/>
    <n v="0"/>
    <n v="0"/>
    <n v="8.08"/>
    <n v="0"/>
    <n v="0"/>
    <n v="7.6006460748490348"/>
    <m/>
    <m/>
    <n v="5171.2"/>
    <n v="0"/>
    <n v="4864.4134879033827"/>
    <n v="0"/>
    <x v="1"/>
  </r>
  <r>
    <s v="Regular"/>
    <x v="0"/>
    <x v="1"/>
    <x v="1"/>
    <x v="0"/>
    <x v="1"/>
    <x v="6"/>
    <x v="1"/>
    <x v="1"/>
    <n v="2425"/>
    <n v="1212.5"/>
    <n v="0"/>
    <n v="0"/>
    <n v="0"/>
    <n v="0"/>
    <n v="0"/>
    <s v="GERAÇÃO"/>
    <m/>
    <n v="14"/>
    <n v="0"/>
    <n v="0"/>
    <n v="8.08"/>
    <n v="0"/>
    <n v="0"/>
    <n v="7.6006460748490348"/>
    <m/>
    <m/>
    <n v="9797"/>
    <n v="0"/>
    <n v="9215.7833657544543"/>
    <n v="0"/>
    <x v="1"/>
  </r>
  <r>
    <s v="Regular"/>
    <x v="0"/>
    <x v="1"/>
    <x v="1"/>
    <x v="0"/>
    <x v="1"/>
    <x v="7"/>
    <x v="1"/>
    <x v="1"/>
    <n v="1100"/>
    <n v="550"/>
    <n v="0"/>
    <n v="0"/>
    <n v="0"/>
    <n v="0"/>
    <n v="0"/>
    <s v="GERAÇÃO"/>
    <m/>
    <n v="14"/>
    <n v="0"/>
    <n v="0"/>
    <n v="8.08"/>
    <n v="0"/>
    <n v="0"/>
    <n v="7.6006460748490348"/>
    <m/>
    <m/>
    <n v="4444"/>
    <n v="0"/>
    <n v="4180.3553411669691"/>
    <n v="0"/>
    <x v="1"/>
  </r>
  <r>
    <s v="Regular"/>
    <x v="0"/>
    <x v="1"/>
    <x v="1"/>
    <x v="0"/>
    <x v="1"/>
    <x v="1"/>
    <x v="1"/>
    <x v="2"/>
    <n v="705"/>
    <n v="352.5"/>
    <n v="0"/>
    <n v="0"/>
    <n v="0"/>
    <n v="0"/>
    <n v="0"/>
    <s v="GERAÇÃO"/>
    <n v="706"/>
    <n v="14"/>
    <n v="0"/>
    <n v="0"/>
    <n v="8.08"/>
    <n v="0"/>
    <n v="0"/>
    <n v="7.6006460748490348"/>
    <m/>
    <m/>
    <n v="2848.2"/>
    <n v="0"/>
    <n v="2679.2277413842849"/>
    <n v="0"/>
    <x v="1"/>
  </r>
  <r>
    <s v="Regular"/>
    <x v="0"/>
    <x v="1"/>
    <x v="1"/>
    <x v="0"/>
    <x v="1"/>
    <x v="2"/>
    <x v="1"/>
    <x v="2"/>
    <n v="3700"/>
    <n v="1850"/>
    <n v="0"/>
    <n v="0"/>
    <n v="0"/>
    <n v="0"/>
    <n v="0"/>
    <s v="GERAÇÃO"/>
    <n v="877"/>
    <n v="14"/>
    <n v="0"/>
    <n v="0"/>
    <n v="8.08"/>
    <n v="0"/>
    <n v="0"/>
    <n v="7.6006460748490348"/>
    <m/>
    <m/>
    <n v="14948"/>
    <n v="0"/>
    <n v="14061.195238470715"/>
    <n v="0"/>
    <x v="1"/>
  </r>
  <r>
    <s v="Regular"/>
    <x v="0"/>
    <x v="1"/>
    <x v="1"/>
    <x v="0"/>
    <x v="1"/>
    <x v="3"/>
    <x v="1"/>
    <x v="2"/>
    <n v="880"/>
    <n v="440"/>
    <n v="0"/>
    <n v="0"/>
    <n v="0"/>
    <n v="0"/>
    <n v="0"/>
    <s v="GERAÇÃO"/>
    <n v="2317"/>
    <n v="14"/>
    <n v="0"/>
    <n v="0"/>
    <n v="8.08"/>
    <n v="0"/>
    <n v="0"/>
    <n v="7.6006460748490348"/>
    <m/>
    <m/>
    <n v="3555.2"/>
    <n v="0"/>
    <n v="3344.2842729335753"/>
    <n v="0"/>
    <x v="1"/>
  </r>
  <r>
    <s v="Regular"/>
    <x v="0"/>
    <x v="1"/>
    <x v="1"/>
    <x v="0"/>
    <x v="1"/>
    <x v="4"/>
    <x v="1"/>
    <x v="2"/>
    <n v="780"/>
    <n v="390"/>
    <n v="0"/>
    <n v="0"/>
    <n v="0"/>
    <n v="0"/>
    <n v="0"/>
    <s v="GERAÇÃO"/>
    <n v="28915"/>
    <n v="14"/>
    <n v="0"/>
    <n v="0"/>
    <n v="8.08"/>
    <n v="0"/>
    <n v="0"/>
    <n v="7.6006460748490348"/>
    <m/>
    <m/>
    <n v="3151.2"/>
    <n v="0"/>
    <n v="2964.2519691911234"/>
    <n v="0"/>
    <x v="1"/>
  </r>
  <r>
    <s v="Regular"/>
    <x v="0"/>
    <x v="1"/>
    <x v="1"/>
    <x v="0"/>
    <x v="1"/>
    <x v="5"/>
    <x v="1"/>
    <x v="2"/>
    <n v="1280"/>
    <n v="640"/>
    <n v="0"/>
    <n v="0"/>
    <n v="0"/>
    <n v="0"/>
    <n v="0"/>
    <s v="GERAÇÃO"/>
    <n v="31695"/>
    <n v="14"/>
    <n v="0"/>
    <n v="0"/>
    <n v="8.08"/>
    <n v="0"/>
    <n v="0"/>
    <n v="7.6006460748490348"/>
    <m/>
    <m/>
    <n v="5171.2"/>
    <n v="0"/>
    <n v="4864.4134879033827"/>
    <n v="0"/>
    <x v="1"/>
  </r>
  <r>
    <s v="Regular"/>
    <x v="0"/>
    <x v="1"/>
    <x v="1"/>
    <x v="0"/>
    <x v="1"/>
    <x v="6"/>
    <x v="1"/>
    <x v="2"/>
    <n v="2425"/>
    <n v="1212.5"/>
    <n v="0"/>
    <n v="0"/>
    <n v="0"/>
    <n v="0"/>
    <n v="0"/>
    <s v="GERAÇÃO"/>
    <m/>
    <n v="14"/>
    <n v="0"/>
    <n v="0"/>
    <n v="8.08"/>
    <n v="0"/>
    <n v="0"/>
    <n v="7.6006460748490348"/>
    <m/>
    <m/>
    <n v="9797"/>
    <n v="0"/>
    <n v="9215.7833657544543"/>
    <n v="0"/>
    <x v="1"/>
  </r>
  <r>
    <s v="Regular"/>
    <x v="0"/>
    <x v="1"/>
    <x v="1"/>
    <x v="0"/>
    <x v="1"/>
    <x v="7"/>
    <x v="1"/>
    <x v="2"/>
    <n v="1100"/>
    <n v="550"/>
    <n v="0"/>
    <n v="0"/>
    <n v="0"/>
    <n v="0"/>
    <n v="0"/>
    <s v="GERAÇÃO"/>
    <m/>
    <n v="14"/>
    <n v="0"/>
    <n v="0"/>
    <n v="8.08"/>
    <n v="0"/>
    <n v="0"/>
    <n v="7.6006460748490348"/>
    <m/>
    <m/>
    <n v="4444"/>
    <n v="0"/>
    <n v="4180.3553411669691"/>
    <n v="0"/>
    <x v="1"/>
  </r>
  <r>
    <s v="Regular"/>
    <x v="0"/>
    <x v="1"/>
    <x v="1"/>
    <x v="0"/>
    <x v="1"/>
    <x v="1"/>
    <x v="1"/>
    <x v="3"/>
    <n v="705"/>
    <n v="352.5"/>
    <n v="0"/>
    <n v="0"/>
    <n v="0"/>
    <n v="0"/>
    <n v="0"/>
    <s v="GERAÇÃO"/>
    <n v="706"/>
    <n v="14"/>
    <n v="0"/>
    <n v="0"/>
    <n v="8.08"/>
    <n v="0"/>
    <n v="0"/>
    <n v="7.6006460748490348"/>
    <m/>
    <m/>
    <n v="2848.2"/>
    <n v="0"/>
    <n v="2679.2277413842849"/>
    <n v="0"/>
    <x v="1"/>
  </r>
  <r>
    <s v="Regular"/>
    <x v="0"/>
    <x v="1"/>
    <x v="1"/>
    <x v="0"/>
    <x v="1"/>
    <x v="2"/>
    <x v="1"/>
    <x v="3"/>
    <n v="3700"/>
    <n v="1850"/>
    <n v="0"/>
    <n v="0"/>
    <n v="0"/>
    <n v="0"/>
    <n v="0"/>
    <s v="GERAÇÃO"/>
    <n v="877"/>
    <n v="14"/>
    <n v="0"/>
    <n v="0"/>
    <n v="8.08"/>
    <n v="0"/>
    <n v="0"/>
    <n v="7.6006460748490348"/>
    <m/>
    <m/>
    <n v="14948"/>
    <n v="0"/>
    <n v="14061.195238470715"/>
    <n v="0"/>
    <x v="1"/>
  </r>
  <r>
    <s v="Regular"/>
    <x v="0"/>
    <x v="1"/>
    <x v="1"/>
    <x v="0"/>
    <x v="1"/>
    <x v="3"/>
    <x v="1"/>
    <x v="3"/>
    <n v="880"/>
    <n v="440"/>
    <n v="0"/>
    <n v="0"/>
    <n v="0"/>
    <n v="0"/>
    <n v="0"/>
    <s v="GERAÇÃO"/>
    <n v="2317"/>
    <n v="14"/>
    <n v="0"/>
    <n v="0"/>
    <n v="8.08"/>
    <n v="0"/>
    <n v="0"/>
    <n v="7.6006460748490348"/>
    <m/>
    <m/>
    <n v="3555.2"/>
    <n v="0"/>
    <n v="3344.2842729335753"/>
    <n v="0"/>
    <x v="1"/>
  </r>
  <r>
    <s v="Regular"/>
    <x v="0"/>
    <x v="1"/>
    <x v="1"/>
    <x v="0"/>
    <x v="1"/>
    <x v="4"/>
    <x v="1"/>
    <x v="3"/>
    <n v="780"/>
    <n v="390"/>
    <n v="0"/>
    <n v="0"/>
    <n v="0"/>
    <n v="0"/>
    <n v="0"/>
    <s v="GERAÇÃO"/>
    <n v="28915"/>
    <n v="14"/>
    <n v="0"/>
    <n v="0"/>
    <n v="8.08"/>
    <n v="0"/>
    <n v="0"/>
    <n v="7.6006460748490348"/>
    <m/>
    <m/>
    <n v="3151.2"/>
    <n v="0"/>
    <n v="2964.2519691911234"/>
    <n v="0"/>
    <x v="1"/>
  </r>
  <r>
    <s v="Regular"/>
    <x v="0"/>
    <x v="1"/>
    <x v="1"/>
    <x v="0"/>
    <x v="1"/>
    <x v="5"/>
    <x v="1"/>
    <x v="3"/>
    <n v="1280"/>
    <n v="640"/>
    <n v="0"/>
    <n v="0"/>
    <n v="0"/>
    <n v="0"/>
    <n v="0"/>
    <s v="GERAÇÃO"/>
    <n v="31695"/>
    <n v="14"/>
    <n v="0"/>
    <n v="0"/>
    <n v="8.08"/>
    <n v="0"/>
    <n v="0"/>
    <n v="7.6006460748490348"/>
    <m/>
    <m/>
    <n v="5171.2"/>
    <n v="0"/>
    <n v="4864.4134879033827"/>
    <n v="0"/>
    <x v="1"/>
  </r>
  <r>
    <s v="Regular"/>
    <x v="0"/>
    <x v="1"/>
    <x v="1"/>
    <x v="0"/>
    <x v="1"/>
    <x v="6"/>
    <x v="1"/>
    <x v="3"/>
    <n v="2425"/>
    <n v="1212.5"/>
    <n v="0"/>
    <n v="0"/>
    <n v="0"/>
    <n v="0"/>
    <n v="0"/>
    <s v="GERAÇÃO"/>
    <m/>
    <n v="14"/>
    <n v="0"/>
    <n v="0"/>
    <n v="8.08"/>
    <n v="0"/>
    <n v="0"/>
    <n v="7.6006460748490348"/>
    <m/>
    <m/>
    <n v="9797"/>
    <n v="0"/>
    <n v="9215.7833657544543"/>
    <n v="0"/>
    <x v="1"/>
  </r>
  <r>
    <s v="Regular"/>
    <x v="0"/>
    <x v="1"/>
    <x v="1"/>
    <x v="0"/>
    <x v="1"/>
    <x v="7"/>
    <x v="1"/>
    <x v="3"/>
    <n v="1100"/>
    <n v="550"/>
    <n v="0"/>
    <n v="0"/>
    <n v="0"/>
    <n v="0"/>
    <n v="0"/>
    <s v="GERAÇÃO"/>
    <m/>
    <n v="14"/>
    <n v="0"/>
    <n v="0"/>
    <n v="8.08"/>
    <n v="0"/>
    <n v="0"/>
    <n v="7.6006460748490348"/>
    <m/>
    <m/>
    <n v="4444"/>
    <n v="0"/>
    <n v="4180.3553411669691"/>
    <n v="0"/>
    <x v="1"/>
  </r>
  <r>
    <s v="Regular"/>
    <x v="0"/>
    <x v="1"/>
    <x v="1"/>
    <x v="0"/>
    <x v="1"/>
    <x v="1"/>
    <x v="1"/>
    <x v="4"/>
    <n v="705"/>
    <n v="352.5"/>
    <n v="0"/>
    <n v="0"/>
    <n v="0"/>
    <n v="0"/>
    <n v="0"/>
    <s v="GERAÇÃO"/>
    <n v="706"/>
    <n v="14"/>
    <n v="0"/>
    <n v="0"/>
    <n v="8.08"/>
    <n v="0"/>
    <n v="0"/>
    <n v="7.6006460748490348"/>
    <m/>
    <m/>
    <n v="2848.2"/>
    <n v="0"/>
    <n v="2679.2277413842849"/>
    <n v="0"/>
    <x v="1"/>
  </r>
  <r>
    <s v="Regular"/>
    <x v="0"/>
    <x v="1"/>
    <x v="1"/>
    <x v="0"/>
    <x v="1"/>
    <x v="2"/>
    <x v="1"/>
    <x v="4"/>
    <n v="3700"/>
    <n v="1850"/>
    <n v="0"/>
    <n v="0"/>
    <n v="0"/>
    <n v="0"/>
    <n v="0"/>
    <s v="GERAÇÃO"/>
    <n v="877"/>
    <n v="14"/>
    <n v="0"/>
    <n v="0"/>
    <n v="8.08"/>
    <n v="0"/>
    <n v="0"/>
    <n v="7.6006460748490348"/>
    <m/>
    <m/>
    <n v="14948"/>
    <n v="0"/>
    <n v="14061.195238470715"/>
    <n v="0"/>
    <x v="1"/>
  </r>
  <r>
    <s v="Regular"/>
    <x v="0"/>
    <x v="1"/>
    <x v="1"/>
    <x v="0"/>
    <x v="1"/>
    <x v="3"/>
    <x v="1"/>
    <x v="4"/>
    <n v="880"/>
    <n v="440"/>
    <n v="0"/>
    <n v="0"/>
    <n v="0"/>
    <n v="0"/>
    <n v="0"/>
    <s v="GERAÇÃO"/>
    <n v="2317"/>
    <n v="14"/>
    <n v="0"/>
    <n v="0"/>
    <n v="8.08"/>
    <n v="0"/>
    <n v="0"/>
    <n v="7.6006460748490348"/>
    <m/>
    <m/>
    <n v="3555.2"/>
    <n v="0"/>
    <n v="3344.2842729335753"/>
    <n v="0"/>
    <x v="1"/>
  </r>
  <r>
    <s v="Regular"/>
    <x v="0"/>
    <x v="1"/>
    <x v="1"/>
    <x v="0"/>
    <x v="1"/>
    <x v="4"/>
    <x v="1"/>
    <x v="4"/>
    <n v="780"/>
    <n v="390"/>
    <n v="0"/>
    <n v="0"/>
    <n v="0"/>
    <n v="0"/>
    <n v="0"/>
    <s v="GERAÇÃO"/>
    <n v="28915"/>
    <n v="14"/>
    <n v="0"/>
    <n v="0"/>
    <n v="8.08"/>
    <n v="0"/>
    <n v="0"/>
    <n v="7.6006460748490348"/>
    <m/>
    <m/>
    <n v="3151.2"/>
    <n v="0"/>
    <n v="2964.2519691911234"/>
    <n v="0"/>
    <x v="1"/>
  </r>
  <r>
    <s v="Regular"/>
    <x v="0"/>
    <x v="1"/>
    <x v="1"/>
    <x v="0"/>
    <x v="1"/>
    <x v="5"/>
    <x v="1"/>
    <x v="4"/>
    <n v="1280"/>
    <n v="640"/>
    <n v="0"/>
    <n v="0"/>
    <n v="0"/>
    <n v="0"/>
    <n v="0"/>
    <s v="GERAÇÃO"/>
    <n v="31695"/>
    <n v="14"/>
    <n v="0"/>
    <n v="0"/>
    <n v="8.08"/>
    <n v="0"/>
    <n v="0"/>
    <n v="7.6006460748490348"/>
    <m/>
    <m/>
    <n v="5171.2"/>
    <n v="0"/>
    <n v="4864.4134879033827"/>
    <n v="0"/>
    <x v="1"/>
  </r>
  <r>
    <s v="Regular"/>
    <x v="0"/>
    <x v="1"/>
    <x v="1"/>
    <x v="0"/>
    <x v="1"/>
    <x v="6"/>
    <x v="1"/>
    <x v="4"/>
    <n v="2425"/>
    <n v="1212.5"/>
    <n v="0"/>
    <n v="0"/>
    <n v="0"/>
    <n v="0"/>
    <n v="0"/>
    <s v="GERAÇÃO"/>
    <m/>
    <n v="14"/>
    <n v="0"/>
    <n v="0"/>
    <n v="8.08"/>
    <n v="0"/>
    <n v="0"/>
    <n v="7.6006460748490348"/>
    <m/>
    <m/>
    <n v="9797"/>
    <n v="0"/>
    <n v="9215.7833657544543"/>
    <n v="0"/>
    <x v="1"/>
  </r>
  <r>
    <s v="Regular"/>
    <x v="0"/>
    <x v="1"/>
    <x v="1"/>
    <x v="0"/>
    <x v="1"/>
    <x v="7"/>
    <x v="1"/>
    <x v="4"/>
    <n v="1100"/>
    <n v="550"/>
    <n v="0"/>
    <n v="0"/>
    <n v="0"/>
    <n v="0"/>
    <n v="0"/>
    <s v="GERAÇÃO"/>
    <m/>
    <n v="14"/>
    <n v="0"/>
    <n v="0"/>
    <n v="8.08"/>
    <n v="0"/>
    <n v="0"/>
    <n v="7.6006460748490348"/>
    <m/>
    <m/>
    <n v="4444"/>
    <n v="0"/>
    <n v="4180.3553411669691"/>
    <n v="0"/>
    <x v="1"/>
  </r>
  <r>
    <s v="PROJETADO"/>
    <x v="0"/>
    <x v="1"/>
    <x v="1"/>
    <x v="0"/>
    <x v="1"/>
    <x v="1"/>
    <x v="1"/>
    <x v="5"/>
    <n v="705"/>
    <n v="352.5"/>
    <n v="0"/>
    <n v="0"/>
    <n v="0"/>
    <n v="0"/>
    <n v="0"/>
    <s v="GERAÇÃO"/>
    <n v="706"/>
    <n v="14"/>
    <n v="0"/>
    <n v="0"/>
    <n v="8.08"/>
    <n v="0"/>
    <n v="0"/>
    <n v="7.6006460748490348"/>
    <m/>
    <m/>
    <n v="2848.2"/>
    <n v="0"/>
    <n v="2679.2277413842849"/>
    <n v="0"/>
    <x v="1"/>
  </r>
  <r>
    <s v="PROJETADO"/>
    <x v="0"/>
    <x v="1"/>
    <x v="1"/>
    <x v="0"/>
    <x v="1"/>
    <x v="2"/>
    <x v="1"/>
    <x v="5"/>
    <n v="3700"/>
    <n v="1850"/>
    <n v="0"/>
    <n v="0"/>
    <n v="0"/>
    <n v="0"/>
    <n v="0"/>
    <s v="GERAÇÃO"/>
    <n v="877"/>
    <n v="14"/>
    <n v="0"/>
    <n v="0"/>
    <n v="8.08"/>
    <n v="0"/>
    <n v="0"/>
    <n v="7.6006460748490348"/>
    <m/>
    <m/>
    <n v="14948"/>
    <n v="0"/>
    <n v="14061.195238470715"/>
    <n v="0"/>
    <x v="1"/>
  </r>
  <r>
    <s v="PROJETADO"/>
    <x v="0"/>
    <x v="1"/>
    <x v="1"/>
    <x v="0"/>
    <x v="1"/>
    <x v="3"/>
    <x v="1"/>
    <x v="5"/>
    <n v="880"/>
    <n v="440"/>
    <n v="0"/>
    <n v="0"/>
    <n v="0"/>
    <n v="0"/>
    <n v="0"/>
    <s v="GERAÇÃO"/>
    <n v="2317"/>
    <n v="14"/>
    <n v="0"/>
    <n v="0"/>
    <n v="8.08"/>
    <n v="0"/>
    <n v="0"/>
    <n v="7.6006460748490348"/>
    <m/>
    <m/>
    <n v="3555.2"/>
    <n v="0"/>
    <n v="3344.2842729335753"/>
    <n v="0"/>
    <x v="1"/>
  </r>
  <r>
    <s v="PROJETADO"/>
    <x v="0"/>
    <x v="1"/>
    <x v="1"/>
    <x v="0"/>
    <x v="1"/>
    <x v="4"/>
    <x v="1"/>
    <x v="5"/>
    <n v="780"/>
    <n v="390"/>
    <n v="0"/>
    <n v="0"/>
    <n v="0"/>
    <n v="0"/>
    <n v="0"/>
    <s v="GERAÇÃO"/>
    <n v="28915"/>
    <n v="14"/>
    <n v="0"/>
    <n v="0"/>
    <n v="8.08"/>
    <n v="0"/>
    <n v="0"/>
    <n v="7.6006460748490348"/>
    <m/>
    <m/>
    <n v="3151.2"/>
    <n v="0"/>
    <n v="2964.2519691911234"/>
    <n v="0"/>
    <x v="1"/>
  </r>
  <r>
    <s v="PROJETADO"/>
    <x v="0"/>
    <x v="1"/>
    <x v="1"/>
    <x v="0"/>
    <x v="1"/>
    <x v="5"/>
    <x v="1"/>
    <x v="5"/>
    <n v="1280"/>
    <n v="640"/>
    <n v="0"/>
    <n v="0"/>
    <n v="0"/>
    <n v="0"/>
    <n v="0"/>
    <s v="GERAÇÃO"/>
    <n v="31695"/>
    <n v="14"/>
    <n v="0"/>
    <n v="0"/>
    <n v="8.08"/>
    <n v="0"/>
    <n v="0"/>
    <n v="7.6006460748490348"/>
    <m/>
    <m/>
    <n v="5171.2"/>
    <n v="0"/>
    <n v="4864.4134879033827"/>
    <n v="0"/>
    <x v="1"/>
  </r>
  <r>
    <s v="PROJETADO"/>
    <x v="0"/>
    <x v="1"/>
    <x v="1"/>
    <x v="0"/>
    <x v="1"/>
    <x v="6"/>
    <x v="1"/>
    <x v="5"/>
    <n v="2425"/>
    <n v="1212.5"/>
    <n v="0"/>
    <n v="0"/>
    <n v="0"/>
    <n v="0"/>
    <n v="0"/>
    <s v="GERAÇÃO"/>
    <m/>
    <n v="14"/>
    <n v="0"/>
    <n v="0"/>
    <n v="8.08"/>
    <n v="0"/>
    <n v="0"/>
    <n v="7.6006460748490348"/>
    <m/>
    <m/>
    <n v="9797"/>
    <n v="0"/>
    <n v="9215.7833657544543"/>
    <n v="0"/>
    <x v="1"/>
  </r>
  <r>
    <s v="PROJETADO"/>
    <x v="0"/>
    <x v="1"/>
    <x v="1"/>
    <x v="0"/>
    <x v="1"/>
    <x v="7"/>
    <x v="1"/>
    <x v="5"/>
    <n v="1100"/>
    <n v="550"/>
    <n v="0"/>
    <n v="0"/>
    <n v="0"/>
    <n v="0"/>
    <n v="0"/>
    <s v="GERAÇÃO"/>
    <m/>
    <n v="14"/>
    <n v="0"/>
    <n v="0"/>
    <n v="8.08"/>
    <n v="0"/>
    <n v="0"/>
    <n v="7.6006460748490348"/>
    <m/>
    <m/>
    <n v="4444"/>
    <n v="0"/>
    <n v="4180.3553411669691"/>
    <n v="0"/>
    <x v="1"/>
  </r>
  <r>
    <s v="Regular"/>
    <x v="0"/>
    <x v="1"/>
    <x v="1"/>
    <x v="0"/>
    <x v="1"/>
    <x v="1"/>
    <x v="1"/>
    <x v="6"/>
    <n v="705"/>
    <n v="352.5"/>
    <n v="0"/>
    <n v="0"/>
    <n v="0"/>
    <n v="0"/>
    <n v="0"/>
    <s v="GERAÇÃO"/>
    <n v="706"/>
    <n v="14"/>
    <n v="0"/>
    <n v="0"/>
    <n v="8.08"/>
    <n v="0"/>
    <n v="0"/>
    <n v="7.6006460748490348"/>
    <m/>
    <m/>
    <n v="2848.2"/>
    <n v="0"/>
    <n v="2679.2277413842849"/>
    <n v="0"/>
    <x v="1"/>
  </r>
  <r>
    <s v="Regular"/>
    <x v="0"/>
    <x v="1"/>
    <x v="1"/>
    <x v="0"/>
    <x v="1"/>
    <x v="2"/>
    <x v="1"/>
    <x v="6"/>
    <n v="3700"/>
    <n v="1850"/>
    <n v="0"/>
    <n v="0"/>
    <n v="0"/>
    <n v="0"/>
    <n v="0"/>
    <s v="GERAÇÃO"/>
    <n v="877"/>
    <n v="14"/>
    <n v="0"/>
    <n v="0"/>
    <n v="8.08"/>
    <n v="0"/>
    <n v="0"/>
    <n v="7.6006460748490348"/>
    <m/>
    <m/>
    <n v="14948"/>
    <n v="0"/>
    <n v="14061.195238470715"/>
    <n v="0"/>
    <x v="1"/>
  </r>
  <r>
    <s v="Regular"/>
    <x v="0"/>
    <x v="1"/>
    <x v="1"/>
    <x v="0"/>
    <x v="1"/>
    <x v="3"/>
    <x v="1"/>
    <x v="6"/>
    <n v="880"/>
    <n v="440"/>
    <n v="0"/>
    <n v="0"/>
    <n v="0"/>
    <n v="0"/>
    <n v="0"/>
    <s v="GERAÇÃO"/>
    <n v="2317"/>
    <n v="14"/>
    <n v="0"/>
    <n v="0"/>
    <n v="8.08"/>
    <n v="0"/>
    <n v="0"/>
    <n v="7.6006460748490348"/>
    <m/>
    <m/>
    <n v="3555.2"/>
    <n v="0"/>
    <n v="3344.2842729335753"/>
    <n v="0"/>
    <x v="1"/>
  </r>
  <r>
    <s v="Regular"/>
    <x v="0"/>
    <x v="1"/>
    <x v="1"/>
    <x v="0"/>
    <x v="1"/>
    <x v="4"/>
    <x v="1"/>
    <x v="6"/>
    <n v="780"/>
    <n v="390"/>
    <n v="0"/>
    <n v="0"/>
    <n v="0"/>
    <n v="0"/>
    <n v="0"/>
    <s v="GERAÇÃO"/>
    <n v="28915"/>
    <n v="14"/>
    <n v="0"/>
    <n v="0"/>
    <n v="8.08"/>
    <n v="0"/>
    <n v="0"/>
    <n v="7.6006460748490348"/>
    <m/>
    <m/>
    <n v="3151.2"/>
    <n v="0"/>
    <n v="2964.2519691911234"/>
    <n v="0"/>
    <x v="1"/>
  </r>
  <r>
    <s v="Regular"/>
    <x v="0"/>
    <x v="1"/>
    <x v="1"/>
    <x v="0"/>
    <x v="1"/>
    <x v="5"/>
    <x v="1"/>
    <x v="6"/>
    <n v="1280"/>
    <n v="640"/>
    <n v="0"/>
    <n v="0"/>
    <n v="0"/>
    <n v="0"/>
    <n v="0"/>
    <s v="GERAÇÃO"/>
    <n v="31695"/>
    <n v="14"/>
    <n v="0"/>
    <n v="0"/>
    <n v="8.08"/>
    <n v="0"/>
    <n v="0"/>
    <n v="7.6006460748490348"/>
    <m/>
    <m/>
    <n v="5171.2"/>
    <n v="0"/>
    <n v="4864.4134879033827"/>
    <n v="0"/>
    <x v="1"/>
  </r>
  <r>
    <s v="Regular"/>
    <x v="0"/>
    <x v="1"/>
    <x v="1"/>
    <x v="0"/>
    <x v="1"/>
    <x v="6"/>
    <x v="1"/>
    <x v="6"/>
    <n v="2425"/>
    <n v="1212.5"/>
    <n v="0"/>
    <n v="0"/>
    <n v="0"/>
    <n v="0"/>
    <n v="0"/>
    <s v="GERAÇÃO"/>
    <m/>
    <n v="14"/>
    <n v="0"/>
    <n v="0"/>
    <n v="8.08"/>
    <n v="0"/>
    <n v="0"/>
    <n v="7.6006460748490348"/>
    <m/>
    <m/>
    <n v="9797"/>
    <n v="0"/>
    <n v="9215.7833657544543"/>
    <n v="0"/>
    <x v="1"/>
  </r>
  <r>
    <s v="Regular"/>
    <x v="0"/>
    <x v="1"/>
    <x v="1"/>
    <x v="0"/>
    <x v="1"/>
    <x v="7"/>
    <x v="1"/>
    <x v="6"/>
    <n v="1100"/>
    <n v="550"/>
    <n v="0"/>
    <n v="0"/>
    <n v="0"/>
    <n v="0"/>
    <n v="0"/>
    <s v="GERAÇÃO"/>
    <m/>
    <n v="14"/>
    <n v="0"/>
    <n v="0"/>
    <n v="8.08"/>
    <n v="0"/>
    <n v="0"/>
    <n v="7.6006460748490348"/>
    <m/>
    <m/>
    <n v="4444"/>
    <n v="0"/>
    <n v="4180.3553411669691"/>
    <n v="0"/>
    <x v="1"/>
  </r>
  <r>
    <s v="Regular"/>
    <x v="0"/>
    <x v="1"/>
    <x v="1"/>
    <x v="0"/>
    <x v="1"/>
    <x v="1"/>
    <x v="1"/>
    <x v="7"/>
    <n v="705"/>
    <n v="352.5"/>
    <n v="0"/>
    <n v="0"/>
    <n v="0"/>
    <n v="0"/>
    <n v="0"/>
    <s v="GERAÇÃO"/>
    <n v="706"/>
    <n v="14"/>
    <n v="0"/>
    <n v="0"/>
    <n v="8.08"/>
    <n v="0"/>
    <n v="0"/>
    <n v="7.6006460748490348"/>
    <m/>
    <m/>
    <n v="2848.2"/>
    <n v="0"/>
    <n v="2679.2277413842849"/>
    <n v="0"/>
    <x v="1"/>
  </r>
  <r>
    <s v="Regular"/>
    <x v="0"/>
    <x v="1"/>
    <x v="1"/>
    <x v="0"/>
    <x v="1"/>
    <x v="2"/>
    <x v="1"/>
    <x v="7"/>
    <n v="3700"/>
    <n v="1850"/>
    <n v="0"/>
    <n v="0"/>
    <n v="0"/>
    <n v="0"/>
    <n v="0"/>
    <s v="GERAÇÃO"/>
    <n v="877"/>
    <n v="14"/>
    <n v="0"/>
    <n v="0"/>
    <n v="8.08"/>
    <n v="0"/>
    <n v="0"/>
    <n v="7.6006460748490348"/>
    <m/>
    <m/>
    <n v="14948"/>
    <n v="0"/>
    <n v="14061.195238470715"/>
    <n v="0"/>
    <x v="1"/>
  </r>
  <r>
    <s v="Regular"/>
    <x v="0"/>
    <x v="1"/>
    <x v="1"/>
    <x v="0"/>
    <x v="1"/>
    <x v="3"/>
    <x v="1"/>
    <x v="7"/>
    <n v="880"/>
    <n v="440"/>
    <n v="0"/>
    <n v="0"/>
    <n v="0"/>
    <n v="0"/>
    <n v="0"/>
    <s v="GERAÇÃO"/>
    <n v="2317"/>
    <n v="14"/>
    <n v="0"/>
    <n v="0"/>
    <n v="8.08"/>
    <n v="0"/>
    <n v="0"/>
    <n v="7.6006460748490348"/>
    <m/>
    <m/>
    <n v="3555.2"/>
    <n v="0"/>
    <n v="3344.2842729335753"/>
    <n v="0"/>
    <x v="1"/>
  </r>
  <r>
    <s v="Regular"/>
    <x v="0"/>
    <x v="1"/>
    <x v="1"/>
    <x v="0"/>
    <x v="1"/>
    <x v="4"/>
    <x v="1"/>
    <x v="7"/>
    <n v="780"/>
    <n v="390"/>
    <n v="0"/>
    <n v="0"/>
    <n v="0"/>
    <n v="0"/>
    <n v="0"/>
    <s v="GERAÇÃO"/>
    <n v="28915"/>
    <n v="14"/>
    <n v="0"/>
    <n v="0"/>
    <n v="8.08"/>
    <n v="0"/>
    <n v="0"/>
    <n v="7.6006460748490348"/>
    <m/>
    <m/>
    <n v="3151.2"/>
    <n v="0"/>
    <n v="2964.2519691911234"/>
    <n v="0"/>
    <x v="1"/>
  </r>
  <r>
    <s v="Regular"/>
    <x v="0"/>
    <x v="1"/>
    <x v="1"/>
    <x v="0"/>
    <x v="1"/>
    <x v="5"/>
    <x v="1"/>
    <x v="7"/>
    <n v="1280"/>
    <n v="640"/>
    <n v="0"/>
    <n v="0"/>
    <n v="0"/>
    <n v="0"/>
    <n v="0"/>
    <s v="GERAÇÃO"/>
    <n v="31695"/>
    <n v="14"/>
    <n v="0"/>
    <n v="0"/>
    <n v="8.08"/>
    <n v="0"/>
    <n v="0"/>
    <n v="7.6006460748490348"/>
    <m/>
    <m/>
    <n v="5171.2"/>
    <n v="0"/>
    <n v="4864.4134879033827"/>
    <n v="0"/>
    <x v="1"/>
  </r>
  <r>
    <s v="Regular"/>
    <x v="0"/>
    <x v="1"/>
    <x v="1"/>
    <x v="0"/>
    <x v="1"/>
    <x v="6"/>
    <x v="1"/>
    <x v="7"/>
    <n v="2425"/>
    <n v="1212.5"/>
    <n v="0"/>
    <n v="0"/>
    <n v="0"/>
    <n v="0"/>
    <n v="0"/>
    <s v="GERAÇÃO"/>
    <m/>
    <n v="14"/>
    <n v="0"/>
    <n v="0"/>
    <n v="8.08"/>
    <n v="0"/>
    <n v="0"/>
    <n v="7.6006460748490348"/>
    <m/>
    <m/>
    <n v="9797"/>
    <n v="0"/>
    <n v="9215.7833657544543"/>
    <n v="0"/>
    <x v="1"/>
  </r>
  <r>
    <s v="Regular"/>
    <x v="0"/>
    <x v="1"/>
    <x v="1"/>
    <x v="0"/>
    <x v="1"/>
    <x v="7"/>
    <x v="1"/>
    <x v="7"/>
    <n v="1100"/>
    <n v="550"/>
    <n v="0"/>
    <n v="0"/>
    <n v="0"/>
    <n v="0"/>
    <n v="0"/>
    <s v="GERAÇÃO"/>
    <m/>
    <n v="14"/>
    <n v="0"/>
    <n v="0"/>
    <n v="8.08"/>
    <n v="0"/>
    <n v="0"/>
    <n v="7.6006460748490348"/>
    <m/>
    <m/>
    <n v="4444"/>
    <n v="0"/>
    <n v="4180.3553411669691"/>
    <n v="0"/>
    <x v="1"/>
  </r>
  <r>
    <s v="Regular"/>
    <x v="0"/>
    <x v="1"/>
    <x v="1"/>
    <x v="0"/>
    <x v="1"/>
    <x v="1"/>
    <x v="1"/>
    <x v="8"/>
    <n v="705"/>
    <n v="352.5"/>
    <n v="0"/>
    <n v="0"/>
    <n v="0"/>
    <n v="0"/>
    <n v="0"/>
    <s v="GERAÇÃO"/>
    <n v="706"/>
    <n v="14"/>
    <n v="0"/>
    <n v="0"/>
    <n v="8.08"/>
    <n v="0"/>
    <n v="0"/>
    <n v="7.6006460748490348"/>
    <m/>
    <m/>
    <n v="2848.2"/>
    <n v="0"/>
    <n v="2679.2277413842849"/>
    <n v="0"/>
    <x v="1"/>
  </r>
  <r>
    <s v="Regular"/>
    <x v="0"/>
    <x v="1"/>
    <x v="1"/>
    <x v="0"/>
    <x v="1"/>
    <x v="2"/>
    <x v="1"/>
    <x v="8"/>
    <n v="3700"/>
    <n v="1850"/>
    <n v="0"/>
    <n v="0"/>
    <n v="0"/>
    <n v="0"/>
    <n v="0"/>
    <s v="GERAÇÃO"/>
    <n v="877"/>
    <n v="14"/>
    <n v="0"/>
    <n v="0"/>
    <n v="8.08"/>
    <n v="0"/>
    <n v="0"/>
    <n v="7.6006460748490348"/>
    <m/>
    <m/>
    <n v="14948"/>
    <n v="0"/>
    <n v="14061.195238470715"/>
    <n v="0"/>
    <x v="1"/>
  </r>
  <r>
    <s v="Regular"/>
    <x v="0"/>
    <x v="1"/>
    <x v="1"/>
    <x v="0"/>
    <x v="1"/>
    <x v="3"/>
    <x v="1"/>
    <x v="8"/>
    <n v="880"/>
    <n v="440"/>
    <n v="0"/>
    <n v="0"/>
    <n v="0"/>
    <n v="0"/>
    <n v="0"/>
    <s v="GERAÇÃO"/>
    <n v="2317"/>
    <n v="14"/>
    <n v="0"/>
    <n v="0"/>
    <n v="8.08"/>
    <n v="0"/>
    <n v="0"/>
    <n v="7.6006460748490348"/>
    <m/>
    <m/>
    <n v="3555.2"/>
    <n v="0"/>
    <n v="3344.2842729335753"/>
    <n v="0"/>
    <x v="1"/>
  </r>
  <r>
    <s v="Regular"/>
    <x v="0"/>
    <x v="1"/>
    <x v="1"/>
    <x v="0"/>
    <x v="1"/>
    <x v="4"/>
    <x v="1"/>
    <x v="8"/>
    <n v="780"/>
    <n v="390"/>
    <n v="0"/>
    <n v="0"/>
    <n v="0"/>
    <n v="0"/>
    <n v="0"/>
    <s v="GERAÇÃO"/>
    <n v="28915"/>
    <n v="14"/>
    <n v="0"/>
    <n v="0"/>
    <n v="8.08"/>
    <n v="0"/>
    <n v="0"/>
    <n v="7.6006460748490348"/>
    <m/>
    <m/>
    <n v="3151.2"/>
    <n v="0"/>
    <n v="2964.2519691911234"/>
    <n v="0"/>
    <x v="1"/>
  </r>
  <r>
    <s v="Regular"/>
    <x v="0"/>
    <x v="1"/>
    <x v="1"/>
    <x v="0"/>
    <x v="1"/>
    <x v="5"/>
    <x v="1"/>
    <x v="8"/>
    <n v="1280"/>
    <n v="640"/>
    <n v="0"/>
    <n v="0"/>
    <n v="0"/>
    <n v="0"/>
    <n v="0"/>
    <s v="GERAÇÃO"/>
    <n v="31695"/>
    <n v="14"/>
    <n v="0"/>
    <n v="0"/>
    <n v="8.08"/>
    <n v="0"/>
    <n v="0"/>
    <n v="7.6006460748490348"/>
    <m/>
    <m/>
    <n v="5171.2"/>
    <n v="0"/>
    <n v="4864.4134879033827"/>
    <n v="0"/>
    <x v="1"/>
  </r>
  <r>
    <s v="Regular"/>
    <x v="0"/>
    <x v="1"/>
    <x v="1"/>
    <x v="0"/>
    <x v="1"/>
    <x v="6"/>
    <x v="1"/>
    <x v="8"/>
    <n v="2425"/>
    <n v="1212.5"/>
    <n v="0"/>
    <n v="0"/>
    <n v="0"/>
    <n v="0"/>
    <n v="0"/>
    <s v="GERAÇÃO"/>
    <m/>
    <n v="14"/>
    <n v="0"/>
    <n v="0"/>
    <n v="8.08"/>
    <n v="0"/>
    <n v="0"/>
    <n v="7.6006460748490348"/>
    <m/>
    <m/>
    <n v="9797"/>
    <n v="0"/>
    <n v="9215.7833657544543"/>
    <n v="0"/>
    <x v="1"/>
  </r>
  <r>
    <s v="Regular"/>
    <x v="0"/>
    <x v="1"/>
    <x v="1"/>
    <x v="0"/>
    <x v="1"/>
    <x v="7"/>
    <x v="1"/>
    <x v="8"/>
    <n v="1100"/>
    <n v="550"/>
    <n v="0"/>
    <n v="0"/>
    <n v="0"/>
    <n v="0"/>
    <n v="0"/>
    <s v="GERAÇÃO"/>
    <m/>
    <n v="14"/>
    <n v="0"/>
    <n v="0"/>
    <n v="8.08"/>
    <n v="0"/>
    <n v="0"/>
    <n v="7.6006460748490348"/>
    <m/>
    <m/>
    <n v="4444"/>
    <n v="0"/>
    <n v="4180.3553411669691"/>
    <n v="0"/>
    <x v="1"/>
  </r>
  <r>
    <s v="PROJETADO"/>
    <x v="0"/>
    <x v="1"/>
    <x v="1"/>
    <x v="0"/>
    <x v="1"/>
    <x v="1"/>
    <x v="1"/>
    <x v="9"/>
    <n v="705"/>
    <n v="352.5"/>
    <n v="0"/>
    <n v="0"/>
    <n v="0"/>
    <n v="0"/>
    <n v="0"/>
    <s v="GERAÇÃO"/>
    <n v="706"/>
    <n v="14"/>
    <n v="0"/>
    <n v="0"/>
    <n v="8.08"/>
    <n v="0"/>
    <n v="0"/>
    <n v="7.6006460748490348"/>
    <m/>
    <m/>
    <n v="2848.2"/>
    <n v="0"/>
    <n v="2679.2277413842849"/>
    <n v="0"/>
    <x v="1"/>
  </r>
  <r>
    <s v="PROJETADO"/>
    <x v="0"/>
    <x v="1"/>
    <x v="1"/>
    <x v="0"/>
    <x v="1"/>
    <x v="2"/>
    <x v="1"/>
    <x v="9"/>
    <n v="3700"/>
    <n v="1850"/>
    <n v="0"/>
    <n v="0"/>
    <n v="0"/>
    <n v="0"/>
    <n v="0"/>
    <s v="GERAÇÃO"/>
    <n v="877"/>
    <n v="14"/>
    <n v="0"/>
    <n v="0"/>
    <n v="8.08"/>
    <n v="0"/>
    <n v="0"/>
    <n v="7.6006460748490348"/>
    <m/>
    <m/>
    <n v="14948"/>
    <n v="0"/>
    <n v="14061.195238470715"/>
    <n v="0"/>
    <x v="1"/>
  </r>
  <r>
    <s v="PROJETADO"/>
    <x v="0"/>
    <x v="1"/>
    <x v="1"/>
    <x v="0"/>
    <x v="1"/>
    <x v="3"/>
    <x v="1"/>
    <x v="9"/>
    <n v="880"/>
    <n v="440"/>
    <n v="0"/>
    <n v="0"/>
    <n v="0"/>
    <n v="0"/>
    <n v="0"/>
    <s v="GERAÇÃO"/>
    <n v="2317"/>
    <n v="14"/>
    <n v="0"/>
    <n v="0"/>
    <n v="8.08"/>
    <n v="0"/>
    <n v="0"/>
    <n v="7.6006460748490348"/>
    <m/>
    <m/>
    <n v="3555.2"/>
    <n v="0"/>
    <n v="3344.2842729335753"/>
    <n v="0"/>
    <x v="1"/>
  </r>
  <r>
    <s v="PROJETADO"/>
    <x v="0"/>
    <x v="1"/>
    <x v="1"/>
    <x v="0"/>
    <x v="1"/>
    <x v="4"/>
    <x v="1"/>
    <x v="9"/>
    <n v="780"/>
    <n v="390"/>
    <n v="0"/>
    <n v="0"/>
    <n v="0"/>
    <n v="0"/>
    <n v="0"/>
    <s v="GERAÇÃO"/>
    <n v="28915"/>
    <n v="14"/>
    <n v="0"/>
    <n v="0"/>
    <n v="8.08"/>
    <n v="0"/>
    <n v="0"/>
    <n v="7.6006460748490348"/>
    <m/>
    <m/>
    <n v="3151.2"/>
    <n v="0"/>
    <n v="2964.2519691911234"/>
    <n v="0"/>
    <x v="1"/>
  </r>
  <r>
    <s v="PROJETADO"/>
    <x v="0"/>
    <x v="1"/>
    <x v="1"/>
    <x v="0"/>
    <x v="1"/>
    <x v="5"/>
    <x v="1"/>
    <x v="9"/>
    <n v="1280"/>
    <n v="640"/>
    <n v="0"/>
    <n v="0"/>
    <n v="0"/>
    <n v="0"/>
    <n v="0"/>
    <s v="GERAÇÃO"/>
    <n v="31695"/>
    <n v="14"/>
    <n v="0"/>
    <n v="0"/>
    <n v="8.08"/>
    <n v="0"/>
    <n v="0"/>
    <n v="7.6006460748490348"/>
    <m/>
    <m/>
    <n v="5171.2"/>
    <n v="0"/>
    <n v="4864.4134879033827"/>
    <n v="0"/>
    <x v="1"/>
  </r>
  <r>
    <s v="PROJETADO"/>
    <x v="0"/>
    <x v="1"/>
    <x v="1"/>
    <x v="0"/>
    <x v="1"/>
    <x v="6"/>
    <x v="1"/>
    <x v="9"/>
    <n v="2425"/>
    <n v="1212.5"/>
    <n v="0"/>
    <n v="0"/>
    <n v="0"/>
    <n v="0"/>
    <n v="0"/>
    <s v="GERAÇÃO"/>
    <m/>
    <n v="14"/>
    <n v="0"/>
    <n v="0"/>
    <n v="8.08"/>
    <n v="0"/>
    <n v="0"/>
    <n v="7.6006460748490348"/>
    <m/>
    <m/>
    <n v="9797"/>
    <n v="0"/>
    <n v="9215.7833657544543"/>
    <n v="0"/>
    <x v="1"/>
  </r>
  <r>
    <s v="PROJETADO"/>
    <x v="0"/>
    <x v="1"/>
    <x v="1"/>
    <x v="0"/>
    <x v="1"/>
    <x v="7"/>
    <x v="1"/>
    <x v="9"/>
    <n v="1100"/>
    <n v="550"/>
    <n v="0"/>
    <n v="0"/>
    <n v="0"/>
    <n v="0"/>
    <n v="0"/>
    <s v="GERAÇÃO"/>
    <m/>
    <n v="14"/>
    <n v="0"/>
    <n v="0"/>
    <n v="8.08"/>
    <n v="0"/>
    <n v="0"/>
    <n v="7.6006460748490348"/>
    <m/>
    <m/>
    <n v="4444"/>
    <n v="0"/>
    <n v="4180.3553411669691"/>
    <n v="0"/>
    <x v="1"/>
  </r>
  <r>
    <s v="Regular"/>
    <x v="0"/>
    <x v="1"/>
    <x v="1"/>
    <x v="0"/>
    <x v="1"/>
    <x v="1"/>
    <x v="1"/>
    <x v="10"/>
    <n v="705"/>
    <n v="352.5"/>
    <n v="0"/>
    <n v="0"/>
    <n v="0"/>
    <n v="0"/>
    <n v="0"/>
    <s v="GERAÇÃO"/>
    <n v="706"/>
    <n v="14"/>
    <n v="0"/>
    <n v="0"/>
    <n v="8.08"/>
    <n v="0"/>
    <n v="0"/>
    <n v="7.6006460748490348"/>
    <m/>
    <m/>
    <n v="2848.2"/>
    <n v="0"/>
    <n v="2679.2277413842849"/>
    <n v="0"/>
    <x v="1"/>
  </r>
  <r>
    <s v="Regular"/>
    <x v="0"/>
    <x v="1"/>
    <x v="1"/>
    <x v="0"/>
    <x v="1"/>
    <x v="2"/>
    <x v="1"/>
    <x v="10"/>
    <n v="3700"/>
    <n v="1850"/>
    <n v="0"/>
    <n v="0"/>
    <n v="0"/>
    <n v="0"/>
    <n v="0"/>
    <s v="GERAÇÃO"/>
    <n v="877"/>
    <n v="14"/>
    <n v="0"/>
    <n v="0"/>
    <n v="8.08"/>
    <n v="0"/>
    <n v="0"/>
    <n v="7.6006460748490348"/>
    <m/>
    <m/>
    <n v="14948"/>
    <n v="0"/>
    <n v="14061.195238470715"/>
    <n v="0"/>
    <x v="1"/>
  </r>
  <r>
    <s v="Regular"/>
    <x v="0"/>
    <x v="1"/>
    <x v="1"/>
    <x v="0"/>
    <x v="1"/>
    <x v="3"/>
    <x v="1"/>
    <x v="10"/>
    <n v="880"/>
    <n v="440"/>
    <n v="0"/>
    <n v="0"/>
    <n v="0"/>
    <n v="0"/>
    <n v="0"/>
    <s v="GERAÇÃO"/>
    <n v="2317"/>
    <n v="14"/>
    <n v="0"/>
    <n v="0"/>
    <n v="8.08"/>
    <n v="0"/>
    <n v="0"/>
    <n v="7.6006460748490348"/>
    <m/>
    <m/>
    <n v="3555.2"/>
    <n v="0"/>
    <n v="3344.2842729335753"/>
    <n v="0"/>
    <x v="1"/>
  </r>
  <r>
    <s v="Regular"/>
    <x v="0"/>
    <x v="1"/>
    <x v="1"/>
    <x v="0"/>
    <x v="1"/>
    <x v="4"/>
    <x v="1"/>
    <x v="10"/>
    <n v="780"/>
    <n v="390"/>
    <n v="0"/>
    <n v="0"/>
    <n v="0"/>
    <n v="0"/>
    <n v="0"/>
    <s v="GERAÇÃO"/>
    <n v="28915"/>
    <n v="14"/>
    <n v="0"/>
    <n v="0"/>
    <n v="8.08"/>
    <n v="0"/>
    <n v="0"/>
    <n v="7.6006460748490348"/>
    <m/>
    <m/>
    <n v="3151.2"/>
    <n v="0"/>
    <n v="2964.2519691911234"/>
    <n v="0"/>
    <x v="1"/>
  </r>
  <r>
    <s v="Regular"/>
    <x v="0"/>
    <x v="1"/>
    <x v="1"/>
    <x v="0"/>
    <x v="1"/>
    <x v="5"/>
    <x v="1"/>
    <x v="10"/>
    <n v="1280"/>
    <n v="640"/>
    <n v="0"/>
    <n v="0"/>
    <n v="0"/>
    <n v="0"/>
    <n v="0"/>
    <s v="GERAÇÃO"/>
    <n v="31695"/>
    <n v="14"/>
    <n v="0"/>
    <n v="0"/>
    <n v="8.08"/>
    <n v="0"/>
    <n v="0"/>
    <n v="7.6006460748490348"/>
    <m/>
    <m/>
    <n v="5171.2"/>
    <n v="0"/>
    <n v="4864.4134879033827"/>
    <n v="0"/>
    <x v="1"/>
  </r>
  <r>
    <s v="Regular"/>
    <x v="0"/>
    <x v="1"/>
    <x v="1"/>
    <x v="0"/>
    <x v="1"/>
    <x v="6"/>
    <x v="1"/>
    <x v="10"/>
    <n v="2425"/>
    <n v="1212.5"/>
    <n v="0"/>
    <n v="0"/>
    <n v="0"/>
    <n v="0"/>
    <n v="0"/>
    <s v="GERAÇÃO"/>
    <m/>
    <n v="14"/>
    <n v="0"/>
    <n v="0"/>
    <n v="8.08"/>
    <n v="0"/>
    <n v="0"/>
    <n v="7.6006460748490348"/>
    <m/>
    <m/>
    <n v="9797"/>
    <n v="0"/>
    <n v="9215.7833657544543"/>
    <n v="0"/>
    <x v="1"/>
  </r>
  <r>
    <s v="Regular"/>
    <x v="0"/>
    <x v="1"/>
    <x v="1"/>
    <x v="0"/>
    <x v="1"/>
    <x v="7"/>
    <x v="1"/>
    <x v="10"/>
    <n v="1100"/>
    <n v="550"/>
    <n v="0"/>
    <n v="0"/>
    <n v="0"/>
    <n v="0"/>
    <n v="0"/>
    <s v="GERAÇÃO"/>
    <m/>
    <n v="14"/>
    <n v="0"/>
    <n v="0"/>
    <n v="8.08"/>
    <n v="0"/>
    <n v="0"/>
    <n v="7.6006460748490348"/>
    <m/>
    <m/>
    <n v="4444"/>
    <n v="0"/>
    <n v="4180.3553411669691"/>
    <n v="0"/>
    <x v="1"/>
  </r>
  <r>
    <s v="Regular"/>
    <x v="0"/>
    <x v="1"/>
    <x v="1"/>
    <x v="0"/>
    <x v="1"/>
    <x v="1"/>
    <x v="1"/>
    <x v="11"/>
    <n v="880"/>
    <n v="440"/>
    <n v="0"/>
    <n v="0"/>
    <n v="0"/>
    <n v="0"/>
    <n v="0"/>
    <s v="GERAÇÃO"/>
    <n v="706"/>
    <n v="14"/>
    <n v="0"/>
    <n v="0"/>
    <n v="8.08"/>
    <n v="0"/>
    <n v="0"/>
    <n v="7.6006460748490348"/>
    <m/>
    <m/>
    <n v="3555.2"/>
    <n v="0"/>
    <n v="3344.2842729335753"/>
    <n v="0"/>
    <x v="1"/>
  </r>
  <r>
    <s v="Regular"/>
    <x v="0"/>
    <x v="1"/>
    <x v="1"/>
    <x v="0"/>
    <x v="1"/>
    <x v="2"/>
    <x v="1"/>
    <x v="11"/>
    <n v="3700"/>
    <n v="1850"/>
    <n v="0"/>
    <n v="0"/>
    <n v="0"/>
    <n v="0"/>
    <n v="0"/>
    <s v="GERAÇÃO"/>
    <n v="877"/>
    <n v="14"/>
    <n v="0"/>
    <n v="0"/>
    <n v="8.08"/>
    <n v="0"/>
    <n v="0"/>
    <n v="7.6006460748490348"/>
    <m/>
    <m/>
    <n v="14948"/>
    <n v="0"/>
    <n v="14061.195238470715"/>
    <n v="0"/>
    <x v="1"/>
  </r>
  <r>
    <s v="Regular"/>
    <x v="0"/>
    <x v="1"/>
    <x v="1"/>
    <x v="0"/>
    <x v="1"/>
    <x v="3"/>
    <x v="1"/>
    <x v="11"/>
    <n v="880"/>
    <n v="440"/>
    <n v="0"/>
    <n v="0"/>
    <n v="0"/>
    <n v="0"/>
    <n v="0"/>
    <s v="GERAÇÃO"/>
    <n v="2317"/>
    <n v="14"/>
    <n v="0"/>
    <n v="0"/>
    <n v="8.08"/>
    <n v="0"/>
    <n v="0"/>
    <n v="7.6006460748490348"/>
    <m/>
    <m/>
    <n v="3555.2"/>
    <n v="0"/>
    <n v="3344.2842729335753"/>
    <n v="0"/>
    <x v="1"/>
  </r>
  <r>
    <s v="Regular"/>
    <x v="0"/>
    <x v="1"/>
    <x v="1"/>
    <x v="0"/>
    <x v="1"/>
    <x v="4"/>
    <x v="1"/>
    <x v="11"/>
    <n v="780"/>
    <n v="390"/>
    <n v="0"/>
    <n v="0"/>
    <n v="0"/>
    <n v="0"/>
    <n v="0"/>
    <s v="GERAÇÃO"/>
    <n v="28915"/>
    <n v="14"/>
    <n v="0"/>
    <n v="0"/>
    <n v="8.08"/>
    <n v="0"/>
    <n v="0"/>
    <n v="7.6006460748490348"/>
    <m/>
    <m/>
    <n v="3151.2"/>
    <n v="0"/>
    <n v="2964.2519691911234"/>
    <n v="0"/>
    <x v="1"/>
  </r>
  <r>
    <s v="Regular"/>
    <x v="0"/>
    <x v="1"/>
    <x v="1"/>
    <x v="0"/>
    <x v="1"/>
    <x v="5"/>
    <x v="1"/>
    <x v="11"/>
    <n v="1280"/>
    <n v="640"/>
    <n v="0"/>
    <n v="0"/>
    <n v="0"/>
    <n v="0"/>
    <n v="0"/>
    <s v="GERAÇÃO"/>
    <n v="31695"/>
    <n v="14"/>
    <n v="0"/>
    <n v="0"/>
    <n v="8.08"/>
    <n v="0"/>
    <n v="0"/>
    <n v="7.6006460748490348"/>
    <m/>
    <m/>
    <n v="5171.2"/>
    <n v="0"/>
    <n v="4864.4134879033827"/>
    <n v="0"/>
    <x v="1"/>
  </r>
  <r>
    <s v="Regular"/>
    <x v="0"/>
    <x v="1"/>
    <x v="1"/>
    <x v="0"/>
    <x v="1"/>
    <x v="6"/>
    <x v="1"/>
    <x v="11"/>
    <n v="2425"/>
    <n v="1212.5"/>
    <n v="0"/>
    <n v="0"/>
    <n v="0"/>
    <n v="0"/>
    <n v="0"/>
    <s v="GERAÇÃO"/>
    <m/>
    <n v="14"/>
    <n v="0"/>
    <n v="0"/>
    <n v="8.08"/>
    <n v="0"/>
    <n v="0"/>
    <n v="7.6006460748490348"/>
    <m/>
    <m/>
    <n v="9797"/>
    <n v="0"/>
    <n v="9215.7833657544543"/>
    <n v="0"/>
    <x v="1"/>
  </r>
  <r>
    <s v="Regular"/>
    <x v="0"/>
    <x v="1"/>
    <x v="1"/>
    <x v="0"/>
    <x v="1"/>
    <x v="7"/>
    <x v="1"/>
    <x v="11"/>
    <n v="1100"/>
    <n v="550"/>
    <n v="0"/>
    <n v="0"/>
    <n v="0"/>
    <n v="0"/>
    <n v="0"/>
    <s v="GERAÇÃO"/>
    <m/>
    <n v="14"/>
    <n v="0"/>
    <n v="0"/>
    <n v="8.08"/>
    <n v="0"/>
    <n v="0"/>
    <n v="7.6006460748490348"/>
    <m/>
    <m/>
    <n v="4444"/>
    <n v="0"/>
    <n v="4180.3553411669691"/>
    <n v="0"/>
    <x v="1"/>
  </r>
  <r>
    <s v="Regular"/>
    <x v="0"/>
    <x v="2"/>
    <x v="0"/>
    <x v="0"/>
    <x v="0"/>
    <x v="0"/>
    <x v="0"/>
    <x v="0"/>
    <n v="0"/>
    <n v="0"/>
    <n v="456.125"/>
    <n v="163.29275000000001"/>
    <n v="0"/>
    <n v="0"/>
    <n v="0"/>
    <s v="LIVRE"/>
    <n v="0"/>
    <n v="0"/>
    <n v="25"/>
    <n v="0"/>
    <n v="0"/>
    <n v="69.489999999999995"/>
    <n v="0"/>
    <m/>
    <n v="92.397536067834494"/>
    <m/>
    <n v="0"/>
    <n v="20348.913052499996"/>
    <n v="0"/>
    <n v="27056.978381200126"/>
    <x v="0"/>
  </r>
  <r>
    <s v="Regular"/>
    <x v="0"/>
    <x v="2"/>
    <x v="0"/>
    <x v="0"/>
    <x v="0"/>
    <x v="0"/>
    <x v="0"/>
    <x v="1"/>
    <n v="0"/>
    <n v="0"/>
    <n v="527.52300000000002"/>
    <n v="527.52300000000002"/>
    <n v="0"/>
    <n v="0"/>
    <n v="0"/>
    <s v="LIVRE"/>
    <n v="0"/>
    <n v="0"/>
    <n v="25"/>
    <n v="0"/>
    <n v="0"/>
    <n v="69.489999999999995"/>
    <n v="0"/>
    <m/>
    <n v="92.397536067834494"/>
    <m/>
    <n v="0"/>
    <n v="0"/>
    <n v="0"/>
    <n v="0"/>
    <x v="0"/>
  </r>
  <r>
    <s v="Regular"/>
    <x v="0"/>
    <x v="2"/>
    <x v="0"/>
    <x v="0"/>
    <x v="0"/>
    <x v="0"/>
    <x v="0"/>
    <x v="2"/>
    <n v="0"/>
    <n v="0"/>
    <n v="557.39400000000001"/>
    <n v="557.39400000000001"/>
    <n v="0"/>
    <n v="0"/>
    <n v="0"/>
    <s v="LIVRE"/>
    <n v="0"/>
    <n v="0"/>
    <n v="25"/>
    <n v="0"/>
    <n v="0"/>
    <n v="69.489999999999995"/>
    <n v="0"/>
    <m/>
    <n v="92.397536067834494"/>
    <m/>
    <n v="0"/>
    <n v="0"/>
    <n v="0"/>
    <n v="0"/>
    <x v="0"/>
  </r>
  <r>
    <s v="Regular"/>
    <x v="0"/>
    <x v="2"/>
    <x v="0"/>
    <x v="0"/>
    <x v="0"/>
    <x v="0"/>
    <x v="0"/>
    <x v="3"/>
    <n v="0"/>
    <n v="0"/>
    <n v="516.30700000000002"/>
    <n v="516.30700000000002"/>
    <n v="0"/>
    <n v="0"/>
    <n v="0"/>
    <s v="LIVRE"/>
    <n v="0"/>
    <n v="0"/>
    <n v="25"/>
    <n v="0"/>
    <n v="0"/>
    <n v="69.489999999999995"/>
    <n v="0"/>
    <m/>
    <n v="92.397536067834494"/>
    <m/>
    <n v="0"/>
    <n v="0"/>
    <n v="0"/>
    <n v="0"/>
    <x v="0"/>
  </r>
  <r>
    <s v="Regular"/>
    <x v="0"/>
    <x v="2"/>
    <x v="0"/>
    <x v="0"/>
    <x v="0"/>
    <x v="0"/>
    <x v="0"/>
    <x v="4"/>
    <n v="0"/>
    <n v="0"/>
    <n v="486.08499999999998"/>
    <n v="486.08499999999998"/>
    <n v="0"/>
    <n v="0"/>
    <n v="0"/>
    <s v="LIVRE"/>
    <n v="0"/>
    <n v="0"/>
    <n v="25"/>
    <n v="0"/>
    <n v="0"/>
    <n v="69.489999999999995"/>
    <n v="0"/>
    <m/>
    <n v="92.397536067834494"/>
    <m/>
    <n v="0"/>
    <n v="0"/>
    <n v="0"/>
    <n v="0"/>
    <x v="0"/>
  </r>
  <r>
    <s v="PROJETADO"/>
    <x v="0"/>
    <x v="2"/>
    <x v="0"/>
    <x v="0"/>
    <x v="0"/>
    <x v="0"/>
    <x v="0"/>
    <x v="5"/>
    <n v="0"/>
    <n v="0"/>
    <n v="486.08499999999998"/>
    <n v="486.08499999999998"/>
    <n v="0"/>
    <n v="0"/>
    <n v="0"/>
    <s v="LIVRE"/>
    <n v="0"/>
    <n v="0"/>
    <n v="25"/>
    <n v="0"/>
    <n v="0"/>
    <n v="69.489999999999995"/>
    <n v="0"/>
    <m/>
    <n v="92.397536067834494"/>
    <m/>
    <n v="0"/>
    <n v="0"/>
    <n v="0"/>
    <n v="0"/>
    <x v="0"/>
  </r>
  <r>
    <s v="Regular"/>
    <x v="0"/>
    <x v="2"/>
    <x v="0"/>
    <x v="0"/>
    <x v="0"/>
    <x v="0"/>
    <x v="0"/>
    <x v="6"/>
    <n v="0"/>
    <n v="0"/>
    <n v="362.80500000000001"/>
    <n v="362.80500000000001"/>
    <n v="0"/>
    <n v="0"/>
    <n v="0"/>
    <s v="LIVRE"/>
    <n v="0"/>
    <n v="0"/>
    <n v="25"/>
    <n v="0"/>
    <n v="0"/>
    <n v="69.489999999999995"/>
    <n v="0"/>
    <m/>
    <n v="92.397536067834494"/>
    <m/>
    <n v="0"/>
    <n v="0"/>
    <n v="0"/>
    <n v="0"/>
    <x v="0"/>
  </r>
  <r>
    <s v="Regular"/>
    <x v="0"/>
    <x v="2"/>
    <x v="0"/>
    <x v="0"/>
    <x v="0"/>
    <x v="0"/>
    <x v="0"/>
    <x v="7"/>
    <n v="0"/>
    <n v="0"/>
    <n v="453.40499999999997"/>
    <n v="453.40499999999997"/>
    <n v="0"/>
    <n v="0"/>
    <n v="0"/>
    <s v="LIVRE"/>
    <n v="0"/>
    <n v="0"/>
    <n v="25"/>
    <n v="0"/>
    <n v="0"/>
    <n v="69.489999999999995"/>
    <n v="0"/>
    <m/>
    <n v="92.397536067834494"/>
    <m/>
    <n v="0"/>
    <n v="0"/>
    <n v="0"/>
    <n v="0"/>
    <x v="0"/>
  </r>
  <r>
    <s v="Regular"/>
    <x v="0"/>
    <x v="2"/>
    <x v="0"/>
    <x v="0"/>
    <x v="0"/>
    <x v="0"/>
    <x v="0"/>
    <x v="8"/>
    <n v="0"/>
    <n v="0"/>
    <n v="484.22300000000001"/>
    <n v="484.22300000000001"/>
    <n v="0"/>
    <n v="0"/>
    <n v="0"/>
    <s v="LIVRE"/>
    <n v="0"/>
    <n v="0"/>
    <n v="25"/>
    <n v="0"/>
    <n v="0"/>
    <n v="69.489999999999995"/>
    <n v="0"/>
    <m/>
    <n v="92.397536067834494"/>
    <m/>
    <n v="0"/>
    <n v="0"/>
    <n v="0"/>
    <n v="0"/>
    <x v="0"/>
  </r>
  <r>
    <s v="PROJETADO"/>
    <x v="0"/>
    <x v="2"/>
    <x v="0"/>
    <x v="0"/>
    <x v="0"/>
    <x v="0"/>
    <x v="0"/>
    <x v="9"/>
    <n v="0"/>
    <n v="0"/>
    <n v="484.22300000000001"/>
    <n v="484.22300000000001"/>
    <n v="0"/>
    <n v="0"/>
    <n v="0"/>
    <s v="LIVRE"/>
    <n v="0"/>
    <n v="0"/>
    <n v="25"/>
    <n v="0"/>
    <n v="0"/>
    <n v="69.489999999999995"/>
    <n v="0"/>
    <m/>
    <n v="92.397536067834494"/>
    <m/>
    <n v="0"/>
    <n v="0"/>
    <n v="0"/>
    <n v="0"/>
    <x v="0"/>
  </r>
  <r>
    <s v="Regular"/>
    <x v="0"/>
    <x v="2"/>
    <x v="0"/>
    <x v="0"/>
    <x v="0"/>
    <x v="0"/>
    <x v="0"/>
    <x v="10"/>
    <n v="0"/>
    <n v="0"/>
    <n v="1545.7550000000001"/>
    <n v="1545.7550000000001"/>
    <n v="0"/>
    <n v="0"/>
    <n v="0"/>
    <s v="LIVRE"/>
    <n v="0"/>
    <n v="0"/>
    <n v="25"/>
    <n v="0"/>
    <n v="0"/>
    <n v="69.489999999999995"/>
    <n v="0"/>
    <m/>
    <n v="92.397536067834494"/>
    <m/>
    <n v="0"/>
    <n v="0"/>
    <n v="0"/>
    <n v="0"/>
    <x v="0"/>
  </r>
  <r>
    <s v="Regular"/>
    <x v="0"/>
    <x v="2"/>
    <x v="0"/>
    <x v="0"/>
    <x v="0"/>
    <x v="0"/>
    <x v="0"/>
    <x v="11"/>
    <n v="0"/>
    <n v="0"/>
    <n v="1995.7719999999999"/>
    <n v="1995.7719999999999"/>
    <n v="0"/>
    <n v="0"/>
    <n v="0"/>
    <s v="LIVRE"/>
    <n v="0"/>
    <n v="0"/>
    <n v="25"/>
    <n v="0"/>
    <n v="0"/>
    <n v="69.489999999999995"/>
    <n v="0"/>
    <m/>
    <n v="92.397536067834494"/>
    <m/>
    <n v="0"/>
    <n v="0"/>
    <n v="0"/>
    <n v="0"/>
    <x v="0"/>
  </r>
  <r>
    <s v="Regular"/>
    <x v="0"/>
    <x v="2"/>
    <x v="0"/>
    <x v="0"/>
    <x v="0"/>
    <x v="0"/>
    <x v="1"/>
    <x v="0"/>
    <n v="1822"/>
    <n v="652.27599999999995"/>
    <n v="0"/>
    <n v="0"/>
    <n v="0"/>
    <n v="0"/>
    <n v="3"/>
    <s v="LIVRE"/>
    <n v="0"/>
    <n v="18"/>
    <n v="0"/>
    <n v="0"/>
    <n v="26.17"/>
    <n v="0"/>
    <n v="0"/>
    <n v="27.746237112155811"/>
    <m/>
    <m/>
    <n v="30611.677080000005"/>
    <n v="0"/>
    <n v="32455.439459779347"/>
    <n v="0"/>
    <x v="0"/>
  </r>
  <r>
    <s v="Regular"/>
    <x v="0"/>
    <x v="2"/>
    <x v="0"/>
    <x v="0"/>
    <x v="0"/>
    <x v="0"/>
    <x v="1"/>
    <x v="1"/>
    <n v="2535"/>
    <n v="1133.145"/>
    <n v="0"/>
    <n v="0"/>
    <n v="0"/>
    <n v="0"/>
    <n v="4"/>
    <s v="LIVRE"/>
    <n v="0"/>
    <n v="18"/>
    <n v="0"/>
    <n v="0"/>
    <n v="26.17"/>
    <n v="0"/>
    <n v="0"/>
    <n v="27.746237112155811"/>
    <m/>
    <m/>
    <n v="36686.54535"/>
    <n v="0"/>
    <n v="38896.201226861187"/>
    <n v="0"/>
    <x v="0"/>
  </r>
  <r>
    <s v="Regular"/>
    <x v="0"/>
    <x v="2"/>
    <x v="0"/>
    <x v="0"/>
    <x v="0"/>
    <x v="0"/>
    <x v="1"/>
    <x v="2"/>
    <n v="3085"/>
    <n v="1823.2349999999999"/>
    <n v="0"/>
    <n v="0"/>
    <n v="0"/>
    <n v="0"/>
    <n v="5"/>
    <s v="LIVRE"/>
    <n v="0"/>
    <n v="18"/>
    <n v="0"/>
    <n v="0"/>
    <n v="26.17"/>
    <n v="0"/>
    <n v="0"/>
    <n v="27.746237112155811"/>
    <m/>
    <m/>
    <n v="33020.390050000002"/>
    <n v="0"/>
    <n v="35009.230869819279"/>
    <n v="0"/>
    <x v="0"/>
  </r>
  <r>
    <s v="Regular"/>
    <x v="0"/>
    <x v="2"/>
    <x v="0"/>
    <x v="0"/>
    <x v="0"/>
    <x v="0"/>
    <x v="1"/>
    <x v="3"/>
    <n v="3172"/>
    <n v="1665.3"/>
    <n v="0"/>
    <n v="0"/>
    <n v="0"/>
    <n v="0"/>
    <n v="5"/>
    <s v="LIVRE"/>
    <n v="0"/>
    <n v="18"/>
    <n v="0"/>
    <n v="0"/>
    <n v="26.17"/>
    <n v="0"/>
    <n v="0"/>
    <n v="27.746237112155811"/>
    <m/>
    <m/>
    <n v="39430.339000000007"/>
    <n v="0"/>
    <n v="41805.255456885163"/>
    <n v="0"/>
    <x v="0"/>
  </r>
  <r>
    <s v="Regular"/>
    <x v="0"/>
    <x v="2"/>
    <x v="0"/>
    <x v="0"/>
    <x v="0"/>
    <x v="0"/>
    <x v="1"/>
    <x v="4"/>
    <n v="3034"/>
    <n v="1535.204"/>
    <n v="0"/>
    <n v="0"/>
    <n v="0"/>
    <n v="0"/>
    <n v="5"/>
    <s v="LIVRE"/>
    <n v="0"/>
    <n v="18"/>
    <n v="0"/>
    <n v="0"/>
    <n v="26.17"/>
    <n v="0"/>
    <n v="0"/>
    <n v="27.746237112155811"/>
    <m/>
    <m/>
    <n v="39223.491320000001"/>
    <n v="0"/>
    <n v="41585.949198750684"/>
    <n v="0"/>
    <x v="0"/>
  </r>
  <r>
    <s v="PROJETADO"/>
    <x v="0"/>
    <x v="2"/>
    <x v="0"/>
    <x v="0"/>
    <x v="0"/>
    <x v="0"/>
    <x v="1"/>
    <x v="5"/>
    <n v="3034"/>
    <n v="1535.204"/>
    <n v="0"/>
    <n v="0"/>
    <n v="0"/>
    <n v="0"/>
    <n v="5"/>
    <s v="LIVRE"/>
    <n v="0"/>
    <n v="18"/>
    <n v="0"/>
    <n v="0"/>
    <n v="26.17"/>
    <n v="0"/>
    <n v="0"/>
    <n v="27.746237112155811"/>
    <m/>
    <m/>
    <n v="39223.491320000001"/>
    <n v="0"/>
    <n v="41585.949198750684"/>
    <n v="0"/>
    <x v="0"/>
  </r>
  <r>
    <s v="Regular"/>
    <x v="0"/>
    <x v="2"/>
    <x v="0"/>
    <x v="0"/>
    <x v="0"/>
    <x v="0"/>
    <x v="1"/>
    <x v="6"/>
    <n v="3855"/>
    <n v="2170.3649999999998"/>
    <n v="0"/>
    <n v="0"/>
    <n v="0"/>
    <n v="0"/>
    <n v="5"/>
    <s v="LIVRE"/>
    <n v="0"/>
    <n v="18"/>
    <n v="0"/>
    <n v="0"/>
    <n v="26.17"/>
    <n v="0"/>
    <n v="0"/>
    <n v="27.746237112155811"/>
    <m/>
    <m/>
    <n v="44086.897950000006"/>
    <n v="0"/>
    <n v="46742.28215743661"/>
    <n v="0"/>
    <x v="0"/>
  </r>
  <r>
    <s v="Regular"/>
    <x v="0"/>
    <x v="2"/>
    <x v="0"/>
    <x v="0"/>
    <x v="0"/>
    <x v="0"/>
    <x v="1"/>
    <x v="7"/>
    <n v="4613"/>
    <n v="1942.0730000000001"/>
    <n v="0"/>
    <n v="0"/>
    <n v="0"/>
    <n v="0"/>
    <n v="6"/>
    <s v="LIVRE"/>
    <n v="0"/>
    <n v="18"/>
    <n v="0"/>
    <n v="0"/>
    <n v="26.17"/>
    <n v="0"/>
    <n v="0"/>
    <n v="27.746237112155811"/>
    <m/>
    <m/>
    <n v="69898.159589999996"/>
    <n v="0"/>
    <n v="74108.17385125898"/>
    <n v="0"/>
    <x v="0"/>
  </r>
  <r>
    <s v="Regular"/>
    <x v="0"/>
    <x v="2"/>
    <x v="0"/>
    <x v="0"/>
    <x v="0"/>
    <x v="0"/>
    <x v="1"/>
    <x v="8"/>
    <n v="4183"/>
    <n v="1765.2260000000001"/>
    <n v="0"/>
    <n v="0"/>
    <n v="0"/>
    <n v="0"/>
    <n v="7"/>
    <s v="LIVRE"/>
    <n v="0"/>
    <n v="18"/>
    <n v="0"/>
    <n v="0"/>
    <n v="26.17"/>
    <n v="0"/>
    <n v="0"/>
    <n v="27.746237112155811"/>
    <m/>
    <m/>
    <n v="63273.145580000004"/>
    <n v="0"/>
    <n v="67084.1306876054"/>
    <n v="0"/>
    <x v="0"/>
  </r>
  <r>
    <s v="PROJETADO"/>
    <x v="0"/>
    <x v="2"/>
    <x v="0"/>
    <x v="0"/>
    <x v="0"/>
    <x v="0"/>
    <x v="1"/>
    <x v="9"/>
    <n v="4183"/>
    <n v="1765.2260000000001"/>
    <n v="0"/>
    <n v="0"/>
    <n v="0"/>
    <n v="0"/>
    <n v="7"/>
    <s v="LIVRE"/>
    <n v="0"/>
    <n v="18"/>
    <n v="0"/>
    <n v="0"/>
    <n v="26.17"/>
    <n v="0"/>
    <n v="0"/>
    <n v="27.746237112155811"/>
    <m/>
    <m/>
    <n v="63273.145580000004"/>
    <n v="0"/>
    <n v="67084.1306876054"/>
    <n v="0"/>
    <x v="0"/>
  </r>
  <r>
    <s v="Regular"/>
    <x v="0"/>
    <x v="2"/>
    <x v="0"/>
    <x v="0"/>
    <x v="0"/>
    <x v="0"/>
    <x v="1"/>
    <x v="10"/>
    <n v="6667"/>
    <n v="2760.1379999999999"/>
    <n v="0"/>
    <n v="0"/>
    <n v="0"/>
    <n v="0"/>
    <n v="8"/>
    <s v="LIVRE"/>
    <n v="0"/>
    <n v="18"/>
    <n v="0"/>
    <n v="0"/>
    <n v="26.17"/>
    <n v="0"/>
    <n v="0"/>
    <n v="27.746237112155811"/>
    <m/>
    <m/>
    <n v="102242.57854"/>
    <n v="0"/>
    <n v="108400.71941647127"/>
    <n v="0"/>
    <x v="0"/>
  </r>
  <r>
    <s v="Regular"/>
    <x v="0"/>
    <x v="2"/>
    <x v="0"/>
    <x v="0"/>
    <x v="0"/>
    <x v="0"/>
    <x v="1"/>
    <x v="11"/>
    <n v="8554"/>
    <n v="3002.4540000000002"/>
    <n v="0"/>
    <n v="0"/>
    <n v="0"/>
    <n v="0"/>
    <n v="13"/>
    <s v="LIVRE"/>
    <n v="0"/>
    <n v="18"/>
    <n v="0"/>
    <n v="0"/>
    <n v="26.17"/>
    <n v="0"/>
    <n v="0"/>
    <n v="27.746237112155811"/>
    <m/>
    <m/>
    <n v="145283.95882000003"/>
    <n v="0"/>
    <n v="154034.51165504014"/>
    <n v="0"/>
    <x v="0"/>
  </r>
  <r>
    <s v="Regular"/>
    <x v="0"/>
    <x v="2"/>
    <x v="0"/>
    <x v="0"/>
    <x v="0"/>
    <x v="0"/>
    <x v="2"/>
    <x v="0"/>
    <n v="0"/>
    <n v="0"/>
    <n v="64.95"/>
    <n v="23.252099999999999"/>
    <n v="0"/>
    <n v="0"/>
    <n v="0"/>
    <s v="LIVRE"/>
    <n v="0"/>
    <n v="0"/>
    <n v="12"/>
    <n v="0"/>
    <n v="0"/>
    <n v="1124.7"/>
    <n v="0"/>
    <m/>
    <n v="1194.906449742829"/>
    <m/>
    <n v="0"/>
    <n v="46897.628130000005"/>
    <n v="0"/>
    <n v="49825.089650731512"/>
    <x v="0"/>
  </r>
  <r>
    <s v="Regular"/>
    <x v="0"/>
    <x v="2"/>
    <x v="0"/>
    <x v="0"/>
    <x v="0"/>
    <x v="0"/>
    <x v="2"/>
    <x v="1"/>
    <n v="0"/>
    <n v="0"/>
    <n v="59.216999999999999"/>
    <n v="26.647649999999999"/>
    <n v="0"/>
    <n v="0"/>
    <n v="0"/>
    <s v="LIVRE"/>
    <n v="0"/>
    <n v="0"/>
    <n v="12"/>
    <n v="0"/>
    <n v="0"/>
    <n v="1124.7"/>
    <n v="0"/>
    <m/>
    <n v="1194.906449742829"/>
    <m/>
    <n v="0"/>
    <n v="36630.747945000003"/>
    <n v="0"/>
    <n v="38917.326378931604"/>
    <x v="0"/>
  </r>
  <r>
    <s v="Regular"/>
    <x v="0"/>
    <x v="2"/>
    <x v="0"/>
    <x v="0"/>
    <x v="0"/>
    <x v="0"/>
    <x v="2"/>
    <x v="2"/>
    <n v="0"/>
    <n v="0"/>
    <n v="51.08"/>
    <n v="27.103048000000001"/>
    <n v="0"/>
    <n v="0"/>
    <n v="0"/>
    <s v="LIVRE"/>
    <n v="0"/>
    <n v="0"/>
    <n v="12"/>
    <n v="0"/>
    <n v="0"/>
    <n v="1124.7"/>
    <n v="0"/>
    <m/>
    <n v="1194.906449742829"/>
    <m/>
    <n v="0"/>
    <n v="26966.877914399996"/>
    <n v="0"/>
    <n v="28650.214589974217"/>
    <x v="0"/>
  </r>
  <r>
    <s v="Regular"/>
    <x v="0"/>
    <x v="2"/>
    <x v="0"/>
    <x v="0"/>
    <x v="0"/>
    <x v="0"/>
    <x v="2"/>
    <x v="3"/>
    <n v="0"/>
    <n v="0"/>
    <n v="47.006"/>
    <n v="24.678149999999999"/>
    <n v="0"/>
    <n v="0"/>
    <n v="0"/>
    <s v="LIVRE"/>
    <n v="0"/>
    <n v="0"/>
    <n v="12"/>
    <n v="0"/>
    <n v="0"/>
    <n v="1124.7"/>
    <n v="0"/>
    <m/>
    <n v="1194.906449742829"/>
    <m/>
    <n v="0"/>
    <n v="25112.132895000002"/>
    <n v="0"/>
    <n v="26679.691973890425"/>
    <x v="0"/>
  </r>
  <r>
    <s v="Regular"/>
    <x v="0"/>
    <x v="2"/>
    <x v="0"/>
    <x v="0"/>
    <x v="0"/>
    <x v="0"/>
    <x v="2"/>
    <x v="4"/>
    <n v="0"/>
    <n v="0"/>
    <n v="47.975000000000001"/>
    <n v="24.27535"/>
    <n v="0"/>
    <n v="0"/>
    <n v="0"/>
    <s v="LIVRE"/>
    <n v="0"/>
    <n v="0"/>
    <n v="12"/>
    <n v="0"/>
    <n v="0"/>
    <n v="1124.7"/>
    <n v="0"/>
    <m/>
    <n v="1194.906449742829"/>
    <m/>
    <n v="0"/>
    <n v="26654.996355000003"/>
    <n v="0"/>
    <n v="28318.864641647637"/>
    <x v="0"/>
  </r>
  <r>
    <s v="PROJETADO"/>
    <x v="0"/>
    <x v="2"/>
    <x v="0"/>
    <x v="0"/>
    <x v="0"/>
    <x v="0"/>
    <x v="2"/>
    <x v="5"/>
    <n v="0"/>
    <n v="0"/>
    <n v="47.975000000000001"/>
    <n v="24.27535"/>
    <n v="0"/>
    <n v="0"/>
    <n v="0"/>
    <s v="LIVRE"/>
    <n v="0"/>
    <n v="0"/>
    <n v="12"/>
    <n v="0"/>
    <n v="0"/>
    <n v="1124.7"/>
    <n v="0"/>
    <m/>
    <n v="1194.906449742829"/>
    <m/>
    <n v="0"/>
    <n v="26654.996355000003"/>
    <n v="0"/>
    <n v="28318.864641647637"/>
    <x v="0"/>
  </r>
  <r>
    <s v="Regular"/>
    <x v="0"/>
    <x v="2"/>
    <x v="0"/>
    <x v="0"/>
    <x v="0"/>
    <x v="0"/>
    <x v="2"/>
    <x v="6"/>
    <n v="0"/>
    <n v="0"/>
    <n v="34.628"/>
    <n v="19.495564000000002"/>
    <n v="0"/>
    <n v="0"/>
    <n v="0"/>
    <s v="LIVRE"/>
    <n v="0"/>
    <n v="0"/>
    <n v="12"/>
    <n v="0"/>
    <n v="0"/>
    <n v="1124.7"/>
    <n v="0"/>
    <m/>
    <n v="1194.906449742829"/>
    <m/>
    <n v="0"/>
    <n v="17019.450769200001"/>
    <n v="0"/>
    <n v="18081.845376720572"/>
    <x v="0"/>
  </r>
  <r>
    <s v="Regular"/>
    <x v="0"/>
    <x v="2"/>
    <x v="0"/>
    <x v="0"/>
    <x v="0"/>
    <x v="0"/>
    <x v="2"/>
    <x v="7"/>
    <n v="0"/>
    <n v="0"/>
    <n v="44.442999999999998"/>
    <n v="23.492569799999998"/>
    <n v="0"/>
    <n v="0"/>
    <n v="0"/>
    <s v="LIVRE"/>
    <n v="0"/>
    <n v="0"/>
    <n v="12"/>
    <n v="0"/>
    <n v="0"/>
    <n v="1124.7"/>
    <n v="0"/>
    <m/>
    <n v="1194.906449742829"/>
    <m/>
    <n v="0"/>
    <n v="23562.948845940002"/>
    <n v="0"/>
    <n v="25033.804170866944"/>
    <x v="0"/>
  </r>
  <r>
    <s v="Regular"/>
    <x v="0"/>
    <x v="2"/>
    <x v="0"/>
    <x v="0"/>
    <x v="0"/>
    <x v="0"/>
    <x v="2"/>
    <x v="8"/>
    <n v="0"/>
    <n v="0"/>
    <n v="54.761000000000003"/>
    <n v="23.109141999999999"/>
    <n v="0"/>
    <n v="0"/>
    <n v="0"/>
    <s v="LIVRE"/>
    <n v="0"/>
    <n v="0"/>
    <n v="12"/>
    <n v="0"/>
    <n v="0"/>
    <n v="1124.7"/>
    <n v="0"/>
    <m/>
    <n v="1194.906449742829"/>
    <m/>
    <n v="0"/>
    <n v="35598.844692600003"/>
    <n v="0"/>
    <n v="37821.009270544164"/>
    <x v="0"/>
  </r>
  <r>
    <s v="PROJETADO"/>
    <x v="0"/>
    <x v="2"/>
    <x v="0"/>
    <x v="0"/>
    <x v="0"/>
    <x v="0"/>
    <x v="2"/>
    <x v="9"/>
    <n v="0"/>
    <n v="0"/>
    <n v="54.761000000000003"/>
    <n v="23.109141999999999"/>
    <n v="0"/>
    <n v="0"/>
    <n v="0"/>
    <s v="LIVRE"/>
    <n v="0"/>
    <n v="0"/>
    <n v="12"/>
    <n v="0"/>
    <n v="0"/>
    <n v="1124.7"/>
    <n v="0"/>
    <m/>
    <n v="1194.906449742829"/>
    <m/>
    <n v="0"/>
    <n v="35598.844692600003"/>
    <n v="0"/>
    <n v="37821.009270544164"/>
    <x v="0"/>
  </r>
  <r>
    <s v="Regular"/>
    <x v="0"/>
    <x v="2"/>
    <x v="0"/>
    <x v="0"/>
    <x v="0"/>
    <x v="0"/>
    <x v="2"/>
    <x v="10"/>
    <n v="0"/>
    <n v="0"/>
    <n v="181.01300000000001"/>
    <n v="101.548293"/>
    <n v="0"/>
    <n v="0"/>
    <n v="0"/>
    <s v="LIVRE"/>
    <n v="0"/>
    <n v="0"/>
    <n v="12"/>
    <n v="0"/>
    <n v="0"/>
    <n v="1124.7"/>
    <n v="0"/>
    <m/>
    <n v="1194.906449742829"/>
    <m/>
    <n v="0"/>
    <n v="89373.955962900014"/>
    <n v="0"/>
    <n v="94952.890921224127"/>
    <x v="0"/>
  </r>
  <r>
    <s v="Regular"/>
    <x v="0"/>
    <x v="2"/>
    <x v="0"/>
    <x v="0"/>
    <x v="0"/>
    <x v="0"/>
    <x v="2"/>
    <x v="11"/>
    <n v="0"/>
    <n v="0"/>
    <n v="229.89099999999999"/>
    <n v="128.279178"/>
    <n v="0"/>
    <n v="0"/>
    <n v="0"/>
    <s v="LIVRE"/>
    <n v="0"/>
    <n v="0"/>
    <n v="12"/>
    <n v="0"/>
    <n v="0"/>
    <n v="1124.7"/>
    <n v="0"/>
    <m/>
    <n v="1194.906449742829"/>
    <m/>
    <n v="0"/>
    <n v="114282.8162034"/>
    <n v="0"/>
    <n v="121416.62147792027"/>
    <x v="0"/>
  </r>
  <r>
    <s v="Regular"/>
    <x v="0"/>
    <x v="2"/>
    <x v="2"/>
    <x v="1"/>
    <x v="2"/>
    <x v="0"/>
    <x v="0"/>
    <x v="0"/>
    <n v="0"/>
    <n v="0"/>
    <n v="123.249"/>
    <n v="36.974699999999999"/>
    <n v="123.249"/>
    <n v="36.974699999999999"/>
    <n v="0"/>
    <s v="CATIVO"/>
    <n v="0"/>
    <n v="0"/>
    <n v="25"/>
    <n v="59"/>
    <n v="0"/>
    <n v="69.489999999999995"/>
    <n v="185.18"/>
    <m/>
    <n v="92.397536067834494"/>
    <n v="198.13390838089941"/>
    <n v="0"/>
    <n v="21971.475981"/>
    <n v="0"/>
    <n v="25065.396997803404"/>
    <x v="2"/>
  </r>
  <r>
    <s v="Sistema de Compensação"/>
    <x v="0"/>
    <x v="2"/>
    <x v="2"/>
    <x v="1"/>
    <x v="2"/>
    <x v="0"/>
    <x v="0"/>
    <x v="0"/>
    <n v="0"/>
    <n v="0"/>
    <n v="0.23699999999999999"/>
    <n v="7.1099999999999997E-2"/>
    <n v="0.23699999999999999"/>
    <n v="7.1099999999999997E-2"/>
    <n v="0"/>
    <s v="CATIVO"/>
    <n v="0"/>
    <n v="0"/>
    <n v="25"/>
    <n v="59"/>
    <n v="0"/>
    <n v="69.489999999999995"/>
    <n v="185.18"/>
    <m/>
    <n v="92.397536067834494"/>
    <n v="198.13390838089941"/>
    <n v="0"/>
    <n v="42.249752999999998"/>
    <n v="0"/>
    <n v="48.19916663404495"/>
    <x v="2"/>
  </r>
  <r>
    <s v="Regular"/>
    <x v="0"/>
    <x v="2"/>
    <x v="2"/>
    <x v="1"/>
    <x v="2"/>
    <x v="0"/>
    <x v="0"/>
    <x v="1"/>
    <n v="0"/>
    <n v="0"/>
    <n v="209.07300000000001"/>
    <n v="62.721899999999998"/>
    <n v="209.07300000000001"/>
    <n v="62.721899999999998"/>
    <n v="0"/>
    <s v="CATIVO"/>
    <n v="0"/>
    <n v="0"/>
    <n v="25"/>
    <n v="59"/>
    <n v="0"/>
    <n v="69.489999999999995"/>
    <n v="185.18"/>
    <m/>
    <n v="92.397536067834494"/>
    <n v="198.13390838089941"/>
    <n v="0"/>
    <n v="37271.234637000001"/>
    <n v="0"/>
    <n v="42519.596479661101"/>
    <x v="2"/>
  </r>
  <r>
    <s v="Sistema de Compensação"/>
    <x v="0"/>
    <x v="2"/>
    <x v="2"/>
    <x v="1"/>
    <x v="2"/>
    <x v="0"/>
    <x v="0"/>
    <x v="1"/>
    <n v="0"/>
    <n v="0"/>
    <n v="8.3350000000000009"/>
    <n v="2.5005000000000002"/>
    <n v="8.3350000000000009"/>
    <n v="2.5005000000000002"/>
    <n v="0"/>
    <s v="CATIVO"/>
    <n v="0"/>
    <n v="0"/>
    <n v="25"/>
    <n v="59"/>
    <n v="0"/>
    <n v="69.489999999999995"/>
    <n v="185.18"/>
    <m/>
    <n v="92.397536067834494"/>
    <n v="198.13390838089941"/>
    <n v="0"/>
    <n v="1485.8721150000001"/>
    <n v="0"/>
    <n v="1695.1057126361379"/>
    <x v="2"/>
  </r>
  <r>
    <s v="Regular"/>
    <x v="0"/>
    <x v="2"/>
    <x v="2"/>
    <x v="1"/>
    <x v="2"/>
    <x v="0"/>
    <x v="0"/>
    <x v="2"/>
    <n v="0"/>
    <n v="0"/>
    <n v="615.45600000000002"/>
    <n v="184.63679999999999"/>
    <n v="615.45600000000002"/>
    <n v="184.63679999999999"/>
    <n v="0"/>
    <s v="CATIVO"/>
    <n v="0"/>
    <n v="0"/>
    <n v="25"/>
    <n v="59"/>
    <n v="0"/>
    <n v="69.489999999999995"/>
    <n v="185.18"/>
    <m/>
    <n v="92.397536067834494"/>
    <n v="198.13390838089941"/>
    <n v="0"/>
    <n v="109716.72566400001"/>
    <n v="0"/>
    <n v="125166.524472248"/>
    <x v="2"/>
  </r>
  <r>
    <s v="Sistema de Compensação"/>
    <x v="0"/>
    <x v="2"/>
    <x v="2"/>
    <x v="1"/>
    <x v="2"/>
    <x v="0"/>
    <x v="0"/>
    <x v="2"/>
    <n v="0"/>
    <n v="0"/>
    <n v="11.565"/>
    <n v="3.4695"/>
    <n v="11.565"/>
    <n v="3.4695"/>
    <n v="0"/>
    <s v="CATIVO"/>
    <n v="0"/>
    <n v="0"/>
    <n v="25"/>
    <n v="59"/>
    <n v="0"/>
    <n v="69.489999999999995"/>
    <n v="185.18"/>
    <m/>
    <n v="92.397536067834494"/>
    <n v="198.13390838089941"/>
    <n v="0"/>
    <n v="2061.680985"/>
    <n v="0"/>
    <n v="2351.9973085347251"/>
    <x v="2"/>
  </r>
  <r>
    <s v="Regular"/>
    <x v="0"/>
    <x v="2"/>
    <x v="2"/>
    <x v="1"/>
    <x v="2"/>
    <x v="0"/>
    <x v="0"/>
    <x v="3"/>
    <n v="0"/>
    <n v="0"/>
    <n v="315.94"/>
    <n v="94.781999999999996"/>
    <n v="315.94"/>
    <n v="94.781999999999996"/>
    <n v="0"/>
    <s v="CATIVO"/>
    <n v="0"/>
    <n v="0"/>
    <n v="25"/>
    <n v="59"/>
    <n v="0"/>
    <n v="69.489999999999995"/>
    <n v="185.18"/>
    <m/>
    <n v="92.397536067834494"/>
    <n v="198.13390838089941"/>
    <n v="0"/>
    <n v="56322.307860000001"/>
    <n v="0"/>
    <n v="64253.353191393093"/>
    <x v="2"/>
  </r>
  <r>
    <s v="Regular"/>
    <x v="0"/>
    <x v="2"/>
    <x v="2"/>
    <x v="1"/>
    <x v="2"/>
    <x v="0"/>
    <x v="0"/>
    <x v="4"/>
    <n v="0"/>
    <n v="0"/>
    <n v="584.85500000000002"/>
    <n v="175.45650000000001"/>
    <n v="584.85500000000002"/>
    <n v="175.45650000000001"/>
    <n v="0"/>
    <s v="CATIVO"/>
    <n v="0"/>
    <n v="0"/>
    <n v="25"/>
    <n v="59"/>
    <n v="0"/>
    <n v="69.489999999999995"/>
    <n v="185.18"/>
    <m/>
    <n v="92.397536067834494"/>
    <n v="198.13390838089941"/>
    <n v="0"/>
    <n v="104261.51599500001"/>
    <n v="0"/>
    <n v="118943.137560145"/>
    <x v="2"/>
  </r>
  <r>
    <s v="Refaturamento - Regular"/>
    <x v="0"/>
    <x v="2"/>
    <x v="2"/>
    <x v="1"/>
    <x v="2"/>
    <x v="0"/>
    <x v="0"/>
    <x v="4"/>
    <n v="0"/>
    <n v="0"/>
    <n v="-0.63300000000000001"/>
    <n v="-0.18990000000000001"/>
    <n v="-0.63300000000000001"/>
    <n v="-0.18990000000000001"/>
    <n v="0"/>
    <s v="CATIVO"/>
    <n v="0"/>
    <n v="0"/>
    <n v="25"/>
    <n v="59"/>
    <n v="0"/>
    <n v="69.489999999999995"/>
    <n v="185.18"/>
    <m/>
    <n v="92.397536067834494"/>
    <n v="198.13390838089941"/>
    <n v="0"/>
    <n v="-112.84427700000001"/>
    <n v="0"/>
    <n v="-128.73448303523401"/>
    <x v="2"/>
  </r>
  <r>
    <s v="Sistema de Compensação"/>
    <x v="0"/>
    <x v="2"/>
    <x v="2"/>
    <x v="1"/>
    <x v="2"/>
    <x v="0"/>
    <x v="0"/>
    <x v="4"/>
    <n v="0"/>
    <n v="0"/>
    <n v="9.1150000000000002"/>
    <n v="2.7345000000000002"/>
    <n v="9.1150000000000002"/>
    <n v="2.7345000000000002"/>
    <n v="0"/>
    <s v="CATIVO"/>
    <n v="0"/>
    <n v="0"/>
    <n v="25"/>
    <n v="59"/>
    <n v="0"/>
    <n v="69.489999999999995"/>
    <n v="185.18"/>
    <m/>
    <n v="92.397536067834494"/>
    <n v="198.13390838089941"/>
    <n v="0"/>
    <n v="1624.9219349999998"/>
    <n v="0"/>
    <n v="1853.7358813051467"/>
    <x v="2"/>
  </r>
  <r>
    <s v="Regular"/>
    <x v="0"/>
    <x v="2"/>
    <x v="2"/>
    <x v="1"/>
    <x v="2"/>
    <x v="0"/>
    <x v="0"/>
    <x v="5"/>
    <n v="0"/>
    <n v="0"/>
    <n v="5148.9059999999999"/>
    <n v="1544.6718000000001"/>
    <n v="5148.9059999999999"/>
    <n v="1544.6718000000001"/>
    <n v="0"/>
    <s v="CATIVO"/>
    <n v="0"/>
    <n v="0"/>
    <n v="25"/>
    <n v="59"/>
    <n v="0"/>
    <n v="69.489999999999995"/>
    <n v="185.18"/>
    <m/>
    <n v="92.397536067834494"/>
    <n v="198.13390838089941"/>
    <n v="0"/>
    <n v="917890.32371399994"/>
    <n v="0"/>
    <n v="1047143.3682575268"/>
    <x v="2"/>
  </r>
  <r>
    <s v="Regular"/>
    <x v="0"/>
    <x v="2"/>
    <x v="2"/>
    <x v="1"/>
    <x v="2"/>
    <x v="0"/>
    <x v="0"/>
    <x v="6"/>
    <n v="0"/>
    <n v="0"/>
    <n v="6675.9070000000002"/>
    <n v="2002.7720999999999"/>
    <n v="6675.9070000000002"/>
    <n v="2002.7720999999999"/>
    <n v="0"/>
    <s v="CATIVO"/>
    <n v="0"/>
    <n v="0"/>
    <n v="25"/>
    <n v="59"/>
    <n v="0"/>
    <n v="69.489999999999995"/>
    <n v="185.18"/>
    <m/>
    <n v="92.397536067834494"/>
    <n v="198.13390838089941"/>
    <n v="0"/>
    <n v="1190107.264983"/>
    <n v="0"/>
    <n v="1357692.6326007897"/>
    <x v="2"/>
  </r>
  <r>
    <s v="Sistema de Compensação"/>
    <x v="0"/>
    <x v="2"/>
    <x v="2"/>
    <x v="1"/>
    <x v="2"/>
    <x v="0"/>
    <x v="0"/>
    <x v="6"/>
    <n v="0"/>
    <n v="0"/>
    <n v="181.376"/>
    <n v="54.412799999999997"/>
    <n v="181.376"/>
    <n v="54.412799999999997"/>
    <n v="0"/>
    <s v="CATIVO"/>
    <n v="0"/>
    <n v="0"/>
    <n v="25"/>
    <n v="59"/>
    <n v="0"/>
    <n v="69.489999999999995"/>
    <n v="185.18"/>
    <m/>
    <n v="92.397536067834494"/>
    <n v="198.13390838089941"/>
    <n v="0"/>
    <n v="32333.718143999999"/>
    <n v="0"/>
    <n v="36886.801887833491"/>
    <x v="2"/>
  </r>
  <r>
    <s v="Regular"/>
    <x v="0"/>
    <x v="2"/>
    <x v="2"/>
    <x v="1"/>
    <x v="2"/>
    <x v="0"/>
    <x v="0"/>
    <x v="7"/>
    <n v="0"/>
    <n v="0"/>
    <n v="5164.74"/>
    <n v="1549.422"/>
    <n v="5164.74"/>
    <n v="1549.422"/>
    <n v="0"/>
    <s v="CATIVO"/>
    <n v="0"/>
    <n v="0"/>
    <n v="25"/>
    <n v="59"/>
    <n v="0"/>
    <n v="69.489999999999995"/>
    <n v="185.18"/>
    <m/>
    <n v="92.397536067834494"/>
    <n v="198.13390838089941"/>
    <n v="0"/>
    <n v="920713.03506000002"/>
    <n v="0"/>
    <n v="1050363.5606815077"/>
    <x v="2"/>
  </r>
  <r>
    <s v="Refaturamento - Regular"/>
    <x v="0"/>
    <x v="2"/>
    <x v="2"/>
    <x v="1"/>
    <x v="2"/>
    <x v="0"/>
    <x v="0"/>
    <x v="7"/>
    <n v="0"/>
    <n v="0"/>
    <n v="-56.470999999999997"/>
    <n v="-16.941299999999998"/>
    <n v="-56.470999999999997"/>
    <n v="-16.941299999999998"/>
    <n v="0"/>
    <s v="CATIVO"/>
    <n v="0"/>
    <n v="0"/>
    <n v="25"/>
    <n v="59"/>
    <n v="0"/>
    <n v="69.489999999999995"/>
    <n v="185.18"/>
    <m/>
    <n v="92.397536067834494"/>
    <n v="198.13390838089941"/>
    <n v="0"/>
    <n v="-10067.028699"/>
    <n v="0"/>
    <n v="-11484.620839625117"/>
    <x v="2"/>
  </r>
  <r>
    <s v="Sistema de Compensação"/>
    <x v="0"/>
    <x v="2"/>
    <x v="2"/>
    <x v="1"/>
    <x v="2"/>
    <x v="0"/>
    <x v="0"/>
    <x v="7"/>
    <n v="0"/>
    <n v="0"/>
    <n v="157.94"/>
    <n v="47.381999999999998"/>
    <n v="157.94"/>
    <n v="47.381999999999998"/>
    <n v="0"/>
    <s v="CATIVO"/>
    <n v="0"/>
    <n v="0"/>
    <n v="25"/>
    <n v="59"/>
    <n v="0"/>
    <n v="69.489999999999995"/>
    <n v="185.18"/>
    <m/>
    <n v="92.397536067834494"/>
    <n v="198.13390838089941"/>
    <n v="0"/>
    <n v="28155.80586"/>
    <n v="0"/>
    <n v="32120.57543536312"/>
    <x v="2"/>
  </r>
  <r>
    <s v="Regular"/>
    <x v="0"/>
    <x v="2"/>
    <x v="2"/>
    <x v="1"/>
    <x v="2"/>
    <x v="0"/>
    <x v="0"/>
    <x v="8"/>
    <n v="0"/>
    <n v="0"/>
    <n v="3306.627"/>
    <n v="991.98810000000003"/>
    <n v="3306.627"/>
    <n v="991.98810000000003"/>
    <n v="0"/>
    <s v="CATIVO"/>
    <n v="0"/>
    <n v="0"/>
    <n v="25"/>
    <n v="59"/>
    <n v="0"/>
    <n v="69.489999999999995"/>
    <n v="185.18"/>
    <m/>
    <n v="92.397536067834494"/>
    <n v="198.13390838089941"/>
    <n v="0"/>
    <n v="589469.08866299991"/>
    <n v="0"/>
    <n v="672475.38299422851"/>
    <x v="2"/>
  </r>
  <r>
    <s v="Refaturamento - Regular"/>
    <x v="0"/>
    <x v="2"/>
    <x v="2"/>
    <x v="1"/>
    <x v="2"/>
    <x v="0"/>
    <x v="0"/>
    <x v="8"/>
    <n v="0"/>
    <n v="0"/>
    <n v="-55.35"/>
    <n v="-16.605"/>
    <n v="-55.35"/>
    <n v="-16.605"/>
    <n v="0"/>
    <s v="CATIVO"/>
    <n v="0"/>
    <n v="0"/>
    <n v="25"/>
    <n v="59"/>
    <n v="0"/>
    <n v="69.489999999999995"/>
    <n v="185.18"/>
    <m/>
    <n v="92.397536067834494"/>
    <n v="198.13390838089941"/>
    <n v="0"/>
    <n v="-9867.189150000002"/>
    <n v="0"/>
    <n v="-11256.640815166196"/>
    <x v="2"/>
  </r>
  <r>
    <s v="Sistema de Compensação"/>
    <x v="0"/>
    <x v="2"/>
    <x v="2"/>
    <x v="1"/>
    <x v="2"/>
    <x v="0"/>
    <x v="0"/>
    <x v="8"/>
    <n v="0"/>
    <n v="0"/>
    <n v="100.608"/>
    <n v="30.182400000000001"/>
    <n v="100.608"/>
    <n v="30.182400000000001"/>
    <n v="0"/>
    <s v="CATIVO"/>
    <n v="0"/>
    <n v="0"/>
    <n v="25"/>
    <n v="59"/>
    <n v="0"/>
    <n v="69.489999999999995"/>
    <n v="185.18"/>
    <m/>
    <n v="92.397536067834494"/>
    <n v="198.13390838089941"/>
    <n v="0"/>
    <n v="17935.287552000002"/>
    <n v="0"/>
    <n v="20460.851294168755"/>
    <x v="2"/>
  </r>
  <r>
    <s v="Regular"/>
    <x v="0"/>
    <x v="2"/>
    <x v="2"/>
    <x v="1"/>
    <x v="2"/>
    <x v="0"/>
    <x v="0"/>
    <x v="9"/>
    <n v="0"/>
    <n v="0"/>
    <n v="1019.164"/>
    <n v="305.74919999999997"/>
    <n v="1019.164"/>
    <n v="305.74919999999997"/>
    <n v="0"/>
    <s v="CATIVO"/>
    <n v="0"/>
    <n v="0"/>
    <n v="25"/>
    <n v="59"/>
    <n v="0"/>
    <n v="69.489999999999995"/>
    <n v="185.18"/>
    <m/>
    <n v="92.397536067834494"/>
    <n v="198.13390838089941"/>
    <n v="0"/>
    <n v="181685.34711599999"/>
    <n v="0"/>
    <n v="207269.43233510462"/>
    <x v="2"/>
  </r>
  <r>
    <s v="Refaturamento - Regular"/>
    <x v="0"/>
    <x v="2"/>
    <x v="2"/>
    <x v="1"/>
    <x v="2"/>
    <x v="0"/>
    <x v="0"/>
    <x v="9"/>
    <n v="0"/>
    <n v="0"/>
    <n v="-28.209"/>
    <n v="-8.4626999999999999"/>
    <n v="-28.209"/>
    <n v="-8.4626999999999999"/>
    <n v="0"/>
    <s v="CATIVO"/>
    <n v="0"/>
    <n v="0"/>
    <n v="25"/>
    <n v="59"/>
    <n v="0"/>
    <n v="69.489999999999995"/>
    <n v="185.18"/>
    <m/>
    <n v="92.397536067834494"/>
    <n v="198.13390838089941"/>
    <n v="0"/>
    <n v="-5028.7902209999993"/>
    <n v="0"/>
    <n v="-5736.9210615180336"/>
    <x v="2"/>
  </r>
  <r>
    <s v="Sistema de Compensação"/>
    <x v="0"/>
    <x v="2"/>
    <x v="2"/>
    <x v="1"/>
    <x v="2"/>
    <x v="0"/>
    <x v="0"/>
    <x v="9"/>
    <n v="0"/>
    <n v="0"/>
    <n v="29.965"/>
    <n v="8.9894999999999996"/>
    <n v="29.965"/>
    <n v="8.9894999999999996"/>
    <n v="0"/>
    <s v="CATIVO"/>
    <n v="0"/>
    <n v="0"/>
    <n v="25"/>
    <n v="59"/>
    <n v="0"/>
    <n v="69.489999999999995"/>
    <n v="185.18"/>
    <m/>
    <n v="92.397536067834494"/>
    <n v="198.13390838089941"/>
    <n v="0"/>
    <n v="5341.8305850000006"/>
    <n v="0"/>
    <n v="6094.0423130344179"/>
    <x v="2"/>
  </r>
  <r>
    <s v="Regular"/>
    <x v="0"/>
    <x v="2"/>
    <x v="2"/>
    <x v="1"/>
    <x v="2"/>
    <x v="0"/>
    <x v="0"/>
    <x v="10"/>
    <n v="0"/>
    <n v="0"/>
    <n v="369.96300000000002"/>
    <n v="110.9889"/>
    <n v="369.96300000000002"/>
    <n v="110.9889"/>
    <n v="0"/>
    <s v="CATIVO"/>
    <n v="0"/>
    <n v="0"/>
    <n v="25"/>
    <n v="59"/>
    <n v="0"/>
    <n v="69.489999999999995"/>
    <n v="185.18"/>
    <m/>
    <n v="92.397536067834494"/>
    <n v="198.13390838089941"/>
    <n v="0"/>
    <n v="65952.934047000002"/>
    <n v="0"/>
    <n v="75240.119347810862"/>
    <x v="2"/>
  </r>
  <r>
    <s v="Refaturamento - Regular"/>
    <x v="0"/>
    <x v="2"/>
    <x v="2"/>
    <x v="1"/>
    <x v="2"/>
    <x v="0"/>
    <x v="0"/>
    <x v="10"/>
    <n v="0"/>
    <n v="0"/>
    <n v="-13.811999999999999"/>
    <n v="-4.1436000000000002"/>
    <n v="-13.811999999999999"/>
    <n v="-4.1436000000000002"/>
    <n v="0"/>
    <s v="CATIVO"/>
    <n v="0"/>
    <n v="0"/>
    <n v="25"/>
    <n v="59"/>
    <n v="0"/>
    <n v="69.489999999999995"/>
    <n v="185.18"/>
    <m/>
    <n v="92.397536067834494"/>
    <n v="198.13390838089941"/>
    <n v="0"/>
    <n v="-2462.2514279999996"/>
    <n v="0"/>
    <n v="-2808.9742175081383"/>
    <x v="2"/>
  </r>
  <r>
    <s v="Sistema de Compensação"/>
    <x v="0"/>
    <x v="2"/>
    <x v="2"/>
    <x v="1"/>
    <x v="2"/>
    <x v="0"/>
    <x v="0"/>
    <x v="10"/>
    <n v="0"/>
    <n v="0"/>
    <n v="1.6060000000000001"/>
    <n v="0.48180000000000001"/>
    <n v="1.6060000000000001"/>
    <n v="0.48180000000000001"/>
    <n v="0"/>
    <s v="CATIVO"/>
    <n v="0"/>
    <n v="0"/>
    <n v="25"/>
    <n v="59"/>
    <n v="0"/>
    <n v="69.489999999999995"/>
    <n v="185.18"/>
    <m/>
    <n v="92.397536067834494"/>
    <n v="198.13390838089941"/>
    <n v="0"/>
    <n v="286.30001400000003"/>
    <n v="0"/>
    <n v="326.61544984926667"/>
    <x v="2"/>
  </r>
  <r>
    <s v="Regular"/>
    <x v="0"/>
    <x v="2"/>
    <x v="2"/>
    <x v="1"/>
    <x v="2"/>
    <x v="0"/>
    <x v="0"/>
    <x v="11"/>
    <n v="0"/>
    <n v="0"/>
    <n v="253.489"/>
    <n v="76.046700000000001"/>
    <n v="253.489"/>
    <n v="76.046700000000001"/>
    <n v="0"/>
    <s v="CATIVO"/>
    <n v="0"/>
    <n v="0"/>
    <n v="25"/>
    <n v="59"/>
    <n v="0"/>
    <n v="69.489999999999995"/>
    <n v="185.18"/>
    <m/>
    <n v="92.397536067834494"/>
    <n v="198.13390838089941"/>
    <n v="0"/>
    <n v="45189.230540999997"/>
    <n v="0"/>
    <n v="51552.567725305576"/>
    <x v="2"/>
  </r>
  <r>
    <s v="Refaturamento - Regular"/>
    <x v="0"/>
    <x v="2"/>
    <x v="2"/>
    <x v="1"/>
    <x v="2"/>
    <x v="0"/>
    <x v="0"/>
    <x v="11"/>
    <n v="0"/>
    <n v="0"/>
    <n v="-0.57899999999999996"/>
    <n v="-0.17369999999999999"/>
    <n v="-0.57899999999999996"/>
    <n v="-0.17369999999999999"/>
    <n v="0"/>
    <s v="CATIVO"/>
    <n v="0"/>
    <n v="0"/>
    <n v="25"/>
    <n v="59"/>
    <n v="0"/>
    <n v="69.489999999999995"/>
    <n v="185.18"/>
    <m/>
    <n v="92.397536067834494"/>
    <n v="198.13390838089941"/>
    <n v="0"/>
    <n v="-103.21775099999999"/>
    <n v="0"/>
    <n v="-117.75239443507185"/>
    <x v="2"/>
  </r>
  <r>
    <s v="Regular"/>
    <x v="0"/>
    <x v="2"/>
    <x v="2"/>
    <x v="1"/>
    <x v="2"/>
    <x v="0"/>
    <x v="2"/>
    <x v="0"/>
    <n v="0"/>
    <n v="0"/>
    <n v="15.003"/>
    <n v="4.5008999999999997"/>
    <n v="15.003"/>
    <n v="4.5008999999999997"/>
    <n v="0"/>
    <s v="CATIVO"/>
    <n v="0"/>
    <n v="0"/>
    <n v="12"/>
    <n v="66"/>
    <n v="0"/>
    <n v="1124.7"/>
    <n v="185.18"/>
    <m/>
    <n v="1194.906449742829"/>
    <n v="198.13390838089941"/>
    <n v="0"/>
    <n v="13756.490748"/>
    <n v="0"/>
    <n v="14629.849145051208"/>
    <x v="2"/>
  </r>
  <r>
    <s v="Regular"/>
    <x v="0"/>
    <x v="2"/>
    <x v="2"/>
    <x v="1"/>
    <x v="2"/>
    <x v="0"/>
    <x v="2"/>
    <x v="1"/>
    <n v="0"/>
    <n v="0"/>
    <n v="16.64"/>
    <n v="4.992"/>
    <n v="16.64"/>
    <n v="4.992"/>
    <n v="0"/>
    <s v="CATIVO"/>
    <n v="0"/>
    <n v="0"/>
    <n v="12"/>
    <n v="66"/>
    <n v="0"/>
    <n v="1124.7"/>
    <n v="185.18"/>
    <m/>
    <n v="1194.906449742829"/>
    <n v="198.13390838089941"/>
    <n v="0"/>
    <n v="15257.482240000001"/>
    <n v="0"/>
    <n v="16226.134091425189"/>
    <x v="2"/>
  </r>
  <r>
    <s v="Sistema de Compensação"/>
    <x v="0"/>
    <x v="2"/>
    <x v="2"/>
    <x v="1"/>
    <x v="2"/>
    <x v="0"/>
    <x v="2"/>
    <x v="1"/>
    <n v="0"/>
    <n v="0"/>
    <n v="0.32500000000000001"/>
    <n v="9.7500000000000003E-2"/>
    <n v="0.32500000000000001"/>
    <n v="9.7500000000000003E-2"/>
    <n v="0"/>
    <s v="CATIVO"/>
    <n v="0"/>
    <n v="0"/>
    <n v="12"/>
    <n v="66"/>
    <n v="0"/>
    <n v="1124.7"/>
    <n v="185.18"/>
    <m/>
    <n v="1194.906449742829"/>
    <n v="198.13390838089941"/>
    <n v="0"/>
    <n v="297.99770000000001"/>
    <n v="0"/>
    <n v="316.91668147314823"/>
    <x v="2"/>
  </r>
  <r>
    <s v="Regular"/>
    <x v="0"/>
    <x v="2"/>
    <x v="2"/>
    <x v="1"/>
    <x v="2"/>
    <x v="0"/>
    <x v="2"/>
    <x v="2"/>
    <n v="0"/>
    <n v="0"/>
    <n v="21.83"/>
    <n v="6.5490000000000004"/>
    <n v="21.83"/>
    <n v="6.5490000000000004"/>
    <n v="0"/>
    <s v="CATIVO"/>
    <n v="0"/>
    <n v="0"/>
    <n v="12"/>
    <n v="66"/>
    <n v="0"/>
    <n v="1124.7"/>
    <n v="185.18"/>
    <m/>
    <n v="1194.906449742829"/>
    <n v="198.13390838089941"/>
    <n v="0"/>
    <n v="20016.276279999998"/>
    <n v="0"/>
    <n v="21287.049712488693"/>
    <x v="2"/>
  </r>
  <r>
    <s v="Sistema de Compensação"/>
    <x v="0"/>
    <x v="2"/>
    <x v="2"/>
    <x v="1"/>
    <x v="2"/>
    <x v="0"/>
    <x v="2"/>
    <x v="2"/>
    <n v="0"/>
    <n v="0"/>
    <n v="0.42799999999999999"/>
    <n v="0.12839999999999999"/>
    <n v="0.42799999999999999"/>
    <n v="0.12839999999999999"/>
    <n v="0"/>
    <s v="CATIVO"/>
    <n v="0"/>
    <n v="0"/>
    <n v="12"/>
    <n v="66"/>
    <n v="0"/>
    <n v="1124.7"/>
    <n v="185.18"/>
    <m/>
    <n v="1194.906449742829"/>
    <n v="198.13390838089941"/>
    <n v="0"/>
    <n v="392.44004799999993"/>
    <n v="0"/>
    <n v="417.35489129386895"/>
    <x v="2"/>
  </r>
  <r>
    <s v="Regular"/>
    <x v="0"/>
    <x v="2"/>
    <x v="2"/>
    <x v="1"/>
    <x v="2"/>
    <x v="0"/>
    <x v="2"/>
    <x v="3"/>
    <n v="0"/>
    <n v="0"/>
    <n v="18.888999999999999"/>
    <n v="5.6666999999999996"/>
    <n v="18.888999999999999"/>
    <n v="5.6666999999999996"/>
    <n v="0"/>
    <s v="CATIVO"/>
    <n v="0"/>
    <n v="0"/>
    <n v="12"/>
    <n v="66"/>
    <n v="0"/>
    <n v="1124.7"/>
    <n v="185.18"/>
    <m/>
    <n v="1194.906449742829"/>
    <n v="198.13390838089941"/>
    <n v="0"/>
    <n v="17319.626324000004"/>
    <n v="0"/>
    <n v="18419.197527219374"/>
    <x v="2"/>
  </r>
  <r>
    <s v="Regular"/>
    <x v="0"/>
    <x v="2"/>
    <x v="2"/>
    <x v="1"/>
    <x v="2"/>
    <x v="0"/>
    <x v="2"/>
    <x v="4"/>
    <n v="0"/>
    <n v="0"/>
    <n v="20.326000000000001"/>
    <n v="6.0978000000000003"/>
    <n v="20.326000000000001"/>
    <n v="6.0978000000000003"/>
    <n v="0"/>
    <s v="CATIVO"/>
    <n v="0"/>
    <n v="0"/>
    <n v="12"/>
    <n v="66"/>
    <n v="0"/>
    <n v="1124.7"/>
    <n v="185.18"/>
    <m/>
    <n v="1194.906449742829"/>
    <n v="198.13390838089941"/>
    <n v="0"/>
    <n v="18637.234616000002"/>
    <n v="0"/>
    <n v="19820.456823456032"/>
    <x v="2"/>
  </r>
  <r>
    <s v="Refaturamento - Regular"/>
    <x v="0"/>
    <x v="2"/>
    <x v="2"/>
    <x v="1"/>
    <x v="2"/>
    <x v="0"/>
    <x v="2"/>
    <x v="4"/>
    <n v="0"/>
    <n v="0"/>
    <n v="-6.0999999999999999E-2"/>
    <n v="-1.83E-2"/>
    <n v="-6.0999999999999999E-2"/>
    <n v="-1.83E-2"/>
    <n v="0"/>
    <s v="CATIVO"/>
    <n v="0"/>
    <n v="0"/>
    <n v="12"/>
    <n v="66"/>
    <n v="0"/>
    <n v="1124.7"/>
    <n v="185.18"/>
    <m/>
    <n v="1194.906449742829"/>
    <n v="198.13390838089941"/>
    <n v="0"/>
    <n v="-55.93187600000001"/>
    <n v="0"/>
    <n v="-59.482823291883207"/>
    <x v="2"/>
  </r>
  <r>
    <s v="Sistema de Compensação"/>
    <x v="0"/>
    <x v="2"/>
    <x v="2"/>
    <x v="1"/>
    <x v="2"/>
    <x v="0"/>
    <x v="2"/>
    <x v="4"/>
    <n v="0"/>
    <n v="0"/>
    <n v="0.48199999999999998"/>
    <n v="0.14460000000000001"/>
    <n v="0.48199999999999998"/>
    <n v="0.14460000000000001"/>
    <n v="0"/>
    <s v="CATIVO"/>
    <n v="0"/>
    <n v="0"/>
    <n v="12"/>
    <n v="66"/>
    <n v="0"/>
    <n v="1124.7"/>
    <n v="185.18"/>
    <m/>
    <n v="1194.906449742829"/>
    <n v="198.13390838089941"/>
    <n v="0"/>
    <n v="441.95351199999999"/>
    <n v="0"/>
    <n v="470.01181683094592"/>
    <x v="2"/>
  </r>
  <r>
    <s v="Regular"/>
    <x v="0"/>
    <x v="2"/>
    <x v="2"/>
    <x v="1"/>
    <x v="2"/>
    <x v="0"/>
    <x v="2"/>
    <x v="5"/>
    <n v="0"/>
    <n v="0"/>
    <n v="60.673000000000002"/>
    <n v="18.201899999999998"/>
    <n v="60.673000000000002"/>
    <n v="18.201899999999998"/>
    <n v="0"/>
    <s v="CATIVO"/>
    <n v="0"/>
    <n v="0"/>
    <n v="12"/>
    <n v="66"/>
    <n v="0"/>
    <n v="1124.7"/>
    <n v="185.18"/>
    <m/>
    <n v="1194.906449742829"/>
    <n v="198.13390838089941"/>
    <n v="0"/>
    <n v="55632.044468000015"/>
    <n v="0"/>
    <n v="59163.956353908688"/>
    <x v="2"/>
  </r>
  <r>
    <s v="Regular"/>
    <x v="0"/>
    <x v="2"/>
    <x v="2"/>
    <x v="1"/>
    <x v="2"/>
    <x v="0"/>
    <x v="2"/>
    <x v="6"/>
    <n v="0"/>
    <n v="0"/>
    <n v="126.414"/>
    <n v="37.924199999999999"/>
    <n v="126.414"/>
    <n v="37.924199999999999"/>
    <n v="0"/>
    <s v="CATIVO"/>
    <n v="0"/>
    <n v="0"/>
    <n v="12"/>
    <n v="66"/>
    <n v="0"/>
    <n v="1124.7"/>
    <n v="185.18"/>
    <m/>
    <n v="1194.906449742829"/>
    <n v="198.13390838089941"/>
    <n v="0"/>
    <n v="115911.01922400002"/>
    <n v="0"/>
    <n v="123269.8626822971"/>
    <x v="2"/>
  </r>
  <r>
    <s v="Sistema de Compensação"/>
    <x v="0"/>
    <x v="2"/>
    <x v="2"/>
    <x v="1"/>
    <x v="2"/>
    <x v="0"/>
    <x v="2"/>
    <x v="6"/>
    <n v="0"/>
    <n v="0"/>
    <n v="0.40500000000000003"/>
    <n v="0.1215"/>
    <n v="0.40500000000000003"/>
    <n v="0.1215"/>
    <n v="0"/>
    <s v="CATIVO"/>
    <n v="0"/>
    <n v="0"/>
    <n v="12"/>
    <n v="66"/>
    <n v="0"/>
    <n v="1124.7"/>
    <n v="185.18"/>
    <m/>
    <n v="1194.906449742829"/>
    <n v="198.13390838089941"/>
    <n v="0"/>
    <n v="371.35098000000005"/>
    <n v="0"/>
    <n v="394.92694152807701"/>
    <x v="2"/>
  </r>
  <r>
    <s v="Regular"/>
    <x v="0"/>
    <x v="2"/>
    <x v="2"/>
    <x v="1"/>
    <x v="2"/>
    <x v="0"/>
    <x v="2"/>
    <x v="7"/>
    <n v="0"/>
    <n v="0"/>
    <n v="79.546999999999997"/>
    <n v="23.864100000000001"/>
    <n v="79.546999999999997"/>
    <n v="23.864100000000001"/>
    <n v="0"/>
    <s v="CATIVO"/>
    <n v="0"/>
    <n v="0"/>
    <n v="12"/>
    <n v="66"/>
    <n v="0"/>
    <n v="1124.7"/>
    <n v="185.18"/>
    <m/>
    <n v="1194.906449742829"/>
    <n v="198.13390838089941"/>
    <n v="0"/>
    <n v="72937.91705199999"/>
    <n v="0"/>
    <n v="77568.526957367751"/>
    <x v="2"/>
  </r>
  <r>
    <s v="Refaturamento - Regular"/>
    <x v="0"/>
    <x v="2"/>
    <x v="2"/>
    <x v="1"/>
    <x v="2"/>
    <x v="0"/>
    <x v="2"/>
    <x v="7"/>
    <n v="0"/>
    <n v="0"/>
    <n v="-9.0999999999999998E-2"/>
    <n v="-2.7300000000000001E-2"/>
    <n v="-9.0999999999999998E-2"/>
    <n v="-2.7300000000000001E-2"/>
    <n v="0"/>
    <s v="CATIVO"/>
    <n v="0"/>
    <n v="0"/>
    <n v="12"/>
    <n v="66"/>
    <n v="0"/>
    <n v="1124.7"/>
    <n v="185.18"/>
    <m/>
    <n v="1194.906449742829"/>
    <n v="198.13390838089941"/>
    <n v="0"/>
    <n v="-83.439356000000004"/>
    <n v="0"/>
    <n v="-88.736670812481492"/>
    <x v="2"/>
  </r>
  <r>
    <s v="Sistema de Compensação"/>
    <x v="0"/>
    <x v="2"/>
    <x v="2"/>
    <x v="1"/>
    <x v="2"/>
    <x v="0"/>
    <x v="2"/>
    <x v="7"/>
    <n v="0"/>
    <n v="0"/>
    <n v="0.38600000000000001"/>
    <n v="0.1158"/>
    <n v="0.38600000000000001"/>
    <n v="0.1158"/>
    <n v="0"/>
    <s v="CATIVO"/>
    <n v="0"/>
    <n v="0"/>
    <n v="12"/>
    <n v="66"/>
    <n v="0"/>
    <n v="1124.7"/>
    <n v="185.18"/>
    <m/>
    <n v="1194.906449742829"/>
    <n v="198.13390838089941"/>
    <n v="0"/>
    <n v="353.929576"/>
    <n v="0"/>
    <n v="376.39950476503139"/>
    <x v="2"/>
  </r>
  <r>
    <s v="Regular"/>
    <x v="0"/>
    <x v="2"/>
    <x v="2"/>
    <x v="1"/>
    <x v="2"/>
    <x v="0"/>
    <x v="2"/>
    <x v="8"/>
    <n v="0"/>
    <n v="0"/>
    <n v="83.45"/>
    <n v="25.035"/>
    <n v="83.45"/>
    <n v="25.035"/>
    <n v="0"/>
    <s v="CATIVO"/>
    <n v="0"/>
    <n v="0"/>
    <n v="12"/>
    <n v="66"/>
    <n v="0"/>
    <n v="1124.7"/>
    <n v="185.18"/>
    <m/>
    <n v="1194.906449742829"/>
    <n v="198.13390838089941"/>
    <n v="0"/>
    <n v="76516.640200000023"/>
    <n v="0"/>
    <n v="81374.452519797604"/>
    <x v="2"/>
  </r>
  <r>
    <s v="Refaturamento - Regular"/>
    <x v="0"/>
    <x v="2"/>
    <x v="2"/>
    <x v="1"/>
    <x v="2"/>
    <x v="0"/>
    <x v="2"/>
    <x v="8"/>
    <n v="0"/>
    <n v="0"/>
    <n v="-0.88600000000000001"/>
    <n v="-0.26579999999999998"/>
    <n v="-0.88600000000000001"/>
    <n v="-0.26579999999999998"/>
    <n v="0"/>
    <s v="CATIVO"/>
    <n v="0"/>
    <n v="0"/>
    <n v="12"/>
    <n v="66"/>
    <n v="0"/>
    <n v="1124.7"/>
    <n v="185.18"/>
    <m/>
    <n v="1194.906449742829"/>
    <n v="198.13390838089941"/>
    <n v="0"/>
    <n v="-812.38757600000019"/>
    <n v="0"/>
    <n v="-863.96363010833647"/>
    <x v="2"/>
  </r>
  <r>
    <s v="Sistema de Compensação"/>
    <x v="0"/>
    <x v="2"/>
    <x v="2"/>
    <x v="1"/>
    <x v="2"/>
    <x v="0"/>
    <x v="2"/>
    <x v="8"/>
    <n v="0"/>
    <n v="0"/>
    <n v="0.25800000000000001"/>
    <n v="7.7399999999999997E-2"/>
    <n v="0.25800000000000001"/>
    <n v="7.7399999999999997E-2"/>
    <n v="0"/>
    <s v="CATIVO"/>
    <n v="0"/>
    <n v="0"/>
    <n v="12"/>
    <n v="66"/>
    <n v="0"/>
    <n v="1124.7"/>
    <n v="185.18"/>
    <m/>
    <n v="1194.906449742829"/>
    <n v="198.13390838089941"/>
    <n v="0"/>
    <n v="236.56432800000002"/>
    <n v="0"/>
    <n v="251.58308867714538"/>
    <x v="2"/>
  </r>
  <r>
    <s v="Regular"/>
    <x v="0"/>
    <x v="2"/>
    <x v="2"/>
    <x v="1"/>
    <x v="2"/>
    <x v="0"/>
    <x v="2"/>
    <x v="9"/>
    <n v="0"/>
    <n v="0"/>
    <n v="31.059000000000001"/>
    <n v="9.3177000000000003"/>
    <n v="31.059000000000001"/>
    <n v="9.3177000000000003"/>
    <n v="0"/>
    <s v="CATIVO"/>
    <n v="0"/>
    <n v="0"/>
    <n v="12"/>
    <n v="66"/>
    <n v="0"/>
    <n v="1124.7"/>
    <n v="185.18"/>
    <m/>
    <n v="1194.906449742829"/>
    <n v="198.13390838089941"/>
    <n v="0"/>
    <n v="28478.494044000003"/>
    <n v="0"/>
    <n v="30286.508338075422"/>
    <x v="2"/>
  </r>
  <r>
    <s v="Refaturamento - Regular"/>
    <x v="0"/>
    <x v="2"/>
    <x v="2"/>
    <x v="1"/>
    <x v="2"/>
    <x v="0"/>
    <x v="2"/>
    <x v="9"/>
    <n v="0"/>
    <n v="0"/>
    <n v="-2.99"/>
    <n v="-0.89700000000000002"/>
    <n v="-2.99"/>
    <n v="-0.89700000000000002"/>
    <n v="0"/>
    <s v="CATIVO"/>
    <n v="0"/>
    <n v="0"/>
    <n v="12"/>
    <n v="66"/>
    <n v="0"/>
    <n v="1124.7"/>
    <n v="185.18"/>
    <m/>
    <n v="1194.906449742829"/>
    <n v="198.13390838089941"/>
    <n v="0"/>
    <n v="-2741.5788400000001"/>
    <n v="0"/>
    <n v="-2915.6334695529636"/>
    <x v="2"/>
  </r>
  <r>
    <s v="Sistema de Compensação"/>
    <x v="0"/>
    <x v="2"/>
    <x v="2"/>
    <x v="1"/>
    <x v="2"/>
    <x v="0"/>
    <x v="2"/>
    <x v="9"/>
    <n v="0"/>
    <n v="0"/>
    <n v="0.32"/>
    <n v="9.6000000000000002E-2"/>
    <n v="0.32"/>
    <n v="9.6000000000000002E-2"/>
    <n v="0"/>
    <s v="CATIVO"/>
    <n v="0"/>
    <n v="0"/>
    <n v="12"/>
    <n v="66"/>
    <n v="0"/>
    <n v="1124.7"/>
    <n v="185.18"/>
    <m/>
    <n v="1194.906449742829"/>
    <n v="198.13390838089941"/>
    <n v="0"/>
    <n v="293.41311999999999"/>
    <n v="0"/>
    <n v="312.04104021971517"/>
    <x v="2"/>
  </r>
  <r>
    <s v="Regular"/>
    <x v="0"/>
    <x v="2"/>
    <x v="2"/>
    <x v="1"/>
    <x v="2"/>
    <x v="0"/>
    <x v="2"/>
    <x v="10"/>
    <n v="0"/>
    <n v="0"/>
    <n v="18.913"/>
    <n v="5.6738999999999997"/>
    <n v="18.913"/>
    <n v="5.6738999999999997"/>
    <n v="0"/>
    <s v="CATIVO"/>
    <n v="0"/>
    <n v="0"/>
    <n v="12"/>
    <n v="66"/>
    <n v="0"/>
    <n v="1124.7"/>
    <n v="185.18"/>
    <m/>
    <n v="1194.906449742829"/>
    <n v="198.13390838089941"/>
    <n v="0"/>
    <n v="17341.632308"/>
    <n v="0"/>
    <n v="18442.600605235853"/>
    <x v="2"/>
  </r>
  <r>
    <s v="Refaturamento - Regular"/>
    <x v="0"/>
    <x v="2"/>
    <x v="2"/>
    <x v="1"/>
    <x v="2"/>
    <x v="0"/>
    <x v="2"/>
    <x v="10"/>
    <n v="0"/>
    <n v="0"/>
    <n v="-0.38"/>
    <n v="-0.114"/>
    <n v="-0.38"/>
    <n v="-0.114"/>
    <n v="0"/>
    <s v="CATIVO"/>
    <n v="0"/>
    <n v="0"/>
    <n v="12"/>
    <n v="66"/>
    <n v="0"/>
    <n v="1124.7"/>
    <n v="185.18"/>
    <m/>
    <n v="1194.906449742829"/>
    <n v="198.13390838089941"/>
    <n v="0"/>
    <n v="-348.42808000000002"/>
    <n v="0"/>
    <n v="-370.54873526091177"/>
    <x v="2"/>
  </r>
  <r>
    <s v="Regular"/>
    <x v="0"/>
    <x v="2"/>
    <x v="2"/>
    <x v="1"/>
    <x v="2"/>
    <x v="0"/>
    <x v="2"/>
    <x v="11"/>
    <n v="0"/>
    <n v="0"/>
    <n v="19.396999999999998"/>
    <n v="5.8190999999999997"/>
    <n v="19.396999999999998"/>
    <n v="5.8190999999999997"/>
    <n v="0"/>
    <s v="CATIVO"/>
    <n v="0"/>
    <n v="0"/>
    <n v="12"/>
    <n v="66"/>
    <n v="0"/>
    <n v="1124.7"/>
    <n v="185.18"/>
    <m/>
    <n v="1194.906449742829"/>
    <n v="198.13390838089941"/>
    <n v="0"/>
    <n v="17785.419652"/>
    <n v="0"/>
    <n v="18914.562678568171"/>
    <x v="2"/>
  </r>
  <r>
    <s v="Refaturamento - Regular"/>
    <x v="0"/>
    <x v="2"/>
    <x v="2"/>
    <x v="1"/>
    <x v="2"/>
    <x v="0"/>
    <x v="2"/>
    <x v="11"/>
    <n v="0"/>
    <n v="0"/>
    <n v="-0.09"/>
    <n v="-2.7E-2"/>
    <n v="-0.09"/>
    <n v="-2.7E-2"/>
    <n v="0"/>
    <s v="CATIVO"/>
    <n v="0"/>
    <n v="0"/>
    <n v="12"/>
    <n v="66"/>
    <n v="0"/>
    <n v="1124.7"/>
    <n v="185.18"/>
    <m/>
    <n v="1194.906449742829"/>
    <n v="198.13390838089941"/>
    <n v="0"/>
    <n v="-82.522440000000003"/>
    <n v="0"/>
    <n v="-87.761542561794883"/>
    <x v="2"/>
  </r>
  <r>
    <s v="Regular"/>
    <x v="0"/>
    <x v="2"/>
    <x v="2"/>
    <x v="1"/>
    <x v="3"/>
    <x v="0"/>
    <x v="0"/>
    <x v="0"/>
    <n v="0"/>
    <n v="0"/>
    <n v="84.168000000000006"/>
    <n v="25.250399999999999"/>
    <n v="84.168000000000006"/>
    <n v="25.250399999999999"/>
    <n v="0"/>
    <s v="CATIVO"/>
    <n v="0"/>
    <n v="0"/>
    <n v="25"/>
    <n v="59"/>
    <n v="0"/>
    <n v="69.489999999999995"/>
    <n v="185.18"/>
    <m/>
    <n v="92.397536067834494"/>
    <n v="198.13390838089941"/>
    <n v="0"/>
    <n v="15004.545192000001"/>
    <n v="0"/>
    <n v="17117.415431452726"/>
    <x v="3"/>
  </r>
  <r>
    <s v="Regular"/>
    <x v="0"/>
    <x v="2"/>
    <x v="2"/>
    <x v="1"/>
    <x v="3"/>
    <x v="0"/>
    <x v="0"/>
    <x v="1"/>
    <n v="0"/>
    <n v="0"/>
    <n v="151.08000000000001"/>
    <n v="45.323999999999998"/>
    <n v="151.08000000000001"/>
    <n v="45.323999999999998"/>
    <n v="0"/>
    <s v="CATIVO"/>
    <n v="0"/>
    <n v="0"/>
    <n v="25"/>
    <n v="59"/>
    <n v="0"/>
    <n v="69.489999999999995"/>
    <n v="185.18"/>
    <m/>
    <n v="92.397536067834494"/>
    <n v="198.13390838089941"/>
    <n v="0"/>
    <n v="26932.880520000002"/>
    <n v="0"/>
    <n v="30725.443439120303"/>
    <x v="3"/>
  </r>
  <r>
    <s v="Sistema de Compensação"/>
    <x v="0"/>
    <x v="2"/>
    <x v="2"/>
    <x v="1"/>
    <x v="3"/>
    <x v="0"/>
    <x v="0"/>
    <x v="1"/>
    <n v="0"/>
    <n v="0"/>
    <n v="13.695"/>
    <n v="4.1085000000000003"/>
    <n v="13.695"/>
    <n v="4.1085000000000003"/>
    <n v="0"/>
    <s v="CATIVO"/>
    <n v="0"/>
    <n v="0"/>
    <n v="25"/>
    <n v="59"/>
    <n v="0"/>
    <n v="69.489999999999995"/>
    <n v="185.18"/>
    <m/>
    <n v="92.397536067834494"/>
    <n v="198.13390838089941"/>
    <n v="0"/>
    <n v="2441.3939550000005"/>
    <n v="0"/>
    <n v="2785.1796922077879"/>
    <x v="3"/>
  </r>
  <r>
    <s v="Regular"/>
    <x v="0"/>
    <x v="2"/>
    <x v="2"/>
    <x v="1"/>
    <x v="3"/>
    <x v="0"/>
    <x v="0"/>
    <x v="2"/>
    <n v="0"/>
    <n v="0"/>
    <n v="516.85"/>
    <n v="155.05500000000001"/>
    <n v="516.85"/>
    <n v="155.05500000000001"/>
    <n v="0"/>
    <s v="CATIVO"/>
    <n v="0"/>
    <n v="0"/>
    <n v="25"/>
    <n v="59"/>
    <n v="0"/>
    <n v="69.489999999999995"/>
    <n v="185.18"/>
    <m/>
    <n v="92.397536067834494"/>
    <n v="198.13390838089941"/>
    <n v="0"/>
    <n v="92138.332650000011"/>
    <n v="0"/>
    <n v="105112.82394432969"/>
    <x v="3"/>
  </r>
  <r>
    <s v="Sistema de Compensação"/>
    <x v="0"/>
    <x v="2"/>
    <x v="2"/>
    <x v="1"/>
    <x v="3"/>
    <x v="0"/>
    <x v="0"/>
    <x v="2"/>
    <n v="0"/>
    <n v="0"/>
    <n v="16.559000000000001"/>
    <n v="4.9676999999999998"/>
    <n v="16.559000000000001"/>
    <n v="4.9676999999999998"/>
    <n v="0"/>
    <s v="CATIVO"/>
    <n v="0"/>
    <n v="0"/>
    <n v="25"/>
    <n v="59"/>
    <n v="0"/>
    <n v="69.489999999999995"/>
    <n v="185.18"/>
    <m/>
    <n v="92.397536067834494"/>
    <n v="198.13390838089941"/>
    <n v="0"/>
    <n v="2951.9563710000002"/>
    <n v="0"/>
    <n v="3367.6371320386097"/>
    <x v="3"/>
  </r>
  <r>
    <s v="Regular"/>
    <x v="0"/>
    <x v="2"/>
    <x v="2"/>
    <x v="1"/>
    <x v="3"/>
    <x v="0"/>
    <x v="0"/>
    <x v="3"/>
    <n v="0"/>
    <n v="0"/>
    <n v="249.75800000000001"/>
    <n v="74.927400000000006"/>
    <n v="249.75800000000001"/>
    <n v="74.927400000000006"/>
    <n v="0"/>
    <s v="CATIVO"/>
    <n v="0"/>
    <n v="0"/>
    <n v="25"/>
    <n v="59"/>
    <n v="0"/>
    <n v="69.489999999999995"/>
    <n v="185.18"/>
    <m/>
    <n v="92.397536067834494"/>
    <n v="198.13390838089941"/>
    <n v="0"/>
    <n v="44524.108902"/>
    <n v="0"/>
    <n v="50793.786751838823"/>
    <x v="3"/>
  </r>
  <r>
    <s v="Regular"/>
    <x v="0"/>
    <x v="2"/>
    <x v="2"/>
    <x v="1"/>
    <x v="3"/>
    <x v="0"/>
    <x v="0"/>
    <x v="4"/>
    <n v="0"/>
    <n v="0"/>
    <n v="495.33699999999999"/>
    <n v="148.6011"/>
    <n v="495.33699999999999"/>
    <n v="148.6011"/>
    <n v="0"/>
    <s v="CATIVO"/>
    <n v="0"/>
    <n v="0"/>
    <n v="25"/>
    <n v="59"/>
    <n v="0"/>
    <n v="69.489999999999995"/>
    <n v="185.18"/>
    <m/>
    <n v="92.397536067834494"/>
    <n v="198.13390838089941"/>
    <n v="0"/>
    <n v="88303.23165300001"/>
    <n v="0"/>
    <n v="100737.68186923176"/>
    <x v="3"/>
  </r>
  <r>
    <s v="Refaturamento - Regular"/>
    <x v="0"/>
    <x v="2"/>
    <x v="2"/>
    <x v="1"/>
    <x v="3"/>
    <x v="0"/>
    <x v="0"/>
    <x v="4"/>
    <n v="0"/>
    <n v="0"/>
    <n v="-3.9289999999999998"/>
    <n v="-1.1787000000000001"/>
    <n v="-3.9289999999999998"/>
    <n v="-1.1787000000000001"/>
    <n v="0"/>
    <s v="CATIVO"/>
    <n v="0"/>
    <n v="0"/>
    <n v="25"/>
    <n v="59"/>
    <n v="0"/>
    <n v="69.489999999999995"/>
    <n v="185.18"/>
    <m/>
    <n v="92.397536067834494"/>
    <n v="198.13390838089941"/>
    <n v="0"/>
    <n v="-700.41890100000001"/>
    <n v="0"/>
    <n v="-799.04863166735288"/>
    <x v="3"/>
  </r>
  <r>
    <s v="Sistema de Compensação"/>
    <x v="0"/>
    <x v="2"/>
    <x v="2"/>
    <x v="1"/>
    <x v="3"/>
    <x v="0"/>
    <x v="0"/>
    <x v="4"/>
    <n v="0"/>
    <n v="0"/>
    <n v="8.8059999999999992"/>
    <n v="2.6417999999999999"/>
    <n v="8.8059999999999992"/>
    <n v="2.6417999999999999"/>
    <n v="0"/>
    <s v="CATIVO"/>
    <n v="0"/>
    <n v="0"/>
    <n v="25"/>
    <n v="59"/>
    <n v="0"/>
    <n v="69.489999999999995"/>
    <n v="185.18"/>
    <m/>
    <n v="92.397536067834494"/>
    <n v="198.13390838089941"/>
    <n v="0"/>
    <n v="1569.8368139999998"/>
    <n v="0"/>
    <n v="1790.8939298708851"/>
    <x v="3"/>
  </r>
  <r>
    <s v="Regular"/>
    <x v="0"/>
    <x v="2"/>
    <x v="2"/>
    <x v="1"/>
    <x v="3"/>
    <x v="0"/>
    <x v="0"/>
    <x v="5"/>
    <n v="0"/>
    <n v="0"/>
    <n v="4394.9979999999996"/>
    <n v="1318.4993999999999"/>
    <n v="4394.9979999999996"/>
    <n v="1318.4993999999999"/>
    <n v="0"/>
    <s v="CATIVO"/>
    <n v="0"/>
    <n v="0"/>
    <n v="25"/>
    <n v="59"/>
    <n v="0"/>
    <n v="69.489999999999995"/>
    <n v="185.18"/>
    <m/>
    <n v="92.397536067834494"/>
    <n v="198.13390838089941"/>
    <n v="0"/>
    <n v="783491.89846199995"/>
    <n v="0"/>
    <n v="893819.58210250759"/>
    <x v="3"/>
  </r>
  <r>
    <s v="Regular"/>
    <x v="0"/>
    <x v="2"/>
    <x v="2"/>
    <x v="1"/>
    <x v="3"/>
    <x v="0"/>
    <x v="0"/>
    <x v="6"/>
    <n v="0"/>
    <n v="0"/>
    <n v="6187.6310000000003"/>
    <n v="1856.2892999999999"/>
    <n v="6187.6310000000003"/>
    <n v="1856.2892999999999"/>
    <n v="0"/>
    <s v="CATIVO"/>
    <n v="0"/>
    <n v="0"/>
    <n v="25"/>
    <n v="59"/>
    <n v="0"/>
    <n v="69.489999999999995"/>
    <n v="185.18"/>
    <m/>
    <n v="92.397536067834494"/>
    <n v="198.13390838089941"/>
    <n v="0"/>
    <n v="1103062.7907390003"/>
    <n v="0"/>
    <n v="1258390.960502035"/>
    <x v="3"/>
  </r>
  <r>
    <s v="Sistema de Compensação"/>
    <x v="0"/>
    <x v="2"/>
    <x v="2"/>
    <x v="1"/>
    <x v="3"/>
    <x v="0"/>
    <x v="0"/>
    <x v="6"/>
    <n v="0"/>
    <n v="0"/>
    <n v="94.134"/>
    <n v="28.240200000000002"/>
    <n v="94.134"/>
    <n v="28.240200000000002"/>
    <n v="0"/>
    <s v="CATIVO"/>
    <n v="0"/>
    <n v="0"/>
    <n v="25"/>
    <n v="59"/>
    <n v="0"/>
    <n v="69.489999999999995"/>
    <n v="185.18"/>
    <m/>
    <n v="92.397536067834494"/>
    <n v="198.13390838089941"/>
    <n v="0"/>
    <n v="16781.174046"/>
    <n v="0"/>
    <n v="19144.220894215981"/>
    <x v="3"/>
  </r>
  <r>
    <s v="Regular"/>
    <x v="0"/>
    <x v="2"/>
    <x v="2"/>
    <x v="1"/>
    <x v="3"/>
    <x v="0"/>
    <x v="0"/>
    <x v="7"/>
    <n v="0"/>
    <n v="0"/>
    <n v="4719.0860000000002"/>
    <n v="1415.7257999999999"/>
    <n v="4719.0860000000002"/>
    <n v="1415.7257999999999"/>
    <n v="0"/>
    <s v="CATIVO"/>
    <n v="0"/>
    <n v="0"/>
    <n v="25"/>
    <n v="59"/>
    <n v="0"/>
    <n v="69.489999999999995"/>
    <n v="185.18"/>
    <m/>
    <n v="92.397536067834494"/>
    <n v="198.13390838089941"/>
    <n v="0"/>
    <n v="841266.74213399994"/>
    <n v="0"/>
    <n v="959730.01044045854"/>
    <x v="3"/>
  </r>
  <r>
    <s v="Refaturamento - Regular"/>
    <x v="0"/>
    <x v="2"/>
    <x v="2"/>
    <x v="1"/>
    <x v="3"/>
    <x v="0"/>
    <x v="0"/>
    <x v="7"/>
    <n v="0"/>
    <n v="0"/>
    <n v="-59.923999999999999"/>
    <n v="-17.9772"/>
    <n v="-59.923999999999999"/>
    <n v="-17.9772"/>
    <n v="0"/>
    <s v="CATIVO"/>
    <n v="0"/>
    <n v="0"/>
    <n v="25"/>
    <n v="59"/>
    <n v="0"/>
    <n v="69.489999999999995"/>
    <n v="185.18"/>
    <m/>
    <n v="92.397536067834494"/>
    <n v="198.13390838089941"/>
    <n v="0"/>
    <n v="-10682.591555999999"/>
    <n v="0"/>
    <n v="-12186.86439400215"/>
    <x v="3"/>
  </r>
  <r>
    <s v="Sistema de Compensação"/>
    <x v="0"/>
    <x v="2"/>
    <x v="2"/>
    <x v="1"/>
    <x v="3"/>
    <x v="0"/>
    <x v="0"/>
    <x v="7"/>
    <n v="0"/>
    <n v="0"/>
    <n v="93.962999999999994"/>
    <n v="28.1889"/>
    <n v="93.962999999999994"/>
    <n v="28.1889"/>
    <n v="0"/>
    <s v="CATIVO"/>
    <n v="0"/>
    <n v="0"/>
    <n v="25"/>
    <n v="59"/>
    <n v="0"/>
    <n v="69.489999999999995"/>
    <n v="185.18"/>
    <m/>
    <n v="92.397536067834494"/>
    <n v="198.13390838089941"/>
    <n v="0"/>
    <n v="16750.690046999996"/>
    <n v="0"/>
    <n v="19109.444280315467"/>
    <x v="3"/>
  </r>
  <r>
    <s v="Regular"/>
    <x v="0"/>
    <x v="2"/>
    <x v="2"/>
    <x v="1"/>
    <x v="3"/>
    <x v="0"/>
    <x v="0"/>
    <x v="8"/>
    <n v="0"/>
    <n v="0"/>
    <n v="3626.3319999999999"/>
    <n v="1087.8996"/>
    <n v="3626.3319999999999"/>
    <n v="1087.8996"/>
    <n v="0"/>
    <s v="CATIVO"/>
    <n v="0"/>
    <n v="0"/>
    <n v="25"/>
    <n v="59"/>
    <n v="0"/>
    <n v="69.489999999999995"/>
    <n v="185.18"/>
    <m/>
    <n v="92.397536067834494"/>
    <n v="198.13390838089941"/>
    <n v="0"/>
    <n v="646462.57930799993"/>
    <n v="0"/>
    <n v="737494.4318074662"/>
    <x v="3"/>
  </r>
  <r>
    <s v="Refaturamento - Regular"/>
    <x v="0"/>
    <x v="2"/>
    <x v="2"/>
    <x v="1"/>
    <x v="3"/>
    <x v="0"/>
    <x v="0"/>
    <x v="8"/>
    <n v="0"/>
    <n v="0"/>
    <n v="-98.995000000000005"/>
    <n v="-29.698499999999999"/>
    <n v="-98.995000000000005"/>
    <n v="-29.698499999999999"/>
    <n v="0"/>
    <s v="CATIVO"/>
    <n v="0"/>
    <n v="0"/>
    <n v="25"/>
    <n v="59"/>
    <n v="0"/>
    <n v="69.489999999999995"/>
    <n v="185.18"/>
    <m/>
    <n v="92.397536067834494"/>
    <n v="198.13390838089941"/>
    <n v="0"/>
    <n v="-17647.739655000005"/>
    <n v="0"/>
    <n v="-20132.812240241692"/>
    <x v="3"/>
  </r>
  <r>
    <s v="Sistema de Compensação"/>
    <x v="0"/>
    <x v="2"/>
    <x v="2"/>
    <x v="1"/>
    <x v="3"/>
    <x v="0"/>
    <x v="0"/>
    <x v="8"/>
    <n v="0"/>
    <n v="0"/>
    <n v="43.478000000000002"/>
    <n v="13.0434"/>
    <n v="43.478000000000002"/>
    <n v="13.0434"/>
    <n v="0"/>
    <s v="CATIVO"/>
    <n v="0"/>
    <n v="0"/>
    <n v="25"/>
    <n v="59"/>
    <n v="0"/>
    <n v="69.489999999999995"/>
    <n v="185.18"/>
    <m/>
    <n v="92.397536067834494"/>
    <n v="198.13390838089941"/>
    <n v="0"/>
    <n v="7750.779582000001"/>
    <n v="0"/>
    <n v="8842.2082992194373"/>
    <x v="3"/>
  </r>
  <r>
    <s v="Regular"/>
    <x v="0"/>
    <x v="2"/>
    <x v="2"/>
    <x v="1"/>
    <x v="3"/>
    <x v="0"/>
    <x v="0"/>
    <x v="9"/>
    <n v="0"/>
    <n v="0"/>
    <n v="891.06500000000005"/>
    <n v="267.31950000000001"/>
    <n v="891.06500000000005"/>
    <n v="267.31950000000001"/>
    <n v="0"/>
    <s v="CATIVO"/>
    <n v="0"/>
    <n v="0"/>
    <n v="25"/>
    <n v="59"/>
    <n v="0"/>
    <n v="69.489999999999995"/>
    <n v="185.18"/>
    <m/>
    <n v="92.397536067834494"/>
    <n v="198.13390838089941"/>
    <n v="0"/>
    <n v="158849.266485"/>
    <n v="0"/>
    <n v="181217.68108339777"/>
    <x v="3"/>
  </r>
  <r>
    <s v="Refaturamento - Regular"/>
    <x v="0"/>
    <x v="2"/>
    <x v="2"/>
    <x v="1"/>
    <x v="3"/>
    <x v="0"/>
    <x v="0"/>
    <x v="9"/>
    <n v="0"/>
    <n v="0"/>
    <n v="-29.437000000000001"/>
    <n v="-8.8310999999999993"/>
    <n v="-29.437000000000001"/>
    <n v="-8.8310999999999993"/>
    <n v="0"/>
    <s v="CATIVO"/>
    <n v="0"/>
    <n v="0"/>
    <n v="25"/>
    <n v="59"/>
    <n v="0"/>
    <n v="69.489999999999995"/>
    <n v="185.18"/>
    <m/>
    <n v="92.397536067834494"/>
    <n v="198.13390838089941"/>
    <n v="0"/>
    <n v="-5247.7045530000005"/>
    <n v="0"/>
    <n v="-5986.6618911661662"/>
    <x v="3"/>
  </r>
  <r>
    <s v="Sistema de Compensação"/>
    <x v="0"/>
    <x v="2"/>
    <x v="2"/>
    <x v="1"/>
    <x v="3"/>
    <x v="0"/>
    <x v="0"/>
    <x v="9"/>
    <n v="0"/>
    <n v="0"/>
    <n v="15.882"/>
    <n v="4.7645999999999997"/>
    <n v="15.882"/>
    <n v="4.7645999999999997"/>
    <n v="0"/>
    <s v="CATIVO"/>
    <n v="0"/>
    <n v="0"/>
    <n v="25"/>
    <n v="59"/>
    <n v="0"/>
    <n v="69.489999999999995"/>
    <n v="185.18"/>
    <m/>
    <n v="92.397536067834494"/>
    <n v="198.13390838089941"/>
    <n v="0"/>
    <n v="2831.2682580000001"/>
    <n v="0"/>
    <n v="3229.9542805143542"/>
    <x v="3"/>
  </r>
  <r>
    <s v="Regular"/>
    <x v="0"/>
    <x v="2"/>
    <x v="2"/>
    <x v="1"/>
    <x v="3"/>
    <x v="0"/>
    <x v="0"/>
    <x v="10"/>
    <n v="0"/>
    <n v="0"/>
    <n v="287.714"/>
    <n v="86.3142"/>
    <n v="287.714"/>
    <n v="86.3142"/>
    <n v="0"/>
    <s v="CATIVO"/>
    <n v="0"/>
    <n v="0"/>
    <n v="25"/>
    <n v="59"/>
    <n v="0"/>
    <n v="69.489999999999995"/>
    <n v="185.18"/>
    <m/>
    <n v="92.397536067834494"/>
    <n v="198.13390838089941"/>
    <n v="0"/>
    <n v="51290.487066000002"/>
    <n v="0"/>
    <n v="58512.974805686114"/>
    <x v="3"/>
  </r>
  <r>
    <s v="Refaturamento - Regular"/>
    <x v="0"/>
    <x v="2"/>
    <x v="2"/>
    <x v="1"/>
    <x v="3"/>
    <x v="0"/>
    <x v="0"/>
    <x v="10"/>
    <n v="0"/>
    <n v="0"/>
    <n v="-6.31"/>
    <n v="-1.893"/>
    <n v="-6.31"/>
    <n v="-1.893"/>
    <n v="0"/>
    <s v="CATIVO"/>
    <n v="0"/>
    <n v="0"/>
    <n v="25"/>
    <n v="59"/>
    <n v="0"/>
    <n v="69.489999999999995"/>
    <n v="185.18"/>
    <m/>
    <n v="92.397536067834494"/>
    <n v="198.13390838089941"/>
    <n v="0"/>
    <n v="-1124.8773900000001"/>
    <n v="0"/>
    <n v="-1283.2773901300577"/>
    <x v="3"/>
  </r>
  <r>
    <s v="Regular"/>
    <x v="0"/>
    <x v="2"/>
    <x v="2"/>
    <x v="1"/>
    <x v="3"/>
    <x v="0"/>
    <x v="0"/>
    <x v="11"/>
    <n v="0"/>
    <n v="0"/>
    <n v="222.86099999999999"/>
    <n v="66.8583"/>
    <n v="222.86099999999999"/>
    <n v="66.8583"/>
    <n v="0"/>
    <s v="CATIVO"/>
    <n v="0"/>
    <n v="0"/>
    <n v="25"/>
    <n v="59"/>
    <n v="0"/>
    <n v="69.489999999999995"/>
    <n v="185.18"/>
    <m/>
    <n v="92.397536067834494"/>
    <n v="198.13390838089941"/>
    <n v="0"/>
    <n v="39729.207609000005"/>
    <n v="0"/>
    <n v="45323.689768902499"/>
    <x v="3"/>
  </r>
  <r>
    <s v="Refaturamento - Regular"/>
    <x v="0"/>
    <x v="2"/>
    <x v="2"/>
    <x v="1"/>
    <x v="3"/>
    <x v="0"/>
    <x v="0"/>
    <x v="11"/>
    <n v="0"/>
    <n v="0"/>
    <n v="-0.36299999999999999"/>
    <n v="-0.1089"/>
    <n v="-0.36299999999999999"/>
    <n v="-0.1089"/>
    <n v="0"/>
    <s v="CATIVO"/>
    <n v="0"/>
    <n v="0"/>
    <n v="25"/>
    <n v="59"/>
    <n v="0"/>
    <n v="69.489999999999995"/>
    <n v="185.18"/>
    <m/>
    <n v="92.397536067834494"/>
    <n v="198.13390838089941"/>
    <n v="0"/>
    <n v="-64.711646999999999"/>
    <n v="0"/>
    <n v="-73.824040034423291"/>
    <x v="3"/>
  </r>
  <r>
    <s v="Sistema de Compensação"/>
    <x v="0"/>
    <x v="2"/>
    <x v="2"/>
    <x v="1"/>
    <x v="3"/>
    <x v="0"/>
    <x v="0"/>
    <x v="11"/>
    <n v="0"/>
    <n v="0"/>
    <n v="2E-3"/>
    <n v="5.9999999999999995E-4"/>
    <n v="2E-3"/>
    <n v="5.9999999999999995E-4"/>
    <n v="0"/>
    <s v="CATIVO"/>
    <n v="0"/>
    <n v="0"/>
    <n v="25"/>
    <n v="59"/>
    <n v="0"/>
    <n v="69.489999999999995"/>
    <n v="185.18"/>
    <m/>
    <n v="92.397536067834494"/>
    <n v="198.13390838089941"/>
    <n v="0"/>
    <n v="0.35653800000000002"/>
    <n v="0"/>
    <n v="0.40674402222822753"/>
    <x v="3"/>
  </r>
  <r>
    <s v="Regular"/>
    <x v="0"/>
    <x v="2"/>
    <x v="2"/>
    <x v="1"/>
    <x v="1"/>
    <x v="0"/>
    <x v="1"/>
    <x v="0"/>
    <n v="5208"/>
    <n v="4999.6799999999994"/>
    <n v="0"/>
    <n v="0"/>
    <n v="0"/>
    <n v="0"/>
    <n v="146"/>
    <s v="CATIVO"/>
    <n v="0"/>
    <n v="18"/>
    <n v="0"/>
    <n v="0"/>
    <n v="26.17"/>
    <n v="0"/>
    <n v="0"/>
    <n v="27.746237112155811"/>
    <m/>
    <m/>
    <n v="5451.7344000000166"/>
    <n v="0"/>
    <n v="5780.0961152043155"/>
    <n v="0"/>
    <x v="2"/>
  </r>
  <r>
    <s v="Sistema de Compensação"/>
    <x v="0"/>
    <x v="2"/>
    <x v="2"/>
    <x v="1"/>
    <x v="1"/>
    <x v="0"/>
    <x v="1"/>
    <x v="0"/>
    <n v="1170"/>
    <n v="1123.2"/>
    <n v="0"/>
    <n v="0"/>
    <n v="0"/>
    <n v="0"/>
    <n v="5"/>
    <s v="CATIVO"/>
    <n v="0"/>
    <n v="18"/>
    <n v="0"/>
    <n v="0"/>
    <n v="26.17"/>
    <n v="0"/>
    <n v="0"/>
    <n v="27.746237112155811"/>
    <m/>
    <m/>
    <n v="1224.7559999999989"/>
    <n v="0"/>
    <n v="1298.5238968488907"/>
    <n v="0"/>
    <x v="2"/>
  </r>
  <r>
    <s v="Regular"/>
    <x v="0"/>
    <x v="2"/>
    <x v="2"/>
    <x v="1"/>
    <x v="1"/>
    <x v="0"/>
    <x v="1"/>
    <x v="1"/>
    <n v="7146"/>
    <n v="6860.16"/>
    <n v="0"/>
    <n v="0"/>
    <n v="0"/>
    <n v="0"/>
    <n v="151"/>
    <s v="CATIVO"/>
    <n v="0"/>
    <n v="18"/>
    <n v="0"/>
    <n v="0"/>
    <n v="26.17"/>
    <n v="0"/>
    <n v="0"/>
    <n v="27.746237112155811"/>
    <m/>
    <m/>
    <n v="7480.4328000000041"/>
    <n v="0"/>
    <n v="7930.9844161386209"/>
    <n v="0"/>
    <x v="2"/>
  </r>
  <r>
    <s v="Sistema de Compensação"/>
    <x v="0"/>
    <x v="2"/>
    <x v="2"/>
    <x v="1"/>
    <x v="1"/>
    <x v="0"/>
    <x v="1"/>
    <x v="1"/>
    <n v="1170"/>
    <n v="1123.2"/>
    <n v="0"/>
    <n v="0"/>
    <n v="0"/>
    <n v="0"/>
    <n v="5"/>
    <s v="CATIVO"/>
    <n v="0"/>
    <n v="18"/>
    <n v="0"/>
    <n v="0"/>
    <n v="26.17"/>
    <n v="0"/>
    <n v="0"/>
    <n v="27.746237112155811"/>
    <m/>
    <m/>
    <n v="1224.7559999999989"/>
    <n v="0"/>
    <n v="1298.5238968488907"/>
    <n v="0"/>
    <x v="2"/>
  </r>
  <r>
    <s v="Regular"/>
    <x v="0"/>
    <x v="2"/>
    <x v="2"/>
    <x v="1"/>
    <x v="1"/>
    <x v="0"/>
    <x v="1"/>
    <x v="2"/>
    <n v="15970"/>
    <n v="15331.199999999999"/>
    <n v="0"/>
    <n v="0"/>
    <n v="0"/>
    <n v="0"/>
    <n v="157"/>
    <s v="CATIVO"/>
    <n v="0"/>
    <n v="18"/>
    <n v="0"/>
    <n v="0"/>
    <n v="26.17"/>
    <n v="0"/>
    <n v="0"/>
    <n v="27.746237112155811"/>
    <m/>
    <m/>
    <n v="16717.39600000003"/>
    <n v="0"/>
    <n v="17724.296267245161"/>
    <n v="0"/>
    <x v="2"/>
  </r>
  <r>
    <s v="Sistema de Compensação"/>
    <x v="0"/>
    <x v="2"/>
    <x v="2"/>
    <x v="1"/>
    <x v="1"/>
    <x v="0"/>
    <x v="1"/>
    <x v="2"/>
    <n v="1170"/>
    <n v="1123.2"/>
    <n v="0"/>
    <n v="0"/>
    <n v="0"/>
    <n v="0"/>
    <n v="5"/>
    <s v="CATIVO"/>
    <n v="0"/>
    <n v="18"/>
    <n v="0"/>
    <n v="0"/>
    <n v="26.17"/>
    <n v="0"/>
    <n v="0"/>
    <n v="27.746237112155811"/>
    <m/>
    <m/>
    <n v="1224.7559999999989"/>
    <n v="0"/>
    <n v="1298.5238968488907"/>
    <n v="0"/>
    <x v="2"/>
  </r>
  <r>
    <s v="Regular"/>
    <x v="0"/>
    <x v="2"/>
    <x v="2"/>
    <x v="1"/>
    <x v="1"/>
    <x v="0"/>
    <x v="1"/>
    <x v="3"/>
    <n v="14507"/>
    <n v="13926.72"/>
    <n v="0"/>
    <n v="0"/>
    <n v="0"/>
    <n v="0"/>
    <n v="159"/>
    <s v="CATIVO"/>
    <n v="0"/>
    <n v="18"/>
    <n v="0"/>
    <n v="0"/>
    <n v="26.17"/>
    <n v="0"/>
    <n v="0"/>
    <n v="27.746237112155811"/>
    <m/>
    <m/>
    <n v="15185.927600000017"/>
    <n v="0"/>
    <n v="16100.586471441791"/>
    <n v="0"/>
    <x v="2"/>
  </r>
  <r>
    <s v="Sistema de Compensação"/>
    <x v="0"/>
    <x v="2"/>
    <x v="2"/>
    <x v="1"/>
    <x v="1"/>
    <x v="0"/>
    <x v="1"/>
    <x v="3"/>
    <n v="1354"/>
    <n v="1299.8399999999999"/>
    <n v="0"/>
    <n v="0"/>
    <n v="0"/>
    <n v="0"/>
    <n v="5"/>
    <s v="CATIVO"/>
    <n v="0"/>
    <n v="18"/>
    <n v="0"/>
    <n v="0"/>
    <n v="26.17"/>
    <n v="0"/>
    <n v="0"/>
    <n v="27.746237112155811"/>
    <m/>
    <m/>
    <n v="1417.3672000000022"/>
    <n v="0"/>
    <n v="1502.736201994361"/>
    <n v="0"/>
    <x v="2"/>
  </r>
  <r>
    <s v="Regular"/>
    <x v="0"/>
    <x v="2"/>
    <x v="2"/>
    <x v="1"/>
    <x v="1"/>
    <x v="0"/>
    <x v="1"/>
    <x v="4"/>
    <n v="22271"/>
    <n v="21380.16"/>
    <n v="0"/>
    <n v="0"/>
    <n v="0"/>
    <n v="0"/>
    <n v="161"/>
    <s v="CATIVO"/>
    <n v="0"/>
    <n v="18"/>
    <n v="0"/>
    <n v="0"/>
    <n v="26.17"/>
    <n v="0"/>
    <n v="0"/>
    <n v="27.746237112155811"/>
    <m/>
    <m/>
    <n v="23313.282800000004"/>
    <n v="0"/>
    <n v="24717.457868992886"/>
    <n v="0"/>
    <x v="2"/>
  </r>
  <r>
    <s v="Refaturamento - Regular"/>
    <x v="0"/>
    <x v="2"/>
    <x v="2"/>
    <x v="1"/>
    <x v="1"/>
    <x v="0"/>
    <x v="1"/>
    <x v="4"/>
    <n v="-241"/>
    <n v="-231.35999999999999"/>
    <n v="0"/>
    <n v="0"/>
    <n v="0"/>
    <n v="0"/>
    <n v="-1"/>
    <s v="CATIVO"/>
    <n v="0"/>
    <n v="18"/>
    <n v="0"/>
    <n v="0"/>
    <n v="26.17"/>
    <n v="0"/>
    <n v="0"/>
    <n v="27.746237112155811"/>
    <m/>
    <m/>
    <n v="-252.27880000000042"/>
    <n v="0"/>
    <n v="-267.47372576118244"/>
    <n v="0"/>
    <x v="2"/>
  </r>
  <r>
    <s v="Sistema de Compensação"/>
    <x v="0"/>
    <x v="2"/>
    <x v="2"/>
    <x v="1"/>
    <x v="1"/>
    <x v="0"/>
    <x v="1"/>
    <x v="4"/>
    <n v="1343"/>
    <n v="1289.28"/>
    <n v="0"/>
    <n v="0"/>
    <n v="0"/>
    <n v="0"/>
    <n v="5"/>
    <s v="CATIVO"/>
    <n v="0"/>
    <n v="18"/>
    <n v="0"/>
    <n v="0"/>
    <n v="26.17"/>
    <n v="0"/>
    <n v="0"/>
    <n v="27.746237112155811"/>
    <m/>
    <m/>
    <n v="1405.8524000000009"/>
    <n v="0"/>
    <n v="1490.527857665011"/>
    <n v="0"/>
    <x v="2"/>
  </r>
  <r>
    <s v="Regular"/>
    <x v="0"/>
    <x v="2"/>
    <x v="2"/>
    <x v="1"/>
    <x v="1"/>
    <x v="0"/>
    <x v="1"/>
    <x v="5"/>
    <n v="41191"/>
    <n v="39543.360000000001"/>
    <n v="0"/>
    <n v="0"/>
    <n v="0"/>
    <n v="0"/>
    <n v="160"/>
    <s v="CATIVO"/>
    <n v="0"/>
    <n v="18"/>
    <n v="0"/>
    <n v="0"/>
    <n v="26.17"/>
    <n v="0"/>
    <n v="0"/>
    <n v="27.746237112155811"/>
    <m/>
    <m/>
    <n v="43118.738799999985"/>
    <n v="0"/>
    <n v="45715.810115472384"/>
    <n v="0"/>
    <x v="2"/>
  </r>
  <r>
    <s v="Regular"/>
    <x v="0"/>
    <x v="2"/>
    <x v="2"/>
    <x v="1"/>
    <x v="1"/>
    <x v="0"/>
    <x v="1"/>
    <x v="6"/>
    <n v="45076"/>
    <n v="43272.959999999999"/>
    <n v="0"/>
    <n v="0"/>
    <n v="0"/>
    <n v="0"/>
    <n v="162"/>
    <s v="CATIVO"/>
    <n v="0"/>
    <n v="18"/>
    <n v="0"/>
    <n v="0"/>
    <n v="26.17"/>
    <n v="0"/>
    <n v="0"/>
    <n v="27.746237112155811"/>
    <m/>
    <m/>
    <n v="47185.556800000028"/>
    <n v="0"/>
    <n v="50027.575362701435"/>
    <n v="0"/>
    <x v="2"/>
  </r>
  <r>
    <s v="Sistema de Compensação"/>
    <x v="0"/>
    <x v="2"/>
    <x v="2"/>
    <x v="1"/>
    <x v="1"/>
    <x v="0"/>
    <x v="1"/>
    <x v="6"/>
    <n v="1394"/>
    <n v="1338.24"/>
    <n v="0"/>
    <n v="0"/>
    <n v="0"/>
    <n v="0"/>
    <n v="5"/>
    <s v="CATIVO"/>
    <n v="0"/>
    <n v="18"/>
    <n v="0"/>
    <n v="0"/>
    <n v="26.17"/>
    <n v="0"/>
    <n v="0"/>
    <n v="27.746237112155811"/>
    <m/>
    <m/>
    <n v="1459.2391999999998"/>
    <n v="0"/>
    <n v="1547.1301813738078"/>
    <n v="0"/>
    <x v="2"/>
  </r>
  <r>
    <s v="Regular"/>
    <x v="0"/>
    <x v="2"/>
    <x v="2"/>
    <x v="1"/>
    <x v="1"/>
    <x v="0"/>
    <x v="1"/>
    <x v="7"/>
    <n v="44486"/>
    <n v="42706.559999999998"/>
    <n v="0"/>
    <n v="0"/>
    <n v="0"/>
    <n v="0"/>
    <n v="170"/>
    <s v="CATIVO"/>
    <n v="0"/>
    <n v="18"/>
    <n v="0"/>
    <n v="0"/>
    <n v="26.17"/>
    <n v="0"/>
    <n v="0"/>
    <n v="27.746237112155811"/>
    <m/>
    <m/>
    <n v="46567.944800000063"/>
    <n v="0"/>
    <n v="49372.764166854598"/>
    <n v="0"/>
    <x v="2"/>
  </r>
  <r>
    <s v="Refaturamento - Regular"/>
    <x v="0"/>
    <x v="2"/>
    <x v="2"/>
    <x v="1"/>
    <x v="1"/>
    <x v="0"/>
    <x v="1"/>
    <x v="7"/>
    <n v="-431"/>
    <n v="-413.76"/>
    <n v="0"/>
    <n v="0"/>
    <n v="0"/>
    <n v="0"/>
    <n v="-3"/>
    <s v="CATIVO"/>
    <n v="0"/>
    <n v="18"/>
    <n v="0"/>
    <n v="0"/>
    <n v="26.17"/>
    <n v="0"/>
    <n v="0"/>
    <n v="27.746237112155811"/>
    <m/>
    <m/>
    <n v="-451.17080000000027"/>
    <n v="0"/>
    <n v="-478.34512781356642"/>
    <n v="0"/>
    <x v="2"/>
  </r>
  <r>
    <s v="Sistema de Compensação"/>
    <x v="0"/>
    <x v="2"/>
    <x v="2"/>
    <x v="1"/>
    <x v="1"/>
    <x v="0"/>
    <x v="1"/>
    <x v="7"/>
    <n v="1582"/>
    <n v="1518.72"/>
    <n v="0"/>
    <n v="0"/>
    <n v="0"/>
    <n v="0"/>
    <n v="6"/>
    <s v="CATIVO"/>
    <n v="0"/>
    <n v="18"/>
    <n v="0"/>
    <n v="0"/>
    <n v="26.17"/>
    <n v="0"/>
    <n v="0"/>
    <n v="27.746237112155811"/>
    <m/>
    <m/>
    <n v="1656.0375999999994"/>
    <n v="0"/>
    <n v="1755.7818844572189"/>
    <n v="0"/>
    <x v="2"/>
  </r>
  <r>
    <s v="Regular"/>
    <x v="0"/>
    <x v="2"/>
    <x v="2"/>
    <x v="1"/>
    <x v="1"/>
    <x v="0"/>
    <x v="1"/>
    <x v="8"/>
    <n v="42453"/>
    <n v="40754.879999999997"/>
    <n v="0"/>
    <n v="0"/>
    <n v="0"/>
    <n v="0"/>
    <n v="171"/>
    <s v="CATIVO"/>
    <n v="0"/>
    <n v="18"/>
    <n v="0"/>
    <n v="0"/>
    <n v="26.17"/>
    <n v="0"/>
    <n v="0"/>
    <n v="27.746237112155811"/>
    <m/>
    <m/>
    <n v="44439.800400000073"/>
    <n v="0"/>
    <n v="47116.440164894098"/>
    <n v="0"/>
    <x v="2"/>
  </r>
  <r>
    <s v="Refaturamento - Regular"/>
    <x v="0"/>
    <x v="2"/>
    <x v="2"/>
    <x v="1"/>
    <x v="1"/>
    <x v="0"/>
    <x v="1"/>
    <x v="8"/>
    <n v="-1086"/>
    <n v="-1042.56"/>
    <n v="0"/>
    <n v="0"/>
    <n v="0"/>
    <n v="0"/>
    <n v="-4"/>
    <s v="CATIVO"/>
    <n v="0"/>
    <n v="18"/>
    <n v="0"/>
    <n v="0"/>
    <n v="26.17"/>
    <n v="0"/>
    <n v="0"/>
    <n v="27.746237112155811"/>
    <m/>
    <m/>
    <n v="-1136.8248000000015"/>
    <n v="0"/>
    <n v="-1205.2965401520498"/>
    <n v="0"/>
    <x v="2"/>
  </r>
  <r>
    <s v="Sistema de Compensação"/>
    <x v="0"/>
    <x v="2"/>
    <x v="2"/>
    <x v="1"/>
    <x v="1"/>
    <x v="0"/>
    <x v="1"/>
    <x v="8"/>
    <n v="1803"/>
    <n v="1730.8799999999999"/>
    <n v="0"/>
    <n v="0"/>
    <n v="0"/>
    <n v="0"/>
    <n v="7"/>
    <s v="CATIVO"/>
    <n v="0"/>
    <n v="18"/>
    <n v="0"/>
    <n v="0"/>
    <n v="26.17"/>
    <n v="0"/>
    <n v="0"/>
    <n v="27.746237112155811"/>
    <m/>
    <m/>
    <n v="1887.3804000000032"/>
    <n v="0"/>
    <n v="2001.0586205286804"/>
    <n v="0"/>
    <x v="2"/>
  </r>
  <r>
    <s v="Regular"/>
    <x v="0"/>
    <x v="2"/>
    <x v="2"/>
    <x v="1"/>
    <x v="1"/>
    <x v="0"/>
    <x v="1"/>
    <x v="9"/>
    <n v="28500"/>
    <n v="27360"/>
    <n v="0"/>
    <n v="0"/>
    <n v="0"/>
    <n v="0"/>
    <n v="171"/>
    <s v="CATIVO"/>
    <n v="0"/>
    <n v="18"/>
    <n v="0"/>
    <n v="0"/>
    <n v="26.17"/>
    <n v="0"/>
    <n v="0"/>
    <n v="27.746237112155811"/>
    <m/>
    <m/>
    <n v="29833.800000000003"/>
    <n v="0"/>
    <n v="31630.710307857626"/>
    <n v="0"/>
    <x v="2"/>
  </r>
  <r>
    <s v="Refaturamento - Regular"/>
    <x v="0"/>
    <x v="2"/>
    <x v="2"/>
    <x v="1"/>
    <x v="1"/>
    <x v="0"/>
    <x v="1"/>
    <x v="9"/>
    <n v="-1819"/>
    <n v="-1746.24"/>
    <n v="0"/>
    <n v="0"/>
    <n v="0"/>
    <n v="0"/>
    <n v="-2"/>
    <s v="CATIVO"/>
    <n v="0"/>
    <n v="18"/>
    <n v="0"/>
    <n v="0"/>
    <n v="26.17"/>
    <n v="0"/>
    <n v="0"/>
    <n v="27.746237112155811"/>
    <m/>
    <m/>
    <n v="-1904.1291999999999"/>
    <n v="0"/>
    <n v="-2018.8162122804565"/>
    <n v="0"/>
    <x v="2"/>
  </r>
  <r>
    <s v="Sistema de Compensação"/>
    <x v="0"/>
    <x v="2"/>
    <x v="2"/>
    <x v="1"/>
    <x v="1"/>
    <x v="0"/>
    <x v="1"/>
    <x v="9"/>
    <n v="1711"/>
    <n v="1642.56"/>
    <n v="0"/>
    <n v="0"/>
    <n v="0"/>
    <n v="0"/>
    <n v="7"/>
    <s v="CATIVO"/>
    <n v="0"/>
    <n v="18"/>
    <n v="0"/>
    <n v="0"/>
    <n v="26.17"/>
    <n v="0"/>
    <n v="0"/>
    <n v="27.746237112155811"/>
    <m/>
    <m/>
    <n v="1791.0748000000015"/>
    <n v="0"/>
    <n v="1898.9524679559452"/>
    <n v="0"/>
    <x v="2"/>
  </r>
  <r>
    <s v="Regular"/>
    <x v="0"/>
    <x v="2"/>
    <x v="2"/>
    <x v="1"/>
    <x v="1"/>
    <x v="0"/>
    <x v="1"/>
    <x v="10"/>
    <n v="11500"/>
    <n v="11040"/>
    <n v="0"/>
    <n v="0"/>
    <n v="0"/>
    <n v="0"/>
    <n v="172"/>
    <s v="CATIVO"/>
    <n v="0"/>
    <n v="18"/>
    <n v="0"/>
    <n v="0"/>
    <n v="26.17"/>
    <n v="0"/>
    <n v="0"/>
    <n v="27.746237112155811"/>
    <m/>
    <m/>
    <n v="12038.2"/>
    <n v="0"/>
    <n v="12763.269071591672"/>
    <n v="0"/>
    <x v="2"/>
  </r>
  <r>
    <s v="Refaturamento - Regular"/>
    <x v="0"/>
    <x v="2"/>
    <x v="2"/>
    <x v="1"/>
    <x v="1"/>
    <x v="0"/>
    <x v="1"/>
    <x v="10"/>
    <n v="-803"/>
    <n v="-770.88"/>
    <n v="0"/>
    <n v="0"/>
    <n v="0"/>
    <n v="0"/>
    <n v="-3"/>
    <s v="CATIVO"/>
    <n v="0"/>
    <n v="18"/>
    <n v="0"/>
    <n v="0"/>
    <n v="26.17"/>
    <n v="0"/>
    <n v="0"/>
    <n v="27.746237112155811"/>
    <m/>
    <m/>
    <n v="-840.58040000000017"/>
    <n v="0"/>
    <n v="-891.20913604244481"/>
    <n v="0"/>
    <x v="2"/>
  </r>
  <r>
    <s v="Sistema de Compensação"/>
    <x v="0"/>
    <x v="2"/>
    <x v="2"/>
    <x v="1"/>
    <x v="1"/>
    <x v="0"/>
    <x v="1"/>
    <x v="10"/>
    <n v="1450"/>
    <n v="1392"/>
    <n v="0"/>
    <n v="0"/>
    <n v="0"/>
    <n v="0"/>
    <n v="7"/>
    <s v="CATIVO"/>
    <n v="0"/>
    <n v="18"/>
    <n v="0"/>
    <n v="0"/>
    <n v="26.17"/>
    <n v="0"/>
    <n v="0"/>
    <n v="27.746237112155811"/>
    <m/>
    <m/>
    <n v="1517.8600000000001"/>
    <n v="0"/>
    <n v="1609.281752505037"/>
    <n v="0"/>
    <x v="2"/>
  </r>
  <r>
    <s v="Regular"/>
    <x v="0"/>
    <x v="2"/>
    <x v="2"/>
    <x v="1"/>
    <x v="1"/>
    <x v="0"/>
    <x v="1"/>
    <x v="11"/>
    <n v="6121"/>
    <n v="5876.16"/>
    <n v="0"/>
    <n v="0"/>
    <n v="0"/>
    <n v="0"/>
    <n v="170"/>
    <s v="CATIVO"/>
    <n v="0"/>
    <n v="18"/>
    <n v="0"/>
    <n v="0"/>
    <n v="26.17"/>
    <n v="0"/>
    <n v="0"/>
    <n v="27.746237112155811"/>
    <m/>
    <m/>
    <n v="6407.4628000000039"/>
    <n v="0"/>
    <n v="6793.3886945402328"/>
    <n v="0"/>
    <x v="2"/>
  </r>
  <r>
    <s v="Refaturamento - Regular"/>
    <x v="0"/>
    <x v="2"/>
    <x v="2"/>
    <x v="1"/>
    <x v="1"/>
    <x v="0"/>
    <x v="1"/>
    <x v="11"/>
    <n v="-77"/>
    <n v="-73.92"/>
    <n v="0"/>
    <n v="0"/>
    <n v="0"/>
    <n v="0"/>
    <n v="-1"/>
    <s v="CATIVO"/>
    <n v="0"/>
    <n v="18"/>
    <n v="0"/>
    <n v="0"/>
    <n v="26.17"/>
    <n v="0"/>
    <n v="0"/>
    <n v="27.746237112155811"/>
    <m/>
    <m/>
    <n v="-80.603599999999958"/>
    <n v="0"/>
    <n v="-85.458410305439855"/>
    <n v="0"/>
    <x v="2"/>
  </r>
  <r>
    <s v="Sistema de Compensação"/>
    <x v="0"/>
    <x v="2"/>
    <x v="2"/>
    <x v="1"/>
    <x v="1"/>
    <x v="0"/>
    <x v="1"/>
    <x v="11"/>
    <n v="1265"/>
    <n v="1214.3999999999999"/>
    <n v="0"/>
    <n v="0"/>
    <n v="0"/>
    <n v="0"/>
    <n v="7"/>
    <s v="CATIVO"/>
    <n v="0"/>
    <n v="18"/>
    <n v="0"/>
    <n v="0"/>
    <n v="26.17"/>
    <n v="0"/>
    <n v="0"/>
    <n v="27.746237112155811"/>
    <m/>
    <m/>
    <n v="1324.2020000000036"/>
    <n v="0"/>
    <n v="1403.9595978750879"/>
    <n v="0"/>
    <x v="2"/>
  </r>
  <r>
    <s v="Regular"/>
    <x v="0"/>
    <x v="2"/>
    <x v="2"/>
    <x v="0"/>
    <x v="1"/>
    <x v="0"/>
    <x v="0"/>
    <x v="0"/>
    <n v="0"/>
    <n v="0"/>
    <n v="1481.367"/>
    <n v="1422.11232"/>
    <n v="1481.367"/>
    <n v="1422.11232"/>
    <n v="0"/>
    <s v="CATIVO"/>
    <n v="0"/>
    <n v="0"/>
    <n v="25"/>
    <n v="59"/>
    <n v="0"/>
    <n v="69.489999999999995"/>
    <n v="185.18"/>
    <m/>
    <n v="92.397536067834494"/>
    <n v="198.13390838089941"/>
    <n v="0"/>
    <n v="15090.3893556"/>
    <n v="0"/>
    <n v="17215.347770747507"/>
    <x v="2"/>
  </r>
  <r>
    <s v="Sistema de Compensação"/>
    <x v="0"/>
    <x v="2"/>
    <x v="2"/>
    <x v="0"/>
    <x v="1"/>
    <x v="0"/>
    <x v="0"/>
    <x v="0"/>
    <n v="0"/>
    <n v="0"/>
    <n v="46.137"/>
    <n v="44.291519999999998"/>
    <n v="46.137"/>
    <n v="44.291519999999998"/>
    <n v="0"/>
    <s v="CATIVO"/>
    <n v="0"/>
    <n v="0"/>
    <n v="25"/>
    <n v="59"/>
    <n v="0"/>
    <n v="69.489999999999995"/>
    <n v="185.18"/>
    <m/>
    <n v="92.397536067834494"/>
    <n v="198.13390838089941"/>
    <n v="0"/>
    <n v="469.98839160000051"/>
    <n v="0"/>
    <n v="536.16997010124999"/>
    <x v="2"/>
  </r>
  <r>
    <s v="Regular"/>
    <x v="0"/>
    <x v="2"/>
    <x v="2"/>
    <x v="0"/>
    <x v="1"/>
    <x v="0"/>
    <x v="0"/>
    <x v="1"/>
    <n v="0"/>
    <n v="0"/>
    <n v="1533.671"/>
    <n v="1472.3241599999999"/>
    <n v="1533.671"/>
    <n v="1472.3241599999999"/>
    <n v="0"/>
    <s v="CATIVO"/>
    <n v="0"/>
    <n v="0"/>
    <n v="25"/>
    <n v="59"/>
    <n v="0"/>
    <n v="69.489999999999995"/>
    <n v="185.18"/>
    <m/>
    <n v="92.397536067834494"/>
    <n v="198.13390838089941"/>
    <n v="0"/>
    <n v="15623.19974280004"/>
    <n v="0"/>
    <n v="17823.186037565414"/>
    <x v="2"/>
  </r>
  <r>
    <s v="Sistema de Compensação"/>
    <x v="0"/>
    <x v="2"/>
    <x v="2"/>
    <x v="0"/>
    <x v="1"/>
    <x v="0"/>
    <x v="0"/>
    <x v="1"/>
    <n v="0"/>
    <n v="0"/>
    <n v="32.774000000000001"/>
    <n v="31.463039999999999"/>
    <n v="32.774000000000001"/>
    <n v="31.463039999999999"/>
    <n v="0"/>
    <s v="CATIVO"/>
    <n v="0"/>
    <n v="0"/>
    <n v="25"/>
    <n v="59"/>
    <n v="0"/>
    <n v="69.489999999999995"/>
    <n v="185.18"/>
    <m/>
    <n v="92.397536067834494"/>
    <n v="198.13390838089941"/>
    <n v="0"/>
    <n v="333.86218320000035"/>
    <n v="0"/>
    <n v="380.87510241451264"/>
    <x v="2"/>
  </r>
  <r>
    <s v="Sistema de Compensação"/>
    <x v="0"/>
    <x v="2"/>
    <x v="2"/>
    <x v="0"/>
    <x v="1"/>
    <x v="0"/>
    <x v="0"/>
    <x v="1"/>
    <n v="0"/>
    <n v="0"/>
    <n v="-14.188000000000001"/>
    <n v="-13.620480000000001"/>
    <n v="-14.188000000000001"/>
    <n v="-13.620480000000001"/>
    <n v="0"/>
    <s v="CATIVO"/>
    <n v="0"/>
    <n v="0"/>
    <n v="25"/>
    <n v="59"/>
    <n v="0"/>
    <n v="69.489999999999995"/>
    <n v="185.18"/>
    <m/>
    <n v="92.397536067834494"/>
    <n v="198.13390838089941"/>
    <n v="0"/>
    <n v="-144.5303184"/>
    <n v="0"/>
    <n v="-164.88240535354547"/>
    <x v="2"/>
  </r>
  <r>
    <s v="Regular"/>
    <x v="0"/>
    <x v="2"/>
    <x v="2"/>
    <x v="0"/>
    <x v="1"/>
    <x v="0"/>
    <x v="0"/>
    <x v="2"/>
    <n v="0"/>
    <n v="0"/>
    <n v="1383.1130000000001"/>
    <n v="1327.7884799999999"/>
    <n v="1383.1130000000001"/>
    <n v="1327.7884799999999"/>
    <n v="0"/>
    <s v="CATIVO"/>
    <n v="0"/>
    <n v="0"/>
    <n v="25"/>
    <n v="59"/>
    <n v="0"/>
    <n v="69.489999999999995"/>
    <n v="185.18"/>
    <m/>
    <n v="92.397536067834494"/>
    <n v="198.13390838089941"/>
    <n v="0"/>
    <n v="14089.495508400032"/>
    <n v="0"/>
    <n v="16073.512709032902"/>
    <x v="2"/>
  </r>
  <r>
    <s v="Sistema de Compensação"/>
    <x v="0"/>
    <x v="2"/>
    <x v="2"/>
    <x v="0"/>
    <x v="1"/>
    <x v="0"/>
    <x v="0"/>
    <x v="2"/>
    <n v="0"/>
    <n v="0"/>
    <n v="9.8070000000000004"/>
    <n v="9.4147200000000009"/>
    <n v="9.8070000000000004"/>
    <n v="9.4147200000000009"/>
    <n v="0"/>
    <s v="CATIVO"/>
    <n v="0"/>
    <n v="0"/>
    <n v="25"/>
    <n v="59"/>
    <n v="0"/>
    <n v="69.489999999999995"/>
    <n v="185.18"/>
    <m/>
    <n v="92.397536067834494"/>
    <n v="198.13390838089941"/>
    <n v="0"/>
    <n v="99.901947599999886"/>
    <n v="0"/>
    <n v="113.9696750283492"/>
    <x v="2"/>
  </r>
  <r>
    <s v="Regular"/>
    <x v="0"/>
    <x v="2"/>
    <x v="2"/>
    <x v="0"/>
    <x v="1"/>
    <x v="0"/>
    <x v="0"/>
    <x v="3"/>
    <n v="0"/>
    <n v="0"/>
    <n v="1257.8399999999999"/>
    <n v="1207.5264"/>
    <n v="1257.8399999999999"/>
    <n v="1207.5264"/>
    <n v="0"/>
    <s v="CATIVO"/>
    <n v="0"/>
    <n v="0"/>
    <n v="25"/>
    <n v="59"/>
    <n v="0"/>
    <n v="69.489999999999995"/>
    <n v="185.18"/>
    <m/>
    <n v="92.397536067834494"/>
    <n v="198.13390838089941"/>
    <n v="0"/>
    <n v="12813.364511999989"/>
    <n v="0"/>
    <n v="14617.682883415804"/>
    <x v="2"/>
  </r>
  <r>
    <s v="Sistema de Compensação"/>
    <x v="0"/>
    <x v="2"/>
    <x v="2"/>
    <x v="0"/>
    <x v="1"/>
    <x v="0"/>
    <x v="0"/>
    <x v="3"/>
    <n v="0"/>
    <n v="0"/>
    <n v="13.04"/>
    <n v="12.518399999999998"/>
    <n v="13.04"/>
    <n v="12.518399999999998"/>
    <n v="0"/>
    <s v="CATIVO"/>
    <n v="0"/>
    <n v="0"/>
    <n v="25"/>
    <n v="59"/>
    <n v="0"/>
    <n v="69.489999999999995"/>
    <n v="185.18"/>
    <m/>
    <n v="92.397536067834494"/>
    <n v="198.13390838089941"/>
    <n v="0"/>
    <n v="132.83587200000028"/>
    <n v="0"/>
    <n v="151.54120142445996"/>
    <x v="2"/>
  </r>
  <r>
    <s v="Regular"/>
    <x v="0"/>
    <x v="2"/>
    <x v="2"/>
    <x v="0"/>
    <x v="1"/>
    <x v="0"/>
    <x v="0"/>
    <x v="4"/>
    <n v="0"/>
    <n v="0"/>
    <n v="1432.9179999999999"/>
    <n v="1375.6012799999999"/>
    <n v="1432.9179999999999"/>
    <n v="1375.6012799999999"/>
    <n v="0"/>
    <s v="CATIVO"/>
    <n v="0"/>
    <n v="0"/>
    <n v="25"/>
    <n v="59"/>
    <n v="0"/>
    <n v="69.489999999999995"/>
    <n v="185.18"/>
    <m/>
    <n v="92.397536067834494"/>
    <n v="198.13390838089941"/>
    <n v="0"/>
    <n v="14596.849082400007"/>
    <n v="0"/>
    <n v="16652.309452663645"/>
    <x v="2"/>
  </r>
  <r>
    <s v="Sistema de Compensação"/>
    <x v="0"/>
    <x v="2"/>
    <x v="2"/>
    <x v="0"/>
    <x v="1"/>
    <x v="0"/>
    <x v="0"/>
    <x v="4"/>
    <n v="0"/>
    <n v="0"/>
    <n v="9.89"/>
    <n v="9.4944000000000006"/>
    <n v="9.89"/>
    <n v="9.4944000000000006"/>
    <n v="0"/>
    <s v="CATIVO"/>
    <n v="0"/>
    <n v="0"/>
    <n v="25"/>
    <n v="59"/>
    <n v="0"/>
    <n v="69.489999999999995"/>
    <n v="185.18"/>
    <m/>
    <n v="92.397536067834494"/>
    <n v="198.13390838089941"/>
    <n v="0"/>
    <n v="100.74745199999998"/>
    <n v="0"/>
    <n v="114.93423942391911"/>
    <x v="2"/>
  </r>
  <r>
    <s v="Regular"/>
    <x v="0"/>
    <x v="2"/>
    <x v="2"/>
    <x v="0"/>
    <x v="1"/>
    <x v="0"/>
    <x v="0"/>
    <x v="5"/>
    <n v="0"/>
    <n v="0"/>
    <n v="1923.298"/>
    <n v="1846.36608"/>
    <n v="1923.298"/>
    <n v="1846.36608"/>
    <n v="0"/>
    <s v="CATIVO"/>
    <n v="0"/>
    <n v="0"/>
    <n v="25"/>
    <n v="59"/>
    <n v="0"/>
    <n v="69.489999999999995"/>
    <n v="185.18"/>
    <m/>
    <n v="92.397536067834494"/>
    <n v="198.13390838089941"/>
    <n v="0"/>
    <n v="19592.252066399997"/>
    <n v="0"/>
    <n v="22351.141841814439"/>
    <x v="2"/>
  </r>
  <r>
    <s v="Regular"/>
    <x v="0"/>
    <x v="2"/>
    <x v="2"/>
    <x v="0"/>
    <x v="1"/>
    <x v="0"/>
    <x v="0"/>
    <x v="6"/>
    <n v="0"/>
    <n v="0"/>
    <n v="1558.232"/>
    <n v="1495.9027199999998"/>
    <n v="1558.232"/>
    <n v="1495.9027199999998"/>
    <n v="0"/>
    <s v="CATIVO"/>
    <n v="0"/>
    <n v="0"/>
    <n v="25"/>
    <n v="59"/>
    <n v="0"/>
    <n v="69.489999999999995"/>
    <n v="185.18"/>
    <m/>
    <n v="92.397536067834494"/>
    <n v="198.13390838089941"/>
    <n v="0"/>
    <n v="15873.39773760004"/>
    <n v="0"/>
    <n v="18108.615749849625"/>
    <x v="2"/>
  </r>
  <r>
    <s v="Refaturamento - Regular"/>
    <x v="0"/>
    <x v="2"/>
    <x v="2"/>
    <x v="0"/>
    <x v="1"/>
    <x v="0"/>
    <x v="0"/>
    <x v="6"/>
    <n v="0"/>
    <n v="0"/>
    <n v="-38.384999999999998"/>
    <n v="-36.849599999999995"/>
    <n v="-38.384999999999998"/>
    <n v="-36.849599999999995"/>
    <n v="0"/>
    <s v="CATIVO"/>
    <n v="0"/>
    <n v="0"/>
    <n v="25"/>
    <n v="59"/>
    <n v="0"/>
    <n v="69.489999999999995"/>
    <n v="185.18"/>
    <m/>
    <n v="92.397536067834494"/>
    <n v="198.13390838089941"/>
    <n v="0"/>
    <n v="-391.02031800000071"/>
    <n v="0"/>
    <n v="-446.0819798065869"/>
    <x v="2"/>
  </r>
  <r>
    <s v="Sistema de Compensação"/>
    <x v="0"/>
    <x v="2"/>
    <x v="2"/>
    <x v="0"/>
    <x v="1"/>
    <x v="0"/>
    <x v="0"/>
    <x v="6"/>
    <n v="0"/>
    <n v="0"/>
    <n v="11.084"/>
    <n v="10.640639999999999"/>
    <n v="11.084"/>
    <n v="10.640639999999999"/>
    <n v="0"/>
    <s v="CATIVO"/>
    <n v="0"/>
    <n v="0"/>
    <n v="25"/>
    <n v="59"/>
    <n v="0"/>
    <n v="69.489999999999995"/>
    <n v="185.18"/>
    <m/>
    <n v="92.397536067834494"/>
    <n v="198.13390838089941"/>
    <n v="0"/>
    <n v="112.91049120000005"/>
    <n v="0"/>
    <n v="128.81002121079072"/>
    <x v="2"/>
  </r>
  <r>
    <s v="Regular"/>
    <x v="0"/>
    <x v="2"/>
    <x v="2"/>
    <x v="0"/>
    <x v="1"/>
    <x v="0"/>
    <x v="0"/>
    <x v="7"/>
    <n v="0"/>
    <n v="0"/>
    <n v="2249.62"/>
    <n v="2159.6351999999997"/>
    <n v="2249.62"/>
    <n v="2159.6351999999997"/>
    <n v="0"/>
    <s v="CATIVO"/>
    <n v="0"/>
    <n v="0"/>
    <n v="25"/>
    <n v="59"/>
    <n v="0"/>
    <n v="69.489999999999995"/>
    <n v="185.18"/>
    <m/>
    <n v="92.397536067834494"/>
    <n v="198.13390838089941"/>
    <n v="0"/>
    <n v="22916.429016000046"/>
    <n v="0"/>
    <n v="26143.413922430482"/>
    <x v="2"/>
  </r>
  <r>
    <s v="Refaturamento - Regular"/>
    <x v="0"/>
    <x v="2"/>
    <x v="2"/>
    <x v="0"/>
    <x v="1"/>
    <x v="0"/>
    <x v="0"/>
    <x v="7"/>
    <n v="0"/>
    <n v="0"/>
    <n v="-82.99"/>
    <n v="-79.670399999999987"/>
    <n v="-82.99"/>
    <n v="-79.670399999999987"/>
    <n v="0"/>
    <s v="CATIVO"/>
    <n v="0"/>
    <n v="0"/>
    <n v="25"/>
    <n v="59"/>
    <n v="0"/>
    <n v="69.489999999999995"/>
    <n v="185.18"/>
    <m/>
    <n v="92.397536067834494"/>
    <n v="198.13390838089941"/>
    <n v="0"/>
    <n v="-845.40253200000211"/>
    <n v="0"/>
    <n v="-964.44818299201938"/>
    <x v="2"/>
  </r>
  <r>
    <s v="Sistema de Compensação"/>
    <x v="0"/>
    <x v="2"/>
    <x v="2"/>
    <x v="0"/>
    <x v="1"/>
    <x v="0"/>
    <x v="0"/>
    <x v="7"/>
    <n v="0"/>
    <n v="0"/>
    <n v="47.274000000000001"/>
    <n v="45.383040000000001"/>
    <n v="47.274000000000001"/>
    <n v="45.383040000000001"/>
    <n v="0"/>
    <s v="CATIVO"/>
    <n v="0"/>
    <n v="0"/>
    <n v="25"/>
    <n v="59"/>
    <n v="0"/>
    <n v="69.489999999999995"/>
    <n v="185.18"/>
    <m/>
    <n v="92.397536067834494"/>
    <n v="198.13390838089941"/>
    <n v="0"/>
    <n v="481.57078319999994"/>
    <n v="0"/>
    <n v="549.38334019477782"/>
    <x v="2"/>
  </r>
  <r>
    <s v="Regular"/>
    <x v="0"/>
    <x v="2"/>
    <x v="2"/>
    <x v="0"/>
    <x v="1"/>
    <x v="0"/>
    <x v="0"/>
    <x v="8"/>
    <n v="0"/>
    <n v="0"/>
    <n v="1768.328"/>
    <n v="1697.5948799999999"/>
    <n v="1768.328"/>
    <n v="1697.5948799999999"/>
    <n v="0"/>
    <s v="CATIVO"/>
    <n v="0"/>
    <n v="0"/>
    <n v="25"/>
    <n v="59"/>
    <n v="0"/>
    <n v="69.489999999999995"/>
    <n v="185.18"/>
    <m/>
    <n v="92.397536067834494"/>
    <n v="198.13390838089941"/>
    <n v="0"/>
    <n v="18013.603670400025"/>
    <n v="0"/>
    <n v="20550.19552396566"/>
    <x v="2"/>
  </r>
  <r>
    <s v="Refaturamento - Regular"/>
    <x v="0"/>
    <x v="2"/>
    <x v="2"/>
    <x v="0"/>
    <x v="1"/>
    <x v="0"/>
    <x v="0"/>
    <x v="8"/>
    <n v="0"/>
    <n v="0"/>
    <n v="-48.512999999999998"/>
    <n v="-46.572479999999999"/>
    <n v="-48.512999999999998"/>
    <n v="-46.572479999999999"/>
    <n v="0"/>
    <s v="CATIVO"/>
    <n v="0"/>
    <n v="0"/>
    <n v="25"/>
    <n v="59"/>
    <n v="0"/>
    <n v="69.489999999999995"/>
    <n v="185.18"/>
    <m/>
    <n v="92.397536067834494"/>
    <n v="198.13390838089941"/>
    <n v="0"/>
    <n v="-494.19222839999986"/>
    <n v="0"/>
    <n v="-563.78207858165695"/>
    <x v="2"/>
  </r>
  <r>
    <s v="Sistema de Compensação"/>
    <x v="0"/>
    <x v="2"/>
    <x v="2"/>
    <x v="0"/>
    <x v="1"/>
    <x v="0"/>
    <x v="0"/>
    <x v="8"/>
    <n v="0"/>
    <n v="0"/>
    <n v="75.542000000000002"/>
    <n v="72.520319999999998"/>
    <n v="75.542000000000002"/>
    <n v="72.520319999999998"/>
    <n v="0"/>
    <s v="CATIVO"/>
    <n v="0"/>
    <n v="0"/>
    <n v="25"/>
    <n v="59"/>
    <n v="0"/>
    <n v="69.489999999999995"/>
    <n v="185.18"/>
    <m/>
    <n v="92.397536067834494"/>
    <n v="198.13390838089941"/>
    <n v="0"/>
    <n v="769.53124560000094"/>
    <n v="0"/>
    <n v="877.89305506185133"/>
    <x v="2"/>
  </r>
  <r>
    <s v="Regular"/>
    <x v="0"/>
    <x v="2"/>
    <x v="2"/>
    <x v="0"/>
    <x v="1"/>
    <x v="0"/>
    <x v="0"/>
    <x v="9"/>
    <n v="0"/>
    <n v="0"/>
    <n v="1720.4949999999999"/>
    <n v="1651.6751999999999"/>
    <n v="1720.4949999999999"/>
    <n v="1651.6751999999999"/>
    <n v="0"/>
    <s v="CATIVO"/>
    <n v="0"/>
    <n v="0"/>
    <n v="25"/>
    <n v="59"/>
    <n v="0"/>
    <n v="69.489999999999995"/>
    <n v="185.18"/>
    <m/>
    <n v="92.397536067834494"/>
    <n v="198.13390838089941"/>
    <n v="0"/>
    <n v="17526.338465999997"/>
    <n v="0"/>
    <n v="19994.315900672973"/>
    <x v="2"/>
  </r>
  <r>
    <s v="Sistema de Compensação"/>
    <x v="0"/>
    <x v="2"/>
    <x v="2"/>
    <x v="0"/>
    <x v="1"/>
    <x v="0"/>
    <x v="0"/>
    <x v="9"/>
    <n v="0"/>
    <n v="0"/>
    <n v="37.835000000000001"/>
    <n v="36.321599999999997"/>
    <n v="37.835000000000001"/>
    <n v="36.321599999999997"/>
    <n v="0"/>
    <s v="CATIVO"/>
    <n v="0"/>
    <n v="0"/>
    <n v="25"/>
    <n v="59"/>
    <n v="0"/>
    <n v="69.489999999999995"/>
    <n v="185.18"/>
    <m/>
    <n v="92.397536067834494"/>
    <n v="198.13390838089941"/>
    <n v="0"/>
    <n v="385.41757800000107"/>
    <n v="0"/>
    <n v="439.69028802871514"/>
    <x v="2"/>
  </r>
  <r>
    <s v="Regular"/>
    <x v="0"/>
    <x v="2"/>
    <x v="2"/>
    <x v="0"/>
    <x v="1"/>
    <x v="0"/>
    <x v="0"/>
    <x v="10"/>
    <n v="0"/>
    <n v="0"/>
    <n v="2034.04"/>
    <n v="1952.6783999999998"/>
    <n v="2034.04"/>
    <n v="1952.6783999999998"/>
    <n v="0"/>
    <s v="CATIVO"/>
    <n v="0"/>
    <n v="0"/>
    <n v="25"/>
    <n v="59"/>
    <n v="0"/>
    <n v="69.489999999999995"/>
    <n v="185.18"/>
    <m/>
    <n v="92.397536067834494"/>
    <n v="198.13390838089941"/>
    <n v="0"/>
    <n v="20720.358672000046"/>
    <n v="0"/>
    <n v="23638.103170660161"/>
    <x v="2"/>
  </r>
  <r>
    <s v="Refaturamento - Regular"/>
    <x v="0"/>
    <x v="2"/>
    <x v="2"/>
    <x v="0"/>
    <x v="1"/>
    <x v="0"/>
    <x v="0"/>
    <x v="10"/>
    <n v="0"/>
    <n v="0"/>
    <n v="-41.206000000000003"/>
    <n v="-39.557760000000002"/>
    <n v="-41.206000000000003"/>
    <n v="-39.557760000000002"/>
    <n v="0"/>
    <s v="CATIVO"/>
    <n v="0"/>
    <n v="0"/>
    <n v="25"/>
    <n v="59"/>
    <n v="0"/>
    <n v="69.489999999999995"/>
    <n v="185.18"/>
    <m/>
    <n v="92.397536067834494"/>
    <n v="198.13390838089941"/>
    <n v="0"/>
    <n v="-419.75728080000033"/>
    <n v="0"/>
    <n v="-478.86554799818157"/>
    <x v="2"/>
  </r>
  <r>
    <s v="Sistema de Compensação"/>
    <x v="0"/>
    <x v="2"/>
    <x v="2"/>
    <x v="0"/>
    <x v="1"/>
    <x v="0"/>
    <x v="0"/>
    <x v="10"/>
    <n v="0"/>
    <n v="0"/>
    <n v="102.774"/>
    <n v="98.663039999999995"/>
    <n v="102.774"/>
    <n v="98.663039999999995"/>
    <n v="0"/>
    <s v="CATIVO"/>
    <n v="0"/>
    <n v="0"/>
    <n v="25"/>
    <n v="59"/>
    <n v="0"/>
    <n v="69.489999999999995"/>
    <n v="185.18"/>
    <m/>
    <n v="92.397536067834494"/>
    <n v="198.13390838089941"/>
    <n v="0"/>
    <n v="1046.9381832000015"/>
    <n v="0"/>
    <n v="1194.3631468709686"/>
    <x v="2"/>
  </r>
  <r>
    <s v="Sistema de Compensação"/>
    <x v="0"/>
    <x v="2"/>
    <x v="2"/>
    <x v="0"/>
    <x v="1"/>
    <x v="0"/>
    <x v="0"/>
    <x v="10"/>
    <n v="0"/>
    <n v="0"/>
    <n v="-10.106"/>
    <n v="-9.7017600000000002"/>
    <n v="-10.106"/>
    <n v="-9.7017600000000002"/>
    <n v="0"/>
    <s v="CATIVO"/>
    <n v="0"/>
    <n v="0"/>
    <n v="25"/>
    <n v="59"/>
    <n v="0"/>
    <n v="69.489999999999995"/>
    <n v="185.18"/>
    <m/>
    <n v="92.397536067834494"/>
    <n v="198.13390838089941"/>
    <n v="0"/>
    <n v="-102.94780079999992"/>
    <n v="0"/>
    <n v="-117.44443110395611"/>
    <x v="2"/>
  </r>
  <r>
    <s v="Regular"/>
    <x v="0"/>
    <x v="2"/>
    <x v="2"/>
    <x v="0"/>
    <x v="1"/>
    <x v="0"/>
    <x v="0"/>
    <x v="11"/>
    <n v="0"/>
    <n v="0"/>
    <n v="1914.43"/>
    <n v="1837.8527999999999"/>
    <n v="1914.43"/>
    <n v="1837.8527999999999"/>
    <n v="0"/>
    <s v="CATIVO"/>
    <n v="0"/>
    <n v="0"/>
    <n v="25"/>
    <n v="59"/>
    <n v="0"/>
    <n v="69.489999999999995"/>
    <n v="185.18"/>
    <m/>
    <n v="92.397536067834494"/>
    <n v="198.13390838089941"/>
    <n v="0"/>
    <n v="19501.915524000044"/>
    <n v="0"/>
    <n v="22248.084527839637"/>
    <x v="2"/>
  </r>
  <r>
    <s v="Refaturamento - Regular"/>
    <x v="0"/>
    <x v="2"/>
    <x v="2"/>
    <x v="0"/>
    <x v="1"/>
    <x v="0"/>
    <x v="0"/>
    <x v="11"/>
    <n v="0"/>
    <n v="0"/>
    <n v="-19.802"/>
    <n v="-19.009919999999997"/>
    <n v="-19.802"/>
    <n v="-19.009919999999997"/>
    <n v="0"/>
    <s v="CATIVO"/>
    <n v="0"/>
    <n v="0"/>
    <n v="25"/>
    <n v="59"/>
    <n v="0"/>
    <n v="69.489999999999995"/>
    <n v="185.18"/>
    <m/>
    <n v="92.397536067834494"/>
    <n v="198.13390838089941"/>
    <n v="0"/>
    <n v="-201.71901360000052"/>
    <n v="0"/>
    <n v="-230.12414651895375"/>
    <x v="2"/>
  </r>
  <r>
    <s v="Sistema de Compensação"/>
    <x v="0"/>
    <x v="2"/>
    <x v="2"/>
    <x v="0"/>
    <x v="1"/>
    <x v="0"/>
    <x v="0"/>
    <x v="11"/>
    <n v="0"/>
    <n v="0"/>
    <n v="191.12200000000001"/>
    <n v="183.47712000000001"/>
    <n v="191.12200000000001"/>
    <n v="183.47712000000001"/>
    <n v="0"/>
    <s v="CATIVO"/>
    <n v="0"/>
    <n v="0"/>
    <n v="25"/>
    <n v="59"/>
    <n v="0"/>
    <n v="69.489999999999995"/>
    <n v="185.18"/>
    <m/>
    <n v="92.397536067834494"/>
    <n v="198.13390838089941"/>
    <n v="0"/>
    <n v="1946.9215896000003"/>
    <n v="0"/>
    <n v="2221.0780290372368"/>
    <x v="2"/>
  </r>
  <r>
    <s v="Regular"/>
    <x v="0"/>
    <x v="2"/>
    <x v="2"/>
    <x v="0"/>
    <x v="1"/>
    <x v="0"/>
    <x v="1"/>
    <x v="0"/>
    <n v="8787"/>
    <n v="8435.52"/>
    <n v="0"/>
    <n v="0"/>
    <n v="0"/>
    <n v="0"/>
    <n v="106"/>
    <s v="CATIVO"/>
    <n v="0"/>
    <n v="18"/>
    <n v="0"/>
    <n v="0"/>
    <n v="26.17"/>
    <n v="0"/>
    <n v="0"/>
    <n v="27.746237112155811"/>
    <m/>
    <m/>
    <n v="9198.2315999999901"/>
    <n v="0"/>
    <n v="9752.2474201805126"/>
    <n v="0"/>
    <x v="2"/>
  </r>
  <r>
    <s v="Sistema de Compensação"/>
    <x v="0"/>
    <x v="2"/>
    <x v="2"/>
    <x v="0"/>
    <x v="1"/>
    <x v="0"/>
    <x v="1"/>
    <x v="0"/>
    <n v="1106"/>
    <n v="1061.76"/>
    <n v="0"/>
    <n v="0"/>
    <n v="0"/>
    <n v="0"/>
    <n v="10"/>
    <s v="CATIVO"/>
    <n v="0"/>
    <n v="18"/>
    <n v="0"/>
    <n v="0"/>
    <n v="26.17"/>
    <n v="0"/>
    <n v="0"/>
    <n v="27.746237112155811"/>
    <m/>
    <m/>
    <n v="1157.7608000000002"/>
    <n v="0"/>
    <n v="1227.4935298417734"/>
    <n v="0"/>
    <x v="2"/>
  </r>
  <r>
    <s v="Regular"/>
    <x v="0"/>
    <x v="2"/>
    <x v="2"/>
    <x v="0"/>
    <x v="1"/>
    <x v="0"/>
    <x v="1"/>
    <x v="1"/>
    <n v="8162"/>
    <n v="7835.5199999999995"/>
    <n v="0"/>
    <n v="0"/>
    <n v="0"/>
    <n v="0"/>
    <n v="107"/>
    <s v="CATIVO"/>
    <n v="0"/>
    <n v="18"/>
    <n v="0"/>
    <n v="0"/>
    <n v="26.17"/>
    <n v="0"/>
    <n v="0"/>
    <n v="27.746237112155811"/>
    <m/>
    <m/>
    <n v="8543.9816000000137"/>
    <n v="0"/>
    <n v="9058.5914923766413"/>
    <n v="0"/>
    <x v="2"/>
  </r>
  <r>
    <s v="Sistema de Compensação"/>
    <x v="0"/>
    <x v="2"/>
    <x v="2"/>
    <x v="0"/>
    <x v="1"/>
    <x v="0"/>
    <x v="1"/>
    <x v="1"/>
    <n v="1277"/>
    <n v="1225.9199999999998"/>
    <n v="0"/>
    <n v="0"/>
    <n v="0"/>
    <n v="0"/>
    <n v="12"/>
    <s v="CATIVO"/>
    <n v="0"/>
    <n v="18"/>
    <n v="0"/>
    <n v="0"/>
    <n v="26.17"/>
    <n v="0"/>
    <n v="0"/>
    <n v="27.746237112155811"/>
    <m/>
    <m/>
    <n v="1336.7636000000041"/>
    <n v="0"/>
    <n v="1417.2777916889231"/>
    <n v="0"/>
    <x v="2"/>
  </r>
  <r>
    <s v="Sistema de Compensação"/>
    <x v="0"/>
    <x v="2"/>
    <x v="2"/>
    <x v="0"/>
    <x v="1"/>
    <x v="0"/>
    <x v="1"/>
    <x v="1"/>
    <n v="-150"/>
    <n v="-144"/>
    <n v="0"/>
    <n v="0"/>
    <n v="0"/>
    <n v="0"/>
    <n v="-2"/>
    <s v="CATIVO"/>
    <n v="0"/>
    <n v="18"/>
    <n v="0"/>
    <n v="0"/>
    <n v="26.17"/>
    <n v="0"/>
    <n v="0"/>
    <n v="27.746237112155811"/>
    <m/>
    <m/>
    <n v="-157.02000000000001"/>
    <n v="0"/>
    <n v="-166.47742267293486"/>
    <n v="0"/>
    <x v="2"/>
  </r>
  <r>
    <s v="Regular"/>
    <x v="0"/>
    <x v="2"/>
    <x v="2"/>
    <x v="0"/>
    <x v="1"/>
    <x v="0"/>
    <x v="1"/>
    <x v="2"/>
    <n v="7599"/>
    <n v="7295.04"/>
    <n v="0"/>
    <n v="0"/>
    <n v="0"/>
    <n v="0"/>
    <n v="107"/>
    <s v="CATIVO"/>
    <n v="0"/>
    <n v="18"/>
    <n v="0"/>
    <n v="0"/>
    <n v="26.17"/>
    <n v="0"/>
    <n v="0"/>
    <n v="27.746237112155811"/>
    <m/>
    <m/>
    <n v="7954.6332000000011"/>
    <n v="0"/>
    <n v="8433.7462326108816"/>
    <n v="0"/>
    <x v="2"/>
  </r>
  <r>
    <s v="Sistema de Compensação"/>
    <x v="0"/>
    <x v="2"/>
    <x v="2"/>
    <x v="0"/>
    <x v="1"/>
    <x v="0"/>
    <x v="1"/>
    <x v="2"/>
    <n v="1110"/>
    <n v="1065.5999999999999"/>
    <n v="0"/>
    <n v="0"/>
    <n v="0"/>
    <n v="0"/>
    <n v="10"/>
    <s v="CATIVO"/>
    <n v="0"/>
    <n v="18"/>
    <n v="0"/>
    <n v="0"/>
    <n v="26.17"/>
    <n v="0"/>
    <n v="0"/>
    <n v="27.746237112155811"/>
    <m/>
    <m/>
    <n v="1161.9480000000024"/>
    <n v="0"/>
    <n v="1231.9329277797206"/>
    <n v="0"/>
    <x v="2"/>
  </r>
  <r>
    <s v="Regular"/>
    <x v="0"/>
    <x v="2"/>
    <x v="2"/>
    <x v="0"/>
    <x v="1"/>
    <x v="0"/>
    <x v="1"/>
    <x v="3"/>
    <n v="7273"/>
    <n v="6982.08"/>
    <n v="0"/>
    <n v="0"/>
    <n v="0"/>
    <n v="0"/>
    <n v="107"/>
    <s v="CATIVO"/>
    <n v="0"/>
    <n v="18"/>
    <n v="0"/>
    <n v="0"/>
    <n v="26.17"/>
    <n v="0"/>
    <n v="0"/>
    <n v="27.746237112155811"/>
    <m/>
    <m/>
    <n v="7613.3764000000028"/>
    <n v="0"/>
    <n v="8071.9353006683705"/>
    <n v="0"/>
    <x v="2"/>
  </r>
  <r>
    <s v="Sistema de Compensação"/>
    <x v="0"/>
    <x v="2"/>
    <x v="2"/>
    <x v="0"/>
    <x v="1"/>
    <x v="0"/>
    <x v="1"/>
    <x v="3"/>
    <n v="1138"/>
    <n v="1092.48"/>
    <n v="0"/>
    <n v="0"/>
    <n v="0"/>
    <n v="0"/>
    <n v="10"/>
    <s v="CATIVO"/>
    <n v="0"/>
    <n v="18"/>
    <n v="0"/>
    <n v="0"/>
    <n v="26.17"/>
    <n v="0"/>
    <n v="0"/>
    <n v="27.746237112155811"/>
    <m/>
    <m/>
    <n v="1191.2583999999997"/>
    <n v="0"/>
    <n v="1263.0087133453319"/>
    <n v="0"/>
    <x v="2"/>
  </r>
  <r>
    <s v="Regular"/>
    <x v="0"/>
    <x v="2"/>
    <x v="2"/>
    <x v="0"/>
    <x v="1"/>
    <x v="0"/>
    <x v="1"/>
    <x v="4"/>
    <n v="8501"/>
    <n v="8160.96"/>
    <n v="0"/>
    <n v="0"/>
    <n v="0"/>
    <n v="0"/>
    <n v="107"/>
    <s v="CATIVO"/>
    <n v="0"/>
    <n v="18"/>
    <n v="0"/>
    <n v="0"/>
    <n v="26.17"/>
    <n v="0"/>
    <n v="0"/>
    <n v="27.746237112155811"/>
    <m/>
    <m/>
    <n v="8898.8467999999993"/>
    <n v="0"/>
    <n v="9434.8304676174612"/>
    <n v="0"/>
    <x v="2"/>
  </r>
  <r>
    <s v="Sistema de Compensação"/>
    <x v="0"/>
    <x v="2"/>
    <x v="2"/>
    <x v="0"/>
    <x v="1"/>
    <x v="0"/>
    <x v="1"/>
    <x v="4"/>
    <n v="1298"/>
    <n v="1246.08"/>
    <n v="0"/>
    <n v="0"/>
    <n v="0"/>
    <n v="0"/>
    <n v="10"/>
    <s v="CATIVO"/>
    <n v="0"/>
    <n v="18"/>
    <n v="0"/>
    <n v="0"/>
    <n v="26.17"/>
    <n v="0"/>
    <n v="0"/>
    <n v="27.746237112155811"/>
    <m/>
    <m/>
    <n v="1358.746400000002"/>
    <n v="0"/>
    <n v="1440.5846308631317"/>
    <n v="0"/>
    <x v="2"/>
  </r>
  <r>
    <s v="Regular"/>
    <x v="0"/>
    <x v="2"/>
    <x v="2"/>
    <x v="0"/>
    <x v="1"/>
    <x v="0"/>
    <x v="1"/>
    <x v="5"/>
    <n v="10613"/>
    <n v="10188.48"/>
    <n v="0"/>
    <n v="0"/>
    <n v="0"/>
    <n v="0"/>
    <n v="107"/>
    <s v="CATIVO"/>
    <n v="0"/>
    <n v="18"/>
    <n v="0"/>
    <n v="0"/>
    <n v="26.17"/>
    <n v="0"/>
    <n v="0"/>
    <n v="27.746237112155811"/>
    <m/>
    <m/>
    <n v="11109.688400000012"/>
    <n v="0"/>
    <n v="11778.832578852396"/>
    <n v="0"/>
    <x v="2"/>
  </r>
  <r>
    <s v="Regular"/>
    <x v="0"/>
    <x v="2"/>
    <x v="2"/>
    <x v="0"/>
    <x v="1"/>
    <x v="0"/>
    <x v="1"/>
    <x v="6"/>
    <n v="8788"/>
    <n v="8436.48"/>
    <n v="0"/>
    <n v="0"/>
    <n v="0"/>
    <n v="0"/>
    <n v="108"/>
    <s v="CATIVO"/>
    <n v="0"/>
    <n v="18"/>
    <n v="0"/>
    <n v="0"/>
    <n v="26.17"/>
    <n v="0"/>
    <n v="0"/>
    <n v="27.746237112155811"/>
    <m/>
    <m/>
    <n v="9199.278400000012"/>
    <n v="0"/>
    <n v="9753.3572696650226"/>
    <n v="0"/>
    <x v="2"/>
  </r>
  <r>
    <s v="Refaturamento - Regular"/>
    <x v="0"/>
    <x v="2"/>
    <x v="2"/>
    <x v="0"/>
    <x v="1"/>
    <x v="0"/>
    <x v="1"/>
    <x v="6"/>
    <n v="-291"/>
    <n v="-279.36"/>
    <n v="0"/>
    <n v="0"/>
    <n v="0"/>
    <n v="0"/>
    <n v="-1"/>
    <s v="CATIVO"/>
    <n v="0"/>
    <n v="18"/>
    <n v="0"/>
    <n v="0"/>
    <n v="26.17"/>
    <n v="0"/>
    <n v="0"/>
    <n v="27.746237112155811"/>
    <m/>
    <m/>
    <n v="-304.61879999999968"/>
    <n v="0"/>
    <n v="-322.96619998549323"/>
    <n v="0"/>
    <x v="2"/>
  </r>
  <r>
    <s v="Sistema de Compensação"/>
    <x v="0"/>
    <x v="2"/>
    <x v="2"/>
    <x v="0"/>
    <x v="1"/>
    <x v="0"/>
    <x v="1"/>
    <x v="6"/>
    <n v="1117"/>
    <n v="1072.32"/>
    <n v="0"/>
    <n v="0"/>
    <n v="0"/>
    <n v="0"/>
    <n v="10"/>
    <s v="CATIVO"/>
    <n v="0"/>
    <n v="18"/>
    <n v="0"/>
    <n v="0"/>
    <n v="26.17"/>
    <n v="0"/>
    <n v="0"/>
    <n v="27.746237112155811"/>
    <m/>
    <m/>
    <n v="1169.2756000000018"/>
    <n v="0"/>
    <n v="1239.7018741711233"/>
    <n v="0"/>
    <x v="2"/>
  </r>
  <r>
    <s v="Regular"/>
    <x v="0"/>
    <x v="2"/>
    <x v="2"/>
    <x v="0"/>
    <x v="1"/>
    <x v="0"/>
    <x v="1"/>
    <x v="7"/>
    <n v="10922"/>
    <n v="10485.119999999999"/>
    <n v="0"/>
    <n v="0"/>
    <n v="0"/>
    <n v="0"/>
    <n v="108"/>
    <s v="CATIVO"/>
    <n v="0"/>
    <n v="18"/>
    <n v="0"/>
    <n v="0"/>
    <n v="26.17"/>
    <n v="0"/>
    <n v="0"/>
    <n v="27.746237112155811"/>
    <m/>
    <m/>
    <n v="11433.149600000028"/>
    <n v="0"/>
    <n v="12121.776069558658"/>
    <n v="0"/>
    <x v="2"/>
  </r>
  <r>
    <s v="Refaturamento - Regular"/>
    <x v="0"/>
    <x v="2"/>
    <x v="2"/>
    <x v="0"/>
    <x v="1"/>
    <x v="0"/>
    <x v="1"/>
    <x v="7"/>
    <n v="-340"/>
    <n v="-326.39999999999998"/>
    <n v="0"/>
    <n v="0"/>
    <n v="0"/>
    <n v="0"/>
    <n v="-1"/>
    <s v="CATIVO"/>
    <n v="0"/>
    <n v="18"/>
    <n v="0"/>
    <n v="0"/>
    <n v="26.17"/>
    <n v="0"/>
    <n v="0"/>
    <n v="27.746237112155811"/>
    <m/>
    <m/>
    <n v="-355.9120000000006"/>
    <n v="0"/>
    <n v="-377.34882472531967"/>
    <n v="0"/>
    <x v="2"/>
  </r>
  <r>
    <s v="Sistema de Compensação"/>
    <x v="0"/>
    <x v="2"/>
    <x v="2"/>
    <x v="0"/>
    <x v="1"/>
    <x v="0"/>
    <x v="1"/>
    <x v="7"/>
    <n v="1569"/>
    <n v="1506.24"/>
    <n v="0"/>
    <n v="0"/>
    <n v="0"/>
    <n v="0"/>
    <n v="11"/>
    <s v="CATIVO"/>
    <n v="0"/>
    <n v="18"/>
    <n v="0"/>
    <n v="0"/>
    <n v="26.17"/>
    <n v="0"/>
    <n v="0"/>
    <n v="27.746237112155811"/>
    <m/>
    <m/>
    <n v="1642.4291999999998"/>
    <n v="0"/>
    <n v="1741.3538411588984"/>
    <n v="0"/>
    <x v="2"/>
  </r>
  <r>
    <s v="Regular"/>
    <x v="0"/>
    <x v="2"/>
    <x v="2"/>
    <x v="0"/>
    <x v="1"/>
    <x v="0"/>
    <x v="1"/>
    <x v="8"/>
    <n v="10321"/>
    <n v="9908.16"/>
    <n v="0"/>
    <n v="0"/>
    <n v="0"/>
    <n v="0"/>
    <n v="111"/>
    <s v="CATIVO"/>
    <n v="0"/>
    <n v="18"/>
    <n v="0"/>
    <n v="0"/>
    <n v="26.17"/>
    <n v="0"/>
    <n v="0"/>
    <n v="27.746237112155811"/>
    <m/>
    <m/>
    <n v="10804.022800000004"/>
    <n v="0"/>
    <n v="11454.756529382408"/>
    <n v="0"/>
    <x v="2"/>
  </r>
  <r>
    <s v="Refaturamento - Regular"/>
    <x v="0"/>
    <x v="2"/>
    <x v="2"/>
    <x v="0"/>
    <x v="1"/>
    <x v="0"/>
    <x v="1"/>
    <x v="8"/>
    <n v="-328"/>
    <n v="-314.88"/>
    <n v="0"/>
    <n v="0"/>
    <n v="0"/>
    <n v="0"/>
    <n v="-5"/>
    <s v="CATIVO"/>
    <n v="0"/>
    <n v="18"/>
    <n v="0"/>
    <n v="0"/>
    <n v="26.17"/>
    <n v="0"/>
    <n v="0"/>
    <n v="27.746237112155811"/>
    <m/>
    <m/>
    <n v="-343.35040000000015"/>
    <n v="0"/>
    <n v="-364.03063091148437"/>
    <n v="0"/>
    <x v="2"/>
  </r>
  <r>
    <s v="Sistema de Compensação"/>
    <x v="0"/>
    <x v="2"/>
    <x v="2"/>
    <x v="0"/>
    <x v="1"/>
    <x v="0"/>
    <x v="1"/>
    <x v="8"/>
    <n v="1903"/>
    <n v="1826.8799999999999"/>
    <n v="0"/>
    <n v="0"/>
    <n v="0"/>
    <n v="0"/>
    <n v="13"/>
    <s v="CATIVO"/>
    <n v="0"/>
    <n v="18"/>
    <n v="0"/>
    <n v="0"/>
    <n v="26.17"/>
    <n v="0"/>
    <n v="0"/>
    <n v="27.746237112155811"/>
    <m/>
    <m/>
    <n v="1992.0604000000033"/>
    <n v="0"/>
    <n v="2112.0435689773035"/>
    <n v="0"/>
    <x v="2"/>
  </r>
  <r>
    <s v="Regular"/>
    <x v="0"/>
    <x v="2"/>
    <x v="2"/>
    <x v="0"/>
    <x v="1"/>
    <x v="0"/>
    <x v="1"/>
    <x v="9"/>
    <n v="10116"/>
    <n v="9711.3599999999988"/>
    <n v="0"/>
    <n v="0"/>
    <n v="0"/>
    <n v="0"/>
    <n v="107"/>
    <s v="CATIVO"/>
    <n v="0"/>
    <n v="18"/>
    <n v="0"/>
    <n v="0"/>
    <n v="26.17"/>
    <n v="0"/>
    <n v="0"/>
    <n v="27.746237112155811"/>
    <m/>
    <m/>
    <n v="10589.428800000032"/>
    <n v="0"/>
    <n v="11227.237385062761"/>
    <n v="0"/>
    <x v="2"/>
  </r>
  <r>
    <s v="Sistema de Compensação"/>
    <x v="0"/>
    <x v="2"/>
    <x v="2"/>
    <x v="0"/>
    <x v="1"/>
    <x v="0"/>
    <x v="1"/>
    <x v="9"/>
    <n v="1989"/>
    <n v="1909.4399999999998"/>
    <n v="0"/>
    <n v="0"/>
    <n v="0"/>
    <n v="0"/>
    <n v="14"/>
    <s v="CATIVO"/>
    <n v="0"/>
    <n v="18"/>
    <n v="0"/>
    <n v="0"/>
    <n v="26.17"/>
    <n v="0"/>
    <n v="0"/>
    <n v="27.746237112155811"/>
    <m/>
    <m/>
    <n v="2082.0852000000045"/>
    <n v="0"/>
    <n v="2207.490624643121"/>
    <n v="0"/>
    <x v="2"/>
  </r>
  <r>
    <s v="Regular"/>
    <x v="0"/>
    <x v="2"/>
    <x v="2"/>
    <x v="0"/>
    <x v="1"/>
    <x v="0"/>
    <x v="1"/>
    <x v="10"/>
    <n v="11615"/>
    <n v="11150.4"/>
    <n v="0"/>
    <n v="0"/>
    <n v="0"/>
    <n v="0"/>
    <n v="110"/>
    <s v="CATIVO"/>
    <n v="0"/>
    <n v="18"/>
    <n v="0"/>
    <n v="0"/>
    <n v="26.17"/>
    <n v="0"/>
    <n v="0"/>
    <n v="27.746237112155811"/>
    <m/>
    <m/>
    <n v="12158.582000000009"/>
    <n v="0"/>
    <n v="12890.9017623076"/>
    <n v="0"/>
    <x v="2"/>
  </r>
  <r>
    <s v="Refaturamento - Regular"/>
    <x v="0"/>
    <x v="2"/>
    <x v="2"/>
    <x v="0"/>
    <x v="1"/>
    <x v="0"/>
    <x v="1"/>
    <x v="10"/>
    <n v="-304"/>
    <n v="-291.83999999999997"/>
    <n v="0"/>
    <n v="0"/>
    <n v="0"/>
    <n v="0"/>
    <n v="-3"/>
    <s v="CATIVO"/>
    <n v="0"/>
    <n v="18"/>
    <n v="0"/>
    <n v="0"/>
    <n v="26.17"/>
    <n v="0"/>
    <n v="0"/>
    <n v="27.746237112155811"/>
    <m/>
    <m/>
    <n v="-318.22720000000066"/>
    <n v="0"/>
    <n v="-337.39424328381534"/>
    <n v="0"/>
    <x v="2"/>
  </r>
  <r>
    <s v="Sistema de Compensação"/>
    <x v="0"/>
    <x v="2"/>
    <x v="2"/>
    <x v="0"/>
    <x v="1"/>
    <x v="0"/>
    <x v="1"/>
    <x v="10"/>
    <n v="2388"/>
    <n v="2292.48"/>
    <n v="0"/>
    <n v="0"/>
    <n v="0"/>
    <n v="0"/>
    <n v="16"/>
    <s v="CATIVO"/>
    <n v="0"/>
    <n v="18"/>
    <n v="0"/>
    <n v="0"/>
    <n v="26.17"/>
    <n v="0"/>
    <n v="0"/>
    <n v="27.746237112155811"/>
    <m/>
    <m/>
    <n v="2499.7583999999997"/>
    <n v="0"/>
    <n v="2650.3205689531223"/>
    <n v="0"/>
    <x v="2"/>
  </r>
  <r>
    <s v="Sistema de Compensação"/>
    <x v="0"/>
    <x v="2"/>
    <x v="2"/>
    <x v="0"/>
    <x v="1"/>
    <x v="0"/>
    <x v="1"/>
    <x v="10"/>
    <n v="-266"/>
    <n v="-255.35999999999999"/>
    <n v="0"/>
    <n v="0"/>
    <n v="0"/>
    <n v="0"/>
    <n v="-1"/>
    <s v="CATIVO"/>
    <n v="0"/>
    <n v="18"/>
    <n v="0"/>
    <n v="0"/>
    <n v="26.17"/>
    <n v="0"/>
    <n v="0"/>
    <n v="27.746237112155811"/>
    <m/>
    <m/>
    <n v="-278.4488000000004"/>
    <n v="0"/>
    <n v="-295.21996287333826"/>
    <n v="0"/>
    <x v="2"/>
  </r>
  <r>
    <s v="Regular"/>
    <x v="0"/>
    <x v="2"/>
    <x v="2"/>
    <x v="0"/>
    <x v="1"/>
    <x v="0"/>
    <x v="1"/>
    <x v="11"/>
    <n v="11142"/>
    <n v="10696.32"/>
    <n v="0"/>
    <n v="0"/>
    <n v="0"/>
    <n v="0"/>
    <n v="107"/>
    <s v="CATIVO"/>
    <n v="0"/>
    <n v="18"/>
    <n v="0"/>
    <n v="0"/>
    <n v="26.17"/>
    <n v="0"/>
    <n v="0"/>
    <n v="27.746237112155811"/>
    <m/>
    <m/>
    <n v="11663.445600000008"/>
    <n v="0"/>
    <n v="12365.942956145609"/>
    <n v="0"/>
    <x v="2"/>
  </r>
  <r>
    <s v="Refaturamento - Regular"/>
    <x v="0"/>
    <x v="2"/>
    <x v="2"/>
    <x v="0"/>
    <x v="1"/>
    <x v="0"/>
    <x v="1"/>
    <x v="11"/>
    <n v="-91"/>
    <n v="-87.36"/>
    <n v="0"/>
    <n v="0"/>
    <n v="0"/>
    <n v="0"/>
    <n v="-1"/>
    <s v="CATIVO"/>
    <n v="0"/>
    <n v="18"/>
    <n v="0"/>
    <n v="0"/>
    <n v="26.17"/>
    <n v="0"/>
    <n v="0"/>
    <n v="27.746237112155811"/>
    <m/>
    <m/>
    <n v="-95.258800000000022"/>
    <n v="0"/>
    <n v="-100.99630308824716"/>
    <n v="0"/>
    <x v="2"/>
  </r>
  <r>
    <s v="Sistema de Compensação"/>
    <x v="0"/>
    <x v="2"/>
    <x v="2"/>
    <x v="0"/>
    <x v="1"/>
    <x v="0"/>
    <x v="1"/>
    <x v="11"/>
    <n v="2531"/>
    <n v="2429.7599999999998"/>
    <n v="0"/>
    <n v="0"/>
    <n v="0"/>
    <n v="0"/>
    <n v="16"/>
    <s v="CATIVO"/>
    <n v="0"/>
    <n v="18"/>
    <n v="0"/>
    <n v="0"/>
    <n v="26.17"/>
    <n v="0"/>
    <n v="0"/>
    <n v="27.746237112155811"/>
    <m/>
    <m/>
    <n v="2649.4508000000064"/>
    <n v="0"/>
    <n v="2809.0290452346608"/>
    <n v="0"/>
    <x v="2"/>
  </r>
  <r>
    <s v="Regular"/>
    <x v="0"/>
    <x v="2"/>
    <x v="2"/>
    <x v="0"/>
    <x v="1"/>
    <x v="0"/>
    <x v="2"/>
    <x v="0"/>
    <n v="0"/>
    <n v="0"/>
    <n v="146.107"/>
    <n v="140.26272"/>
    <n v="146.107"/>
    <n v="140.26272"/>
    <n v="0"/>
    <s v="CATIVO"/>
    <n v="0"/>
    <n v="0"/>
    <n v="12"/>
    <n v="66"/>
    <n v="0"/>
    <n v="1124.7"/>
    <n v="185.18"/>
    <m/>
    <n v="1194.906449742829"/>
    <n v="198.13390838089941"/>
    <n v="0"/>
    <n v="7655.3054863999969"/>
    <n v="0"/>
    <n v="8141.3179041753401"/>
    <x v="2"/>
  </r>
  <r>
    <s v="Regular"/>
    <x v="0"/>
    <x v="2"/>
    <x v="2"/>
    <x v="0"/>
    <x v="1"/>
    <x v="0"/>
    <x v="2"/>
    <x v="1"/>
    <n v="0"/>
    <n v="0"/>
    <n v="155.256"/>
    <n v="149.04576"/>
    <n v="155.256"/>
    <n v="149.04576"/>
    <n v="0"/>
    <s v="CATIVO"/>
    <n v="0"/>
    <n v="0"/>
    <n v="12"/>
    <n v="66"/>
    <n v="0"/>
    <n v="1124.7"/>
    <n v="185.18"/>
    <m/>
    <n v="1194.906449742829"/>
    <n v="198.13390838089941"/>
    <n v="0"/>
    <n v="8134.6691711999993"/>
    <n v="0"/>
    <n v="8651.1149536343"/>
    <x v="2"/>
  </r>
  <r>
    <s v="Sistema de Compensação"/>
    <x v="0"/>
    <x v="2"/>
    <x v="2"/>
    <x v="0"/>
    <x v="1"/>
    <x v="0"/>
    <x v="2"/>
    <x v="1"/>
    <n v="0"/>
    <n v="0"/>
    <n v="3.5670000000000002"/>
    <n v="3.4243200000000003"/>
    <n v="3.5670000000000002"/>
    <n v="3.4243200000000003"/>
    <n v="0"/>
    <s v="CATIVO"/>
    <n v="0"/>
    <n v="0"/>
    <n v="12"/>
    <n v="66"/>
    <n v="0"/>
    <n v="1124.7"/>
    <n v="185.18"/>
    <m/>
    <n v="1194.906449742829"/>
    <n v="198.13390838089941"/>
    <n v="0"/>
    <n v="186.89367839999989"/>
    <n v="0"/>
    <n v="198.75899829709346"/>
    <x v="2"/>
  </r>
  <r>
    <s v="Sistema de Compensação"/>
    <x v="0"/>
    <x v="2"/>
    <x v="2"/>
    <x v="0"/>
    <x v="1"/>
    <x v="0"/>
    <x v="2"/>
    <x v="1"/>
    <n v="0"/>
    <n v="0"/>
    <n v="-0.67200000000000004"/>
    <n v="-0.64512000000000003"/>
    <n v="-0.67200000000000004"/>
    <n v="-0.64512000000000003"/>
    <n v="0"/>
    <s v="CATIVO"/>
    <n v="0"/>
    <n v="0"/>
    <n v="12"/>
    <n v="66"/>
    <n v="0"/>
    <n v="1124.7"/>
    <n v="185.18"/>
    <m/>
    <n v="1194.906449742829"/>
    <n v="198.13390838089941"/>
    <n v="0"/>
    <n v="-35.209574400000022"/>
    <n v="0"/>
    <n v="-37.444924826365835"/>
    <x v="2"/>
  </r>
  <r>
    <s v="Regular"/>
    <x v="0"/>
    <x v="2"/>
    <x v="2"/>
    <x v="0"/>
    <x v="1"/>
    <x v="0"/>
    <x v="2"/>
    <x v="2"/>
    <n v="0"/>
    <n v="0"/>
    <n v="136.102"/>
    <n v="130.65791999999999"/>
    <n v="136.102"/>
    <n v="130.65791999999999"/>
    <n v="0"/>
    <s v="CATIVO"/>
    <n v="0"/>
    <n v="0"/>
    <n v="12"/>
    <n v="66"/>
    <n v="0"/>
    <n v="1124.7"/>
    <n v="185.18"/>
    <m/>
    <n v="1194.906449742829"/>
    <n v="198.13390838089941"/>
    <n v="0"/>
    <n v="7131.0915104000178"/>
    <n v="0"/>
    <n v="7583.8231528542465"/>
    <x v="2"/>
  </r>
  <r>
    <s v="Sistema de Compensação"/>
    <x v="0"/>
    <x v="2"/>
    <x v="2"/>
    <x v="0"/>
    <x v="1"/>
    <x v="0"/>
    <x v="2"/>
    <x v="2"/>
    <n v="0"/>
    <n v="0"/>
    <n v="2.2999999999999998"/>
    <n v="2.2079999999999997"/>
    <n v="2.2999999999999998"/>
    <n v="2.2079999999999997"/>
    <n v="0"/>
    <s v="CATIVO"/>
    <n v="0"/>
    <n v="0"/>
    <n v="12"/>
    <n v="66"/>
    <n v="0"/>
    <n v="1124.7"/>
    <n v="185.18"/>
    <m/>
    <n v="1194.906449742829"/>
    <n v="198.13390838089941"/>
    <n v="0"/>
    <n v="120.50896000000012"/>
    <n v="0"/>
    <n v="128.15971294738313"/>
    <x v="2"/>
  </r>
  <r>
    <s v="Regular"/>
    <x v="0"/>
    <x v="2"/>
    <x v="2"/>
    <x v="0"/>
    <x v="1"/>
    <x v="0"/>
    <x v="2"/>
    <x v="3"/>
    <n v="0"/>
    <n v="0"/>
    <n v="120.999"/>
    <n v="116.15903999999999"/>
    <n v="120.999"/>
    <n v="116.15903999999999"/>
    <n v="0"/>
    <s v="CATIVO"/>
    <n v="0"/>
    <n v="0"/>
    <n v="12"/>
    <n v="66"/>
    <n v="0"/>
    <n v="1124.7"/>
    <n v="185.18"/>
    <m/>
    <n v="1194.906449742829"/>
    <n v="198.13390838089941"/>
    <n v="0"/>
    <n v="6339.7668048000069"/>
    <n v="0"/>
    <n v="6742.2596117045268"/>
    <x v="2"/>
  </r>
  <r>
    <s v="Sistema de Compensação"/>
    <x v="0"/>
    <x v="2"/>
    <x v="2"/>
    <x v="0"/>
    <x v="1"/>
    <x v="0"/>
    <x v="2"/>
    <x v="3"/>
    <n v="0"/>
    <n v="0"/>
    <n v="2.38"/>
    <n v="2.2847999999999997"/>
    <n v="2.38"/>
    <n v="2.2847999999999997"/>
    <n v="0"/>
    <s v="CATIVO"/>
    <n v="0"/>
    <n v="0"/>
    <n v="12"/>
    <n v="66"/>
    <n v="0"/>
    <n v="1124.7"/>
    <n v="185.18"/>
    <m/>
    <n v="1194.906449742829"/>
    <n v="198.13390838089941"/>
    <n v="0"/>
    <n v="124.70057600000023"/>
    <n v="0"/>
    <n v="132.6174420933792"/>
    <x v="2"/>
  </r>
  <r>
    <s v="Regular"/>
    <x v="0"/>
    <x v="2"/>
    <x v="2"/>
    <x v="0"/>
    <x v="1"/>
    <x v="0"/>
    <x v="2"/>
    <x v="4"/>
    <n v="0"/>
    <n v="0"/>
    <n v="132.96199999999999"/>
    <n v="127.64351999999998"/>
    <n v="132.96199999999999"/>
    <n v="127.64351999999998"/>
    <n v="0"/>
    <s v="CATIVO"/>
    <n v="0"/>
    <n v="0"/>
    <n v="12"/>
    <n v="66"/>
    <n v="0"/>
    <n v="1124.7"/>
    <n v="185.18"/>
    <m/>
    <n v="1194.906449742829"/>
    <n v="198.13390838089941"/>
    <n v="0"/>
    <n v="6966.5705824000106"/>
    <n v="0"/>
    <n v="7408.8572838738983"/>
    <x v="2"/>
  </r>
  <r>
    <s v="Sistema de Compensação"/>
    <x v="0"/>
    <x v="2"/>
    <x v="2"/>
    <x v="0"/>
    <x v="1"/>
    <x v="0"/>
    <x v="2"/>
    <x v="4"/>
    <n v="0"/>
    <n v="0"/>
    <n v="1.77"/>
    <n v="1.6992"/>
    <n v="1.77"/>
    <n v="1.6992"/>
    <n v="0"/>
    <s v="CATIVO"/>
    <n v="0"/>
    <n v="0"/>
    <n v="12"/>
    <n v="66"/>
    <n v="0"/>
    <n v="1124.7"/>
    <n v="185.18"/>
    <m/>
    <n v="1194.906449742829"/>
    <n v="198.13390838089941"/>
    <n v="0"/>
    <n v="92.739503999999968"/>
    <n v="0"/>
    <n v="98.627257355159941"/>
    <x v="2"/>
  </r>
  <r>
    <s v="Regular"/>
    <x v="0"/>
    <x v="2"/>
    <x v="2"/>
    <x v="0"/>
    <x v="1"/>
    <x v="0"/>
    <x v="2"/>
    <x v="5"/>
    <n v="0"/>
    <n v="0"/>
    <n v="180.17500000000001"/>
    <n v="172.96800000000002"/>
    <n v="180.17500000000001"/>
    <n v="172.96800000000002"/>
    <n v="0"/>
    <s v="CATIVO"/>
    <n v="0"/>
    <n v="0"/>
    <n v="12"/>
    <n v="66"/>
    <n v="0"/>
    <n v="1124.7"/>
    <n v="185.18"/>
    <m/>
    <n v="1194.906449742829"/>
    <n v="198.13390838089941"/>
    <n v="0"/>
    <n v="9440.3051599999926"/>
    <n v="0"/>
    <n v="10039.641860997701"/>
    <x v="2"/>
  </r>
  <r>
    <s v="Regular"/>
    <x v="0"/>
    <x v="2"/>
    <x v="2"/>
    <x v="0"/>
    <x v="1"/>
    <x v="0"/>
    <x v="2"/>
    <x v="6"/>
    <n v="0"/>
    <n v="0"/>
    <n v="152.501"/>
    <n v="146.40096"/>
    <n v="152.501"/>
    <n v="146.40096"/>
    <n v="0"/>
    <s v="CATIVO"/>
    <n v="0"/>
    <n v="0"/>
    <n v="12"/>
    <n v="66"/>
    <n v="0"/>
    <n v="1124.7"/>
    <n v="185.18"/>
    <m/>
    <n v="1194.906449742829"/>
    <n v="198.13390838089941"/>
    <n v="0"/>
    <n v="7990.3203952000094"/>
    <n v="0"/>
    <n v="8497.6019061690786"/>
    <x v="2"/>
  </r>
  <r>
    <s v="Refaturamento - Regular"/>
    <x v="0"/>
    <x v="2"/>
    <x v="2"/>
    <x v="0"/>
    <x v="1"/>
    <x v="0"/>
    <x v="2"/>
    <x v="6"/>
    <n v="0"/>
    <n v="0"/>
    <n v="-6.407"/>
    <n v="-6.1507199999999997"/>
    <n v="-6.407"/>
    <n v="-6.1507199999999997"/>
    <n v="0"/>
    <s v="CATIVO"/>
    <n v="0"/>
    <n v="0"/>
    <n v="12"/>
    <n v="66"/>
    <n v="0"/>
    <n v="1124.7"/>
    <n v="185.18"/>
    <m/>
    <n v="1194.906449742829"/>
    <n v="198.13390838089941"/>
    <n v="0"/>
    <n v="-335.6960464000004"/>
    <n v="0"/>
    <n v="-357.00838297994949"/>
    <x v="2"/>
  </r>
  <r>
    <s v="Sistema de Compensação"/>
    <x v="0"/>
    <x v="2"/>
    <x v="2"/>
    <x v="0"/>
    <x v="1"/>
    <x v="0"/>
    <x v="2"/>
    <x v="6"/>
    <n v="0"/>
    <n v="0"/>
    <n v="1.26"/>
    <n v="1.2096"/>
    <n v="1.26"/>
    <n v="1.2096"/>
    <n v="0"/>
    <s v="CATIVO"/>
    <n v="0"/>
    <n v="0"/>
    <n v="12"/>
    <n v="66"/>
    <n v="0"/>
    <n v="1124.7"/>
    <n v="185.18"/>
    <m/>
    <n v="1194.906449742829"/>
    <n v="198.13390838089941"/>
    <n v="0"/>
    <n v="66.017951999999994"/>
    <n v="0"/>
    <n v="70.209234049435906"/>
    <x v="2"/>
  </r>
  <r>
    <s v="Regular"/>
    <x v="0"/>
    <x v="2"/>
    <x v="2"/>
    <x v="0"/>
    <x v="1"/>
    <x v="0"/>
    <x v="2"/>
    <x v="7"/>
    <n v="0"/>
    <n v="0"/>
    <n v="221.345"/>
    <n v="212.49119999999999"/>
    <n v="221.345"/>
    <n v="212.49119999999999"/>
    <n v="0"/>
    <s v="CATIVO"/>
    <n v="0"/>
    <n v="0"/>
    <n v="12"/>
    <n v="66"/>
    <n v="0"/>
    <n v="1124.7"/>
    <n v="185.18"/>
    <m/>
    <n v="1194.906449742829"/>
    <n v="198.13390838089941"/>
    <n v="0"/>
    <n v="11597.415544000009"/>
    <n v="0"/>
    <n v="12333.700722755875"/>
    <x v="2"/>
  </r>
  <r>
    <s v="Refaturamento - Regular"/>
    <x v="0"/>
    <x v="2"/>
    <x v="2"/>
    <x v="0"/>
    <x v="1"/>
    <x v="0"/>
    <x v="2"/>
    <x v="7"/>
    <n v="0"/>
    <n v="0"/>
    <n v="-11.286"/>
    <n v="-10.83456"/>
    <n v="-11.286"/>
    <n v="-10.83456"/>
    <n v="0"/>
    <s v="CATIVO"/>
    <n v="0"/>
    <n v="0"/>
    <n v="12"/>
    <n v="66"/>
    <n v="0"/>
    <n v="1124.7"/>
    <n v="185.18"/>
    <m/>
    <n v="1194.906449742829"/>
    <n v="198.13390838089941"/>
    <n v="0"/>
    <n v="-591.33222719999981"/>
    <n v="0"/>
    <n v="-628.87413927137573"/>
    <x v="2"/>
  </r>
  <r>
    <s v="Sistema de Compensação"/>
    <x v="0"/>
    <x v="2"/>
    <x v="2"/>
    <x v="0"/>
    <x v="1"/>
    <x v="0"/>
    <x v="2"/>
    <x v="7"/>
    <n v="0"/>
    <n v="0"/>
    <n v="3.6779999999999999"/>
    <n v="3.5308799999999998"/>
    <n v="3.6779999999999999"/>
    <n v="3.5308799999999998"/>
    <n v="0"/>
    <s v="CATIVO"/>
    <n v="0"/>
    <n v="0"/>
    <n v="12"/>
    <n v="66"/>
    <n v="0"/>
    <n v="1124.7"/>
    <n v="185.18"/>
    <m/>
    <n v="1194.906449742829"/>
    <n v="198.13390838089941"/>
    <n v="0"/>
    <n v="192.70954560000018"/>
    <n v="0"/>
    <n v="204.94409748716311"/>
    <x v="2"/>
  </r>
  <r>
    <s v="Regular"/>
    <x v="0"/>
    <x v="2"/>
    <x v="2"/>
    <x v="0"/>
    <x v="1"/>
    <x v="0"/>
    <x v="2"/>
    <x v="8"/>
    <n v="0"/>
    <n v="0"/>
    <n v="175.97300000000001"/>
    <n v="168.93407999999999"/>
    <n v="175.97300000000001"/>
    <n v="168.93407999999999"/>
    <n v="0"/>
    <s v="CATIVO"/>
    <n v="0"/>
    <n v="0"/>
    <n v="12"/>
    <n v="66"/>
    <n v="0"/>
    <n v="1124.7"/>
    <n v="185.18"/>
    <m/>
    <n v="1194.906449742829"/>
    <n v="198.13390838089941"/>
    <n v="0"/>
    <n v="9220.1405296000248"/>
    <n v="0"/>
    <n v="9805.4996376043"/>
    <x v="2"/>
  </r>
  <r>
    <s v="Refaturamento - Regular"/>
    <x v="0"/>
    <x v="2"/>
    <x v="2"/>
    <x v="0"/>
    <x v="1"/>
    <x v="0"/>
    <x v="2"/>
    <x v="8"/>
    <n v="0"/>
    <n v="0"/>
    <n v="-5.3170000000000002"/>
    <n v="-5.1043200000000004"/>
    <n v="-5.3170000000000002"/>
    <n v="-5.1043200000000004"/>
    <n v="0"/>
    <s v="CATIVO"/>
    <n v="0"/>
    <n v="0"/>
    <n v="12"/>
    <n v="66"/>
    <n v="0"/>
    <n v="1124.7"/>
    <n v="185.18"/>
    <m/>
    <n v="1194.906449742829"/>
    <n v="198.13390838089941"/>
    <n v="0"/>
    <n v="-278.58527839999965"/>
    <n v="0"/>
    <n v="-296.27182336575419"/>
    <x v="2"/>
  </r>
  <r>
    <s v="Sistema de Compensação"/>
    <x v="0"/>
    <x v="2"/>
    <x v="2"/>
    <x v="0"/>
    <x v="1"/>
    <x v="0"/>
    <x v="2"/>
    <x v="8"/>
    <n v="0"/>
    <n v="0"/>
    <n v="13.201000000000001"/>
    <n v="12.67296"/>
    <n v="13.201000000000001"/>
    <n v="12.67296"/>
    <n v="0"/>
    <s v="CATIVO"/>
    <n v="0"/>
    <n v="0"/>
    <n v="12"/>
    <n v="66"/>
    <n v="0"/>
    <n v="1124.7"/>
    <n v="185.18"/>
    <m/>
    <n v="1194.906449742829"/>
    <n v="198.13390838089941"/>
    <n v="0"/>
    <n v="691.66903520000096"/>
    <n v="0"/>
    <n v="735.58103070365451"/>
    <x v="2"/>
  </r>
  <r>
    <s v="Regular"/>
    <x v="0"/>
    <x v="2"/>
    <x v="2"/>
    <x v="0"/>
    <x v="1"/>
    <x v="0"/>
    <x v="2"/>
    <x v="9"/>
    <n v="0"/>
    <n v="0"/>
    <n v="176.60400000000001"/>
    <n v="169.53984"/>
    <n v="176.60400000000001"/>
    <n v="169.53984"/>
    <n v="0"/>
    <s v="CATIVO"/>
    <n v="0"/>
    <n v="0"/>
    <n v="12"/>
    <n v="66"/>
    <n v="0"/>
    <n v="1124.7"/>
    <n v="185.18"/>
    <m/>
    <n v="1194.906449742829"/>
    <n v="198.13390838089941"/>
    <n v="0"/>
    <n v="9253.2019008000207"/>
    <n v="0"/>
    <n v="9840.659976243338"/>
    <x v="2"/>
  </r>
  <r>
    <s v="Sistema de Compensação"/>
    <x v="0"/>
    <x v="2"/>
    <x v="2"/>
    <x v="0"/>
    <x v="1"/>
    <x v="0"/>
    <x v="2"/>
    <x v="9"/>
    <n v="0"/>
    <n v="0"/>
    <n v="11.069000000000001"/>
    <n v="10.626240000000001"/>
    <n v="11.069000000000001"/>
    <n v="10.626240000000001"/>
    <n v="0"/>
    <s v="CATIVO"/>
    <n v="0"/>
    <n v="0"/>
    <n v="12"/>
    <n v="66"/>
    <n v="0"/>
    <n v="1124.7"/>
    <n v="185.18"/>
    <m/>
    <n v="1194.906449742829"/>
    <n v="198.13390838089941"/>
    <n v="0"/>
    <n v="579.96246879999978"/>
    <n v="0"/>
    <n v="616.78254896286171"/>
    <x v="2"/>
  </r>
  <r>
    <s v="Regular"/>
    <x v="0"/>
    <x v="2"/>
    <x v="2"/>
    <x v="0"/>
    <x v="1"/>
    <x v="0"/>
    <x v="2"/>
    <x v="10"/>
    <n v="0"/>
    <n v="0"/>
    <n v="168.136"/>
    <n v="161.41056"/>
    <n v="168.136"/>
    <n v="161.41056"/>
    <n v="0"/>
    <s v="CATIVO"/>
    <n v="0"/>
    <n v="0"/>
    <n v="12"/>
    <n v="66"/>
    <n v="0"/>
    <n v="1124.7"/>
    <n v="185.18"/>
    <m/>
    <n v="1194.906449742829"/>
    <n v="198.13390838089941"/>
    <n v="0"/>
    <n v="8809.5193471999901"/>
    <n v="0"/>
    <n v="9368.8093461396365"/>
    <x v="2"/>
  </r>
  <r>
    <s v="Refaturamento - Regular"/>
    <x v="0"/>
    <x v="2"/>
    <x v="2"/>
    <x v="0"/>
    <x v="1"/>
    <x v="0"/>
    <x v="2"/>
    <x v="10"/>
    <n v="0"/>
    <n v="0"/>
    <n v="-3.754"/>
    <n v="-3.6038399999999999"/>
    <n v="-3.754"/>
    <n v="-3.6038399999999999"/>
    <n v="0"/>
    <s v="CATIVO"/>
    <n v="0"/>
    <n v="0"/>
    <n v="12"/>
    <n v="66"/>
    <n v="0"/>
    <n v="1124.7"/>
    <n v="185.18"/>
    <m/>
    <n v="1194.906449742829"/>
    <n v="198.13390838089941"/>
    <n v="0"/>
    <n v="-196.69158080000011"/>
    <n v="0"/>
    <n v="-209.17894017585917"/>
    <x v="2"/>
  </r>
  <r>
    <s v="Sistema de Compensação"/>
    <x v="0"/>
    <x v="2"/>
    <x v="2"/>
    <x v="0"/>
    <x v="1"/>
    <x v="0"/>
    <x v="2"/>
    <x v="10"/>
    <n v="0"/>
    <n v="0"/>
    <n v="14.712"/>
    <n v="14.123519999999999"/>
    <n v="14.712"/>
    <n v="14.123519999999999"/>
    <n v="0"/>
    <s v="CATIVO"/>
    <n v="0"/>
    <n v="0"/>
    <n v="12"/>
    <n v="66"/>
    <n v="0"/>
    <n v="1124.7"/>
    <n v="185.18"/>
    <m/>
    <n v="1194.906449742829"/>
    <n v="198.13390838089941"/>
    <n v="0"/>
    <n v="770.83818240000073"/>
    <n v="0"/>
    <n v="819.77638994865242"/>
    <x v="2"/>
  </r>
  <r>
    <s v="Sistema de Compensação"/>
    <x v="0"/>
    <x v="2"/>
    <x v="2"/>
    <x v="0"/>
    <x v="1"/>
    <x v="0"/>
    <x v="2"/>
    <x v="10"/>
    <n v="0"/>
    <n v="0"/>
    <n v="-1.67"/>
    <n v="-1.6032"/>
    <n v="-1.67"/>
    <n v="-1.6032"/>
    <n v="0"/>
    <s v="CATIVO"/>
    <n v="0"/>
    <n v="0"/>
    <n v="12"/>
    <n v="66"/>
    <n v="0"/>
    <n v="1124.7"/>
    <n v="185.18"/>
    <m/>
    <n v="1194.906449742829"/>
    <n v="198.13390838089941"/>
    <n v="0"/>
    <n v="-87.499983999999969"/>
    <n v="0"/>
    <n v="-93.055095922665018"/>
    <x v="2"/>
  </r>
  <r>
    <s v="Regular"/>
    <x v="0"/>
    <x v="2"/>
    <x v="2"/>
    <x v="0"/>
    <x v="1"/>
    <x v="0"/>
    <x v="2"/>
    <x v="11"/>
    <n v="0"/>
    <n v="0"/>
    <n v="177.12200000000001"/>
    <n v="170.03712000000002"/>
    <n v="177.12200000000001"/>
    <n v="170.03712000000002"/>
    <n v="0"/>
    <s v="CATIVO"/>
    <n v="0"/>
    <n v="0"/>
    <n v="12"/>
    <n v="66"/>
    <n v="0"/>
    <n v="1124.7"/>
    <n v="185.18"/>
    <m/>
    <n v="1194.906449742829"/>
    <n v="198.13390838089941"/>
    <n v="0"/>
    <n v="9280.3426143999986"/>
    <n v="0"/>
    <n v="9869.523772463639"/>
    <x v="2"/>
  </r>
  <r>
    <s v="Refaturamento - Regular"/>
    <x v="0"/>
    <x v="2"/>
    <x v="2"/>
    <x v="0"/>
    <x v="1"/>
    <x v="0"/>
    <x v="2"/>
    <x v="11"/>
    <n v="0"/>
    <n v="0"/>
    <n v="-1.8089999999999999"/>
    <n v="-1.73664"/>
    <n v="-1.8089999999999999"/>
    <n v="-1.73664"/>
    <n v="0"/>
    <s v="CATIVO"/>
    <n v="0"/>
    <n v="0"/>
    <n v="12"/>
    <n v="66"/>
    <n v="0"/>
    <n v="1124.7"/>
    <n v="185.18"/>
    <m/>
    <n v="1194.906449742829"/>
    <n v="198.13390838089941"/>
    <n v="0"/>
    <n v="-94.782916799999981"/>
    <n v="0"/>
    <n v="-100.80040031383297"/>
    <x v="2"/>
  </r>
  <r>
    <s v="Sistema de Compensação"/>
    <x v="0"/>
    <x v="2"/>
    <x v="2"/>
    <x v="0"/>
    <x v="1"/>
    <x v="0"/>
    <x v="2"/>
    <x v="11"/>
    <n v="0"/>
    <n v="0"/>
    <n v="25.818999999999999"/>
    <n v="24.786239999999999"/>
    <n v="25.818999999999999"/>
    <n v="24.786239999999999"/>
    <n v="0"/>
    <s v="CATIVO"/>
    <n v="0"/>
    <n v="0"/>
    <n v="12"/>
    <n v="66"/>
    <n v="0"/>
    <n v="1124.7"/>
    <n v="185.18"/>
    <m/>
    <n v="1194.906449742829"/>
    <n v="198.13390838089941"/>
    <n v="0"/>
    <n v="1352.7916687999996"/>
    <n v="0"/>
    <n v="1438.6763602558613"/>
    <x v="2"/>
  </r>
  <r>
    <s v="Regular"/>
    <x v="0"/>
    <x v="2"/>
    <x v="3"/>
    <x v="2"/>
    <x v="1"/>
    <x v="0"/>
    <x v="0"/>
    <x v="0"/>
    <n v="0"/>
    <n v="0"/>
    <n v="80.804000000000002"/>
    <n v="75.955759999999998"/>
    <n v="80.804000000000002"/>
    <n v="75.955759999999998"/>
    <n v="0"/>
    <s v="CATIVO"/>
    <n v="0"/>
    <n v="0"/>
    <n v="25"/>
    <n v="59"/>
    <n v="0"/>
    <n v="69.489999999999995"/>
    <n v="185.18"/>
    <m/>
    <n v="92.397536067834494"/>
    <n v="198.13390838089941"/>
    <n v="0"/>
    <n v="1234.7012808000011"/>
    <n v="0"/>
    <n v="1408.5661702341308"/>
    <x v="4"/>
  </r>
  <r>
    <s v="Refaturamento - Regular"/>
    <x v="0"/>
    <x v="2"/>
    <x v="3"/>
    <x v="2"/>
    <x v="1"/>
    <x v="0"/>
    <x v="0"/>
    <x v="0"/>
    <n v="0"/>
    <n v="0"/>
    <n v="-28.206"/>
    <n v="-26.513639999999999"/>
    <n v="-28.206"/>
    <n v="-26.513639999999999"/>
    <n v="0"/>
    <s v="CATIVO"/>
    <n v="0"/>
    <n v="0"/>
    <n v="25"/>
    <n v="59"/>
    <n v="0"/>
    <n v="69.489999999999995"/>
    <n v="185.18"/>
    <m/>
    <n v="92.397536067834494"/>
    <n v="198.13390838089941"/>
    <n v="0"/>
    <n v="-430.9933212000002"/>
    <n v="0"/>
    <n v="-491.68379532725953"/>
    <x v="4"/>
  </r>
  <r>
    <s v="Regular"/>
    <x v="0"/>
    <x v="2"/>
    <x v="3"/>
    <x v="2"/>
    <x v="1"/>
    <x v="0"/>
    <x v="0"/>
    <x v="1"/>
    <n v="0"/>
    <n v="0"/>
    <n v="59.392000000000003"/>
    <n v="55.828479999999999"/>
    <n v="59.392000000000003"/>
    <n v="55.828479999999999"/>
    <n v="0"/>
    <s v="CATIVO"/>
    <n v="0"/>
    <n v="0"/>
    <n v="25"/>
    <n v="59"/>
    <n v="0"/>
    <n v="69.489999999999995"/>
    <n v="185.18"/>
    <m/>
    <n v="92.397536067834494"/>
    <n v="198.13390838089941"/>
    <n v="0"/>
    <n v="907.52163840000105"/>
    <n v="0"/>
    <n v="1035.3146129219535"/>
    <x v="4"/>
  </r>
  <r>
    <s v="Regular"/>
    <x v="0"/>
    <x v="2"/>
    <x v="3"/>
    <x v="2"/>
    <x v="1"/>
    <x v="0"/>
    <x v="0"/>
    <x v="2"/>
    <n v="0"/>
    <n v="0"/>
    <n v="66.370999999999995"/>
    <n v="62.388739999999991"/>
    <n v="66.370999999999995"/>
    <n v="62.388739999999991"/>
    <n v="0"/>
    <s v="CATIVO"/>
    <n v="0"/>
    <n v="0"/>
    <n v="25"/>
    <n v="59"/>
    <n v="0"/>
    <n v="69.489999999999995"/>
    <n v="185.18"/>
    <m/>
    <n v="92.397536067834494"/>
    <n v="198.13390838089941"/>
    <n v="0"/>
    <n v="1014.1621542000009"/>
    <n v="0"/>
    <n v="1156.9717499704161"/>
    <x v="4"/>
  </r>
  <r>
    <s v="Regular"/>
    <x v="0"/>
    <x v="2"/>
    <x v="3"/>
    <x v="2"/>
    <x v="1"/>
    <x v="0"/>
    <x v="0"/>
    <x v="3"/>
    <n v="0"/>
    <n v="0"/>
    <n v="66.837999999999994"/>
    <n v="62.827719999999992"/>
    <n v="66.837999999999994"/>
    <n v="62.827719999999992"/>
    <n v="0"/>
    <s v="CATIVO"/>
    <n v="0"/>
    <n v="0"/>
    <n v="25"/>
    <n v="59"/>
    <n v="0"/>
    <n v="69.489999999999995"/>
    <n v="185.18"/>
    <m/>
    <n v="92.397536067834494"/>
    <n v="198.13390838089941"/>
    <n v="0"/>
    <n v="1021.2980076000003"/>
    <n v="0"/>
    <n v="1165.112441043869"/>
    <x v="4"/>
  </r>
  <r>
    <s v="Regular"/>
    <x v="0"/>
    <x v="2"/>
    <x v="3"/>
    <x v="2"/>
    <x v="1"/>
    <x v="0"/>
    <x v="0"/>
    <x v="4"/>
    <n v="0"/>
    <n v="0"/>
    <n v="70.613"/>
    <n v="66.376219999999989"/>
    <n v="70.613"/>
    <n v="66.376219999999989"/>
    <n v="0"/>
    <s v="CATIVO"/>
    <n v="0"/>
    <n v="0"/>
    <n v="25"/>
    <n v="59"/>
    <n v="0"/>
    <n v="69.489999999999995"/>
    <n v="185.18"/>
    <m/>
    <n v="92.397536067834494"/>
    <n v="198.13390838089941"/>
    <n v="0"/>
    <n v="1078.9807626000027"/>
    <n v="0"/>
    <n v="1230.9178132115098"/>
    <x v="4"/>
  </r>
  <r>
    <s v="Regular"/>
    <x v="0"/>
    <x v="2"/>
    <x v="3"/>
    <x v="2"/>
    <x v="1"/>
    <x v="0"/>
    <x v="0"/>
    <x v="5"/>
    <n v="0"/>
    <n v="0"/>
    <n v="64.915000000000006"/>
    <n v="61.020099999999999"/>
    <n v="64.915000000000006"/>
    <n v="61.020099999999999"/>
    <n v="0"/>
    <s v="CATIVO"/>
    <n v="0"/>
    <n v="0"/>
    <n v="25"/>
    <n v="59"/>
    <n v="0"/>
    <n v="69.489999999999995"/>
    <n v="185.18"/>
    <m/>
    <n v="92.397536067834494"/>
    <n v="198.13390838089941"/>
    <n v="0"/>
    <n v="991.9141830000018"/>
    <n v="0"/>
    <n v="1131.5909229833758"/>
    <x v="4"/>
  </r>
  <r>
    <s v="Regular"/>
    <x v="0"/>
    <x v="2"/>
    <x v="3"/>
    <x v="2"/>
    <x v="1"/>
    <x v="0"/>
    <x v="0"/>
    <x v="6"/>
    <n v="0"/>
    <n v="0"/>
    <n v="72.984999999999999"/>
    <n v="68.605899999999991"/>
    <n v="72.984999999999999"/>
    <n v="68.605899999999991"/>
    <n v="0"/>
    <s v="CATIVO"/>
    <n v="0"/>
    <n v="0"/>
    <n v="25"/>
    <n v="59"/>
    <n v="0"/>
    <n v="69.489999999999995"/>
    <n v="185.18"/>
    <m/>
    <n v="92.397536067834494"/>
    <n v="198.13390838089941"/>
    <n v="0"/>
    <n v="1115.2253970000022"/>
    <n v="0"/>
    <n v="1272.2662483854531"/>
    <x v="4"/>
  </r>
  <r>
    <s v="Regular"/>
    <x v="0"/>
    <x v="2"/>
    <x v="3"/>
    <x v="2"/>
    <x v="1"/>
    <x v="0"/>
    <x v="0"/>
    <x v="7"/>
    <n v="0"/>
    <n v="0"/>
    <n v="64.531999999999996"/>
    <n v="60.660079999999994"/>
    <n v="64.531999999999996"/>
    <n v="60.660079999999994"/>
    <n v="0"/>
    <s v="CATIVO"/>
    <n v="0"/>
    <n v="0"/>
    <n v="25"/>
    <n v="59"/>
    <n v="0"/>
    <n v="69.489999999999995"/>
    <n v="185.18"/>
    <m/>
    <n v="92.397536067834494"/>
    <n v="198.13390838089941"/>
    <n v="0"/>
    <n v="986.06186640000078"/>
    <n v="0"/>
    <n v="1124.9145103899427"/>
    <x v="4"/>
  </r>
  <r>
    <s v="Regular"/>
    <x v="0"/>
    <x v="2"/>
    <x v="3"/>
    <x v="2"/>
    <x v="1"/>
    <x v="0"/>
    <x v="0"/>
    <x v="8"/>
    <n v="0"/>
    <n v="0"/>
    <n v="54.575000000000003"/>
    <n v="51.3005"/>
    <n v="54.575000000000003"/>
    <n v="51.3005"/>
    <n v="0"/>
    <s v="CATIVO"/>
    <n v="0"/>
    <n v="0"/>
    <n v="25"/>
    <n v="59"/>
    <n v="0"/>
    <n v="69.489999999999995"/>
    <n v="185.18"/>
    <m/>
    <n v="92.397536067834494"/>
    <n v="198.13390838089941"/>
    <n v="0"/>
    <n v="833.91691500000081"/>
    <n v="0"/>
    <n v="951.34521484738013"/>
    <x v="4"/>
  </r>
  <r>
    <s v="Regular"/>
    <x v="0"/>
    <x v="2"/>
    <x v="3"/>
    <x v="2"/>
    <x v="1"/>
    <x v="0"/>
    <x v="0"/>
    <x v="9"/>
    <n v="0"/>
    <n v="0"/>
    <n v="62.256"/>
    <n v="58.52064"/>
    <n v="62.256"/>
    <n v="58.52064"/>
    <n v="0"/>
    <s v="CATIVO"/>
    <n v="0"/>
    <n v="0"/>
    <n v="25"/>
    <n v="59"/>
    <n v="0"/>
    <n v="69.489999999999995"/>
    <n v="185.18"/>
    <m/>
    <n v="92.397536067834494"/>
    <n v="198.13390838089941"/>
    <n v="0"/>
    <n v="951.28413120000005"/>
    <n v="0"/>
    <n v="1085.2395363360226"/>
    <x v="4"/>
  </r>
  <r>
    <s v="Regular"/>
    <x v="0"/>
    <x v="2"/>
    <x v="3"/>
    <x v="2"/>
    <x v="1"/>
    <x v="0"/>
    <x v="0"/>
    <x v="10"/>
    <n v="0"/>
    <n v="0"/>
    <n v="57.121000000000002"/>
    <n v="53.693739999999998"/>
    <n v="57.121000000000002"/>
    <n v="53.693739999999998"/>
    <n v="0"/>
    <s v="CATIVO"/>
    <n v="0"/>
    <n v="0"/>
    <n v="25"/>
    <n v="59"/>
    <n v="0"/>
    <n v="69.489999999999995"/>
    <n v="185.18"/>
    <m/>
    <n v="92.397536067834494"/>
    <n v="198.13390838089941"/>
    <n v="0"/>
    <n v="872.82030420000103"/>
    <n v="0"/>
    <n v="995.72679830136894"/>
    <x v="4"/>
  </r>
  <r>
    <s v="Regular"/>
    <x v="0"/>
    <x v="2"/>
    <x v="3"/>
    <x v="2"/>
    <x v="1"/>
    <x v="0"/>
    <x v="0"/>
    <x v="11"/>
    <n v="0"/>
    <n v="0"/>
    <n v="62.706000000000003"/>
    <n v="58.943640000000002"/>
    <n v="62.706000000000003"/>
    <n v="58.943640000000002"/>
    <n v="0"/>
    <s v="CATIVO"/>
    <n v="0"/>
    <n v="0"/>
    <n v="25"/>
    <n v="59"/>
    <n v="0"/>
    <n v="69.489999999999995"/>
    <n v="185.18"/>
    <m/>
    <n v="92.397536067834494"/>
    <n v="198.13390838089941"/>
    <n v="0"/>
    <n v="958.16022120000025"/>
    <n v="0"/>
    <n v="1093.0838853361388"/>
    <x v="4"/>
  </r>
  <r>
    <s v="Regular"/>
    <x v="0"/>
    <x v="2"/>
    <x v="3"/>
    <x v="2"/>
    <x v="1"/>
    <x v="0"/>
    <x v="1"/>
    <x v="0"/>
    <n v="494"/>
    <n v="419.9"/>
    <n v="0"/>
    <n v="0"/>
    <n v="0"/>
    <n v="0"/>
    <n v="3"/>
    <s v="CATIVO"/>
    <n v="0"/>
    <n v="18"/>
    <n v="0"/>
    <n v="0"/>
    <n v="26.17"/>
    <n v="0"/>
    <n v="0"/>
    <n v="27.746237112155811"/>
    <m/>
    <m/>
    <n v="1939.1970000000008"/>
    <n v="0"/>
    <n v="2055.996170010746"/>
    <n v="0"/>
    <x v="4"/>
  </r>
  <r>
    <s v="Refaturamento - Regular"/>
    <x v="0"/>
    <x v="2"/>
    <x v="3"/>
    <x v="2"/>
    <x v="1"/>
    <x v="0"/>
    <x v="1"/>
    <x v="0"/>
    <n v="-190"/>
    <n v="-161.5"/>
    <n v="0"/>
    <n v="0"/>
    <n v="0"/>
    <n v="0"/>
    <n v="0"/>
    <s v="CATIVO"/>
    <n v="0"/>
    <n v="18"/>
    <n v="0"/>
    <n v="0"/>
    <n v="26.17"/>
    <n v="0"/>
    <n v="0"/>
    <n v="27.746237112155811"/>
    <m/>
    <m/>
    <n v="-745.84500000000003"/>
    <n v="0"/>
    <n v="-790.76775769644064"/>
    <n v="0"/>
    <x v="4"/>
  </r>
  <r>
    <s v="Regular"/>
    <x v="0"/>
    <x v="2"/>
    <x v="3"/>
    <x v="2"/>
    <x v="1"/>
    <x v="0"/>
    <x v="1"/>
    <x v="1"/>
    <n v="307"/>
    <n v="260.95"/>
    <n v="0"/>
    <n v="0"/>
    <n v="0"/>
    <n v="0"/>
    <n v="3"/>
    <s v="CATIVO"/>
    <n v="0"/>
    <n v="18"/>
    <n v="0"/>
    <n v="0"/>
    <n v="26.17"/>
    <n v="0"/>
    <n v="0"/>
    <n v="27.746237112155811"/>
    <m/>
    <m/>
    <n v="1205.1285000000005"/>
    <n v="0"/>
    <n v="1277.7142190147754"/>
    <n v="0"/>
    <x v="4"/>
  </r>
  <r>
    <s v="Regular"/>
    <x v="0"/>
    <x v="2"/>
    <x v="3"/>
    <x v="2"/>
    <x v="1"/>
    <x v="0"/>
    <x v="1"/>
    <x v="2"/>
    <n v="320"/>
    <n v="272"/>
    <n v="0"/>
    <n v="0"/>
    <n v="0"/>
    <n v="0"/>
    <n v="3"/>
    <s v="CATIVO"/>
    <n v="0"/>
    <n v="18"/>
    <n v="0"/>
    <n v="0"/>
    <n v="26.17"/>
    <n v="0"/>
    <n v="0"/>
    <n v="27.746237112155811"/>
    <m/>
    <m/>
    <n v="1256.1600000000001"/>
    <n v="0"/>
    <n v="1331.8193813834789"/>
    <n v="0"/>
    <x v="4"/>
  </r>
  <r>
    <s v="Regular"/>
    <x v="0"/>
    <x v="2"/>
    <x v="3"/>
    <x v="2"/>
    <x v="1"/>
    <x v="0"/>
    <x v="1"/>
    <x v="3"/>
    <n v="316"/>
    <n v="268.59999999999997"/>
    <n v="0"/>
    <n v="0"/>
    <n v="0"/>
    <n v="0"/>
    <n v="3"/>
    <s v="CATIVO"/>
    <n v="0"/>
    <n v="18"/>
    <n v="0"/>
    <n v="0"/>
    <n v="26.17"/>
    <n v="0"/>
    <n v="0"/>
    <n v="27.746237112155811"/>
    <m/>
    <m/>
    <n v="1240.458000000001"/>
    <n v="0"/>
    <n v="1315.1716391161863"/>
    <n v="0"/>
    <x v="4"/>
  </r>
  <r>
    <s v="Regular"/>
    <x v="0"/>
    <x v="2"/>
    <x v="3"/>
    <x v="2"/>
    <x v="1"/>
    <x v="0"/>
    <x v="1"/>
    <x v="4"/>
    <n v="319"/>
    <n v="271.14999999999998"/>
    <n v="0"/>
    <n v="0"/>
    <n v="0"/>
    <n v="0"/>
    <n v="3"/>
    <s v="CATIVO"/>
    <n v="0"/>
    <n v="18"/>
    <n v="0"/>
    <n v="0"/>
    <n v="26.17"/>
    <n v="0"/>
    <n v="0"/>
    <n v="27.746237112155811"/>
    <m/>
    <m/>
    <n v="1252.2345000000007"/>
    <n v="0"/>
    <n v="1327.6574458166563"/>
    <n v="0"/>
    <x v="4"/>
  </r>
  <r>
    <s v="Regular"/>
    <x v="0"/>
    <x v="2"/>
    <x v="3"/>
    <x v="2"/>
    <x v="1"/>
    <x v="0"/>
    <x v="1"/>
    <x v="5"/>
    <n v="312"/>
    <n v="265.2"/>
    <n v="0"/>
    <n v="0"/>
    <n v="0"/>
    <n v="0"/>
    <n v="3"/>
    <s v="CATIVO"/>
    <n v="0"/>
    <n v="18"/>
    <n v="0"/>
    <n v="0"/>
    <n v="26.17"/>
    <n v="0"/>
    <n v="0"/>
    <n v="27.746237112155811"/>
    <m/>
    <m/>
    <n v="1224.7560000000003"/>
    <n v="0"/>
    <n v="1298.5238968488923"/>
    <n v="0"/>
    <x v="4"/>
  </r>
  <r>
    <s v="Regular"/>
    <x v="0"/>
    <x v="2"/>
    <x v="3"/>
    <x v="2"/>
    <x v="1"/>
    <x v="0"/>
    <x v="1"/>
    <x v="6"/>
    <n v="305"/>
    <n v="259.25"/>
    <n v="0"/>
    <n v="0"/>
    <n v="0"/>
    <n v="0"/>
    <n v="3"/>
    <s v="CATIVO"/>
    <n v="0"/>
    <n v="18"/>
    <n v="0"/>
    <n v="0"/>
    <n v="26.17"/>
    <n v="0"/>
    <n v="0"/>
    <n v="27.746237112155811"/>
    <m/>
    <m/>
    <n v="1197.2775000000001"/>
    <n v="0"/>
    <n v="1269.3903478811283"/>
    <n v="0"/>
    <x v="4"/>
  </r>
  <r>
    <s v="Regular"/>
    <x v="0"/>
    <x v="2"/>
    <x v="3"/>
    <x v="2"/>
    <x v="1"/>
    <x v="0"/>
    <x v="1"/>
    <x v="7"/>
    <n v="314"/>
    <n v="266.89999999999998"/>
    <n v="0"/>
    <n v="0"/>
    <n v="0"/>
    <n v="0"/>
    <n v="3"/>
    <s v="CATIVO"/>
    <n v="0"/>
    <n v="18"/>
    <n v="0"/>
    <n v="0"/>
    <n v="26.17"/>
    <n v="0"/>
    <n v="0"/>
    <n v="27.746237112155811"/>
    <m/>
    <m/>
    <n v="1232.6070000000007"/>
    <n v="0"/>
    <n v="1306.8477679825394"/>
    <n v="0"/>
    <x v="4"/>
  </r>
  <r>
    <s v="Regular"/>
    <x v="0"/>
    <x v="2"/>
    <x v="3"/>
    <x v="2"/>
    <x v="1"/>
    <x v="0"/>
    <x v="1"/>
    <x v="8"/>
    <n v="311"/>
    <n v="264.34999999999997"/>
    <n v="0"/>
    <n v="0"/>
    <n v="0"/>
    <n v="0"/>
    <n v="3"/>
    <s v="CATIVO"/>
    <n v="0"/>
    <n v="18"/>
    <n v="0"/>
    <n v="0"/>
    <n v="26.17"/>
    <n v="0"/>
    <n v="0"/>
    <n v="27.746237112155811"/>
    <m/>
    <m/>
    <n v="1220.8305000000009"/>
    <n v="0"/>
    <n v="1294.3619612820696"/>
    <n v="0"/>
    <x v="4"/>
  </r>
  <r>
    <s v="Regular"/>
    <x v="0"/>
    <x v="2"/>
    <x v="3"/>
    <x v="2"/>
    <x v="1"/>
    <x v="0"/>
    <x v="1"/>
    <x v="9"/>
    <n v="315"/>
    <n v="267.75"/>
    <n v="0"/>
    <n v="0"/>
    <n v="0"/>
    <n v="0"/>
    <n v="3"/>
    <s v="CATIVO"/>
    <n v="0"/>
    <n v="18"/>
    <n v="0"/>
    <n v="0"/>
    <n v="26.17"/>
    <n v="0"/>
    <n v="0"/>
    <n v="27.746237112155811"/>
    <m/>
    <m/>
    <n v="1236.5325"/>
    <n v="0"/>
    <n v="1311.009703549362"/>
    <n v="0"/>
    <x v="4"/>
  </r>
  <r>
    <s v="Regular"/>
    <x v="0"/>
    <x v="2"/>
    <x v="3"/>
    <x v="2"/>
    <x v="1"/>
    <x v="0"/>
    <x v="1"/>
    <x v="10"/>
    <n v="319"/>
    <n v="271.14999999999998"/>
    <n v="0"/>
    <n v="0"/>
    <n v="0"/>
    <n v="0"/>
    <n v="3"/>
    <s v="CATIVO"/>
    <n v="0"/>
    <n v="18"/>
    <n v="0"/>
    <n v="0"/>
    <n v="26.17"/>
    <n v="0"/>
    <n v="0"/>
    <n v="27.746237112155811"/>
    <m/>
    <m/>
    <n v="1252.2345000000007"/>
    <n v="0"/>
    <n v="1327.6574458166563"/>
    <n v="0"/>
    <x v="4"/>
  </r>
  <r>
    <s v="Regular"/>
    <x v="0"/>
    <x v="2"/>
    <x v="3"/>
    <x v="2"/>
    <x v="1"/>
    <x v="0"/>
    <x v="1"/>
    <x v="11"/>
    <n v="310"/>
    <n v="263.5"/>
    <n v="0"/>
    <n v="0"/>
    <n v="0"/>
    <n v="0"/>
    <n v="3"/>
    <s v="CATIVO"/>
    <n v="0"/>
    <n v="18"/>
    <n v="0"/>
    <n v="0"/>
    <n v="26.17"/>
    <n v="0"/>
    <n v="0"/>
    <n v="27.746237112155811"/>
    <m/>
    <m/>
    <n v="1216.905"/>
    <n v="0"/>
    <n v="1290.2000257152451"/>
    <n v="0"/>
    <x v="4"/>
  </r>
  <r>
    <s v="Regular"/>
    <x v="0"/>
    <x v="2"/>
    <x v="3"/>
    <x v="2"/>
    <x v="1"/>
    <x v="0"/>
    <x v="2"/>
    <x v="0"/>
    <n v="0"/>
    <n v="0"/>
    <n v="1.9890000000000001"/>
    <n v="1.8696600000000001"/>
    <n v="1.9890000000000001"/>
    <n v="1.8696600000000001"/>
    <n v="0"/>
    <s v="CATIVO"/>
    <n v="0"/>
    <n v="0"/>
    <n v="12"/>
    <n v="66"/>
    <n v="0"/>
    <n v="1124.7"/>
    <n v="185.18"/>
    <m/>
    <n v="1194.906449742829"/>
    <n v="198.13390838089941"/>
    <n v="0"/>
    <n v="156.32107920000001"/>
    <n v="0"/>
    <n v="166.24543633848572"/>
    <x v="4"/>
  </r>
  <r>
    <s v="Refaturamento - Regular"/>
    <x v="0"/>
    <x v="2"/>
    <x v="3"/>
    <x v="2"/>
    <x v="1"/>
    <x v="0"/>
    <x v="2"/>
    <x v="0"/>
    <n v="0"/>
    <n v="0"/>
    <n v="-1.4870000000000001"/>
    <n v="-1.39778"/>
    <n v="-1.4870000000000001"/>
    <n v="-1.39778"/>
    <n v="0"/>
    <s v="CATIVO"/>
    <n v="0"/>
    <n v="0"/>
    <n v="12"/>
    <n v="66"/>
    <n v="0"/>
    <n v="1124.7"/>
    <n v="185.18"/>
    <m/>
    <n v="1194.906449742829"/>
    <n v="198.13390838089941"/>
    <n v="0"/>
    <n v="-116.8674936000001"/>
    <n v="0"/>
    <n v="-124.28706075179915"/>
    <x v="4"/>
  </r>
  <r>
    <s v="Regular"/>
    <x v="0"/>
    <x v="2"/>
    <x v="3"/>
    <x v="2"/>
    <x v="1"/>
    <x v="0"/>
    <x v="2"/>
    <x v="1"/>
    <n v="0"/>
    <n v="0"/>
    <n v="0.79400000000000004"/>
    <n v="0.74636000000000002"/>
    <n v="0.79400000000000004"/>
    <n v="0.74636000000000002"/>
    <n v="0"/>
    <s v="CATIVO"/>
    <n v="0"/>
    <n v="0"/>
    <n v="12"/>
    <n v="66"/>
    <n v="0"/>
    <n v="1124.7"/>
    <n v="185.18"/>
    <m/>
    <n v="1194.906449742829"/>
    <n v="198.13390838089941"/>
    <n v="0"/>
    <n v="62.402683200000027"/>
    <n v="0"/>
    <n v="66.364442661014436"/>
    <x v="4"/>
  </r>
  <r>
    <s v="Regular"/>
    <x v="0"/>
    <x v="2"/>
    <x v="3"/>
    <x v="2"/>
    <x v="1"/>
    <x v="0"/>
    <x v="2"/>
    <x v="2"/>
    <n v="0"/>
    <n v="0"/>
    <n v="2.4329999999999998"/>
    <n v="2.2870199999999996"/>
    <n v="2.4329999999999998"/>
    <n v="2.2870199999999996"/>
    <n v="0"/>
    <s v="CATIVO"/>
    <n v="0"/>
    <n v="0"/>
    <n v="12"/>
    <n v="66"/>
    <n v="0"/>
    <n v="1124.7"/>
    <n v="185.18"/>
    <m/>
    <n v="1194.906449742829"/>
    <n v="198.13390838089941"/>
    <n v="0"/>
    <n v="191.2162824000003"/>
    <n v="0"/>
    <n v="203.35603147890217"/>
    <x v="4"/>
  </r>
  <r>
    <s v="Regular"/>
    <x v="0"/>
    <x v="2"/>
    <x v="3"/>
    <x v="2"/>
    <x v="1"/>
    <x v="0"/>
    <x v="2"/>
    <x v="3"/>
    <n v="0"/>
    <n v="0"/>
    <n v="4.9050000000000002"/>
    <n v="4.6106999999999996"/>
    <n v="4.9050000000000002"/>
    <n v="4.6106999999999996"/>
    <n v="0"/>
    <s v="CATIVO"/>
    <n v="0"/>
    <n v="0"/>
    <n v="12"/>
    <n v="66"/>
    <n v="0"/>
    <n v="1124.7"/>
    <n v="185.18"/>
    <m/>
    <n v="1194.906449742829"/>
    <n v="198.13390838089941"/>
    <n v="0"/>
    <n v="385.49768400000085"/>
    <n v="0"/>
    <n v="409.97177739581417"/>
    <x v="4"/>
  </r>
  <r>
    <s v="Regular"/>
    <x v="0"/>
    <x v="2"/>
    <x v="3"/>
    <x v="2"/>
    <x v="1"/>
    <x v="0"/>
    <x v="2"/>
    <x v="4"/>
    <n v="0"/>
    <n v="0"/>
    <n v="5.0819999999999999"/>
    <n v="4.7770799999999998"/>
    <n v="5.0819999999999999"/>
    <n v="4.7770799999999998"/>
    <n v="0"/>
    <s v="CATIVO"/>
    <n v="0"/>
    <n v="0"/>
    <n v="12"/>
    <n v="66"/>
    <n v="0"/>
    <n v="1124.7"/>
    <n v="185.18"/>
    <m/>
    <n v="1194.906449742829"/>
    <n v="198.13390838089941"/>
    <n v="0"/>
    <n v="399.40860960000009"/>
    <n v="0"/>
    <n v="424.76586599908734"/>
    <x v="4"/>
  </r>
  <r>
    <s v="Regular"/>
    <x v="0"/>
    <x v="2"/>
    <x v="3"/>
    <x v="2"/>
    <x v="1"/>
    <x v="0"/>
    <x v="2"/>
    <x v="5"/>
    <n v="0"/>
    <n v="0"/>
    <n v="5.3470000000000004"/>
    <n v="5.0261800000000001"/>
    <n v="5.3470000000000004"/>
    <n v="5.0261800000000001"/>
    <n v="0"/>
    <s v="CATIVO"/>
    <n v="0"/>
    <n v="0"/>
    <n v="12"/>
    <n v="66"/>
    <n v="0"/>
    <n v="1124.7"/>
    <n v="185.18"/>
    <m/>
    <n v="1194.906449742829"/>
    <n v="198.13390838089941"/>
    <n v="0"/>
    <n v="420.23570160000048"/>
    <n v="0"/>
    <n v="446.91520769325496"/>
    <x v="4"/>
  </r>
  <r>
    <s v="Regular"/>
    <x v="0"/>
    <x v="2"/>
    <x v="3"/>
    <x v="2"/>
    <x v="1"/>
    <x v="0"/>
    <x v="2"/>
    <x v="6"/>
    <n v="0"/>
    <n v="0"/>
    <n v="5.4029999999999996"/>
    <n v="5.0788199999999994"/>
    <n v="5.4029999999999996"/>
    <n v="5.0788199999999994"/>
    <n v="0"/>
    <s v="CATIVO"/>
    <n v="0"/>
    <n v="0"/>
    <n v="12"/>
    <n v="66"/>
    <n v="0"/>
    <n v="1124.7"/>
    <n v="185.18"/>
    <m/>
    <n v="1194.906449742829"/>
    <n v="198.13390838089941"/>
    <n v="0"/>
    <n v="424.63689840000023"/>
    <n v="0"/>
    <n v="451.59582329655046"/>
    <x v="4"/>
  </r>
  <r>
    <s v="Regular"/>
    <x v="0"/>
    <x v="2"/>
    <x v="3"/>
    <x v="2"/>
    <x v="1"/>
    <x v="0"/>
    <x v="2"/>
    <x v="7"/>
    <n v="0"/>
    <n v="0"/>
    <n v="1.93"/>
    <n v="1.8141999999999998"/>
    <n v="1.93"/>
    <n v="1.8141999999999998"/>
    <n v="0"/>
    <s v="CATIVO"/>
    <n v="0"/>
    <n v="0"/>
    <n v="12"/>
    <n v="66"/>
    <n v="0"/>
    <n v="1124.7"/>
    <n v="185.18"/>
    <m/>
    <n v="1194.906449742829"/>
    <n v="198.13390838089941"/>
    <n v="0"/>
    <n v="151.68410400000016"/>
    <n v="0"/>
    <n v="161.31407347072792"/>
    <x v="4"/>
  </r>
  <r>
    <s v="Regular"/>
    <x v="0"/>
    <x v="2"/>
    <x v="3"/>
    <x v="2"/>
    <x v="1"/>
    <x v="0"/>
    <x v="2"/>
    <x v="8"/>
    <n v="0"/>
    <n v="0"/>
    <n v="2.74"/>
    <n v="2.5756000000000001"/>
    <n v="2.74"/>
    <n v="2.5756000000000001"/>
    <n v="0"/>
    <s v="CATIVO"/>
    <n v="0"/>
    <n v="0"/>
    <n v="12"/>
    <n v="66"/>
    <n v="0"/>
    <n v="1124.7"/>
    <n v="185.18"/>
    <m/>
    <n v="1194.906449742829"/>
    <n v="198.13390838089941"/>
    <n v="0"/>
    <n v="215.34427200000013"/>
    <n v="0"/>
    <n v="229.01583487554109"/>
    <x v="4"/>
  </r>
  <r>
    <s v="Regular"/>
    <x v="0"/>
    <x v="2"/>
    <x v="3"/>
    <x v="2"/>
    <x v="1"/>
    <x v="0"/>
    <x v="2"/>
    <x v="9"/>
    <n v="0"/>
    <n v="0"/>
    <n v="1.5589999999999999"/>
    <n v="1.4654599999999998"/>
    <n v="1.5589999999999999"/>
    <n v="1.4654599999999998"/>
    <n v="0"/>
    <s v="CATIVO"/>
    <n v="0"/>
    <n v="0"/>
    <n v="12"/>
    <n v="66"/>
    <n v="0"/>
    <n v="1124.7"/>
    <n v="185.18"/>
    <m/>
    <n v="1194.906449742829"/>
    <n v="198.13390838089941"/>
    <n v="0"/>
    <n v="122.52617520000024"/>
    <n v="0"/>
    <n v="130.30499509889378"/>
    <x v="4"/>
  </r>
  <r>
    <s v="Regular"/>
    <x v="0"/>
    <x v="2"/>
    <x v="3"/>
    <x v="2"/>
    <x v="1"/>
    <x v="0"/>
    <x v="2"/>
    <x v="10"/>
    <n v="0"/>
    <n v="0"/>
    <n v="1.2789999999999999"/>
    <n v="1.2022599999999999"/>
    <n v="1.2789999999999999"/>
    <n v="1.2022599999999999"/>
    <n v="0"/>
    <s v="CATIVO"/>
    <n v="0"/>
    <n v="0"/>
    <n v="12"/>
    <n v="66"/>
    <n v="0"/>
    <n v="1124.7"/>
    <n v="185.18"/>
    <m/>
    <n v="1194.906449742829"/>
    <n v="198.13390838089941"/>
    <n v="0"/>
    <n v="100.52019120000004"/>
    <n v="0"/>
    <n v="106.90191708241495"/>
    <x v="4"/>
  </r>
  <r>
    <s v="Regular"/>
    <x v="0"/>
    <x v="2"/>
    <x v="3"/>
    <x v="2"/>
    <x v="1"/>
    <x v="0"/>
    <x v="2"/>
    <x v="11"/>
    <n v="0"/>
    <n v="0"/>
    <n v="1.8779999999999999"/>
    <n v="1.7653199999999998"/>
    <n v="1.8779999999999999"/>
    <n v="1.7653199999999998"/>
    <n v="0"/>
    <s v="CATIVO"/>
    <n v="0"/>
    <n v="0"/>
    <n v="12"/>
    <n v="66"/>
    <n v="0"/>
    <n v="1124.7"/>
    <n v="185.18"/>
    <m/>
    <n v="1194.906449742829"/>
    <n v="198.13390838089941"/>
    <n v="0"/>
    <n v="147.59727840000016"/>
    <n v="0"/>
    <n v="156.96778755338187"/>
    <x v="4"/>
  </r>
  <r>
    <s v="Regular"/>
    <x v="1"/>
    <x v="3"/>
    <x v="4"/>
    <x v="3"/>
    <x v="1"/>
    <x v="0"/>
    <x v="1"/>
    <x v="0"/>
    <n v="0"/>
    <n v="0"/>
    <n v="1945.799"/>
    <n v="1945.799"/>
    <n v="1945.799"/>
    <n v="1945.799"/>
    <n v="11707"/>
    <s v="CATIVO"/>
    <n v="0"/>
    <n v="0"/>
    <n v="11"/>
    <n v="46"/>
    <n v="0"/>
    <n v="272.91000000000003"/>
    <n v="185.18"/>
    <m/>
    <n v="315.8126451707094"/>
    <n v="198.13390838089941"/>
    <n v="0"/>
    <n v="0"/>
    <n v="0"/>
    <n v="0"/>
    <x v="5"/>
  </r>
  <r>
    <s v="Regular"/>
    <x v="1"/>
    <x v="3"/>
    <x v="4"/>
    <x v="4"/>
    <x v="1"/>
    <x v="0"/>
    <x v="1"/>
    <x v="0"/>
    <n v="0"/>
    <n v="0"/>
    <n v="7.14"/>
    <n v="7.14"/>
    <n v="7.14"/>
    <n v="7.14"/>
    <n v="12"/>
    <s v="CATIVO"/>
    <n v="0"/>
    <n v="0"/>
    <n v="10"/>
    <n v="57"/>
    <n v="0"/>
    <n v="71.83"/>
    <n v="64.81"/>
    <m/>
    <n v="76.497360298077055"/>
    <n v="69.346867933314783"/>
    <n v="0"/>
    <n v="1811.8463999999999"/>
    <n v="0"/>
    <n v="1933.8944663482559"/>
    <x v="6"/>
  </r>
  <r>
    <s v="Regular"/>
    <x v="1"/>
    <x v="3"/>
    <x v="4"/>
    <x v="4"/>
    <x v="1"/>
    <x v="0"/>
    <x v="1"/>
    <x v="1"/>
    <n v="0"/>
    <n v="0"/>
    <n v="7.2"/>
    <n v="7.2"/>
    <n v="7.2"/>
    <n v="7.2"/>
    <n v="8"/>
    <s v="CATIVO"/>
    <n v="0"/>
    <n v="0"/>
    <n v="10"/>
    <n v="57"/>
    <n v="0"/>
    <n v="71.83"/>
    <n v="64.81"/>
    <m/>
    <n v="76.497360298077055"/>
    <n v="69.346867933314783"/>
    <n v="0"/>
    <n v="1827.0719999999999"/>
    <n v="0"/>
    <n v="1950.1456803511826"/>
    <x v="6"/>
  </r>
  <r>
    <s v="Regular"/>
    <x v="1"/>
    <x v="3"/>
    <x v="4"/>
    <x v="4"/>
    <x v="1"/>
    <x v="0"/>
    <x v="1"/>
    <x v="2"/>
    <n v="0"/>
    <n v="0"/>
    <n v="7.29"/>
    <n v="7.29"/>
    <n v="7.29"/>
    <n v="7.29"/>
    <n v="9"/>
    <s v="CATIVO"/>
    <n v="0"/>
    <n v="0"/>
    <n v="10"/>
    <n v="57"/>
    <n v="0"/>
    <n v="71.83"/>
    <n v="64.81"/>
    <m/>
    <n v="76.497360298077055"/>
    <n v="69.346867933314783"/>
    <n v="0"/>
    <n v="1849.9104"/>
    <n v="0"/>
    <n v="1974.5225013555723"/>
    <x v="6"/>
  </r>
  <r>
    <s v="Regular"/>
    <x v="1"/>
    <x v="3"/>
    <x v="4"/>
    <x v="4"/>
    <x v="1"/>
    <x v="0"/>
    <x v="1"/>
    <x v="3"/>
    <n v="0"/>
    <n v="0"/>
    <n v="7.38"/>
    <n v="7.38"/>
    <n v="7.38"/>
    <n v="7.38"/>
    <n v="10"/>
    <s v="CATIVO"/>
    <n v="0"/>
    <n v="0"/>
    <n v="10"/>
    <n v="57"/>
    <n v="0"/>
    <n v="71.83"/>
    <n v="64.81"/>
    <m/>
    <n v="76.497360298077055"/>
    <n v="69.346867933314783"/>
    <n v="0"/>
    <n v="1872.7487999999998"/>
    <n v="0"/>
    <n v="1998.8993223599621"/>
    <x v="6"/>
  </r>
  <r>
    <s v="Regular"/>
    <x v="1"/>
    <x v="3"/>
    <x v="4"/>
    <x v="4"/>
    <x v="1"/>
    <x v="0"/>
    <x v="1"/>
    <x v="4"/>
    <n v="0"/>
    <n v="0"/>
    <n v="7.98"/>
    <n v="7.98"/>
    <n v="7.98"/>
    <n v="7.98"/>
    <n v="14"/>
    <s v="CATIVO"/>
    <n v="0"/>
    <n v="0"/>
    <n v="10"/>
    <n v="57"/>
    <n v="0"/>
    <n v="71.83"/>
    <n v="64.81"/>
    <m/>
    <n v="76.497360298077055"/>
    <n v="69.346867933314783"/>
    <n v="0"/>
    <n v="2025.0047999999999"/>
    <n v="0"/>
    <n v="2161.4114623892274"/>
    <x v="6"/>
  </r>
  <r>
    <s v="Refaturamento - Regular"/>
    <x v="1"/>
    <x v="3"/>
    <x v="4"/>
    <x v="4"/>
    <x v="1"/>
    <x v="0"/>
    <x v="1"/>
    <x v="4"/>
    <n v="0"/>
    <n v="0"/>
    <n v="-0.21"/>
    <n v="-0.21"/>
    <n v="-0.21"/>
    <n v="-0.21"/>
    <n v="-1"/>
    <s v="CATIVO"/>
    <n v="0"/>
    <n v="0"/>
    <n v="10"/>
    <n v="57"/>
    <n v="0"/>
    <n v="71.83"/>
    <n v="64.81"/>
    <m/>
    <n v="76.497360298077055"/>
    <n v="69.346867933314783"/>
    <n v="0"/>
    <n v="-53.289599999999993"/>
    <n v="0"/>
    <n v="-56.879249010242823"/>
    <x v="6"/>
  </r>
  <r>
    <s v="Regular"/>
    <x v="1"/>
    <x v="3"/>
    <x v="4"/>
    <x v="4"/>
    <x v="1"/>
    <x v="0"/>
    <x v="1"/>
    <x v="5"/>
    <n v="0"/>
    <n v="0"/>
    <n v="7.83"/>
    <n v="7.83"/>
    <n v="7.83"/>
    <n v="7.83"/>
    <n v="9"/>
    <s v="CATIVO"/>
    <n v="0"/>
    <n v="0"/>
    <n v="10"/>
    <n v="57"/>
    <n v="0"/>
    <n v="71.83"/>
    <n v="64.81"/>
    <m/>
    <n v="76.497360298077055"/>
    <n v="69.346867933314783"/>
    <n v="0"/>
    <n v="1986.9407999999999"/>
    <n v="0"/>
    <n v="2120.7834273819108"/>
    <x v="6"/>
  </r>
  <r>
    <s v="Regular"/>
    <x v="1"/>
    <x v="3"/>
    <x v="4"/>
    <x v="4"/>
    <x v="1"/>
    <x v="0"/>
    <x v="1"/>
    <x v="6"/>
    <n v="0"/>
    <n v="0"/>
    <n v="7.95"/>
    <n v="7.95"/>
    <n v="7.95"/>
    <n v="7.95"/>
    <n v="8"/>
    <s v="CATIVO"/>
    <n v="0"/>
    <n v="0"/>
    <n v="10"/>
    <n v="57"/>
    <n v="0"/>
    <n v="71.83"/>
    <n v="64.81"/>
    <m/>
    <n v="76.497360298077055"/>
    <n v="69.346867933314783"/>
    <n v="0"/>
    <n v="2017.3920000000001"/>
    <n v="0"/>
    <n v="2153.2858553877641"/>
    <x v="6"/>
  </r>
  <r>
    <s v="Regular"/>
    <x v="1"/>
    <x v="3"/>
    <x v="4"/>
    <x v="4"/>
    <x v="1"/>
    <x v="0"/>
    <x v="1"/>
    <x v="7"/>
    <n v="0"/>
    <n v="0"/>
    <n v="13.92"/>
    <n v="13.92"/>
    <n v="13.92"/>
    <n v="13.92"/>
    <n v="36"/>
    <s v="CATIVO"/>
    <n v="0"/>
    <n v="0"/>
    <n v="10"/>
    <n v="57"/>
    <n v="0"/>
    <n v="71.83"/>
    <n v="64.81"/>
    <m/>
    <n v="76.497360298077055"/>
    <n v="69.346867933314783"/>
    <n v="0"/>
    <n v="3532.3391999999999"/>
    <n v="0"/>
    <n v="3770.2816486789529"/>
    <x v="6"/>
  </r>
  <r>
    <s v="Regular"/>
    <x v="1"/>
    <x v="3"/>
    <x v="4"/>
    <x v="4"/>
    <x v="1"/>
    <x v="0"/>
    <x v="1"/>
    <x v="8"/>
    <n v="0"/>
    <n v="0"/>
    <n v="17.373000000000001"/>
    <n v="17.373000000000001"/>
    <n v="17.373000000000001"/>
    <n v="17.373000000000001"/>
    <n v="43"/>
    <s v="CATIVO"/>
    <n v="0"/>
    <n v="0"/>
    <n v="10"/>
    <n v="57"/>
    <n v="0"/>
    <n v="71.83"/>
    <n v="64.81"/>
    <m/>
    <n v="76.497360298077055"/>
    <n v="69.346867933314783"/>
    <n v="0"/>
    <n v="4408.5724799999998"/>
    <n v="0"/>
    <n v="4705.5390145473748"/>
    <x v="6"/>
  </r>
  <r>
    <s v="Refaturamento - Regular"/>
    <x v="1"/>
    <x v="3"/>
    <x v="4"/>
    <x v="4"/>
    <x v="1"/>
    <x v="0"/>
    <x v="1"/>
    <x v="8"/>
    <n v="0"/>
    <n v="0"/>
    <n v="-0.03"/>
    <n v="-0.03"/>
    <n v="-0.03"/>
    <n v="-0.03"/>
    <n v="0"/>
    <s v="CATIVO"/>
    <n v="0"/>
    <n v="0"/>
    <n v="10"/>
    <n v="57"/>
    <n v="0"/>
    <n v="71.83"/>
    <n v="64.81"/>
    <m/>
    <n v="76.497360298077055"/>
    <n v="69.346867933314783"/>
    <n v="0"/>
    <n v="-7.6127999999999991"/>
    <n v="0"/>
    <n v="-8.1256070014632602"/>
    <x v="6"/>
  </r>
  <r>
    <s v="Regular"/>
    <x v="1"/>
    <x v="3"/>
    <x v="4"/>
    <x v="4"/>
    <x v="1"/>
    <x v="0"/>
    <x v="1"/>
    <x v="9"/>
    <n v="0"/>
    <n v="0"/>
    <n v="29.131"/>
    <n v="29.131"/>
    <n v="29.131"/>
    <n v="29.131"/>
    <n v="73"/>
    <s v="CATIVO"/>
    <n v="0"/>
    <n v="0"/>
    <n v="10"/>
    <n v="57"/>
    <n v="0"/>
    <n v="71.83"/>
    <n v="64.81"/>
    <m/>
    <n v="76.497360298077055"/>
    <n v="69.346867933314783"/>
    <n v="0"/>
    <n v="7392.2825599999996"/>
    <n v="0"/>
    <n v="7890.2352519875412"/>
    <x v="6"/>
  </r>
  <r>
    <s v="Regular"/>
    <x v="1"/>
    <x v="3"/>
    <x v="4"/>
    <x v="4"/>
    <x v="1"/>
    <x v="0"/>
    <x v="1"/>
    <x v="10"/>
    <n v="0"/>
    <n v="0"/>
    <n v="31.393000000000001"/>
    <n v="31.393000000000001"/>
    <n v="31.393000000000001"/>
    <n v="31.393000000000001"/>
    <n v="84"/>
    <s v="CATIVO"/>
    <n v="0"/>
    <n v="0"/>
    <n v="10"/>
    <n v="57"/>
    <n v="0"/>
    <n v="71.83"/>
    <n v="64.81"/>
    <m/>
    <n v="76.497360298077055"/>
    <n v="69.346867933314783"/>
    <n v="0"/>
    <n v="7966.2876799999995"/>
    <n v="0"/>
    <n v="8502.9060198978714"/>
    <x v="6"/>
  </r>
  <r>
    <s v="Regular"/>
    <x v="1"/>
    <x v="3"/>
    <x v="4"/>
    <x v="4"/>
    <x v="1"/>
    <x v="0"/>
    <x v="1"/>
    <x v="11"/>
    <n v="0"/>
    <n v="0"/>
    <n v="31.45"/>
    <n v="31.45"/>
    <n v="31.45"/>
    <n v="31.45"/>
    <n v="103"/>
    <s v="CATIVO"/>
    <n v="0"/>
    <n v="0"/>
    <n v="10"/>
    <n v="57"/>
    <n v="0"/>
    <n v="71.83"/>
    <n v="64.81"/>
    <m/>
    <n v="76.497360298077055"/>
    <n v="69.346867933314783"/>
    <n v="0"/>
    <n v="7980.7519999999995"/>
    <n v="0"/>
    <n v="8518.3446732006505"/>
    <x v="6"/>
  </r>
  <r>
    <s v="Refaturamento - Regular"/>
    <x v="1"/>
    <x v="3"/>
    <x v="4"/>
    <x v="4"/>
    <x v="1"/>
    <x v="0"/>
    <x v="1"/>
    <x v="11"/>
    <n v="0"/>
    <n v="0"/>
    <n v="-0.06"/>
    <n v="-0.06"/>
    <n v="-0.06"/>
    <n v="-0.06"/>
    <n v="-2"/>
    <s v="CATIVO"/>
    <n v="0"/>
    <n v="0"/>
    <n v="10"/>
    <n v="57"/>
    <n v="0"/>
    <n v="71.83"/>
    <n v="64.81"/>
    <m/>
    <n v="76.497360298077055"/>
    <n v="69.346867933314783"/>
    <n v="0"/>
    <n v="-15.225599999999998"/>
    <n v="0"/>
    <n v="-16.25121400292652"/>
    <x v="6"/>
  </r>
  <r>
    <s v="Regular"/>
    <x v="1"/>
    <x v="3"/>
    <x v="4"/>
    <x v="5"/>
    <x v="1"/>
    <x v="0"/>
    <x v="1"/>
    <x v="0"/>
    <n v="0"/>
    <n v="0"/>
    <n v="1.8169999999999999"/>
    <n v="1.8169999999999999"/>
    <n v="1.8169999999999999"/>
    <n v="1.8169999999999999"/>
    <n v="43"/>
    <s v="CATIVO"/>
    <n v="0"/>
    <n v="0"/>
    <n v="6"/>
    <n v="55"/>
    <n v="0"/>
    <n v="123.13"/>
    <n v="111.11"/>
    <m/>
    <n v="131.13833193956069"/>
    <n v="118.88034502853964"/>
    <n v="0"/>
    <n v="283.74271999999991"/>
    <n v="0"/>
    <n v="302.85595736735883"/>
    <x v="6"/>
  </r>
  <r>
    <s v="Regular"/>
    <x v="1"/>
    <x v="3"/>
    <x v="4"/>
    <x v="5"/>
    <x v="1"/>
    <x v="0"/>
    <x v="1"/>
    <x v="1"/>
    <n v="0"/>
    <n v="0"/>
    <n v="1.9450000000000001"/>
    <n v="1.9450000000000001"/>
    <n v="1.9450000000000001"/>
    <n v="1.9450000000000001"/>
    <n v="43"/>
    <s v="CATIVO"/>
    <n v="0"/>
    <n v="0"/>
    <n v="6"/>
    <n v="55"/>
    <n v="0"/>
    <n v="123.13"/>
    <n v="111.11"/>
    <m/>
    <n v="131.13833193956069"/>
    <n v="118.88034502853964"/>
    <n v="0"/>
    <n v="303.73119999999994"/>
    <n v="0"/>
    <n v="324.19088446863674"/>
    <x v="6"/>
  </r>
  <r>
    <s v="Regular"/>
    <x v="1"/>
    <x v="3"/>
    <x v="4"/>
    <x v="5"/>
    <x v="1"/>
    <x v="0"/>
    <x v="1"/>
    <x v="2"/>
    <n v="0"/>
    <n v="0"/>
    <n v="1.7030000000000001"/>
    <n v="1.7030000000000001"/>
    <n v="1.7030000000000001"/>
    <n v="1.7030000000000001"/>
    <n v="32"/>
    <s v="CATIVO"/>
    <n v="0"/>
    <n v="0"/>
    <n v="6"/>
    <n v="55"/>
    <n v="0"/>
    <n v="123.13"/>
    <n v="111.11"/>
    <m/>
    <n v="131.13833193956069"/>
    <n v="118.88034502853964"/>
    <n v="0"/>
    <n v="265.94047999999998"/>
    <n v="0"/>
    <n v="283.8545379177832"/>
    <x v="6"/>
  </r>
  <r>
    <s v="Regular"/>
    <x v="1"/>
    <x v="3"/>
    <x v="4"/>
    <x v="5"/>
    <x v="1"/>
    <x v="0"/>
    <x v="1"/>
    <x v="3"/>
    <n v="0"/>
    <n v="0"/>
    <n v="1.8560000000000001"/>
    <n v="1.8560000000000001"/>
    <n v="1.8560000000000001"/>
    <n v="1.8560000000000001"/>
    <n v="41"/>
    <s v="CATIVO"/>
    <n v="0"/>
    <n v="0"/>
    <n v="6"/>
    <n v="55"/>
    <n v="0"/>
    <n v="123.13"/>
    <n v="111.11"/>
    <m/>
    <n v="131.13833193956069"/>
    <n v="118.88034502853964"/>
    <n v="0"/>
    <n v="289.83295999999996"/>
    <n v="0"/>
    <n v="309.35644296852945"/>
    <x v="6"/>
  </r>
  <r>
    <s v="Regular"/>
    <x v="1"/>
    <x v="3"/>
    <x v="4"/>
    <x v="5"/>
    <x v="1"/>
    <x v="0"/>
    <x v="1"/>
    <x v="4"/>
    <n v="0"/>
    <n v="0"/>
    <n v="1.742"/>
    <n v="1.742"/>
    <n v="1.742"/>
    <n v="1.742"/>
    <n v="35"/>
    <s v="CATIVO"/>
    <n v="0"/>
    <n v="0"/>
    <n v="6"/>
    <n v="55"/>
    <n v="0"/>
    <n v="123.13"/>
    <n v="111.11"/>
    <m/>
    <n v="131.13833193956069"/>
    <n v="118.88034502853964"/>
    <n v="0"/>
    <n v="272.03071999999992"/>
    <n v="0"/>
    <n v="290.35502351895383"/>
    <x v="6"/>
  </r>
  <r>
    <s v="Refaturamento - Regular"/>
    <x v="1"/>
    <x v="3"/>
    <x v="4"/>
    <x v="5"/>
    <x v="1"/>
    <x v="0"/>
    <x v="1"/>
    <x v="4"/>
    <n v="0"/>
    <n v="0"/>
    <n v="-0.16600000000000001"/>
    <n v="-0.16600000000000001"/>
    <n v="-0.16600000000000001"/>
    <n v="-0.16600000000000001"/>
    <n v="-1"/>
    <s v="CATIVO"/>
    <n v="0"/>
    <n v="0"/>
    <n v="6"/>
    <n v="55"/>
    <n v="0"/>
    <n v="123.13"/>
    <n v="111.11"/>
    <m/>
    <n v="131.13833193956069"/>
    <n v="118.88034502853964"/>
    <n v="0"/>
    <n v="-25.922559999999997"/>
    <n v="0"/>
    <n v="-27.668733584469766"/>
    <x v="6"/>
  </r>
  <r>
    <s v="Regular"/>
    <x v="1"/>
    <x v="3"/>
    <x v="4"/>
    <x v="5"/>
    <x v="1"/>
    <x v="0"/>
    <x v="1"/>
    <x v="5"/>
    <n v="0"/>
    <n v="0"/>
    <n v="2.04"/>
    <n v="2.04"/>
    <n v="2.04"/>
    <n v="2.04"/>
    <n v="43"/>
    <s v="CATIVO"/>
    <n v="0"/>
    <n v="0"/>
    <n v="6"/>
    <n v="55"/>
    <n v="0"/>
    <n v="123.13"/>
    <n v="111.11"/>
    <m/>
    <n v="131.13833193956069"/>
    <n v="118.88034502853964"/>
    <n v="0"/>
    <n v="318.56639999999993"/>
    <n v="0"/>
    <n v="340.02540067661641"/>
    <x v="6"/>
  </r>
  <r>
    <s v="Regular"/>
    <x v="1"/>
    <x v="3"/>
    <x v="4"/>
    <x v="5"/>
    <x v="1"/>
    <x v="0"/>
    <x v="1"/>
    <x v="6"/>
    <n v="0"/>
    <n v="0"/>
    <n v="11.269"/>
    <n v="11.269"/>
    <n v="11.269"/>
    <n v="11.269"/>
    <n v="28"/>
    <s v="CATIVO"/>
    <n v="0"/>
    <n v="0"/>
    <n v="6"/>
    <n v="55"/>
    <n v="0"/>
    <n v="123.13"/>
    <n v="111.11"/>
    <m/>
    <n v="131.13833193956069"/>
    <n v="118.88034502853964"/>
    <n v="0"/>
    <n v="1759.7670399999997"/>
    <n v="0"/>
    <n v="1878.3069805023481"/>
    <x v="6"/>
  </r>
  <r>
    <s v="Regular"/>
    <x v="1"/>
    <x v="3"/>
    <x v="4"/>
    <x v="5"/>
    <x v="1"/>
    <x v="0"/>
    <x v="1"/>
    <x v="7"/>
    <n v="0"/>
    <n v="0"/>
    <n v="3.0270000000000001"/>
    <n v="3.0270000000000001"/>
    <n v="3.0270000000000001"/>
    <n v="3.0270000000000001"/>
    <n v="69"/>
    <s v="CATIVO"/>
    <n v="0"/>
    <n v="0"/>
    <n v="6"/>
    <n v="55"/>
    <n v="0"/>
    <n v="123.13"/>
    <n v="111.11"/>
    <m/>
    <n v="131.13833193956069"/>
    <n v="118.88034502853964"/>
    <n v="0"/>
    <n v="472.6963199999999"/>
    <n v="0"/>
    <n v="504.53769012162644"/>
    <x v="6"/>
  </r>
  <r>
    <s v="Regular"/>
    <x v="1"/>
    <x v="3"/>
    <x v="4"/>
    <x v="5"/>
    <x v="1"/>
    <x v="0"/>
    <x v="1"/>
    <x v="8"/>
    <n v="0"/>
    <n v="0"/>
    <n v="4.7270000000000003"/>
    <n v="4.7270000000000003"/>
    <n v="4.7270000000000003"/>
    <n v="4.7270000000000003"/>
    <n v="112"/>
    <s v="CATIVO"/>
    <n v="0"/>
    <n v="0"/>
    <n v="6"/>
    <n v="55"/>
    <n v="0"/>
    <n v="123.13"/>
    <n v="111.11"/>
    <m/>
    <n v="131.13833193956069"/>
    <n v="118.88034502853964"/>
    <n v="0"/>
    <n v="738.16831999999988"/>
    <n v="0"/>
    <n v="787.89219068547345"/>
    <x v="6"/>
  </r>
  <r>
    <s v="Sistema de Compensação"/>
    <x v="1"/>
    <x v="3"/>
    <x v="4"/>
    <x v="5"/>
    <x v="1"/>
    <x v="0"/>
    <x v="1"/>
    <x v="8"/>
    <n v="0"/>
    <n v="0"/>
    <n v="0.03"/>
    <n v="0.03"/>
    <n v="0.03"/>
    <n v="0.03"/>
    <n v="1"/>
    <s v="CATIVO"/>
    <n v="0"/>
    <n v="0"/>
    <n v="6"/>
    <n v="55"/>
    <n v="0"/>
    <n v="123.13"/>
    <n v="111.11"/>
    <m/>
    <n v="131.13833193956069"/>
    <n v="118.88034502853964"/>
    <n v="0"/>
    <n v="4.6847999999999992"/>
    <n v="0"/>
    <n v="5.0003735393620055"/>
    <x v="6"/>
  </r>
  <r>
    <s v="Regular"/>
    <x v="1"/>
    <x v="3"/>
    <x v="4"/>
    <x v="5"/>
    <x v="1"/>
    <x v="0"/>
    <x v="1"/>
    <x v="9"/>
    <n v="0"/>
    <n v="0"/>
    <n v="9.3559999999999999"/>
    <n v="9.3559999999999999"/>
    <n v="9.3559999999999999"/>
    <n v="9.3559999999999999"/>
    <n v="216"/>
    <s v="CATIVO"/>
    <n v="0"/>
    <n v="0"/>
    <n v="6"/>
    <n v="55"/>
    <n v="0"/>
    <n v="123.13"/>
    <n v="111.11"/>
    <m/>
    <n v="131.13833193956069"/>
    <n v="118.88034502853964"/>
    <n v="0"/>
    <n v="1461.0329599999998"/>
    <n v="0"/>
    <n v="1559.4498278090309"/>
    <x v="6"/>
  </r>
  <r>
    <s v="Regular"/>
    <x v="1"/>
    <x v="3"/>
    <x v="4"/>
    <x v="5"/>
    <x v="1"/>
    <x v="0"/>
    <x v="1"/>
    <x v="10"/>
    <n v="0"/>
    <n v="0"/>
    <n v="10.936"/>
    <n v="10.936"/>
    <n v="10.936"/>
    <n v="10.936"/>
    <n v="266"/>
    <s v="CATIVO"/>
    <n v="0"/>
    <n v="0"/>
    <n v="6"/>
    <n v="55"/>
    <n v="0"/>
    <n v="123.13"/>
    <n v="111.11"/>
    <m/>
    <n v="131.13833193956069"/>
    <n v="118.88034502853964"/>
    <n v="0"/>
    <n v="1707.7657599999995"/>
    <n v="0"/>
    <n v="1822.8028342154298"/>
    <x v="6"/>
  </r>
  <r>
    <s v="Regular"/>
    <x v="1"/>
    <x v="3"/>
    <x v="4"/>
    <x v="5"/>
    <x v="1"/>
    <x v="0"/>
    <x v="1"/>
    <x v="11"/>
    <n v="0"/>
    <n v="0"/>
    <n v="9.8409999999999993"/>
    <n v="9.8409999999999993"/>
    <n v="9.8409999999999993"/>
    <n v="9.8409999999999993"/>
    <n v="229"/>
    <s v="CATIVO"/>
    <n v="0"/>
    <n v="0"/>
    <n v="6"/>
    <n v="55"/>
    <n v="0"/>
    <n v="123.13"/>
    <n v="111.11"/>
    <m/>
    <n v="131.13833193956069"/>
    <n v="118.88034502853964"/>
    <n v="0"/>
    <n v="1536.7705599999995"/>
    <n v="0"/>
    <n v="1640.2892000287166"/>
    <x v="6"/>
  </r>
  <r>
    <s v="Regular"/>
    <x v="1"/>
    <x v="3"/>
    <x v="4"/>
    <x v="6"/>
    <x v="1"/>
    <x v="0"/>
    <x v="1"/>
    <x v="0"/>
    <n v="0"/>
    <n v="0"/>
    <n v="20.117999999999999"/>
    <n v="20.117999999999999"/>
    <n v="20.117999999999999"/>
    <n v="20.117999999999999"/>
    <n v="130"/>
    <s v="CATIVO"/>
    <n v="0"/>
    <n v="0"/>
    <n v="15"/>
    <n v="86"/>
    <n v="0"/>
    <n v="184.7"/>
    <n v="166.66"/>
    <m/>
    <n v="196.70749790934101"/>
    <n v="178.32051754280948"/>
    <n v="0"/>
    <n v="785.40671999999984"/>
    <n v="0"/>
    <n v="838.31262387404024"/>
    <x v="6"/>
  </r>
  <r>
    <s v="Regular"/>
    <x v="1"/>
    <x v="3"/>
    <x v="4"/>
    <x v="6"/>
    <x v="1"/>
    <x v="0"/>
    <x v="1"/>
    <x v="1"/>
    <n v="0"/>
    <n v="0"/>
    <n v="21.292999999999999"/>
    <n v="21.292999999999999"/>
    <n v="21.292999999999999"/>
    <n v="21.292999999999999"/>
    <n v="132"/>
    <s v="CATIVO"/>
    <n v="0"/>
    <n v="0"/>
    <n v="15"/>
    <n v="86"/>
    <n v="0"/>
    <n v="184.7"/>
    <n v="166.66"/>
    <m/>
    <n v="196.70749790934101"/>
    <n v="178.32051754280948"/>
    <n v="0"/>
    <n v="831.27871999999979"/>
    <n v="0"/>
    <n v="887.27461478029318"/>
    <x v="6"/>
  </r>
  <r>
    <s v="Regular"/>
    <x v="1"/>
    <x v="3"/>
    <x v="4"/>
    <x v="6"/>
    <x v="1"/>
    <x v="0"/>
    <x v="1"/>
    <x v="2"/>
    <n v="0"/>
    <n v="0"/>
    <n v="22.510999999999999"/>
    <n v="22.510999999999999"/>
    <n v="22.510999999999999"/>
    <n v="22.510999999999999"/>
    <n v="141"/>
    <s v="CATIVO"/>
    <n v="0"/>
    <n v="0"/>
    <n v="15"/>
    <n v="86"/>
    <n v="0"/>
    <n v="184.7"/>
    <n v="166.66"/>
    <m/>
    <n v="196.70749790934101"/>
    <n v="178.32051754280948"/>
    <n v="0"/>
    <n v="878.82943999999975"/>
    <n v="0"/>
    <n v="938.02840620481754"/>
    <x v="6"/>
  </r>
  <r>
    <s v="Regular"/>
    <x v="1"/>
    <x v="3"/>
    <x v="4"/>
    <x v="6"/>
    <x v="1"/>
    <x v="0"/>
    <x v="1"/>
    <x v="3"/>
    <n v="0"/>
    <n v="0"/>
    <n v="22.129000000000001"/>
    <n v="22.129000000000001"/>
    <n v="22.129000000000001"/>
    <n v="22.129000000000001"/>
    <n v="143"/>
    <s v="CATIVO"/>
    <n v="0"/>
    <n v="0"/>
    <n v="15"/>
    <n v="86"/>
    <n v="0"/>
    <n v="184.7"/>
    <n v="166.66"/>
    <m/>
    <n v="196.70749790934101"/>
    <n v="178.32051754280948"/>
    <n v="0"/>
    <n v="863.91615999999988"/>
    <n v="0"/>
    <n v="922.11055043784859"/>
    <x v="6"/>
  </r>
  <r>
    <s v="Regular"/>
    <x v="1"/>
    <x v="3"/>
    <x v="4"/>
    <x v="6"/>
    <x v="1"/>
    <x v="0"/>
    <x v="1"/>
    <x v="4"/>
    <n v="0"/>
    <n v="0"/>
    <n v="23.164999999999999"/>
    <n v="23.164999999999999"/>
    <n v="23.164999999999999"/>
    <n v="23.164999999999999"/>
    <n v="142"/>
    <s v="CATIVO"/>
    <n v="0"/>
    <n v="0"/>
    <n v="15"/>
    <n v="86"/>
    <n v="0"/>
    <n v="184.7"/>
    <n v="166.66"/>
    <m/>
    <n v="196.70749790934101"/>
    <n v="178.32051754280948"/>
    <n v="0"/>
    <n v="904.36159999999973"/>
    <n v="0"/>
    <n v="965.28044199434055"/>
    <x v="6"/>
  </r>
  <r>
    <s v="Refaturamento - Regular"/>
    <x v="1"/>
    <x v="3"/>
    <x v="4"/>
    <x v="6"/>
    <x v="1"/>
    <x v="0"/>
    <x v="1"/>
    <x v="4"/>
    <n v="0"/>
    <n v="0"/>
    <n v="-0.68700000000000006"/>
    <n v="-0.68700000000000006"/>
    <n v="-0.68700000000000006"/>
    <n v="-0.68700000000000006"/>
    <n v="-6"/>
    <s v="CATIVO"/>
    <n v="0"/>
    <n v="0"/>
    <n v="15"/>
    <n v="86"/>
    <n v="0"/>
    <n v="184.7"/>
    <n v="166.66"/>
    <m/>
    <n v="196.70749790934101"/>
    <n v="178.32051754280948"/>
    <n v="0"/>
    <n v="-26.820479999999996"/>
    <n v="0"/>
    <n v="-28.627138512847488"/>
    <x v="6"/>
  </r>
  <r>
    <s v="Sistema de Compensação"/>
    <x v="1"/>
    <x v="3"/>
    <x v="4"/>
    <x v="6"/>
    <x v="1"/>
    <x v="0"/>
    <x v="1"/>
    <x v="4"/>
    <n v="0"/>
    <n v="0"/>
    <n v="0.03"/>
    <n v="0.03"/>
    <n v="0.03"/>
    <n v="0.03"/>
    <n v="1"/>
    <s v="CATIVO"/>
    <n v="0"/>
    <n v="0"/>
    <n v="15"/>
    <n v="86"/>
    <n v="0"/>
    <n v="184.7"/>
    <n v="166.66"/>
    <m/>
    <n v="196.70749790934101"/>
    <n v="178.32051754280948"/>
    <n v="0"/>
    <n v="1.1711999999999998"/>
    <n v="0"/>
    <n v="1.2500933848405014"/>
    <x v="6"/>
  </r>
  <r>
    <s v="Regular"/>
    <x v="1"/>
    <x v="3"/>
    <x v="4"/>
    <x v="6"/>
    <x v="1"/>
    <x v="0"/>
    <x v="1"/>
    <x v="5"/>
    <n v="0"/>
    <n v="0"/>
    <n v="22.89"/>
    <n v="22.89"/>
    <n v="22.89"/>
    <n v="22.89"/>
    <n v="144"/>
    <s v="CATIVO"/>
    <n v="0"/>
    <n v="0"/>
    <n v="15"/>
    <n v="86"/>
    <n v="0"/>
    <n v="184.7"/>
    <n v="166.66"/>
    <m/>
    <n v="196.70749790934101"/>
    <n v="178.32051754280948"/>
    <n v="0"/>
    <n v="893.62559999999985"/>
    <n v="0"/>
    <n v="953.82125263330261"/>
    <x v="6"/>
  </r>
  <r>
    <s v="Regular"/>
    <x v="1"/>
    <x v="3"/>
    <x v="4"/>
    <x v="6"/>
    <x v="1"/>
    <x v="0"/>
    <x v="1"/>
    <x v="6"/>
    <n v="0"/>
    <n v="0"/>
    <n v="21.231999999999999"/>
    <n v="21.231999999999999"/>
    <n v="21.231999999999999"/>
    <n v="21.231999999999999"/>
    <n v="123"/>
    <s v="CATIVO"/>
    <n v="0"/>
    <n v="0"/>
    <n v="15"/>
    <n v="86"/>
    <n v="0"/>
    <n v="184.7"/>
    <n v="166.66"/>
    <m/>
    <n v="196.70749790934101"/>
    <n v="178.32051754280948"/>
    <n v="0"/>
    <n v="828.8972799999998"/>
    <n v="0"/>
    <n v="884.7327582311176"/>
    <x v="6"/>
  </r>
  <r>
    <s v="Sistema de Compensação"/>
    <x v="1"/>
    <x v="3"/>
    <x v="4"/>
    <x v="6"/>
    <x v="1"/>
    <x v="0"/>
    <x v="1"/>
    <x v="6"/>
    <n v="0"/>
    <n v="0"/>
    <n v="0.03"/>
    <n v="0.03"/>
    <n v="0.03"/>
    <n v="0.03"/>
    <n v="1"/>
    <s v="CATIVO"/>
    <n v="0"/>
    <n v="0"/>
    <n v="15"/>
    <n v="86"/>
    <n v="0"/>
    <n v="184.7"/>
    <n v="166.66"/>
    <m/>
    <n v="196.70749790934101"/>
    <n v="178.32051754280948"/>
    <n v="0"/>
    <n v="1.1711999999999998"/>
    <n v="0"/>
    <n v="1.2500933848405014"/>
    <x v="6"/>
  </r>
  <r>
    <s v="Regular"/>
    <x v="1"/>
    <x v="3"/>
    <x v="4"/>
    <x v="6"/>
    <x v="1"/>
    <x v="0"/>
    <x v="1"/>
    <x v="7"/>
    <n v="0"/>
    <n v="0"/>
    <n v="37.284999999999997"/>
    <n v="37.284999999999997"/>
    <n v="37.284999999999997"/>
    <n v="37.284999999999997"/>
    <n v="213"/>
    <s v="CATIVO"/>
    <n v="0"/>
    <n v="0"/>
    <n v="15"/>
    <n v="86"/>
    <n v="0"/>
    <n v="184.7"/>
    <n v="166.66"/>
    <m/>
    <n v="196.70749790934101"/>
    <n v="178.32051754280948"/>
    <n v="0"/>
    <n v="1455.6063999999997"/>
    <n v="0"/>
    <n v="1553.6577284592697"/>
    <x v="6"/>
  </r>
  <r>
    <s v="Sistema de Compensação"/>
    <x v="1"/>
    <x v="3"/>
    <x v="4"/>
    <x v="6"/>
    <x v="1"/>
    <x v="0"/>
    <x v="1"/>
    <x v="7"/>
    <n v="0"/>
    <n v="0"/>
    <n v="0.03"/>
    <n v="0.03"/>
    <n v="0.03"/>
    <n v="0.03"/>
    <n v="1"/>
    <s v="CATIVO"/>
    <n v="0"/>
    <n v="0"/>
    <n v="15"/>
    <n v="86"/>
    <n v="0"/>
    <n v="184.7"/>
    <n v="166.66"/>
    <m/>
    <n v="196.70749790934101"/>
    <n v="178.32051754280948"/>
    <n v="0"/>
    <n v="1.1711999999999998"/>
    <n v="0"/>
    <n v="1.2500933848405014"/>
    <x v="6"/>
  </r>
  <r>
    <s v="Regular"/>
    <x v="1"/>
    <x v="3"/>
    <x v="4"/>
    <x v="6"/>
    <x v="1"/>
    <x v="0"/>
    <x v="1"/>
    <x v="8"/>
    <n v="0"/>
    <n v="0"/>
    <n v="46.143000000000001"/>
    <n v="46.143000000000001"/>
    <n v="46.143000000000001"/>
    <n v="46.143000000000001"/>
    <n v="282"/>
    <s v="CATIVO"/>
    <n v="0"/>
    <n v="0"/>
    <n v="15"/>
    <n v="86"/>
    <n v="0"/>
    <n v="184.7"/>
    <n v="166.66"/>
    <m/>
    <n v="196.70749790934101"/>
    <n v="178.32051754280948"/>
    <n v="0"/>
    <n v="1801.4227199999996"/>
    <n v="0"/>
    <n v="1922.7686352231754"/>
    <x v="6"/>
  </r>
  <r>
    <s v="Refaturamento - Regular"/>
    <x v="1"/>
    <x v="3"/>
    <x v="4"/>
    <x v="6"/>
    <x v="1"/>
    <x v="0"/>
    <x v="1"/>
    <x v="8"/>
    <n v="0"/>
    <n v="0"/>
    <n v="-8.1000000000000003E-2"/>
    <n v="-8.1000000000000003E-2"/>
    <n v="-8.1000000000000003E-2"/>
    <n v="-8.1000000000000003E-2"/>
    <n v="-1"/>
    <s v="CATIVO"/>
    <n v="0"/>
    <n v="0"/>
    <n v="15"/>
    <n v="86"/>
    <n v="0"/>
    <n v="184.7"/>
    <n v="166.66"/>
    <m/>
    <n v="196.70749790934101"/>
    <n v="178.32051754280948"/>
    <n v="0"/>
    <n v="-3.1622399999999993"/>
    <n v="0"/>
    <n v="-3.375252139069354"/>
    <x v="6"/>
  </r>
  <r>
    <s v="Regular"/>
    <x v="1"/>
    <x v="3"/>
    <x v="4"/>
    <x v="6"/>
    <x v="1"/>
    <x v="0"/>
    <x v="1"/>
    <x v="9"/>
    <n v="0"/>
    <n v="0"/>
    <n v="74.665999999999997"/>
    <n v="74.665999999999997"/>
    <n v="74.665999999999997"/>
    <n v="74.665999999999997"/>
    <n v="476"/>
    <s v="CATIVO"/>
    <n v="0"/>
    <n v="0"/>
    <n v="15"/>
    <n v="86"/>
    <n v="0"/>
    <n v="184.7"/>
    <n v="166.66"/>
    <m/>
    <n v="196.70749790934101"/>
    <n v="178.32051754280948"/>
    <n v="0"/>
    <n v="2914.9606399999993"/>
    <n v="0"/>
    <n v="3111.3157557500294"/>
    <x v="6"/>
  </r>
  <r>
    <s v="Sistema de Compensação"/>
    <x v="1"/>
    <x v="3"/>
    <x v="4"/>
    <x v="6"/>
    <x v="1"/>
    <x v="0"/>
    <x v="1"/>
    <x v="9"/>
    <n v="0"/>
    <n v="0"/>
    <n v="0.03"/>
    <n v="0.03"/>
    <n v="0.03"/>
    <n v="0.03"/>
    <n v="1"/>
    <s v="CATIVO"/>
    <n v="0"/>
    <n v="0"/>
    <n v="15"/>
    <n v="86"/>
    <n v="0"/>
    <n v="184.7"/>
    <n v="166.66"/>
    <m/>
    <n v="196.70749790934101"/>
    <n v="178.32051754280948"/>
    <n v="0"/>
    <n v="1.1711999999999998"/>
    <n v="0"/>
    <n v="1.2500933848405014"/>
    <x v="6"/>
  </r>
  <r>
    <s v="Regular"/>
    <x v="1"/>
    <x v="3"/>
    <x v="4"/>
    <x v="6"/>
    <x v="1"/>
    <x v="0"/>
    <x v="1"/>
    <x v="10"/>
    <n v="0"/>
    <n v="0"/>
    <n v="76.320999999999998"/>
    <n v="76.320999999999998"/>
    <n v="76.320999999999998"/>
    <n v="76.320999999999998"/>
    <n v="514"/>
    <s v="CATIVO"/>
    <n v="0"/>
    <n v="0"/>
    <n v="15"/>
    <n v="86"/>
    <n v="0"/>
    <n v="184.7"/>
    <n v="166.66"/>
    <m/>
    <n v="196.70749790934101"/>
    <n v="178.32051754280948"/>
    <n v="0"/>
    <n v="2979.5718399999992"/>
    <n v="0"/>
    <n v="3180.2792408137302"/>
    <x v="6"/>
  </r>
  <r>
    <s v="Sistema de Compensação"/>
    <x v="1"/>
    <x v="3"/>
    <x v="4"/>
    <x v="6"/>
    <x v="1"/>
    <x v="0"/>
    <x v="1"/>
    <x v="10"/>
    <n v="0"/>
    <n v="0"/>
    <n v="0.03"/>
    <n v="0.03"/>
    <n v="0.03"/>
    <n v="0.03"/>
    <n v="1"/>
    <s v="CATIVO"/>
    <n v="0"/>
    <n v="0"/>
    <n v="15"/>
    <n v="86"/>
    <n v="0"/>
    <n v="184.7"/>
    <n v="166.66"/>
    <m/>
    <n v="196.70749790934101"/>
    <n v="178.32051754280948"/>
    <n v="0"/>
    <n v="1.1711999999999998"/>
    <n v="0"/>
    <n v="1.2500933848405014"/>
    <x v="6"/>
  </r>
  <r>
    <s v="Regular"/>
    <x v="1"/>
    <x v="3"/>
    <x v="4"/>
    <x v="6"/>
    <x v="1"/>
    <x v="0"/>
    <x v="1"/>
    <x v="11"/>
    <n v="0"/>
    <n v="0"/>
    <n v="76.268000000000001"/>
    <n v="76.268000000000001"/>
    <n v="76.268000000000001"/>
    <n v="76.268000000000001"/>
    <n v="501"/>
    <s v="CATIVO"/>
    <n v="0"/>
    <n v="0"/>
    <n v="15"/>
    <n v="86"/>
    <n v="0"/>
    <n v="184.7"/>
    <n v="166.66"/>
    <m/>
    <n v="196.70749790934101"/>
    <n v="178.32051754280948"/>
    <n v="0"/>
    <n v="2977.5027199999995"/>
    <n v="0"/>
    <n v="3178.0707425005121"/>
    <x v="6"/>
  </r>
  <r>
    <s v="Sistema de Compensação"/>
    <x v="1"/>
    <x v="3"/>
    <x v="4"/>
    <x v="6"/>
    <x v="1"/>
    <x v="0"/>
    <x v="1"/>
    <x v="11"/>
    <n v="0"/>
    <n v="0"/>
    <n v="0.03"/>
    <n v="0.03"/>
    <n v="0.03"/>
    <n v="0.03"/>
    <n v="1"/>
    <s v="CATIVO"/>
    <n v="0"/>
    <n v="0"/>
    <n v="15"/>
    <n v="86"/>
    <n v="0"/>
    <n v="184.7"/>
    <n v="166.66"/>
    <m/>
    <n v="196.70749790934101"/>
    <n v="178.32051754280948"/>
    <n v="0"/>
    <n v="1.1711999999999998"/>
    <n v="0"/>
    <n v="1.2500933848405014"/>
    <x v="6"/>
  </r>
  <r>
    <s v="Regular"/>
    <x v="1"/>
    <x v="3"/>
    <x v="4"/>
    <x v="7"/>
    <x v="1"/>
    <x v="0"/>
    <x v="1"/>
    <x v="0"/>
    <n v="0"/>
    <n v="0"/>
    <n v="11.138"/>
    <n v="11.138"/>
    <n v="11.138"/>
    <n v="11.138"/>
    <n v="53"/>
    <s v="CATIVO"/>
    <n v="0"/>
    <n v="0"/>
    <n v="13"/>
    <n v="71"/>
    <n v="0"/>
    <n v="205.22"/>
    <n v="185.18"/>
    <m/>
    <n v="218.56388656593447"/>
    <n v="198.13390838089941"/>
    <n v="0"/>
    <n v="-3.1656099963583983E-13"/>
    <n v="0"/>
    <n v="0"/>
    <x v="6"/>
  </r>
  <r>
    <s v="Sistema de Compensação"/>
    <x v="1"/>
    <x v="3"/>
    <x v="4"/>
    <x v="7"/>
    <x v="1"/>
    <x v="0"/>
    <x v="1"/>
    <x v="0"/>
    <n v="0"/>
    <n v="0"/>
    <n v="0.35099999999999998"/>
    <n v="0.35099999999999998"/>
    <n v="0.35099999999999998"/>
    <n v="0.35099999999999998"/>
    <n v="1"/>
    <s v="CATIVO"/>
    <n v="0"/>
    <n v="0"/>
    <n v="13"/>
    <n v="71"/>
    <n v="0"/>
    <n v="205.22"/>
    <n v="185.18"/>
    <m/>
    <n v="218.56388656593447"/>
    <n v="198.13390838089941"/>
    <n v="0"/>
    <n v="-9.976020010071806E-15"/>
    <n v="0"/>
    <n v="0"/>
    <x v="6"/>
  </r>
  <r>
    <s v="Regular"/>
    <x v="1"/>
    <x v="3"/>
    <x v="4"/>
    <x v="7"/>
    <x v="1"/>
    <x v="0"/>
    <x v="1"/>
    <x v="1"/>
    <n v="0"/>
    <n v="0"/>
    <n v="11.95"/>
    <n v="11.95"/>
    <n v="11.95"/>
    <n v="11.95"/>
    <n v="57"/>
    <s v="CATIVO"/>
    <n v="0"/>
    <n v="0"/>
    <n v="13"/>
    <n v="71"/>
    <n v="0"/>
    <n v="205.22"/>
    <n v="185.18"/>
    <m/>
    <n v="218.56388656593447"/>
    <n v="198.13390838089941"/>
    <n v="0"/>
    <n v="-3.3963942769332787E-13"/>
    <n v="0"/>
    <n v="0"/>
    <x v="6"/>
  </r>
  <r>
    <s v="Sistema de Compensação"/>
    <x v="1"/>
    <x v="3"/>
    <x v="4"/>
    <x v="7"/>
    <x v="1"/>
    <x v="0"/>
    <x v="1"/>
    <x v="1"/>
    <n v="0"/>
    <n v="0"/>
    <n v="0.12"/>
    <n v="0.12"/>
    <n v="0.12"/>
    <n v="0.12"/>
    <n v="1"/>
    <s v="CATIVO"/>
    <n v="0"/>
    <n v="0"/>
    <n v="13"/>
    <n v="71"/>
    <n v="0"/>
    <n v="205.22"/>
    <n v="185.18"/>
    <m/>
    <n v="218.56388656593447"/>
    <n v="198.13390838089941"/>
    <n v="0"/>
    <n v="-3.4106051316484808E-15"/>
    <n v="0"/>
    <n v="0"/>
    <x v="6"/>
  </r>
  <r>
    <s v="Regular"/>
    <x v="1"/>
    <x v="3"/>
    <x v="4"/>
    <x v="7"/>
    <x v="1"/>
    <x v="0"/>
    <x v="1"/>
    <x v="2"/>
    <n v="0"/>
    <n v="0"/>
    <n v="12.823"/>
    <n v="12.823"/>
    <n v="12.823"/>
    <n v="12.823"/>
    <n v="62"/>
    <s v="CATIVO"/>
    <n v="0"/>
    <n v="0"/>
    <n v="13"/>
    <n v="71"/>
    <n v="0"/>
    <n v="205.22"/>
    <n v="185.18"/>
    <m/>
    <n v="218.56388656593447"/>
    <n v="198.13390838089941"/>
    <n v="0"/>
    <n v="-3.644515800260706E-13"/>
    <n v="0"/>
    <n v="0"/>
    <x v="6"/>
  </r>
  <r>
    <s v="Sistema de Compensação"/>
    <x v="1"/>
    <x v="3"/>
    <x v="4"/>
    <x v="7"/>
    <x v="1"/>
    <x v="0"/>
    <x v="1"/>
    <x v="2"/>
    <n v="0"/>
    <n v="0"/>
    <n v="7.0999999999999994E-2"/>
    <n v="7.0999999999999994E-2"/>
    <n v="7.0999999999999994E-2"/>
    <n v="7.0999999999999994E-2"/>
    <n v="1"/>
    <s v="CATIVO"/>
    <n v="0"/>
    <n v="0"/>
    <n v="13"/>
    <n v="71"/>
    <n v="0"/>
    <n v="205.22"/>
    <n v="185.18"/>
    <m/>
    <n v="218.56388656593447"/>
    <n v="198.13390838089941"/>
    <n v="0"/>
    <n v="-2.0179413695586843E-15"/>
    <n v="0"/>
    <n v="0"/>
    <x v="6"/>
  </r>
  <r>
    <s v="Regular"/>
    <x v="1"/>
    <x v="3"/>
    <x v="4"/>
    <x v="7"/>
    <x v="1"/>
    <x v="0"/>
    <x v="1"/>
    <x v="3"/>
    <n v="0"/>
    <n v="0"/>
    <n v="11.367000000000001"/>
    <n v="11.367000000000001"/>
    <n v="11.367000000000001"/>
    <n v="11.367000000000001"/>
    <n v="52"/>
    <s v="CATIVO"/>
    <n v="0"/>
    <n v="0"/>
    <n v="13"/>
    <n v="71"/>
    <n v="0"/>
    <n v="205.22"/>
    <n v="185.18"/>
    <m/>
    <n v="218.56388656593447"/>
    <n v="198.13390838089941"/>
    <n v="0"/>
    <n v="-3.2306957109540238E-13"/>
    <n v="0"/>
    <n v="0"/>
    <x v="6"/>
  </r>
  <r>
    <s v="Sistema de Compensação"/>
    <x v="1"/>
    <x v="3"/>
    <x v="4"/>
    <x v="7"/>
    <x v="1"/>
    <x v="0"/>
    <x v="1"/>
    <x v="3"/>
    <n v="0"/>
    <n v="0"/>
    <n v="0.03"/>
    <n v="0.03"/>
    <n v="0.03"/>
    <n v="0.03"/>
    <n v="1"/>
    <s v="CATIVO"/>
    <n v="0"/>
    <n v="0"/>
    <n v="13"/>
    <n v="71"/>
    <n v="0"/>
    <n v="205.22"/>
    <n v="185.18"/>
    <m/>
    <n v="218.56388656593447"/>
    <n v="198.13390838089941"/>
    <n v="0"/>
    <n v="-8.5265128291212019E-16"/>
    <n v="0"/>
    <n v="0"/>
    <x v="6"/>
  </r>
  <r>
    <s v="Regular"/>
    <x v="1"/>
    <x v="3"/>
    <x v="4"/>
    <x v="7"/>
    <x v="1"/>
    <x v="0"/>
    <x v="1"/>
    <x v="4"/>
    <n v="0"/>
    <n v="0"/>
    <n v="16.094000000000001"/>
    <n v="16.094000000000001"/>
    <n v="16.094000000000001"/>
    <n v="16.094000000000001"/>
    <n v="70"/>
    <s v="CATIVO"/>
    <n v="0"/>
    <n v="0"/>
    <n v="13"/>
    <n v="71"/>
    <n v="0"/>
    <n v="205.22"/>
    <n v="185.18"/>
    <m/>
    <n v="218.56388656593447"/>
    <n v="198.13390838089941"/>
    <n v="0"/>
    <n v="-4.5741899157292213E-13"/>
    <n v="0"/>
    <n v="0"/>
    <x v="6"/>
  </r>
  <r>
    <s v="Refaturamento - Regular"/>
    <x v="1"/>
    <x v="3"/>
    <x v="4"/>
    <x v="7"/>
    <x v="1"/>
    <x v="0"/>
    <x v="1"/>
    <x v="4"/>
    <n v="0"/>
    <n v="0"/>
    <n v="-1.292"/>
    <n v="-1.292"/>
    <n v="-1.292"/>
    <n v="-1.292"/>
    <n v="-1"/>
    <s v="CATIVO"/>
    <n v="0"/>
    <n v="0"/>
    <n v="13"/>
    <n v="71"/>
    <n v="0"/>
    <n v="205.22"/>
    <n v="185.18"/>
    <m/>
    <n v="218.56388656593447"/>
    <n v="198.13390838089941"/>
    <n v="0"/>
    <n v="3.6720848584081979E-14"/>
    <n v="0"/>
    <n v="0"/>
    <x v="6"/>
  </r>
  <r>
    <s v="Regular"/>
    <x v="1"/>
    <x v="3"/>
    <x v="4"/>
    <x v="7"/>
    <x v="1"/>
    <x v="0"/>
    <x v="1"/>
    <x v="5"/>
    <n v="0"/>
    <n v="0"/>
    <n v="13.026"/>
    <n v="13.026"/>
    <n v="13.026"/>
    <n v="13.026"/>
    <n v="65"/>
    <s v="CATIVO"/>
    <n v="0"/>
    <n v="0"/>
    <n v="13"/>
    <n v="71"/>
    <n v="0"/>
    <n v="205.22"/>
    <n v="185.18"/>
    <m/>
    <n v="218.56388656593447"/>
    <n v="198.13390838089941"/>
    <n v="0"/>
    <n v="-3.702211870404426E-13"/>
    <n v="0"/>
    <n v="0"/>
    <x v="6"/>
  </r>
  <r>
    <s v="Regular"/>
    <x v="1"/>
    <x v="3"/>
    <x v="4"/>
    <x v="7"/>
    <x v="1"/>
    <x v="0"/>
    <x v="1"/>
    <x v="6"/>
    <n v="0"/>
    <n v="0"/>
    <n v="15.836"/>
    <n v="15.836"/>
    <n v="15.836"/>
    <n v="15.836"/>
    <n v="106"/>
    <s v="CATIVO"/>
    <n v="0"/>
    <n v="0"/>
    <n v="13"/>
    <n v="71"/>
    <n v="0"/>
    <n v="205.22"/>
    <n v="185.18"/>
    <m/>
    <n v="218.56388656593447"/>
    <n v="198.13390838089941"/>
    <n v="0"/>
    <n v="-4.5008619053987787E-13"/>
    <n v="0"/>
    <n v="0"/>
    <x v="6"/>
  </r>
  <r>
    <s v="Regular"/>
    <x v="1"/>
    <x v="3"/>
    <x v="4"/>
    <x v="7"/>
    <x v="1"/>
    <x v="0"/>
    <x v="1"/>
    <x v="7"/>
    <n v="0"/>
    <n v="0"/>
    <n v="39.064"/>
    <n v="39.064"/>
    <n v="39.064"/>
    <n v="39.064"/>
    <n v="147"/>
    <s v="CATIVO"/>
    <n v="0"/>
    <n v="0"/>
    <n v="13"/>
    <n v="71"/>
    <n v="0"/>
    <n v="205.22"/>
    <n v="185.18"/>
    <m/>
    <n v="218.56388656593447"/>
    <n v="198.13390838089941"/>
    <n v="0"/>
    <n v="-1.1102656571893021E-12"/>
    <n v="0"/>
    <n v="0"/>
    <x v="6"/>
  </r>
  <r>
    <s v="Regular"/>
    <x v="1"/>
    <x v="3"/>
    <x v="4"/>
    <x v="7"/>
    <x v="1"/>
    <x v="0"/>
    <x v="1"/>
    <x v="8"/>
    <n v="0"/>
    <n v="0"/>
    <n v="35.491999999999997"/>
    <n v="35.491999999999997"/>
    <n v="35.491999999999997"/>
    <n v="35.491999999999997"/>
    <n v="144"/>
    <s v="CATIVO"/>
    <n v="0"/>
    <n v="0"/>
    <n v="13"/>
    <n v="71"/>
    <n v="0"/>
    <n v="205.22"/>
    <n v="185.18"/>
    <m/>
    <n v="218.56388656593447"/>
    <n v="198.13390838089941"/>
    <n v="0"/>
    <n v="-1.008743311103899E-12"/>
    <n v="0"/>
    <n v="0"/>
    <x v="6"/>
  </r>
  <r>
    <s v="Regular"/>
    <x v="1"/>
    <x v="3"/>
    <x v="4"/>
    <x v="7"/>
    <x v="1"/>
    <x v="0"/>
    <x v="1"/>
    <x v="9"/>
    <n v="0"/>
    <n v="0"/>
    <n v="45.762999999999998"/>
    <n v="45.762999999999998"/>
    <n v="45.762999999999998"/>
    <n v="45.762999999999998"/>
    <n v="207"/>
    <s v="CATIVO"/>
    <n v="0"/>
    <n v="0"/>
    <n v="13"/>
    <n v="71"/>
    <n v="0"/>
    <n v="205.22"/>
    <n v="185.18"/>
    <m/>
    <n v="218.56388656593447"/>
    <n v="198.13390838089941"/>
    <n v="0"/>
    <n v="-1.3006626886635785E-12"/>
    <n v="0"/>
    <n v="0"/>
    <x v="6"/>
  </r>
  <r>
    <s v="Regular"/>
    <x v="1"/>
    <x v="3"/>
    <x v="4"/>
    <x v="7"/>
    <x v="1"/>
    <x v="0"/>
    <x v="1"/>
    <x v="10"/>
    <n v="0"/>
    <n v="0"/>
    <n v="42.765999999999998"/>
    <n v="42.765999999999998"/>
    <n v="42.765999999999998"/>
    <n v="42.765999999999998"/>
    <n v="187"/>
    <s v="CATIVO"/>
    <n v="0"/>
    <n v="0"/>
    <n v="13"/>
    <n v="71"/>
    <n v="0"/>
    <n v="205.22"/>
    <n v="185.18"/>
    <m/>
    <n v="218.56388656593447"/>
    <n v="198.13390838089941"/>
    <n v="0"/>
    <n v="-1.2154828255006577E-12"/>
    <n v="0"/>
    <n v="0"/>
    <x v="6"/>
  </r>
  <r>
    <s v="Sistema de Compensação"/>
    <x v="1"/>
    <x v="3"/>
    <x v="4"/>
    <x v="7"/>
    <x v="1"/>
    <x v="0"/>
    <x v="1"/>
    <x v="10"/>
    <n v="0"/>
    <n v="0"/>
    <n v="0.05"/>
    <n v="0.05"/>
    <n v="0.05"/>
    <n v="0.05"/>
    <n v="1"/>
    <s v="CATIVO"/>
    <n v="0"/>
    <n v="0"/>
    <n v="13"/>
    <n v="71"/>
    <n v="0"/>
    <n v="205.22"/>
    <n v="185.18"/>
    <m/>
    <n v="218.56388656593447"/>
    <n v="198.13390838089941"/>
    <n v="0"/>
    <n v="-1.4210854715202005E-15"/>
    <n v="0"/>
    <n v="0"/>
    <x v="6"/>
  </r>
  <r>
    <s v="Regular"/>
    <x v="1"/>
    <x v="3"/>
    <x v="4"/>
    <x v="7"/>
    <x v="1"/>
    <x v="0"/>
    <x v="1"/>
    <x v="11"/>
    <n v="0"/>
    <n v="0"/>
    <n v="48.942"/>
    <n v="48.942"/>
    <n v="48.942"/>
    <n v="48.942"/>
    <n v="217"/>
    <s v="CATIVO"/>
    <n v="0"/>
    <n v="0"/>
    <n v="13"/>
    <n v="71"/>
    <n v="0"/>
    <n v="205.22"/>
    <n v="185.18"/>
    <m/>
    <n v="218.56388656593447"/>
    <n v="198.13390838089941"/>
    <n v="0"/>
    <n v="-1.3910153029428329E-12"/>
    <n v="0"/>
    <n v="0"/>
    <x v="6"/>
  </r>
  <r>
    <s v="Sistema de Compensação"/>
    <x v="1"/>
    <x v="3"/>
    <x v="4"/>
    <x v="7"/>
    <x v="1"/>
    <x v="0"/>
    <x v="1"/>
    <x v="11"/>
    <n v="0"/>
    <n v="0"/>
    <n v="0.05"/>
    <n v="0.05"/>
    <n v="0.05"/>
    <n v="0.05"/>
    <n v="1"/>
    <s v="CATIVO"/>
    <n v="0"/>
    <n v="0"/>
    <n v="13"/>
    <n v="71"/>
    <n v="0"/>
    <n v="205.22"/>
    <n v="185.18"/>
    <m/>
    <n v="218.56388656593447"/>
    <n v="198.13390838089941"/>
    <n v="0"/>
    <n v="-1.4210854715202005E-15"/>
    <n v="0"/>
    <n v="0"/>
    <x v="6"/>
  </r>
  <r>
    <s v="Regular"/>
    <x v="2"/>
    <x v="3"/>
    <x v="2"/>
    <x v="1"/>
    <x v="2"/>
    <x v="0"/>
    <x v="1"/>
    <x v="0"/>
    <n v="0"/>
    <n v="0"/>
    <n v="64.334999999999994"/>
    <n v="25.734000000000002"/>
    <n v="64.334999999999994"/>
    <n v="25.734000000000002"/>
    <n v="0"/>
    <s v="CATIVO"/>
    <n v="0"/>
    <n v="0"/>
    <n v="40"/>
    <n v="78"/>
    <n v="0"/>
    <n v="240.16"/>
    <n v="162.96"/>
    <m/>
    <n v="296.8638864604668"/>
    <n v="186.24587387804544"/>
    <n v="0"/>
    <n v="19097.330069999996"/>
    <n v="0"/>
    <n v="20632.404950191474"/>
    <x v="2"/>
  </r>
  <r>
    <s v="Refaturamento - Regular"/>
    <x v="2"/>
    <x v="3"/>
    <x v="2"/>
    <x v="1"/>
    <x v="2"/>
    <x v="0"/>
    <x v="1"/>
    <x v="0"/>
    <n v="0"/>
    <n v="0"/>
    <n v="-1.1140000000000001"/>
    <n v="-0.4456"/>
    <n v="-1.1140000000000001"/>
    <n v="-0.4456"/>
    <n v="0"/>
    <s v="CATIVO"/>
    <n v="0"/>
    <n v="0"/>
    <n v="40"/>
    <n v="78"/>
    <n v="0"/>
    <n v="240.16"/>
    <n v="162.96"/>
    <m/>
    <n v="296.8638864604668"/>
    <n v="186.24587387804544"/>
    <n v="0"/>
    <n v="-330.6819880000001"/>
    <n v="0"/>
    <n v="-357.26275144965115"/>
    <x v="2"/>
  </r>
  <r>
    <s v="Sistema de Compensação"/>
    <x v="2"/>
    <x v="3"/>
    <x v="2"/>
    <x v="1"/>
    <x v="2"/>
    <x v="0"/>
    <x v="1"/>
    <x v="0"/>
    <n v="0"/>
    <n v="0"/>
    <n v="0.437"/>
    <n v="0.17480000000000001"/>
    <n v="0.437"/>
    <n v="0.17480000000000001"/>
    <n v="0"/>
    <s v="CATIVO"/>
    <n v="0"/>
    <n v="0"/>
    <n v="40"/>
    <n v="78"/>
    <n v="0"/>
    <n v="240.16"/>
    <n v="162.96"/>
    <m/>
    <n v="296.8638864604668"/>
    <n v="186.24587387804544"/>
    <n v="0"/>
    <n v="129.71995400000003"/>
    <n v="0"/>
    <n v="140.14705779488108"/>
    <x v="2"/>
  </r>
  <r>
    <s v="Regular"/>
    <x v="2"/>
    <x v="3"/>
    <x v="2"/>
    <x v="1"/>
    <x v="2"/>
    <x v="0"/>
    <x v="1"/>
    <x v="1"/>
    <n v="0"/>
    <n v="0"/>
    <n v="89.831999999999994"/>
    <n v="35.9328"/>
    <n v="89.831999999999994"/>
    <n v="35.9328"/>
    <n v="0"/>
    <s v="CATIVO"/>
    <n v="0"/>
    <n v="0"/>
    <n v="40"/>
    <n v="78"/>
    <n v="0"/>
    <n v="240.16"/>
    <n v="162.96"/>
    <m/>
    <n v="296.8638864604668"/>
    <n v="186.24587387804544"/>
    <n v="0"/>
    <n v="26665.910543999998"/>
    <n v="0"/>
    <n v="28809.360402356422"/>
    <x v="2"/>
  </r>
  <r>
    <s v="Refaturamento - Regular"/>
    <x v="2"/>
    <x v="3"/>
    <x v="2"/>
    <x v="1"/>
    <x v="2"/>
    <x v="0"/>
    <x v="1"/>
    <x v="1"/>
    <n v="0"/>
    <n v="0"/>
    <n v="-9.1999999999999998E-2"/>
    <n v="-3.6799999999999999E-2"/>
    <n v="-9.1999999999999998E-2"/>
    <n v="-3.6799999999999999E-2"/>
    <n v="0"/>
    <s v="CATIVO"/>
    <n v="0"/>
    <n v="0"/>
    <n v="40"/>
    <n v="78"/>
    <n v="0"/>
    <n v="240.16"/>
    <n v="162.96"/>
    <m/>
    <n v="296.8638864604668"/>
    <n v="186.24587387804544"/>
    <n v="0"/>
    <n v="-27.309464000000002"/>
    <n v="0"/>
    <n v="-29.504643746290753"/>
    <x v="2"/>
  </r>
  <r>
    <s v="Sistema de Compensação"/>
    <x v="2"/>
    <x v="3"/>
    <x v="2"/>
    <x v="1"/>
    <x v="2"/>
    <x v="0"/>
    <x v="1"/>
    <x v="1"/>
    <n v="0"/>
    <n v="0"/>
    <n v="0.52100000000000002"/>
    <n v="0.2084"/>
    <n v="0.52100000000000002"/>
    <n v="0.2084"/>
    <n v="0"/>
    <s v="CATIVO"/>
    <n v="0"/>
    <n v="0"/>
    <n v="40"/>
    <n v="78"/>
    <n v="0"/>
    <n v="240.16"/>
    <n v="162.96"/>
    <m/>
    <n v="296.8638864604668"/>
    <n v="186.24587387804544"/>
    <n v="0"/>
    <n v="154.65468200000001"/>
    <n v="0"/>
    <n v="167.08608034584222"/>
    <x v="2"/>
  </r>
  <r>
    <s v="Regular"/>
    <x v="2"/>
    <x v="3"/>
    <x v="2"/>
    <x v="1"/>
    <x v="2"/>
    <x v="0"/>
    <x v="1"/>
    <x v="2"/>
    <n v="0"/>
    <n v="0"/>
    <n v="126.84"/>
    <n v="50.735999999999997"/>
    <n v="126.84"/>
    <n v="50.735999999999997"/>
    <n v="0"/>
    <s v="CATIVO"/>
    <n v="0"/>
    <n v="0"/>
    <n v="40"/>
    <n v="78"/>
    <n v="0"/>
    <n v="240.16"/>
    <n v="162.96"/>
    <m/>
    <n v="296.8638864604668"/>
    <n v="186.24587387804544"/>
    <n v="0"/>
    <n v="37651.439280000006"/>
    <n v="0"/>
    <n v="40677.924051951311"/>
    <x v="2"/>
  </r>
  <r>
    <s v="Refaturamento - Regular"/>
    <x v="2"/>
    <x v="3"/>
    <x v="2"/>
    <x v="1"/>
    <x v="2"/>
    <x v="0"/>
    <x v="1"/>
    <x v="2"/>
    <n v="0"/>
    <n v="0"/>
    <n v="-2.19"/>
    <n v="-0.876"/>
    <n v="-2.19"/>
    <n v="-0.876"/>
    <n v="0"/>
    <s v="CATIVO"/>
    <n v="0"/>
    <n v="0"/>
    <n v="40"/>
    <n v="78"/>
    <n v="0"/>
    <n v="240.16"/>
    <n v="162.96"/>
    <m/>
    <n v="296.8638864604668"/>
    <n v="186.24587387804544"/>
    <n v="0"/>
    <n v="-650.08398000000011"/>
    <n v="0"/>
    <n v="-702.3388022214865"/>
    <x v="2"/>
  </r>
  <r>
    <s v="Sistema de Compensação"/>
    <x v="2"/>
    <x v="3"/>
    <x v="2"/>
    <x v="1"/>
    <x v="2"/>
    <x v="0"/>
    <x v="1"/>
    <x v="2"/>
    <n v="0"/>
    <n v="0"/>
    <n v="1.6890000000000001"/>
    <n v="0.67559999999999998"/>
    <n v="1.6890000000000001"/>
    <n v="0.67559999999999998"/>
    <n v="0"/>
    <s v="CATIVO"/>
    <n v="0"/>
    <n v="0"/>
    <n v="40"/>
    <n v="78"/>
    <n v="0"/>
    <n v="240.16"/>
    <n v="162.96"/>
    <m/>
    <n v="296.8638864604668"/>
    <n v="186.24587387804544"/>
    <n v="0"/>
    <n v="501.36613800000009"/>
    <n v="0"/>
    <n v="541.66677486396839"/>
    <x v="2"/>
  </r>
  <r>
    <s v="Regular"/>
    <x v="2"/>
    <x v="3"/>
    <x v="2"/>
    <x v="1"/>
    <x v="2"/>
    <x v="0"/>
    <x v="1"/>
    <x v="3"/>
    <n v="0"/>
    <n v="0"/>
    <n v="84.653000000000006"/>
    <n v="33.861199999999997"/>
    <n v="84.653000000000006"/>
    <n v="33.861199999999997"/>
    <n v="0"/>
    <s v="CATIVO"/>
    <n v="0"/>
    <n v="0"/>
    <n v="40"/>
    <n v="78"/>
    <n v="0"/>
    <n v="240.16"/>
    <n v="162.96"/>
    <m/>
    <n v="296.8638864604668"/>
    <n v="186.24587387804544"/>
    <n v="0"/>
    <n v="25128.565826000005"/>
    <n v="0"/>
    <n v="27148.441381029912"/>
    <x v="2"/>
  </r>
  <r>
    <s v="Refaturamento - Regular"/>
    <x v="2"/>
    <x v="3"/>
    <x v="2"/>
    <x v="1"/>
    <x v="2"/>
    <x v="0"/>
    <x v="1"/>
    <x v="3"/>
    <n v="0"/>
    <n v="0"/>
    <n v="-5.9939999999999998"/>
    <n v="-2.3976000000000002"/>
    <n v="-5.9939999999999998"/>
    <n v="-2.3976000000000002"/>
    <n v="0"/>
    <s v="CATIVO"/>
    <n v="0"/>
    <n v="0"/>
    <n v="40"/>
    <n v="78"/>
    <n v="0"/>
    <n v="240.16"/>
    <n v="162.96"/>
    <m/>
    <n v="296.8638864604668"/>
    <n v="186.24587387804544"/>
    <n v="0"/>
    <n v="-1779.2709479999999"/>
    <n v="0"/>
    <n v="-1922.2916806007258"/>
    <x v="2"/>
  </r>
  <r>
    <s v="Sistema de Compensação"/>
    <x v="2"/>
    <x v="3"/>
    <x v="2"/>
    <x v="1"/>
    <x v="2"/>
    <x v="0"/>
    <x v="1"/>
    <x v="3"/>
    <n v="0"/>
    <n v="0"/>
    <n v="4.5019999999999998"/>
    <n v="1.8008"/>
    <n v="4.5019999999999998"/>
    <n v="1.8008"/>
    <n v="0"/>
    <s v="CATIVO"/>
    <n v="0"/>
    <n v="0"/>
    <n v="40"/>
    <n v="78"/>
    <n v="0"/>
    <n v="240.16"/>
    <n v="162.96"/>
    <m/>
    <n v="296.8638864604668"/>
    <n v="186.24587387804544"/>
    <n v="0"/>
    <n v="1336.3826840000002"/>
    <n v="0"/>
    <n v="1443.8033276717499"/>
    <x v="2"/>
  </r>
  <r>
    <s v="Regular"/>
    <x v="2"/>
    <x v="3"/>
    <x v="2"/>
    <x v="1"/>
    <x v="2"/>
    <x v="0"/>
    <x v="1"/>
    <x v="4"/>
    <n v="0"/>
    <n v="0"/>
    <n v="183.863"/>
    <n v="73.545199999999994"/>
    <n v="183.863"/>
    <n v="73.545199999999994"/>
    <n v="0"/>
    <s v="CATIVO"/>
    <n v="0"/>
    <n v="0"/>
    <n v="40"/>
    <n v="78"/>
    <n v="0"/>
    <n v="240.16"/>
    <n v="162.96"/>
    <m/>
    <n v="296.8638864604668"/>
    <n v="186.24587387804544"/>
    <n v="0"/>
    <n v="54578.26064600001"/>
    <n v="0"/>
    <n v="58965.351229611493"/>
    <x v="2"/>
  </r>
  <r>
    <s v="Sistema de Compensação"/>
    <x v="2"/>
    <x v="3"/>
    <x v="2"/>
    <x v="1"/>
    <x v="2"/>
    <x v="0"/>
    <x v="1"/>
    <x v="4"/>
    <n v="0"/>
    <n v="0"/>
    <n v="4.9530000000000003"/>
    <n v="1.9812000000000001"/>
    <n v="4.9530000000000003"/>
    <n v="1.9812000000000001"/>
    <n v="0"/>
    <s v="CATIVO"/>
    <n v="0"/>
    <n v="0"/>
    <n v="40"/>
    <n v="78"/>
    <n v="0"/>
    <n v="240.16"/>
    <n v="162.96"/>
    <m/>
    <n v="296.8638864604668"/>
    <n v="186.24587387804544"/>
    <n v="0"/>
    <n v="1470.2584260000001"/>
    <n v="0"/>
    <n v="1588.4402225584579"/>
    <x v="2"/>
  </r>
  <r>
    <s v="Regular"/>
    <x v="2"/>
    <x v="3"/>
    <x v="2"/>
    <x v="1"/>
    <x v="2"/>
    <x v="0"/>
    <x v="1"/>
    <x v="5"/>
    <n v="0"/>
    <n v="0"/>
    <n v="957.06500000000005"/>
    <n v="382.82600000000002"/>
    <n v="957.06500000000005"/>
    <n v="382.82600000000002"/>
    <n v="0"/>
    <s v="CATIVO"/>
    <n v="0"/>
    <n v="0"/>
    <n v="40"/>
    <n v="78"/>
    <n v="0"/>
    <n v="240.16"/>
    <n v="162.96"/>
    <m/>
    <n v="296.8638864604668"/>
    <n v="186.24587387804544"/>
    <n v="0"/>
    <n v="284097.08873000002"/>
    <n v="0"/>
    <n v="306933.28116351919"/>
    <x v="2"/>
  </r>
  <r>
    <s v="Refaturamento - Regular"/>
    <x v="2"/>
    <x v="3"/>
    <x v="2"/>
    <x v="1"/>
    <x v="2"/>
    <x v="0"/>
    <x v="1"/>
    <x v="5"/>
    <n v="0"/>
    <n v="0"/>
    <n v="-75.600999999999999"/>
    <n v="-30.240400000000001"/>
    <n v="-75.600999999999999"/>
    <n v="-30.240400000000001"/>
    <n v="0"/>
    <s v="CATIVO"/>
    <n v="0"/>
    <n v="0"/>
    <n v="40"/>
    <n v="78"/>
    <n v="0"/>
    <n v="240.16"/>
    <n v="162.96"/>
    <m/>
    <n v="296.8638864604668"/>
    <n v="186.24587387804544"/>
    <n v="0"/>
    <n v="-22441.552041999999"/>
    <n v="0"/>
    <n v="-24245.440998514427"/>
    <x v="2"/>
  </r>
  <r>
    <s v="Regular"/>
    <x v="2"/>
    <x v="3"/>
    <x v="2"/>
    <x v="1"/>
    <x v="2"/>
    <x v="0"/>
    <x v="1"/>
    <x v="6"/>
    <n v="0"/>
    <n v="0"/>
    <n v="1113.9190000000001"/>
    <n v="445.56760000000003"/>
    <n v="1113.9190000000001"/>
    <n v="445.56760000000003"/>
    <n v="0"/>
    <s v="CATIVO"/>
    <n v="0"/>
    <n v="0"/>
    <n v="40"/>
    <n v="78"/>
    <n v="0"/>
    <n v="240.16"/>
    <n v="162.96"/>
    <m/>
    <n v="296.8638864604668"/>
    <n v="186.24587387804544"/>
    <n v="0"/>
    <n v="330657.94379800005"/>
    <n v="0"/>
    <n v="357236.7745350484"/>
    <x v="2"/>
  </r>
  <r>
    <s v="Refaturamento - Regular"/>
    <x v="2"/>
    <x v="3"/>
    <x v="2"/>
    <x v="1"/>
    <x v="2"/>
    <x v="0"/>
    <x v="1"/>
    <x v="6"/>
    <n v="0"/>
    <n v="0"/>
    <n v="-8.4"/>
    <n v="-3.36"/>
    <n v="-8.4"/>
    <n v="-3.36"/>
    <n v="0"/>
    <s v="CATIVO"/>
    <n v="0"/>
    <n v="0"/>
    <n v="40"/>
    <n v="78"/>
    <n v="0"/>
    <n v="240.16"/>
    <n v="162.96"/>
    <m/>
    <n v="296.8638864604668"/>
    <n v="186.24587387804544"/>
    <n v="0"/>
    <n v="-2493.4728000000005"/>
    <n v="0"/>
    <n v="-2693.9022550961126"/>
    <x v="2"/>
  </r>
  <r>
    <s v="Sistema de Compensação"/>
    <x v="2"/>
    <x v="3"/>
    <x v="2"/>
    <x v="1"/>
    <x v="2"/>
    <x v="0"/>
    <x v="1"/>
    <x v="6"/>
    <n v="0"/>
    <n v="0"/>
    <n v="59.715000000000003"/>
    <n v="23.885999999999999"/>
    <n v="59.715000000000003"/>
    <n v="23.885999999999999"/>
    <n v="0"/>
    <s v="CATIVO"/>
    <n v="0"/>
    <n v="0"/>
    <n v="40"/>
    <n v="78"/>
    <n v="0"/>
    <n v="240.16"/>
    <n v="162.96"/>
    <m/>
    <n v="296.8638864604668"/>
    <n v="186.24587387804544"/>
    <n v="0"/>
    <n v="17725.920030000005"/>
    <n v="0"/>
    <n v="19150.758709888618"/>
    <x v="2"/>
  </r>
  <r>
    <s v="Regular"/>
    <x v="2"/>
    <x v="3"/>
    <x v="2"/>
    <x v="1"/>
    <x v="2"/>
    <x v="0"/>
    <x v="1"/>
    <x v="7"/>
    <n v="0"/>
    <n v="0"/>
    <n v="797.46600000000001"/>
    <n v="318.9864"/>
    <n v="797.46600000000001"/>
    <n v="318.9864"/>
    <n v="0"/>
    <s v="CATIVO"/>
    <n v="0"/>
    <n v="0"/>
    <n v="40"/>
    <n v="78"/>
    <n v="0"/>
    <n v="240.16"/>
    <n v="162.96"/>
    <m/>
    <n v="296.8638864604668"/>
    <n v="186.24587387804544"/>
    <n v="0"/>
    <n v="236721.40237200001"/>
    <n v="0"/>
    <n v="255749.45901934244"/>
    <x v="2"/>
  </r>
  <r>
    <s v="Refaturamento - Regular"/>
    <x v="2"/>
    <x v="3"/>
    <x v="2"/>
    <x v="1"/>
    <x v="2"/>
    <x v="0"/>
    <x v="1"/>
    <x v="7"/>
    <n v="0"/>
    <n v="0"/>
    <n v="-16.84"/>
    <n v="-6.7359999999999998"/>
    <n v="-16.84"/>
    <n v="-6.7359999999999998"/>
    <n v="0"/>
    <s v="CATIVO"/>
    <n v="0"/>
    <n v="0"/>
    <n v="40"/>
    <n v="78"/>
    <n v="0"/>
    <n v="240.16"/>
    <n v="162.96"/>
    <m/>
    <n v="296.8638864604668"/>
    <n v="186.24587387804544"/>
    <n v="0"/>
    <n v="-4998.8192800000006"/>
    <n v="0"/>
    <n v="-5400.6326161688721"/>
    <x v="2"/>
  </r>
  <r>
    <s v="Sistema de Compensação"/>
    <x v="2"/>
    <x v="3"/>
    <x v="2"/>
    <x v="1"/>
    <x v="2"/>
    <x v="0"/>
    <x v="1"/>
    <x v="7"/>
    <n v="0"/>
    <n v="0"/>
    <n v="40.540999999999997"/>
    <n v="16.2164"/>
    <n v="40.540999999999997"/>
    <n v="16.2164"/>
    <n v="0"/>
    <s v="CATIVO"/>
    <n v="0"/>
    <n v="0"/>
    <n v="40"/>
    <n v="78"/>
    <n v="0"/>
    <n v="240.16"/>
    <n v="162.96"/>
    <m/>
    <n v="296.8638864604668"/>
    <n v="186.24587387804544"/>
    <n v="0"/>
    <n v="12034.271521999999"/>
    <n v="0"/>
    <n v="13001.60610998232"/>
    <x v="2"/>
  </r>
  <r>
    <s v="Regular"/>
    <x v="2"/>
    <x v="3"/>
    <x v="2"/>
    <x v="1"/>
    <x v="2"/>
    <x v="0"/>
    <x v="1"/>
    <x v="8"/>
    <n v="0"/>
    <n v="0"/>
    <n v="557.976"/>
    <n v="223.19040000000001"/>
    <n v="557.976"/>
    <n v="223.19040000000001"/>
    <n v="0"/>
    <s v="CATIVO"/>
    <n v="0"/>
    <n v="0"/>
    <n v="40"/>
    <n v="78"/>
    <n v="0"/>
    <n v="240.16"/>
    <n v="162.96"/>
    <m/>
    <n v="296.8638864604668"/>
    <n v="186.24587387804544"/>
    <n v="0"/>
    <n v="165630.71179200002"/>
    <n v="0"/>
    <n v="178944.38151065577"/>
    <x v="2"/>
  </r>
  <r>
    <s v="Refaturamento - Regular"/>
    <x v="2"/>
    <x v="3"/>
    <x v="2"/>
    <x v="1"/>
    <x v="2"/>
    <x v="0"/>
    <x v="1"/>
    <x v="8"/>
    <n v="0"/>
    <n v="0"/>
    <n v="-8.3610000000000007"/>
    <n v="-3.3443999999999998"/>
    <n v="-8.3610000000000007"/>
    <n v="-3.3443999999999998"/>
    <n v="0"/>
    <s v="CATIVO"/>
    <n v="0"/>
    <n v="0"/>
    <n v="40"/>
    <n v="78"/>
    <n v="0"/>
    <n v="240.16"/>
    <n v="162.96"/>
    <m/>
    <n v="296.8638864604668"/>
    <n v="186.24587387804544"/>
    <n v="0"/>
    <n v="-2481.8959620000005"/>
    <n v="0"/>
    <n v="-2681.3948517688809"/>
    <x v="2"/>
  </r>
  <r>
    <s v="Sistema de Compensação"/>
    <x v="2"/>
    <x v="3"/>
    <x v="2"/>
    <x v="1"/>
    <x v="2"/>
    <x v="0"/>
    <x v="1"/>
    <x v="8"/>
    <n v="0"/>
    <n v="0"/>
    <n v="38.441000000000003"/>
    <n v="15.3764"/>
    <n v="38.441000000000003"/>
    <n v="15.3764"/>
    <n v="0"/>
    <s v="CATIVO"/>
    <n v="0"/>
    <n v="0"/>
    <n v="40"/>
    <n v="78"/>
    <n v="0"/>
    <n v="240.16"/>
    <n v="162.96"/>
    <m/>
    <n v="296.8638864604668"/>
    <n v="186.24587387804544"/>
    <n v="0"/>
    <n v="11410.903322000002"/>
    <n v="0"/>
    <n v="12328.130546208295"/>
    <x v="2"/>
  </r>
  <r>
    <s v="Sistema de Compensação"/>
    <x v="2"/>
    <x v="3"/>
    <x v="2"/>
    <x v="1"/>
    <x v="2"/>
    <x v="0"/>
    <x v="1"/>
    <x v="8"/>
    <n v="0"/>
    <n v="0"/>
    <n v="-17.835000000000001"/>
    <n v="-7.1340000000000003"/>
    <n v="-17.835000000000001"/>
    <n v="-7.1340000000000003"/>
    <n v="0"/>
    <s v="CATIVO"/>
    <n v="0"/>
    <n v="0"/>
    <n v="40"/>
    <n v="78"/>
    <n v="0"/>
    <n v="240.16"/>
    <n v="162.96"/>
    <m/>
    <n v="296.8638864604668"/>
    <n v="186.24587387804544"/>
    <n v="0"/>
    <n v="-5294.1770700000006"/>
    <n v="0"/>
    <n v="-5719.731752337997"/>
    <x v="2"/>
  </r>
  <r>
    <s v="Regular"/>
    <x v="2"/>
    <x v="3"/>
    <x v="2"/>
    <x v="1"/>
    <x v="2"/>
    <x v="0"/>
    <x v="1"/>
    <x v="9"/>
    <n v="0"/>
    <n v="0"/>
    <n v="209.69399999999999"/>
    <n v="83.877600000000001"/>
    <n v="209.69399999999999"/>
    <n v="83.877600000000001"/>
    <n v="0"/>
    <s v="CATIVO"/>
    <n v="0"/>
    <n v="0"/>
    <n v="40"/>
    <n v="78"/>
    <n v="0"/>
    <n v="240.16"/>
    <n v="162.96"/>
    <m/>
    <n v="296.8638864604668"/>
    <n v="186.24587387804544"/>
    <n v="0"/>
    <n v="62245.986347999999"/>
    <n v="0"/>
    <n v="67249.421366681447"/>
    <x v="2"/>
  </r>
  <r>
    <s v="Sistema de Compensação"/>
    <x v="2"/>
    <x v="3"/>
    <x v="2"/>
    <x v="1"/>
    <x v="2"/>
    <x v="0"/>
    <x v="1"/>
    <x v="9"/>
    <n v="0"/>
    <n v="0"/>
    <n v="15.032"/>
    <n v="6.0128000000000004"/>
    <n v="15.032"/>
    <n v="6.0128000000000004"/>
    <n v="0"/>
    <s v="CATIVO"/>
    <n v="0"/>
    <n v="0"/>
    <n v="40"/>
    <n v="78"/>
    <n v="0"/>
    <n v="240.16"/>
    <n v="162.96"/>
    <m/>
    <n v="296.8638864604668"/>
    <n v="186.24587387804544"/>
    <n v="0"/>
    <n v="4462.128944"/>
    <n v="0"/>
    <n v="4820.802226024377"/>
    <x v="2"/>
  </r>
  <r>
    <s v="Regular"/>
    <x v="2"/>
    <x v="3"/>
    <x v="2"/>
    <x v="1"/>
    <x v="2"/>
    <x v="0"/>
    <x v="1"/>
    <x v="10"/>
    <n v="0"/>
    <n v="0"/>
    <n v="151.33600000000001"/>
    <n v="60.534399999999998"/>
    <n v="151.33600000000001"/>
    <n v="60.534399999999998"/>
    <n v="0"/>
    <s v="CATIVO"/>
    <n v="0"/>
    <n v="0"/>
    <n v="40"/>
    <n v="78"/>
    <n v="0"/>
    <n v="240.16"/>
    <n v="162.96"/>
    <m/>
    <n v="296.8638864604668"/>
    <n v="186.24587387804544"/>
    <n v="0"/>
    <n v="44922.880912000008"/>
    <n v="0"/>
    <n v="48533.856152050634"/>
    <x v="2"/>
  </r>
  <r>
    <s v="Refaturamento - Regular"/>
    <x v="2"/>
    <x v="3"/>
    <x v="2"/>
    <x v="1"/>
    <x v="2"/>
    <x v="0"/>
    <x v="1"/>
    <x v="10"/>
    <n v="0"/>
    <n v="0"/>
    <n v="-25.431999999999999"/>
    <n v="-10.172800000000001"/>
    <n v="-25.431999999999999"/>
    <n v="-10.172800000000001"/>
    <n v="0"/>
    <s v="CATIVO"/>
    <n v="0"/>
    <n v="0"/>
    <n v="40"/>
    <n v="78"/>
    <n v="0"/>
    <n v="240.16"/>
    <n v="162.96"/>
    <m/>
    <n v="296.8638864604668"/>
    <n v="186.24587387804544"/>
    <n v="0"/>
    <n v="-7549.2857440000007"/>
    <n v="0"/>
    <n v="-8156.1097799528961"/>
    <x v="2"/>
  </r>
  <r>
    <s v="Sistema de Compensação"/>
    <x v="2"/>
    <x v="3"/>
    <x v="2"/>
    <x v="1"/>
    <x v="2"/>
    <x v="0"/>
    <x v="1"/>
    <x v="10"/>
    <n v="0"/>
    <n v="0"/>
    <n v="5.3159999999999998"/>
    <n v="2.1263999999999998"/>
    <n v="5.3159999999999998"/>
    <n v="2.1263999999999998"/>
    <n v="0"/>
    <s v="CATIVO"/>
    <n v="0"/>
    <n v="0"/>
    <n v="40"/>
    <n v="78"/>
    <n v="0"/>
    <n v="240.16"/>
    <n v="162.96"/>
    <m/>
    <n v="296.8638864604668"/>
    <n v="186.24587387804544"/>
    <n v="0"/>
    <n v="1578.012072"/>
    <n v="0"/>
    <n v="1704.8552842965398"/>
    <x v="2"/>
  </r>
  <r>
    <s v="Regular"/>
    <x v="2"/>
    <x v="3"/>
    <x v="2"/>
    <x v="1"/>
    <x v="2"/>
    <x v="0"/>
    <x v="1"/>
    <x v="11"/>
    <n v="0"/>
    <n v="0"/>
    <n v="141.572"/>
    <n v="56.628799999999998"/>
    <n v="141.572"/>
    <n v="56.628799999999998"/>
    <n v="0"/>
    <s v="CATIVO"/>
    <n v="0"/>
    <n v="0"/>
    <n v="40"/>
    <n v="78"/>
    <n v="0"/>
    <n v="240.16"/>
    <n v="162.96"/>
    <m/>
    <n v="296.8638864604668"/>
    <n v="186.24587387804544"/>
    <n v="0"/>
    <n v="42024.515624000007"/>
    <n v="0"/>
    <n v="45402.515483150819"/>
    <x v="2"/>
  </r>
  <r>
    <s v="Refaturamento - Regular"/>
    <x v="2"/>
    <x v="3"/>
    <x v="2"/>
    <x v="1"/>
    <x v="2"/>
    <x v="0"/>
    <x v="1"/>
    <x v="11"/>
    <n v="0"/>
    <n v="0"/>
    <n v="-0.52"/>
    <n v="-0.20799999999999999"/>
    <n v="-0.52"/>
    <n v="-0.20799999999999999"/>
    <n v="0"/>
    <s v="CATIVO"/>
    <n v="0"/>
    <n v="0"/>
    <n v="40"/>
    <n v="78"/>
    <n v="0"/>
    <n v="240.16"/>
    <n v="162.96"/>
    <m/>
    <n v="296.8638864604668"/>
    <n v="186.24587387804544"/>
    <n v="0"/>
    <n v="-154.35784000000004"/>
    <n v="0"/>
    <n v="-166.76537769642604"/>
    <x v="2"/>
  </r>
  <r>
    <s v="Sistema de Compensação"/>
    <x v="2"/>
    <x v="3"/>
    <x v="2"/>
    <x v="1"/>
    <x v="2"/>
    <x v="0"/>
    <x v="1"/>
    <x v="11"/>
    <n v="0"/>
    <n v="0"/>
    <n v="1.079"/>
    <n v="0.43159999999999998"/>
    <n v="1.079"/>
    <n v="0.43159999999999998"/>
    <n v="0"/>
    <s v="CATIVO"/>
    <n v="0"/>
    <n v="0"/>
    <n v="40"/>
    <n v="78"/>
    <n v="0"/>
    <n v="240.16"/>
    <n v="162.96"/>
    <m/>
    <n v="296.8638864604668"/>
    <n v="186.24587387804544"/>
    <n v="0"/>
    <n v="320.29251800000003"/>
    <n v="0"/>
    <n v="346.03815872008397"/>
    <x v="2"/>
  </r>
  <r>
    <s v="Regular"/>
    <x v="2"/>
    <x v="3"/>
    <x v="2"/>
    <x v="1"/>
    <x v="3"/>
    <x v="0"/>
    <x v="1"/>
    <x v="0"/>
    <n v="0"/>
    <n v="0"/>
    <n v="39.204000000000001"/>
    <n v="15.6816"/>
    <n v="39.204000000000001"/>
    <n v="15.6816"/>
    <n v="0"/>
    <s v="CATIVO"/>
    <n v="0"/>
    <n v="0"/>
    <n v="40"/>
    <n v="78"/>
    <n v="0"/>
    <n v="240.16"/>
    <n v="162.96"/>
    <m/>
    <n v="296.8638864604668"/>
    <n v="186.24587387804544"/>
    <n v="0"/>
    <n v="11637.393768000002"/>
    <n v="0"/>
    <n v="12572.826667712858"/>
    <x v="3"/>
  </r>
  <r>
    <s v="Refaturamento - Regular"/>
    <x v="2"/>
    <x v="3"/>
    <x v="2"/>
    <x v="1"/>
    <x v="3"/>
    <x v="0"/>
    <x v="1"/>
    <x v="0"/>
    <n v="0"/>
    <n v="0"/>
    <n v="-0.501"/>
    <n v="-0.20039999999999999"/>
    <n v="-0.501"/>
    <n v="-0.20039999999999999"/>
    <n v="0"/>
    <s v="CATIVO"/>
    <n v="0"/>
    <n v="0"/>
    <n v="40"/>
    <n v="78"/>
    <n v="0"/>
    <n v="240.16"/>
    <n v="162.96"/>
    <m/>
    <n v="296.8638864604668"/>
    <n v="186.24587387804544"/>
    <n v="0"/>
    <n v="-148.71784200000002"/>
    <n v="0"/>
    <n v="-160.67202735751812"/>
    <x v="3"/>
  </r>
  <r>
    <s v="Regular"/>
    <x v="2"/>
    <x v="3"/>
    <x v="2"/>
    <x v="1"/>
    <x v="3"/>
    <x v="0"/>
    <x v="1"/>
    <x v="1"/>
    <n v="0"/>
    <n v="0"/>
    <n v="62.941000000000003"/>
    <n v="25.176400000000001"/>
    <n v="62.941000000000003"/>
    <n v="25.176400000000001"/>
    <n v="0"/>
    <s v="CATIVO"/>
    <n v="0"/>
    <n v="0"/>
    <n v="40"/>
    <n v="78"/>
    <n v="0"/>
    <n v="240.16"/>
    <n v="162.96"/>
    <m/>
    <n v="296.8638864604668"/>
    <n v="186.24587387804544"/>
    <n v="0"/>
    <n v="18683.532322000003"/>
    <n v="0"/>
    <n v="20185.345456905288"/>
    <x v="3"/>
  </r>
  <r>
    <s v="Refaturamento - Regular"/>
    <x v="2"/>
    <x v="3"/>
    <x v="2"/>
    <x v="1"/>
    <x v="3"/>
    <x v="0"/>
    <x v="1"/>
    <x v="1"/>
    <n v="0"/>
    <n v="0"/>
    <n v="-8.0000000000000002E-3"/>
    <n v="-3.2000000000000002E-3"/>
    <n v="-8.0000000000000002E-3"/>
    <n v="-3.2000000000000002E-3"/>
    <n v="0"/>
    <s v="CATIVO"/>
    <n v="0"/>
    <n v="0"/>
    <n v="40"/>
    <n v="78"/>
    <n v="0"/>
    <n v="240.16"/>
    <n v="162.96"/>
    <m/>
    <n v="296.8638864604668"/>
    <n v="186.24587387804544"/>
    <n v="0"/>
    <n v="-2.3747360000000004"/>
    <n v="0"/>
    <n v="-2.5656211953296313"/>
    <x v="3"/>
  </r>
  <r>
    <s v="Regular"/>
    <x v="2"/>
    <x v="3"/>
    <x v="2"/>
    <x v="1"/>
    <x v="3"/>
    <x v="0"/>
    <x v="1"/>
    <x v="2"/>
    <n v="0"/>
    <n v="0"/>
    <n v="101.327"/>
    <n v="40.530799999999999"/>
    <n v="101.327"/>
    <n v="40.530799999999999"/>
    <n v="0"/>
    <s v="CATIVO"/>
    <n v="0"/>
    <n v="0"/>
    <n v="40"/>
    <n v="78"/>
    <n v="0"/>
    <n v="240.16"/>
    <n v="162.96"/>
    <m/>
    <n v="296.8638864604668"/>
    <n v="186.24587387804544"/>
    <n v="0"/>
    <n v="30078.109334000001"/>
    <n v="0"/>
    <n v="32495.837357395689"/>
    <x v="3"/>
  </r>
  <r>
    <s v="Refaturamento - Regular"/>
    <x v="2"/>
    <x v="3"/>
    <x v="2"/>
    <x v="1"/>
    <x v="3"/>
    <x v="0"/>
    <x v="1"/>
    <x v="2"/>
    <n v="0"/>
    <n v="0"/>
    <n v="-0.69"/>
    <n v="-0.27600000000000002"/>
    <n v="-0.69"/>
    <n v="-0.27600000000000002"/>
    <n v="0"/>
    <s v="CATIVO"/>
    <n v="0"/>
    <n v="0"/>
    <n v="40"/>
    <n v="78"/>
    <n v="0"/>
    <n v="240.16"/>
    <n v="162.96"/>
    <m/>
    <n v="296.8638864604668"/>
    <n v="186.24587387804544"/>
    <n v="0"/>
    <n v="-204.82097999999999"/>
    <n v="0"/>
    <n v="-221.28482809718062"/>
    <x v="3"/>
  </r>
  <r>
    <s v="Sistema de Compensação"/>
    <x v="2"/>
    <x v="3"/>
    <x v="2"/>
    <x v="1"/>
    <x v="3"/>
    <x v="0"/>
    <x v="1"/>
    <x v="2"/>
    <n v="0"/>
    <n v="0"/>
    <n v="0.1"/>
    <n v="0.04"/>
    <n v="0.1"/>
    <n v="0.04"/>
    <n v="0"/>
    <s v="CATIVO"/>
    <n v="0"/>
    <n v="0"/>
    <n v="40"/>
    <n v="78"/>
    <n v="0"/>
    <n v="240.16"/>
    <n v="162.96"/>
    <m/>
    <n v="296.8638864604668"/>
    <n v="186.24587387804544"/>
    <n v="0"/>
    <n v="29.684200000000004"/>
    <n v="0"/>
    <n v="32.070264941620387"/>
    <x v="3"/>
  </r>
  <r>
    <s v="Regular"/>
    <x v="2"/>
    <x v="3"/>
    <x v="2"/>
    <x v="1"/>
    <x v="3"/>
    <x v="0"/>
    <x v="1"/>
    <x v="3"/>
    <n v="0"/>
    <n v="0"/>
    <n v="49.481999999999999"/>
    <n v="19.7928"/>
    <n v="49.481999999999999"/>
    <n v="19.7928"/>
    <n v="0"/>
    <s v="CATIVO"/>
    <n v="0"/>
    <n v="0"/>
    <n v="40"/>
    <n v="78"/>
    <n v="0"/>
    <n v="240.16"/>
    <n v="162.96"/>
    <m/>
    <n v="296.8638864604668"/>
    <n v="186.24587387804544"/>
    <n v="0"/>
    <n v="14688.335844000001"/>
    <n v="0"/>
    <n v="15869.008498412599"/>
    <x v="3"/>
  </r>
  <r>
    <s v="Refaturamento - Regular"/>
    <x v="2"/>
    <x v="3"/>
    <x v="2"/>
    <x v="1"/>
    <x v="3"/>
    <x v="0"/>
    <x v="1"/>
    <x v="3"/>
    <n v="0"/>
    <n v="0"/>
    <n v="-1.534"/>
    <n v="-0.61360000000000003"/>
    <n v="-1.534"/>
    <n v="-0.61360000000000003"/>
    <n v="0"/>
    <s v="CATIVO"/>
    <n v="0"/>
    <n v="0"/>
    <n v="40"/>
    <n v="78"/>
    <n v="0"/>
    <n v="240.16"/>
    <n v="162.96"/>
    <m/>
    <n v="296.8638864604668"/>
    <n v="186.24587387804544"/>
    <n v="0"/>
    <n v="-455.35562800000008"/>
    <n v="0"/>
    <n v="-491.95786420445677"/>
    <x v="3"/>
  </r>
  <r>
    <s v="Regular"/>
    <x v="2"/>
    <x v="3"/>
    <x v="2"/>
    <x v="1"/>
    <x v="3"/>
    <x v="0"/>
    <x v="1"/>
    <x v="4"/>
    <n v="0"/>
    <n v="0"/>
    <n v="131.38300000000001"/>
    <n v="52.553199999999997"/>
    <n v="131.38300000000001"/>
    <n v="52.553199999999997"/>
    <n v="0"/>
    <s v="CATIVO"/>
    <n v="0"/>
    <n v="0"/>
    <n v="40"/>
    <n v="78"/>
    <n v="0"/>
    <n v="240.16"/>
    <n v="162.96"/>
    <m/>
    <n v="296.8638864604668"/>
    <n v="186.24587387804544"/>
    <n v="0"/>
    <n v="38999.992486000003"/>
    <n v="0"/>
    <n v="42134.876188249116"/>
    <x v="3"/>
  </r>
  <r>
    <s v="Regular"/>
    <x v="2"/>
    <x v="3"/>
    <x v="2"/>
    <x v="1"/>
    <x v="3"/>
    <x v="0"/>
    <x v="1"/>
    <x v="5"/>
    <n v="0"/>
    <n v="0"/>
    <n v="812.57"/>
    <n v="325.02800000000002"/>
    <n v="812.57"/>
    <n v="325.02800000000002"/>
    <n v="0"/>
    <s v="CATIVO"/>
    <n v="0"/>
    <n v="0"/>
    <n v="40"/>
    <n v="78"/>
    <n v="0"/>
    <n v="240.16"/>
    <n v="162.96"/>
    <m/>
    <n v="296.8638864604668"/>
    <n v="186.24587387804544"/>
    <n v="0"/>
    <n v="241204.90394000005"/>
    <n v="0"/>
    <n v="260593.35183612481"/>
    <x v="3"/>
  </r>
  <r>
    <s v="Refaturamento - Regular"/>
    <x v="2"/>
    <x v="3"/>
    <x v="2"/>
    <x v="1"/>
    <x v="3"/>
    <x v="0"/>
    <x v="1"/>
    <x v="5"/>
    <n v="0"/>
    <n v="0"/>
    <n v="-44.145000000000003"/>
    <n v="-17.658000000000001"/>
    <n v="-44.145000000000003"/>
    <n v="-17.658000000000001"/>
    <n v="0"/>
    <s v="CATIVO"/>
    <n v="0"/>
    <n v="0"/>
    <n v="40"/>
    <n v="78"/>
    <n v="0"/>
    <n v="240.16"/>
    <n v="162.96"/>
    <m/>
    <n v="296.8638864604668"/>
    <n v="186.24587387804544"/>
    <n v="0"/>
    <n v="-13104.090090000002"/>
    <n v="0"/>
    <n v="-14157.418458478322"/>
    <x v="3"/>
  </r>
  <r>
    <s v="Regular"/>
    <x v="2"/>
    <x v="3"/>
    <x v="2"/>
    <x v="1"/>
    <x v="3"/>
    <x v="0"/>
    <x v="1"/>
    <x v="6"/>
    <n v="0"/>
    <n v="0"/>
    <n v="1028.1130000000001"/>
    <n v="411.24520000000001"/>
    <n v="1028.1130000000001"/>
    <n v="411.24520000000001"/>
    <n v="0"/>
    <s v="CATIVO"/>
    <n v="0"/>
    <n v="0"/>
    <n v="40"/>
    <n v="78"/>
    <n v="0"/>
    <n v="240.16"/>
    <n v="162.96"/>
    <m/>
    <n v="296.8638864604668"/>
    <n v="186.24587387804544"/>
    <n v="0"/>
    <n v="305187.11914600001"/>
    <n v="0"/>
    <n v="329718.56299924158"/>
    <x v="3"/>
  </r>
  <r>
    <s v="Sistema de Compensação"/>
    <x v="2"/>
    <x v="3"/>
    <x v="2"/>
    <x v="1"/>
    <x v="3"/>
    <x v="0"/>
    <x v="1"/>
    <x v="6"/>
    <n v="0"/>
    <n v="0"/>
    <n v="17.23"/>
    <n v="6.8920000000000003"/>
    <n v="17.23"/>
    <n v="6.8920000000000003"/>
    <n v="0"/>
    <s v="CATIVO"/>
    <n v="0"/>
    <n v="0"/>
    <n v="40"/>
    <n v="78"/>
    <n v="0"/>
    <n v="240.16"/>
    <n v="162.96"/>
    <m/>
    <n v="296.8638864604668"/>
    <n v="186.24587387804544"/>
    <n v="0"/>
    <n v="5114.5876600000011"/>
    <n v="0"/>
    <n v="5525.7066494411938"/>
    <x v="3"/>
  </r>
  <r>
    <s v="Regular"/>
    <x v="2"/>
    <x v="3"/>
    <x v="2"/>
    <x v="1"/>
    <x v="3"/>
    <x v="0"/>
    <x v="1"/>
    <x v="7"/>
    <n v="0"/>
    <n v="0"/>
    <n v="742.851"/>
    <n v="297.1404"/>
    <n v="742.851"/>
    <n v="297.1404"/>
    <n v="0"/>
    <s v="CATIVO"/>
    <n v="0"/>
    <n v="0"/>
    <n v="40"/>
    <n v="78"/>
    <n v="0"/>
    <n v="240.16"/>
    <n v="162.96"/>
    <m/>
    <n v="296.8638864604668"/>
    <n v="186.24587387804544"/>
    <n v="0"/>
    <n v="220509.37654200004"/>
    <n v="0"/>
    <n v="238234.28382147645"/>
    <x v="3"/>
  </r>
  <r>
    <s v="Refaturamento - Regular"/>
    <x v="2"/>
    <x v="3"/>
    <x v="2"/>
    <x v="1"/>
    <x v="3"/>
    <x v="0"/>
    <x v="1"/>
    <x v="7"/>
    <n v="0"/>
    <n v="0"/>
    <n v="-25.92"/>
    <n v="-10.368"/>
    <n v="-25.92"/>
    <n v="-10.368"/>
    <n v="0"/>
    <s v="CATIVO"/>
    <n v="0"/>
    <n v="0"/>
    <n v="40"/>
    <n v="78"/>
    <n v="0"/>
    <n v="240.16"/>
    <n v="162.96"/>
    <m/>
    <n v="296.8638864604668"/>
    <n v="186.24587387804544"/>
    <n v="0"/>
    <n v="-7694.1446400000013"/>
    <n v="0"/>
    <n v="-8312.6126728680047"/>
    <x v="3"/>
  </r>
  <r>
    <s v="Sistema de Compensação"/>
    <x v="2"/>
    <x v="3"/>
    <x v="2"/>
    <x v="1"/>
    <x v="3"/>
    <x v="0"/>
    <x v="1"/>
    <x v="7"/>
    <n v="0"/>
    <n v="0"/>
    <n v="16.576000000000001"/>
    <n v="6.6303999999999998"/>
    <n v="16.576000000000001"/>
    <n v="6.6303999999999998"/>
    <n v="0"/>
    <s v="CATIVO"/>
    <n v="0"/>
    <n v="0"/>
    <n v="40"/>
    <n v="78"/>
    <n v="0"/>
    <n v="240.16"/>
    <n v="162.96"/>
    <m/>
    <n v="296.8638864604668"/>
    <n v="186.24587387804544"/>
    <n v="0"/>
    <n v="4920.4529920000004"/>
    <n v="0"/>
    <n v="5315.9671167229963"/>
    <x v="3"/>
  </r>
  <r>
    <s v="Regular"/>
    <x v="2"/>
    <x v="3"/>
    <x v="2"/>
    <x v="1"/>
    <x v="3"/>
    <x v="0"/>
    <x v="1"/>
    <x v="8"/>
    <n v="0"/>
    <n v="0"/>
    <n v="580.45299999999997"/>
    <n v="232.18119999999999"/>
    <n v="580.45299999999997"/>
    <n v="232.18119999999999"/>
    <n v="0"/>
    <s v="CATIVO"/>
    <n v="0"/>
    <n v="0"/>
    <n v="40"/>
    <n v="78"/>
    <n v="0"/>
    <n v="240.16"/>
    <n v="162.96"/>
    <m/>
    <n v="296.8638864604668"/>
    <n v="186.24587387804544"/>
    <n v="0"/>
    <n v="172302.82942600001"/>
    <n v="0"/>
    <n v="186152.81496158376"/>
    <x v="3"/>
  </r>
  <r>
    <s v="Refaturamento - Regular"/>
    <x v="2"/>
    <x v="3"/>
    <x v="2"/>
    <x v="1"/>
    <x v="3"/>
    <x v="0"/>
    <x v="1"/>
    <x v="8"/>
    <n v="0"/>
    <n v="0"/>
    <n v="-10.492000000000001"/>
    <n v="-4.1967999999999996"/>
    <n v="-10.492000000000001"/>
    <n v="-4.1967999999999996"/>
    <n v="0"/>
    <s v="CATIVO"/>
    <n v="0"/>
    <n v="0"/>
    <n v="40"/>
    <n v="78"/>
    <n v="0"/>
    <n v="240.16"/>
    <n v="162.96"/>
    <m/>
    <n v="296.8638864604668"/>
    <n v="186.24587387804544"/>
    <n v="0"/>
    <n v="-3114.4662640000006"/>
    <n v="0"/>
    <n v="-3364.8121976748116"/>
    <x v="3"/>
  </r>
  <r>
    <s v="Sistema de Compensação"/>
    <x v="2"/>
    <x v="3"/>
    <x v="2"/>
    <x v="1"/>
    <x v="3"/>
    <x v="0"/>
    <x v="1"/>
    <x v="8"/>
    <n v="0"/>
    <n v="0"/>
    <n v="1.9239999999999999"/>
    <n v="0.76959999999999995"/>
    <n v="1.9239999999999999"/>
    <n v="0.76959999999999995"/>
    <n v="0"/>
    <s v="CATIVO"/>
    <n v="0"/>
    <n v="0"/>
    <n v="40"/>
    <n v="78"/>
    <n v="0"/>
    <n v="240.16"/>
    <n v="162.96"/>
    <m/>
    <n v="296.8638864604668"/>
    <n v="186.24587387804544"/>
    <n v="0"/>
    <n v="571.124008"/>
    <n v="0"/>
    <n v="617.03189747677618"/>
    <x v="3"/>
  </r>
  <r>
    <s v="Regular"/>
    <x v="2"/>
    <x v="3"/>
    <x v="2"/>
    <x v="1"/>
    <x v="3"/>
    <x v="0"/>
    <x v="1"/>
    <x v="9"/>
    <n v="0"/>
    <n v="0"/>
    <n v="174.64699999999999"/>
    <n v="69.858800000000002"/>
    <n v="174.64699999999999"/>
    <n v="69.858800000000002"/>
    <n v="0"/>
    <s v="CATIVO"/>
    <n v="0"/>
    <n v="0"/>
    <n v="40"/>
    <n v="78"/>
    <n v="0"/>
    <n v="240.16"/>
    <n v="162.96"/>
    <m/>
    <n v="296.8638864604668"/>
    <n v="186.24587387804544"/>
    <n v="0"/>
    <n v="51842.564773999999"/>
    <n v="0"/>
    <n v="56009.755612591754"/>
    <x v="3"/>
  </r>
  <r>
    <s v="Sistema de Compensação"/>
    <x v="2"/>
    <x v="3"/>
    <x v="2"/>
    <x v="1"/>
    <x v="3"/>
    <x v="0"/>
    <x v="1"/>
    <x v="9"/>
    <n v="0"/>
    <n v="0"/>
    <n v="1.6060000000000001"/>
    <n v="0.64239999999999997"/>
    <n v="1.6060000000000001"/>
    <n v="0.64239999999999997"/>
    <n v="0"/>
    <s v="CATIVO"/>
    <n v="0"/>
    <n v="0"/>
    <n v="40"/>
    <n v="78"/>
    <n v="0"/>
    <n v="240.16"/>
    <n v="162.96"/>
    <m/>
    <n v="296.8638864604668"/>
    <n v="186.24587387804544"/>
    <n v="0"/>
    <n v="476.72825200000011"/>
    <n v="0"/>
    <n v="515.04845496242353"/>
    <x v="3"/>
  </r>
  <r>
    <s v="Regular"/>
    <x v="2"/>
    <x v="3"/>
    <x v="2"/>
    <x v="1"/>
    <x v="3"/>
    <x v="0"/>
    <x v="1"/>
    <x v="10"/>
    <n v="0"/>
    <n v="0"/>
    <n v="93.233999999999995"/>
    <n v="37.293599999999998"/>
    <n v="93.233999999999995"/>
    <n v="37.293599999999998"/>
    <n v="0"/>
    <s v="CATIVO"/>
    <n v="0"/>
    <n v="0"/>
    <n v="40"/>
    <n v="78"/>
    <n v="0"/>
    <n v="240.16"/>
    <n v="162.96"/>
    <m/>
    <n v="296.8638864604668"/>
    <n v="186.24587387804544"/>
    <n v="0"/>
    <n v="27675.767028000002"/>
    <n v="0"/>
    <n v="29900.390815670351"/>
    <x v="3"/>
  </r>
  <r>
    <s v="Refaturamento - Regular"/>
    <x v="2"/>
    <x v="3"/>
    <x v="2"/>
    <x v="1"/>
    <x v="3"/>
    <x v="0"/>
    <x v="1"/>
    <x v="10"/>
    <n v="0"/>
    <n v="0"/>
    <n v="-7.5999999999999998E-2"/>
    <n v="-3.04E-2"/>
    <n v="-7.5999999999999998E-2"/>
    <n v="-3.04E-2"/>
    <n v="0"/>
    <s v="CATIVO"/>
    <n v="0"/>
    <n v="0"/>
    <n v="40"/>
    <n v="78"/>
    <n v="0"/>
    <n v="240.16"/>
    <n v="162.96"/>
    <m/>
    <n v="296.8638864604668"/>
    <n v="186.24587387804544"/>
    <n v="0"/>
    <n v="-22.559992000000001"/>
    <n v="0"/>
    <n v="-24.373401355631497"/>
    <x v="3"/>
  </r>
  <r>
    <s v="Regular"/>
    <x v="2"/>
    <x v="3"/>
    <x v="2"/>
    <x v="1"/>
    <x v="3"/>
    <x v="0"/>
    <x v="1"/>
    <x v="11"/>
    <n v="0"/>
    <n v="0"/>
    <n v="77.635999999999996"/>
    <n v="31.054400000000001"/>
    <n v="77.635999999999996"/>
    <n v="31.054400000000001"/>
    <n v="0"/>
    <s v="CATIVO"/>
    <n v="0"/>
    <n v="0"/>
    <n v="40"/>
    <n v="78"/>
    <n v="0"/>
    <n v="240.16"/>
    <n v="162.96"/>
    <m/>
    <n v="296.8638864604668"/>
    <n v="186.24587387804544"/>
    <n v="0"/>
    <n v="23045.625511999999"/>
    <n v="0"/>
    <n v="24898.0708900764"/>
    <x v="3"/>
  </r>
  <r>
    <s v="Refaturamento - Regular"/>
    <x v="2"/>
    <x v="3"/>
    <x v="2"/>
    <x v="1"/>
    <x v="3"/>
    <x v="0"/>
    <x v="1"/>
    <x v="11"/>
    <n v="0"/>
    <n v="0"/>
    <n v="-0.222"/>
    <n v="-8.8800000000000004E-2"/>
    <n v="-0.222"/>
    <n v="-8.8800000000000004E-2"/>
    <n v="0"/>
    <s v="CATIVO"/>
    <n v="0"/>
    <n v="0"/>
    <n v="40"/>
    <n v="78"/>
    <n v="0"/>
    <n v="240.16"/>
    <n v="162.96"/>
    <m/>
    <n v="296.8638864604668"/>
    <n v="186.24587387804544"/>
    <n v="0"/>
    <n v="-65.898924000000008"/>
    <n v="0"/>
    <n v="-71.195988170397257"/>
    <x v="3"/>
  </r>
  <r>
    <s v="Sistema de Compensação"/>
    <x v="2"/>
    <x v="3"/>
    <x v="2"/>
    <x v="1"/>
    <x v="3"/>
    <x v="0"/>
    <x v="1"/>
    <x v="11"/>
    <n v="0"/>
    <n v="0"/>
    <n v="0.106"/>
    <n v="4.24E-2"/>
    <n v="0.106"/>
    <n v="4.24E-2"/>
    <n v="0"/>
    <s v="CATIVO"/>
    <n v="0"/>
    <n v="0"/>
    <n v="40"/>
    <n v="78"/>
    <n v="0"/>
    <n v="240.16"/>
    <n v="162.96"/>
    <m/>
    <n v="296.8638864604668"/>
    <n v="186.24587387804544"/>
    <n v="0"/>
    <n v="31.465251999999996"/>
    <n v="0"/>
    <n v="33.994480838117603"/>
    <x v="3"/>
  </r>
  <r>
    <s v="Regular"/>
    <x v="2"/>
    <x v="3"/>
    <x v="2"/>
    <x v="0"/>
    <x v="1"/>
    <x v="0"/>
    <x v="1"/>
    <x v="0"/>
    <n v="0"/>
    <n v="0"/>
    <n v="13253.995000000001"/>
    <n v="13253.995000000001"/>
    <n v="13253.995000000001"/>
    <n v="13253.995000000001"/>
    <n v="38346"/>
    <s v="CATIVO"/>
    <n v="0"/>
    <n v="0"/>
    <n v="40"/>
    <n v="78"/>
    <n v="0"/>
    <n v="240.16"/>
    <n v="162.96"/>
    <m/>
    <n v="296.8638864604668"/>
    <n v="186.24587387804544"/>
    <n v="0"/>
    <n v="728572.10515000043"/>
    <n v="0"/>
    <n v="408710.70306241512"/>
    <x v="2"/>
  </r>
  <r>
    <s v="Refaturamento - Regular"/>
    <x v="2"/>
    <x v="3"/>
    <x v="2"/>
    <x v="0"/>
    <x v="1"/>
    <x v="0"/>
    <x v="1"/>
    <x v="0"/>
    <n v="0"/>
    <n v="0"/>
    <n v="-51.018000000000001"/>
    <n v="-51.018000000000001"/>
    <n v="-51.018000000000001"/>
    <n v="-51.018000000000001"/>
    <n v="-34"/>
    <s v="CATIVO"/>
    <n v="0"/>
    <n v="0"/>
    <n v="40"/>
    <n v="78"/>
    <n v="0"/>
    <n v="240.16"/>
    <n v="162.96"/>
    <m/>
    <n v="296.8638864604668"/>
    <n v="186.24587387804544"/>
    <n v="0"/>
    <n v="-2804.4594600000014"/>
    <n v="0"/>
    <n v="-1573.231516145758"/>
    <x v="2"/>
  </r>
  <r>
    <s v="Sistema de Compensação"/>
    <x v="2"/>
    <x v="3"/>
    <x v="2"/>
    <x v="0"/>
    <x v="1"/>
    <x v="0"/>
    <x v="1"/>
    <x v="0"/>
    <n v="0"/>
    <n v="0"/>
    <n v="293.98700000000002"/>
    <n v="293.98700000000002"/>
    <n v="293.98700000000002"/>
    <n v="293.98700000000002"/>
    <n v="585"/>
    <s v="CATIVO"/>
    <n v="0"/>
    <n v="0"/>
    <n v="40"/>
    <n v="78"/>
    <n v="0"/>
    <n v="240.16"/>
    <n v="162.96"/>
    <m/>
    <n v="296.8638864604668"/>
    <n v="186.24587387804544"/>
    <n v="0"/>
    <n v="16160.465390000008"/>
    <n v="0"/>
    <n v="9065.6163263386061"/>
    <x v="2"/>
  </r>
  <r>
    <s v="Sistema de Compensação"/>
    <x v="2"/>
    <x v="3"/>
    <x v="2"/>
    <x v="0"/>
    <x v="1"/>
    <x v="0"/>
    <x v="1"/>
    <x v="0"/>
    <n v="0"/>
    <n v="0"/>
    <n v="-235.166"/>
    <n v="-235.166"/>
    <n v="-235.166"/>
    <n v="-235.166"/>
    <n v="-1"/>
    <s v="CATIVO"/>
    <n v="0"/>
    <n v="0"/>
    <n v="40"/>
    <n v="78"/>
    <n v="0"/>
    <n v="240.16"/>
    <n v="162.96"/>
    <m/>
    <n v="296.8638864604668"/>
    <n v="186.24587387804544"/>
    <n v="0"/>
    <n v="-12927.075020000006"/>
    <n v="0"/>
    <n v="-7251.7653127510548"/>
    <x v="2"/>
  </r>
  <r>
    <s v="Regular"/>
    <x v="2"/>
    <x v="3"/>
    <x v="2"/>
    <x v="0"/>
    <x v="1"/>
    <x v="0"/>
    <x v="1"/>
    <x v="1"/>
    <n v="0"/>
    <n v="0"/>
    <n v="14833.175999999999"/>
    <n v="14833.175999999999"/>
    <n v="14833.175999999999"/>
    <n v="14833.175999999999"/>
    <n v="38377"/>
    <s v="CATIVO"/>
    <n v="0"/>
    <n v="0"/>
    <n v="40"/>
    <n v="78"/>
    <n v="0"/>
    <n v="240.16"/>
    <n v="162.96"/>
    <m/>
    <n v="296.8638864604668"/>
    <n v="186.24587387804544"/>
    <n v="0"/>
    <n v="815379.68472000037"/>
    <n v="0"/>
    <n v="457407.58100546605"/>
    <x v="2"/>
  </r>
  <r>
    <s v="Refaturamento - Regular"/>
    <x v="2"/>
    <x v="3"/>
    <x v="2"/>
    <x v="0"/>
    <x v="1"/>
    <x v="0"/>
    <x v="1"/>
    <x v="1"/>
    <n v="0"/>
    <n v="0"/>
    <n v="-967.94100000000003"/>
    <n v="-967.94100000000003"/>
    <n v="-967.94100000000003"/>
    <n v="-967.94100000000003"/>
    <n v="-40"/>
    <s v="CATIVO"/>
    <n v="0"/>
    <n v="0"/>
    <n v="40"/>
    <n v="78"/>
    <n v="0"/>
    <n v="240.16"/>
    <n v="162.96"/>
    <m/>
    <n v="296.8638864604668"/>
    <n v="186.24587387804544"/>
    <n v="0"/>
    <n v="-53207.716770000028"/>
    <n v="0"/>
    <n v="-29848.196459477855"/>
    <x v="2"/>
  </r>
  <r>
    <s v="Sistema de Compensação"/>
    <x v="2"/>
    <x v="3"/>
    <x v="2"/>
    <x v="0"/>
    <x v="1"/>
    <x v="0"/>
    <x v="1"/>
    <x v="1"/>
    <n v="0"/>
    <n v="0"/>
    <n v="228.06700000000001"/>
    <n v="228.06700000000001"/>
    <n v="228.06700000000001"/>
    <n v="228.06700000000001"/>
    <n v="605"/>
    <s v="CATIVO"/>
    <n v="0"/>
    <n v="0"/>
    <n v="40"/>
    <n v="78"/>
    <n v="0"/>
    <n v="240.16"/>
    <n v="162.96"/>
    <m/>
    <n v="296.8638864604668"/>
    <n v="186.24587387804544"/>
    <n v="0"/>
    <n v="12536.842990000006"/>
    <n v="0"/>
    <n v="7032.8549177312825"/>
    <x v="2"/>
  </r>
  <r>
    <s v="Sistema de Compensação"/>
    <x v="2"/>
    <x v="3"/>
    <x v="2"/>
    <x v="0"/>
    <x v="1"/>
    <x v="0"/>
    <x v="1"/>
    <x v="1"/>
    <n v="0"/>
    <n v="0"/>
    <n v="-2.5059999999999998"/>
    <n v="-2.5059999999999998"/>
    <n v="-2.5059999999999998"/>
    <n v="-2.5059999999999998"/>
    <n v="-1"/>
    <s v="CATIVO"/>
    <n v="0"/>
    <n v="0"/>
    <n v="40"/>
    <n v="78"/>
    <n v="0"/>
    <n v="240.16"/>
    <n v="162.96"/>
    <m/>
    <n v="296.8638864604668"/>
    <n v="186.24587387804544"/>
    <n v="0"/>
    <n v="-137.75482000000005"/>
    <n v="0"/>
    <n v="-77.277003792019855"/>
    <x v="2"/>
  </r>
  <r>
    <s v="Regular"/>
    <x v="2"/>
    <x v="3"/>
    <x v="2"/>
    <x v="0"/>
    <x v="1"/>
    <x v="0"/>
    <x v="1"/>
    <x v="2"/>
    <n v="0"/>
    <n v="0"/>
    <n v="14070.333000000001"/>
    <n v="14070.333000000001"/>
    <n v="14070.333000000001"/>
    <n v="14070.333000000001"/>
    <n v="38401"/>
    <s v="CATIVO"/>
    <n v="0"/>
    <n v="0"/>
    <n v="40"/>
    <n v="78"/>
    <n v="0"/>
    <n v="240.16"/>
    <n v="162.96"/>
    <m/>
    <n v="296.8638864604668"/>
    <n v="186.24587387804544"/>
    <n v="0"/>
    <n v="773446.20501000038"/>
    <n v="0"/>
    <n v="433883.94916040794"/>
    <x v="2"/>
  </r>
  <r>
    <s v="Refaturamento - Regular"/>
    <x v="2"/>
    <x v="3"/>
    <x v="2"/>
    <x v="0"/>
    <x v="1"/>
    <x v="0"/>
    <x v="1"/>
    <x v="2"/>
    <n v="0"/>
    <n v="0"/>
    <n v="-58.732999999999997"/>
    <n v="-58.732999999999997"/>
    <n v="-58.732999999999997"/>
    <n v="-58.732999999999997"/>
    <n v="-34"/>
    <s v="CATIVO"/>
    <n v="0"/>
    <n v="0"/>
    <n v="40"/>
    <n v="78"/>
    <n v="0"/>
    <n v="240.16"/>
    <n v="162.96"/>
    <m/>
    <n v="296.8638864604668"/>
    <n v="186.24587387804544"/>
    <n v="0"/>
    <n v="-3228.5530100000014"/>
    <n v="0"/>
    <n v="-1811.1373757847973"/>
    <x v="2"/>
  </r>
  <r>
    <s v="Sistema de Compensação"/>
    <x v="2"/>
    <x v="3"/>
    <x v="2"/>
    <x v="0"/>
    <x v="1"/>
    <x v="0"/>
    <x v="1"/>
    <x v="2"/>
    <n v="0"/>
    <n v="0"/>
    <n v="258.58300000000003"/>
    <n v="258.58300000000003"/>
    <n v="258.58300000000003"/>
    <n v="258.58300000000003"/>
    <n v="644"/>
    <s v="CATIVO"/>
    <n v="0"/>
    <n v="0"/>
    <n v="40"/>
    <n v="78"/>
    <n v="0"/>
    <n v="240.16"/>
    <n v="162.96"/>
    <m/>
    <n v="296.8638864604668"/>
    <n v="186.24587387804544"/>
    <n v="0"/>
    <n v="14214.307510000008"/>
    <n v="0"/>
    <n v="7973.8704994221362"/>
    <x v="2"/>
  </r>
  <r>
    <s v="Regular"/>
    <x v="2"/>
    <x v="3"/>
    <x v="2"/>
    <x v="0"/>
    <x v="1"/>
    <x v="0"/>
    <x v="1"/>
    <x v="3"/>
    <n v="0"/>
    <n v="0"/>
    <n v="13768.293"/>
    <n v="13768.293"/>
    <n v="13768.293"/>
    <n v="13768.293"/>
    <n v="38395"/>
    <s v="CATIVO"/>
    <n v="0"/>
    <n v="0"/>
    <n v="40"/>
    <n v="78"/>
    <n v="0"/>
    <n v="240.16"/>
    <n v="162.96"/>
    <m/>
    <n v="296.8638864604668"/>
    <n v="186.24587387804544"/>
    <n v="0"/>
    <n v="756843.06621000031"/>
    <n v="0"/>
    <n v="424570.00413832424"/>
    <x v="2"/>
  </r>
  <r>
    <s v="Refaturamento - Regular"/>
    <x v="2"/>
    <x v="3"/>
    <x v="2"/>
    <x v="0"/>
    <x v="1"/>
    <x v="0"/>
    <x v="1"/>
    <x v="3"/>
    <n v="0"/>
    <n v="0"/>
    <n v="-65.221000000000004"/>
    <n v="-65.221000000000004"/>
    <n v="-65.221000000000004"/>
    <n v="-65.221000000000004"/>
    <n v="-25"/>
    <s v="CATIVO"/>
    <n v="0"/>
    <n v="0"/>
    <n v="40"/>
    <n v="78"/>
    <n v="0"/>
    <n v="240.16"/>
    <n v="162.96"/>
    <m/>
    <n v="296.8638864604668"/>
    <n v="186.24587387804544"/>
    <n v="0"/>
    <n v="-3585.1983700000019"/>
    <n v="0"/>
    <n v="-2011.2064901513677"/>
    <x v="2"/>
  </r>
  <r>
    <s v="Sistema de Compensação"/>
    <x v="2"/>
    <x v="3"/>
    <x v="2"/>
    <x v="0"/>
    <x v="1"/>
    <x v="0"/>
    <x v="1"/>
    <x v="3"/>
    <n v="0"/>
    <n v="0"/>
    <n v="274.07600000000002"/>
    <n v="274.07600000000002"/>
    <n v="274.07600000000002"/>
    <n v="274.07600000000002"/>
    <n v="689"/>
    <s v="CATIVO"/>
    <n v="0"/>
    <n v="0"/>
    <n v="40"/>
    <n v="78"/>
    <n v="0"/>
    <n v="240.16"/>
    <n v="162.96"/>
    <m/>
    <n v="296.8638864604668"/>
    <n v="186.24587387804544"/>
    <n v="0"/>
    <n v="15065.957720000009"/>
    <n v="0"/>
    <n v="8451.6249366726406"/>
    <x v="2"/>
  </r>
  <r>
    <s v="Sistema de Compensação"/>
    <x v="2"/>
    <x v="3"/>
    <x v="2"/>
    <x v="0"/>
    <x v="1"/>
    <x v="0"/>
    <x v="1"/>
    <x v="3"/>
    <n v="0"/>
    <n v="0"/>
    <n v="-1.3"/>
    <n v="-1.3"/>
    <n v="-1.3"/>
    <n v="-1.3"/>
    <n v="-3"/>
    <s v="CATIVO"/>
    <n v="0"/>
    <n v="0"/>
    <n v="40"/>
    <n v="78"/>
    <n v="0"/>
    <n v="240.16"/>
    <n v="162.96"/>
    <m/>
    <n v="296.8638864604668"/>
    <n v="186.24587387804544"/>
    <n v="0"/>
    <n v="-71.461000000000041"/>
    <n v="0"/>
    <n v="-40.087831177025471"/>
    <x v="2"/>
  </r>
  <r>
    <s v="Regular"/>
    <x v="2"/>
    <x v="3"/>
    <x v="2"/>
    <x v="0"/>
    <x v="1"/>
    <x v="0"/>
    <x v="1"/>
    <x v="4"/>
    <n v="0"/>
    <n v="0"/>
    <n v="14379.513999999999"/>
    <n v="14379.513999999999"/>
    <n v="14379.513999999999"/>
    <n v="14379.513999999999"/>
    <n v="38395"/>
    <s v="CATIVO"/>
    <n v="0"/>
    <n v="0"/>
    <n v="40"/>
    <n v="78"/>
    <n v="0"/>
    <n v="240.16"/>
    <n v="162.96"/>
    <m/>
    <n v="296.8638864604668"/>
    <n v="186.24587387804544"/>
    <n v="0"/>
    <n v="790441.8845800003"/>
    <n v="0"/>
    <n v="443418.09972282627"/>
    <x v="2"/>
  </r>
  <r>
    <s v="Refaturamento - Regular"/>
    <x v="2"/>
    <x v="3"/>
    <x v="2"/>
    <x v="0"/>
    <x v="1"/>
    <x v="0"/>
    <x v="1"/>
    <x v="4"/>
    <n v="0"/>
    <n v="0"/>
    <n v="-87.367999999999995"/>
    <n v="-87.367999999999995"/>
    <n v="-87.367999999999995"/>
    <n v="-87.367999999999995"/>
    <n v="-41"/>
    <s v="CATIVO"/>
    <n v="0"/>
    <n v="0"/>
    <n v="40"/>
    <n v="78"/>
    <n v="0"/>
    <n v="240.16"/>
    <n v="162.96"/>
    <m/>
    <n v="296.8638864604668"/>
    <n v="186.24587387804544"/>
    <n v="0"/>
    <n v="-4802.6189600000025"/>
    <n v="0"/>
    <n v="-2694.1489494418161"/>
    <x v="2"/>
  </r>
  <r>
    <s v="Sistema de Compensação"/>
    <x v="2"/>
    <x v="3"/>
    <x v="2"/>
    <x v="0"/>
    <x v="1"/>
    <x v="0"/>
    <x v="1"/>
    <x v="4"/>
    <n v="0"/>
    <n v="0"/>
    <n v="262.69299999999998"/>
    <n v="262.69299999999998"/>
    <n v="262.69299999999998"/>
    <n v="262.69299999999998"/>
    <n v="736"/>
    <s v="CATIVO"/>
    <n v="0"/>
    <n v="0"/>
    <n v="40"/>
    <n v="78"/>
    <n v="0"/>
    <n v="240.16"/>
    <n v="162.96"/>
    <m/>
    <n v="296.8638864604668"/>
    <n v="186.24587387804544"/>
    <n v="0"/>
    <n v="14440.234210000006"/>
    <n v="0"/>
    <n v="8100.6097195279617"/>
    <x v="2"/>
  </r>
  <r>
    <s v="Sistema de Compensação"/>
    <x v="2"/>
    <x v="3"/>
    <x v="2"/>
    <x v="0"/>
    <x v="1"/>
    <x v="0"/>
    <x v="1"/>
    <x v="4"/>
    <n v="0"/>
    <n v="0"/>
    <n v="-0.72599999999999998"/>
    <n v="-0.72599999999999998"/>
    <n v="-0.72599999999999998"/>
    <n v="-0.72599999999999998"/>
    <n v="-2"/>
    <s v="CATIVO"/>
    <n v="0"/>
    <n v="0"/>
    <n v="40"/>
    <n v="78"/>
    <n v="0"/>
    <n v="240.16"/>
    <n v="162.96"/>
    <m/>
    <n v="296.8638864604668"/>
    <n v="186.24587387804544"/>
    <n v="0"/>
    <n v="-39.908220000000021"/>
    <n v="0"/>
    <n v="-22.387511872708068"/>
    <x v="2"/>
  </r>
  <r>
    <s v="Regular"/>
    <x v="2"/>
    <x v="3"/>
    <x v="2"/>
    <x v="0"/>
    <x v="1"/>
    <x v="0"/>
    <x v="1"/>
    <x v="5"/>
    <n v="0"/>
    <n v="0"/>
    <n v="15397.703"/>
    <n v="15397.703"/>
    <n v="15397.703"/>
    <n v="15397.703"/>
    <n v="38410"/>
    <s v="CATIVO"/>
    <n v="0"/>
    <n v="0"/>
    <n v="40"/>
    <n v="78"/>
    <n v="0"/>
    <n v="240.16"/>
    <n v="162.96"/>
    <m/>
    <n v="296.8638864604668"/>
    <n v="186.24587387804544"/>
    <n v="0"/>
    <n v="846411.73391000042"/>
    <n v="0"/>
    <n v="474815.78336767579"/>
    <x v="2"/>
  </r>
  <r>
    <s v="Refaturamento - Regular"/>
    <x v="2"/>
    <x v="3"/>
    <x v="2"/>
    <x v="0"/>
    <x v="1"/>
    <x v="0"/>
    <x v="1"/>
    <x v="5"/>
    <n v="0"/>
    <n v="0"/>
    <n v="-1027.2639999999999"/>
    <n v="-1027.2639999999999"/>
    <n v="-1027.2639999999999"/>
    <n v="-1027.2639999999999"/>
    <n v="-39"/>
    <s v="CATIVO"/>
    <n v="0"/>
    <n v="0"/>
    <n v="40"/>
    <n v="78"/>
    <n v="0"/>
    <n v="240.16"/>
    <n v="162.96"/>
    <m/>
    <n v="296.8638864604668"/>
    <n v="186.24587387804544"/>
    <n v="0"/>
    <n v="-56468.702080000025"/>
    <n v="0"/>
    <n v="-31677.527543258373"/>
    <x v="2"/>
  </r>
  <r>
    <s v="Sistema de Compensação"/>
    <x v="2"/>
    <x v="3"/>
    <x v="2"/>
    <x v="0"/>
    <x v="1"/>
    <x v="0"/>
    <x v="1"/>
    <x v="5"/>
    <n v="0"/>
    <n v="0"/>
    <n v="-0.309"/>
    <n v="-0.309"/>
    <n v="-0.309"/>
    <n v="-0.309"/>
    <n v="-2"/>
    <s v="CATIVO"/>
    <n v="0"/>
    <n v="0"/>
    <n v="40"/>
    <n v="78"/>
    <n v="0"/>
    <n v="240.16"/>
    <n v="162.96"/>
    <m/>
    <n v="296.8638864604668"/>
    <n v="186.24587387804544"/>
    <n v="0"/>
    <n v="-16.985730000000007"/>
    <n v="0"/>
    <n v="-9.5285691028468218"/>
    <x v="2"/>
  </r>
  <r>
    <s v="Regular"/>
    <x v="2"/>
    <x v="3"/>
    <x v="2"/>
    <x v="0"/>
    <x v="1"/>
    <x v="0"/>
    <x v="1"/>
    <x v="6"/>
    <n v="0"/>
    <n v="0"/>
    <n v="17247.62"/>
    <n v="17247.62"/>
    <n v="17247.62"/>
    <n v="17247.62"/>
    <n v="38314"/>
    <s v="CATIVO"/>
    <n v="0"/>
    <n v="0"/>
    <n v="40"/>
    <n v="78"/>
    <n v="0"/>
    <n v="240.16"/>
    <n v="162.96"/>
    <m/>
    <n v="296.8638864604668"/>
    <n v="186.24587387804544"/>
    <n v="0"/>
    <n v="948101.67140000046"/>
    <n v="0"/>
    <n v="531861.29135806765"/>
    <x v="2"/>
  </r>
  <r>
    <s v="Refaturamento - Regular"/>
    <x v="2"/>
    <x v="3"/>
    <x v="2"/>
    <x v="0"/>
    <x v="1"/>
    <x v="0"/>
    <x v="1"/>
    <x v="6"/>
    <n v="0"/>
    <n v="0"/>
    <n v="-29.346"/>
    <n v="-29.346"/>
    <n v="-29.346"/>
    <n v="-29.346"/>
    <n v="-36"/>
    <s v="CATIVO"/>
    <n v="0"/>
    <n v="0"/>
    <n v="40"/>
    <n v="78"/>
    <n v="0"/>
    <n v="240.16"/>
    <n v="162.96"/>
    <m/>
    <n v="296.8638864604668"/>
    <n v="186.24587387804544"/>
    <n v="0"/>
    <n v="-1613.1496200000008"/>
    <n v="0"/>
    <n v="-904.93653363153032"/>
    <x v="2"/>
  </r>
  <r>
    <s v="Sistema de Compensação"/>
    <x v="2"/>
    <x v="3"/>
    <x v="2"/>
    <x v="0"/>
    <x v="1"/>
    <x v="0"/>
    <x v="1"/>
    <x v="6"/>
    <n v="0"/>
    <n v="0"/>
    <n v="324.33800000000002"/>
    <n v="324.33800000000002"/>
    <n v="324.33800000000002"/>
    <n v="324.33800000000002"/>
    <n v="858"/>
    <s v="CATIVO"/>
    <n v="0"/>
    <n v="0"/>
    <n v="40"/>
    <n v="78"/>
    <n v="0"/>
    <n v="240.16"/>
    <n v="162.96"/>
    <m/>
    <n v="296.8638864604668"/>
    <n v="186.24587387804544"/>
    <n v="0"/>
    <n v="17828.859860000011"/>
    <n v="0"/>
    <n v="10001.543837149298"/>
    <x v="2"/>
  </r>
  <r>
    <s v="Sistema de Compensação"/>
    <x v="2"/>
    <x v="3"/>
    <x v="2"/>
    <x v="0"/>
    <x v="1"/>
    <x v="0"/>
    <x v="1"/>
    <x v="6"/>
    <n v="0"/>
    <n v="0"/>
    <n v="-0.47799999999999998"/>
    <n v="-0.47799999999999998"/>
    <n v="-0.47799999999999998"/>
    <n v="-0.47799999999999998"/>
    <n v="-2"/>
    <s v="CATIVO"/>
    <n v="0"/>
    <n v="0"/>
    <n v="40"/>
    <n v="78"/>
    <n v="0"/>
    <n v="240.16"/>
    <n v="162.96"/>
    <m/>
    <n v="296.8638864604668"/>
    <n v="186.24587387804544"/>
    <n v="0"/>
    <n v="-26.275660000000013"/>
    <n v="0"/>
    <n v="-14.739987155860133"/>
    <x v="2"/>
  </r>
  <r>
    <s v="Regular"/>
    <x v="2"/>
    <x v="3"/>
    <x v="2"/>
    <x v="0"/>
    <x v="1"/>
    <x v="0"/>
    <x v="1"/>
    <x v="7"/>
    <n v="0"/>
    <n v="0"/>
    <n v="17167.484"/>
    <n v="17167.484"/>
    <n v="17167.484"/>
    <n v="17167.484"/>
    <n v="38240"/>
    <s v="CATIVO"/>
    <n v="0"/>
    <n v="0"/>
    <n v="40"/>
    <n v="78"/>
    <n v="0"/>
    <n v="240.16"/>
    <n v="162.96"/>
    <m/>
    <n v="296.8638864604668"/>
    <n v="186.24587387804544"/>
    <n v="0"/>
    <n v="943696.59548000048"/>
    <n v="0"/>
    <n v="529390.15409714298"/>
    <x v="2"/>
  </r>
  <r>
    <s v="Refaturamento - Regular"/>
    <x v="2"/>
    <x v="3"/>
    <x v="2"/>
    <x v="0"/>
    <x v="1"/>
    <x v="0"/>
    <x v="1"/>
    <x v="7"/>
    <n v="0"/>
    <n v="0"/>
    <n v="-233.511"/>
    <n v="-233.511"/>
    <n v="-233.511"/>
    <n v="-233.511"/>
    <n v="-31"/>
    <s v="CATIVO"/>
    <n v="0"/>
    <n v="0"/>
    <n v="40"/>
    <n v="78"/>
    <n v="0"/>
    <n v="240.16"/>
    <n v="162.96"/>
    <m/>
    <n v="296.8638864604668"/>
    <n v="186.24587387804544"/>
    <n v="0"/>
    <n v="-12836.099670000007"/>
    <n v="0"/>
    <n v="-7200.7304199833798"/>
    <x v="2"/>
  </r>
  <r>
    <s v="Sistema de Compensação"/>
    <x v="2"/>
    <x v="3"/>
    <x v="2"/>
    <x v="0"/>
    <x v="1"/>
    <x v="0"/>
    <x v="1"/>
    <x v="7"/>
    <n v="0"/>
    <n v="0"/>
    <n v="378.44400000000002"/>
    <n v="378.44400000000002"/>
    <n v="378.44400000000002"/>
    <n v="378.44400000000002"/>
    <n v="920"/>
    <s v="CATIVO"/>
    <n v="0"/>
    <n v="0"/>
    <n v="40"/>
    <n v="78"/>
    <n v="0"/>
    <n v="240.16"/>
    <n v="162.96"/>
    <m/>
    <n v="296.8638864604668"/>
    <n v="186.24587387804544"/>
    <n v="0"/>
    <n v="20803.066680000011"/>
    <n v="0"/>
    <n v="11669.999370737098"/>
    <x v="2"/>
  </r>
  <r>
    <s v="Sistema de Compensação"/>
    <x v="2"/>
    <x v="3"/>
    <x v="2"/>
    <x v="0"/>
    <x v="1"/>
    <x v="0"/>
    <x v="1"/>
    <x v="7"/>
    <n v="0"/>
    <n v="0"/>
    <n v="-19.927"/>
    <n v="-19.927"/>
    <n v="-19.927"/>
    <n v="-19.927"/>
    <n v="-6"/>
    <s v="CATIVO"/>
    <n v="0"/>
    <n v="0"/>
    <n v="40"/>
    <n v="78"/>
    <n v="0"/>
    <n v="240.16"/>
    <n v="162.96"/>
    <m/>
    <n v="296.8638864604668"/>
    <n v="186.24587387804544"/>
    <n v="0"/>
    <n v="-1095.3871900000006"/>
    <n v="0"/>
    <n v="-614.48477835737424"/>
    <x v="2"/>
  </r>
  <r>
    <s v="Regular"/>
    <x v="2"/>
    <x v="3"/>
    <x v="2"/>
    <x v="0"/>
    <x v="1"/>
    <x v="0"/>
    <x v="1"/>
    <x v="8"/>
    <n v="0"/>
    <n v="0"/>
    <n v="15254.337"/>
    <n v="15254.337"/>
    <n v="15254.337"/>
    <n v="15254.337"/>
    <n v="38227"/>
    <s v="CATIVO"/>
    <n v="0"/>
    <n v="0"/>
    <n v="40"/>
    <n v="78"/>
    <n v="0"/>
    <n v="240.16"/>
    <n v="162.96"/>
    <m/>
    <n v="296.8638864604668"/>
    <n v="186.24587387804544"/>
    <n v="0"/>
    <n v="838530.90489000035"/>
    <n v="0"/>
    <n v="470394.83567188703"/>
    <x v="2"/>
  </r>
  <r>
    <s v="Refaturamento - Regular"/>
    <x v="2"/>
    <x v="3"/>
    <x v="2"/>
    <x v="0"/>
    <x v="1"/>
    <x v="0"/>
    <x v="1"/>
    <x v="8"/>
    <n v="0"/>
    <n v="0"/>
    <n v="-19.346"/>
    <n v="-19.346"/>
    <n v="-19.346"/>
    <n v="-19.346"/>
    <n v="-33"/>
    <s v="CATIVO"/>
    <n v="0"/>
    <n v="0"/>
    <n v="40"/>
    <n v="78"/>
    <n v="0"/>
    <n v="240.16"/>
    <n v="162.96"/>
    <m/>
    <n v="296.8638864604668"/>
    <n v="186.24587387804544"/>
    <n v="0"/>
    <n v="-1063.4496200000006"/>
    <n v="0"/>
    <n v="-596.56860150056514"/>
    <x v="2"/>
  </r>
  <r>
    <s v="Sistema de Compensação"/>
    <x v="2"/>
    <x v="3"/>
    <x v="2"/>
    <x v="0"/>
    <x v="1"/>
    <x v="0"/>
    <x v="1"/>
    <x v="8"/>
    <n v="0"/>
    <n v="0"/>
    <n v="363.209"/>
    <n v="363.209"/>
    <n v="363.209"/>
    <n v="363.209"/>
    <n v="991"/>
    <s v="CATIVO"/>
    <n v="0"/>
    <n v="0"/>
    <n v="40"/>
    <n v="78"/>
    <n v="0"/>
    <n v="240.16"/>
    <n v="162.96"/>
    <m/>
    <n v="296.8638864604668"/>
    <n v="186.24587387804544"/>
    <n v="0"/>
    <n v="19965.598730000009"/>
    <n v="0"/>
    <n v="11200.200826135571"/>
    <x v="2"/>
  </r>
  <r>
    <s v="Sistema de Compensação"/>
    <x v="2"/>
    <x v="3"/>
    <x v="2"/>
    <x v="0"/>
    <x v="1"/>
    <x v="0"/>
    <x v="1"/>
    <x v="8"/>
    <n v="0"/>
    <n v="0"/>
    <n v="-2.9689999999999999"/>
    <n v="-2.9689999999999999"/>
    <n v="-2.9689999999999999"/>
    <n v="-2.9689999999999999"/>
    <n v="-3"/>
    <s v="CATIVO"/>
    <n v="0"/>
    <n v="0"/>
    <n v="40"/>
    <n v="78"/>
    <n v="0"/>
    <n v="240.16"/>
    <n v="162.96"/>
    <m/>
    <n v="296.8638864604668"/>
    <n v="186.24587387804544"/>
    <n v="0"/>
    <n v="-163.20593000000008"/>
    <n v="0"/>
    <n v="-91.554439049683538"/>
    <x v="2"/>
  </r>
  <r>
    <s v="Regular"/>
    <x v="2"/>
    <x v="3"/>
    <x v="2"/>
    <x v="0"/>
    <x v="1"/>
    <x v="0"/>
    <x v="1"/>
    <x v="9"/>
    <n v="0"/>
    <n v="0"/>
    <n v="14589.105"/>
    <n v="14589.105"/>
    <n v="14589.105"/>
    <n v="14589.105"/>
    <n v="38180"/>
    <s v="CATIVO"/>
    <n v="0"/>
    <n v="0"/>
    <n v="40"/>
    <n v="78"/>
    <n v="0"/>
    <n v="240.16"/>
    <n v="162.96"/>
    <m/>
    <n v="296.8638864604668"/>
    <n v="186.24587387804544"/>
    <n v="0"/>
    <n v="801963.10185000033"/>
    <n v="0"/>
    <n v="449881.21404915239"/>
    <x v="2"/>
  </r>
  <r>
    <s v="Refaturamento - Regular"/>
    <x v="2"/>
    <x v="3"/>
    <x v="2"/>
    <x v="0"/>
    <x v="1"/>
    <x v="0"/>
    <x v="1"/>
    <x v="9"/>
    <n v="0"/>
    <n v="0"/>
    <n v="-113.94499999999999"/>
    <n v="-113.94499999999999"/>
    <n v="-113.94499999999999"/>
    <n v="-113.94499999999999"/>
    <n v="-58"/>
    <s v="CATIVO"/>
    <n v="0"/>
    <n v="0"/>
    <n v="40"/>
    <n v="78"/>
    <n v="0"/>
    <n v="240.16"/>
    <n v="162.96"/>
    <m/>
    <n v="296.8638864604668"/>
    <n v="186.24587387804544"/>
    <n v="0"/>
    <n v="-6263.5566500000032"/>
    <n v="0"/>
    <n v="-3513.6984026662822"/>
    <x v="2"/>
  </r>
  <r>
    <s v="Sistema de Compensação"/>
    <x v="2"/>
    <x v="3"/>
    <x v="2"/>
    <x v="0"/>
    <x v="1"/>
    <x v="0"/>
    <x v="1"/>
    <x v="9"/>
    <n v="0"/>
    <n v="0"/>
    <n v="415.89499999999998"/>
    <n v="415.89499999999998"/>
    <n v="415.89499999999998"/>
    <n v="415.89499999999998"/>
    <n v="1083"/>
    <s v="CATIVO"/>
    <n v="0"/>
    <n v="0"/>
    <n v="40"/>
    <n v="78"/>
    <n v="0"/>
    <n v="240.16"/>
    <n v="162.96"/>
    <m/>
    <n v="296.8638864604668"/>
    <n v="186.24587387804544"/>
    <n v="0"/>
    <n v="22861.74815000001"/>
    <n v="0"/>
    <n v="12824.868113360773"/>
    <x v="2"/>
  </r>
  <r>
    <s v="Sistema de Compensação"/>
    <x v="2"/>
    <x v="3"/>
    <x v="2"/>
    <x v="0"/>
    <x v="1"/>
    <x v="0"/>
    <x v="1"/>
    <x v="9"/>
    <n v="0"/>
    <n v="0"/>
    <n v="-141.548"/>
    <n v="-141.548"/>
    <n v="-141.548"/>
    <n v="-141.548"/>
    <n v="0"/>
    <s v="CATIVO"/>
    <n v="0"/>
    <n v="0"/>
    <n v="40"/>
    <n v="78"/>
    <n v="0"/>
    <n v="240.16"/>
    <n v="162.96"/>
    <m/>
    <n v="296.8638864604668"/>
    <n v="186.24587387804544"/>
    <n v="0"/>
    <n v="-7780.8935600000041"/>
    <n v="0"/>
    <n v="-4364.886405727385"/>
    <x v="2"/>
  </r>
  <r>
    <s v="Regular"/>
    <x v="2"/>
    <x v="3"/>
    <x v="2"/>
    <x v="0"/>
    <x v="1"/>
    <x v="0"/>
    <x v="1"/>
    <x v="10"/>
    <n v="0"/>
    <n v="0"/>
    <n v="13509.707"/>
    <n v="13509.707"/>
    <n v="13509.707"/>
    <n v="13509.707"/>
    <n v="38176"/>
    <s v="CATIVO"/>
    <n v="0"/>
    <n v="0"/>
    <n v="40"/>
    <n v="78"/>
    <n v="0"/>
    <n v="240.16"/>
    <n v="162.96"/>
    <m/>
    <n v="296.8638864604668"/>
    <n v="186.24587387804544"/>
    <n v="0"/>
    <n v="742628.59379000042"/>
    <n v="0"/>
    <n v="416596.04112852248"/>
    <x v="2"/>
  </r>
  <r>
    <s v="Refaturamento - Regular"/>
    <x v="2"/>
    <x v="3"/>
    <x v="2"/>
    <x v="0"/>
    <x v="1"/>
    <x v="0"/>
    <x v="1"/>
    <x v="10"/>
    <n v="0"/>
    <n v="0"/>
    <n v="-26.937999999999999"/>
    <n v="-26.937999999999999"/>
    <n v="-26.937999999999999"/>
    <n v="-26.937999999999999"/>
    <n v="-80"/>
    <s v="CATIVO"/>
    <n v="0"/>
    <n v="0"/>
    <n v="40"/>
    <n v="78"/>
    <n v="0"/>
    <n v="240.16"/>
    <n v="162.96"/>
    <m/>
    <n v="296.8638864604668"/>
    <n v="186.24587387804544"/>
    <n v="0"/>
    <n v="-1480.7818600000007"/>
    <n v="0"/>
    <n v="-830.68153557439382"/>
    <x v="2"/>
  </r>
  <r>
    <s v="Sistema de Compensação"/>
    <x v="2"/>
    <x v="3"/>
    <x v="2"/>
    <x v="0"/>
    <x v="1"/>
    <x v="0"/>
    <x v="1"/>
    <x v="10"/>
    <n v="0"/>
    <n v="0"/>
    <n v="484.18"/>
    <n v="484.18"/>
    <n v="484.18"/>
    <n v="484.18"/>
    <n v="1167"/>
    <s v="CATIVO"/>
    <n v="0"/>
    <n v="0"/>
    <n v="40"/>
    <n v="78"/>
    <n v="0"/>
    <n v="240.16"/>
    <n v="162.96"/>
    <m/>
    <n v="296.8638864604668"/>
    <n v="186.24587387804544"/>
    <n v="0"/>
    <n v="26615.374600000014"/>
    <n v="0"/>
    <n v="14930.55853791707"/>
    <x v="2"/>
  </r>
  <r>
    <s v="Sistema de Compensação"/>
    <x v="2"/>
    <x v="3"/>
    <x v="2"/>
    <x v="0"/>
    <x v="1"/>
    <x v="0"/>
    <x v="1"/>
    <x v="10"/>
    <n v="0"/>
    <n v="0"/>
    <n v="-1.546"/>
    <n v="-1.546"/>
    <n v="-1.546"/>
    <n v="-1.546"/>
    <n v="-3"/>
    <s v="CATIVO"/>
    <n v="0"/>
    <n v="0"/>
    <n v="40"/>
    <n v="78"/>
    <n v="0"/>
    <n v="240.16"/>
    <n v="162.96"/>
    <m/>
    <n v="296.8638864604668"/>
    <n v="186.24587387804544"/>
    <n v="0"/>
    <n v="-84.983620000000045"/>
    <n v="0"/>
    <n v="-47.673682307447208"/>
    <x v="2"/>
  </r>
  <r>
    <s v="Regular"/>
    <x v="2"/>
    <x v="3"/>
    <x v="2"/>
    <x v="0"/>
    <x v="1"/>
    <x v="0"/>
    <x v="1"/>
    <x v="11"/>
    <n v="0"/>
    <n v="0"/>
    <n v="13373.441999999999"/>
    <n v="13373.441999999999"/>
    <n v="13373.441999999999"/>
    <n v="13373.441999999999"/>
    <n v="38093"/>
    <s v="CATIVO"/>
    <n v="0"/>
    <n v="0"/>
    <n v="40"/>
    <n v="78"/>
    <n v="0"/>
    <n v="240.16"/>
    <n v="162.96"/>
    <m/>
    <n v="296.8638864604668"/>
    <n v="186.24587387804544"/>
    <n v="0"/>
    <n v="735138.10674000031"/>
    <n v="0"/>
    <n v="412394.06550133985"/>
    <x v="2"/>
  </r>
  <r>
    <s v="Refaturamento - Regular"/>
    <x v="2"/>
    <x v="3"/>
    <x v="2"/>
    <x v="0"/>
    <x v="1"/>
    <x v="0"/>
    <x v="1"/>
    <x v="11"/>
    <n v="0"/>
    <n v="0"/>
    <n v="-42.703000000000003"/>
    <n v="-42.703000000000003"/>
    <n v="-42.703000000000003"/>
    <n v="-42.703000000000003"/>
    <n v="-56"/>
    <s v="CATIVO"/>
    <n v="0"/>
    <n v="0"/>
    <n v="40"/>
    <n v="78"/>
    <n v="0"/>
    <n v="240.16"/>
    <n v="162.96"/>
    <m/>
    <n v="296.8638864604668"/>
    <n v="186.24587387804544"/>
    <n v="0"/>
    <n v="-2347.3839100000014"/>
    <n v="0"/>
    <n v="-1316.8235805788604"/>
    <x v="2"/>
  </r>
  <r>
    <s v="Sistema de Compensação"/>
    <x v="2"/>
    <x v="3"/>
    <x v="2"/>
    <x v="0"/>
    <x v="1"/>
    <x v="0"/>
    <x v="1"/>
    <x v="11"/>
    <n v="0"/>
    <n v="0"/>
    <n v="691.78"/>
    <n v="691.78"/>
    <n v="691.78"/>
    <n v="691.78"/>
    <n v="1257"/>
    <s v="CATIVO"/>
    <n v="0"/>
    <n v="0"/>
    <n v="40"/>
    <n v="78"/>
    <n v="0"/>
    <n v="240.16"/>
    <n v="162.96"/>
    <m/>
    <n v="296.8638864604668"/>
    <n v="186.24587387804544"/>
    <n v="0"/>
    <n v="38027.146600000015"/>
    <n v="0"/>
    <n v="21332.276808955903"/>
    <x v="2"/>
  </r>
  <r>
    <s v="Sistema de Compensação"/>
    <x v="2"/>
    <x v="3"/>
    <x v="2"/>
    <x v="0"/>
    <x v="1"/>
    <x v="0"/>
    <x v="1"/>
    <x v="11"/>
    <n v="0"/>
    <n v="0"/>
    <n v="-43.121000000000002"/>
    <n v="-43.121000000000002"/>
    <n v="-43.121000000000002"/>
    <n v="-43.121000000000002"/>
    <n v="-3"/>
    <s v="CATIVO"/>
    <n v="0"/>
    <n v="0"/>
    <n v="40"/>
    <n v="78"/>
    <n v="0"/>
    <n v="240.16"/>
    <n v="162.96"/>
    <m/>
    <n v="296.8638864604668"/>
    <n v="186.24587387804544"/>
    <n v="0"/>
    <n v="-2370.3613700000014"/>
    <n v="0"/>
    <n v="-1329.7133601419348"/>
    <x v="2"/>
  </r>
  <r>
    <s v="Regular"/>
    <x v="3"/>
    <x v="3"/>
    <x v="3"/>
    <x v="2"/>
    <x v="1"/>
    <x v="0"/>
    <x v="1"/>
    <x v="0"/>
    <n v="0"/>
    <n v="0"/>
    <n v="65.478999999999999"/>
    <n v="61.550259999999994"/>
    <n v="65.478999999999999"/>
    <n v="61.550259999999994"/>
    <n v="34"/>
    <s v="CATIVO"/>
    <n v="0"/>
    <n v="0"/>
    <n v="17"/>
    <n v="89"/>
    <n v="0"/>
    <n v="272.91000000000003"/>
    <n v="185.18"/>
    <m/>
    <n v="315.8126451707094"/>
    <n v="198.13390838089941"/>
    <n v="0"/>
    <n v="1799.7165066000023"/>
    <n v="0"/>
    <n v="2019.1623828003501"/>
    <x v="4"/>
  </r>
  <r>
    <s v="Regular"/>
    <x v="3"/>
    <x v="3"/>
    <x v="3"/>
    <x v="2"/>
    <x v="1"/>
    <x v="0"/>
    <x v="1"/>
    <x v="1"/>
    <n v="0"/>
    <n v="0"/>
    <n v="66.245000000000005"/>
    <n v="62.270299999999999"/>
    <n v="66.245000000000005"/>
    <n v="62.270299999999999"/>
    <n v="34"/>
    <s v="CATIVO"/>
    <n v="0"/>
    <n v="0"/>
    <n v="17"/>
    <n v="89"/>
    <n v="0"/>
    <n v="272.91000000000003"/>
    <n v="185.18"/>
    <m/>
    <n v="315.8126451707094"/>
    <n v="198.13390838089941"/>
    <n v="0"/>
    <n v="1820.7703230000027"/>
    <n v="0"/>
    <n v="2042.7833664015825"/>
    <x v="4"/>
  </r>
  <r>
    <s v="Regular"/>
    <x v="3"/>
    <x v="3"/>
    <x v="3"/>
    <x v="2"/>
    <x v="1"/>
    <x v="0"/>
    <x v="1"/>
    <x v="2"/>
    <n v="0"/>
    <n v="0"/>
    <n v="67.733999999999995"/>
    <n v="63.669959999999989"/>
    <n v="67.733999999999995"/>
    <n v="63.669959999999989"/>
    <n v="34"/>
    <s v="CATIVO"/>
    <n v="0"/>
    <n v="0"/>
    <n v="17"/>
    <n v="89"/>
    <n v="0"/>
    <n v="272.91000000000003"/>
    <n v="185.18"/>
    <m/>
    <n v="315.8126451707094"/>
    <n v="198.13390838089941"/>
    <n v="0"/>
    <n v="1861.6960836000028"/>
    <n v="0"/>
    <n v="2088.6993514958831"/>
    <x v="4"/>
  </r>
  <r>
    <s v="Regular"/>
    <x v="3"/>
    <x v="3"/>
    <x v="3"/>
    <x v="2"/>
    <x v="1"/>
    <x v="0"/>
    <x v="1"/>
    <x v="3"/>
    <n v="0"/>
    <n v="0"/>
    <n v="67.430999999999997"/>
    <n v="63.385139999999993"/>
    <n v="67.430999999999997"/>
    <n v="63.385139999999993"/>
    <n v="34"/>
    <s v="CATIVO"/>
    <n v="0"/>
    <n v="0"/>
    <n v="17"/>
    <n v="89"/>
    <n v="0"/>
    <n v="272.91000000000003"/>
    <n v="185.18"/>
    <m/>
    <n v="315.8126451707094"/>
    <n v="198.13390838089941"/>
    <n v="0"/>
    <n v="1853.3680074000022"/>
    <n v="0"/>
    <n v="2079.3558031523144"/>
    <x v="4"/>
  </r>
  <r>
    <s v="Regular"/>
    <x v="3"/>
    <x v="3"/>
    <x v="3"/>
    <x v="2"/>
    <x v="1"/>
    <x v="0"/>
    <x v="1"/>
    <x v="4"/>
    <n v="0"/>
    <n v="0"/>
    <n v="68.873000000000005"/>
    <n v="64.740620000000007"/>
    <n v="68.873000000000005"/>
    <n v="64.740620000000007"/>
    <n v="35"/>
    <s v="CATIVO"/>
    <n v="0"/>
    <n v="0"/>
    <n v="17"/>
    <n v="89"/>
    <n v="0"/>
    <n v="272.91000000000003"/>
    <n v="185.18"/>
    <m/>
    <n v="315.8126451707094"/>
    <n v="198.13390838089941"/>
    <n v="0"/>
    <n v="1893.0019541999991"/>
    <n v="0"/>
    <n v="2123.8224589655961"/>
    <x v="4"/>
  </r>
  <r>
    <s v="Regular"/>
    <x v="3"/>
    <x v="3"/>
    <x v="3"/>
    <x v="2"/>
    <x v="1"/>
    <x v="0"/>
    <x v="1"/>
    <x v="5"/>
    <n v="0"/>
    <n v="0"/>
    <n v="55.689"/>
    <n v="52.347659999999998"/>
    <n v="55.689"/>
    <n v="52.347659999999998"/>
    <n v="36"/>
    <s v="CATIVO"/>
    <n v="0"/>
    <n v="0"/>
    <n v="17"/>
    <n v="89"/>
    <n v="0"/>
    <n v="272.91000000000003"/>
    <n v="185.18"/>
    <m/>
    <n v="315.8126451707094"/>
    <n v="198.13390838089941"/>
    <n v="0"/>
    <n v="1530.6344406000012"/>
    <n v="0"/>
    <n v="1717.2701772441339"/>
    <x v="4"/>
  </r>
  <r>
    <s v="Refaturamento - Regular"/>
    <x v="3"/>
    <x v="3"/>
    <x v="3"/>
    <x v="2"/>
    <x v="1"/>
    <x v="0"/>
    <x v="1"/>
    <x v="5"/>
    <n v="0"/>
    <n v="0"/>
    <n v="-0.03"/>
    <n v="-2.8199999999999996E-2"/>
    <n v="-0.03"/>
    <n v="-2.8199999999999996E-2"/>
    <n v="-1"/>
    <s v="CATIVO"/>
    <n v="0"/>
    <n v="0"/>
    <n v="17"/>
    <n v="89"/>
    <n v="0"/>
    <n v="272.91000000000003"/>
    <n v="185.18"/>
    <m/>
    <n v="315.8126451707094"/>
    <n v="198.13390838089941"/>
    <n v="0"/>
    <n v="-0.82456200000000135"/>
    <n v="0"/>
    <n v="-0.92510379639289742"/>
    <x v="4"/>
  </r>
  <r>
    <s v="Regular"/>
    <x v="3"/>
    <x v="3"/>
    <x v="3"/>
    <x v="2"/>
    <x v="1"/>
    <x v="0"/>
    <x v="1"/>
    <x v="6"/>
    <n v="0"/>
    <n v="0"/>
    <n v="76.168999999999997"/>
    <n v="71.598859999999988"/>
    <n v="76.168999999999997"/>
    <n v="71.598859999999988"/>
    <n v="36"/>
    <s v="CATIVO"/>
    <n v="0"/>
    <n v="0"/>
    <n v="17"/>
    <n v="89"/>
    <n v="0"/>
    <n v="272.91000000000003"/>
    <n v="185.18"/>
    <m/>
    <n v="315.8126451707094"/>
    <n v="198.13390838089941"/>
    <n v="0"/>
    <n v="2093.5354326000042"/>
    <n v="0"/>
    <n v="2348.807702248354"/>
    <x v="4"/>
  </r>
  <r>
    <s v="Regular"/>
    <x v="3"/>
    <x v="3"/>
    <x v="3"/>
    <x v="2"/>
    <x v="1"/>
    <x v="0"/>
    <x v="1"/>
    <x v="7"/>
    <n v="0"/>
    <n v="0"/>
    <n v="66.954999999999998"/>
    <n v="62.937699999999992"/>
    <n v="66.954999999999998"/>
    <n v="62.937699999999992"/>
    <n v="36"/>
    <s v="CATIVO"/>
    <n v="0"/>
    <n v="0"/>
    <n v="17"/>
    <n v="89"/>
    <n v="0"/>
    <n v="272.91000000000003"/>
    <n v="185.18"/>
    <m/>
    <n v="315.8126451707094"/>
    <n v="198.13390838089941"/>
    <n v="0"/>
    <n v="1840.2849570000026"/>
    <n v="0"/>
    <n v="2064.6774895828812"/>
    <x v="4"/>
  </r>
  <r>
    <s v="Regular"/>
    <x v="3"/>
    <x v="3"/>
    <x v="3"/>
    <x v="2"/>
    <x v="1"/>
    <x v="0"/>
    <x v="1"/>
    <x v="8"/>
    <n v="0"/>
    <n v="0"/>
    <n v="65.552000000000007"/>
    <n v="61.618880000000004"/>
    <n v="65.552000000000007"/>
    <n v="61.618880000000004"/>
    <n v="36"/>
    <s v="CATIVO"/>
    <n v="0"/>
    <n v="0"/>
    <n v="17"/>
    <n v="89"/>
    <n v="0"/>
    <n v="272.91000000000003"/>
    <n v="185.18"/>
    <m/>
    <n v="315.8126451707094"/>
    <n v="198.13390838089941"/>
    <n v="0"/>
    <n v="1801.7229408000012"/>
    <n v="0"/>
    <n v="2021.413468704905"/>
    <x v="4"/>
  </r>
  <r>
    <s v="Regular"/>
    <x v="3"/>
    <x v="3"/>
    <x v="3"/>
    <x v="2"/>
    <x v="1"/>
    <x v="0"/>
    <x v="1"/>
    <x v="9"/>
    <n v="0"/>
    <n v="0"/>
    <n v="69.268000000000001"/>
    <n v="65.111919999999998"/>
    <n v="69.268000000000001"/>
    <n v="65.111919999999998"/>
    <n v="38"/>
    <s v="CATIVO"/>
    <n v="0"/>
    <n v="0"/>
    <n v="17"/>
    <n v="89"/>
    <n v="0"/>
    <n v="272.91000000000003"/>
    <n v="185.18"/>
    <m/>
    <n v="315.8126451707094"/>
    <n v="198.13390838089941"/>
    <n v="0"/>
    <n v="1903.8586872000014"/>
    <n v="0"/>
    <n v="2136.0029922847716"/>
    <x v="4"/>
  </r>
  <r>
    <s v="Regular"/>
    <x v="3"/>
    <x v="3"/>
    <x v="3"/>
    <x v="2"/>
    <x v="1"/>
    <x v="0"/>
    <x v="1"/>
    <x v="10"/>
    <n v="0"/>
    <n v="0"/>
    <n v="72.277000000000001"/>
    <n v="67.94037999999999"/>
    <n v="72.277000000000001"/>
    <n v="67.94037999999999"/>
    <n v="39"/>
    <s v="CATIVO"/>
    <n v="0"/>
    <n v="0"/>
    <n v="17"/>
    <n v="89"/>
    <n v="0"/>
    <n v="272.91000000000003"/>
    <n v="185.18"/>
    <m/>
    <n v="315.8126451707094"/>
    <n v="198.13390838089941"/>
    <n v="0"/>
    <n v="1986.562255800005"/>
    <n v="0"/>
    <n v="2228.7909030629835"/>
    <x v="4"/>
  </r>
  <r>
    <s v="Refaturamento - Regular"/>
    <x v="3"/>
    <x v="3"/>
    <x v="3"/>
    <x v="2"/>
    <x v="1"/>
    <x v="0"/>
    <x v="1"/>
    <x v="10"/>
    <n v="0"/>
    <n v="0"/>
    <n v="-0.19800000000000001"/>
    <n v="-0.18612000000000001"/>
    <n v="-0.19800000000000001"/>
    <n v="-0.18612000000000001"/>
    <n v="-1"/>
    <s v="CATIVO"/>
    <n v="0"/>
    <n v="0"/>
    <n v="17"/>
    <n v="89"/>
    <n v="0"/>
    <n v="272.91000000000003"/>
    <n v="185.18"/>
    <m/>
    <n v="315.8126451707094"/>
    <n v="198.13390838089941"/>
    <n v="0"/>
    <n v="-5.4421092000000009"/>
    <n v="0"/>
    <n v="-6.1056850561931135"/>
    <x v="4"/>
  </r>
  <r>
    <s v="Regular"/>
    <x v="3"/>
    <x v="3"/>
    <x v="3"/>
    <x v="2"/>
    <x v="1"/>
    <x v="0"/>
    <x v="1"/>
    <x v="11"/>
    <n v="0"/>
    <n v="0"/>
    <n v="68.784999999999997"/>
    <n v="64.657899999999998"/>
    <n v="68.784999999999997"/>
    <n v="64.657899999999998"/>
    <n v="38"/>
    <s v="CATIVO"/>
    <n v="0"/>
    <n v="0"/>
    <n v="17"/>
    <n v="89"/>
    <n v="0"/>
    <n v="272.91000000000003"/>
    <n v="185.18"/>
    <m/>
    <n v="315.8126451707094"/>
    <n v="198.13390838089941"/>
    <n v="0"/>
    <n v="1890.5832389999996"/>
    <n v="0"/>
    <n v="2121.1088211628439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4FAC2-E6A2-4EFE-8BF9-6577C8495D9A}" name="Efeito Resumo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860" firstHeaderRow="0" firstDataRow="1" firstDataCol="1"/>
  <pivotFields count="36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10">
        <item x="1"/>
        <item x="3"/>
        <item x="8"/>
        <item x="0"/>
        <item x="2"/>
        <item x="4"/>
        <item x="7"/>
        <item x="5"/>
        <item x="6"/>
        <item t="default"/>
      </items>
    </pivotField>
    <pivotField axis="axisRow" showAll="0">
      <items count="10">
        <item x="1"/>
        <item x="2"/>
        <item x="8"/>
        <item x="0"/>
        <item x="3"/>
        <item x="4"/>
        <item x="5"/>
        <item x="6"/>
        <item x="7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axis="axisRow" showAll="0">
      <items count="9">
        <item x="1"/>
        <item x="3"/>
        <item x="7"/>
        <item x="5"/>
        <item x="4"/>
        <item x="6"/>
        <item x="0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1"/>
        <item x="2"/>
        <item x="0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859">
    <i>
      <x/>
    </i>
    <i r="1">
      <x v="1"/>
    </i>
    <i r="2">
      <x/>
    </i>
    <i r="3">
      <x/>
    </i>
    <i r="4">
      <x v="3"/>
    </i>
    <i r="5">
      <x v="3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/>
    </i>
    <i r="4">
      <x v="3"/>
    </i>
    <i r="5">
      <x v="3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3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/>
    </i>
    <i r="5">
      <x v="1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6"/>
    </i>
    <i r="4">
      <x v="4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7"/>
    </i>
    <i r="4">
      <x/>
    </i>
    <i r="5">
      <x v="1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/>
    </i>
    <i r="4">
      <x v="3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1"/>
    </i>
    <i r="3">
      <x v="2"/>
    </i>
    <i r="4">
      <x v="2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2"/>
    </i>
    <i r="3">
      <x v="4"/>
    </i>
    <i r="4">
      <x v="3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4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5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7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 v="3"/>
    </i>
    <i r="4">
      <x v="3"/>
    </i>
    <i r="5">
      <x v="3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 v="3"/>
    </i>
    <i r="4">
      <x v="3"/>
    </i>
    <i r="5">
      <x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 v="3"/>
    </i>
    <i r="4">
      <x v="3"/>
    </i>
    <i r="5">
      <x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6"/>
    <dataField name="Soma de Variação TE" fld="34" baseField="0" baseItem="0" numFmtId="166"/>
    <dataField name="Soma de Variação" fld="35" baseField="0" baseItem="0" numFmtId="166"/>
  </dataFields>
  <formats count="388">
    <format dxfId="797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79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795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794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793">
      <pivotArea type="all" dataOnly="0" outline="0" fieldPosition="0"/>
    </format>
    <format dxfId="792">
      <pivotArea outline="0" collapsedLevelsAreSubtotals="1" fieldPosition="0"/>
    </format>
    <format dxfId="791">
      <pivotArea field="16" type="button" dataOnly="0" labelOnly="1" outline="0" axis="axisRow" fieldPosition="0"/>
    </format>
    <format dxfId="790">
      <pivotArea dataOnly="0" labelOnly="1" fieldPosition="0">
        <references count="1">
          <reference field="16" count="0"/>
        </references>
      </pivotArea>
    </format>
    <format dxfId="789">
      <pivotArea dataOnly="0" labelOnly="1" fieldPosition="0">
        <references count="2">
          <reference field="1" count="5"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788">
      <pivotArea dataOnly="0" labelOnly="1" fieldPosition="0">
        <references count="2">
          <reference field="1" count="1">
            <x v="1"/>
          </reference>
          <reference field="16" count="1" selected="0">
            <x v="1"/>
          </reference>
        </references>
      </pivotArea>
    </format>
    <format dxfId="787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786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16" count="1" selected="0">
            <x v="0"/>
          </reference>
        </references>
      </pivotArea>
    </format>
    <format dxfId="785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784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783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782">
      <pivotArea dataOnly="0" labelOnly="1" fieldPosition="0">
        <references count="3">
          <reference field="1" count="1" selected="0">
            <x v="5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781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16" count="1" selected="0">
            <x v="1"/>
          </reference>
        </references>
      </pivotArea>
    </format>
    <format dxfId="780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2"/>
          </reference>
        </references>
      </pivotArea>
    </format>
    <format dxfId="779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16" count="1" selected="0">
            <x v="2"/>
          </reference>
        </references>
      </pivotArea>
    </format>
    <format dxfId="77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777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6">
            <x v="0"/>
            <x v="1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776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7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774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773">
      <pivotArea dataOnly="0" labelOnly="1" fieldPosition="0">
        <references count="4">
          <reference field="1" count="1" selected="0">
            <x v="5"/>
          </reference>
          <reference field="2" count="1" selected="0">
            <x v="1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772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771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770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769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76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6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66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65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64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63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62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761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60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75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758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57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56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55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54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53">
      <pivotArea dataOnly="0" labelOnly="1" fieldPosition="0">
        <references count="5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52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75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750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749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74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6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5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4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3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2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3">
            <x v="1"/>
            <x v="2"/>
            <x v="3"/>
          </reference>
          <reference field="16" count="1" selected="0">
            <x v="0"/>
          </reference>
        </references>
      </pivotArea>
    </format>
    <format dxfId="741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0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3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3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3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3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3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34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73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32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31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30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29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28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27">
      <pivotArea dataOnly="0" labelOnly="1" fieldPosition="0">
        <references count="6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26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72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72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723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72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2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20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9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8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7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6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5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4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3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2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6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3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2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1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699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698">
      <pivotArea dataOnly="0" labelOnly="1" fieldPosition="0">
        <references count="7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697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7">
            <x v="0"/>
            <x v="1"/>
            <x v="2"/>
            <x v="3"/>
            <x v="4"/>
            <x v="5"/>
            <x v="7"/>
          </reference>
          <reference field="16" count="1" selected="0">
            <x v="1"/>
          </reference>
        </references>
      </pivotArea>
    </format>
    <format dxfId="696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2"/>
          </reference>
        </references>
      </pivotArea>
    </format>
    <format dxfId="69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6"/>
          </reference>
          <reference field="16" count="1" selected="0">
            <x v="2"/>
          </reference>
        </references>
      </pivotArea>
    </format>
    <format dxfId="694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6"/>
          </reference>
          <reference field="16" count="1" selected="0">
            <x v="2"/>
          </reference>
        </references>
      </pivotArea>
    </format>
    <format dxfId="69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69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691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16" count="1" selected="0">
            <x v="0"/>
          </reference>
        </references>
      </pivotArea>
    </format>
    <format dxfId="69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16" count="1" selected="0">
            <x v="0"/>
          </reference>
        </references>
      </pivotArea>
    </format>
    <format dxfId="68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16" count="1" selected="0">
            <x v="0"/>
          </reference>
        </references>
      </pivotArea>
    </format>
    <format dxfId="68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16" count="1" selected="0">
            <x v="0"/>
          </reference>
        </references>
      </pivotArea>
    </format>
    <format dxfId="687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68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68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84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16" count="1" selected="0">
            <x v="0"/>
          </reference>
        </references>
      </pivotArea>
    </format>
    <format dxfId="683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16" count="1" selected="0">
            <x v="0"/>
          </reference>
        </references>
      </pivotArea>
    </format>
    <format dxfId="68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8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8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7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7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7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7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7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74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73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72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71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70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69">
      <pivotArea dataOnly="0" labelOnly="1" fieldPosition="0">
        <references count="8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668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667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666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66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664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66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66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7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66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16" count="1" selected="0">
            <x v="2"/>
          </reference>
        </references>
      </pivotArea>
    </format>
    <format dxfId="66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0"/>
          <reference field="16" count="1" selected="0">
            <x v="2"/>
          </reference>
        </references>
      </pivotArea>
    </format>
    <format dxfId="65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0"/>
          <reference field="16" count="1" selected="0">
            <x v="2"/>
          </reference>
        </references>
      </pivotArea>
    </format>
    <format dxfId="65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5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4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4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4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3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3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3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3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3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3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3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3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2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2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2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2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2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2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2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2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2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2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19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1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617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61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61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614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61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61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7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61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1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60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0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60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0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60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2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601">
      <pivotArea type="all" dataOnly="0" outline="0" fieldPosition="0"/>
    </format>
    <format dxfId="600">
      <pivotArea outline="0" collapsedLevelsAreSubtotals="1" fieldPosition="0"/>
    </format>
    <format dxfId="599">
      <pivotArea field="16" type="button" dataOnly="0" labelOnly="1" outline="0" axis="axisRow" fieldPosition="0"/>
    </format>
    <format dxfId="598">
      <pivotArea dataOnly="0" labelOnly="1" fieldPosition="0">
        <references count="1">
          <reference field="16" count="0"/>
        </references>
      </pivotArea>
    </format>
    <format dxfId="597">
      <pivotArea dataOnly="0" labelOnly="1" fieldPosition="0">
        <references count="2">
          <reference field="1" count="5"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596">
      <pivotArea dataOnly="0" labelOnly="1" fieldPosition="0">
        <references count="2">
          <reference field="1" count="1">
            <x v="1"/>
          </reference>
          <reference field="16" count="1" selected="0">
            <x v="1"/>
          </reference>
        </references>
      </pivotArea>
    </format>
    <format dxfId="595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594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16" count="1" selected="0">
            <x v="0"/>
          </reference>
        </references>
      </pivotArea>
    </format>
    <format dxfId="593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92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91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90">
      <pivotArea dataOnly="0" labelOnly="1" fieldPosition="0">
        <references count="3">
          <reference field="1" count="1" selected="0">
            <x v="5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589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16" count="1" selected="0">
            <x v="1"/>
          </reference>
        </references>
      </pivotArea>
    </format>
    <format dxfId="588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2"/>
          </reference>
        </references>
      </pivotArea>
    </format>
    <format dxfId="587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16" count="1" selected="0">
            <x v="2"/>
          </reference>
        </references>
      </pivotArea>
    </format>
    <format dxfId="586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2">
            <x v="0"/>
            <x v="3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6">
            <x v="0"/>
            <x v="1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584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583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582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581">
      <pivotArea dataOnly="0" labelOnly="1" fieldPosition="0">
        <references count="4">
          <reference field="1" count="1" selected="0">
            <x v="5"/>
          </reference>
          <reference field="2" count="1" selected="0">
            <x v="1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57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57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577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57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75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74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73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72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71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70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569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68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567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566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5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4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3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61">
      <pivotArea dataOnly="0" labelOnly="1" fieldPosition="0">
        <references count="5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60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55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55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557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55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4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3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2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1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50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3">
            <x v="1"/>
            <x v="2"/>
            <x v="3"/>
          </reference>
          <reference field="16" count="1" selected="0">
            <x v="0"/>
          </reference>
        </references>
      </pivotArea>
    </format>
    <format dxfId="549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8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54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40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9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8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7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6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5">
      <pivotArea dataOnly="0" labelOnly="1" fieldPosition="0">
        <references count="6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4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53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53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531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53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2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28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27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26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25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24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23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22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21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20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1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1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1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1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1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1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1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1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11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1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09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0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07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7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7">
            <x v="0"/>
            <x v="1"/>
            <x v="2"/>
            <x v="3"/>
            <x v="4"/>
            <x v="5"/>
            <x v="7"/>
          </reference>
          <reference field="16" count="1" selected="0">
            <x v="1"/>
          </reference>
        </references>
      </pivotArea>
    </format>
    <format dxfId="50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2"/>
          </reference>
        </references>
      </pivotArea>
    </format>
    <format dxfId="50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6"/>
          </reference>
          <reference field="16" count="1" selected="0">
            <x v="2"/>
          </reference>
        </references>
      </pivotArea>
    </format>
    <format dxfId="502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6"/>
          </reference>
          <reference field="16" count="1" selected="0">
            <x v="2"/>
          </reference>
        </references>
      </pivotArea>
    </format>
    <format dxfId="50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49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16" count="1" selected="0">
            <x v="0"/>
          </reference>
        </references>
      </pivotArea>
    </format>
    <format dxfId="49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16" count="1" selected="0">
            <x v="0"/>
          </reference>
        </references>
      </pivotArea>
    </format>
    <format dxfId="497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16" count="1" selected="0">
            <x v="0"/>
          </reference>
        </references>
      </pivotArea>
    </format>
    <format dxfId="49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16" count="1" selected="0">
            <x v="0"/>
          </reference>
        </references>
      </pivotArea>
    </format>
    <format dxfId="49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2">
            <x v="0"/>
            <x v="2"/>
          </reference>
          <reference field="16" count="1" selected="0">
            <x v="0"/>
          </reference>
        </references>
      </pivotArea>
    </format>
    <format dxfId="494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493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92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16" count="1" selected="0">
            <x v="0"/>
          </reference>
        </references>
      </pivotArea>
    </format>
    <format dxfId="491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16" count="1" selected="0">
            <x v="0"/>
          </reference>
        </references>
      </pivotArea>
    </format>
    <format dxfId="49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8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8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8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8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8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8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8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82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81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80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79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78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77">
      <pivotArea dataOnly="0" labelOnly="1" fieldPosition="0">
        <references count="8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16" count="1" selected="0">
            <x v="0"/>
          </reference>
        </references>
      </pivotArea>
    </format>
    <format dxfId="476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7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74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7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7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7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70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7"/>
          </reference>
          <reference field="7" count="1">
            <x v="1"/>
          </reference>
          <reference field="16" count="1" selected="0">
            <x v="1"/>
          </reference>
        </references>
      </pivotArea>
    </format>
    <format dxfId="46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16" count="1" selected="0">
            <x v="2"/>
          </reference>
        </references>
      </pivotArea>
    </format>
    <format dxfId="46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0"/>
          <reference field="16" count="1" selected="0">
            <x v="2"/>
          </reference>
        </references>
      </pivotArea>
    </format>
    <format dxfId="467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0"/>
          <reference field="16" count="1" selected="0">
            <x v="2"/>
          </reference>
        </references>
      </pivotArea>
    </format>
    <format dxfId="46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6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6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6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6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6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5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5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5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5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5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5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5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4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4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4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4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4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4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4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3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3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3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3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3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3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3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3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3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3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2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2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27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2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42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424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42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42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42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42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7"/>
          </reference>
          <reference field="7" count="1" selected="0">
            <x v="1"/>
          </reference>
          <reference field="8" count="0"/>
          <reference field="16" count="1" selected="0">
            <x v="1"/>
          </reference>
        </references>
      </pivotArea>
    </format>
    <format dxfId="41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41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41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41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41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41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41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41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2"/>
          </reference>
        </references>
      </pivotArea>
    </format>
    <format dxfId="41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410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28926C-0A57-4990-8313-E64C159E539B}" name="Subsidio Resumo" cacheId="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501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6">
        <item x="0"/>
        <item x="1"/>
        <item x="4"/>
        <item x="2"/>
        <item x="3"/>
        <item t="default"/>
      </items>
    </pivotField>
    <pivotField axis="axisRow" showAll="0">
      <items count="9">
        <item x="1"/>
        <item x="2"/>
        <item x="0"/>
        <item x="3"/>
        <item x="4"/>
        <item x="5"/>
        <item x="6"/>
        <item x="7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9">
        <item x="1"/>
        <item x="3"/>
        <item x="7"/>
        <item x="5"/>
        <item x="4"/>
        <item x="6"/>
        <item x="0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4"/>
        <item x="6"/>
        <item x="0"/>
        <item x="1"/>
        <item x="3"/>
        <item x="2"/>
        <item x="5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500">
    <i>
      <x/>
    </i>
    <i r="1">
      <x/>
    </i>
    <i r="2">
      <x v="3"/>
    </i>
    <i r="3">
      <x v="4"/>
    </i>
    <i r="4">
      <x v="1"/>
    </i>
    <i r="5">
      <x v="3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4"/>
    </i>
    <i r="4">
      <x v="1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1"/>
    </i>
    <i r="3">
      <x v="2"/>
    </i>
    <i r="4">
      <x v="4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/>
    </i>
    <i r="4">
      <x v="2"/>
    </i>
    <i r="5">
      <x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/>
    </i>
    <i r="4">
      <x v="2"/>
    </i>
    <i r="5">
      <x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2"/>
    </i>
    <i r="3">
      <x v="1"/>
    </i>
    <i r="4">
      <x v="2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4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5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7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/>
    </i>
    <i r="2">
      <x v="3"/>
    </i>
    <i r="3">
      <x v="3"/>
    </i>
    <i r="4">
      <x/>
    </i>
    <i r="5">
      <x v="2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3"/>
    </i>
    <i r="4">
      <x/>
    </i>
    <i r="5">
      <x v="2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/>
    </i>
    <i r="2">
      <x v="3"/>
    </i>
    <i r="3">
      <x v="3"/>
    </i>
    <i r="4">
      <x/>
    </i>
    <i r="5">
      <x v="1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3"/>
    </i>
    <i r="6">
      <x v="6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3"/>
    </i>
    <i r="4">
      <x/>
    </i>
    <i r="5">
      <x v="1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3"/>
    </i>
    <i r="6">
      <x v="6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1"/>
    </i>
    <i r="2">
      <x v="1"/>
    </i>
    <i r="3">
      <x v="2"/>
    </i>
    <i r="4">
      <x v="3"/>
    </i>
    <i r="5">
      <x v="3"/>
    </i>
    <i r="6">
      <x v="6"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66">
    <format dxfId="409">
      <pivotArea outline="0" collapsedLevelsAreSubtotals="1" fieldPosition="0"/>
    </format>
    <format dxfId="40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07">
      <pivotArea type="all" dataOnly="0" outline="0" fieldPosition="0"/>
    </format>
    <format dxfId="406">
      <pivotArea outline="0" collapsedLevelsAreSubtotals="1" fieldPosition="0"/>
    </format>
    <format dxfId="405">
      <pivotArea field="31" type="button" dataOnly="0" labelOnly="1" outline="0" axis="axisRow" fieldPosition="0"/>
    </format>
    <format dxfId="404">
      <pivotArea dataOnly="0" labelOnly="1" fieldPosition="0">
        <references count="1">
          <reference field="31" count="0"/>
        </references>
      </pivotArea>
    </format>
    <format dxfId="403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402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401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400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399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398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5"/>
          </reference>
        </references>
      </pivotArea>
    </format>
    <format dxfId="397">
      <pivotArea dataOnly="0" labelOnly="1" fieldPosition="0">
        <references count="2">
          <reference field="1" count="1">
            <x v="1"/>
          </reference>
          <reference field="31" count="1" selected="0">
            <x v="6"/>
          </reference>
        </references>
      </pivotArea>
    </format>
    <format dxfId="396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0"/>
          </reference>
        </references>
      </pivotArea>
    </format>
    <format dxfId="395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394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393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2"/>
          </reference>
        </references>
      </pivotArea>
    </format>
    <format dxfId="392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391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4"/>
          </reference>
        </references>
      </pivotArea>
    </format>
    <format dxfId="390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389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388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387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386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8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84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383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82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81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80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79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78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77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76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37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7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73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37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7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70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36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368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36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366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365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36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6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6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6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6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59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58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5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5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35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5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5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2">
            <x v="1"/>
            <x v="3"/>
          </reference>
          <reference field="31" count="1" selected="0">
            <x v="5"/>
          </reference>
        </references>
      </pivotArea>
    </format>
    <format dxfId="35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5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35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49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34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0"/>
          </reference>
        </references>
      </pivotArea>
    </format>
    <format dxfId="347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0"/>
          </reference>
        </references>
      </pivotArea>
    </format>
    <format dxfId="34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1"/>
          </reference>
        </references>
      </pivotArea>
    </format>
    <format dxfId="345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1"/>
          </reference>
        </references>
      </pivotArea>
    </format>
    <format dxfId="34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1"/>
          </reference>
        </references>
      </pivotArea>
    </format>
    <format dxfId="34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1"/>
          </reference>
        </references>
      </pivotArea>
    </format>
    <format dxfId="34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6"/>
          </reference>
          <reference field="31" count="1" selected="0">
            <x v="2"/>
          </reference>
        </references>
      </pivotArea>
    </format>
    <format dxfId="34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6"/>
          </reference>
          <reference field="31" count="1" selected="0">
            <x v="2"/>
          </reference>
        </references>
      </pivotArea>
    </format>
    <format dxfId="340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7">
            <x v="0"/>
            <x v="1"/>
            <x v="2"/>
            <x v="3"/>
            <x v="4"/>
            <x v="5"/>
            <x v="7"/>
          </reference>
          <reference field="31" count="1" selected="0">
            <x v="3"/>
          </reference>
        </references>
      </pivotArea>
    </format>
    <format dxfId="33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6"/>
          </reference>
          <reference field="31" count="1" selected="0">
            <x v="4"/>
          </reference>
        </references>
      </pivotArea>
    </format>
    <format dxfId="33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6"/>
          </reference>
          <reference field="31" count="1" selected="0">
            <x v="4"/>
          </reference>
        </references>
      </pivotArea>
    </format>
    <format dxfId="33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6"/>
          </reference>
          <reference field="31" count="1" selected="0">
            <x v="5"/>
          </reference>
        </references>
      </pivotArea>
    </format>
    <format dxfId="33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5"/>
          </reference>
        </references>
      </pivotArea>
    </format>
    <format dxfId="33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5"/>
          </reference>
        </references>
      </pivotArea>
    </format>
    <format dxfId="33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6"/>
          </reference>
          <reference field="31" count="1" selected="0">
            <x v="5"/>
          </reference>
        </references>
      </pivotArea>
    </format>
    <format dxfId="33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5"/>
          </reference>
        </references>
      </pivotArea>
    </format>
    <format dxfId="33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6"/>
          </reference>
        </references>
      </pivotArea>
    </format>
    <format dxfId="33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31" count="1" selected="0">
            <x v="0"/>
          </reference>
        </references>
      </pivotArea>
    </format>
    <format dxfId="33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32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2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2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2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2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0"/>
          <reference field="31" count="1" selected="0">
            <x v="2"/>
          </reference>
        </references>
      </pivotArea>
    </format>
    <format dxfId="32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0"/>
          <reference field="31" count="1" selected="0">
            <x v="2"/>
          </reference>
        </references>
      </pivotArea>
    </format>
    <format dxfId="323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2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2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2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1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1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1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7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1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31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31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2">
            <x v="0"/>
            <x v="2"/>
          </reference>
          <reference field="31" count="1" selected="0">
            <x v="5"/>
          </reference>
        </references>
      </pivotArea>
    </format>
    <format dxfId="31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1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31" count="1" selected="0">
            <x v="5"/>
          </reference>
        </references>
      </pivotArea>
    </format>
    <format dxfId="31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1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09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30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0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30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0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30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0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0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0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0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9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9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9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9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9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9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9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9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9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9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8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8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7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8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8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8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8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8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8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8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8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7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7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7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27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75">
      <pivotArea type="all" dataOnly="0" outline="0" fieldPosition="0"/>
    </format>
    <format dxfId="274">
      <pivotArea outline="0" collapsedLevelsAreSubtotals="1" fieldPosition="0"/>
    </format>
    <format dxfId="273">
      <pivotArea field="31" type="button" dataOnly="0" labelOnly="1" outline="0" axis="axisRow" fieldPosition="0"/>
    </format>
    <format dxfId="272">
      <pivotArea dataOnly="0" labelOnly="1" fieldPosition="0">
        <references count="1">
          <reference field="31" count="0"/>
        </references>
      </pivotArea>
    </format>
    <format dxfId="271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270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269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268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267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266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5"/>
          </reference>
        </references>
      </pivotArea>
    </format>
    <format dxfId="265">
      <pivotArea dataOnly="0" labelOnly="1" fieldPosition="0">
        <references count="2">
          <reference field="1" count="1">
            <x v="1"/>
          </reference>
          <reference field="31" count="1" selected="0">
            <x v="6"/>
          </reference>
        </references>
      </pivotArea>
    </format>
    <format dxfId="264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0"/>
          </reference>
        </references>
      </pivotArea>
    </format>
    <format dxfId="263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262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261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2"/>
          </reference>
        </references>
      </pivotArea>
    </format>
    <format dxfId="260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259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4"/>
          </reference>
        </references>
      </pivotArea>
    </format>
    <format dxfId="258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257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256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255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254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53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52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251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50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49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248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47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46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4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44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24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42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41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24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3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38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23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236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23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234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233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23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3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3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29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28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2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2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2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24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22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2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2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2">
            <x v="1"/>
            <x v="3"/>
          </reference>
          <reference field="31" count="1" selected="0">
            <x v="5"/>
          </reference>
        </references>
      </pivotArea>
    </format>
    <format dxfId="22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1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1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1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21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0"/>
          </reference>
        </references>
      </pivotArea>
    </format>
    <format dxfId="21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0"/>
          </reference>
        </references>
      </pivotArea>
    </format>
    <format dxfId="21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1"/>
          </reference>
        </references>
      </pivotArea>
    </format>
    <format dxfId="21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1"/>
          </reference>
        </references>
      </pivotArea>
    </format>
    <format dxfId="21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1"/>
          </reference>
        </references>
      </pivotArea>
    </format>
    <format dxfId="21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1"/>
          </reference>
        </references>
      </pivotArea>
    </format>
    <format dxfId="21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6"/>
          </reference>
          <reference field="31" count="1" selected="0">
            <x v="2"/>
          </reference>
        </references>
      </pivotArea>
    </format>
    <format dxfId="20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6"/>
          </reference>
          <reference field="31" count="1" selected="0">
            <x v="2"/>
          </reference>
        </references>
      </pivotArea>
    </format>
    <format dxfId="208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7">
            <x v="0"/>
            <x v="1"/>
            <x v="2"/>
            <x v="3"/>
            <x v="4"/>
            <x v="5"/>
            <x v="7"/>
          </reference>
          <reference field="31" count="1" selected="0">
            <x v="3"/>
          </reference>
        </references>
      </pivotArea>
    </format>
    <format dxfId="20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6"/>
          </reference>
          <reference field="31" count="1" selected="0">
            <x v="4"/>
          </reference>
        </references>
      </pivotArea>
    </format>
    <format dxfId="20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6"/>
          </reference>
          <reference field="31" count="1" selected="0">
            <x v="4"/>
          </reference>
        </references>
      </pivotArea>
    </format>
    <format dxfId="20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6"/>
          </reference>
          <reference field="31" count="1" selected="0">
            <x v="5"/>
          </reference>
        </references>
      </pivotArea>
    </format>
    <format dxfId="20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5"/>
          </reference>
        </references>
      </pivotArea>
    </format>
    <format dxfId="20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5"/>
          </reference>
        </references>
      </pivotArea>
    </format>
    <format dxfId="20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6"/>
          </reference>
          <reference field="31" count="1" selected="0">
            <x v="5"/>
          </reference>
        </references>
      </pivotArea>
    </format>
    <format dxfId="20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5"/>
          </reference>
        </references>
      </pivotArea>
    </format>
    <format dxfId="20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6"/>
          </reference>
          <reference field="31" count="1" selected="0">
            <x v="6"/>
          </reference>
        </references>
      </pivotArea>
    </format>
    <format dxfId="19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31" count="1" selected="0">
            <x v="0"/>
          </reference>
        </references>
      </pivotArea>
    </format>
    <format dxfId="19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19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9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9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9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19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0"/>
          <reference field="31" count="1" selected="0">
            <x v="2"/>
          </reference>
        </references>
      </pivotArea>
    </format>
    <format dxfId="19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0"/>
          <reference field="31" count="1" selected="0">
            <x v="2"/>
          </reference>
        </references>
      </pivotArea>
    </format>
    <format dxfId="19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9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8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8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87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8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85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7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18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18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18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2">
            <x v="0"/>
            <x v="2"/>
          </reference>
          <reference field="31" count="1" selected="0">
            <x v="5"/>
          </reference>
        </references>
      </pivotArea>
    </format>
    <format dxfId="18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8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0"/>
          <reference field="31" count="1" selected="0">
            <x v="5"/>
          </reference>
        </references>
      </pivotArea>
    </format>
    <format dxfId="17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7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17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17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7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7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7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17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7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7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16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6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6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6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6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16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6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6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6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5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5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5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5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7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15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5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5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5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5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5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4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4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14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7DCC5A4-516E-4C8D-9792-4382AE9C825C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97708A5-98CB-4A5A-B16D-FFC324C3E969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A02BF4EA-C4B7-44BC-8705-E70A24537CBE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963DE7-7E5A-49AB-94BC-82ADD182ACC1}" name="Efeito" displayName="Efeito" ref="A1:AG1099" totalsRowShown="0" headerRowDxfId="866" dataDxfId="865">
  <autoFilter ref="A1:AG1099" xr:uid="{3A963DE7-7E5A-49AB-94BC-82ADD182ACC1}"/>
  <tableColumns count="33">
    <tableColumn id="1" xr3:uid="{8F6EF473-4D8D-44AA-821C-EECBDAAABDD2}" name="TipoMercado" dataDxfId="864"/>
    <tableColumn id="2" xr3:uid="{E255F5A9-F6E3-462F-BC5E-BD12A39CF516}" name="Subgrupo" dataDxfId="863"/>
    <tableColumn id="3" xr3:uid="{615ABE75-DCA4-4CD0-A97D-F575C5EEEA8E}" name="Modalidade" dataDxfId="862"/>
    <tableColumn id="4" xr3:uid="{C53F5A9A-5BED-48CB-9400-89328D5D9CE6}" name="Classe" dataDxfId="861"/>
    <tableColumn id="5" xr3:uid="{9A137FFB-B7B0-48C0-BDEE-C17804B789D9}" name="Subclasse" dataDxfId="860"/>
    <tableColumn id="6" xr3:uid="{80FE4404-FE89-48C2-962E-0911B9C95A8F}" name="Detalhe" dataDxfId="859"/>
    <tableColumn id="7" xr3:uid="{6498722D-9878-4692-89FE-2DBA39490F7B}" name="Agente" dataDxfId="858"/>
    <tableColumn id="8" xr3:uid="{084E1E05-C37A-4172-921B-C917969BDF2F}" name="Posto" dataDxfId="857"/>
    <tableColumn id="9" xr3:uid="{BF6765E7-831B-4D42-AE17-2B69D908A12F}" name="AnoMes" dataDxfId="856"/>
    <tableColumn id="10" xr3:uid="{DFC12E5D-3F5B-45D8-BCDE-B9A3D70C2D73}" name="D" dataDxfId="855"/>
    <tableColumn id="11" xr3:uid="{F530DCB6-721D-4225-9967-EDF17009D74E}" name="Daj" dataDxfId="854"/>
    <tableColumn id="12" xr3:uid="{04534F85-53FC-46F2-B6EE-E92F94B7450E}" name="TUSD_E" dataDxfId="853"/>
    <tableColumn id="13" xr3:uid="{877FB4AF-FBF1-4E8F-8501-C719F249219C}" name="TUSD_Eaj" dataDxfId="852"/>
    <tableColumn id="14" xr3:uid="{61893A5C-09C0-4C88-A915-E8FAD3DD7CF8}" name="TE_E" dataDxfId="851"/>
    <tableColumn id="15" xr3:uid="{54309D81-37BD-4D0D-A0B0-75D1CB9CBAF1}" name="TE_Eaj" dataDxfId="850"/>
    <tableColumn id="16" xr3:uid="{B38EF1AD-FB75-4C52-916F-BF82A628F0B3}" name="UC" dataDxfId="849"/>
    <tableColumn id="17" xr3:uid="{673E5C84-977F-4CAE-A308-0A0206CEFD6A}" name="OPÇÃO" dataDxfId="848"/>
    <tableColumn id="18" xr3:uid="{400D6B5A-59D7-4B41-815F-AC6A9FB7AAE6}" name="CóD. AUX." dataDxfId="847"/>
    <tableColumn id="19" xr3:uid="{C7580B40-3FED-493C-8303-22AC4A6D3559}" name="CóD. AUX. TUSD R$/kW" dataDxfId="846"/>
    <tableColumn id="20" xr3:uid="{887076DC-9D73-4CAA-960B-341820AEA0B9}" name="CóD. AUX. TUSD R$/MWh" dataDxfId="845"/>
    <tableColumn id="21" xr3:uid="{2154A42A-041F-4CA1-A6C2-3E9E8F249166}" name="CóD. AUX. TE R$/MWh" dataDxfId="844"/>
    <tableColumn id="22" xr3:uid="{DDDFB85C-2722-4CAF-8636-CDA276831AA3}" name="TUSD (R$/kW)" dataDxfId="843"/>
    <tableColumn id="23" xr3:uid="{06D562A9-5AAA-44BA-A949-32222A5F601F}" name="TUSD (R$/MWh)" dataDxfId="842"/>
    <tableColumn id="24" xr3:uid="{4B19B0B9-FA56-4581-9568-883DFCD3A8EF}" name="TE (R$/MWh)" dataDxfId="841"/>
    <tableColumn id="25" xr3:uid="{D96A5029-89FC-4391-A9A6-50FCB9457DB8}" name="TUSD (R$/kW) NOVA" dataDxfId="840"/>
    <tableColumn id="26" xr3:uid="{2B19AF02-7A87-47D4-8CA6-DE1B42EE3B49}" name="TUSD (R$/MWh) NOVA" dataDxfId="839">
      <calculatedColumnFormula>('TUSD BE'!$AM$54+'TUSD BF'!$AM$54+'TUSD CVA'!$AM$54)*1</calculatedColumnFormula>
    </tableColumn>
    <tableColumn id="27" xr3:uid="{2874E295-2169-4733-8D4B-7D397E495903}" name="TE (R$/MWh) NOVA" dataDxfId="838">
      <calculatedColumnFormula>('TE BE'!$AB$43+'TE BF'!$AB$43+'TE CVA'!$AB$43)*1</calculatedColumnFormula>
    </tableColumn>
    <tableColumn id="28" xr3:uid="{D3196F9E-80B8-4F1D-AE3E-5D82AE9E61E8}" name="RA0 ou RV - TUSD (kW)" dataDxfId="837"/>
    <tableColumn id="29" xr3:uid="{16D4B022-DF9A-4033-B6CD-F2A1B79CA961}" name="RA0 ou RV - TUSD (MWh)" dataDxfId="836"/>
    <tableColumn id="30" xr3:uid="{49CCC3EE-6C22-4D69-B3D0-7834E7753B22}" name="RA0 ou RV - TE (MWh)" dataDxfId="835"/>
    <tableColumn id="31" xr3:uid="{F6BCA02A-0B95-4A07-82C6-733EF5E15508}" name="RA1 ou RRD - TUSD (kW)" dataDxfId="834"/>
    <tableColumn id="32" xr3:uid="{E844CBB3-26AF-422A-98FC-FB3CC366B208}" name="RA1 ou RRD - TUSD (MWh)" dataDxfId="833"/>
    <tableColumn id="33" xr3:uid="{A6040B9D-6C39-46F7-8FB1-45FF4A3F6C25}" name="RA1 ou RRD - TE (MWh)" dataDxfId="8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4F1ABC-395E-48B4-8323-0A351D011AD5}" name="Subsidio" displayName="Subsidio" ref="A1:AF582" totalsRowShown="0" headerRowDxfId="831" dataDxfId="830">
  <autoFilter ref="A1:AF582" xr:uid="{304F1ABC-395E-48B4-8323-0A351D011AD5}"/>
  <tableColumns count="32">
    <tableColumn id="1" xr3:uid="{D9D5C3CF-9A46-4F71-A50A-A4F3DEF454B3}" name="TipoMercado" dataDxfId="829"/>
    <tableColumn id="2" xr3:uid="{22423E40-485F-4EDD-804A-C225B678A97C}" name="Subgrupo" dataDxfId="828"/>
    <tableColumn id="3" xr3:uid="{23797978-5968-4845-80CF-4B67F1A73AB8}" name="Modalidade" dataDxfId="827"/>
    <tableColumn id="4" xr3:uid="{58AE3C13-4E32-4442-BB58-2030C27382C6}" name="Classe" dataDxfId="826"/>
    <tableColumn id="5" xr3:uid="{3E6C126E-02FC-4088-9E9C-8D8F53B08E5D}" name="Subclasse" dataDxfId="825"/>
    <tableColumn id="6" xr3:uid="{029F0B77-E9D0-42F9-A80B-20CB06B49010}" name="Detalhe" dataDxfId="824"/>
    <tableColumn id="7" xr3:uid="{A5D382D2-DD09-4070-BDA5-4FD81420AF6A}" name="Agente" dataDxfId="823"/>
    <tableColumn id="8" xr3:uid="{E73A5906-C06E-4E7D-8974-9267619CC7E6}" name="Posto" dataDxfId="822"/>
    <tableColumn id="9" xr3:uid="{8E2FC4DA-8703-4DE0-9383-8B7C0ACF23FD}" name="AnoMes" dataDxfId="821"/>
    <tableColumn id="10" xr3:uid="{454CF927-0DF2-4482-8255-0666EABABB61}" name="D" dataDxfId="820"/>
    <tableColumn id="11" xr3:uid="{CC3DD3D0-95DC-4875-938D-F1577E296B1C}" name="Daj" dataDxfId="819"/>
    <tableColumn id="12" xr3:uid="{6CE9D077-69E3-472F-B0B0-297E0E73A2AF}" name="TUSD_E" dataDxfId="818"/>
    <tableColumn id="13" xr3:uid="{CF795017-A927-4CAB-944C-20D0F1E1C04A}" name="TUSD_Eaj" dataDxfId="817"/>
    <tableColumn id="14" xr3:uid="{7451B657-ED1C-46D3-B754-E9B275FA6D96}" name="TE_E" dataDxfId="816"/>
    <tableColumn id="15" xr3:uid="{6454A343-E9C4-45BC-8E27-BD2C382A4518}" name="TE_Eaj" dataDxfId="815"/>
    <tableColumn id="16" xr3:uid="{E00AB885-8672-43CA-9B29-FD3EDB92A01A}" name="UC" dataDxfId="814"/>
    <tableColumn id="17" xr3:uid="{B87DAC1D-5483-42B6-8504-64C08D6A348A}" name="OPÇÃO" dataDxfId="813"/>
    <tableColumn id="18" xr3:uid="{1BB71812-6BCE-4D20-BA5C-3B3077E1ADFF}" name="CóD. AUX." dataDxfId="812"/>
    <tableColumn id="19" xr3:uid="{65E4E0A4-FE49-4678-88D7-F81F247EEC37}" name="CóD. AUX. TUSD R$/kW" dataDxfId="811"/>
    <tableColumn id="20" xr3:uid="{1C133BFD-6ABE-43F9-90D1-64C3E911646D}" name="CóD. AUX. TUSD R$/MWh" dataDxfId="810"/>
    <tableColumn id="21" xr3:uid="{BC2E10F4-911D-4D33-873F-F91D76AA3742}" name="CóD. AUX. TE R$/MWh" dataDxfId="809"/>
    <tableColumn id="22" xr3:uid="{E9663A1C-0B6A-47E6-8D47-0A51E58DD1DC}" name="TUSD (R$/kW)" dataDxfId="808"/>
    <tableColumn id="23" xr3:uid="{E472EA53-E699-4A03-922E-C3CBE600622B}" name="TUSD (R$/MWh)" dataDxfId="807"/>
    <tableColumn id="24" xr3:uid="{20DC936E-3506-421B-8AA3-CD35F5C03E1F}" name="TE (R$/MWh)" dataDxfId="806"/>
    <tableColumn id="25" xr3:uid="{2BF5B56F-29BD-4DAA-9D81-5F837952593A}" name="TUSD (R$/kW) NOVA" dataDxfId="805"/>
    <tableColumn id="26" xr3:uid="{CD927E0E-18D7-4B6C-9CA1-B652C897D81B}" name="TUSD (R$/MWh) NOVA" dataDxfId="804">
      <calculatedColumnFormula>('TUSD BE'!$AM$52+'TUSD BF'!$AM$52+'TUSD CVA'!$AM$52)*1</calculatedColumnFormula>
    </tableColumn>
    <tableColumn id="27" xr3:uid="{C4BA6B25-B439-48B2-88E9-E72520F3EFCA}" name="TE (R$/MWh) NOVA" dataDxfId="803">
      <calculatedColumnFormula>('TE BE'!$AB$41+'TE BF'!$AB$41+'TE CVA'!$AB$41)*1</calculatedColumnFormula>
    </tableColumn>
    <tableColumn id="28" xr3:uid="{01D95E9A-6208-4202-96F2-F4C4ABA4E772}" name="SUBSIDIO kW - TV" dataDxfId="802">
      <calculatedColumnFormula>(J2-K2)*V2</calculatedColumnFormula>
    </tableColumn>
    <tableColumn id="29" xr3:uid="{E2DA4760-19BB-4A5F-9E98-58F4900AE846}" name="SUBSIDIO MWh - TV" dataDxfId="801">
      <calculatedColumnFormula>(L2-M2)*W2+(N2-O2)*X2</calculatedColumnFormula>
    </tableColumn>
    <tableColumn id="30" xr3:uid="{C839379E-90E0-40F1-A921-24201661AC85}" name="SUBSIDIO kW - TN" dataDxfId="800">
      <calculatedColumnFormula>(J2-K2)*Y2</calculatedColumnFormula>
    </tableColumn>
    <tableColumn id="31" xr3:uid="{D994611A-210D-4BDA-A92A-A5DBA941BD2D}" name="SUBSIDIO MWh - TN" dataDxfId="799">
      <calculatedColumnFormula>(L2-M2)*Z2+(N2-O2)*AA2</calculatedColumnFormula>
    </tableColumn>
    <tableColumn id="32" xr3:uid="{39762780-1F21-4D62-A3EF-850B17C88D8C}" name="TIPO" dataDxfId="79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CA01F0-F556-415B-8B9A-722C1C954E2B}" name="TabelaFin" displayName="TabelaFin" ref="B3:AR58" tableType="queryTable" totalsRowShown="0" headerRowDxfId="143" dataDxfId="141" headerRowBorderDxfId="142" tableBorderDxfId="140" totalsRowBorderDxfId="139">
  <autoFilter ref="B3:AR58" xr:uid="{F3CA01F0-F556-415B-8B9A-722C1C954E2B}"/>
  <sortState xmlns:xlrd2="http://schemas.microsoft.com/office/spreadsheetml/2017/richdata2" ref="B4:AR58">
    <sortCondition ref="B4:B58"/>
    <sortCondition ref="C4:C58"/>
    <sortCondition ref="D4:D58"/>
    <sortCondition ref="E4:E58"/>
    <sortCondition ref="F4:F58"/>
    <sortCondition descending="1" ref="G4:G58"/>
    <sortCondition descending="1" ref="H4:H58"/>
    <sortCondition ref="I4:I58"/>
  </sortState>
  <tableColumns count="43">
    <tableColumn id="44" xr3:uid="{EEC555DB-3ED8-4A62-A6E0-085155CB3D31}" uniqueName="44" name="SUBGRUPO" queryTableFieldId="1" dataDxfId="138"/>
    <tableColumn id="45" xr3:uid="{FAC064B9-1333-450F-81F0-8AE045AE1D20}" uniqueName="45" name="MODALIDADE" queryTableFieldId="2" dataDxfId="137"/>
    <tableColumn id="46" xr3:uid="{5FE0D42A-6601-4AE3-A312-9E3828F5307A}" uniqueName="46" name="CLASSE" queryTableFieldId="3" dataDxfId="136"/>
    <tableColumn id="47" xr3:uid="{8F8ABEBD-7511-41CA-8F6D-F0EC788252BF}" uniqueName="47" name="SUBCLASSE" queryTableFieldId="4" dataDxfId="135"/>
    <tableColumn id="48" xr3:uid="{A269A34F-7B0E-4316-8F1E-35A2243C8331}" uniqueName="48" name="DETALHE" queryTableFieldId="5" dataDxfId="134"/>
    <tableColumn id="49" xr3:uid="{D68C3362-A387-4326-8ABC-8FE0A6482A7F}" uniqueName="49" name="POSTO" queryTableFieldId="6" dataDxfId="133"/>
    <tableColumn id="50" xr3:uid="{CBC86663-2248-4A75-A463-ABE321B0CE2B}" uniqueName="50" name="UNIDADE" queryTableFieldId="7" dataDxfId="132"/>
    <tableColumn id="51" xr3:uid="{8D9F277B-77B4-48F5-8BD1-B798B3D5FA4C}" uniqueName="51" name="ACESSANTE" queryTableFieldId="8" dataDxfId="131"/>
    <tableColumn id="52" xr3:uid="{D6F4F2EF-3732-4EE1-A3D2-5E8499E080AC}" uniqueName="52" name="Total TUSD" queryTableFieldId="9" dataDxfId="130"/>
    <tableColumn id="53" xr3:uid="{DE4FA01C-3973-4008-8322-9745126F3BA6}" uniqueName="53" name="Total TE" queryTableFieldId="10" dataDxfId="129"/>
    <tableColumn id="54" xr3:uid="{31A78BAC-0988-42F6-A846-C1B1DC9BA332}" uniqueName="54" name="TUSD_CDE_COVID" queryTableFieldId="11" dataDxfId="128"/>
    <tableColumn id="55" xr3:uid="{5289100F-0ABD-4151-8AD5-BD1E17DACA27}" uniqueName="55" name="TUSD_TFSEE" queryTableFieldId="12" dataDxfId="127"/>
    <tableColumn id="56" xr3:uid="{26D907E8-E0AF-4EF7-AACE-2F25A7DC028B}" uniqueName="56" name="TUSD_PeD" queryTableFieldId="13" dataDxfId="126"/>
    <tableColumn id="57" xr3:uid="{B121B58A-7F69-42FC-97D5-B2AC9019FC33}" uniqueName="57" name="TUSD_ONS" queryTableFieldId="14" dataDxfId="125"/>
    <tableColumn id="58" xr3:uid="{7C88CF9C-8068-4BD2-B50E-2BA96A497CA8}" uniqueName="58" name="TUSD_CCC" queryTableFieldId="15" dataDxfId="124"/>
    <tableColumn id="59" xr3:uid="{AC731C66-D970-41D8-B8A0-FD5A4E2AA583}" uniqueName="59" name="TUSD_CDE" queryTableFieldId="16" dataDxfId="123"/>
    <tableColumn id="60" xr3:uid="{03AAF3B3-C34A-47CB-AB82-76E2A2A097C6}" uniqueName="60" name="TUSD_PROINFA" queryTableFieldId="17" dataDxfId="122"/>
    <tableColumn id="61" xr3:uid="{686C8F8F-7D76-4407-A909-3CAD99B18592}" uniqueName="61" name="Liminar1" queryTableFieldId="18" dataDxfId="121"/>
    <tableColumn id="62" xr3:uid="{7BD011CB-D3D3-4A54-B9A5-45E26BEF8BFC}" uniqueName="62" name="TUSD_RB" queryTableFieldId="19" dataDxfId="120"/>
    <tableColumn id="63" xr3:uid="{4D0ECB0B-2C43-4797-B48C-154767241769}" uniqueName="63" name="TUSD_FR" queryTableFieldId="20" dataDxfId="119"/>
    <tableColumn id="64" xr3:uid="{8101FC7B-1526-4D83-B5A4-AF619FFEC8AE}" uniqueName="64" name="TUSD_CCT" queryTableFieldId="21" dataDxfId="118"/>
    <tableColumn id="65" xr3:uid="{D1570D14-A896-4A8C-884E-5555AC92BCF2}" uniqueName="65" name="TUSD_CCD" queryTableFieldId="22" dataDxfId="117"/>
    <tableColumn id="66" xr3:uid="{649B5E04-B929-4C26-92FE-36FDC7FA4FF5}" uniqueName="66" name="TUSD_CUSD" queryTableFieldId="23" dataDxfId="116"/>
    <tableColumn id="67" xr3:uid="{E7432970-C222-428E-8B25-B96AEBF74D4A}" uniqueName="67" name="TUSDG_T" queryTableFieldId="24" dataDxfId="115"/>
    <tableColumn id="68" xr3:uid="{C7658489-649C-4826-8F9B-AC327E75A7B9}" uniqueName="68" name="TUSDG_ONS" queryTableFieldId="25" dataDxfId="114"/>
    <tableColumn id="69" xr3:uid="{840F6C37-1BF1-4A3F-ACC5-30DA1AF734E1}" uniqueName="69" name="TUSD_FioB" queryTableFieldId="26" dataDxfId="113"/>
    <tableColumn id="70" xr3:uid="{7BDF658A-525B-4CDB-B19E-2AC3F4E0A9E9}" uniqueName="70" name="TUSD Subsidio" queryTableFieldId="27" dataDxfId="112"/>
    <tableColumn id="71" xr3:uid="{80A5D19C-2BC6-4D01-8509-6FE011CB8425}" uniqueName="71" name="TUSD Outros" queryTableFieldId="28" dataDxfId="111"/>
    <tableColumn id="72" xr3:uid="{9BF2E91E-57A8-4021-A85D-F50D554602D1}" uniqueName="72" name="TUSD_PT" queryTableFieldId="29" dataDxfId="110"/>
    <tableColumn id="73" xr3:uid="{D7C392C7-7BD2-49D6-95C4-D3104ED69330}" uniqueName="73" name="TUSD_Per_RB_D" queryTableFieldId="30" dataDxfId="109"/>
    <tableColumn id="74" xr3:uid="{8439D8E6-79F6-411E-B54D-53B7CC9EB61F}" uniqueName="74" name="TUSD_PNT" queryTableFieldId="31" dataDxfId="108"/>
    <tableColumn id="75" xr3:uid="{710D20EB-DC5E-4575-A536-12AA3147B424}" uniqueName="75" name="TUSD_RI" queryTableFieldId="32" dataDxfId="107"/>
    <tableColumn id="76" xr3:uid="{957128C9-CEF8-4CAE-917B-56F68DBEC7FD}" uniqueName="76" name="TE_CDE_COVID" queryTableFieldId="33" dataDxfId="106"/>
    <tableColumn id="77" xr3:uid="{BD5F7E94-C9A1-43DA-8498-2ED81A2120AC}" uniqueName="77" name="TE_CDE_ELET" queryTableFieldId="34" dataDxfId="105"/>
    <tableColumn id="78" xr3:uid="{A97DD3E5-E68E-4E75-A543-3FBF0E5B3F6A}" uniqueName="78" name="TE_PeD" queryTableFieldId="35" dataDxfId="104"/>
    <tableColumn id="79" xr3:uid="{FABEC9D1-70F1-4D30-A823-BF44F5158E33}" uniqueName="79" name="TE_ESSERR" queryTableFieldId="36" dataDxfId="103"/>
    <tableColumn id="80" xr3:uid="{A489E8EA-AF27-4F65-A399-CABD2D7B39FC}" uniqueName="80" name="TE_CFURH" queryTableFieldId="37" dataDxfId="102"/>
    <tableColumn id="81" xr3:uid="{62B26672-C752-48F4-ACD5-618C4B764376}" uniqueName="81" name="TE_ENERGIA" queryTableFieldId="38" dataDxfId="101"/>
    <tableColumn id="82" xr3:uid="{3CF4A2CB-DA74-40FC-BE37-0D35637DB897}" uniqueName="82" name="TE_TRANSPORTE_ITAIPU" queryTableFieldId="39" dataDxfId="100"/>
    <tableColumn id="83" xr3:uid="{6C36F270-3B78-45A2-9548-20ADA170934D}" uniqueName="83" name="TE_TUST_ITAIPU" queryTableFieldId="40" dataDxfId="99"/>
    <tableColumn id="84" xr3:uid="{21B03391-6E83-4F76-B339-6BFCE882E201}" uniqueName="84" name="TE_TUST_CI" queryTableFieldId="41" dataDxfId="98"/>
    <tableColumn id="85" xr3:uid="{7773910A-64C0-4100-8FD5-E8818012B5C6}" uniqueName="85" name="TE Subsidio" queryTableFieldId="42" dataDxfId="97"/>
    <tableColumn id="86" xr3:uid="{23934869-D7EC-4D60-8B48-0D018328E152}" uniqueName="86" name="TE_Per_RB" queryTableFieldId="43" dataDxfId="9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28BDDF-97E2-40B4-86A1-FC18444B570B}" name="TabelaEc" displayName="TabelaEc" ref="B3:AR58" tableType="queryTable" totalsRowShown="0" headerRowDxfId="95" dataDxfId="93" headerRowBorderDxfId="94" tableBorderDxfId="92" totalsRowBorderDxfId="91">
  <autoFilter ref="B3:AR58" xr:uid="{5B28BDDF-97E2-40B4-86A1-FC18444B570B}"/>
  <sortState xmlns:xlrd2="http://schemas.microsoft.com/office/spreadsheetml/2017/richdata2" ref="B4:AR58">
    <sortCondition ref="B4:B58"/>
    <sortCondition ref="C4:C58"/>
    <sortCondition ref="D4:D58"/>
    <sortCondition ref="E4:E58"/>
    <sortCondition ref="F4:F58"/>
    <sortCondition descending="1" ref="G4:G58"/>
    <sortCondition descending="1" ref="H4:H58"/>
    <sortCondition ref="I4:I58"/>
  </sortState>
  <tableColumns count="43">
    <tableColumn id="44" xr3:uid="{CCFBD0B8-C269-43F5-B88B-8130D474EC89}" uniqueName="44" name="SUBGRUPO" queryTableFieldId="1" dataDxfId="90"/>
    <tableColumn id="45" xr3:uid="{9DC922B3-0FA5-4219-9AFC-07DDFC3F1EA6}" uniqueName="45" name="MODALIDADE" queryTableFieldId="2" dataDxfId="89"/>
    <tableColumn id="46" xr3:uid="{59E958EE-20FA-4C4D-BFD4-8A1CE4BFA5E7}" uniqueName="46" name="CLASSE" queryTableFieldId="3" dataDxfId="88"/>
    <tableColumn id="47" xr3:uid="{D1327828-C9E3-4628-9AB4-48518F6F6916}" uniqueName="47" name="SUBCLASSE" queryTableFieldId="4" dataDxfId="87"/>
    <tableColumn id="48" xr3:uid="{74B7712A-3BCE-493B-9797-EDCDCBB45590}" uniqueName="48" name="DETALHE" queryTableFieldId="5" dataDxfId="86"/>
    <tableColumn id="49" xr3:uid="{0A198B7A-BC94-4ECD-B63E-2D0CBD3D6F9C}" uniqueName="49" name="POSTO" queryTableFieldId="6" dataDxfId="85"/>
    <tableColumn id="50" xr3:uid="{C3C17263-779C-4BF9-8E67-37720227FBB2}" uniqueName="50" name="UNIDADE" queryTableFieldId="7" dataDxfId="84"/>
    <tableColumn id="51" xr3:uid="{A7DEB44F-C6D8-4480-BEED-50C657D61283}" uniqueName="51" name="ACESSANTE" queryTableFieldId="8" dataDxfId="83"/>
    <tableColumn id="52" xr3:uid="{5FA271BF-A9F7-4034-A56A-00E9741C8F6F}" uniqueName="52" name="Total TUSD" queryTableFieldId="9" dataDxfId="82"/>
    <tableColumn id="53" xr3:uid="{B202FACA-A6D6-4752-9C43-1E662AF7C2EB}" uniqueName="53" name="Total TE" queryTableFieldId="10" dataDxfId="81"/>
    <tableColumn id="54" xr3:uid="{2DA80941-B48B-4D3F-B6CF-A0A6E22C506A}" uniqueName="54" name="TUSD_CDE_COVID" queryTableFieldId="11" dataDxfId="80"/>
    <tableColumn id="55" xr3:uid="{CF430915-8117-4259-AC5F-B1AB094FD530}" uniqueName="55" name="TUSD_TFSEE" queryTableFieldId="12" dataDxfId="79"/>
    <tableColumn id="56" xr3:uid="{ABFA03CA-C8EB-4C0D-9831-A5896A93D4C4}" uniqueName="56" name="TUSD_PeD" queryTableFieldId="13" dataDxfId="78"/>
    <tableColumn id="57" xr3:uid="{CC4BE653-A858-401C-9ECE-B2DCF2EEA8C2}" uniqueName="57" name="TUSD_ONS" queryTableFieldId="14" dataDxfId="77"/>
    <tableColumn id="58" xr3:uid="{1D3EA125-86CC-4604-8C85-AEC6F4BE725F}" uniqueName="58" name="TUSD_CCC" queryTableFieldId="15" dataDxfId="76"/>
    <tableColumn id="59" xr3:uid="{BD83DD59-F8F6-40CB-987A-37D2C4350DDB}" uniqueName="59" name="TUSD_CDE" queryTableFieldId="16" dataDxfId="75"/>
    <tableColumn id="60" xr3:uid="{9DA0AE66-F561-4D74-AEA3-BF3D8E663224}" uniqueName="60" name="TUSD_PROINFA" queryTableFieldId="17" dataDxfId="74"/>
    <tableColumn id="61" xr3:uid="{6A372979-E1D7-46FB-B207-F083C236A24D}" uniqueName="61" name="Liminar1" queryTableFieldId="18" dataDxfId="73"/>
    <tableColumn id="62" xr3:uid="{7FFB411B-A85F-4ED1-8E57-F2C7DD309E1A}" uniqueName="62" name="TUSD_RB" queryTableFieldId="19" dataDxfId="72"/>
    <tableColumn id="63" xr3:uid="{FFEE3B88-12FD-4B29-AF65-4045C45D0C57}" uniqueName="63" name="TUSD_FR" queryTableFieldId="20" dataDxfId="71"/>
    <tableColumn id="64" xr3:uid="{CC36F3E7-DC7A-4112-89EE-7592CC279ABA}" uniqueName="64" name="TUSD_CCT" queryTableFieldId="21" dataDxfId="70"/>
    <tableColumn id="65" xr3:uid="{625517A6-AB90-4359-A663-9BFE655A1B6A}" uniqueName="65" name="TUSD_CCD" queryTableFieldId="22" dataDxfId="69"/>
    <tableColumn id="66" xr3:uid="{6FF6DB6B-E45E-485D-BC09-BD5AE0550131}" uniqueName="66" name="TUSD_CUSD" queryTableFieldId="23" dataDxfId="68"/>
    <tableColumn id="67" xr3:uid="{E58D7600-F99C-4A4A-AC41-BD5F2B1444E5}" uniqueName="67" name="TUSDG_T" queryTableFieldId="24" dataDxfId="67"/>
    <tableColumn id="68" xr3:uid="{1626E5BB-50C1-4F39-B13F-3BB36AF7B4D2}" uniqueName="68" name="TUSDG_ONS" queryTableFieldId="25" dataDxfId="66"/>
    <tableColumn id="69" xr3:uid="{1BC8099E-C59C-48BA-88D0-D8AC0A5864C0}" uniqueName="69" name="TUSD_FioB" queryTableFieldId="26" dataDxfId="65"/>
    <tableColumn id="70" xr3:uid="{EF29241E-F290-4919-92F7-D4994893BF48}" uniqueName="70" name="TUSD Subsidio" queryTableFieldId="27" dataDxfId="64"/>
    <tableColumn id="71" xr3:uid="{CD052DCE-19DA-415E-BC7E-0241FE70C4CA}" uniqueName="71" name="TUSD Outros" queryTableFieldId="28" dataDxfId="63"/>
    <tableColumn id="72" xr3:uid="{95FC1876-AD5A-4551-9607-0E793077D520}" uniqueName="72" name="TUSD_PT" queryTableFieldId="29" dataDxfId="62"/>
    <tableColumn id="73" xr3:uid="{772428AA-BF5C-476F-887F-E96CF94E3470}" uniqueName="73" name="TUSD_Per_RB_D" queryTableFieldId="30" dataDxfId="61"/>
    <tableColumn id="74" xr3:uid="{B8E42A7B-06A2-43D6-AACE-F013D593847D}" uniqueName="74" name="TUSD_PNT" queryTableFieldId="31" dataDxfId="60"/>
    <tableColumn id="75" xr3:uid="{26F7FCF0-9A18-4A8C-8D4A-F3F40218DBDD}" uniqueName="75" name="TUSD_RI" queryTableFieldId="32" dataDxfId="59"/>
    <tableColumn id="76" xr3:uid="{F141E101-9EB6-4444-8ECE-C6B2F1287070}" uniqueName="76" name="TE_CDE_COVID" queryTableFieldId="33" dataDxfId="58"/>
    <tableColumn id="77" xr3:uid="{60105CA9-1424-457A-A711-23998CA109BA}" uniqueName="77" name="TE_CDE_ELET" queryTableFieldId="34" dataDxfId="57"/>
    <tableColumn id="78" xr3:uid="{B38E7F09-65DD-419B-B19B-78A23E9D49C0}" uniqueName="78" name="TE_PeD" queryTableFieldId="35" dataDxfId="56"/>
    <tableColumn id="79" xr3:uid="{61476C85-00D2-4D7A-9303-59737D3F4E0E}" uniqueName="79" name="TE_ESSERR" queryTableFieldId="36" dataDxfId="55"/>
    <tableColumn id="80" xr3:uid="{B3A38CFB-8D5F-4F2B-A8C1-316137EBF326}" uniqueName="80" name="TE_CFURH" queryTableFieldId="37" dataDxfId="54"/>
    <tableColumn id="81" xr3:uid="{FCDAF1EC-3372-4AAE-898D-E531513C2403}" uniqueName="81" name="TE_ENERGIA" queryTableFieldId="38" dataDxfId="53"/>
    <tableColumn id="82" xr3:uid="{5921293B-9EF0-41F8-9037-12597091B72E}" uniqueName="82" name="TE_TRANSPORTE_ITAIPU" queryTableFieldId="39" dataDxfId="52"/>
    <tableColumn id="83" xr3:uid="{D70469D5-1D0A-41A9-ABF5-D6EB712EC4B1}" uniqueName="83" name="TE_TUST_ITAIPU" queryTableFieldId="40" dataDxfId="51"/>
    <tableColumn id="84" xr3:uid="{F9B485F3-DE43-46E4-8398-9FCDFF929F79}" uniqueName="84" name="TE_TUST_CI" queryTableFieldId="41" dataDxfId="50"/>
    <tableColumn id="85" xr3:uid="{5AE8D9AF-B8F1-4748-9D01-2D50A1AC9A39}" uniqueName="85" name="TE Subsidio" queryTableFieldId="42" dataDxfId="49"/>
    <tableColumn id="86" xr3:uid="{BAC2D732-CE60-4D86-8A76-FA8BBC9B719A}" uniqueName="86" name="TE_Per_RB" queryTableFieldId="43" dataDxfId="4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5849E15-62CA-47F1-8D8F-D7CE4261F21F}" name="TabelaCVA" displayName="TabelaCVA" ref="B3:AR58" tableType="queryTable" totalsRowShown="0" headerRowDxfId="47" dataDxfId="45" headerRowBorderDxfId="46" tableBorderDxfId="44" totalsRowBorderDxfId="43">
  <autoFilter ref="B3:AR58" xr:uid="{85849E15-62CA-47F1-8D8F-D7CE4261F21F}"/>
  <sortState xmlns:xlrd2="http://schemas.microsoft.com/office/spreadsheetml/2017/richdata2" ref="B4:AR58">
    <sortCondition ref="B4:B58"/>
    <sortCondition ref="C4:C58"/>
    <sortCondition ref="D4:D58"/>
    <sortCondition ref="E4:E58"/>
    <sortCondition ref="F4:F58"/>
    <sortCondition descending="1" ref="G4:G58"/>
    <sortCondition descending="1" ref="H4:H58"/>
    <sortCondition ref="I4:I58"/>
  </sortState>
  <tableColumns count="43">
    <tableColumn id="44" xr3:uid="{FC6316E4-2042-4CC3-BF89-D9DF59A6ECBB}" uniqueName="44" name="SUBGRUPO" queryTableFieldId="1" dataDxfId="42"/>
    <tableColumn id="45" xr3:uid="{54A9E813-324A-4E8C-97FA-ED6C338E1B01}" uniqueName="45" name="MODALIDADE" queryTableFieldId="2" dataDxfId="41"/>
    <tableColumn id="46" xr3:uid="{C321BAED-C6B9-4032-81DB-B04041A72258}" uniqueName="46" name="CLASSE" queryTableFieldId="3" dataDxfId="40"/>
    <tableColumn id="47" xr3:uid="{5C649BE5-8645-4114-BE47-B472A5C91A4A}" uniqueName="47" name="SUBCLASSE" queryTableFieldId="4" dataDxfId="39"/>
    <tableColumn id="48" xr3:uid="{B4BB9892-DBF1-4CC5-8FE1-9DC8794EA5CD}" uniqueName="48" name="DETALHE" queryTableFieldId="5" dataDxfId="38"/>
    <tableColumn id="49" xr3:uid="{F0569F5A-7269-4F86-8D23-1D75F930D701}" uniqueName="49" name="POSTO" queryTableFieldId="6" dataDxfId="37"/>
    <tableColumn id="50" xr3:uid="{8DC76974-6C58-43EA-9BC7-452912E2B190}" uniqueName="50" name="UNIDADE" queryTableFieldId="7" dataDxfId="36"/>
    <tableColumn id="51" xr3:uid="{C40B8FD3-E9C2-4477-BA4C-71EF9254211D}" uniqueName="51" name="ACESSANTE" queryTableFieldId="8" dataDxfId="35"/>
    <tableColumn id="52" xr3:uid="{290B65B5-5EA9-4000-99DA-499150BCC5B4}" uniqueName="52" name="Total TUSD" queryTableFieldId="9" dataDxfId="34"/>
    <tableColumn id="53" xr3:uid="{1E83E266-7FFE-4D17-9A38-2B37FF1234B5}" uniqueName="53" name="Total TE" queryTableFieldId="10" dataDxfId="33"/>
    <tableColumn id="54" xr3:uid="{FAAF4B6B-1116-4A40-8092-0A89F2B0211A}" uniqueName="54" name="TUSD_CDE_COVID" queryTableFieldId="11" dataDxfId="32"/>
    <tableColumn id="55" xr3:uid="{D9BA834C-0796-4FC9-90A9-CF08174A0A26}" uniqueName="55" name="TUSD_TFSEE" queryTableFieldId="12" dataDxfId="31"/>
    <tableColumn id="56" xr3:uid="{9B983A22-A73F-457B-B77B-4C28DF65D553}" uniqueName="56" name="TUSD_PeD" queryTableFieldId="13" dataDxfId="30"/>
    <tableColumn id="57" xr3:uid="{32CB62D2-4247-4ECA-A790-883C97DF8ACB}" uniqueName="57" name="TUSD_ONS" queryTableFieldId="14" dataDxfId="29"/>
    <tableColumn id="58" xr3:uid="{E3F72E09-872E-4EC6-8575-A1001F3BEE51}" uniqueName="58" name="TUSD_CCC" queryTableFieldId="15" dataDxfId="28"/>
    <tableColumn id="59" xr3:uid="{4406026F-525F-4E7F-8E20-5E0A955AEC69}" uniqueName="59" name="TUSD_CDE" queryTableFieldId="16" dataDxfId="27"/>
    <tableColumn id="60" xr3:uid="{235EBAB8-495D-42E9-AD1A-44A1717FAA0C}" uniqueName="60" name="TUSD_PROINFA" queryTableFieldId="17" dataDxfId="26"/>
    <tableColumn id="61" xr3:uid="{256E3257-0EB5-422B-88A5-FE9255DE1EB6}" uniqueName="61" name="Liminar1" queryTableFieldId="18" dataDxfId="25"/>
    <tableColumn id="62" xr3:uid="{718F8345-5E10-428D-85F8-8976F2E7B265}" uniqueName="62" name="TUSD_RB" queryTableFieldId="19" dataDxfId="24"/>
    <tableColumn id="63" xr3:uid="{C92607CF-12F1-4353-B8F1-372387DA1DEB}" uniqueName="63" name="TUSD_FR" queryTableFieldId="20" dataDxfId="23"/>
    <tableColumn id="64" xr3:uid="{BB9377C2-BE3A-4689-9D7D-6D2245609C56}" uniqueName="64" name="TUSD_CCT" queryTableFieldId="21" dataDxfId="22"/>
    <tableColumn id="65" xr3:uid="{49B318FB-25F0-4B4D-B8E8-F369F6D848F9}" uniqueName="65" name="TUSD_CCD" queryTableFieldId="22" dataDxfId="21"/>
    <tableColumn id="66" xr3:uid="{0F284A32-A0B5-468F-8C85-2E13C7A4D1AD}" uniqueName="66" name="TUSD_CUSD" queryTableFieldId="23" dataDxfId="20"/>
    <tableColumn id="67" xr3:uid="{02F4EEC1-B75D-456C-9529-339B05252FCE}" uniqueName="67" name="TUSDG_T" queryTableFieldId="24" dataDxfId="19"/>
    <tableColumn id="68" xr3:uid="{60F9F3CA-518A-489A-85BD-976F3C767889}" uniqueName="68" name="TUSDG_ONS" queryTableFieldId="25" dataDxfId="18"/>
    <tableColumn id="69" xr3:uid="{8642D529-7EC0-4ACB-8370-B69765793A58}" uniqueName="69" name="TUSD_FioB" queryTableFieldId="26" dataDxfId="17"/>
    <tableColumn id="70" xr3:uid="{DFE1BCCF-69E1-4FF5-A215-596B5C19680C}" uniqueName="70" name="TUSD Subsidio" queryTableFieldId="27" dataDxfId="16"/>
    <tableColumn id="71" xr3:uid="{924B4910-3F33-493F-99C3-DE02D3783725}" uniqueName="71" name="TUSD Outros" queryTableFieldId="28" dataDxfId="15"/>
    <tableColumn id="72" xr3:uid="{41762F5B-DE9E-466A-9E30-06582B92E585}" uniqueName="72" name="TUSD_PT" queryTableFieldId="29" dataDxfId="14"/>
    <tableColumn id="73" xr3:uid="{376BDECA-E3D1-4090-9CAE-F7A33CB42877}" uniqueName="73" name="TUSD_Per_RB_D" queryTableFieldId="30" dataDxfId="13"/>
    <tableColumn id="74" xr3:uid="{16825FCC-7DCB-442F-A641-0D49F76FDAF4}" uniqueName="74" name="TUSD_PNT" queryTableFieldId="31" dataDxfId="12"/>
    <tableColumn id="75" xr3:uid="{F2E1B52C-9604-4003-9B5C-C4E325AB5D1F}" uniqueName="75" name="TUSD_RI" queryTableFieldId="32" dataDxfId="11"/>
    <tableColumn id="76" xr3:uid="{44830183-00EC-4554-ACBD-4666894C5165}" uniqueName="76" name="TE_CDE_COVID" queryTableFieldId="33" dataDxfId="10"/>
    <tableColumn id="77" xr3:uid="{86D0CF4A-F2C4-42B0-9DFE-855248805859}" uniqueName="77" name="TE_CDE_ELET" queryTableFieldId="34" dataDxfId="9"/>
    <tableColumn id="78" xr3:uid="{3AF9CB23-66C1-4F30-A2FF-F0BC5E49B881}" uniqueName="78" name="TE_PeD" queryTableFieldId="35" dataDxfId="8"/>
    <tableColumn id="79" xr3:uid="{7E2666DA-1016-412A-915B-88AD94F5E17F}" uniqueName="79" name="TE_ESSERR" queryTableFieldId="36" dataDxfId="7"/>
    <tableColumn id="80" xr3:uid="{24240A96-EB4F-4135-99DF-9E7B0C99F59E}" uniqueName="80" name="TE_CFURH" queryTableFieldId="37" dataDxfId="6"/>
    <tableColumn id="81" xr3:uid="{64FFB874-2198-4F9F-8BC9-EC35251406A8}" uniqueName="81" name="TE_ENERGIA" queryTableFieldId="38" dataDxfId="5"/>
    <tableColumn id="82" xr3:uid="{2EF54E12-D7E7-4A46-A11A-1977A4DBB812}" uniqueName="82" name="TE_TRANSPORTE_ITAIPU" queryTableFieldId="39" dataDxfId="4"/>
    <tableColumn id="83" xr3:uid="{49128A87-15E6-4AE9-A55C-4D54794E16C5}" uniqueName="83" name="TE_TUST_ITAIPU" queryTableFieldId="40" dataDxfId="3"/>
    <tableColumn id="84" xr3:uid="{33C4E059-C714-47FB-B8A7-3309A2105BC4}" uniqueName="84" name="TE_TUST_CI" queryTableFieldId="41" dataDxfId="2"/>
    <tableColumn id="85" xr3:uid="{0AC78E8D-A16D-4124-8643-BE77623B215F}" uniqueName="85" name="TE Subsidio" queryTableFieldId="42" dataDxfId="1"/>
    <tableColumn id="86" xr3:uid="{0AABDC6E-CB13-4361-B9D1-109335F4E2CB}" uniqueName="86" name="TE_Per_RB" queryTableFieldId="4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C9047-C258-4C45-93E7-2E79BD6BC804}">
  <dimension ref="A1:W1099"/>
  <sheetViews>
    <sheetView showGridLines="0" topLeftCell="J1072" workbookViewId="0">
      <selection activeCell="T1100" sqref="T1100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24" style="4" bestFit="1" customWidth="1"/>
    <col min="8" max="8" width="10.28515625" style="4" bestFit="1" customWidth="1"/>
    <col min="9" max="9" width="8.7109375" style="5" bestFit="1" customWidth="1"/>
    <col min="10" max="12" width="7.85546875" style="6" bestFit="1" customWidth="1"/>
    <col min="13" max="13" width="8" style="6" bestFit="1" customWidth="1"/>
    <col min="14" max="15" width="7.85546875" style="6" bestFit="1" customWidth="1"/>
    <col min="16" max="16" width="8.42578125" style="6" bestFit="1" customWidth="1"/>
    <col min="17" max="17" width="8.42578125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101</v>
      </c>
      <c r="T1" s="1" t="s">
        <v>318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53</v>
      </c>
      <c r="C2" s="4" t="s">
        <v>36</v>
      </c>
      <c r="D2" s="4" t="s">
        <v>34</v>
      </c>
      <c r="E2" s="4" t="s">
        <v>25</v>
      </c>
      <c r="F2" s="4" t="s">
        <v>25</v>
      </c>
      <c r="G2" s="4" t="s">
        <v>25</v>
      </c>
      <c r="H2" s="4" t="s">
        <v>38</v>
      </c>
      <c r="I2" s="5">
        <v>44378</v>
      </c>
      <c r="J2" s="6">
        <v>3300</v>
      </c>
      <c r="K2" s="6">
        <v>3300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54</v>
      </c>
      <c r="R2" s="4">
        <v>0</v>
      </c>
      <c r="S2" s="4" t="s">
        <v>102</v>
      </c>
      <c r="U2" s="4">
        <v>19</v>
      </c>
      <c r="V2" s="4">
        <v>0</v>
      </c>
      <c r="W2" s="4">
        <v>0</v>
      </c>
    </row>
    <row r="3" spans="1:23" ht="11.25" customHeight="1" x14ac:dyDescent="0.25">
      <c r="A3" s="4" t="s">
        <v>21</v>
      </c>
      <c r="B3" s="4" t="s">
        <v>53</v>
      </c>
      <c r="C3" s="4" t="s">
        <v>36</v>
      </c>
      <c r="D3" s="4" t="s">
        <v>34</v>
      </c>
      <c r="E3" s="4" t="s">
        <v>25</v>
      </c>
      <c r="F3" s="4" t="s">
        <v>25</v>
      </c>
      <c r="G3" s="4" t="s">
        <v>25</v>
      </c>
      <c r="H3" s="4" t="s">
        <v>38</v>
      </c>
      <c r="I3" s="5">
        <v>44409</v>
      </c>
      <c r="J3" s="6">
        <v>3300</v>
      </c>
      <c r="K3" s="6">
        <v>3300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54</v>
      </c>
      <c r="R3" s="4">
        <v>0</v>
      </c>
      <c r="S3" s="4" t="s">
        <v>103</v>
      </c>
      <c r="U3" s="4">
        <v>19</v>
      </c>
      <c r="V3" s="4">
        <v>0</v>
      </c>
      <c r="W3" s="4">
        <v>0</v>
      </c>
    </row>
    <row r="4" spans="1:23" ht="11.25" customHeight="1" x14ac:dyDescent="0.25">
      <c r="A4" s="4" t="s">
        <v>21</v>
      </c>
      <c r="B4" s="4" t="s">
        <v>53</v>
      </c>
      <c r="C4" s="4" t="s">
        <v>36</v>
      </c>
      <c r="D4" s="4" t="s">
        <v>34</v>
      </c>
      <c r="E4" s="4" t="s">
        <v>25</v>
      </c>
      <c r="F4" s="4" t="s">
        <v>25</v>
      </c>
      <c r="G4" s="4" t="s">
        <v>25</v>
      </c>
      <c r="H4" s="4" t="s">
        <v>38</v>
      </c>
      <c r="I4" s="5">
        <v>44440</v>
      </c>
      <c r="J4" s="6">
        <v>3300</v>
      </c>
      <c r="K4" s="6">
        <v>3300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54</v>
      </c>
      <c r="R4" s="4">
        <v>0</v>
      </c>
      <c r="S4" s="4" t="s">
        <v>104</v>
      </c>
      <c r="U4" s="4">
        <v>19</v>
      </c>
      <c r="V4" s="4">
        <v>0</v>
      </c>
      <c r="W4" s="4">
        <v>0</v>
      </c>
    </row>
    <row r="5" spans="1:23" ht="11.25" customHeight="1" x14ac:dyDescent="0.25">
      <c r="A5" s="4" t="s">
        <v>21</v>
      </c>
      <c r="B5" s="4" t="s">
        <v>53</v>
      </c>
      <c r="C5" s="4" t="s">
        <v>36</v>
      </c>
      <c r="D5" s="4" t="s">
        <v>34</v>
      </c>
      <c r="E5" s="4" t="s">
        <v>25</v>
      </c>
      <c r="F5" s="4" t="s">
        <v>25</v>
      </c>
      <c r="G5" s="4" t="s">
        <v>25</v>
      </c>
      <c r="H5" s="4" t="s">
        <v>38</v>
      </c>
      <c r="I5" s="5">
        <v>44470</v>
      </c>
      <c r="J5" s="6">
        <v>3300</v>
      </c>
      <c r="K5" s="6">
        <v>3300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54</v>
      </c>
      <c r="R5" s="4">
        <v>0</v>
      </c>
      <c r="S5" s="4" t="s">
        <v>105</v>
      </c>
      <c r="U5" s="4">
        <v>19</v>
      </c>
      <c r="V5" s="4">
        <v>0</v>
      </c>
      <c r="W5" s="4">
        <v>0</v>
      </c>
    </row>
    <row r="6" spans="1:23" ht="11.25" customHeight="1" x14ac:dyDescent="0.25">
      <c r="A6" s="4" t="s">
        <v>21</v>
      </c>
      <c r="B6" s="4" t="s">
        <v>53</v>
      </c>
      <c r="C6" s="4" t="s">
        <v>36</v>
      </c>
      <c r="D6" s="4" t="s">
        <v>34</v>
      </c>
      <c r="E6" s="4" t="s">
        <v>25</v>
      </c>
      <c r="F6" s="4" t="s">
        <v>25</v>
      </c>
      <c r="G6" s="4" t="s">
        <v>25</v>
      </c>
      <c r="H6" s="4" t="s">
        <v>38</v>
      </c>
      <c r="I6" s="5">
        <v>44501</v>
      </c>
      <c r="J6" s="6">
        <v>3300</v>
      </c>
      <c r="K6" s="6">
        <v>3300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54</v>
      </c>
      <c r="R6" s="4">
        <v>0</v>
      </c>
      <c r="S6" s="4" t="s">
        <v>106</v>
      </c>
      <c r="U6" s="4">
        <v>19</v>
      </c>
      <c r="V6" s="4">
        <v>0</v>
      </c>
      <c r="W6" s="4">
        <v>0</v>
      </c>
    </row>
    <row r="7" spans="1:23" ht="11.25" customHeight="1" x14ac:dyDescent="0.25">
      <c r="A7" s="4" t="s">
        <v>65</v>
      </c>
      <c r="B7" s="4" t="s">
        <v>53</v>
      </c>
      <c r="C7" s="4" t="s">
        <v>36</v>
      </c>
      <c r="D7" s="4" t="s">
        <v>34</v>
      </c>
      <c r="E7" s="4" t="s">
        <v>25</v>
      </c>
      <c r="F7" s="4" t="s">
        <v>25</v>
      </c>
      <c r="G7" s="4" t="s">
        <v>25</v>
      </c>
      <c r="H7" s="4" t="s">
        <v>38</v>
      </c>
      <c r="I7" s="5">
        <v>44531</v>
      </c>
      <c r="J7" s="6">
        <v>3300</v>
      </c>
      <c r="K7" s="6">
        <v>3300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54</v>
      </c>
      <c r="R7" s="4">
        <v>0</v>
      </c>
      <c r="S7" s="4" t="s">
        <v>107</v>
      </c>
      <c r="U7" s="4">
        <v>19</v>
      </c>
      <c r="V7" s="4">
        <v>0</v>
      </c>
      <c r="W7" s="4">
        <v>0</v>
      </c>
    </row>
    <row r="8" spans="1:23" ht="11.25" customHeight="1" x14ac:dyDescent="0.25">
      <c r="A8" s="4" t="s">
        <v>21</v>
      </c>
      <c r="B8" s="4" t="s">
        <v>53</v>
      </c>
      <c r="C8" s="4" t="s">
        <v>36</v>
      </c>
      <c r="D8" s="4" t="s">
        <v>34</v>
      </c>
      <c r="E8" s="4" t="s">
        <v>25</v>
      </c>
      <c r="F8" s="4" t="s">
        <v>25</v>
      </c>
      <c r="G8" s="4" t="s">
        <v>25</v>
      </c>
      <c r="H8" s="4" t="s">
        <v>38</v>
      </c>
      <c r="I8" s="5">
        <v>44562</v>
      </c>
      <c r="J8" s="6">
        <v>3300</v>
      </c>
      <c r="K8" s="6">
        <v>3300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54</v>
      </c>
      <c r="R8" s="4">
        <v>0</v>
      </c>
      <c r="S8" s="4" t="s">
        <v>108</v>
      </c>
      <c r="U8" s="4">
        <v>19</v>
      </c>
      <c r="V8" s="4">
        <v>0</v>
      </c>
      <c r="W8" s="4">
        <v>0</v>
      </c>
    </row>
    <row r="9" spans="1:23" ht="11.25" customHeight="1" x14ac:dyDescent="0.25">
      <c r="A9" s="4" t="s">
        <v>21</v>
      </c>
      <c r="B9" s="4" t="s">
        <v>53</v>
      </c>
      <c r="C9" s="4" t="s">
        <v>36</v>
      </c>
      <c r="D9" s="4" t="s">
        <v>34</v>
      </c>
      <c r="E9" s="4" t="s">
        <v>25</v>
      </c>
      <c r="F9" s="4" t="s">
        <v>25</v>
      </c>
      <c r="G9" s="4" t="s">
        <v>25</v>
      </c>
      <c r="H9" s="4" t="s">
        <v>38</v>
      </c>
      <c r="I9" s="5">
        <v>44593</v>
      </c>
      <c r="J9" s="6">
        <v>3300</v>
      </c>
      <c r="K9" s="6">
        <v>3300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54</v>
      </c>
      <c r="R9" s="4">
        <v>0</v>
      </c>
      <c r="S9" s="4" t="s">
        <v>109</v>
      </c>
      <c r="U9" s="4">
        <v>19</v>
      </c>
      <c r="V9" s="4">
        <v>0</v>
      </c>
      <c r="W9" s="4">
        <v>0</v>
      </c>
    </row>
    <row r="10" spans="1:23" ht="11.25" customHeight="1" x14ac:dyDescent="0.25">
      <c r="A10" s="4" t="s">
        <v>21</v>
      </c>
      <c r="B10" s="4" t="s">
        <v>53</v>
      </c>
      <c r="C10" s="4" t="s">
        <v>36</v>
      </c>
      <c r="D10" s="4" t="s">
        <v>34</v>
      </c>
      <c r="E10" s="4" t="s">
        <v>25</v>
      </c>
      <c r="F10" s="4" t="s">
        <v>25</v>
      </c>
      <c r="G10" s="4" t="s">
        <v>25</v>
      </c>
      <c r="H10" s="4" t="s">
        <v>38</v>
      </c>
      <c r="I10" s="5">
        <v>44621</v>
      </c>
      <c r="J10" s="6">
        <v>3300</v>
      </c>
      <c r="K10" s="6">
        <v>3300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54</v>
      </c>
      <c r="R10" s="4">
        <v>0</v>
      </c>
      <c r="S10" s="4" t="s">
        <v>110</v>
      </c>
      <c r="U10" s="4">
        <v>19</v>
      </c>
      <c r="V10" s="4">
        <v>0</v>
      </c>
      <c r="W10" s="4">
        <v>0</v>
      </c>
    </row>
    <row r="11" spans="1:23" ht="11.25" customHeight="1" x14ac:dyDescent="0.25">
      <c r="A11" s="4" t="s">
        <v>65</v>
      </c>
      <c r="B11" s="4" t="s">
        <v>53</v>
      </c>
      <c r="C11" s="4" t="s">
        <v>36</v>
      </c>
      <c r="D11" s="4" t="s">
        <v>34</v>
      </c>
      <c r="E11" s="4" t="s">
        <v>25</v>
      </c>
      <c r="F11" s="4" t="s">
        <v>25</v>
      </c>
      <c r="G11" s="4" t="s">
        <v>25</v>
      </c>
      <c r="H11" s="4" t="s">
        <v>38</v>
      </c>
      <c r="I11" s="5">
        <v>44652</v>
      </c>
      <c r="J11" s="6">
        <v>3300</v>
      </c>
      <c r="K11" s="6">
        <v>3300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54</v>
      </c>
      <c r="R11" s="4">
        <v>0</v>
      </c>
      <c r="S11" s="4" t="s">
        <v>111</v>
      </c>
      <c r="U11" s="4">
        <v>19</v>
      </c>
      <c r="V11" s="4">
        <v>0</v>
      </c>
      <c r="W11" s="4">
        <v>0</v>
      </c>
    </row>
    <row r="12" spans="1:23" ht="11.25" customHeight="1" x14ac:dyDescent="0.25">
      <c r="A12" s="4" t="s">
        <v>21</v>
      </c>
      <c r="B12" s="4" t="s">
        <v>53</v>
      </c>
      <c r="C12" s="4" t="s">
        <v>36</v>
      </c>
      <c r="D12" s="4" t="s">
        <v>34</v>
      </c>
      <c r="E12" s="4" t="s">
        <v>25</v>
      </c>
      <c r="F12" s="4" t="s">
        <v>25</v>
      </c>
      <c r="G12" s="4" t="s">
        <v>25</v>
      </c>
      <c r="H12" s="4" t="s">
        <v>38</v>
      </c>
      <c r="I12" s="5">
        <v>44682</v>
      </c>
      <c r="J12" s="6">
        <v>3300</v>
      </c>
      <c r="K12" s="6">
        <v>3300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54</v>
      </c>
      <c r="R12" s="4">
        <v>0</v>
      </c>
      <c r="S12" s="4" t="s">
        <v>112</v>
      </c>
      <c r="U12" s="4">
        <v>19</v>
      </c>
      <c r="V12" s="4">
        <v>0</v>
      </c>
      <c r="W12" s="4">
        <v>0</v>
      </c>
    </row>
    <row r="13" spans="1:23" ht="11.25" customHeight="1" x14ac:dyDescent="0.25">
      <c r="A13" s="4" t="s">
        <v>21</v>
      </c>
      <c r="B13" s="4" t="s">
        <v>53</v>
      </c>
      <c r="C13" s="4" t="s">
        <v>36</v>
      </c>
      <c r="D13" s="4" t="s">
        <v>34</v>
      </c>
      <c r="E13" s="4" t="s">
        <v>25</v>
      </c>
      <c r="F13" s="4" t="s">
        <v>25</v>
      </c>
      <c r="G13" s="4" t="s">
        <v>25</v>
      </c>
      <c r="H13" s="4" t="s">
        <v>38</v>
      </c>
      <c r="I13" s="5">
        <v>44713</v>
      </c>
      <c r="J13" s="6">
        <v>3300</v>
      </c>
      <c r="K13" s="6">
        <v>3300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54</v>
      </c>
      <c r="R13" s="4">
        <v>0</v>
      </c>
      <c r="S13" s="4" t="s">
        <v>113</v>
      </c>
      <c r="U13" s="4">
        <v>19</v>
      </c>
      <c r="V13" s="4">
        <v>0</v>
      </c>
      <c r="W13" s="4">
        <v>0</v>
      </c>
    </row>
    <row r="14" spans="1:23" ht="11.25" customHeight="1" x14ac:dyDescent="0.25">
      <c r="A14" s="4" t="s">
        <v>21</v>
      </c>
      <c r="B14" s="4" t="s">
        <v>53</v>
      </c>
      <c r="C14" s="4" t="s">
        <v>36</v>
      </c>
      <c r="D14" s="4" t="s">
        <v>34</v>
      </c>
      <c r="E14" s="4" t="s">
        <v>25</v>
      </c>
      <c r="F14" s="4" t="s">
        <v>25</v>
      </c>
      <c r="G14" s="4" t="s">
        <v>25</v>
      </c>
      <c r="H14" s="4" t="s">
        <v>25</v>
      </c>
      <c r="I14" s="5">
        <v>44378</v>
      </c>
      <c r="J14" s="6">
        <v>0</v>
      </c>
      <c r="K14" s="6">
        <v>0</v>
      </c>
      <c r="L14" s="6">
        <v>1287.8820000000001</v>
      </c>
      <c r="M14" s="6">
        <v>1287.8820000000001</v>
      </c>
      <c r="N14" s="6">
        <v>0</v>
      </c>
      <c r="O14" s="6">
        <v>0</v>
      </c>
      <c r="P14" s="6">
        <v>1</v>
      </c>
      <c r="Q14" s="4" t="s">
        <v>54</v>
      </c>
      <c r="R14" s="4">
        <v>0</v>
      </c>
      <c r="S14" s="4" t="s">
        <v>114</v>
      </c>
      <c r="U14" s="4">
        <v>0</v>
      </c>
      <c r="V14" s="4">
        <v>42</v>
      </c>
      <c r="W14" s="4">
        <v>0</v>
      </c>
    </row>
    <row r="15" spans="1:23" ht="11.25" customHeight="1" x14ac:dyDescent="0.25">
      <c r="A15" s="4" t="s">
        <v>21</v>
      </c>
      <c r="B15" s="4" t="s">
        <v>53</v>
      </c>
      <c r="C15" s="4" t="s">
        <v>36</v>
      </c>
      <c r="D15" s="4" t="s">
        <v>34</v>
      </c>
      <c r="E15" s="4" t="s">
        <v>25</v>
      </c>
      <c r="F15" s="4" t="s">
        <v>25</v>
      </c>
      <c r="G15" s="4" t="s">
        <v>25</v>
      </c>
      <c r="H15" s="4" t="s">
        <v>25</v>
      </c>
      <c r="I15" s="5">
        <v>44409</v>
      </c>
      <c r="J15" s="6">
        <v>0</v>
      </c>
      <c r="K15" s="6">
        <v>0</v>
      </c>
      <c r="L15" s="6">
        <v>1277.1189999999999</v>
      </c>
      <c r="M15" s="6">
        <v>1277.1189999999999</v>
      </c>
      <c r="N15" s="6">
        <v>0</v>
      </c>
      <c r="O15" s="6">
        <v>0</v>
      </c>
      <c r="P15" s="6">
        <v>1</v>
      </c>
      <c r="Q15" s="4" t="s">
        <v>54</v>
      </c>
      <c r="R15" s="4">
        <v>0</v>
      </c>
      <c r="S15" s="4" t="s">
        <v>115</v>
      </c>
      <c r="U15" s="4">
        <v>0</v>
      </c>
      <c r="V15" s="4">
        <v>42</v>
      </c>
      <c r="W15" s="4">
        <v>0</v>
      </c>
    </row>
    <row r="16" spans="1:23" ht="11.25" customHeight="1" x14ac:dyDescent="0.25">
      <c r="A16" s="4" t="s">
        <v>21</v>
      </c>
      <c r="B16" s="4" t="s">
        <v>53</v>
      </c>
      <c r="C16" s="4" t="s">
        <v>36</v>
      </c>
      <c r="D16" s="4" t="s">
        <v>34</v>
      </c>
      <c r="E16" s="4" t="s">
        <v>25</v>
      </c>
      <c r="F16" s="4" t="s">
        <v>25</v>
      </c>
      <c r="G16" s="4" t="s">
        <v>25</v>
      </c>
      <c r="H16" s="4" t="s">
        <v>25</v>
      </c>
      <c r="I16" s="5">
        <v>44440</v>
      </c>
      <c r="J16" s="6">
        <v>0</v>
      </c>
      <c r="K16" s="6">
        <v>0</v>
      </c>
      <c r="L16" s="6">
        <v>1380.8340000000001</v>
      </c>
      <c r="M16" s="6">
        <v>1380.8340000000001</v>
      </c>
      <c r="N16" s="6">
        <v>0</v>
      </c>
      <c r="O16" s="6">
        <v>0</v>
      </c>
      <c r="P16" s="6">
        <v>1</v>
      </c>
      <c r="Q16" s="4" t="s">
        <v>54</v>
      </c>
      <c r="R16" s="4">
        <v>0</v>
      </c>
      <c r="S16" s="4" t="s">
        <v>116</v>
      </c>
      <c r="U16" s="4">
        <v>0</v>
      </c>
      <c r="V16" s="4">
        <v>42</v>
      </c>
      <c r="W16" s="4">
        <v>0</v>
      </c>
    </row>
    <row r="17" spans="1:23" ht="11.25" customHeight="1" x14ac:dyDescent="0.25">
      <c r="A17" s="4" t="s">
        <v>21</v>
      </c>
      <c r="B17" s="4" t="s">
        <v>53</v>
      </c>
      <c r="C17" s="4" t="s">
        <v>36</v>
      </c>
      <c r="D17" s="4" t="s">
        <v>34</v>
      </c>
      <c r="E17" s="4" t="s">
        <v>25</v>
      </c>
      <c r="F17" s="4" t="s">
        <v>25</v>
      </c>
      <c r="G17" s="4" t="s">
        <v>25</v>
      </c>
      <c r="H17" s="4" t="s">
        <v>25</v>
      </c>
      <c r="I17" s="5">
        <v>44470</v>
      </c>
      <c r="J17" s="6">
        <v>0</v>
      </c>
      <c r="K17" s="6">
        <v>0</v>
      </c>
      <c r="L17" s="6">
        <v>1365.3340000000001</v>
      </c>
      <c r="M17" s="6">
        <v>1365.3340000000001</v>
      </c>
      <c r="N17" s="6">
        <v>0</v>
      </c>
      <c r="O17" s="6">
        <v>0</v>
      </c>
      <c r="P17" s="6">
        <v>1</v>
      </c>
      <c r="Q17" s="4" t="s">
        <v>54</v>
      </c>
      <c r="R17" s="4">
        <v>0</v>
      </c>
      <c r="S17" s="4" t="s">
        <v>117</v>
      </c>
      <c r="U17" s="4">
        <v>0</v>
      </c>
      <c r="V17" s="4">
        <v>42</v>
      </c>
      <c r="W17" s="4">
        <v>0</v>
      </c>
    </row>
    <row r="18" spans="1:23" ht="11.25" customHeight="1" x14ac:dyDescent="0.25">
      <c r="A18" s="4" t="s">
        <v>21</v>
      </c>
      <c r="B18" s="4" t="s">
        <v>53</v>
      </c>
      <c r="C18" s="4" t="s">
        <v>36</v>
      </c>
      <c r="D18" s="4" t="s">
        <v>34</v>
      </c>
      <c r="E18" s="4" t="s">
        <v>25</v>
      </c>
      <c r="F18" s="4" t="s">
        <v>25</v>
      </c>
      <c r="G18" s="4" t="s">
        <v>25</v>
      </c>
      <c r="H18" s="4" t="s">
        <v>25</v>
      </c>
      <c r="I18" s="5">
        <v>44501</v>
      </c>
      <c r="J18" s="6">
        <v>0</v>
      </c>
      <c r="K18" s="6">
        <v>0</v>
      </c>
      <c r="L18" s="6">
        <v>1450.1990000000001</v>
      </c>
      <c r="M18" s="6">
        <v>1450.1990000000001</v>
      </c>
      <c r="N18" s="6">
        <v>0</v>
      </c>
      <c r="O18" s="6">
        <v>0</v>
      </c>
      <c r="P18" s="6">
        <v>1</v>
      </c>
      <c r="Q18" s="4" t="s">
        <v>54</v>
      </c>
      <c r="R18" s="4">
        <v>0</v>
      </c>
      <c r="S18" s="4" t="s">
        <v>118</v>
      </c>
      <c r="U18" s="4">
        <v>0</v>
      </c>
      <c r="V18" s="4">
        <v>42</v>
      </c>
      <c r="W18" s="4">
        <v>0</v>
      </c>
    </row>
    <row r="19" spans="1:23" ht="11.25" customHeight="1" x14ac:dyDescent="0.25">
      <c r="A19" s="4" t="s">
        <v>65</v>
      </c>
      <c r="B19" s="4" t="s">
        <v>53</v>
      </c>
      <c r="C19" s="4" t="s">
        <v>36</v>
      </c>
      <c r="D19" s="4" t="s">
        <v>34</v>
      </c>
      <c r="E19" s="4" t="s">
        <v>25</v>
      </c>
      <c r="F19" s="4" t="s">
        <v>25</v>
      </c>
      <c r="G19" s="4" t="s">
        <v>25</v>
      </c>
      <c r="H19" s="4" t="s">
        <v>25</v>
      </c>
      <c r="I19" s="5">
        <v>44531</v>
      </c>
      <c r="J19" s="6">
        <v>0</v>
      </c>
      <c r="K19" s="6">
        <v>0</v>
      </c>
      <c r="L19" s="6">
        <v>1450.1990000000001</v>
      </c>
      <c r="M19" s="6">
        <v>1450.1990000000001</v>
      </c>
      <c r="N19" s="6">
        <v>0</v>
      </c>
      <c r="O19" s="6">
        <v>0</v>
      </c>
      <c r="P19" s="6">
        <v>1</v>
      </c>
      <c r="Q19" s="4" t="s">
        <v>54</v>
      </c>
      <c r="R19" s="4">
        <v>0</v>
      </c>
      <c r="S19" s="4" t="s">
        <v>119</v>
      </c>
      <c r="U19" s="4">
        <v>0</v>
      </c>
      <c r="V19" s="4">
        <v>42</v>
      </c>
      <c r="W19" s="4">
        <v>0</v>
      </c>
    </row>
    <row r="20" spans="1:23" ht="11.25" customHeight="1" x14ac:dyDescent="0.25">
      <c r="A20" s="4" t="s">
        <v>21</v>
      </c>
      <c r="B20" s="4" t="s">
        <v>53</v>
      </c>
      <c r="C20" s="4" t="s">
        <v>36</v>
      </c>
      <c r="D20" s="4" t="s">
        <v>34</v>
      </c>
      <c r="E20" s="4" t="s">
        <v>25</v>
      </c>
      <c r="F20" s="4" t="s">
        <v>25</v>
      </c>
      <c r="G20" s="4" t="s">
        <v>25</v>
      </c>
      <c r="H20" s="4" t="s">
        <v>25</v>
      </c>
      <c r="I20" s="5">
        <v>44562</v>
      </c>
      <c r="J20" s="6">
        <v>0</v>
      </c>
      <c r="K20" s="6">
        <v>0</v>
      </c>
      <c r="L20" s="6">
        <v>1424.0119999999999</v>
      </c>
      <c r="M20" s="6">
        <v>1424.0119999999999</v>
      </c>
      <c r="N20" s="6">
        <v>0</v>
      </c>
      <c r="O20" s="6">
        <v>0</v>
      </c>
      <c r="P20" s="6">
        <v>1</v>
      </c>
      <c r="Q20" s="4" t="s">
        <v>54</v>
      </c>
      <c r="R20" s="4">
        <v>0</v>
      </c>
      <c r="S20" s="4" t="s">
        <v>120</v>
      </c>
      <c r="U20" s="4">
        <v>0</v>
      </c>
      <c r="V20" s="4">
        <v>42</v>
      </c>
      <c r="W20" s="4">
        <v>0</v>
      </c>
    </row>
    <row r="21" spans="1:23" ht="11.25" customHeight="1" x14ac:dyDescent="0.25">
      <c r="A21" s="4" t="s">
        <v>21</v>
      </c>
      <c r="B21" s="4" t="s">
        <v>53</v>
      </c>
      <c r="C21" s="4" t="s">
        <v>36</v>
      </c>
      <c r="D21" s="4" t="s">
        <v>34</v>
      </c>
      <c r="E21" s="4" t="s">
        <v>25</v>
      </c>
      <c r="F21" s="4" t="s">
        <v>25</v>
      </c>
      <c r="G21" s="4" t="s">
        <v>25</v>
      </c>
      <c r="H21" s="4" t="s">
        <v>25</v>
      </c>
      <c r="I21" s="5">
        <v>44593</v>
      </c>
      <c r="J21" s="6">
        <v>0</v>
      </c>
      <c r="K21" s="6">
        <v>0</v>
      </c>
      <c r="L21" s="6">
        <v>1638.89</v>
      </c>
      <c r="M21" s="6">
        <v>1638.89</v>
      </c>
      <c r="N21" s="6">
        <v>0</v>
      </c>
      <c r="O21" s="6">
        <v>0</v>
      </c>
      <c r="P21" s="6">
        <v>1</v>
      </c>
      <c r="Q21" s="4" t="s">
        <v>54</v>
      </c>
      <c r="R21" s="4">
        <v>0</v>
      </c>
      <c r="S21" s="4" t="s">
        <v>121</v>
      </c>
      <c r="U21" s="4">
        <v>0</v>
      </c>
      <c r="V21" s="4">
        <v>42</v>
      </c>
      <c r="W21" s="4">
        <v>0</v>
      </c>
    </row>
    <row r="22" spans="1:23" ht="11.25" customHeight="1" x14ac:dyDescent="0.25">
      <c r="A22" s="4" t="s">
        <v>21</v>
      </c>
      <c r="B22" s="4" t="s">
        <v>53</v>
      </c>
      <c r="C22" s="4" t="s">
        <v>36</v>
      </c>
      <c r="D22" s="4" t="s">
        <v>34</v>
      </c>
      <c r="E22" s="4" t="s">
        <v>25</v>
      </c>
      <c r="F22" s="4" t="s">
        <v>25</v>
      </c>
      <c r="G22" s="4" t="s">
        <v>25</v>
      </c>
      <c r="H22" s="4" t="s">
        <v>25</v>
      </c>
      <c r="I22" s="5">
        <v>44621</v>
      </c>
      <c r="J22" s="6">
        <v>0</v>
      </c>
      <c r="K22" s="6">
        <v>0</v>
      </c>
      <c r="L22" s="6">
        <v>1425.896</v>
      </c>
      <c r="M22" s="6">
        <v>1425.896</v>
      </c>
      <c r="N22" s="6">
        <v>0</v>
      </c>
      <c r="O22" s="6">
        <v>0</v>
      </c>
      <c r="P22" s="6">
        <v>1</v>
      </c>
      <c r="Q22" s="4" t="s">
        <v>54</v>
      </c>
      <c r="R22" s="4">
        <v>0</v>
      </c>
      <c r="S22" s="4" t="s">
        <v>122</v>
      </c>
      <c r="U22" s="4">
        <v>0</v>
      </c>
      <c r="V22" s="4">
        <v>42</v>
      </c>
      <c r="W22" s="4">
        <v>0</v>
      </c>
    </row>
    <row r="23" spans="1:23" ht="11.25" customHeight="1" x14ac:dyDescent="0.25">
      <c r="A23" s="4" t="s">
        <v>65</v>
      </c>
      <c r="B23" s="4" t="s">
        <v>53</v>
      </c>
      <c r="C23" s="4" t="s">
        <v>36</v>
      </c>
      <c r="D23" s="4" t="s">
        <v>34</v>
      </c>
      <c r="E23" s="4" t="s">
        <v>25</v>
      </c>
      <c r="F23" s="4" t="s">
        <v>25</v>
      </c>
      <c r="G23" s="4" t="s">
        <v>25</v>
      </c>
      <c r="H23" s="4" t="s">
        <v>25</v>
      </c>
      <c r="I23" s="5">
        <v>44652</v>
      </c>
      <c r="J23" s="6">
        <v>0</v>
      </c>
      <c r="K23" s="6">
        <v>0</v>
      </c>
      <c r="L23" s="6">
        <v>1425.896</v>
      </c>
      <c r="M23" s="6">
        <v>1425.896</v>
      </c>
      <c r="N23" s="6">
        <v>0</v>
      </c>
      <c r="O23" s="6">
        <v>0</v>
      </c>
      <c r="P23" s="6">
        <v>1</v>
      </c>
      <c r="Q23" s="4" t="s">
        <v>54</v>
      </c>
      <c r="R23" s="4">
        <v>0</v>
      </c>
      <c r="S23" s="4" t="s">
        <v>123</v>
      </c>
      <c r="U23" s="4">
        <v>0</v>
      </c>
      <c r="V23" s="4">
        <v>42</v>
      </c>
      <c r="W23" s="4">
        <v>0</v>
      </c>
    </row>
    <row r="24" spans="1:23" ht="11.25" customHeight="1" x14ac:dyDescent="0.25">
      <c r="A24" s="4" t="s">
        <v>21</v>
      </c>
      <c r="B24" s="4" t="s">
        <v>53</v>
      </c>
      <c r="C24" s="4" t="s">
        <v>36</v>
      </c>
      <c r="D24" s="4" t="s">
        <v>34</v>
      </c>
      <c r="E24" s="4" t="s">
        <v>25</v>
      </c>
      <c r="F24" s="4" t="s">
        <v>25</v>
      </c>
      <c r="G24" s="4" t="s">
        <v>25</v>
      </c>
      <c r="H24" s="4" t="s">
        <v>25</v>
      </c>
      <c r="I24" s="5">
        <v>44682</v>
      </c>
      <c r="J24" s="6">
        <v>0</v>
      </c>
      <c r="K24" s="6">
        <v>0</v>
      </c>
      <c r="L24" s="6">
        <v>1382.0039999999999</v>
      </c>
      <c r="M24" s="6">
        <v>1382.0039999999999</v>
      </c>
      <c r="N24" s="6">
        <v>0</v>
      </c>
      <c r="O24" s="6">
        <v>0</v>
      </c>
      <c r="P24" s="6">
        <v>1</v>
      </c>
      <c r="Q24" s="4" t="s">
        <v>54</v>
      </c>
      <c r="R24" s="4">
        <v>0</v>
      </c>
      <c r="S24" s="4" t="s">
        <v>124</v>
      </c>
      <c r="U24" s="4">
        <v>0</v>
      </c>
      <c r="V24" s="4">
        <v>42</v>
      </c>
      <c r="W24" s="4">
        <v>0</v>
      </c>
    </row>
    <row r="25" spans="1:23" ht="11.25" customHeight="1" x14ac:dyDescent="0.25">
      <c r="A25" s="4" t="s">
        <v>21</v>
      </c>
      <c r="B25" s="4" t="s">
        <v>53</v>
      </c>
      <c r="C25" s="4" t="s">
        <v>36</v>
      </c>
      <c r="D25" s="4" t="s">
        <v>34</v>
      </c>
      <c r="E25" s="4" t="s">
        <v>25</v>
      </c>
      <c r="F25" s="4" t="s">
        <v>25</v>
      </c>
      <c r="G25" s="4" t="s">
        <v>25</v>
      </c>
      <c r="H25" s="4" t="s">
        <v>25</v>
      </c>
      <c r="I25" s="5">
        <v>44713</v>
      </c>
      <c r="J25" s="6">
        <v>0</v>
      </c>
      <c r="K25" s="6">
        <v>0</v>
      </c>
      <c r="L25" s="6">
        <v>1365.4870000000001</v>
      </c>
      <c r="M25" s="6">
        <v>1365.4870000000001</v>
      </c>
      <c r="N25" s="6">
        <v>0</v>
      </c>
      <c r="O25" s="6">
        <v>0</v>
      </c>
      <c r="P25" s="6">
        <v>1</v>
      </c>
      <c r="Q25" s="4" t="s">
        <v>54</v>
      </c>
      <c r="R25" s="4">
        <v>0</v>
      </c>
      <c r="S25" s="4" t="s">
        <v>125</v>
      </c>
      <c r="U25" s="4">
        <v>0</v>
      </c>
      <c r="V25" s="4">
        <v>42</v>
      </c>
      <c r="W25" s="4">
        <v>0</v>
      </c>
    </row>
    <row r="26" spans="1:23" ht="11.25" customHeight="1" x14ac:dyDescent="0.25">
      <c r="A26" s="4" t="s">
        <v>21</v>
      </c>
      <c r="B26" s="4" t="s">
        <v>53</v>
      </c>
      <c r="C26" s="4" t="s">
        <v>36</v>
      </c>
      <c r="D26" s="4" t="s">
        <v>34</v>
      </c>
      <c r="E26" s="4" t="s">
        <v>25</v>
      </c>
      <c r="F26" s="4" t="s">
        <v>25</v>
      </c>
      <c r="G26" s="4" t="s">
        <v>25</v>
      </c>
      <c r="H26" s="4" t="s">
        <v>37</v>
      </c>
      <c r="I26" s="5">
        <v>44378</v>
      </c>
      <c r="J26" s="6">
        <v>3300</v>
      </c>
      <c r="K26" s="6">
        <v>3300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54</v>
      </c>
      <c r="R26" s="4">
        <v>0</v>
      </c>
      <c r="S26" s="4" t="s">
        <v>126</v>
      </c>
      <c r="U26" s="4">
        <v>43</v>
      </c>
      <c r="V26" s="4">
        <v>0</v>
      </c>
      <c r="W26" s="4">
        <v>0</v>
      </c>
    </row>
    <row r="27" spans="1:23" ht="11.25" customHeight="1" x14ac:dyDescent="0.25">
      <c r="A27" s="4" t="s">
        <v>21</v>
      </c>
      <c r="B27" s="4" t="s">
        <v>53</v>
      </c>
      <c r="C27" s="4" t="s">
        <v>36</v>
      </c>
      <c r="D27" s="4" t="s">
        <v>34</v>
      </c>
      <c r="E27" s="4" t="s">
        <v>25</v>
      </c>
      <c r="F27" s="4" t="s">
        <v>25</v>
      </c>
      <c r="G27" s="4" t="s">
        <v>25</v>
      </c>
      <c r="H27" s="4" t="s">
        <v>37</v>
      </c>
      <c r="I27" s="5">
        <v>44409</v>
      </c>
      <c r="J27" s="6">
        <v>3300</v>
      </c>
      <c r="K27" s="6">
        <v>3300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54</v>
      </c>
      <c r="R27" s="4">
        <v>0</v>
      </c>
      <c r="S27" s="4" t="s">
        <v>127</v>
      </c>
      <c r="U27" s="4">
        <v>43</v>
      </c>
      <c r="V27" s="4">
        <v>0</v>
      </c>
      <c r="W27" s="4">
        <v>0</v>
      </c>
    </row>
    <row r="28" spans="1:23" ht="11.25" customHeight="1" x14ac:dyDescent="0.25">
      <c r="A28" s="4" t="s">
        <v>21</v>
      </c>
      <c r="B28" s="4" t="s">
        <v>53</v>
      </c>
      <c r="C28" s="4" t="s">
        <v>36</v>
      </c>
      <c r="D28" s="4" t="s">
        <v>34</v>
      </c>
      <c r="E28" s="4" t="s">
        <v>25</v>
      </c>
      <c r="F28" s="4" t="s">
        <v>25</v>
      </c>
      <c r="G28" s="4" t="s">
        <v>25</v>
      </c>
      <c r="H28" s="4" t="s">
        <v>37</v>
      </c>
      <c r="I28" s="5">
        <v>44440</v>
      </c>
      <c r="J28" s="6">
        <v>3300</v>
      </c>
      <c r="K28" s="6">
        <v>3300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54</v>
      </c>
      <c r="R28" s="4">
        <v>0</v>
      </c>
      <c r="S28" s="4" t="s">
        <v>128</v>
      </c>
      <c r="U28" s="4">
        <v>43</v>
      </c>
      <c r="V28" s="4">
        <v>0</v>
      </c>
      <c r="W28" s="4">
        <v>0</v>
      </c>
    </row>
    <row r="29" spans="1:23" ht="11.25" customHeight="1" x14ac:dyDescent="0.25">
      <c r="A29" s="4" t="s">
        <v>21</v>
      </c>
      <c r="B29" s="4" t="s">
        <v>53</v>
      </c>
      <c r="C29" s="4" t="s">
        <v>36</v>
      </c>
      <c r="D29" s="4" t="s">
        <v>34</v>
      </c>
      <c r="E29" s="4" t="s">
        <v>25</v>
      </c>
      <c r="F29" s="4" t="s">
        <v>25</v>
      </c>
      <c r="G29" s="4" t="s">
        <v>25</v>
      </c>
      <c r="H29" s="4" t="s">
        <v>37</v>
      </c>
      <c r="I29" s="5">
        <v>44470</v>
      </c>
      <c r="J29" s="6">
        <v>3300</v>
      </c>
      <c r="K29" s="6">
        <v>3300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54</v>
      </c>
      <c r="R29" s="4">
        <v>0</v>
      </c>
      <c r="S29" s="4" t="s">
        <v>129</v>
      </c>
      <c r="U29" s="4">
        <v>43</v>
      </c>
      <c r="V29" s="4">
        <v>0</v>
      </c>
      <c r="W29" s="4">
        <v>0</v>
      </c>
    </row>
    <row r="30" spans="1:23" ht="11.25" customHeight="1" x14ac:dyDescent="0.25">
      <c r="A30" s="4" t="s">
        <v>21</v>
      </c>
      <c r="B30" s="4" t="s">
        <v>53</v>
      </c>
      <c r="C30" s="4" t="s">
        <v>36</v>
      </c>
      <c r="D30" s="4" t="s">
        <v>34</v>
      </c>
      <c r="E30" s="4" t="s">
        <v>25</v>
      </c>
      <c r="F30" s="4" t="s">
        <v>25</v>
      </c>
      <c r="G30" s="4" t="s">
        <v>25</v>
      </c>
      <c r="H30" s="4" t="s">
        <v>37</v>
      </c>
      <c r="I30" s="5">
        <v>44501</v>
      </c>
      <c r="J30" s="6">
        <v>3300</v>
      </c>
      <c r="K30" s="6">
        <v>3300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54</v>
      </c>
      <c r="R30" s="4">
        <v>0</v>
      </c>
      <c r="S30" s="4" t="s">
        <v>130</v>
      </c>
      <c r="U30" s="4">
        <v>43</v>
      </c>
      <c r="V30" s="4">
        <v>0</v>
      </c>
      <c r="W30" s="4">
        <v>0</v>
      </c>
    </row>
    <row r="31" spans="1:23" ht="11.25" customHeight="1" x14ac:dyDescent="0.25">
      <c r="A31" s="4" t="s">
        <v>65</v>
      </c>
      <c r="B31" s="4" t="s">
        <v>53</v>
      </c>
      <c r="C31" s="4" t="s">
        <v>36</v>
      </c>
      <c r="D31" s="4" t="s">
        <v>34</v>
      </c>
      <c r="E31" s="4" t="s">
        <v>25</v>
      </c>
      <c r="F31" s="4" t="s">
        <v>25</v>
      </c>
      <c r="G31" s="4" t="s">
        <v>25</v>
      </c>
      <c r="H31" s="4" t="s">
        <v>37</v>
      </c>
      <c r="I31" s="5">
        <v>44531</v>
      </c>
      <c r="J31" s="6">
        <v>3300</v>
      </c>
      <c r="K31" s="6">
        <v>3300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54</v>
      </c>
      <c r="R31" s="4">
        <v>0</v>
      </c>
      <c r="S31" s="4" t="s">
        <v>131</v>
      </c>
      <c r="U31" s="4">
        <v>43</v>
      </c>
      <c r="V31" s="4">
        <v>0</v>
      </c>
      <c r="W31" s="4">
        <v>0</v>
      </c>
    </row>
    <row r="32" spans="1:23" ht="11.25" customHeight="1" x14ac:dyDescent="0.25">
      <c r="A32" s="4" t="s">
        <v>21</v>
      </c>
      <c r="B32" s="4" t="s">
        <v>53</v>
      </c>
      <c r="C32" s="4" t="s">
        <v>36</v>
      </c>
      <c r="D32" s="4" t="s">
        <v>34</v>
      </c>
      <c r="E32" s="4" t="s">
        <v>25</v>
      </c>
      <c r="F32" s="4" t="s">
        <v>25</v>
      </c>
      <c r="G32" s="4" t="s">
        <v>25</v>
      </c>
      <c r="H32" s="4" t="s">
        <v>37</v>
      </c>
      <c r="I32" s="5">
        <v>44562</v>
      </c>
      <c r="J32" s="6">
        <v>3300</v>
      </c>
      <c r="K32" s="6">
        <v>3300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54</v>
      </c>
      <c r="R32" s="4">
        <v>0</v>
      </c>
      <c r="S32" s="4" t="s">
        <v>132</v>
      </c>
      <c r="U32" s="4">
        <v>43</v>
      </c>
      <c r="V32" s="4">
        <v>0</v>
      </c>
      <c r="W32" s="4">
        <v>0</v>
      </c>
    </row>
    <row r="33" spans="1:23" ht="11.25" customHeight="1" x14ac:dyDescent="0.25">
      <c r="A33" s="4" t="s">
        <v>21</v>
      </c>
      <c r="B33" s="4" t="s">
        <v>53</v>
      </c>
      <c r="C33" s="4" t="s">
        <v>36</v>
      </c>
      <c r="D33" s="4" t="s">
        <v>34</v>
      </c>
      <c r="E33" s="4" t="s">
        <v>25</v>
      </c>
      <c r="F33" s="4" t="s">
        <v>25</v>
      </c>
      <c r="G33" s="4" t="s">
        <v>25</v>
      </c>
      <c r="H33" s="4" t="s">
        <v>37</v>
      </c>
      <c r="I33" s="5">
        <v>44593</v>
      </c>
      <c r="J33" s="6">
        <v>3300</v>
      </c>
      <c r="K33" s="6">
        <v>3300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54</v>
      </c>
      <c r="R33" s="4">
        <v>0</v>
      </c>
      <c r="S33" s="4" t="s">
        <v>133</v>
      </c>
      <c r="U33" s="4">
        <v>43</v>
      </c>
      <c r="V33" s="4">
        <v>0</v>
      </c>
      <c r="W33" s="4">
        <v>0</v>
      </c>
    </row>
    <row r="34" spans="1:23" ht="11.25" customHeight="1" x14ac:dyDescent="0.25">
      <c r="A34" s="4" t="s">
        <v>21</v>
      </c>
      <c r="B34" s="4" t="s">
        <v>53</v>
      </c>
      <c r="C34" s="4" t="s">
        <v>36</v>
      </c>
      <c r="D34" s="4" t="s">
        <v>34</v>
      </c>
      <c r="E34" s="4" t="s">
        <v>25</v>
      </c>
      <c r="F34" s="4" t="s">
        <v>25</v>
      </c>
      <c r="G34" s="4" t="s">
        <v>25</v>
      </c>
      <c r="H34" s="4" t="s">
        <v>37</v>
      </c>
      <c r="I34" s="5">
        <v>44621</v>
      </c>
      <c r="J34" s="6">
        <v>3300</v>
      </c>
      <c r="K34" s="6">
        <v>3300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54</v>
      </c>
      <c r="R34" s="4">
        <v>0</v>
      </c>
      <c r="S34" s="4" t="s">
        <v>134</v>
      </c>
      <c r="U34" s="4">
        <v>43</v>
      </c>
      <c r="V34" s="4">
        <v>0</v>
      </c>
      <c r="W34" s="4">
        <v>0</v>
      </c>
    </row>
    <row r="35" spans="1:23" ht="11.25" customHeight="1" x14ac:dyDescent="0.25">
      <c r="A35" s="4" t="s">
        <v>65</v>
      </c>
      <c r="B35" s="4" t="s">
        <v>53</v>
      </c>
      <c r="C35" s="4" t="s">
        <v>36</v>
      </c>
      <c r="D35" s="4" t="s">
        <v>34</v>
      </c>
      <c r="E35" s="4" t="s">
        <v>25</v>
      </c>
      <c r="F35" s="4" t="s">
        <v>25</v>
      </c>
      <c r="G35" s="4" t="s">
        <v>25</v>
      </c>
      <c r="H35" s="4" t="s">
        <v>37</v>
      </c>
      <c r="I35" s="5">
        <v>44652</v>
      </c>
      <c r="J35" s="6">
        <v>3300</v>
      </c>
      <c r="K35" s="6">
        <v>3300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54</v>
      </c>
      <c r="R35" s="4">
        <v>0</v>
      </c>
      <c r="S35" s="4" t="s">
        <v>135</v>
      </c>
      <c r="U35" s="4">
        <v>43</v>
      </c>
      <c r="V35" s="4">
        <v>0</v>
      </c>
      <c r="W35" s="4">
        <v>0</v>
      </c>
    </row>
    <row r="36" spans="1:23" ht="11.25" customHeight="1" x14ac:dyDescent="0.25">
      <c r="A36" s="4" t="s">
        <v>21</v>
      </c>
      <c r="B36" s="4" t="s">
        <v>53</v>
      </c>
      <c r="C36" s="4" t="s">
        <v>36</v>
      </c>
      <c r="D36" s="4" t="s">
        <v>34</v>
      </c>
      <c r="E36" s="4" t="s">
        <v>25</v>
      </c>
      <c r="F36" s="4" t="s">
        <v>25</v>
      </c>
      <c r="G36" s="4" t="s">
        <v>25</v>
      </c>
      <c r="H36" s="4" t="s">
        <v>37</v>
      </c>
      <c r="I36" s="5">
        <v>44682</v>
      </c>
      <c r="J36" s="6">
        <v>3300</v>
      </c>
      <c r="K36" s="6">
        <v>3300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54</v>
      </c>
      <c r="R36" s="4">
        <v>0</v>
      </c>
      <c r="S36" s="4" t="s">
        <v>136</v>
      </c>
      <c r="U36" s="4">
        <v>43</v>
      </c>
      <c r="V36" s="4">
        <v>0</v>
      </c>
      <c r="W36" s="4">
        <v>0</v>
      </c>
    </row>
    <row r="37" spans="1:23" ht="11.25" customHeight="1" x14ac:dyDescent="0.25">
      <c r="A37" s="4" t="s">
        <v>21</v>
      </c>
      <c r="B37" s="4" t="s">
        <v>53</v>
      </c>
      <c r="C37" s="4" t="s">
        <v>36</v>
      </c>
      <c r="D37" s="4" t="s">
        <v>34</v>
      </c>
      <c r="E37" s="4" t="s">
        <v>25</v>
      </c>
      <c r="F37" s="4" t="s">
        <v>25</v>
      </c>
      <c r="G37" s="4" t="s">
        <v>25</v>
      </c>
      <c r="H37" s="4" t="s">
        <v>37</v>
      </c>
      <c r="I37" s="5">
        <v>44713</v>
      </c>
      <c r="J37" s="6">
        <v>3300</v>
      </c>
      <c r="K37" s="6">
        <v>3300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54</v>
      </c>
      <c r="R37" s="4">
        <v>0</v>
      </c>
      <c r="S37" s="4" t="s">
        <v>137</v>
      </c>
      <c r="U37" s="4">
        <v>43</v>
      </c>
      <c r="V37" s="4">
        <v>0</v>
      </c>
      <c r="W37" s="4">
        <v>0</v>
      </c>
    </row>
    <row r="38" spans="1:23" ht="11.25" customHeight="1" x14ac:dyDescent="0.25">
      <c r="A38" s="4" t="s">
        <v>21</v>
      </c>
      <c r="B38" s="4" t="s">
        <v>35</v>
      </c>
      <c r="C38" s="4" t="s">
        <v>36</v>
      </c>
      <c r="D38" s="4" t="s">
        <v>40</v>
      </c>
      <c r="E38" s="4" t="s">
        <v>25</v>
      </c>
      <c r="F38" s="4" t="s">
        <v>25</v>
      </c>
      <c r="G38" s="4" t="s">
        <v>25</v>
      </c>
      <c r="H38" s="4" t="s">
        <v>38</v>
      </c>
      <c r="I38" s="5">
        <v>44378</v>
      </c>
      <c r="J38" s="6">
        <v>581</v>
      </c>
      <c r="K38" s="6">
        <v>581</v>
      </c>
      <c r="L38" s="6">
        <v>162.06299999999999</v>
      </c>
      <c r="M38" s="6">
        <v>162.06299999999999</v>
      </c>
      <c r="N38" s="6">
        <v>162.06299999999999</v>
      </c>
      <c r="O38" s="6">
        <v>162.06299999999999</v>
      </c>
      <c r="P38" s="6">
        <v>0</v>
      </c>
      <c r="Q38" s="4" t="s">
        <v>26</v>
      </c>
      <c r="R38" s="4">
        <v>0</v>
      </c>
      <c r="S38" s="4" t="s">
        <v>138</v>
      </c>
      <c r="T38" s="4" t="s">
        <v>319</v>
      </c>
      <c r="U38" s="4">
        <v>8</v>
      </c>
      <c r="V38" s="4">
        <v>9</v>
      </c>
      <c r="W38" s="4">
        <v>59</v>
      </c>
    </row>
    <row r="39" spans="1:23" ht="11.25" customHeight="1" x14ac:dyDescent="0.25">
      <c r="A39" s="4" t="s">
        <v>21</v>
      </c>
      <c r="B39" s="4" t="s">
        <v>35</v>
      </c>
      <c r="C39" s="4" t="s">
        <v>36</v>
      </c>
      <c r="D39" s="4" t="s">
        <v>40</v>
      </c>
      <c r="E39" s="4" t="s">
        <v>25</v>
      </c>
      <c r="F39" s="4" t="s">
        <v>25</v>
      </c>
      <c r="G39" s="4" t="s">
        <v>25</v>
      </c>
      <c r="H39" s="4" t="s">
        <v>38</v>
      </c>
      <c r="I39" s="5">
        <v>44409</v>
      </c>
      <c r="J39" s="6">
        <v>550</v>
      </c>
      <c r="K39" s="6">
        <v>550</v>
      </c>
      <c r="L39" s="6">
        <v>166.43</v>
      </c>
      <c r="M39" s="6">
        <v>166.43</v>
      </c>
      <c r="N39" s="6">
        <v>166.43</v>
      </c>
      <c r="O39" s="6">
        <v>166.43</v>
      </c>
      <c r="P39" s="6">
        <v>0</v>
      </c>
      <c r="Q39" s="4" t="s">
        <v>26</v>
      </c>
      <c r="R39" s="4">
        <v>0</v>
      </c>
      <c r="S39" s="4" t="s">
        <v>139</v>
      </c>
      <c r="T39" s="4" t="s">
        <v>320</v>
      </c>
      <c r="U39" s="4">
        <v>8</v>
      </c>
      <c r="V39" s="4">
        <v>9</v>
      </c>
      <c r="W39" s="4">
        <v>59</v>
      </c>
    </row>
    <row r="40" spans="1:23" ht="11.25" customHeight="1" x14ac:dyDescent="0.25">
      <c r="A40" s="4" t="s">
        <v>21</v>
      </c>
      <c r="B40" s="4" t="s">
        <v>35</v>
      </c>
      <c r="C40" s="4" t="s">
        <v>36</v>
      </c>
      <c r="D40" s="4" t="s">
        <v>40</v>
      </c>
      <c r="E40" s="4" t="s">
        <v>25</v>
      </c>
      <c r="F40" s="4" t="s">
        <v>25</v>
      </c>
      <c r="G40" s="4" t="s">
        <v>25</v>
      </c>
      <c r="H40" s="4" t="s">
        <v>38</v>
      </c>
      <c r="I40" s="5">
        <v>44440</v>
      </c>
      <c r="J40" s="6">
        <v>550</v>
      </c>
      <c r="K40" s="6">
        <v>550</v>
      </c>
      <c r="L40" s="6">
        <v>162.376</v>
      </c>
      <c r="M40" s="6">
        <v>162.376</v>
      </c>
      <c r="N40" s="6">
        <v>162.376</v>
      </c>
      <c r="O40" s="6">
        <v>162.376</v>
      </c>
      <c r="P40" s="6">
        <v>0</v>
      </c>
      <c r="Q40" s="4" t="s">
        <v>26</v>
      </c>
      <c r="R40" s="4">
        <v>0</v>
      </c>
      <c r="S40" s="4" t="s">
        <v>140</v>
      </c>
      <c r="T40" s="4" t="s">
        <v>321</v>
      </c>
      <c r="U40" s="4">
        <v>8</v>
      </c>
      <c r="V40" s="4">
        <v>9</v>
      </c>
      <c r="W40" s="4">
        <v>59</v>
      </c>
    </row>
    <row r="41" spans="1:23" ht="11.25" customHeight="1" x14ac:dyDescent="0.25">
      <c r="A41" s="4" t="s">
        <v>21</v>
      </c>
      <c r="B41" s="4" t="s">
        <v>35</v>
      </c>
      <c r="C41" s="4" t="s">
        <v>36</v>
      </c>
      <c r="D41" s="4" t="s">
        <v>40</v>
      </c>
      <c r="E41" s="4" t="s">
        <v>25</v>
      </c>
      <c r="F41" s="4" t="s">
        <v>25</v>
      </c>
      <c r="G41" s="4" t="s">
        <v>25</v>
      </c>
      <c r="H41" s="4" t="s">
        <v>38</v>
      </c>
      <c r="I41" s="5">
        <v>44470</v>
      </c>
      <c r="J41" s="6">
        <v>550</v>
      </c>
      <c r="K41" s="6">
        <v>550</v>
      </c>
      <c r="L41" s="6">
        <v>162.346</v>
      </c>
      <c r="M41" s="6">
        <v>162.346</v>
      </c>
      <c r="N41" s="6">
        <v>162.346</v>
      </c>
      <c r="O41" s="6">
        <v>162.346</v>
      </c>
      <c r="P41" s="6">
        <v>0</v>
      </c>
      <c r="Q41" s="4" t="s">
        <v>26</v>
      </c>
      <c r="R41" s="4">
        <v>0</v>
      </c>
      <c r="S41" s="4" t="s">
        <v>141</v>
      </c>
      <c r="T41" s="4" t="s">
        <v>322</v>
      </c>
      <c r="U41" s="4">
        <v>8</v>
      </c>
      <c r="V41" s="4">
        <v>9</v>
      </c>
      <c r="W41" s="4">
        <v>59</v>
      </c>
    </row>
    <row r="42" spans="1:23" ht="11.25" customHeight="1" x14ac:dyDescent="0.25">
      <c r="A42" s="4" t="s">
        <v>21</v>
      </c>
      <c r="B42" s="4" t="s">
        <v>35</v>
      </c>
      <c r="C42" s="4" t="s">
        <v>36</v>
      </c>
      <c r="D42" s="4" t="s">
        <v>40</v>
      </c>
      <c r="E42" s="4" t="s">
        <v>25</v>
      </c>
      <c r="F42" s="4" t="s">
        <v>25</v>
      </c>
      <c r="G42" s="4" t="s">
        <v>25</v>
      </c>
      <c r="H42" s="4" t="s">
        <v>38</v>
      </c>
      <c r="I42" s="5">
        <v>44501</v>
      </c>
      <c r="J42" s="6">
        <v>550</v>
      </c>
      <c r="K42" s="6">
        <v>550</v>
      </c>
      <c r="L42" s="6">
        <v>167.602</v>
      </c>
      <c r="M42" s="6">
        <v>167.602</v>
      </c>
      <c r="N42" s="6">
        <v>167.602</v>
      </c>
      <c r="O42" s="6">
        <v>167.602</v>
      </c>
      <c r="P42" s="6">
        <v>0</v>
      </c>
      <c r="Q42" s="4" t="s">
        <v>26</v>
      </c>
      <c r="R42" s="4">
        <v>0</v>
      </c>
      <c r="S42" s="4" t="s">
        <v>142</v>
      </c>
      <c r="T42" s="4" t="s">
        <v>323</v>
      </c>
      <c r="U42" s="4">
        <v>8</v>
      </c>
      <c r="V42" s="4">
        <v>9</v>
      </c>
      <c r="W42" s="4">
        <v>59</v>
      </c>
    </row>
    <row r="43" spans="1:23" ht="11.25" customHeight="1" x14ac:dyDescent="0.25">
      <c r="A43" s="4" t="s">
        <v>21</v>
      </c>
      <c r="B43" s="4" t="s">
        <v>35</v>
      </c>
      <c r="C43" s="4" t="s">
        <v>36</v>
      </c>
      <c r="D43" s="4" t="s">
        <v>40</v>
      </c>
      <c r="E43" s="4" t="s">
        <v>25</v>
      </c>
      <c r="F43" s="4" t="s">
        <v>25</v>
      </c>
      <c r="G43" s="4" t="s">
        <v>25</v>
      </c>
      <c r="H43" s="4" t="s">
        <v>38</v>
      </c>
      <c r="I43" s="5">
        <v>44531</v>
      </c>
      <c r="J43" s="6">
        <v>583</v>
      </c>
      <c r="K43" s="6">
        <v>583</v>
      </c>
      <c r="L43" s="6">
        <v>189.77699999999999</v>
      </c>
      <c r="M43" s="6">
        <v>189.77699999999999</v>
      </c>
      <c r="N43" s="6">
        <v>189.77699999999999</v>
      </c>
      <c r="O43" s="6">
        <v>189.77699999999999</v>
      </c>
      <c r="P43" s="6">
        <v>0</v>
      </c>
      <c r="Q43" s="4" t="s">
        <v>26</v>
      </c>
      <c r="R43" s="4">
        <v>0</v>
      </c>
      <c r="S43" s="4" t="s">
        <v>143</v>
      </c>
      <c r="T43" s="4" t="s">
        <v>324</v>
      </c>
      <c r="U43" s="4">
        <v>8</v>
      </c>
      <c r="V43" s="4">
        <v>9</v>
      </c>
      <c r="W43" s="4">
        <v>59</v>
      </c>
    </row>
    <row r="44" spans="1:23" ht="11.25" customHeight="1" x14ac:dyDescent="0.25">
      <c r="A44" s="4" t="s">
        <v>21</v>
      </c>
      <c r="B44" s="4" t="s">
        <v>35</v>
      </c>
      <c r="C44" s="4" t="s">
        <v>36</v>
      </c>
      <c r="D44" s="4" t="s">
        <v>40</v>
      </c>
      <c r="E44" s="4" t="s">
        <v>25</v>
      </c>
      <c r="F44" s="4" t="s">
        <v>25</v>
      </c>
      <c r="G44" s="4" t="s">
        <v>25</v>
      </c>
      <c r="H44" s="4" t="s">
        <v>38</v>
      </c>
      <c r="I44" s="5">
        <v>44562</v>
      </c>
      <c r="J44" s="6">
        <v>623</v>
      </c>
      <c r="K44" s="6">
        <v>623</v>
      </c>
      <c r="L44" s="6">
        <v>194.16900000000001</v>
      </c>
      <c r="M44" s="6">
        <v>194.16900000000001</v>
      </c>
      <c r="N44" s="6">
        <v>194.16900000000001</v>
      </c>
      <c r="O44" s="6">
        <v>194.16900000000001</v>
      </c>
      <c r="P44" s="6">
        <v>0</v>
      </c>
      <c r="Q44" s="4" t="s">
        <v>26</v>
      </c>
      <c r="R44" s="4">
        <v>0</v>
      </c>
      <c r="S44" s="4" t="s">
        <v>144</v>
      </c>
      <c r="T44" s="4" t="s">
        <v>325</v>
      </c>
      <c r="U44" s="4">
        <v>8</v>
      </c>
      <c r="V44" s="4">
        <v>9</v>
      </c>
      <c r="W44" s="4">
        <v>59</v>
      </c>
    </row>
    <row r="45" spans="1:23" ht="11.25" customHeight="1" x14ac:dyDescent="0.25">
      <c r="A45" s="4" t="s">
        <v>21</v>
      </c>
      <c r="B45" s="4" t="s">
        <v>35</v>
      </c>
      <c r="C45" s="4" t="s">
        <v>36</v>
      </c>
      <c r="D45" s="4" t="s">
        <v>40</v>
      </c>
      <c r="E45" s="4" t="s">
        <v>25</v>
      </c>
      <c r="F45" s="4" t="s">
        <v>25</v>
      </c>
      <c r="G45" s="4" t="s">
        <v>25</v>
      </c>
      <c r="H45" s="4" t="s">
        <v>38</v>
      </c>
      <c r="I45" s="5">
        <v>44593</v>
      </c>
      <c r="J45" s="6">
        <v>661</v>
      </c>
      <c r="K45" s="6">
        <v>661</v>
      </c>
      <c r="L45" s="6">
        <v>198.131</v>
      </c>
      <c r="M45" s="6">
        <v>198.131</v>
      </c>
      <c r="N45" s="6">
        <v>198.131</v>
      </c>
      <c r="O45" s="6">
        <v>198.131</v>
      </c>
      <c r="P45" s="6">
        <v>0</v>
      </c>
      <c r="Q45" s="4" t="s">
        <v>26</v>
      </c>
      <c r="R45" s="4">
        <v>0</v>
      </c>
      <c r="S45" s="4" t="s">
        <v>145</v>
      </c>
      <c r="T45" s="4" t="s">
        <v>326</v>
      </c>
      <c r="U45" s="4">
        <v>8</v>
      </c>
      <c r="V45" s="4">
        <v>9</v>
      </c>
      <c r="W45" s="4">
        <v>59</v>
      </c>
    </row>
    <row r="46" spans="1:23" ht="11.25" customHeight="1" x14ac:dyDescent="0.25">
      <c r="A46" s="4" t="s">
        <v>21</v>
      </c>
      <c r="B46" s="4" t="s">
        <v>35</v>
      </c>
      <c r="C46" s="4" t="s">
        <v>36</v>
      </c>
      <c r="D46" s="4" t="s">
        <v>40</v>
      </c>
      <c r="E46" s="4" t="s">
        <v>25</v>
      </c>
      <c r="F46" s="4" t="s">
        <v>25</v>
      </c>
      <c r="G46" s="4" t="s">
        <v>25</v>
      </c>
      <c r="H46" s="4" t="s">
        <v>38</v>
      </c>
      <c r="I46" s="5">
        <v>44621</v>
      </c>
      <c r="J46" s="6">
        <v>575</v>
      </c>
      <c r="K46" s="6">
        <v>575</v>
      </c>
      <c r="L46" s="6">
        <v>191.43199999999999</v>
      </c>
      <c r="M46" s="6">
        <v>191.43199999999999</v>
      </c>
      <c r="N46" s="6">
        <v>191.43199999999999</v>
      </c>
      <c r="O46" s="6">
        <v>191.43199999999999</v>
      </c>
      <c r="P46" s="6">
        <v>0</v>
      </c>
      <c r="Q46" s="4" t="s">
        <v>26</v>
      </c>
      <c r="R46" s="4">
        <v>0</v>
      </c>
      <c r="S46" s="4" t="s">
        <v>146</v>
      </c>
      <c r="T46" s="4" t="s">
        <v>327</v>
      </c>
      <c r="U46" s="4">
        <v>8</v>
      </c>
      <c r="V46" s="4">
        <v>9</v>
      </c>
      <c r="W46" s="4">
        <v>59</v>
      </c>
    </row>
    <row r="47" spans="1:23" ht="11.25" customHeight="1" x14ac:dyDescent="0.25">
      <c r="A47" s="4" t="s">
        <v>21</v>
      </c>
      <c r="B47" s="4" t="s">
        <v>35</v>
      </c>
      <c r="C47" s="4" t="s">
        <v>36</v>
      </c>
      <c r="D47" s="4" t="s">
        <v>40</v>
      </c>
      <c r="E47" s="4" t="s">
        <v>25</v>
      </c>
      <c r="F47" s="4" t="s">
        <v>25</v>
      </c>
      <c r="G47" s="4" t="s">
        <v>25</v>
      </c>
      <c r="H47" s="4" t="s">
        <v>38</v>
      </c>
      <c r="I47" s="5">
        <v>44652</v>
      </c>
      <c r="J47" s="6">
        <v>589</v>
      </c>
      <c r="K47" s="6">
        <v>589</v>
      </c>
      <c r="L47" s="6">
        <v>202.691</v>
      </c>
      <c r="M47" s="6">
        <v>202.691</v>
      </c>
      <c r="N47" s="6">
        <v>202.691</v>
      </c>
      <c r="O47" s="6">
        <v>202.691</v>
      </c>
      <c r="P47" s="6">
        <v>0</v>
      </c>
      <c r="Q47" s="4" t="s">
        <v>26</v>
      </c>
      <c r="R47" s="4">
        <v>0</v>
      </c>
      <c r="S47" s="4" t="s">
        <v>147</v>
      </c>
      <c r="T47" s="4" t="s">
        <v>328</v>
      </c>
      <c r="U47" s="4">
        <v>8</v>
      </c>
      <c r="V47" s="4">
        <v>9</v>
      </c>
      <c r="W47" s="4">
        <v>59</v>
      </c>
    </row>
    <row r="48" spans="1:23" ht="11.25" customHeight="1" x14ac:dyDescent="0.25">
      <c r="A48" s="4" t="s">
        <v>21</v>
      </c>
      <c r="B48" s="4" t="s">
        <v>35</v>
      </c>
      <c r="C48" s="4" t="s">
        <v>36</v>
      </c>
      <c r="D48" s="4" t="s">
        <v>40</v>
      </c>
      <c r="E48" s="4" t="s">
        <v>25</v>
      </c>
      <c r="F48" s="4" t="s">
        <v>25</v>
      </c>
      <c r="G48" s="4" t="s">
        <v>25</v>
      </c>
      <c r="H48" s="4" t="s">
        <v>38</v>
      </c>
      <c r="I48" s="5">
        <v>44682</v>
      </c>
      <c r="J48" s="6">
        <v>550</v>
      </c>
      <c r="K48" s="6">
        <v>550</v>
      </c>
      <c r="L48" s="6">
        <v>179.97300000000001</v>
      </c>
      <c r="M48" s="6">
        <v>179.97300000000001</v>
      </c>
      <c r="N48" s="6">
        <v>179.97300000000001</v>
      </c>
      <c r="O48" s="6">
        <v>179.97300000000001</v>
      </c>
      <c r="P48" s="6">
        <v>0</v>
      </c>
      <c r="Q48" s="4" t="s">
        <v>26</v>
      </c>
      <c r="R48" s="4">
        <v>0</v>
      </c>
      <c r="S48" s="4" t="s">
        <v>148</v>
      </c>
      <c r="T48" s="4" t="s">
        <v>329</v>
      </c>
      <c r="U48" s="4">
        <v>8</v>
      </c>
      <c r="V48" s="4">
        <v>9</v>
      </c>
      <c r="W48" s="4">
        <v>59</v>
      </c>
    </row>
    <row r="49" spans="1:23" ht="11.25" customHeight="1" x14ac:dyDescent="0.25">
      <c r="A49" s="4" t="s">
        <v>21</v>
      </c>
      <c r="B49" s="4" t="s">
        <v>35</v>
      </c>
      <c r="C49" s="4" t="s">
        <v>36</v>
      </c>
      <c r="D49" s="4" t="s">
        <v>40</v>
      </c>
      <c r="E49" s="4" t="s">
        <v>25</v>
      </c>
      <c r="F49" s="4" t="s">
        <v>25</v>
      </c>
      <c r="G49" s="4" t="s">
        <v>25</v>
      </c>
      <c r="H49" s="4" t="s">
        <v>38</v>
      </c>
      <c r="I49" s="5">
        <v>44713</v>
      </c>
      <c r="J49" s="6">
        <v>550</v>
      </c>
      <c r="K49" s="6">
        <v>550</v>
      </c>
      <c r="L49" s="6">
        <v>190.90299999999999</v>
      </c>
      <c r="M49" s="6">
        <v>190.90299999999999</v>
      </c>
      <c r="N49" s="6">
        <v>190.90299999999999</v>
      </c>
      <c r="O49" s="6">
        <v>190.90299999999999</v>
      </c>
      <c r="P49" s="6">
        <v>0</v>
      </c>
      <c r="Q49" s="4" t="s">
        <v>26</v>
      </c>
      <c r="R49" s="4">
        <v>0</v>
      </c>
      <c r="S49" s="4" t="s">
        <v>149</v>
      </c>
      <c r="T49" s="4" t="s">
        <v>330</v>
      </c>
      <c r="U49" s="4">
        <v>8</v>
      </c>
      <c r="V49" s="4">
        <v>9</v>
      </c>
      <c r="W49" s="4">
        <v>59</v>
      </c>
    </row>
    <row r="50" spans="1:23" ht="11.25" customHeight="1" x14ac:dyDescent="0.25">
      <c r="A50" s="4" t="s">
        <v>21</v>
      </c>
      <c r="B50" s="4" t="s">
        <v>35</v>
      </c>
      <c r="C50" s="4" t="s">
        <v>36</v>
      </c>
      <c r="D50" s="4" t="s">
        <v>40</v>
      </c>
      <c r="E50" s="4" t="s">
        <v>25</v>
      </c>
      <c r="F50" s="4" t="s">
        <v>25</v>
      </c>
      <c r="G50" s="4" t="s">
        <v>25</v>
      </c>
      <c r="H50" s="4" t="s">
        <v>37</v>
      </c>
      <c r="I50" s="5">
        <v>44378</v>
      </c>
      <c r="J50" s="6">
        <v>400</v>
      </c>
      <c r="K50" s="6">
        <v>400</v>
      </c>
      <c r="L50" s="6">
        <v>18.995000000000001</v>
      </c>
      <c r="M50" s="6">
        <v>18.995000000000001</v>
      </c>
      <c r="N50" s="6">
        <v>18.995000000000001</v>
      </c>
      <c r="O50" s="6">
        <v>18.995000000000001</v>
      </c>
      <c r="P50" s="6">
        <v>0</v>
      </c>
      <c r="Q50" s="4" t="s">
        <v>26</v>
      </c>
      <c r="R50" s="4">
        <v>0</v>
      </c>
      <c r="S50" s="4" t="s">
        <v>150</v>
      </c>
      <c r="T50" s="4" t="s">
        <v>331</v>
      </c>
      <c r="U50" s="4">
        <v>3</v>
      </c>
      <c r="V50" s="4">
        <v>9</v>
      </c>
      <c r="W50" s="4">
        <v>66</v>
      </c>
    </row>
    <row r="51" spans="1:23" ht="11.25" customHeight="1" x14ac:dyDescent="0.25">
      <c r="A51" s="4" t="s">
        <v>21</v>
      </c>
      <c r="B51" s="4" t="s">
        <v>35</v>
      </c>
      <c r="C51" s="4" t="s">
        <v>36</v>
      </c>
      <c r="D51" s="4" t="s">
        <v>40</v>
      </c>
      <c r="E51" s="4" t="s">
        <v>25</v>
      </c>
      <c r="F51" s="4" t="s">
        <v>25</v>
      </c>
      <c r="G51" s="4" t="s">
        <v>25</v>
      </c>
      <c r="H51" s="4" t="s">
        <v>37</v>
      </c>
      <c r="I51" s="5">
        <v>44409</v>
      </c>
      <c r="J51" s="6">
        <v>400</v>
      </c>
      <c r="K51" s="6">
        <v>400</v>
      </c>
      <c r="L51" s="6">
        <v>19.504000000000001</v>
      </c>
      <c r="M51" s="6">
        <v>19.504000000000001</v>
      </c>
      <c r="N51" s="6">
        <v>19.504000000000001</v>
      </c>
      <c r="O51" s="6">
        <v>19.504000000000001</v>
      </c>
      <c r="P51" s="6">
        <v>0</v>
      </c>
      <c r="Q51" s="4" t="s">
        <v>26</v>
      </c>
      <c r="R51" s="4">
        <v>0</v>
      </c>
      <c r="S51" s="4" t="s">
        <v>151</v>
      </c>
      <c r="T51" s="4" t="s">
        <v>332</v>
      </c>
      <c r="U51" s="4">
        <v>3</v>
      </c>
      <c r="V51" s="4">
        <v>9</v>
      </c>
      <c r="W51" s="4">
        <v>66</v>
      </c>
    </row>
    <row r="52" spans="1:23" ht="11.25" customHeight="1" x14ac:dyDescent="0.25">
      <c r="A52" s="4" t="s">
        <v>21</v>
      </c>
      <c r="B52" s="4" t="s">
        <v>35</v>
      </c>
      <c r="C52" s="4" t="s">
        <v>36</v>
      </c>
      <c r="D52" s="4" t="s">
        <v>40</v>
      </c>
      <c r="E52" s="4" t="s">
        <v>25</v>
      </c>
      <c r="F52" s="4" t="s">
        <v>25</v>
      </c>
      <c r="G52" s="4" t="s">
        <v>25</v>
      </c>
      <c r="H52" s="4" t="s">
        <v>37</v>
      </c>
      <c r="I52" s="5">
        <v>44440</v>
      </c>
      <c r="J52" s="6">
        <v>400</v>
      </c>
      <c r="K52" s="6">
        <v>400</v>
      </c>
      <c r="L52" s="6">
        <v>19.146000000000001</v>
      </c>
      <c r="M52" s="6">
        <v>19.146000000000001</v>
      </c>
      <c r="N52" s="6">
        <v>19.146000000000001</v>
      </c>
      <c r="O52" s="6">
        <v>19.146000000000001</v>
      </c>
      <c r="P52" s="6">
        <v>0</v>
      </c>
      <c r="Q52" s="4" t="s">
        <v>26</v>
      </c>
      <c r="R52" s="4">
        <v>0</v>
      </c>
      <c r="S52" s="4" t="s">
        <v>152</v>
      </c>
      <c r="T52" s="4" t="s">
        <v>333</v>
      </c>
      <c r="U52" s="4">
        <v>3</v>
      </c>
      <c r="V52" s="4">
        <v>9</v>
      </c>
      <c r="W52" s="4">
        <v>66</v>
      </c>
    </row>
    <row r="53" spans="1:23" ht="11.25" customHeight="1" x14ac:dyDescent="0.25">
      <c r="A53" s="4" t="s">
        <v>21</v>
      </c>
      <c r="B53" s="4" t="s">
        <v>35</v>
      </c>
      <c r="C53" s="4" t="s">
        <v>36</v>
      </c>
      <c r="D53" s="4" t="s">
        <v>40</v>
      </c>
      <c r="E53" s="4" t="s">
        <v>25</v>
      </c>
      <c r="F53" s="4" t="s">
        <v>25</v>
      </c>
      <c r="G53" s="4" t="s">
        <v>25</v>
      </c>
      <c r="H53" s="4" t="s">
        <v>37</v>
      </c>
      <c r="I53" s="5">
        <v>44470</v>
      </c>
      <c r="J53" s="6">
        <v>400</v>
      </c>
      <c r="K53" s="6">
        <v>400</v>
      </c>
      <c r="L53" s="6">
        <v>18.858000000000001</v>
      </c>
      <c r="M53" s="6">
        <v>18.858000000000001</v>
      </c>
      <c r="N53" s="6">
        <v>18.858000000000001</v>
      </c>
      <c r="O53" s="6">
        <v>18.858000000000001</v>
      </c>
      <c r="P53" s="6">
        <v>0</v>
      </c>
      <c r="Q53" s="4" t="s">
        <v>26</v>
      </c>
      <c r="R53" s="4">
        <v>0</v>
      </c>
      <c r="S53" s="4" t="s">
        <v>153</v>
      </c>
      <c r="T53" s="4" t="s">
        <v>334</v>
      </c>
      <c r="U53" s="4">
        <v>3</v>
      </c>
      <c r="V53" s="4">
        <v>9</v>
      </c>
      <c r="W53" s="4">
        <v>66</v>
      </c>
    </row>
    <row r="54" spans="1:23" ht="11.25" customHeight="1" x14ac:dyDescent="0.25">
      <c r="A54" s="4" t="s">
        <v>21</v>
      </c>
      <c r="B54" s="4" t="s">
        <v>35</v>
      </c>
      <c r="C54" s="4" t="s">
        <v>36</v>
      </c>
      <c r="D54" s="4" t="s">
        <v>40</v>
      </c>
      <c r="E54" s="4" t="s">
        <v>25</v>
      </c>
      <c r="F54" s="4" t="s">
        <v>25</v>
      </c>
      <c r="G54" s="4" t="s">
        <v>25</v>
      </c>
      <c r="H54" s="4" t="s">
        <v>37</v>
      </c>
      <c r="I54" s="5">
        <v>44501</v>
      </c>
      <c r="J54" s="6">
        <v>400</v>
      </c>
      <c r="K54" s="6">
        <v>400</v>
      </c>
      <c r="L54" s="6">
        <v>17.555</v>
      </c>
      <c r="M54" s="6">
        <v>17.555</v>
      </c>
      <c r="N54" s="6">
        <v>17.555</v>
      </c>
      <c r="O54" s="6">
        <v>17.555</v>
      </c>
      <c r="P54" s="6">
        <v>0</v>
      </c>
      <c r="Q54" s="4" t="s">
        <v>26</v>
      </c>
      <c r="R54" s="4">
        <v>0</v>
      </c>
      <c r="S54" s="4" t="s">
        <v>154</v>
      </c>
      <c r="T54" s="4" t="s">
        <v>335</v>
      </c>
      <c r="U54" s="4">
        <v>3</v>
      </c>
      <c r="V54" s="4">
        <v>9</v>
      </c>
      <c r="W54" s="4">
        <v>66</v>
      </c>
    </row>
    <row r="55" spans="1:23" ht="11.25" customHeight="1" x14ac:dyDescent="0.25">
      <c r="A55" s="4" t="s">
        <v>21</v>
      </c>
      <c r="B55" s="4" t="s">
        <v>35</v>
      </c>
      <c r="C55" s="4" t="s">
        <v>36</v>
      </c>
      <c r="D55" s="4" t="s">
        <v>40</v>
      </c>
      <c r="E55" s="4" t="s">
        <v>25</v>
      </c>
      <c r="F55" s="4" t="s">
        <v>25</v>
      </c>
      <c r="G55" s="4" t="s">
        <v>25</v>
      </c>
      <c r="H55" s="4" t="s">
        <v>37</v>
      </c>
      <c r="I55" s="5">
        <v>44531</v>
      </c>
      <c r="J55" s="6">
        <v>400</v>
      </c>
      <c r="K55" s="6">
        <v>400</v>
      </c>
      <c r="L55" s="6">
        <v>18.72</v>
      </c>
      <c r="M55" s="6">
        <v>18.72</v>
      </c>
      <c r="N55" s="6">
        <v>18.72</v>
      </c>
      <c r="O55" s="6">
        <v>18.72</v>
      </c>
      <c r="P55" s="6">
        <v>0</v>
      </c>
      <c r="Q55" s="4" t="s">
        <v>26</v>
      </c>
      <c r="R55" s="4">
        <v>0</v>
      </c>
      <c r="S55" s="4" t="s">
        <v>155</v>
      </c>
      <c r="T55" s="4" t="s">
        <v>336</v>
      </c>
      <c r="U55" s="4">
        <v>3</v>
      </c>
      <c r="V55" s="4">
        <v>9</v>
      </c>
      <c r="W55" s="4">
        <v>66</v>
      </c>
    </row>
    <row r="56" spans="1:23" ht="11.25" customHeight="1" x14ac:dyDescent="0.25">
      <c r="A56" s="4" t="s">
        <v>21</v>
      </c>
      <c r="B56" s="4" t="s">
        <v>35</v>
      </c>
      <c r="C56" s="4" t="s">
        <v>36</v>
      </c>
      <c r="D56" s="4" t="s">
        <v>40</v>
      </c>
      <c r="E56" s="4" t="s">
        <v>25</v>
      </c>
      <c r="F56" s="4" t="s">
        <v>25</v>
      </c>
      <c r="G56" s="4" t="s">
        <v>25</v>
      </c>
      <c r="H56" s="4" t="s">
        <v>37</v>
      </c>
      <c r="I56" s="5">
        <v>44562</v>
      </c>
      <c r="J56" s="6">
        <v>400</v>
      </c>
      <c r="K56" s="6">
        <v>400</v>
      </c>
      <c r="L56" s="6">
        <v>20.831</v>
      </c>
      <c r="M56" s="6">
        <v>20.831</v>
      </c>
      <c r="N56" s="6">
        <v>20.831</v>
      </c>
      <c r="O56" s="6">
        <v>20.831</v>
      </c>
      <c r="P56" s="6">
        <v>0</v>
      </c>
      <c r="Q56" s="4" t="s">
        <v>26</v>
      </c>
      <c r="R56" s="4">
        <v>0</v>
      </c>
      <c r="S56" s="4" t="s">
        <v>156</v>
      </c>
      <c r="T56" s="4" t="s">
        <v>337</v>
      </c>
      <c r="U56" s="4">
        <v>3</v>
      </c>
      <c r="V56" s="4">
        <v>9</v>
      </c>
      <c r="W56" s="4">
        <v>66</v>
      </c>
    </row>
    <row r="57" spans="1:23" ht="11.25" customHeight="1" x14ac:dyDescent="0.25">
      <c r="A57" s="4" t="s">
        <v>21</v>
      </c>
      <c r="B57" s="4" t="s">
        <v>35</v>
      </c>
      <c r="C57" s="4" t="s">
        <v>36</v>
      </c>
      <c r="D57" s="4" t="s">
        <v>40</v>
      </c>
      <c r="E57" s="4" t="s">
        <v>25</v>
      </c>
      <c r="F57" s="4" t="s">
        <v>25</v>
      </c>
      <c r="G57" s="4" t="s">
        <v>25</v>
      </c>
      <c r="H57" s="4" t="s">
        <v>37</v>
      </c>
      <c r="I57" s="5">
        <v>44593</v>
      </c>
      <c r="J57" s="6">
        <v>515</v>
      </c>
      <c r="K57" s="6">
        <v>515</v>
      </c>
      <c r="L57" s="6">
        <v>21.283000000000001</v>
      </c>
      <c r="M57" s="6">
        <v>21.283000000000001</v>
      </c>
      <c r="N57" s="6">
        <v>21.283000000000001</v>
      </c>
      <c r="O57" s="6">
        <v>21.283000000000001</v>
      </c>
      <c r="P57" s="6">
        <v>0</v>
      </c>
      <c r="Q57" s="4" t="s">
        <v>26</v>
      </c>
      <c r="R57" s="4">
        <v>0</v>
      </c>
      <c r="S57" s="4" t="s">
        <v>157</v>
      </c>
      <c r="T57" s="4" t="s">
        <v>338</v>
      </c>
      <c r="U57" s="4">
        <v>3</v>
      </c>
      <c r="V57" s="4">
        <v>9</v>
      </c>
      <c r="W57" s="4">
        <v>66</v>
      </c>
    </row>
    <row r="58" spans="1:23" ht="11.25" customHeight="1" x14ac:dyDescent="0.25">
      <c r="A58" s="4" t="s">
        <v>21</v>
      </c>
      <c r="B58" s="4" t="s">
        <v>35</v>
      </c>
      <c r="C58" s="4" t="s">
        <v>36</v>
      </c>
      <c r="D58" s="4" t="s">
        <v>40</v>
      </c>
      <c r="E58" s="4" t="s">
        <v>25</v>
      </c>
      <c r="F58" s="4" t="s">
        <v>25</v>
      </c>
      <c r="G58" s="4" t="s">
        <v>25</v>
      </c>
      <c r="H58" s="4" t="s">
        <v>37</v>
      </c>
      <c r="I58" s="5">
        <v>44621</v>
      </c>
      <c r="J58" s="6">
        <v>400</v>
      </c>
      <c r="K58" s="6">
        <v>400</v>
      </c>
      <c r="L58" s="6">
        <v>19.175000000000001</v>
      </c>
      <c r="M58" s="6">
        <v>19.175000000000001</v>
      </c>
      <c r="N58" s="6">
        <v>19.175000000000001</v>
      </c>
      <c r="O58" s="6">
        <v>19.175000000000001</v>
      </c>
      <c r="P58" s="6">
        <v>0</v>
      </c>
      <c r="Q58" s="4" t="s">
        <v>26</v>
      </c>
      <c r="R58" s="4">
        <v>0</v>
      </c>
      <c r="S58" s="4" t="s">
        <v>158</v>
      </c>
      <c r="T58" s="4" t="s">
        <v>339</v>
      </c>
      <c r="U58" s="4">
        <v>3</v>
      </c>
      <c r="V58" s="4">
        <v>9</v>
      </c>
      <c r="W58" s="4">
        <v>66</v>
      </c>
    </row>
    <row r="59" spans="1:23" ht="11.25" customHeight="1" x14ac:dyDescent="0.25">
      <c r="A59" s="4" t="s">
        <v>21</v>
      </c>
      <c r="B59" s="4" t="s">
        <v>35</v>
      </c>
      <c r="C59" s="4" t="s">
        <v>36</v>
      </c>
      <c r="D59" s="4" t="s">
        <v>40</v>
      </c>
      <c r="E59" s="4" t="s">
        <v>25</v>
      </c>
      <c r="F59" s="4" t="s">
        <v>25</v>
      </c>
      <c r="G59" s="4" t="s">
        <v>25</v>
      </c>
      <c r="H59" s="4" t="s">
        <v>37</v>
      </c>
      <c r="I59" s="5">
        <v>44652</v>
      </c>
      <c r="J59" s="6">
        <v>400</v>
      </c>
      <c r="K59" s="6">
        <v>400</v>
      </c>
      <c r="L59" s="6">
        <v>20.885999999999999</v>
      </c>
      <c r="M59" s="6">
        <v>20.885999999999999</v>
      </c>
      <c r="N59" s="6">
        <v>20.885999999999999</v>
      </c>
      <c r="O59" s="6">
        <v>20.885999999999999</v>
      </c>
      <c r="P59" s="6">
        <v>0</v>
      </c>
      <c r="Q59" s="4" t="s">
        <v>26</v>
      </c>
      <c r="R59" s="4">
        <v>0</v>
      </c>
      <c r="S59" s="4" t="s">
        <v>159</v>
      </c>
      <c r="T59" s="4" t="s">
        <v>340</v>
      </c>
      <c r="U59" s="4">
        <v>3</v>
      </c>
      <c r="V59" s="4">
        <v>9</v>
      </c>
      <c r="W59" s="4">
        <v>66</v>
      </c>
    </row>
    <row r="60" spans="1:23" ht="11.25" customHeight="1" x14ac:dyDescent="0.25">
      <c r="A60" s="4" t="s">
        <v>21</v>
      </c>
      <c r="B60" s="4" t="s">
        <v>35</v>
      </c>
      <c r="C60" s="4" t="s">
        <v>36</v>
      </c>
      <c r="D60" s="4" t="s">
        <v>40</v>
      </c>
      <c r="E60" s="4" t="s">
        <v>25</v>
      </c>
      <c r="F60" s="4" t="s">
        <v>25</v>
      </c>
      <c r="G60" s="4" t="s">
        <v>25</v>
      </c>
      <c r="H60" s="4" t="s">
        <v>37</v>
      </c>
      <c r="I60" s="5">
        <v>44682</v>
      </c>
      <c r="J60" s="6">
        <v>400</v>
      </c>
      <c r="K60" s="6">
        <v>400</v>
      </c>
      <c r="L60" s="6">
        <v>18.021999999999998</v>
      </c>
      <c r="M60" s="6">
        <v>18.021999999999998</v>
      </c>
      <c r="N60" s="6">
        <v>18.021999999999998</v>
      </c>
      <c r="O60" s="6">
        <v>18.021999999999998</v>
      </c>
      <c r="P60" s="6">
        <v>0</v>
      </c>
      <c r="Q60" s="4" t="s">
        <v>26</v>
      </c>
      <c r="R60" s="4">
        <v>0</v>
      </c>
      <c r="S60" s="4" t="s">
        <v>160</v>
      </c>
      <c r="T60" s="4" t="s">
        <v>341</v>
      </c>
      <c r="U60" s="4">
        <v>3</v>
      </c>
      <c r="V60" s="4">
        <v>9</v>
      </c>
      <c r="W60" s="4">
        <v>66</v>
      </c>
    </row>
    <row r="61" spans="1:23" ht="11.25" customHeight="1" x14ac:dyDescent="0.25">
      <c r="A61" s="4" t="s">
        <v>21</v>
      </c>
      <c r="B61" s="4" t="s">
        <v>35</v>
      </c>
      <c r="C61" s="4" t="s">
        <v>36</v>
      </c>
      <c r="D61" s="4" t="s">
        <v>40</v>
      </c>
      <c r="E61" s="4" t="s">
        <v>25</v>
      </c>
      <c r="F61" s="4" t="s">
        <v>25</v>
      </c>
      <c r="G61" s="4" t="s">
        <v>25</v>
      </c>
      <c r="H61" s="4" t="s">
        <v>37</v>
      </c>
      <c r="I61" s="5">
        <v>44713</v>
      </c>
      <c r="J61" s="6">
        <v>400</v>
      </c>
      <c r="K61" s="6">
        <v>400</v>
      </c>
      <c r="L61" s="6">
        <v>21.54</v>
      </c>
      <c r="M61" s="6">
        <v>21.54</v>
      </c>
      <c r="N61" s="6">
        <v>21.54</v>
      </c>
      <c r="O61" s="6">
        <v>21.54</v>
      </c>
      <c r="P61" s="6">
        <v>0</v>
      </c>
      <c r="Q61" s="4" t="s">
        <v>26</v>
      </c>
      <c r="R61" s="4">
        <v>0</v>
      </c>
      <c r="S61" s="4" t="s">
        <v>161</v>
      </c>
      <c r="T61" s="4" t="s">
        <v>342</v>
      </c>
      <c r="U61" s="4">
        <v>3</v>
      </c>
      <c r="V61" s="4">
        <v>9</v>
      </c>
      <c r="W61" s="4">
        <v>66</v>
      </c>
    </row>
    <row r="62" spans="1:23" ht="11.25" customHeight="1" x14ac:dyDescent="0.25">
      <c r="A62" s="4" t="s">
        <v>21</v>
      </c>
      <c r="B62" s="4" t="s">
        <v>35</v>
      </c>
      <c r="C62" s="4" t="s">
        <v>36</v>
      </c>
      <c r="D62" s="4" t="s">
        <v>34</v>
      </c>
      <c r="E62" s="4" t="s">
        <v>25</v>
      </c>
      <c r="F62" s="4" t="s">
        <v>55</v>
      </c>
      <c r="G62" s="4" t="s">
        <v>25</v>
      </c>
      <c r="H62" s="4" t="s">
        <v>38</v>
      </c>
      <c r="I62" s="5">
        <v>44378</v>
      </c>
      <c r="J62" s="6">
        <v>10052</v>
      </c>
      <c r="K62" s="6">
        <v>5026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54</v>
      </c>
      <c r="R62" s="4">
        <v>0</v>
      </c>
      <c r="S62" s="4" t="s">
        <v>138</v>
      </c>
      <c r="U62" s="4">
        <v>8</v>
      </c>
      <c r="V62" s="4">
        <v>0</v>
      </c>
      <c r="W62" s="4">
        <v>0</v>
      </c>
    </row>
    <row r="63" spans="1:23" ht="11.25" customHeight="1" x14ac:dyDescent="0.25">
      <c r="A63" s="4" t="s">
        <v>21</v>
      </c>
      <c r="B63" s="4" t="s">
        <v>35</v>
      </c>
      <c r="C63" s="4" t="s">
        <v>36</v>
      </c>
      <c r="D63" s="4" t="s">
        <v>34</v>
      </c>
      <c r="E63" s="4" t="s">
        <v>25</v>
      </c>
      <c r="F63" s="4" t="s">
        <v>55</v>
      </c>
      <c r="G63" s="4" t="s">
        <v>25</v>
      </c>
      <c r="H63" s="4" t="s">
        <v>38</v>
      </c>
      <c r="I63" s="5">
        <v>44409</v>
      </c>
      <c r="J63" s="6">
        <v>9827</v>
      </c>
      <c r="K63" s="6">
        <v>4913.5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54</v>
      </c>
      <c r="R63" s="4">
        <v>0</v>
      </c>
      <c r="S63" s="4" t="s">
        <v>139</v>
      </c>
      <c r="U63" s="4">
        <v>8</v>
      </c>
      <c r="V63" s="4">
        <v>0</v>
      </c>
      <c r="W63" s="4">
        <v>0</v>
      </c>
    </row>
    <row r="64" spans="1:23" ht="11.25" customHeight="1" x14ac:dyDescent="0.25">
      <c r="A64" s="4" t="s">
        <v>21</v>
      </c>
      <c r="B64" s="4" t="s">
        <v>35</v>
      </c>
      <c r="C64" s="4" t="s">
        <v>36</v>
      </c>
      <c r="D64" s="4" t="s">
        <v>34</v>
      </c>
      <c r="E64" s="4" t="s">
        <v>25</v>
      </c>
      <c r="F64" s="4" t="s">
        <v>55</v>
      </c>
      <c r="G64" s="4" t="s">
        <v>25</v>
      </c>
      <c r="H64" s="4" t="s">
        <v>38</v>
      </c>
      <c r="I64" s="5">
        <v>44440</v>
      </c>
      <c r="J64" s="6">
        <v>10125</v>
      </c>
      <c r="K64" s="6">
        <v>5062.5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54</v>
      </c>
      <c r="R64" s="4">
        <v>0</v>
      </c>
      <c r="S64" s="4" t="s">
        <v>140</v>
      </c>
      <c r="U64" s="4">
        <v>8</v>
      </c>
      <c r="V64" s="4">
        <v>0</v>
      </c>
      <c r="W64" s="4">
        <v>0</v>
      </c>
    </row>
    <row r="65" spans="1:23" ht="11.25" customHeight="1" x14ac:dyDescent="0.25">
      <c r="A65" s="4" t="s">
        <v>21</v>
      </c>
      <c r="B65" s="4" t="s">
        <v>35</v>
      </c>
      <c r="C65" s="4" t="s">
        <v>36</v>
      </c>
      <c r="D65" s="4" t="s">
        <v>34</v>
      </c>
      <c r="E65" s="4" t="s">
        <v>25</v>
      </c>
      <c r="F65" s="4" t="s">
        <v>55</v>
      </c>
      <c r="G65" s="4" t="s">
        <v>25</v>
      </c>
      <c r="H65" s="4" t="s">
        <v>38</v>
      </c>
      <c r="I65" s="5">
        <v>44470</v>
      </c>
      <c r="J65" s="6">
        <v>10363</v>
      </c>
      <c r="K65" s="6">
        <v>5181.5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54</v>
      </c>
      <c r="R65" s="4">
        <v>0</v>
      </c>
      <c r="S65" s="4" t="s">
        <v>141</v>
      </c>
      <c r="U65" s="4">
        <v>8</v>
      </c>
      <c r="V65" s="4">
        <v>0</v>
      </c>
      <c r="W65" s="4">
        <v>0</v>
      </c>
    </row>
    <row r="66" spans="1:23" ht="11.25" customHeight="1" x14ac:dyDescent="0.25">
      <c r="A66" s="4" t="s">
        <v>21</v>
      </c>
      <c r="B66" s="4" t="s">
        <v>35</v>
      </c>
      <c r="C66" s="4" t="s">
        <v>36</v>
      </c>
      <c r="D66" s="4" t="s">
        <v>34</v>
      </c>
      <c r="E66" s="4" t="s">
        <v>25</v>
      </c>
      <c r="F66" s="4" t="s">
        <v>55</v>
      </c>
      <c r="G66" s="4" t="s">
        <v>25</v>
      </c>
      <c r="H66" s="4" t="s">
        <v>38</v>
      </c>
      <c r="I66" s="5">
        <v>44501</v>
      </c>
      <c r="J66" s="6">
        <v>10291</v>
      </c>
      <c r="K66" s="6">
        <v>5145.5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54</v>
      </c>
      <c r="R66" s="4">
        <v>0</v>
      </c>
      <c r="S66" s="4" t="s">
        <v>142</v>
      </c>
      <c r="U66" s="4">
        <v>8</v>
      </c>
      <c r="V66" s="4">
        <v>0</v>
      </c>
      <c r="W66" s="4">
        <v>0</v>
      </c>
    </row>
    <row r="67" spans="1:23" ht="11.25" customHeight="1" x14ac:dyDescent="0.25">
      <c r="A67" s="4" t="s">
        <v>65</v>
      </c>
      <c r="B67" s="4" t="s">
        <v>35</v>
      </c>
      <c r="C67" s="4" t="s">
        <v>36</v>
      </c>
      <c r="D67" s="4" t="s">
        <v>34</v>
      </c>
      <c r="E67" s="4" t="s">
        <v>25</v>
      </c>
      <c r="F67" s="4" t="s">
        <v>55</v>
      </c>
      <c r="G67" s="4" t="s">
        <v>25</v>
      </c>
      <c r="H67" s="4" t="s">
        <v>38</v>
      </c>
      <c r="I67" s="5">
        <v>44531</v>
      </c>
      <c r="J67" s="6">
        <v>10291</v>
      </c>
      <c r="K67" s="6">
        <v>5145.5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54</v>
      </c>
      <c r="R67" s="4">
        <v>0</v>
      </c>
      <c r="S67" s="4" t="s">
        <v>143</v>
      </c>
      <c r="U67" s="4">
        <v>8</v>
      </c>
      <c r="V67" s="4">
        <v>0</v>
      </c>
      <c r="W67" s="4">
        <v>0</v>
      </c>
    </row>
    <row r="68" spans="1:23" ht="11.25" customHeight="1" x14ac:dyDescent="0.25">
      <c r="A68" s="4" t="s">
        <v>21</v>
      </c>
      <c r="B68" s="4" t="s">
        <v>35</v>
      </c>
      <c r="C68" s="4" t="s">
        <v>36</v>
      </c>
      <c r="D68" s="4" t="s">
        <v>34</v>
      </c>
      <c r="E68" s="4" t="s">
        <v>25</v>
      </c>
      <c r="F68" s="4" t="s">
        <v>55</v>
      </c>
      <c r="G68" s="4" t="s">
        <v>25</v>
      </c>
      <c r="H68" s="4" t="s">
        <v>38</v>
      </c>
      <c r="I68" s="5">
        <v>44562</v>
      </c>
      <c r="J68" s="6">
        <v>10294</v>
      </c>
      <c r="K68" s="6">
        <v>5147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54</v>
      </c>
      <c r="R68" s="4">
        <v>0</v>
      </c>
      <c r="S68" s="4" t="s">
        <v>144</v>
      </c>
      <c r="U68" s="4">
        <v>8</v>
      </c>
      <c r="V68" s="4">
        <v>0</v>
      </c>
      <c r="W68" s="4">
        <v>0</v>
      </c>
    </row>
    <row r="69" spans="1:23" ht="11.25" customHeight="1" x14ac:dyDescent="0.25">
      <c r="A69" s="4" t="s">
        <v>21</v>
      </c>
      <c r="B69" s="4" t="s">
        <v>35</v>
      </c>
      <c r="C69" s="4" t="s">
        <v>36</v>
      </c>
      <c r="D69" s="4" t="s">
        <v>34</v>
      </c>
      <c r="E69" s="4" t="s">
        <v>25</v>
      </c>
      <c r="F69" s="4" t="s">
        <v>55</v>
      </c>
      <c r="G69" s="4" t="s">
        <v>25</v>
      </c>
      <c r="H69" s="4" t="s">
        <v>38</v>
      </c>
      <c r="I69" s="5">
        <v>44593</v>
      </c>
      <c r="J69" s="6">
        <v>10730</v>
      </c>
      <c r="K69" s="6">
        <v>5365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54</v>
      </c>
      <c r="R69" s="4">
        <v>0</v>
      </c>
      <c r="S69" s="4" t="s">
        <v>145</v>
      </c>
      <c r="U69" s="4">
        <v>8</v>
      </c>
      <c r="V69" s="4">
        <v>0</v>
      </c>
      <c r="W69" s="4">
        <v>0</v>
      </c>
    </row>
    <row r="70" spans="1:23" ht="11.25" customHeight="1" x14ac:dyDescent="0.25">
      <c r="A70" s="4" t="s">
        <v>21</v>
      </c>
      <c r="B70" s="4" t="s">
        <v>35</v>
      </c>
      <c r="C70" s="4" t="s">
        <v>36</v>
      </c>
      <c r="D70" s="4" t="s">
        <v>34</v>
      </c>
      <c r="E70" s="4" t="s">
        <v>25</v>
      </c>
      <c r="F70" s="4" t="s">
        <v>55</v>
      </c>
      <c r="G70" s="4" t="s">
        <v>25</v>
      </c>
      <c r="H70" s="4" t="s">
        <v>38</v>
      </c>
      <c r="I70" s="5">
        <v>44621</v>
      </c>
      <c r="J70" s="6">
        <v>10598</v>
      </c>
      <c r="K70" s="6">
        <v>5299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54</v>
      </c>
      <c r="R70" s="4">
        <v>0</v>
      </c>
      <c r="S70" s="4" t="s">
        <v>146</v>
      </c>
      <c r="U70" s="4">
        <v>8</v>
      </c>
      <c r="V70" s="4">
        <v>0</v>
      </c>
      <c r="W70" s="4">
        <v>0</v>
      </c>
    </row>
    <row r="71" spans="1:23" ht="11.25" customHeight="1" x14ac:dyDescent="0.25">
      <c r="A71" s="4" t="s">
        <v>65</v>
      </c>
      <c r="B71" s="4" t="s">
        <v>35</v>
      </c>
      <c r="C71" s="4" t="s">
        <v>36</v>
      </c>
      <c r="D71" s="4" t="s">
        <v>34</v>
      </c>
      <c r="E71" s="4" t="s">
        <v>25</v>
      </c>
      <c r="F71" s="4" t="s">
        <v>55</v>
      </c>
      <c r="G71" s="4" t="s">
        <v>25</v>
      </c>
      <c r="H71" s="4" t="s">
        <v>38</v>
      </c>
      <c r="I71" s="5">
        <v>44652</v>
      </c>
      <c r="J71" s="6">
        <v>10598</v>
      </c>
      <c r="K71" s="6">
        <v>5299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54</v>
      </c>
      <c r="R71" s="4">
        <v>0</v>
      </c>
      <c r="S71" s="4" t="s">
        <v>147</v>
      </c>
      <c r="U71" s="4">
        <v>8</v>
      </c>
      <c r="V71" s="4">
        <v>0</v>
      </c>
      <c r="W71" s="4">
        <v>0</v>
      </c>
    </row>
    <row r="72" spans="1:23" ht="11.25" customHeight="1" x14ac:dyDescent="0.25">
      <c r="A72" s="4" t="s">
        <v>21</v>
      </c>
      <c r="B72" s="4" t="s">
        <v>35</v>
      </c>
      <c r="C72" s="4" t="s">
        <v>36</v>
      </c>
      <c r="D72" s="4" t="s">
        <v>34</v>
      </c>
      <c r="E72" s="4" t="s">
        <v>25</v>
      </c>
      <c r="F72" s="4" t="s">
        <v>55</v>
      </c>
      <c r="G72" s="4" t="s">
        <v>25</v>
      </c>
      <c r="H72" s="4" t="s">
        <v>38</v>
      </c>
      <c r="I72" s="5">
        <v>44682</v>
      </c>
      <c r="J72" s="6">
        <v>12966</v>
      </c>
      <c r="K72" s="6">
        <v>6483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54</v>
      </c>
      <c r="R72" s="4">
        <v>0</v>
      </c>
      <c r="S72" s="4" t="s">
        <v>148</v>
      </c>
      <c r="U72" s="4">
        <v>8</v>
      </c>
      <c r="V72" s="4">
        <v>0</v>
      </c>
      <c r="W72" s="4">
        <v>0</v>
      </c>
    </row>
    <row r="73" spans="1:23" ht="11.25" customHeight="1" x14ac:dyDescent="0.25">
      <c r="A73" s="4" t="s">
        <v>21</v>
      </c>
      <c r="B73" s="4" t="s">
        <v>35</v>
      </c>
      <c r="C73" s="4" t="s">
        <v>36</v>
      </c>
      <c r="D73" s="4" t="s">
        <v>34</v>
      </c>
      <c r="E73" s="4" t="s">
        <v>25</v>
      </c>
      <c r="F73" s="4" t="s">
        <v>55</v>
      </c>
      <c r="G73" s="4" t="s">
        <v>25</v>
      </c>
      <c r="H73" s="4" t="s">
        <v>38</v>
      </c>
      <c r="I73" s="5">
        <v>44713</v>
      </c>
      <c r="J73" s="6">
        <v>13200</v>
      </c>
      <c r="K73" s="6">
        <v>6600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54</v>
      </c>
      <c r="R73" s="4">
        <v>0</v>
      </c>
      <c r="S73" s="4" t="s">
        <v>149</v>
      </c>
      <c r="U73" s="4">
        <v>8</v>
      </c>
      <c r="V73" s="4">
        <v>0</v>
      </c>
      <c r="W73" s="4">
        <v>0</v>
      </c>
    </row>
    <row r="74" spans="1:23" ht="11.25" customHeight="1" x14ac:dyDescent="0.25">
      <c r="A74" s="4" t="s">
        <v>21</v>
      </c>
      <c r="B74" s="4" t="s">
        <v>35</v>
      </c>
      <c r="C74" s="4" t="s">
        <v>36</v>
      </c>
      <c r="D74" s="4" t="s">
        <v>34</v>
      </c>
      <c r="E74" s="4" t="s">
        <v>25</v>
      </c>
      <c r="F74" s="4" t="s">
        <v>55</v>
      </c>
      <c r="G74" s="4" t="s">
        <v>25</v>
      </c>
      <c r="H74" s="4" t="s">
        <v>25</v>
      </c>
      <c r="I74" s="5">
        <v>44378</v>
      </c>
      <c r="J74" s="6">
        <v>0</v>
      </c>
      <c r="K74" s="6">
        <v>0</v>
      </c>
      <c r="L74" s="6">
        <v>4211.4489999999996</v>
      </c>
      <c r="M74" s="6">
        <v>2105.7244999999998</v>
      </c>
      <c r="N74" s="6">
        <v>0</v>
      </c>
      <c r="O74" s="6">
        <v>0</v>
      </c>
      <c r="P74" s="6">
        <v>4</v>
      </c>
      <c r="Q74" s="4" t="s">
        <v>54</v>
      </c>
      <c r="R74" s="4">
        <v>0</v>
      </c>
      <c r="S74" s="4" t="s">
        <v>162</v>
      </c>
      <c r="U74" s="4">
        <v>0</v>
      </c>
      <c r="V74" s="4">
        <v>9</v>
      </c>
      <c r="W74" s="4">
        <v>0</v>
      </c>
    </row>
    <row r="75" spans="1:23" ht="11.25" customHeight="1" x14ac:dyDescent="0.25">
      <c r="A75" s="4" t="s">
        <v>21</v>
      </c>
      <c r="B75" s="4" t="s">
        <v>35</v>
      </c>
      <c r="C75" s="4" t="s">
        <v>36</v>
      </c>
      <c r="D75" s="4" t="s">
        <v>34</v>
      </c>
      <c r="E75" s="4" t="s">
        <v>25</v>
      </c>
      <c r="F75" s="4" t="s">
        <v>55</v>
      </c>
      <c r="G75" s="4" t="s">
        <v>25</v>
      </c>
      <c r="H75" s="4" t="s">
        <v>25</v>
      </c>
      <c r="I75" s="5">
        <v>44409</v>
      </c>
      <c r="J75" s="6">
        <v>0</v>
      </c>
      <c r="K75" s="6">
        <v>0</v>
      </c>
      <c r="L75" s="6">
        <v>4403.2659999999996</v>
      </c>
      <c r="M75" s="6">
        <v>2201.6329999999998</v>
      </c>
      <c r="N75" s="6">
        <v>0</v>
      </c>
      <c r="O75" s="6">
        <v>0</v>
      </c>
      <c r="P75" s="6">
        <v>4</v>
      </c>
      <c r="Q75" s="4" t="s">
        <v>54</v>
      </c>
      <c r="R75" s="4">
        <v>0</v>
      </c>
      <c r="S75" s="4" t="s">
        <v>163</v>
      </c>
      <c r="U75" s="4">
        <v>0</v>
      </c>
      <c r="V75" s="4">
        <v>9</v>
      </c>
      <c r="W75" s="4">
        <v>0</v>
      </c>
    </row>
    <row r="76" spans="1:23" ht="11.25" customHeight="1" x14ac:dyDescent="0.25">
      <c r="A76" s="4" t="s">
        <v>21</v>
      </c>
      <c r="B76" s="4" t="s">
        <v>35</v>
      </c>
      <c r="C76" s="4" t="s">
        <v>36</v>
      </c>
      <c r="D76" s="4" t="s">
        <v>34</v>
      </c>
      <c r="E76" s="4" t="s">
        <v>25</v>
      </c>
      <c r="F76" s="4" t="s">
        <v>55</v>
      </c>
      <c r="G76" s="4" t="s">
        <v>25</v>
      </c>
      <c r="H76" s="4" t="s">
        <v>25</v>
      </c>
      <c r="I76" s="5">
        <v>44440</v>
      </c>
      <c r="J76" s="6">
        <v>0</v>
      </c>
      <c r="K76" s="6">
        <v>0</v>
      </c>
      <c r="L76" s="6">
        <v>4302.3959999999997</v>
      </c>
      <c r="M76" s="6">
        <v>2151.1979999999999</v>
      </c>
      <c r="N76" s="6">
        <v>0</v>
      </c>
      <c r="O76" s="6">
        <v>0</v>
      </c>
      <c r="P76" s="6">
        <v>4</v>
      </c>
      <c r="Q76" s="4" t="s">
        <v>54</v>
      </c>
      <c r="R76" s="4">
        <v>0</v>
      </c>
      <c r="S76" s="4" t="s">
        <v>164</v>
      </c>
      <c r="U76" s="4">
        <v>0</v>
      </c>
      <c r="V76" s="4">
        <v>9</v>
      </c>
      <c r="W76" s="4">
        <v>0</v>
      </c>
    </row>
    <row r="77" spans="1:23" ht="11.25" customHeight="1" x14ac:dyDescent="0.25">
      <c r="A77" s="4" t="s">
        <v>21</v>
      </c>
      <c r="B77" s="4" t="s">
        <v>35</v>
      </c>
      <c r="C77" s="4" t="s">
        <v>36</v>
      </c>
      <c r="D77" s="4" t="s">
        <v>34</v>
      </c>
      <c r="E77" s="4" t="s">
        <v>25</v>
      </c>
      <c r="F77" s="4" t="s">
        <v>55</v>
      </c>
      <c r="G77" s="4" t="s">
        <v>25</v>
      </c>
      <c r="H77" s="4" t="s">
        <v>25</v>
      </c>
      <c r="I77" s="5">
        <v>44470</v>
      </c>
      <c r="J77" s="6">
        <v>0</v>
      </c>
      <c r="K77" s="6">
        <v>0</v>
      </c>
      <c r="L77" s="6">
        <v>4369.4129999999996</v>
      </c>
      <c r="M77" s="6">
        <v>2184.7064999999998</v>
      </c>
      <c r="N77" s="6">
        <v>0</v>
      </c>
      <c r="O77" s="6">
        <v>0</v>
      </c>
      <c r="P77" s="6">
        <v>4</v>
      </c>
      <c r="Q77" s="4" t="s">
        <v>54</v>
      </c>
      <c r="R77" s="4">
        <v>0</v>
      </c>
      <c r="S77" s="4" t="s">
        <v>165</v>
      </c>
      <c r="U77" s="4">
        <v>0</v>
      </c>
      <c r="V77" s="4">
        <v>9</v>
      </c>
      <c r="W77" s="4">
        <v>0</v>
      </c>
    </row>
    <row r="78" spans="1:23" ht="11.25" customHeight="1" x14ac:dyDescent="0.25">
      <c r="A78" s="4" t="s">
        <v>21</v>
      </c>
      <c r="B78" s="4" t="s">
        <v>35</v>
      </c>
      <c r="C78" s="4" t="s">
        <v>36</v>
      </c>
      <c r="D78" s="4" t="s">
        <v>34</v>
      </c>
      <c r="E78" s="4" t="s">
        <v>25</v>
      </c>
      <c r="F78" s="4" t="s">
        <v>55</v>
      </c>
      <c r="G78" s="4" t="s">
        <v>25</v>
      </c>
      <c r="H78" s="4" t="s">
        <v>25</v>
      </c>
      <c r="I78" s="5">
        <v>44501</v>
      </c>
      <c r="J78" s="6">
        <v>0</v>
      </c>
      <c r="K78" s="6">
        <v>0</v>
      </c>
      <c r="L78" s="6">
        <v>4623.4799999999996</v>
      </c>
      <c r="M78" s="6">
        <v>2311.7399999999998</v>
      </c>
      <c r="N78" s="6">
        <v>0</v>
      </c>
      <c r="O78" s="6">
        <v>0</v>
      </c>
      <c r="P78" s="6">
        <v>4</v>
      </c>
      <c r="Q78" s="4" t="s">
        <v>54</v>
      </c>
      <c r="R78" s="4">
        <v>0</v>
      </c>
      <c r="S78" s="4" t="s">
        <v>166</v>
      </c>
      <c r="U78" s="4">
        <v>0</v>
      </c>
      <c r="V78" s="4">
        <v>9</v>
      </c>
      <c r="W78" s="4">
        <v>0</v>
      </c>
    </row>
    <row r="79" spans="1:23" ht="11.25" customHeight="1" x14ac:dyDescent="0.25">
      <c r="A79" s="4" t="s">
        <v>65</v>
      </c>
      <c r="B79" s="4" t="s">
        <v>35</v>
      </c>
      <c r="C79" s="4" t="s">
        <v>36</v>
      </c>
      <c r="D79" s="4" t="s">
        <v>34</v>
      </c>
      <c r="E79" s="4" t="s">
        <v>25</v>
      </c>
      <c r="F79" s="4" t="s">
        <v>55</v>
      </c>
      <c r="G79" s="4" t="s">
        <v>25</v>
      </c>
      <c r="H79" s="4" t="s">
        <v>25</v>
      </c>
      <c r="I79" s="5">
        <v>44531</v>
      </c>
      <c r="J79" s="6">
        <v>0</v>
      </c>
      <c r="K79" s="6">
        <v>0</v>
      </c>
      <c r="L79" s="6">
        <v>4623.4799999999996</v>
      </c>
      <c r="M79" s="6">
        <v>2311.7399999999998</v>
      </c>
      <c r="N79" s="6">
        <v>0</v>
      </c>
      <c r="O79" s="6">
        <v>0</v>
      </c>
      <c r="P79" s="6">
        <v>4</v>
      </c>
      <c r="Q79" s="4" t="s">
        <v>54</v>
      </c>
      <c r="R79" s="4">
        <v>0</v>
      </c>
      <c r="S79" s="4" t="s">
        <v>167</v>
      </c>
      <c r="U79" s="4">
        <v>0</v>
      </c>
      <c r="V79" s="4">
        <v>9</v>
      </c>
      <c r="W79" s="4">
        <v>0</v>
      </c>
    </row>
    <row r="80" spans="1:23" ht="11.25" customHeight="1" x14ac:dyDescent="0.25">
      <c r="A80" s="4" t="s">
        <v>21</v>
      </c>
      <c r="B80" s="4" t="s">
        <v>35</v>
      </c>
      <c r="C80" s="4" t="s">
        <v>36</v>
      </c>
      <c r="D80" s="4" t="s">
        <v>34</v>
      </c>
      <c r="E80" s="4" t="s">
        <v>25</v>
      </c>
      <c r="F80" s="4" t="s">
        <v>55</v>
      </c>
      <c r="G80" s="4" t="s">
        <v>25</v>
      </c>
      <c r="H80" s="4" t="s">
        <v>25</v>
      </c>
      <c r="I80" s="5">
        <v>44562</v>
      </c>
      <c r="J80" s="6">
        <v>0</v>
      </c>
      <c r="K80" s="6">
        <v>0</v>
      </c>
      <c r="L80" s="6">
        <v>4275.4930000000004</v>
      </c>
      <c r="M80" s="6">
        <v>2137.7465000000002</v>
      </c>
      <c r="N80" s="6">
        <v>0</v>
      </c>
      <c r="O80" s="6">
        <v>0</v>
      </c>
      <c r="P80" s="6">
        <v>4</v>
      </c>
      <c r="Q80" s="4" t="s">
        <v>54</v>
      </c>
      <c r="R80" s="4">
        <v>0</v>
      </c>
      <c r="S80" s="4" t="s">
        <v>168</v>
      </c>
      <c r="U80" s="4">
        <v>0</v>
      </c>
      <c r="V80" s="4">
        <v>9</v>
      </c>
      <c r="W80" s="4">
        <v>0</v>
      </c>
    </row>
    <row r="81" spans="1:23" ht="11.25" customHeight="1" x14ac:dyDescent="0.25">
      <c r="A81" s="4" t="s">
        <v>21</v>
      </c>
      <c r="B81" s="4" t="s">
        <v>35</v>
      </c>
      <c r="C81" s="4" t="s">
        <v>36</v>
      </c>
      <c r="D81" s="4" t="s">
        <v>34</v>
      </c>
      <c r="E81" s="4" t="s">
        <v>25</v>
      </c>
      <c r="F81" s="4" t="s">
        <v>55</v>
      </c>
      <c r="G81" s="4" t="s">
        <v>25</v>
      </c>
      <c r="H81" s="4" t="s">
        <v>25</v>
      </c>
      <c r="I81" s="5">
        <v>44593</v>
      </c>
      <c r="J81" s="6">
        <v>0</v>
      </c>
      <c r="K81" s="6">
        <v>0</v>
      </c>
      <c r="L81" s="6">
        <v>4336.7749999999996</v>
      </c>
      <c r="M81" s="6">
        <v>2168.3874999999998</v>
      </c>
      <c r="N81" s="6">
        <v>0</v>
      </c>
      <c r="O81" s="6">
        <v>0</v>
      </c>
      <c r="P81" s="6">
        <v>4</v>
      </c>
      <c r="Q81" s="4" t="s">
        <v>54</v>
      </c>
      <c r="R81" s="4">
        <v>0</v>
      </c>
      <c r="S81" s="4" t="s">
        <v>169</v>
      </c>
      <c r="U81" s="4">
        <v>0</v>
      </c>
      <c r="V81" s="4">
        <v>9</v>
      </c>
      <c r="W81" s="4">
        <v>0</v>
      </c>
    </row>
    <row r="82" spans="1:23" ht="11.25" customHeight="1" x14ac:dyDescent="0.25">
      <c r="A82" s="4" t="s">
        <v>21</v>
      </c>
      <c r="B82" s="4" t="s">
        <v>35</v>
      </c>
      <c r="C82" s="4" t="s">
        <v>36</v>
      </c>
      <c r="D82" s="4" t="s">
        <v>34</v>
      </c>
      <c r="E82" s="4" t="s">
        <v>25</v>
      </c>
      <c r="F82" s="4" t="s">
        <v>55</v>
      </c>
      <c r="G82" s="4" t="s">
        <v>25</v>
      </c>
      <c r="H82" s="4" t="s">
        <v>25</v>
      </c>
      <c r="I82" s="5">
        <v>44621</v>
      </c>
      <c r="J82" s="6">
        <v>0</v>
      </c>
      <c r="K82" s="6">
        <v>0</v>
      </c>
      <c r="L82" s="6">
        <v>4394.4470000000001</v>
      </c>
      <c r="M82" s="6">
        <v>2197.2235000000001</v>
      </c>
      <c r="N82" s="6">
        <v>0</v>
      </c>
      <c r="O82" s="6">
        <v>0</v>
      </c>
      <c r="P82" s="6">
        <v>4</v>
      </c>
      <c r="Q82" s="4" t="s">
        <v>54</v>
      </c>
      <c r="R82" s="4">
        <v>0</v>
      </c>
      <c r="S82" s="4" t="s">
        <v>170</v>
      </c>
      <c r="U82" s="4">
        <v>0</v>
      </c>
      <c r="V82" s="4">
        <v>9</v>
      </c>
      <c r="W82" s="4">
        <v>0</v>
      </c>
    </row>
    <row r="83" spans="1:23" ht="11.25" customHeight="1" x14ac:dyDescent="0.25">
      <c r="A83" s="4" t="s">
        <v>65</v>
      </c>
      <c r="B83" s="4" t="s">
        <v>35</v>
      </c>
      <c r="C83" s="4" t="s">
        <v>36</v>
      </c>
      <c r="D83" s="4" t="s">
        <v>34</v>
      </c>
      <c r="E83" s="4" t="s">
        <v>25</v>
      </c>
      <c r="F83" s="4" t="s">
        <v>55</v>
      </c>
      <c r="G83" s="4" t="s">
        <v>25</v>
      </c>
      <c r="H83" s="4" t="s">
        <v>25</v>
      </c>
      <c r="I83" s="5">
        <v>44652</v>
      </c>
      <c r="J83" s="6">
        <v>0</v>
      </c>
      <c r="K83" s="6">
        <v>0</v>
      </c>
      <c r="L83" s="6">
        <v>4394.4470000000001</v>
      </c>
      <c r="M83" s="6">
        <v>2197.2235000000001</v>
      </c>
      <c r="N83" s="6">
        <v>0</v>
      </c>
      <c r="O83" s="6">
        <v>0</v>
      </c>
      <c r="P83" s="6">
        <v>4</v>
      </c>
      <c r="Q83" s="4" t="s">
        <v>54</v>
      </c>
      <c r="R83" s="4">
        <v>0</v>
      </c>
      <c r="S83" s="4" t="s">
        <v>171</v>
      </c>
      <c r="U83" s="4">
        <v>0</v>
      </c>
      <c r="V83" s="4">
        <v>9</v>
      </c>
      <c r="W83" s="4">
        <v>0</v>
      </c>
    </row>
    <row r="84" spans="1:23" ht="11.25" customHeight="1" x14ac:dyDescent="0.25">
      <c r="A84" s="4" t="s">
        <v>21</v>
      </c>
      <c r="B84" s="4" t="s">
        <v>35</v>
      </c>
      <c r="C84" s="4" t="s">
        <v>36</v>
      </c>
      <c r="D84" s="4" t="s">
        <v>34</v>
      </c>
      <c r="E84" s="4" t="s">
        <v>25</v>
      </c>
      <c r="F84" s="4" t="s">
        <v>55</v>
      </c>
      <c r="G84" s="4" t="s">
        <v>25</v>
      </c>
      <c r="H84" s="4" t="s">
        <v>25</v>
      </c>
      <c r="I84" s="5">
        <v>44682</v>
      </c>
      <c r="J84" s="6">
        <v>0</v>
      </c>
      <c r="K84" s="6">
        <v>0</v>
      </c>
      <c r="L84" s="6">
        <v>5031.1610000000001</v>
      </c>
      <c r="M84" s="6">
        <v>5031.1610000000001</v>
      </c>
      <c r="N84" s="6">
        <v>0</v>
      </c>
      <c r="O84" s="6">
        <v>0</v>
      </c>
      <c r="P84" s="6">
        <v>5</v>
      </c>
      <c r="Q84" s="4" t="s">
        <v>54</v>
      </c>
      <c r="R84" s="4">
        <v>0</v>
      </c>
      <c r="S84" s="4" t="s">
        <v>172</v>
      </c>
      <c r="U84" s="4">
        <v>0</v>
      </c>
      <c r="V84" s="4">
        <v>9</v>
      </c>
      <c r="W84" s="4">
        <v>0</v>
      </c>
    </row>
    <row r="85" spans="1:23" ht="11.25" customHeight="1" x14ac:dyDescent="0.25">
      <c r="A85" s="4" t="s">
        <v>21</v>
      </c>
      <c r="B85" s="4" t="s">
        <v>35</v>
      </c>
      <c r="C85" s="4" t="s">
        <v>36</v>
      </c>
      <c r="D85" s="4" t="s">
        <v>34</v>
      </c>
      <c r="E85" s="4" t="s">
        <v>25</v>
      </c>
      <c r="F85" s="4" t="s">
        <v>55</v>
      </c>
      <c r="G85" s="4" t="s">
        <v>25</v>
      </c>
      <c r="H85" s="4" t="s">
        <v>25</v>
      </c>
      <c r="I85" s="5">
        <v>44713</v>
      </c>
      <c r="J85" s="6">
        <v>0</v>
      </c>
      <c r="K85" s="6">
        <v>0</v>
      </c>
      <c r="L85" s="6">
        <v>3797.1529999999998</v>
      </c>
      <c r="M85" s="6">
        <v>3797.1529999999998</v>
      </c>
      <c r="N85" s="6">
        <v>0</v>
      </c>
      <c r="O85" s="6">
        <v>0</v>
      </c>
      <c r="P85" s="6">
        <v>5</v>
      </c>
      <c r="Q85" s="4" t="s">
        <v>54</v>
      </c>
      <c r="R85" s="4">
        <v>0</v>
      </c>
      <c r="S85" s="4" t="s">
        <v>173</v>
      </c>
      <c r="U85" s="4">
        <v>0</v>
      </c>
      <c r="V85" s="4">
        <v>9</v>
      </c>
      <c r="W85" s="4">
        <v>0</v>
      </c>
    </row>
    <row r="86" spans="1:23" ht="11.25" customHeight="1" x14ac:dyDescent="0.25">
      <c r="A86" s="4" t="s">
        <v>21</v>
      </c>
      <c r="B86" s="4" t="s">
        <v>35</v>
      </c>
      <c r="C86" s="4" t="s">
        <v>36</v>
      </c>
      <c r="D86" s="4" t="s">
        <v>34</v>
      </c>
      <c r="E86" s="4" t="s">
        <v>25</v>
      </c>
      <c r="F86" s="4" t="s">
        <v>55</v>
      </c>
      <c r="G86" s="4" t="s">
        <v>25</v>
      </c>
      <c r="H86" s="4" t="s">
        <v>37</v>
      </c>
      <c r="I86" s="5">
        <v>44378</v>
      </c>
      <c r="J86" s="6">
        <v>7706</v>
      </c>
      <c r="K86" s="6">
        <v>3853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4" t="s">
        <v>54</v>
      </c>
      <c r="R86" s="4">
        <v>0</v>
      </c>
      <c r="S86" s="4" t="s">
        <v>150</v>
      </c>
      <c r="U86" s="4">
        <v>3</v>
      </c>
      <c r="V86" s="4">
        <v>0</v>
      </c>
      <c r="W86" s="4">
        <v>0</v>
      </c>
    </row>
    <row r="87" spans="1:23" ht="11.25" customHeight="1" x14ac:dyDescent="0.25">
      <c r="A87" s="4" t="s">
        <v>21</v>
      </c>
      <c r="B87" s="4" t="s">
        <v>35</v>
      </c>
      <c r="C87" s="4" t="s">
        <v>36</v>
      </c>
      <c r="D87" s="4" t="s">
        <v>34</v>
      </c>
      <c r="E87" s="4" t="s">
        <v>25</v>
      </c>
      <c r="F87" s="4" t="s">
        <v>55</v>
      </c>
      <c r="G87" s="4" t="s">
        <v>25</v>
      </c>
      <c r="H87" s="4" t="s">
        <v>37</v>
      </c>
      <c r="I87" s="5">
        <v>44409</v>
      </c>
      <c r="J87" s="6">
        <v>7647</v>
      </c>
      <c r="K87" s="6">
        <v>3823.5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54</v>
      </c>
      <c r="R87" s="4">
        <v>0</v>
      </c>
      <c r="S87" s="4" t="s">
        <v>151</v>
      </c>
      <c r="U87" s="4">
        <v>3</v>
      </c>
      <c r="V87" s="4">
        <v>0</v>
      </c>
      <c r="W87" s="4">
        <v>0</v>
      </c>
    </row>
    <row r="88" spans="1:23" ht="11.25" customHeight="1" x14ac:dyDescent="0.25">
      <c r="A88" s="4" t="s">
        <v>21</v>
      </c>
      <c r="B88" s="4" t="s">
        <v>35</v>
      </c>
      <c r="C88" s="4" t="s">
        <v>36</v>
      </c>
      <c r="D88" s="4" t="s">
        <v>34</v>
      </c>
      <c r="E88" s="4" t="s">
        <v>25</v>
      </c>
      <c r="F88" s="4" t="s">
        <v>55</v>
      </c>
      <c r="G88" s="4" t="s">
        <v>25</v>
      </c>
      <c r="H88" s="4" t="s">
        <v>37</v>
      </c>
      <c r="I88" s="5">
        <v>44440</v>
      </c>
      <c r="J88" s="6">
        <v>7653</v>
      </c>
      <c r="K88" s="6">
        <v>3826.5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54</v>
      </c>
      <c r="R88" s="4">
        <v>0</v>
      </c>
      <c r="S88" s="4" t="s">
        <v>152</v>
      </c>
      <c r="U88" s="4">
        <v>3</v>
      </c>
      <c r="V88" s="4">
        <v>0</v>
      </c>
      <c r="W88" s="4">
        <v>0</v>
      </c>
    </row>
    <row r="89" spans="1:23" ht="11.25" customHeight="1" x14ac:dyDescent="0.25">
      <c r="A89" s="4" t="s">
        <v>21</v>
      </c>
      <c r="B89" s="4" t="s">
        <v>35</v>
      </c>
      <c r="C89" s="4" t="s">
        <v>36</v>
      </c>
      <c r="D89" s="4" t="s">
        <v>34</v>
      </c>
      <c r="E89" s="4" t="s">
        <v>25</v>
      </c>
      <c r="F89" s="4" t="s">
        <v>55</v>
      </c>
      <c r="G89" s="4" t="s">
        <v>25</v>
      </c>
      <c r="H89" s="4" t="s">
        <v>37</v>
      </c>
      <c r="I89" s="5">
        <v>44470</v>
      </c>
      <c r="J89" s="6">
        <v>7932</v>
      </c>
      <c r="K89" s="6">
        <v>3966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54</v>
      </c>
      <c r="R89" s="4">
        <v>0</v>
      </c>
      <c r="S89" s="4" t="s">
        <v>153</v>
      </c>
      <c r="U89" s="4">
        <v>3</v>
      </c>
      <c r="V89" s="4">
        <v>0</v>
      </c>
      <c r="W89" s="4">
        <v>0</v>
      </c>
    </row>
    <row r="90" spans="1:23" ht="11.25" customHeight="1" x14ac:dyDescent="0.25">
      <c r="A90" s="4" t="s">
        <v>21</v>
      </c>
      <c r="B90" s="4" t="s">
        <v>35</v>
      </c>
      <c r="C90" s="4" t="s">
        <v>36</v>
      </c>
      <c r="D90" s="4" t="s">
        <v>34</v>
      </c>
      <c r="E90" s="4" t="s">
        <v>25</v>
      </c>
      <c r="F90" s="4" t="s">
        <v>55</v>
      </c>
      <c r="G90" s="4" t="s">
        <v>25</v>
      </c>
      <c r="H90" s="4" t="s">
        <v>37</v>
      </c>
      <c r="I90" s="5">
        <v>44501</v>
      </c>
      <c r="J90" s="6">
        <v>7829</v>
      </c>
      <c r="K90" s="6">
        <v>3914.5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54</v>
      </c>
      <c r="R90" s="4">
        <v>0</v>
      </c>
      <c r="S90" s="4" t="s">
        <v>154</v>
      </c>
      <c r="U90" s="4">
        <v>3</v>
      </c>
      <c r="V90" s="4">
        <v>0</v>
      </c>
      <c r="W90" s="4">
        <v>0</v>
      </c>
    </row>
    <row r="91" spans="1:23" ht="11.25" customHeight="1" x14ac:dyDescent="0.25">
      <c r="A91" s="4" t="s">
        <v>65</v>
      </c>
      <c r="B91" s="4" t="s">
        <v>35</v>
      </c>
      <c r="C91" s="4" t="s">
        <v>36</v>
      </c>
      <c r="D91" s="4" t="s">
        <v>34</v>
      </c>
      <c r="E91" s="4" t="s">
        <v>25</v>
      </c>
      <c r="F91" s="4" t="s">
        <v>55</v>
      </c>
      <c r="G91" s="4" t="s">
        <v>25</v>
      </c>
      <c r="H91" s="4" t="s">
        <v>37</v>
      </c>
      <c r="I91" s="5">
        <v>44531</v>
      </c>
      <c r="J91" s="6">
        <v>7829</v>
      </c>
      <c r="K91" s="6">
        <v>3914.5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54</v>
      </c>
      <c r="R91" s="4">
        <v>0</v>
      </c>
      <c r="S91" s="4" t="s">
        <v>155</v>
      </c>
      <c r="U91" s="4">
        <v>3</v>
      </c>
      <c r="V91" s="4">
        <v>0</v>
      </c>
      <c r="W91" s="4">
        <v>0</v>
      </c>
    </row>
    <row r="92" spans="1:23" ht="11.25" customHeight="1" x14ac:dyDescent="0.25">
      <c r="A92" s="4" t="s">
        <v>21</v>
      </c>
      <c r="B92" s="4" t="s">
        <v>35</v>
      </c>
      <c r="C92" s="4" t="s">
        <v>36</v>
      </c>
      <c r="D92" s="4" t="s">
        <v>34</v>
      </c>
      <c r="E92" s="4" t="s">
        <v>25</v>
      </c>
      <c r="F92" s="4" t="s">
        <v>55</v>
      </c>
      <c r="G92" s="4" t="s">
        <v>25</v>
      </c>
      <c r="H92" s="4" t="s">
        <v>37</v>
      </c>
      <c r="I92" s="5">
        <v>44562</v>
      </c>
      <c r="J92" s="6">
        <v>7757</v>
      </c>
      <c r="K92" s="6">
        <v>3878.5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54</v>
      </c>
      <c r="R92" s="4">
        <v>0</v>
      </c>
      <c r="S92" s="4" t="s">
        <v>156</v>
      </c>
      <c r="U92" s="4">
        <v>3</v>
      </c>
      <c r="V92" s="4">
        <v>0</v>
      </c>
      <c r="W92" s="4">
        <v>0</v>
      </c>
    </row>
    <row r="93" spans="1:23" ht="11.25" customHeight="1" x14ac:dyDescent="0.25">
      <c r="A93" s="4" t="s">
        <v>21</v>
      </c>
      <c r="B93" s="4" t="s">
        <v>35</v>
      </c>
      <c r="C93" s="4" t="s">
        <v>36</v>
      </c>
      <c r="D93" s="4" t="s">
        <v>34</v>
      </c>
      <c r="E93" s="4" t="s">
        <v>25</v>
      </c>
      <c r="F93" s="4" t="s">
        <v>55</v>
      </c>
      <c r="G93" s="4" t="s">
        <v>25</v>
      </c>
      <c r="H93" s="4" t="s">
        <v>37</v>
      </c>
      <c r="I93" s="5">
        <v>44593</v>
      </c>
      <c r="J93" s="6">
        <v>8174</v>
      </c>
      <c r="K93" s="6">
        <v>4087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54</v>
      </c>
      <c r="R93" s="4">
        <v>0</v>
      </c>
      <c r="S93" s="4" t="s">
        <v>157</v>
      </c>
      <c r="U93" s="4">
        <v>3</v>
      </c>
      <c r="V93" s="4">
        <v>0</v>
      </c>
      <c r="W93" s="4">
        <v>0</v>
      </c>
    </row>
    <row r="94" spans="1:23" ht="11.25" customHeight="1" x14ac:dyDescent="0.25">
      <c r="A94" s="4" t="s">
        <v>21</v>
      </c>
      <c r="B94" s="4" t="s">
        <v>35</v>
      </c>
      <c r="C94" s="4" t="s">
        <v>36</v>
      </c>
      <c r="D94" s="4" t="s">
        <v>34</v>
      </c>
      <c r="E94" s="4" t="s">
        <v>25</v>
      </c>
      <c r="F94" s="4" t="s">
        <v>55</v>
      </c>
      <c r="G94" s="4" t="s">
        <v>25</v>
      </c>
      <c r="H94" s="4" t="s">
        <v>37</v>
      </c>
      <c r="I94" s="5">
        <v>44621</v>
      </c>
      <c r="J94" s="6">
        <v>8100</v>
      </c>
      <c r="K94" s="6">
        <v>4050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54</v>
      </c>
      <c r="R94" s="4">
        <v>0</v>
      </c>
      <c r="S94" s="4" t="s">
        <v>158</v>
      </c>
      <c r="U94" s="4">
        <v>3</v>
      </c>
      <c r="V94" s="4">
        <v>0</v>
      </c>
      <c r="W94" s="4">
        <v>0</v>
      </c>
    </row>
    <row r="95" spans="1:23" ht="11.25" customHeight="1" x14ac:dyDescent="0.25">
      <c r="A95" s="4" t="s">
        <v>65</v>
      </c>
      <c r="B95" s="4" t="s">
        <v>35</v>
      </c>
      <c r="C95" s="4" t="s">
        <v>36</v>
      </c>
      <c r="D95" s="4" t="s">
        <v>34</v>
      </c>
      <c r="E95" s="4" t="s">
        <v>25</v>
      </c>
      <c r="F95" s="4" t="s">
        <v>55</v>
      </c>
      <c r="G95" s="4" t="s">
        <v>25</v>
      </c>
      <c r="H95" s="4" t="s">
        <v>37</v>
      </c>
      <c r="I95" s="5">
        <v>44652</v>
      </c>
      <c r="J95" s="6">
        <v>8100</v>
      </c>
      <c r="K95" s="6">
        <v>4050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54</v>
      </c>
      <c r="R95" s="4">
        <v>0</v>
      </c>
      <c r="S95" s="4" t="s">
        <v>159</v>
      </c>
      <c r="U95" s="4">
        <v>3</v>
      </c>
      <c r="V95" s="4">
        <v>0</v>
      </c>
      <c r="W95" s="4">
        <v>0</v>
      </c>
    </row>
    <row r="96" spans="1:23" ht="11.25" customHeight="1" x14ac:dyDescent="0.25">
      <c r="A96" s="4" t="s">
        <v>21</v>
      </c>
      <c r="B96" s="4" t="s">
        <v>35</v>
      </c>
      <c r="C96" s="4" t="s">
        <v>36</v>
      </c>
      <c r="D96" s="4" t="s">
        <v>34</v>
      </c>
      <c r="E96" s="4" t="s">
        <v>25</v>
      </c>
      <c r="F96" s="4" t="s">
        <v>55</v>
      </c>
      <c r="G96" s="4" t="s">
        <v>25</v>
      </c>
      <c r="H96" s="4" t="s">
        <v>37</v>
      </c>
      <c r="I96" s="5">
        <v>44682</v>
      </c>
      <c r="J96" s="6">
        <v>10059</v>
      </c>
      <c r="K96" s="6">
        <v>5029.5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54</v>
      </c>
      <c r="R96" s="4">
        <v>0</v>
      </c>
      <c r="S96" s="4" t="s">
        <v>160</v>
      </c>
      <c r="U96" s="4">
        <v>3</v>
      </c>
      <c r="V96" s="4">
        <v>0</v>
      </c>
      <c r="W96" s="4">
        <v>0</v>
      </c>
    </row>
    <row r="97" spans="1:23" ht="11.25" customHeight="1" x14ac:dyDescent="0.25">
      <c r="A97" s="4" t="s">
        <v>21</v>
      </c>
      <c r="B97" s="4" t="s">
        <v>35</v>
      </c>
      <c r="C97" s="4" t="s">
        <v>36</v>
      </c>
      <c r="D97" s="4" t="s">
        <v>34</v>
      </c>
      <c r="E97" s="4" t="s">
        <v>25</v>
      </c>
      <c r="F97" s="4" t="s">
        <v>55</v>
      </c>
      <c r="G97" s="4" t="s">
        <v>25</v>
      </c>
      <c r="H97" s="4" t="s">
        <v>37</v>
      </c>
      <c r="I97" s="5">
        <v>44713</v>
      </c>
      <c r="J97" s="6">
        <v>10386</v>
      </c>
      <c r="K97" s="6">
        <v>5193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54</v>
      </c>
      <c r="R97" s="4">
        <v>0</v>
      </c>
      <c r="S97" s="4" t="s">
        <v>161</v>
      </c>
      <c r="U97" s="4">
        <v>3</v>
      </c>
      <c r="V97" s="4">
        <v>0</v>
      </c>
      <c r="W97" s="4">
        <v>0</v>
      </c>
    </row>
    <row r="98" spans="1:23" ht="11.25" customHeight="1" x14ac:dyDescent="0.25">
      <c r="A98" s="4" t="s">
        <v>21</v>
      </c>
      <c r="B98" s="4" t="s">
        <v>35</v>
      </c>
      <c r="C98" s="4" t="s">
        <v>36</v>
      </c>
      <c r="D98" s="4" t="s">
        <v>34</v>
      </c>
      <c r="E98" s="4" t="s">
        <v>25</v>
      </c>
      <c r="F98" s="4" t="s">
        <v>25</v>
      </c>
      <c r="G98" s="4" t="s">
        <v>25</v>
      </c>
      <c r="H98" s="4" t="s">
        <v>38</v>
      </c>
      <c r="I98" s="5">
        <v>44378</v>
      </c>
      <c r="J98" s="6">
        <v>2538</v>
      </c>
      <c r="K98" s="6">
        <v>2538</v>
      </c>
      <c r="L98" s="6">
        <v>1155.9059999999999</v>
      </c>
      <c r="M98" s="6">
        <v>1155.9059999999999</v>
      </c>
      <c r="N98" s="6">
        <v>1155.9059999999999</v>
      </c>
      <c r="O98" s="6">
        <v>1155.9059999999999</v>
      </c>
      <c r="P98" s="6">
        <v>0</v>
      </c>
      <c r="Q98" s="4" t="s">
        <v>26</v>
      </c>
      <c r="R98" s="4">
        <v>0</v>
      </c>
      <c r="S98" s="4" t="s">
        <v>138</v>
      </c>
      <c r="T98" s="4" t="s">
        <v>319</v>
      </c>
      <c r="U98" s="4">
        <v>8</v>
      </c>
      <c r="V98" s="4">
        <v>9</v>
      </c>
      <c r="W98" s="4">
        <v>59</v>
      </c>
    </row>
    <row r="99" spans="1:23" ht="11.25" customHeight="1" x14ac:dyDescent="0.25">
      <c r="A99" s="4" t="s">
        <v>21</v>
      </c>
      <c r="B99" s="4" t="s">
        <v>35</v>
      </c>
      <c r="C99" s="4" t="s">
        <v>36</v>
      </c>
      <c r="D99" s="4" t="s">
        <v>34</v>
      </c>
      <c r="E99" s="4" t="s">
        <v>25</v>
      </c>
      <c r="F99" s="4" t="s">
        <v>25</v>
      </c>
      <c r="G99" s="4" t="s">
        <v>25</v>
      </c>
      <c r="H99" s="4" t="s">
        <v>38</v>
      </c>
      <c r="I99" s="5">
        <v>44409</v>
      </c>
      <c r="J99" s="6">
        <v>2560</v>
      </c>
      <c r="K99" s="6">
        <v>2560</v>
      </c>
      <c r="L99" s="6">
        <v>1219.3900000000001</v>
      </c>
      <c r="M99" s="6">
        <v>1219.3900000000001</v>
      </c>
      <c r="N99" s="6">
        <v>1219.3900000000001</v>
      </c>
      <c r="O99" s="6">
        <v>1219.3900000000001</v>
      </c>
      <c r="P99" s="6">
        <v>0</v>
      </c>
      <c r="Q99" s="4" t="s">
        <v>26</v>
      </c>
      <c r="R99" s="4">
        <v>0</v>
      </c>
      <c r="S99" s="4" t="s">
        <v>139</v>
      </c>
      <c r="T99" s="4" t="s">
        <v>320</v>
      </c>
      <c r="U99" s="4">
        <v>8</v>
      </c>
      <c r="V99" s="4">
        <v>9</v>
      </c>
      <c r="W99" s="4">
        <v>59</v>
      </c>
    </row>
    <row r="100" spans="1:23" ht="11.25" customHeight="1" x14ac:dyDescent="0.25">
      <c r="A100" s="4" t="s">
        <v>21</v>
      </c>
      <c r="B100" s="4" t="s">
        <v>35</v>
      </c>
      <c r="C100" s="4" t="s">
        <v>36</v>
      </c>
      <c r="D100" s="4" t="s">
        <v>34</v>
      </c>
      <c r="E100" s="4" t="s">
        <v>25</v>
      </c>
      <c r="F100" s="4" t="s">
        <v>25</v>
      </c>
      <c r="G100" s="4" t="s">
        <v>25</v>
      </c>
      <c r="H100" s="4" t="s">
        <v>38</v>
      </c>
      <c r="I100" s="5">
        <v>44440</v>
      </c>
      <c r="J100" s="6">
        <v>7635</v>
      </c>
      <c r="K100" s="6">
        <v>7635</v>
      </c>
      <c r="L100" s="6">
        <v>3603.8339999999998</v>
      </c>
      <c r="M100" s="6">
        <v>3603.8339999999998</v>
      </c>
      <c r="N100" s="6">
        <v>3603.8339999999998</v>
      </c>
      <c r="O100" s="6">
        <v>3603.8339999999998</v>
      </c>
      <c r="P100" s="6">
        <v>0</v>
      </c>
      <c r="Q100" s="4" t="s">
        <v>26</v>
      </c>
      <c r="R100" s="4">
        <v>0</v>
      </c>
      <c r="S100" s="4" t="s">
        <v>140</v>
      </c>
      <c r="T100" s="4" t="s">
        <v>321</v>
      </c>
      <c r="U100" s="4">
        <v>8</v>
      </c>
      <c r="V100" s="4">
        <v>9</v>
      </c>
      <c r="W100" s="4">
        <v>59</v>
      </c>
    </row>
    <row r="101" spans="1:23" ht="11.25" customHeight="1" x14ac:dyDescent="0.25">
      <c r="A101" s="4" t="s">
        <v>27</v>
      </c>
      <c r="B101" s="4" t="s">
        <v>35</v>
      </c>
      <c r="C101" s="4" t="s">
        <v>36</v>
      </c>
      <c r="D101" s="4" t="s">
        <v>34</v>
      </c>
      <c r="E101" s="4" t="s">
        <v>25</v>
      </c>
      <c r="F101" s="4" t="s">
        <v>25</v>
      </c>
      <c r="G101" s="4" t="s">
        <v>25</v>
      </c>
      <c r="H101" s="4" t="s">
        <v>38</v>
      </c>
      <c r="I101" s="5">
        <v>44440</v>
      </c>
      <c r="J101" s="6">
        <v>-5090</v>
      </c>
      <c r="K101" s="6">
        <v>-5090</v>
      </c>
      <c r="L101" s="6">
        <v>-2402.556</v>
      </c>
      <c r="M101" s="6">
        <v>-2402.556</v>
      </c>
      <c r="N101" s="6">
        <v>-2402.556</v>
      </c>
      <c r="O101" s="6">
        <v>-2402.556</v>
      </c>
      <c r="P101" s="6">
        <v>0</v>
      </c>
      <c r="Q101" s="4" t="s">
        <v>26</v>
      </c>
      <c r="R101" s="4">
        <v>0</v>
      </c>
      <c r="S101" s="4" t="s">
        <v>140</v>
      </c>
      <c r="T101" s="4" t="s">
        <v>321</v>
      </c>
      <c r="U101" s="4">
        <v>8</v>
      </c>
      <c r="V101" s="4">
        <v>9</v>
      </c>
      <c r="W101" s="4">
        <v>59</v>
      </c>
    </row>
    <row r="102" spans="1:23" ht="11.25" customHeight="1" x14ac:dyDescent="0.25">
      <c r="A102" s="4" t="s">
        <v>21</v>
      </c>
      <c r="B102" s="4" t="s">
        <v>35</v>
      </c>
      <c r="C102" s="4" t="s">
        <v>36</v>
      </c>
      <c r="D102" s="4" t="s">
        <v>34</v>
      </c>
      <c r="E102" s="4" t="s">
        <v>25</v>
      </c>
      <c r="F102" s="4" t="s">
        <v>25</v>
      </c>
      <c r="G102" s="4" t="s">
        <v>25</v>
      </c>
      <c r="H102" s="4" t="s">
        <v>38</v>
      </c>
      <c r="I102" s="5">
        <v>44470</v>
      </c>
      <c r="J102" s="6">
        <v>5082</v>
      </c>
      <c r="K102" s="6">
        <v>5082</v>
      </c>
      <c r="L102" s="6">
        <v>2376.4299999999998</v>
      </c>
      <c r="M102" s="6">
        <v>2376.4299999999998</v>
      </c>
      <c r="N102" s="6">
        <v>2376.4299999999998</v>
      </c>
      <c r="O102" s="6">
        <v>2376.4299999999998</v>
      </c>
      <c r="P102" s="6">
        <v>0</v>
      </c>
      <c r="Q102" s="4" t="s">
        <v>26</v>
      </c>
      <c r="R102" s="4">
        <v>0</v>
      </c>
      <c r="S102" s="4" t="s">
        <v>141</v>
      </c>
      <c r="T102" s="4" t="s">
        <v>322</v>
      </c>
      <c r="U102" s="4">
        <v>8</v>
      </c>
      <c r="V102" s="4">
        <v>9</v>
      </c>
      <c r="W102" s="4">
        <v>59</v>
      </c>
    </row>
    <row r="103" spans="1:23" ht="11.25" customHeight="1" x14ac:dyDescent="0.25">
      <c r="A103" s="4" t="s">
        <v>27</v>
      </c>
      <c r="B103" s="4" t="s">
        <v>35</v>
      </c>
      <c r="C103" s="4" t="s">
        <v>36</v>
      </c>
      <c r="D103" s="4" t="s">
        <v>34</v>
      </c>
      <c r="E103" s="4" t="s">
        <v>25</v>
      </c>
      <c r="F103" s="4" t="s">
        <v>25</v>
      </c>
      <c r="G103" s="4" t="s">
        <v>25</v>
      </c>
      <c r="H103" s="4" t="s">
        <v>38</v>
      </c>
      <c r="I103" s="5">
        <v>44470</v>
      </c>
      <c r="J103" s="6">
        <v>-2560</v>
      </c>
      <c r="K103" s="6">
        <v>-2560</v>
      </c>
      <c r="L103" s="6">
        <v>-1219.3900000000001</v>
      </c>
      <c r="M103" s="6">
        <v>-1219.3900000000001</v>
      </c>
      <c r="N103" s="6">
        <v>-1219.3900000000001</v>
      </c>
      <c r="O103" s="6">
        <v>-1219.3900000000001</v>
      </c>
      <c r="P103" s="6">
        <v>0</v>
      </c>
      <c r="Q103" s="4" t="s">
        <v>26</v>
      </c>
      <c r="R103" s="4">
        <v>0</v>
      </c>
      <c r="S103" s="4" t="s">
        <v>141</v>
      </c>
      <c r="T103" s="4" t="s">
        <v>322</v>
      </c>
      <c r="U103" s="4">
        <v>8</v>
      </c>
      <c r="V103" s="4">
        <v>9</v>
      </c>
      <c r="W103" s="4">
        <v>59</v>
      </c>
    </row>
    <row r="104" spans="1:23" ht="11.25" customHeight="1" x14ac:dyDescent="0.25">
      <c r="A104" s="4" t="s">
        <v>21</v>
      </c>
      <c r="B104" s="4" t="s">
        <v>35</v>
      </c>
      <c r="C104" s="4" t="s">
        <v>36</v>
      </c>
      <c r="D104" s="4" t="s">
        <v>34</v>
      </c>
      <c r="E104" s="4" t="s">
        <v>25</v>
      </c>
      <c r="F104" s="4" t="s">
        <v>25</v>
      </c>
      <c r="G104" s="4" t="s">
        <v>25</v>
      </c>
      <c r="H104" s="4" t="s">
        <v>38</v>
      </c>
      <c r="I104" s="5">
        <v>44501</v>
      </c>
      <c r="J104" s="6">
        <v>6621</v>
      </c>
      <c r="K104" s="6">
        <v>6621</v>
      </c>
      <c r="L104" s="6">
        <v>2907.9580000000001</v>
      </c>
      <c r="M104" s="6">
        <v>2907.9580000000001</v>
      </c>
      <c r="N104" s="6">
        <v>2907.9580000000001</v>
      </c>
      <c r="O104" s="6">
        <v>2907.9580000000001</v>
      </c>
      <c r="P104" s="6">
        <v>0</v>
      </c>
      <c r="Q104" s="4" t="s">
        <v>26</v>
      </c>
      <c r="R104" s="4">
        <v>0</v>
      </c>
      <c r="S104" s="4" t="s">
        <v>142</v>
      </c>
      <c r="T104" s="4" t="s">
        <v>323</v>
      </c>
      <c r="U104" s="4">
        <v>8</v>
      </c>
      <c r="V104" s="4">
        <v>9</v>
      </c>
      <c r="W104" s="4">
        <v>59</v>
      </c>
    </row>
    <row r="105" spans="1:23" ht="11.25" customHeight="1" x14ac:dyDescent="0.25">
      <c r="A105" s="4" t="s">
        <v>21</v>
      </c>
      <c r="B105" s="4" t="s">
        <v>35</v>
      </c>
      <c r="C105" s="4" t="s">
        <v>36</v>
      </c>
      <c r="D105" s="4" t="s">
        <v>34</v>
      </c>
      <c r="E105" s="4" t="s">
        <v>25</v>
      </c>
      <c r="F105" s="4" t="s">
        <v>25</v>
      </c>
      <c r="G105" s="4" t="s">
        <v>25</v>
      </c>
      <c r="H105" s="4" t="s">
        <v>38</v>
      </c>
      <c r="I105" s="5">
        <v>44531</v>
      </c>
      <c r="J105" s="6">
        <v>6755</v>
      </c>
      <c r="K105" s="6">
        <v>6755</v>
      </c>
      <c r="L105" s="6">
        <v>2871.7730000000001</v>
      </c>
      <c r="M105" s="6">
        <v>2871.7730000000001</v>
      </c>
      <c r="N105" s="6">
        <v>2871.7730000000001</v>
      </c>
      <c r="O105" s="6">
        <v>2871.7730000000001</v>
      </c>
      <c r="P105" s="6">
        <v>0</v>
      </c>
      <c r="Q105" s="4" t="s">
        <v>26</v>
      </c>
      <c r="R105" s="4">
        <v>0</v>
      </c>
      <c r="S105" s="4" t="s">
        <v>143</v>
      </c>
      <c r="T105" s="4" t="s">
        <v>324</v>
      </c>
      <c r="U105" s="4">
        <v>8</v>
      </c>
      <c r="V105" s="4">
        <v>9</v>
      </c>
      <c r="W105" s="4">
        <v>59</v>
      </c>
    </row>
    <row r="106" spans="1:23" ht="11.25" customHeight="1" x14ac:dyDescent="0.25">
      <c r="A106" s="4" t="s">
        <v>21</v>
      </c>
      <c r="B106" s="4" t="s">
        <v>35</v>
      </c>
      <c r="C106" s="4" t="s">
        <v>36</v>
      </c>
      <c r="D106" s="4" t="s">
        <v>34</v>
      </c>
      <c r="E106" s="4" t="s">
        <v>25</v>
      </c>
      <c r="F106" s="4" t="s">
        <v>25</v>
      </c>
      <c r="G106" s="4" t="s">
        <v>25</v>
      </c>
      <c r="H106" s="4" t="s">
        <v>38</v>
      </c>
      <c r="I106" s="5">
        <v>44562</v>
      </c>
      <c r="J106" s="6">
        <v>6829</v>
      </c>
      <c r="K106" s="6">
        <v>6829</v>
      </c>
      <c r="L106" s="6">
        <v>2547.1999999999998</v>
      </c>
      <c r="M106" s="6">
        <v>2547.1999999999998</v>
      </c>
      <c r="N106" s="6">
        <v>2547.1999999999998</v>
      </c>
      <c r="O106" s="6">
        <v>2547.1999999999998</v>
      </c>
      <c r="P106" s="6">
        <v>0</v>
      </c>
      <c r="Q106" s="4" t="s">
        <v>26</v>
      </c>
      <c r="R106" s="4">
        <v>0</v>
      </c>
      <c r="S106" s="4" t="s">
        <v>144</v>
      </c>
      <c r="T106" s="4" t="s">
        <v>325</v>
      </c>
      <c r="U106" s="4">
        <v>8</v>
      </c>
      <c r="V106" s="4">
        <v>9</v>
      </c>
      <c r="W106" s="4">
        <v>59</v>
      </c>
    </row>
    <row r="107" spans="1:23" ht="11.25" customHeight="1" x14ac:dyDescent="0.25">
      <c r="A107" s="4" t="s">
        <v>21</v>
      </c>
      <c r="B107" s="4" t="s">
        <v>35</v>
      </c>
      <c r="C107" s="4" t="s">
        <v>36</v>
      </c>
      <c r="D107" s="4" t="s">
        <v>34</v>
      </c>
      <c r="E107" s="4" t="s">
        <v>25</v>
      </c>
      <c r="F107" s="4" t="s">
        <v>25</v>
      </c>
      <c r="G107" s="4" t="s">
        <v>25</v>
      </c>
      <c r="H107" s="4" t="s">
        <v>38</v>
      </c>
      <c r="I107" s="5">
        <v>44593</v>
      </c>
      <c r="J107" s="6">
        <v>6727</v>
      </c>
      <c r="K107" s="6">
        <v>6727</v>
      </c>
      <c r="L107" s="6">
        <v>2583.0309999999999</v>
      </c>
      <c r="M107" s="6">
        <v>2583.0309999999999</v>
      </c>
      <c r="N107" s="6">
        <v>2583.0309999999999</v>
      </c>
      <c r="O107" s="6">
        <v>2583.0309999999999</v>
      </c>
      <c r="P107" s="6">
        <v>0</v>
      </c>
      <c r="Q107" s="4" t="s">
        <v>26</v>
      </c>
      <c r="R107" s="4">
        <v>0</v>
      </c>
      <c r="S107" s="4" t="s">
        <v>145</v>
      </c>
      <c r="T107" s="4" t="s">
        <v>326</v>
      </c>
      <c r="U107" s="4">
        <v>8</v>
      </c>
      <c r="V107" s="4">
        <v>9</v>
      </c>
      <c r="W107" s="4">
        <v>59</v>
      </c>
    </row>
    <row r="108" spans="1:23" ht="11.25" customHeight="1" x14ac:dyDescent="0.25">
      <c r="A108" s="4" t="s">
        <v>21</v>
      </c>
      <c r="B108" s="4" t="s">
        <v>35</v>
      </c>
      <c r="C108" s="4" t="s">
        <v>36</v>
      </c>
      <c r="D108" s="4" t="s">
        <v>34</v>
      </c>
      <c r="E108" s="4" t="s">
        <v>25</v>
      </c>
      <c r="F108" s="4" t="s">
        <v>25</v>
      </c>
      <c r="G108" s="4" t="s">
        <v>25</v>
      </c>
      <c r="H108" s="4" t="s">
        <v>38</v>
      </c>
      <c r="I108" s="5">
        <v>44621</v>
      </c>
      <c r="J108" s="6">
        <v>6765</v>
      </c>
      <c r="K108" s="6">
        <v>6765</v>
      </c>
      <c r="L108" s="6">
        <v>2663.85</v>
      </c>
      <c r="M108" s="6">
        <v>2663.85</v>
      </c>
      <c r="N108" s="6">
        <v>2663.85</v>
      </c>
      <c r="O108" s="6">
        <v>2663.85</v>
      </c>
      <c r="P108" s="6">
        <v>0</v>
      </c>
      <c r="Q108" s="4" t="s">
        <v>26</v>
      </c>
      <c r="R108" s="4">
        <v>0</v>
      </c>
      <c r="S108" s="4" t="s">
        <v>146</v>
      </c>
      <c r="T108" s="4" t="s">
        <v>327</v>
      </c>
      <c r="U108" s="4">
        <v>8</v>
      </c>
      <c r="V108" s="4">
        <v>9</v>
      </c>
      <c r="W108" s="4">
        <v>59</v>
      </c>
    </row>
    <row r="109" spans="1:23" ht="11.25" customHeight="1" x14ac:dyDescent="0.25">
      <c r="A109" s="4" t="s">
        <v>21</v>
      </c>
      <c r="B109" s="4" t="s">
        <v>35</v>
      </c>
      <c r="C109" s="4" t="s">
        <v>36</v>
      </c>
      <c r="D109" s="4" t="s">
        <v>34</v>
      </c>
      <c r="E109" s="4" t="s">
        <v>25</v>
      </c>
      <c r="F109" s="4" t="s">
        <v>25</v>
      </c>
      <c r="G109" s="4" t="s">
        <v>25</v>
      </c>
      <c r="H109" s="4" t="s">
        <v>38</v>
      </c>
      <c r="I109" s="5">
        <v>44652</v>
      </c>
      <c r="J109" s="6">
        <v>6840</v>
      </c>
      <c r="K109" s="6">
        <v>6840</v>
      </c>
      <c r="L109" s="6">
        <v>3115.3029999999999</v>
      </c>
      <c r="M109" s="6">
        <v>3115.3029999999999</v>
      </c>
      <c r="N109" s="6">
        <v>3115.3029999999999</v>
      </c>
      <c r="O109" s="6">
        <v>3115.3029999999999</v>
      </c>
      <c r="P109" s="6">
        <v>0</v>
      </c>
      <c r="Q109" s="4" t="s">
        <v>26</v>
      </c>
      <c r="R109" s="4">
        <v>0</v>
      </c>
      <c r="S109" s="4" t="s">
        <v>147</v>
      </c>
      <c r="T109" s="4" t="s">
        <v>328</v>
      </c>
      <c r="U109" s="4">
        <v>8</v>
      </c>
      <c r="V109" s="4">
        <v>9</v>
      </c>
      <c r="W109" s="4">
        <v>59</v>
      </c>
    </row>
    <row r="110" spans="1:23" ht="11.25" customHeight="1" x14ac:dyDescent="0.25">
      <c r="A110" s="4" t="s">
        <v>21</v>
      </c>
      <c r="B110" s="4" t="s">
        <v>35</v>
      </c>
      <c r="C110" s="4" t="s">
        <v>36</v>
      </c>
      <c r="D110" s="4" t="s">
        <v>34</v>
      </c>
      <c r="E110" s="4" t="s">
        <v>25</v>
      </c>
      <c r="F110" s="4" t="s">
        <v>25</v>
      </c>
      <c r="G110" s="4" t="s">
        <v>25</v>
      </c>
      <c r="H110" s="4" t="s">
        <v>38</v>
      </c>
      <c r="I110" s="5">
        <v>44682</v>
      </c>
      <c r="J110" s="6">
        <v>4335</v>
      </c>
      <c r="K110" s="6">
        <v>4335</v>
      </c>
      <c r="L110" s="6">
        <v>1510.45</v>
      </c>
      <c r="M110" s="6">
        <v>1510.45</v>
      </c>
      <c r="N110" s="6">
        <v>1510.45</v>
      </c>
      <c r="O110" s="6">
        <v>1510.45</v>
      </c>
      <c r="P110" s="6">
        <v>0</v>
      </c>
      <c r="Q110" s="4" t="s">
        <v>26</v>
      </c>
      <c r="R110" s="4">
        <v>0</v>
      </c>
      <c r="S110" s="4" t="s">
        <v>148</v>
      </c>
      <c r="T110" s="4" t="s">
        <v>329</v>
      </c>
      <c r="U110" s="4">
        <v>8</v>
      </c>
      <c r="V110" s="4">
        <v>9</v>
      </c>
      <c r="W110" s="4">
        <v>59</v>
      </c>
    </row>
    <row r="111" spans="1:23" ht="11.25" customHeight="1" x14ac:dyDescent="0.25">
      <c r="A111" s="4" t="s">
        <v>21</v>
      </c>
      <c r="B111" s="4" t="s">
        <v>35</v>
      </c>
      <c r="C111" s="4" t="s">
        <v>36</v>
      </c>
      <c r="D111" s="4" t="s">
        <v>34</v>
      </c>
      <c r="E111" s="4" t="s">
        <v>25</v>
      </c>
      <c r="F111" s="4" t="s">
        <v>25</v>
      </c>
      <c r="G111" s="4" t="s">
        <v>25</v>
      </c>
      <c r="H111" s="4" t="s">
        <v>38</v>
      </c>
      <c r="I111" s="5">
        <v>44713</v>
      </c>
      <c r="J111" s="6">
        <v>4386</v>
      </c>
      <c r="K111" s="6">
        <v>4386</v>
      </c>
      <c r="L111" s="6">
        <v>1835.4749999999999</v>
      </c>
      <c r="M111" s="6">
        <v>1835.4749999999999</v>
      </c>
      <c r="N111" s="6">
        <v>1835.4749999999999</v>
      </c>
      <c r="O111" s="6">
        <v>1835.4749999999999</v>
      </c>
      <c r="P111" s="6">
        <v>0</v>
      </c>
      <c r="Q111" s="4" t="s">
        <v>26</v>
      </c>
      <c r="R111" s="4">
        <v>0</v>
      </c>
      <c r="S111" s="4" t="s">
        <v>149</v>
      </c>
      <c r="T111" s="4" t="s">
        <v>330</v>
      </c>
      <c r="U111" s="4">
        <v>8</v>
      </c>
      <c r="V111" s="4">
        <v>9</v>
      </c>
      <c r="W111" s="4">
        <v>59</v>
      </c>
    </row>
    <row r="112" spans="1:23" ht="11.25" customHeight="1" x14ac:dyDescent="0.25">
      <c r="A112" s="4" t="s">
        <v>21</v>
      </c>
      <c r="B112" s="4" t="s">
        <v>35</v>
      </c>
      <c r="C112" s="4" t="s">
        <v>36</v>
      </c>
      <c r="D112" s="4" t="s">
        <v>34</v>
      </c>
      <c r="E112" s="4" t="s">
        <v>25</v>
      </c>
      <c r="F112" s="4" t="s">
        <v>25</v>
      </c>
      <c r="G112" s="4" t="s">
        <v>25</v>
      </c>
      <c r="H112" s="4" t="s">
        <v>37</v>
      </c>
      <c r="I112" s="5">
        <v>44378</v>
      </c>
      <c r="J112" s="6">
        <v>1851</v>
      </c>
      <c r="K112" s="6">
        <v>1851</v>
      </c>
      <c r="L112" s="6">
        <v>104.256</v>
      </c>
      <c r="M112" s="6">
        <v>104.256</v>
      </c>
      <c r="N112" s="6">
        <v>104.256</v>
      </c>
      <c r="O112" s="6">
        <v>104.256</v>
      </c>
      <c r="P112" s="6">
        <v>0</v>
      </c>
      <c r="Q112" s="4" t="s">
        <v>26</v>
      </c>
      <c r="R112" s="4">
        <v>0</v>
      </c>
      <c r="S112" s="4" t="s">
        <v>150</v>
      </c>
      <c r="T112" s="4" t="s">
        <v>331</v>
      </c>
      <c r="U112" s="4">
        <v>3</v>
      </c>
      <c r="V112" s="4">
        <v>9</v>
      </c>
      <c r="W112" s="4">
        <v>66</v>
      </c>
    </row>
    <row r="113" spans="1:23" ht="11.25" customHeight="1" x14ac:dyDescent="0.25">
      <c r="A113" s="4" t="s">
        <v>21</v>
      </c>
      <c r="B113" s="4" t="s">
        <v>35</v>
      </c>
      <c r="C113" s="4" t="s">
        <v>36</v>
      </c>
      <c r="D113" s="4" t="s">
        <v>34</v>
      </c>
      <c r="E113" s="4" t="s">
        <v>25</v>
      </c>
      <c r="F113" s="4" t="s">
        <v>25</v>
      </c>
      <c r="G113" s="4" t="s">
        <v>25</v>
      </c>
      <c r="H113" s="4" t="s">
        <v>37</v>
      </c>
      <c r="I113" s="5">
        <v>44409</v>
      </c>
      <c r="J113" s="6">
        <v>1898</v>
      </c>
      <c r="K113" s="6">
        <v>1898</v>
      </c>
      <c r="L113" s="6">
        <v>110.116</v>
      </c>
      <c r="M113" s="6">
        <v>110.116</v>
      </c>
      <c r="N113" s="6">
        <v>110.116</v>
      </c>
      <c r="O113" s="6">
        <v>110.116</v>
      </c>
      <c r="P113" s="6">
        <v>0</v>
      </c>
      <c r="Q113" s="4" t="s">
        <v>26</v>
      </c>
      <c r="R113" s="4">
        <v>0</v>
      </c>
      <c r="S113" s="4" t="s">
        <v>151</v>
      </c>
      <c r="T113" s="4" t="s">
        <v>332</v>
      </c>
      <c r="U113" s="4">
        <v>3</v>
      </c>
      <c r="V113" s="4">
        <v>9</v>
      </c>
      <c r="W113" s="4">
        <v>66</v>
      </c>
    </row>
    <row r="114" spans="1:23" ht="11.25" customHeight="1" x14ac:dyDescent="0.25">
      <c r="A114" s="4" t="s">
        <v>21</v>
      </c>
      <c r="B114" s="4" t="s">
        <v>35</v>
      </c>
      <c r="C114" s="4" t="s">
        <v>36</v>
      </c>
      <c r="D114" s="4" t="s">
        <v>34</v>
      </c>
      <c r="E114" s="4" t="s">
        <v>25</v>
      </c>
      <c r="F114" s="4" t="s">
        <v>25</v>
      </c>
      <c r="G114" s="4" t="s">
        <v>25</v>
      </c>
      <c r="H114" s="4" t="s">
        <v>37</v>
      </c>
      <c r="I114" s="5">
        <v>44440</v>
      </c>
      <c r="J114" s="6">
        <v>5745</v>
      </c>
      <c r="K114" s="6">
        <v>5745</v>
      </c>
      <c r="L114" s="6">
        <v>331.98</v>
      </c>
      <c r="M114" s="6">
        <v>331.98</v>
      </c>
      <c r="N114" s="6">
        <v>331.98</v>
      </c>
      <c r="O114" s="6">
        <v>331.98</v>
      </c>
      <c r="P114" s="6">
        <v>0</v>
      </c>
      <c r="Q114" s="4" t="s">
        <v>26</v>
      </c>
      <c r="R114" s="4">
        <v>0</v>
      </c>
      <c r="S114" s="4" t="s">
        <v>152</v>
      </c>
      <c r="T114" s="4" t="s">
        <v>333</v>
      </c>
      <c r="U114" s="4">
        <v>3</v>
      </c>
      <c r="V114" s="4">
        <v>9</v>
      </c>
      <c r="W114" s="4">
        <v>66</v>
      </c>
    </row>
    <row r="115" spans="1:23" ht="11.25" customHeight="1" x14ac:dyDescent="0.25">
      <c r="A115" s="4" t="s">
        <v>27</v>
      </c>
      <c r="B115" s="4" t="s">
        <v>35</v>
      </c>
      <c r="C115" s="4" t="s">
        <v>36</v>
      </c>
      <c r="D115" s="4" t="s">
        <v>34</v>
      </c>
      <c r="E115" s="4" t="s">
        <v>25</v>
      </c>
      <c r="F115" s="4" t="s">
        <v>25</v>
      </c>
      <c r="G115" s="4" t="s">
        <v>25</v>
      </c>
      <c r="H115" s="4" t="s">
        <v>37</v>
      </c>
      <c r="I115" s="5">
        <v>44440</v>
      </c>
      <c r="J115" s="6">
        <v>-3830</v>
      </c>
      <c r="K115" s="6">
        <v>-3830</v>
      </c>
      <c r="L115" s="6">
        <v>-221.32</v>
      </c>
      <c r="M115" s="6">
        <v>-221.32</v>
      </c>
      <c r="N115" s="6">
        <v>-221.32</v>
      </c>
      <c r="O115" s="6">
        <v>-221.32</v>
      </c>
      <c r="P115" s="6">
        <v>0</v>
      </c>
      <c r="Q115" s="4" t="s">
        <v>26</v>
      </c>
      <c r="R115" s="4">
        <v>0</v>
      </c>
      <c r="S115" s="4" t="s">
        <v>152</v>
      </c>
      <c r="T115" s="4" t="s">
        <v>333</v>
      </c>
      <c r="U115" s="4">
        <v>3</v>
      </c>
      <c r="V115" s="4">
        <v>9</v>
      </c>
      <c r="W115" s="4">
        <v>66</v>
      </c>
    </row>
    <row r="116" spans="1:23" ht="11.25" customHeight="1" x14ac:dyDescent="0.25">
      <c r="A116" s="4" t="s">
        <v>21</v>
      </c>
      <c r="B116" s="4" t="s">
        <v>35</v>
      </c>
      <c r="C116" s="4" t="s">
        <v>36</v>
      </c>
      <c r="D116" s="4" t="s">
        <v>34</v>
      </c>
      <c r="E116" s="4" t="s">
        <v>25</v>
      </c>
      <c r="F116" s="4" t="s">
        <v>25</v>
      </c>
      <c r="G116" s="4" t="s">
        <v>25</v>
      </c>
      <c r="H116" s="4" t="s">
        <v>37</v>
      </c>
      <c r="I116" s="5">
        <v>44470</v>
      </c>
      <c r="J116" s="6">
        <v>3855</v>
      </c>
      <c r="K116" s="6">
        <v>3855</v>
      </c>
      <c r="L116" s="6">
        <v>215.953</v>
      </c>
      <c r="M116" s="6">
        <v>215.953</v>
      </c>
      <c r="N116" s="6">
        <v>215.953</v>
      </c>
      <c r="O116" s="6">
        <v>215.953</v>
      </c>
      <c r="P116" s="6">
        <v>0</v>
      </c>
      <c r="Q116" s="4" t="s">
        <v>26</v>
      </c>
      <c r="R116" s="4">
        <v>0</v>
      </c>
      <c r="S116" s="4" t="s">
        <v>153</v>
      </c>
      <c r="T116" s="4" t="s">
        <v>334</v>
      </c>
      <c r="U116" s="4">
        <v>3</v>
      </c>
      <c r="V116" s="4">
        <v>9</v>
      </c>
      <c r="W116" s="4">
        <v>66</v>
      </c>
    </row>
    <row r="117" spans="1:23" ht="11.25" customHeight="1" x14ac:dyDescent="0.25">
      <c r="A117" s="4" t="s">
        <v>27</v>
      </c>
      <c r="B117" s="4" t="s">
        <v>35</v>
      </c>
      <c r="C117" s="4" t="s">
        <v>36</v>
      </c>
      <c r="D117" s="4" t="s">
        <v>34</v>
      </c>
      <c r="E117" s="4" t="s">
        <v>25</v>
      </c>
      <c r="F117" s="4" t="s">
        <v>25</v>
      </c>
      <c r="G117" s="4" t="s">
        <v>25</v>
      </c>
      <c r="H117" s="4" t="s">
        <v>37</v>
      </c>
      <c r="I117" s="5">
        <v>44470</v>
      </c>
      <c r="J117" s="6">
        <v>-1898</v>
      </c>
      <c r="K117" s="6">
        <v>-1898</v>
      </c>
      <c r="L117" s="6">
        <v>-110.116</v>
      </c>
      <c r="M117" s="6">
        <v>-110.116</v>
      </c>
      <c r="N117" s="6">
        <v>-110.116</v>
      </c>
      <c r="O117" s="6">
        <v>-110.116</v>
      </c>
      <c r="P117" s="6">
        <v>0</v>
      </c>
      <c r="Q117" s="4" t="s">
        <v>26</v>
      </c>
      <c r="R117" s="4">
        <v>0</v>
      </c>
      <c r="S117" s="4" t="s">
        <v>153</v>
      </c>
      <c r="T117" s="4" t="s">
        <v>334</v>
      </c>
      <c r="U117" s="4">
        <v>3</v>
      </c>
      <c r="V117" s="4">
        <v>9</v>
      </c>
      <c r="W117" s="4">
        <v>66</v>
      </c>
    </row>
    <row r="118" spans="1:23" ht="11.25" customHeight="1" x14ac:dyDescent="0.25">
      <c r="A118" s="4" t="s">
        <v>21</v>
      </c>
      <c r="B118" s="4" t="s">
        <v>35</v>
      </c>
      <c r="C118" s="4" t="s">
        <v>36</v>
      </c>
      <c r="D118" s="4" t="s">
        <v>34</v>
      </c>
      <c r="E118" s="4" t="s">
        <v>25</v>
      </c>
      <c r="F118" s="4" t="s">
        <v>25</v>
      </c>
      <c r="G118" s="4" t="s">
        <v>25</v>
      </c>
      <c r="H118" s="4" t="s">
        <v>37</v>
      </c>
      <c r="I118" s="5">
        <v>44501</v>
      </c>
      <c r="J118" s="6">
        <v>5329</v>
      </c>
      <c r="K118" s="6">
        <v>5329</v>
      </c>
      <c r="L118" s="6">
        <v>276.17599999999999</v>
      </c>
      <c r="M118" s="6">
        <v>276.17599999999999</v>
      </c>
      <c r="N118" s="6">
        <v>276.17599999999999</v>
      </c>
      <c r="O118" s="6">
        <v>276.17599999999999</v>
      </c>
      <c r="P118" s="6">
        <v>0</v>
      </c>
      <c r="Q118" s="4" t="s">
        <v>26</v>
      </c>
      <c r="R118" s="4">
        <v>0</v>
      </c>
      <c r="S118" s="4" t="s">
        <v>154</v>
      </c>
      <c r="T118" s="4" t="s">
        <v>335</v>
      </c>
      <c r="U118" s="4">
        <v>3</v>
      </c>
      <c r="V118" s="4">
        <v>9</v>
      </c>
      <c r="W118" s="4">
        <v>66</v>
      </c>
    </row>
    <row r="119" spans="1:23" ht="11.25" customHeight="1" x14ac:dyDescent="0.25">
      <c r="A119" s="4" t="s">
        <v>21</v>
      </c>
      <c r="B119" s="4" t="s">
        <v>35</v>
      </c>
      <c r="C119" s="4" t="s">
        <v>36</v>
      </c>
      <c r="D119" s="4" t="s">
        <v>34</v>
      </c>
      <c r="E119" s="4" t="s">
        <v>25</v>
      </c>
      <c r="F119" s="4" t="s">
        <v>25</v>
      </c>
      <c r="G119" s="4" t="s">
        <v>25</v>
      </c>
      <c r="H119" s="4" t="s">
        <v>37</v>
      </c>
      <c r="I119" s="5">
        <v>44531</v>
      </c>
      <c r="J119" s="6">
        <v>5398</v>
      </c>
      <c r="K119" s="6">
        <v>5398</v>
      </c>
      <c r="L119" s="6">
        <v>278.517</v>
      </c>
      <c r="M119" s="6">
        <v>278.517</v>
      </c>
      <c r="N119" s="6">
        <v>278.517</v>
      </c>
      <c r="O119" s="6">
        <v>278.517</v>
      </c>
      <c r="P119" s="6">
        <v>0</v>
      </c>
      <c r="Q119" s="4" t="s">
        <v>26</v>
      </c>
      <c r="R119" s="4">
        <v>0</v>
      </c>
      <c r="S119" s="4" t="s">
        <v>155</v>
      </c>
      <c r="T119" s="4" t="s">
        <v>336</v>
      </c>
      <c r="U119" s="4">
        <v>3</v>
      </c>
      <c r="V119" s="4">
        <v>9</v>
      </c>
      <c r="W119" s="4">
        <v>66</v>
      </c>
    </row>
    <row r="120" spans="1:23" ht="11.25" customHeight="1" x14ac:dyDescent="0.25">
      <c r="A120" s="4" t="s">
        <v>21</v>
      </c>
      <c r="B120" s="4" t="s">
        <v>35</v>
      </c>
      <c r="C120" s="4" t="s">
        <v>36</v>
      </c>
      <c r="D120" s="4" t="s">
        <v>34</v>
      </c>
      <c r="E120" s="4" t="s">
        <v>25</v>
      </c>
      <c r="F120" s="4" t="s">
        <v>25</v>
      </c>
      <c r="G120" s="4" t="s">
        <v>25</v>
      </c>
      <c r="H120" s="4" t="s">
        <v>37</v>
      </c>
      <c r="I120" s="5">
        <v>44562</v>
      </c>
      <c r="J120" s="6">
        <v>5258</v>
      </c>
      <c r="K120" s="6">
        <v>5258</v>
      </c>
      <c r="L120" s="6">
        <v>242.077</v>
      </c>
      <c r="M120" s="6">
        <v>242.077</v>
      </c>
      <c r="N120" s="6">
        <v>242.077</v>
      </c>
      <c r="O120" s="6">
        <v>242.077</v>
      </c>
      <c r="P120" s="6">
        <v>0</v>
      </c>
      <c r="Q120" s="4" t="s">
        <v>26</v>
      </c>
      <c r="R120" s="4">
        <v>0</v>
      </c>
      <c r="S120" s="4" t="s">
        <v>156</v>
      </c>
      <c r="T120" s="4" t="s">
        <v>337</v>
      </c>
      <c r="U120" s="4">
        <v>3</v>
      </c>
      <c r="V120" s="4">
        <v>9</v>
      </c>
      <c r="W120" s="4">
        <v>66</v>
      </c>
    </row>
    <row r="121" spans="1:23" ht="11.25" customHeight="1" x14ac:dyDescent="0.25">
      <c r="A121" s="4" t="s">
        <v>21</v>
      </c>
      <c r="B121" s="4" t="s">
        <v>35</v>
      </c>
      <c r="C121" s="4" t="s">
        <v>36</v>
      </c>
      <c r="D121" s="4" t="s">
        <v>34</v>
      </c>
      <c r="E121" s="4" t="s">
        <v>25</v>
      </c>
      <c r="F121" s="4" t="s">
        <v>25</v>
      </c>
      <c r="G121" s="4" t="s">
        <v>25</v>
      </c>
      <c r="H121" s="4" t="s">
        <v>37</v>
      </c>
      <c r="I121" s="5">
        <v>44593</v>
      </c>
      <c r="J121" s="6">
        <v>5464</v>
      </c>
      <c r="K121" s="6">
        <v>5464</v>
      </c>
      <c r="L121" s="6">
        <v>241.57900000000001</v>
      </c>
      <c r="M121" s="6">
        <v>241.57900000000001</v>
      </c>
      <c r="N121" s="6">
        <v>241.57900000000001</v>
      </c>
      <c r="O121" s="6">
        <v>241.57900000000001</v>
      </c>
      <c r="P121" s="6">
        <v>0</v>
      </c>
      <c r="Q121" s="4" t="s">
        <v>26</v>
      </c>
      <c r="R121" s="4">
        <v>0</v>
      </c>
      <c r="S121" s="4" t="s">
        <v>157</v>
      </c>
      <c r="T121" s="4" t="s">
        <v>338</v>
      </c>
      <c r="U121" s="4">
        <v>3</v>
      </c>
      <c r="V121" s="4">
        <v>9</v>
      </c>
      <c r="W121" s="4">
        <v>66</v>
      </c>
    </row>
    <row r="122" spans="1:23" ht="11.25" customHeight="1" x14ac:dyDescent="0.25">
      <c r="A122" s="4" t="s">
        <v>21</v>
      </c>
      <c r="B122" s="4" t="s">
        <v>35</v>
      </c>
      <c r="C122" s="4" t="s">
        <v>36</v>
      </c>
      <c r="D122" s="4" t="s">
        <v>34</v>
      </c>
      <c r="E122" s="4" t="s">
        <v>25</v>
      </c>
      <c r="F122" s="4" t="s">
        <v>25</v>
      </c>
      <c r="G122" s="4" t="s">
        <v>25</v>
      </c>
      <c r="H122" s="4" t="s">
        <v>37</v>
      </c>
      <c r="I122" s="5">
        <v>44621</v>
      </c>
      <c r="J122" s="6">
        <v>5452</v>
      </c>
      <c r="K122" s="6">
        <v>5452</v>
      </c>
      <c r="L122" s="6">
        <v>273.935</v>
      </c>
      <c r="M122" s="6">
        <v>273.935</v>
      </c>
      <c r="N122" s="6">
        <v>273.935</v>
      </c>
      <c r="O122" s="6">
        <v>273.935</v>
      </c>
      <c r="P122" s="6">
        <v>0</v>
      </c>
      <c r="Q122" s="4" t="s">
        <v>26</v>
      </c>
      <c r="R122" s="4">
        <v>0</v>
      </c>
      <c r="S122" s="4" t="s">
        <v>158</v>
      </c>
      <c r="T122" s="4" t="s">
        <v>339</v>
      </c>
      <c r="U122" s="4">
        <v>3</v>
      </c>
      <c r="V122" s="4">
        <v>9</v>
      </c>
      <c r="W122" s="4">
        <v>66</v>
      </c>
    </row>
    <row r="123" spans="1:23" ht="11.25" customHeight="1" x14ac:dyDescent="0.25">
      <c r="A123" s="4" t="s">
        <v>21</v>
      </c>
      <c r="B123" s="4" t="s">
        <v>35</v>
      </c>
      <c r="C123" s="4" t="s">
        <v>36</v>
      </c>
      <c r="D123" s="4" t="s">
        <v>34</v>
      </c>
      <c r="E123" s="4" t="s">
        <v>25</v>
      </c>
      <c r="F123" s="4" t="s">
        <v>25</v>
      </c>
      <c r="G123" s="4" t="s">
        <v>25</v>
      </c>
      <c r="H123" s="4" t="s">
        <v>37</v>
      </c>
      <c r="I123" s="5">
        <v>44652</v>
      </c>
      <c r="J123" s="6">
        <v>5398</v>
      </c>
      <c r="K123" s="6">
        <v>5398</v>
      </c>
      <c r="L123" s="6">
        <v>305.86200000000002</v>
      </c>
      <c r="M123" s="6">
        <v>305.86200000000002</v>
      </c>
      <c r="N123" s="6">
        <v>305.86200000000002</v>
      </c>
      <c r="O123" s="6">
        <v>305.86200000000002</v>
      </c>
      <c r="P123" s="6">
        <v>0</v>
      </c>
      <c r="Q123" s="4" t="s">
        <v>26</v>
      </c>
      <c r="R123" s="4">
        <v>0</v>
      </c>
      <c r="S123" s="4" t="s">
        <v>159</v>
      </c>
      <c r="T123" s="4" t="s">
        <v>340</v>
      </c>
      <c r="U123" s="4">
        <v>3</v>
      </c>
      <c r="V123" s="4">
        <v>9</v>
      </c>
      <c r="W123" s="4">
        <v>66</v>
      </c>
    </row>
    <row r="124" spans="1:23" ht="11.25" customHeight="1" x14ac:dyDescent="0.25">
      <c r="A124" s="4" t="s">
        <v>21</v>
      </c>
      <c r="B124" s="4" t="s">
        <v>35</v>
      </c>
      <c r="C124" s="4" t="s">
        <v>36</v>
      </c>
      <c r="D124" s="4" t="s">
        <v>34</v>
      </c>
      <c r="E124" s="4" t="s">
        <v>25</v>
      </c>
      <c r="F124" s="4" t="s">
        <v>25</v>
      </c>
      <c r="G124" s="4" t="s">
        <v>25</v>
      </c>
      <c r="H124" s="4" t="s">
        <v>37</v>
      </c>
      <c r="I124" s="5">
        <v>44682</v>
      </c>
      <c r="J124" s="6">
        <v>3722</v>
      </c>
      <c r="K124" s="6">
        <v>3722</v>
      </c>
      <c r="L124" s="6">
        <v>172.31899999999999</v>
      </c>
      <c r="M124" s="6">
        <v>172.31899999999999</v>
      </c>
      <c r="N124" s="6">
        <v>172.31899999999999</v>
      </c>
      <c r="O124" s="6">
        <v>172.31899999999999</v>
      </c>
      <c r="P124" s="6">
        <v>0</v>
      </c>
      <c r="Q124" s="4" t="s">
        <v>26</v>
      </c>
      <c r="R124" s="4">
        <v>0</v>
      </c>
      <c r="S124" s="4" t="s">
        <v>160</v>
      </c>
      <c r="T124" s="4" t="s">
        <v>341</v>
      </c>
      <c r="U124" s="4">
        <v>3</v>
      </c>
      <c r="V124" s="4">
        <v>9</v>
      </c>
      <c r="W124" s="4">
        <v>66</v>
      </c>
    </row>
    <row r="125" spans="1:23" ht="11.25" customHeight="1" x14ac:dyDescent="0.25">
      <c r="A125" s="4" t="s">
        <v>21</v>
      </c>
      <c r="B125" s="4" t="s">
        <v>35</v>
      </c>
      <c r="C125" s="4" t="s">
        <v>36</v>
      </c>
      <c r="D125" s="4" t="s">
        <v>34</v>
      </c>
      <c r="E125" s="4" t="s">
        <v>25</v>
      </c>
      <c r="F125" s="4" t="s">
        <v>25</v>
      </c>
      <c r="G125" s="4" t="s">
        <v>25</v>
      </c>
      <c r="H125" s="4" t="s">
        <v>37</v>
      </c>
      <c r="I125" s="5">
        <v>44713</v>
      </c>
      <c r="J125" s="6">
        <v>3858</v>
      </c>
      <c r="K125" s="6">
        <v>3858</v>
      </c>
      <c r="L125" s="6">
        <v>220.173</v>
      </c>
      <c r="M125" s="6">
        <v>220.173</v>
      </c>
      <c r="N125" s="6">
        <v>220.173</v>
      </c>
      <c r="O125" s="6">
        <v>220.173</v>
      </c>
      <c r="P125" s="6">
        <v>0</v>
      </c>
      <c r="Q125" s="4" t="s">
        <v>26</v>
      </c>
      <c r="R125" s="4">
        <v>0</v>
      </c>
      <c r="S125" s="4" t="s">
        <v>161</v>
      </c>
      <c r="T125" s="4" t="s">
        <v>342</v>
      </c>
      <c r="U125" s="4">
        <v>3</v>
      </c>
      <c r="V125" s="4">
        <v>9</v>
      </c>
      <c r="W125" s="4">
        <v>66</v>
      </c>
    </row>
    <row r="126" spans="1:23" ht="11.25" customHeight="1" x14ac:dyDescent="0.25">
      <c r="A126" s="4" t="s">
        <v>21</v>
      </c>
      <c r="B126" s="4" t="s">
        <v>35</v>
      </c>
      <c r="C126" s="4" t="s">
        <v>56</v>
      </c>
      <c r="D126" s="4" t="s">
        <v>25</v>
      </c>
      <c r="E126" s="4" t="s">
        <v>25</v>
      </c>
      <c r="F126" s="4" t="s">
        <v>25</v>
      </c>
      <c r="G126" s="4" t="s">
        <v>57</v>
      </c>
      <c r="H126" s="4" t="s">
        <v>25</v>
      </c>
      <c r="I126" s="5">
        <v>44378</v>
      </c>
      <c r="J126" s="6">
        <v>705</v>
      </c>
      <c r="K126" s="6">
        <v>352.5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58</v>
      </c>
      <c r="R126" s="4">
        <v>706</v>
      </c>
      <c r="S126" s="4" t="s">
        <v>174</v>
      </c>
      <c r="U126" s="4">
        <v>14</v>
      </c>
      <c r="V126" s="4">
        <v>0</v>
      </c>
      <c r="W126" s="4">
        <v>0</v>
      </c>
    </row>
    <row r="127" spans="1:23" ht="11.25" customHeight="1" x14ac:dyDescent="0.25">
      <c r="A127" s="4" t="s">
        <v>21</v>
      </c>
      <c r="B127" s="4" t="s">
        <v>35</v>
      </c>
      <c r="C127" s="4" t="s">
        <v>56</v>
      </c>
      <c r="D127" s="4" t="s">
        <v>25</v>
      </c>
      <c r="E127" s="4" t="s">
        <v>25</v>
      </c>
      <c r="F127" s="4" t="s">
        <v>25</v>
      </c>
      <c r="G127" s="4" t="s">
        <v>59</v>
      </c>
      <c r="H127" s="4" t="s">
        <v>25</v>
      </c>
      <c r="I127" s="5">
        <v>44378</v>
      </c>
      <c r="J127" s="6">
        <v>3700</v>
      </c>
      <c r="K127" s="6">
        <v>1850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58</v>
      </c>
      <c r="R127" s="4">
        <v>877</v>
      </c>
      <c r="S127" s="4" t="s">
        <v>174</v>
      </c>
      <c r="U127" s="4">
        <v>14</v>
      </c>
      <c r="V127" s="4">
        <v>0</v>
      </c>
      <c r="W127" s="4">
        <v>0</v>
      </c>
    </row>
    <row r="128" spans="1:23" ht="11.25" customHeight="1" x14ac:dyDescent="0.25">
      <c r="A128" s="4" t="s">
        <v>21</v>
      </c>
      <c r="B128" s="4" t="s">
        <v>35</v>
      </c>
      <c r="C128" s="4" t="s">
        <v>56</v>
      </c>
      <c r="D128" s="4" t="s">
        <v>25</v>
      </c>
      <c r="E128" s="4" t="s">
        <v>25</v>
      </c>
      <c r="F128" s="4" t="s">
        <v>25</v>
      </c>
      <c r="G128" s="4" t="s">
        <v>60</v>
      </c>
      <c r="H128" s="4" t="s">
        <v>25</v>
      </c>
      <c r="I128" s="5">
        <v>44378</v>
      </c>
      <c r="J128" s="6">
        <v>880</v>
      </c>
      <c r="K128" s="6">
        <v>440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58</v>
      </c>
      <c r="R128" s="4">
        <v>2317</v>
      </c>
      <c r="S128" s="4" t="s">
        <v>174</v>
      </c>
      <c r="U128" s="4">
        <v>14</v>
      </c>
      <c r="V128" s="4">
        <v>0</v>
      </c>
      <c r="W128" s="4">
        <v>0</v>
      </c>
    </row>
    <row r="129" spans="1:23" ht="11.25" customHeight="1" x14ac:dyDescent="0.25">
      <c r="A129" s="4" t="s">
        <v>21</v>
      </c>
      <c r="B129" s="4" t="s">
        <v>35</v>
      </c>
      <c r="C129" s="4" t="s">
        <v>56</v>
      </c>
      <c r="D129" s="4" t="s">
        <v>25</v>
      </c>
      <c r="E129" s="4" t="s">
        <v>25</v>
      </c>
      <c r="F129" s="4" t="s">
        <v>25</v>
      </c>
      <c r="G129" s="4" t="s">
        <v>61</v>
      </c>
      <c r="H129" s="4" t="s">
        <v>25</v>
      </c>
      <c r="I129" s="5">
        <v>44378</v>
      </c>
      <c r="J129" s="6">
        <v>780</v>
      </c>
      <c r="K129" s="6">
        <v>390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58</v>
      </c>
      <c r="R129" s="4">
        <v>28915</v>
      </c>
      <c r="S129" s="4" t="s">
        <v>174</v>
      </c>
      <c r="U129" s="4">
        <v>14</v>
      </c>
      <c r="V129" s="4">
        <v>0</v>
      </c>
      <c r="W129" s="4">
        <v>0</v>
      </c>
    </row>
    <row r="130" spans="1:23" ht="11.25" customHeight="1" x14ac:dyDescent="0.25">
      <c r="A130" s="4" t="s">
        <v>21</v>
      </c>
      <c r="B130" s="4" t="s">
        <v>35</v>
      </c>
      <c r="C130" s="4" t="s">
        <v>56</v>
      </c>
      <c r="D130" s="4" t="s">
        <v>25</v>
      </c>
      <c r="E130" s="4" t="s">
        <v>25</v>
      </c>
      <c r="F130" s="4" t="s">
        <v>25</v>
      </c>
      <c r="G130" s="4" t="s">
        <v>62</v>
      </c>
      <c r="H130" s="4" t="s">
        <v>25</v>
      </c>
      <c r="I130" s="5">
        <v>44378</v>
      </c>
      <c r="J130" s="6">
        <v>1280</v>
      </c>
      <c r="K130" s="6">
        <v>640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58</v>
      </c>
      <c r="R130" s="4">
        <v>31695</v>
      </c>
      <c r="S130" s="4" t="s">
        <v>174</v>
      </c>
      <c r="U130" s="4">
        <v>14</v>
      </c>
      <c r="V130" s="4">
        <v>0</v>
      </c>
      <c r="W130" s="4">
        <v>0</v>
      </c>
    </row>
    <row r="131" spans="1:23" ht="11.25" customHeight="1" x14ac:dyDescent="0.25">
      <c r="A131" s="4" t="s">
        <v>21</v>
      </c>
      <c r="B131" s="4" t="s">
        <v>35</v>
      </c>
      <c r="C131" s="4" t="s">
        <v>56</v>
      </c>
      <c r="D131" s="4" t="s">
        <v>25</v>
      </c>
      <c r="E131" s="4" t="s">
        <v>25</v>
      </c>
      <c r="F131" s="4" t="s">
        <v>25</v>
      </c>
      <c r="G131" s="4" t="s">
        <v>63</v>
      </c>
      <c r="H131" s="4" t="s">
        <v>25</v>
      </c>
      <c r="I131" s="5">
        <v>44378</v>
      </c>
      <c r="J131" s="6">
        <v>2425</v>
      </c>
      <c r="K131" s="6">
        <v>1212.5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58</v>
      </c>
      <c r="S131" s="4" t="s">
        <v>174</v>
      </c>
      <c r="U131" s="4">
        <v>14</v>
      </c>
      <c r="V131" s="4">
        <v>0</v>
      </c>
      <c r="W131" s="4">
        <v>0</v>
      </c>
    </row>
    <row r="132" spans="1:23" ht="11.25" customHeight="1" x14ac:dyDescent="0.25">
      <c r="A132" s="4" t="s">
        <v>21</v>
      </c>
      <c r="B132" s="4" t="s">
        <v>35</v>
      </c>
      <c r="C132" s="4" t="s">
        <v>56</v>
      </c>
      <c r="D132" s="4" t="s">
        <v>25</v>
      </c>
      <c r="E132" s="4" t="s">
        <v>25</v>
      </c>
      <c r="F132" s="4" t="s">
        <v>25</v>
      </c>
      <c r="G132" s="4" t="s">
        <v>64</v>
      </c>
      <c r="H132" s="4" t="s">
        <v>25</v>
      </c>
      <c r="I132" s="5">
        <v>44378</v>
      </c>
      <c r="J132" s="6">
        <v>1100</v>
      </c>
      <c r="K132" s="6">
        <v>550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58</v>
      </c>
      <c r="S132" s="4" t="s">
        <v>174</v>
      </c>
      <c r="U132" s="4">
        <v>14</v>
      </c>
      <c r="V132" s="4">
        <v>0</v>
      </c>
      <c r="W132" s="4">
        <v>0</v>
      </c>
    </row>
    <row r="133" spans="1:23" ht="11.25" customHeight="1" x14ac:dyDescent="0.25">
      <c r="A133" s="4" t="s">
        <v>21</v>
      </c>
      <c r="B133" s="4" t="s">
        <v>35</v>
      </c>
      <c r="C133" s="4" t="s">
        <v>56</v>
      </c>
      <c r="D133" s="4" t="s">
        <v>25</v>
      </c>
      <c r="E133" s="4" t="s">
        <v>25</v>
      </c>
      <c r="F133" s="4" t="s">
        <v>25</v>
      </c>
      <c r="G133" s="4" t="s">
        <v>57</v>
      </c>
      <c r="H133" s="4" t="s">
        <v>25</v>
      </c>
      <c r="I133" s="5">
        <v>44409</v>
      </c>
      <c r="J133" s="6">
        <v>705</v>
      </c>
      <c r="K133" s="6">
        <v>352.5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58</v>
      </c>
      <c r="R133" s="4">
        <v>706</v>
      </c>
      <c r="S133" s="4" t="s">
        <v>175</v>
      </c>
      <c r="U133" s="4">
        <v>14</v>
      </c>
      <c r="V133" s="4">
        <v>0</v>
      </c>
      <c r="W133" s="4">
        <v>0</v>
      </c>
    </row>
    <row r="134" spans="1:23" ht="11.25" customHeight="1" x14ac:dyDescent="0.25">
      <c r="A134" s="4" t="s">
        <v>21</v>
      </c>
      <c r="B134" s="4" t="s">
        <v>35</v>
      </c>
      <c r="C134" s="4" t="s">
        <v>56</v>
      </c>
      <c r="D134" s="4" t="s">
        <v>25</v>
      </c>
      <c r="E134" s="4" t="s">
        <v>25</v>
      </c>
      <c r="F134" s="4" t="s">
        <v>25</v>
      </c>
      <c r="G134" s="4" t="s">
        <v>59</v>
      </c>
      <c r="H134" s="4" t="s">
        <v>25</v>
      </c>
      <c r="I134" s="5">
        <v>44409</v>
      </c>
      <c r="J134" s="6">
        <v>3700</v>
      </c>
      <c r="K134" s="6">
        <v>1850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58</v>
      </c>
      <c r="R134" s="4">
        <v>877</v>
      </c>
      <c r="S134" s="4" t="s">
        <v>175</v>
      </c>
      <c r="U134" s="4">
        <v>14</v>
      </c>
      <c r="V134" s="4">
        <v>0</v>
      </c>
      <c r="W134" s="4">
        <v>0</v>
      </c>
    </row>
    <row r="135" spans="1:23" ht="11.25" customHeight="1" x14ac:dyDescent="0.25">
      <c r="A135" s="4" t="s">
        <v>21</v>
      </c>
      <c r="B135" s="4" t="s">
        <v>35</v>
      </c>
      <c r="C135" s="4" t="s">
        <v>56</v>
      </c>
      <c r="D135" s="4" t="s">
        <v>25</v>
      </c>
      <c r="E135" s="4" t="s">
        <v>25</v>
      </c>
      <c r="F135" s="4" t="s">
        <v>25</v>
      </c>
      <c r="G135" s="4" t="s">
        <v>60</v>
      </c>
      <c r="H135" s="4" t="s">
        <v>25</v>
      </c>
      <c r="I135" s="5">
        <v>44409</v>
      </c>
      <c r="J135" s="6">
        <v>880</v>
      </c>
      <c r="K135" s="6">
        <v>440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58</v>
      </c>
      <c r="R135" s="4">
        <v>2317</v>
      </c>
      <c r="S135" s="4" t="s">
        <v>175</v>
      </c>
      <c r="U135" s="4">
        <v>14</v>
      </c>
      <c r="V135" s="4">
        <v>0</v>
      </c>
      <c r="W135" s="4">
        <v>0</v>
      </c>
    </row>
    <row r="136" spans="1:23" ht="11.25" customHeight="1" x14ac:dyDescent="0.25">
      <c r="A136" s="4" t="s">
        <v>21</v>
      </c>
      <c r="B136" s="4" t="s">
        <v>35</v>
      </c>
      <c r="C136" s="4" t="s">
        <v>56</v>
      </c>
      <c r="D136" s="4" t="s">
        <v>25</v>
      </c>
      <c r="E136" s="4" t="s">
        <v>25</v>
      </c>
      <c r="F136" s="4" t="s">
        <v>25</v>
      </c>
      <c r="G136" s="4" t="s">
        <v>61</v>
      </c>
      <c r="H136" s="4" t="s">
        <v>25</v>
      </c>
      <c r="I136" s="5">
        <v>44409</v>
      </c>
      <c r="J136" s="6">
        <v>780</v>
      </c>
      <c r="K136" s="6">
        <v>390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4" t="s">
        <v>58</v>
      </c>
      <c r="R136" s="4">
        <v>28915</v>
      </c>
      <c r="S136" s="4" t="s">
        <v>175</v>
      </c>
      <c r="U136" s="4">
        <v>14</v>
      </c>
      <c r="V136" s="4">
        <v>0</v>
      </c>
      <c r="W136" s="4">
        <v>0</v>
      </c>
    </row>
    <row r="137" spans="1:23" ht="11.25" customHeight="1" x14ac:dyDescent="0.25">
      <c r="A137" s="4" t="s">
        <v>21</v>
      </c>
      <c r="B137" s="4" t="s">
        <v>35</v>
      </c>
      <c r="C137" s="4" t="s">
        <v>56</v>
      </c>
      <c r="D137" s="4" t="s">
        <v>25</v>
      </c>
      <c r="E137" s="4" t="s">
        <v>25</v>
      </c>
      <c r="F137" s="4" t="s">
        <v>25</v>
      </c>
      <c r="G137" s="4" t="s">
        <v>62</v>
      </c>
      <c r="H137" s="4" t="s">
        <v>25</v>
      </c>
      <c r="I137" s="5">
        <v>44409</v>
      </c>
      <c r="J137" s="6">
        <v>1280</v>
      </c>
      <c r="K137" s="6">
        <v>640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4" t="s">
        <v>58</v>
      </c>
      <c r="R137" s="4">
        <v>31695</v>
      </c>
      <c r="S137" s="4" t="s">
        <v>175</v>
      </c>
      <c r="U137" s="4">
        <v>14</v>
      </c>
      <c r="V137" s="4">
        <v>0</v>
      </c>
      <c r="W137" s="4">
        <v>0</v>
      </c>
    </row>
    <row r="138" spans="1:23" ht="11.25" customHeight="1" x14ac:dyDescent="0.25">
      <c r="A138" s="4" t="s">
        <v>21</v>
      </c>
      <c r="B138" s="4" t="s">
        <v>35</v>
      </c>
      <c r="C138" s="4" t="s">
        <v>56</v>
      </c>
      <c r="D138" s="4" t="s">
        <v>25</v>
      </c>
      <c r="E138" s="4" t="s">
        <v>25</v>
      </c>
      <c r="F138" s="4" t="s">
        <v>25</v>
      </c>
      <c r="G138" s="4" t="s">
        <v>63</v>
      </c>
      <c r="H138" s="4" t="s">
        <v>25</v>
      </c>
      <c r="I138" s="5">
        <v>44409</v>
      </c>
      <c r="J138" s="6">
        <v>2425</v>
      </c>
      <c r="K138" s="6">
        <v>1212.5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4" t="s">
        <v>58</v>
      </c>
      <c r="S138" s="4" t="s">
        <v>175</v>
      </c>
      <c r="U138" s="4">
        <v>14</v>
      </c>
      <c r="V138" s="4">
        <v>0</v>
      </c>
      <c r="W138" s="4">
        <v>0</v>
      </c>
    </row>
    <row r="139" spans="1:23" ht="11.25" customHeight="1" x14ac:dyDescent="0.25">
      <c r="A139" s="4" t="s">
        <v>21</v>
      </c>
      <c r="B139" s="4" t="s">
        <v>35</v>
      </c>
      <c r="C139" s="4" t="s">
        <v>56</v>
      </c>
      <c r="D139" s="4" t="s">
        <v>25</v>
      </c>
      <c r="E139" s="4" t="s">
        <v>25</v>
      </c>
      <c r="F139" s="4" t="s">
        <v>25</v>
      </c>
      <c r="G139" s="4" t="s">
        <v>64</v>
      </c>
      <c r="H139" s="4" t="s">
        <v>25</v>
      </c>
      <c r="I139" s="5">
        <v>44409</v>
      </c>
      <c r="J139" s="6">
        <v>1100</v>
      </c>
      <c r="K139" s="6">
        <v>550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4" t="s">
        <v>58</v>
      </c>
      <c r="S139" s="4" t="s">
        <v>175</v>
      </c>
      <c r="U139" s="4">
        <v>14</v>
      </c>
      <c r="V139" s="4">
        <v>0</v>
      </c>
      <c r="W139" s="4">
        <v>0</v>
      </c>
    </row>
    <row r="140" spans="1:23" ht="11.25" customHeight="1" x14ac:dyDescent="0.25">
      <c r="A140" s="4" t="s">
        <v>21</v>
      </c>
      <c r="B140" s="4" t="s">
        <v>35</v>
      </c>
      <c r="C140" s="4" t="s">
        <v>56</v>
      </c>
      <c r="D140" s="4" t="s">
        <v>25</v>
      </c>
      <c r="E140" s="4" t="s">
        <v>25</v>
      </c>
      <c r="F140" s="4" t="s">
        <v>25</v>
      </c>
      <c r="G140" s="4" t="s">
        <v>57</v>
      </c>
      <c r="H140" s="4" t="s">
        <v>25</v>
      </c>
      <c r="I140" s="5">
        <v>44440</v>
      </c>
      <c r="J140" s="6">
        <v>705</v>
      </c>
      <c r="K140" s="6">
        <v>352.5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4" t="s">
        <v>58</v>
      </c>
      <c r="R140" s="4">
        <v>706</v>
      </c>
      <c r="S140" s="4" t="s">
        <v>176</v>
      </c>
      <c r="U140" s="4">
        <v>14</v>
      </c>
      <c r="V140" s="4">
        <v>0</v>
      </c>
      <c r="W140" s="4">
        <v>0</v>
      </c>
    </row>
    <row r="141" spans="1:23" ht="11.25" customHeight="1" x14ac:dyDescent="0.25">
      <c r="A141" s="4" t="s">
        <v>21</v>
      </c>
      <c r="B141" s="4" t="s">
        <v>35</v>
      </c>
      <c r="C141" s="4" t="s">
        <v>56</v>
      </c>
      <c r="D141" s="4" t="s">
        <v>25</v>
      </c>
      <c r="E141" s="4" t="s">
        <v>25</v>
      </c>
      <c r="F141" s="4" t="s">
        <v>25</v>
      </c>
      <c r="G141" s="4" t="s">
        <v>59</v>
      </c>
      <c r="H141" s="4" t="s">
        <v>25</v>
      </c>
      <c r="I141" s="5">
        <v>44440</v>
      </c>
      <c r="J141" s="6">
        <v>3700</v>
      </c>
      <c r="K141" s="6">
        <v>1850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58</v>
      </c>
      <c r="R141" s="4">
        <v>877</v>
      </c>
      <c r="S141" s="4" t="s">
        <v>176</v>
      </c>
      <c r="U141" s="4">
        <v>14</v>
      </c>
      <c r="V141" s="4">
        <v>0</v>
      </c>
      <c r="W141" s="4">
        <v>0</v>
      </c>
    </row>
    <row r="142" spans="1:23" ht="11.25" customHeight="1" x14ac:dyDescent="0.25">
      <c r="A142" s="4" t="s">
        <v>21</v>
      </c>
      <c r="B142" s="4" t="s">
        <v>35</v>
      </c>
      <c r="C142" s="4" t="s">
        <v>56</v>
      </c>
      <c r="D142" s="4" t="s">
        <v>25</v>
      </c>
      <c r="E142" s="4" t="s">
        <v>25</v>
      </c>
      <c r="F142" s="4" t="s">
        <v>25</v>
      </c>
      <c r="G142" s="4" t="s">
        <v>60</v>
      </c>
      <c r="H142" s="4" t="s">
        <v>25</v>
      </c>
      <c r="I142" s="5">
        <v>44440</v>
      </c>
      <c r="J142" s="6">
        <v>880</v>
      </c>
      <c r="K142" s="6">
        <v>440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58</v>
      </c>
      <c r="R142" s="4">
        <v>2317</v>
      </c>
      <c r="S142" s="4" t="s">
        <v>176</v>
      </c>
      <c r="U142" s="4">
        <v>14</v>
      </c>
      <c r="V142" s="4">
        <v>0</v>
      </c>
      <c r="W142" s="4">
        <v>0</v>
      </c>
    </row>
    <row r="143" spans="1:23" ht="11.25" customHeight="1" x14ac:dyDescent="0.25">
      <c r="A143" s="4" t="s">
        <v>21</v>
      </c>
      <c r="B143" s="4" t="s">
        <v>35</v>
      </c>
      <c r="C143" s="4" t="s">
        <v>56</v>
      </c>
      <c r="D143" s="4" t="s">
        <v>25</v>
      </c>
      <c r="E143" s="4" t="s">
        <v>25</v>
      </c>
      <c r="F143" s="4" t="s">
        <v>25</v>
      </c>
      <c r="G143" s="4" t="s">
        <v>61</v>
      </c>
      <c r="H143" s="4" t="s">
        <v>25</v>
      </c>
      <c r="I143" s="5">
        <v>44440</v>
      </c>
      <c r="J143" s="6">
        <v>780</v>
      </c>
      <c r="K143" s="6">
        <v>390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58</v>
      </c>
      <c r="R143" s="4">
        <v>28915</v>
      </c>
      <c r="S143" s="4" t="s">
        <v>176</v>
      </c>
      <c r="U143" s="4">
        <v>14</v>
      </c>
      <c r="V143" s="4">
        <v>0</v>
      </c>
      <c r="W143" s="4">
        <v>0</v>
      </c>
    </row>
    <row r="144" spans="1:23" ht="11.25" customHeight="1" x14ac:dyDescent="0.25">
      <c r="A144" s="4" t="s">
        <v>21</v>
      </c>
      <c r="B144" s="4" t="s">
        <v>35</v>
      </c>
      <c r="C144" s="4" t="s">
        <v>56</v>
      </c>
      <c r="D144" s="4" t="s">
        <v>25</v>
      </c>
      <c r="E144" s="4" t="s">
        <v>25</v>
      </c>
      <c r="F144" s="4" t="s">
        <v>25</v>
      </c>
      <c r="G144" s="4" t="s">
        <v>62</v>
      </c>
      <c r="H144" s="4" t="s">
        <v>25</v>
      </c>
      <c r="I144" s="5">
        <v>44440</v>
      </c>
      <c r="J144" s="6">
        <v>1280</v>
      </c>
      <c r="K144" s="6">
        <v>640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4" t="s">
        <v>58</v>
      </c>
      <c r="R144" s="4">
        <v>31695</v>
      </c>
      <c r="S144" s="4" t="s">
        <v>176</v>
      </c>
      <c r="U144" s="4">
        <v>14</v>
      </c>
      <c r="V144" s="4">
        <v>0</v>
      </c>
      <c r="W144" s="4">
        <v>0</v>
      </c>
    </row>
    <row r="145" spans="1:23" ht="11.25" customHeight="1" x14ac:dyDescent="0.25">
      <c r="A145" s="4" t="s">
        <v>21</v>
      </c>
      <c r="B145" s="4" t="s">
        <v>35</v>
      </c>
      <c r="C145" s="4" t="s">
        <v>56</v>
      </c>
      <c r="D145" s="4" t="s">
        <v>25</v>
      </c>
      <c r="E145" s="4" t="s">
        <v>25</v>
      </c>
      <c r="F145" s="4" t="s">
        <v>25</v>
      </c>
      <c r="G145" s="4" t="s">
        <v>63</v>
      </c>
      <c r="H145" s="4" t="s">
        <v>25</v>
      </c>
      <c r="I145" s="5">
        <v>44440</v>
      </c>
      <c r="J145" s="6">
        <v>2425</v>
      </c>
      <c r="K145" s="6">
        <v>1212.5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4" t="s">
        <v>58</v>
      </c>
      <c r="S145" s="4" t="s">
        <v>176</v>
      </c>
      <c r="U145" s="4">
        <v>14</v>
      </c>
      <c r="V145" s="4">
        <v>0</v>
      </c>
      <c r="W145" s="4">
        <v>0</v>
      </c>
    </row>
    <row r="146" spans="1:23" ht="11.25" customHeight="1" x14ac:dyDescent="0.25">
      <c r="A146" s="4" t="s">
        <v>21</v>
      </c>
      <c r="B146" s="4" t="s">
        <v>35</v>
      </c>
      <c r="C146" s="4" t="s">
        <v>56</v>
      </c>
      <c r="D146" s="4" t="s">
        <v>25</v>
      </c>
      <c r="E146" s="4" t="s">
        <v>25</v>
      </c>
      <c r="F146" s="4" t="s">
        <v>25</v>
      </c>
      <c r="G146" s="4" t="s">
        <v>64</v>
      </c>
      <c r="H146" s="4" t="s">
        <v>25</v>
      </c>
      <c r="I146" s="5">
        <v>44440</v>
      </c>
      <c r="J146" s="6">
        <v>1100</v>
      </c>
      <c r="K146" s="6">
        <v>550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4" t="s">
        <v>58</v>
      </c>
      <c r="S146" s="4" t="s">
        <v>176</v>
      </c>
      <c r="U146" s="4">
        <v>14</v>
      </c>
      <c r="V146" s="4">
        <v>0</v>
      </c>
      <c r="W146" s="4">
        <v>0</v>
      </c>
    </row>
    <row r="147" spans="1:23" ht="11.25" customHeight="1" x14ac:dyDescent="0.25">
      <c r="A147" s="4" t="s">
        <v>21</v>
      </c>
      <c r="B147" s="4" t="s">
        <v>35</v>
      </c>
      <c r="C147" s="4" t="s">
        <v>56</v>
      </c>
      <c r="D147" s="4" t="s">
        <v>25</v>
      </c>
      <c r="E147" s="4" t="s">
        <v>25</v>
      </c>
      <c r="F147" s="4" t="s">
        <v>25</v>
      </c>
      <c r="G147" s="4" t="s">
        <v>57</v>
      </c>
      <c r="H147" s="4" t="s">
        <v>25</v>
      </c>
      <c r="I147" s="5">
        <v>44470</v>
      </c>
      <c r="J147" s="6">
        <v>705</v>
      </c>
      <c r="K147" s="6">
        <v>352.5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58</v>
      </c>
      <c r="R147" s="4">
        <v>706</v>
      </c>
      <c r="S147" s="4" t="s">
        <v>177</v>
      </c>
      <c r="U147" s="4">
        <v>14</v>
      </c>
      <c r="V147" s="4">
        <v>0</v>
      </c>
      <c r="W147" s="4">
        <v>0</v>
      </c>
    </row>
    <row r="148" spans="1:23" ht="11.25" customHeight="1" x14ac:dyDescent="0.25">
      <c r="A148" s="4" t="s">
        <v>21</v>
      </c>
      <c r="B148" s="4" t="s">
        <v>35</v>
      </c>
      <c r="C148" s="4" t="s">
        <v>56</v>
      </c>
      <c r="D148" s="4" t="s">
        <v>25</v>
      </c>
      <c r="E148" s="4" t="s">
        <v>25</v>
      </c>
      <c r="F148" s="4" t="s">
        <v>25</v>
      </c>
      <c r="G148" s="4" t="s">
        <v>59</v>
      </c>
      <c r="H148" s="4" t="s">
        <v>25</v>
      </c>
      <c r="I148" s="5">
        <v>44470</v>
      </c>
      <c r="J148" s="6">
        <v>3700</v>
      </c>
      <c r="K148" s="6">
        <v>1850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58</v>
      </c>
      <c r="R148" s="4">
        <v>877</v>
      </c>
      <c r="S148" s="4" t="s">
        <v>177</v>
      </c>
      <c r="U148" s="4">
        <v>14</v>
      </c>
      <c r="V148" s="4">
        <v>0</v>
      </c>
      <c r="W148" s="4">
        <v>0</v>
      </c>
    </row>
    <row r="149" spans="1:23" ht="11.25" customHeight="1" x14ac:dyDescent="0.25">
      <c r="A149" s="4" t="s">
        <v>21</v>
      </c>
      <c r="B149" s="4" t="s">
        <v>35</v>
      </c>
      <c r="C149" s="4" t="s">
        <v>56</v>
      </c>
      <c r="D149" s="4" t="s">
        <v>25</v>
      </c>
      <c r="E149" s="4" t="s">
        <v>25</v>
      </c>
      <c r="F149" s="4" t="s">
        <v>25</v>
      </c>
      <c r="G149" s="4" t="s">
        <v>60</v>
      </c>
      <c r="H149" s="4" t="s">
        <v>25</v>
      </c>
      <c r="I149" s="5">
        <v>44470</v>
      </c>
      <c r="J149" s="6">
        <v>880</v>
      </c>
      <c r="K149" s="6">
        <v>440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58</v>
      </c>
      <c r="R149" s="4">
        <v>2317</v>
      </c>
      <c r="S149" s="4" t="s">
        <v>177</v>
      </c>
      <c r="U149" s="4">
        <v>14</v>
      </c>
      <c r="V149" s="4">
        <v>0</v>
      </c>
      <c r="W149" s="4">
        <v>0</v>
      </c>
    </row>
    <row r="150" spans="1:23" ht="11.25" customHeight="1" x14ac:dyDescent="0.25">
      <c r="A150" s="4" t="s">
        <v>21</v>
      </c>
      <c r="B150" s="4" t="s">
        <v>35</v>
      </c>
      <c r="C150" s="4" t="s">
        <v>56</v>
      </c>
      <c r="D150" s="4" t="s">
        <v>25</v>
      </c>
      <c r="E150" s="4" t="s">
        <v>25</v>
      </c>
      <c r="F150" s="4" t="s">
        <v>25</v>
      </c>
      <c r="G150" s="4" t="s">
        <v>61</v>
      </c>
      <c r="H150" s="4" t="s">
        <v>25</v>
      </c>
      <c r="I150" s="5">
        <v>44470</v>
      </c>
      <c r="J150" s="6">
        <v>780</v>
      </c>
      <c r="K150" s="6">
        <v>390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4" t="s">
        <v>58</v>
      </c>
      <c r="R150" s="4">
        <v>28915</v>
      </c>
      <c r="S150" s="4" t="s">
        <v>177</v>
      </c>
      <c r="U150" s="4">
        <v>14</v>
      </c>
      <c r="V150" s="4">
        <v>0</v>
      </c>
      <c r="W150" s="4">
        <v>0</v>
      </c>
    </row>
    <row r="151" spans="1:23" ht="11.25" customHeight="1" x14ac:dyDescent="0.25">
      <c r="A151" s="4" t="s">
        <v>21</v>
      </c>
      <c r="B151" s="4" t="s">
        <v>35</v>
      </c>
      <c r="C151" s="4" t="s">
        <v>56</v>
      </c>
      <c r="D151" s="4" t="s">
        <v>25</v>
      </c>
      <c r="E151" s="4" t="s">
        <v>25</v>
      </c>
      <c r="F151" s="4" t="s">
        <v>25</v>
      </c>
      <c r="G151" s="4" t="s">
        <v>62</v>
      </c>
      <c r="H151" s="4" t="s">
        <v>25</v>
      </c>
      <c r="I151" s="5">
        <v>44470</v>
      </c>
      <c r="J151" s="6">
        <v>1280</v>
      </c>
      <c r="K151" s="6">
        <v>640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58</v>
      </c>
      <c r="R151" s="4">
        <v>31695</v>
      </c>
      <c r="S151" s="4" t="s">
        <v>177</v>
      </c>
      <c r="U151" s="4">
        <v>14</v>
      </c>
      <c r="V151" s="4">
        <v>0</v>
      </c>
      <c r="W151" s="4">
        <v>0</v>
      </c>
    </row>
    <row r="152" spans="1:23" ht="11.25" customHeight="1" x14ac:dyDescent="0.25">
      <c r="A152" s="4" t="s">
        <v>21</v>
      </c>
      <c r="B152" s="4" t="s">
        <v>35</v>
      </c>
      <c r="C152" s="4" t="s">
        <v>56</v>
      </c>
      <c r="D152" s="4" t="s">
        <v>25</v>
      </c>
      <c r="E152" s="4" t="s">
        <v>25</v>
      </c>
      <c r="F152" s="4" t="s">
        <v>25</v>
      </c>
      <c r="G152" s="4" t="s">
        <v>63</v>
      </c>
      <c r="H152" s="4" t="s">
        <v>25</v>
      </c>
      <c r="I152" s="5">
        <v>44470</v>
      </c>
      <c r="J152" s="6">
        <v>2425</v>
      </c>
      <c r="K152" s="6">
        <v>1212.5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4" t="s">
        <v>58</v>
      </c>
      <c r="S152" s="4" t="s">
        <v>177</v>
      </c>
      <c r="U152" s="4">
        <v>14</v>
      </c>
      <c r="V152" s="4">
        <v>0</v>
      </c>
      <c r="W152" s="4">
        <v>0</v>
      </c>
    </row>
    <row r="153" spans="1:23" ht="11.25" customHeight="1" x14ac:dyDescent="0.25">
      <c r="A153" s="4" t="s">
        <v>21</v>
      </c>
      <c r="B153" s="4" t="s">
        <v>35</v>
      </c>
      <c r="C153" s="4" t="s">
        <v>56</v>
      </c>
      <c r="D153" s="4" t="s">
        <v>25</v>
      </c>
      <c r="E153" s="4" t="s">
        <v>25</v>
      </c>
      <c r="F153" s="4" t="s">
        <v>25</v>
      </c>
      <c r="G153" s="4" t="s">
        <v>64</v>
      </c>
      <c r="H153" s="4" t="s">
        <v>25</v>
      </c>
      <c r="I153" s="5">
        <v>44470</v>
      </c>
      <c r="J153" s="6">
        <v>1100</v>
      </c>
      <c r="K153" s="6">
        <v>550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58</v>
      </c>
      <c r="S153" s="4" t="s">
        <v>177</v>
      </c>
      <c r="U153" s="4">
        <v>14</v>
      </c>
      <c r="V153" s="4">
        <v>0</v>
      </c>
      <c r="W153" s="4">
        <v>0</v>
      </c>
    </row>
    <row r="154" spans="1:23" ht="11.25" customHeight="1" x14ac:dyDescent="0.25">
      <c r="A154" s="4" t="s">
        <v>21</v>
      </c>
      <c r="B154" s="4" t="s">
        <v>35</v>
      </c>
      <c r="C154" s="4" t="s">
        <v>56</v>
      </c>
      <c r="D154" s="4" t="s">
        <v>25</v>
      </c>
      <c r="E154" s="4" t="s">
        <v>25</v>
      </c>
      <c r="F154" s="4" t="s">
        <v>25</v>
      </c>
      <c r="G154" s="4" t="s">
        <v>57</v>
      </c>
      <c r="H154" s="4" t="s">
        <v>25</v>
      </c>
      <c r="I154" s="5">
        <v>44501</v>
      </c>
      <c r="J154" s="6">
        <v>705</v>
      </c>
      <c r="K154" s="6">
        <v>352.5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4" t="s">
        <v>58</v>
      </c>
      <c r="R154" s="4">
        <v>706</v>
      </c>
      <c r="S154" s="4" t="s">
        <v>178</v>
      </c>
      <c r="U154" s="4">
        <v>14</v>
      </c>
      <c r="V154" s="4">
        <v>0</v>
      </c>
      <c r="W154" s="4">
        <v>0</v>
      </c>
    </row>
    <row r="155" spans="1:23" ht="11.25" customHeight="1" x14ac:dyDescent="0.25">
      <c r="A155" s="4" t="s">
        <v>21</v>
      </c>
      <c r="B155" s="4" t="s">
        <v>35</v>
      </c>
      <c r="C155" s="4" t="s">
        <v>56</v>
      </c>
      <c r="D155" s="4" t="s">
        <v>25</v>
      </c>
      <c r="E155" s="4" t="s">
        <v>25</v>
      </c>
      <c r="F155" s="4" t="s">
        <v>25</v>
      </c>
      <c r="G155" s="4" t="s">
        <v>59</v>
      </c>
      <c r="H155" s="4" t="s">
        <v>25</v>
      </c>
      <c r="I155" s="5">
        <v>44501</v>
      </c>
      <c r="J155" s="6">
        <v>3700</v>
      </c>
      <c r="K155" s="6">
        <v>1850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58</v>
      </c>
      <c r="R155" s="4">
        <v>877</v>
      </c>
      <c r="S155" s="4" t="s">
        <v>178</v>
      </c>
      <c r="U155" s="4">
        <v>14</v>
      </c>
      <c r="V155" s="4">
        <v>0</v>
      </c>
      <c r="W155" s="4">
        <v>0</v>
      </c>
    </row>
    <row r="156" spans="1:23" ht="11.25" customHeight="1" x14ac:dyDescent="0.25">
      <c r="A156" s="4" t="s">
        <v>21</v>
      </c>
      <c r="B156" s="4" t="s">
        <v>35</v>
      </c>
      <c r="C156" s="4" t="s">
        <v>56</v>
      </c>
      <c r="D156" s="4" t="s">
        <v>25</v>
      </c>
      <c r="E156" s="4" t="s">
        <v>25</v>
      </c>
      <c r="F156" s="4" t="s">
        <v>25</v>
      </c>
      <c r="G156" s="4" t="s">
        <v>60</v>
      </c>
      <c r="H156" s="4" t="s">
        <v>25</v>
      </c>
      <c r="I156" s="5">
        <v>44501</v>
      </c>
      <c r="J156" s="6">
        <v>880</v>
      </c>
      <c r="K156" s="6">
        <v>440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4" t="s">
        <v>58</v>
      </c>
      <c r="R156" s="4">
        <v>2317</v>
      </c>
      <c r="S156" s="4" t="s">
        <v>178</v>
      </c>
      <c r="U156" s="4">
        <v>14</v>
      </c>
      <c r="V156" s="4">
        <v>0</v>
      </c>
      <c r="W156" s="4">
        <v>0</v>
      </c>
    </row>
    <row r="157" spans="1:23" ht="11.25" customHeight="1" x14ac:dyDescent="0.25">
      <c r="A157" s="4" t="s">
        <v>21</v>
      </c>
      <c r="B157" s="4" t="s">
        <v>35</v>
      </c>
      <c r="C157" s="4" t="s">
        <v>56</v>
      </c>
      <c r="D157" s="4" t="s">
        <v>25</v>
      </c>
      <c r="E157" s="4" t="s">
        <v>25</v>
      </c>
      <c r="F157" s="4" t="s">
        <v>25</v>
      </c>
      <c r="G157" s="4" t="s">
        <v>61</v>
      </c>
      <c r="H157" s="4" t="s">
        <v>25</v>
      </c>
      <c r="I157" s="5">
        <v>44501</v>
      </c>
      <c r="J157" s="6">
        <v>780</v>
      </c>
      <c r="K157" s="6">
        <v>390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58</v>
      </c>
      <c r="R157" s="4">
        <v>28915</v>
      </c>
      <c r="S157" s="4" t="s">
        <v>178</v>
      </c>
      <c r="U157" s="4">
        <v>14</v>
      </c>
      <c r="V157" s="4">
        <v>0</v>
      </c>
      <c r="W157" s="4">
        <v>0</v>
      </c>
    </row>
    <row r="158" spans="1:23" ht="11.25" customHeight="1" x14ac:dyDescent="0.25">
      <c r="A158" s="4" t="s">
        <v>21</v>
      </c>
      <c r="B158" s="4" t="s">
        <v>35</v>
      </c>
      <c r="C158" s="4" t="s">
        <v>56</v>
      </c>
      <c r="D158" s="4" t="s">
        <v>25</v>
      </c>
      <c r="E158" s="4" t="s">
        <v>25</v>
      </c>
      <c r="F158" s="4" t="s">
        <v>25</v>
      </c>
      <c r="G158" s="4" t="s">
        <v>62</v>
      </c>
      <c r="H158" s="4" t="s">
        <v>25</v>
      </c>
      <c r="I158" s="5">
        <v>44501</v>
      </c>
      <c r="J158" s="6">
        <v>1280</v>
      </c>
      <c r="K158" s="6">
        <v>640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58</v>
      </c>
      <c r="R158" s="4">
        <v>31695</v>
      </c>
      <c r="S158" s="4" t="s">
        <v>178</v>
      </c>
      <c r="U158" s="4">
        <v>14</v>
      </c>
      <c r="V158" s="4">
        <v>0</v>
      </c>
      <c r="W158" s="4">
        <v>0</v>
      </c>
    </row>
    <row r="159" spans="1:23" ht="11.25" customHeight="1" x14ac:dyDescent="0.25">
      <c r="A159" s="4" t="s">
        <v>21</v>
      </c>
      <c r="B159" s="4" t="s">
        <v>35</v>
      </c>
      <c r="C159" s="4" t="s">
        <v>56</v>
      </c>
      <c r="D159" s="4" t="s">
        <v>25</v>
      </c>
      <c r="E159" s="4" t="s">
        <v>25</v>
      </c>
      <c r="F159" s="4" t="s">
        <v>25</v>
      </c>
      <c r="G159" s="4" t="s">
        <v>63</v>
      </c>
      <c r="H159" s="4" t="s">
        <v>25</v>
      </c>
      <c r="I159" s="5">
        <v>44501</v>
      </c>
      <c r="J159" s="6">
        <v>2425</v>
      </c>
      <c r="K159" s="6">
        <v>1212.5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58</v>
      </c>
      <c r="S159" s="4" t="s">
        <v>178</v>
      </c>
      <c r="U159" s="4">
        <v>14</v>
      </c>
      <c r="V159" s="4">
        <v>0</v>
      </c>
      <c r="W159" s="4">
        <v>0</v>
      </c>
    </row>
    <row r="160" spans="1:23" ht="11.25" customHeight="1" x14ac:dyDescent="0.25">
      <c r="A160" s="4" t="s">
        <v>21</v>
      </c>
      <c r="B160" s="4" t="s">
        <v>35</v>
      </c>
      <c r="C160" s="4" t="s">
        <v>56</v>
      </c>
      <c r="D160" s="4" t="s">
        <v>25</v>
      </c>
      <c r="E160" s="4" t="s">
        <v>25</v>
      </c>
      <c r="F160" s="4" t="s">
        <v>25</v>
      </c>
      <c r="G160" s="4" t="s">
        <v>64</v>
      </c>
      <c r="H160" s="4" t="s">
        <v>25</v>
      </c>
      <c r="I160" s="5">
        <v>44501</v>
      </c>
      <c r="J160" s="6">
        <v>1100</v>
      </c>
      <c r="K160" s="6">
        <v>550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4" t="s">
        <v>58</v>
      </c>
      <c r="S160" s="4" t="s">
        <v>178</v>
      </c>
      <c r="U160" s="4">
        <v>14</v>
      </c>
      <c r="V160" s="4">
        <v>0</v>
      </c>
      <c r="W160" s="4">
        <v>0</v>
      </c>
    </row>
    <row r="161" spans="1:23" ht="11.25" customHeight="1" x14ac:dyDescent="0.25">
      <c r="A161" s="4" t="s">
        <v>65</v>
      </c>
      <c r="B161" s="4" t="s">
        <v>35</v>
      </c>
      <c r="C161" s="4" t="s">
        <v>56</v>
      </c>
      <c r="D161" s="4" t="s">
        <v>25</v>
      </c>
      <c r="E161" s="4" t="s">
        <v>25</v>
      </c>
      <c r="F161" s="4" t="s">
        <v>25</v>
      </c>
      <c r="G161" s="4" t="s">
        <v>57</v>
      </c>
      <c r="H161" s="4" t="s">
        <v>25</v>
      </c>
      <c r="I161" s="5">
        <v>44531</v>
      </c>
      <c r="J161" s="6">
        <v>705</v>
      </c>
      <c r="K161" s="6">
        <v>352.5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58</v>
      </c>
      <c r="R161" s="4">
        <v>706</v>
      </c>
      <c r="S161" s="4" t="s">
        <v>179</v>
      </c>
      <c r="U161" s="4">
        <v>14</v>
      </c>
      <c r="V161" s="4">
        <v>0</v>
      </c>
      <c r="W161" s="4">
        <v>0</v>
      </c>
    </row>
    <row r="162" spans="1:23" ht="11.25" customHeight="1" x14ac:dyDescent="0.25">
      <c r="A162" s="4" t="s">
        <v>65</v>
      </c>
      <c r="B162" s="4" t="s">
        <v>35</v>
      </c>
      <c r="C162" s="4" t="s">
        <v>56</v>
      </c>
      <c r="D162" s="4" t="s">
        <v>25</v>
      </c>
      <c r="E162" s="4" t="s">
        <v>25</v>
      </c>
      <c r="F162" s="4" t="s">
        <v>25</v>
      </c>
      <c r="G162" s="4" t="s">
        <v>59</v>
      </c>
      <c r="H162" s="4" t="s">
        <v>25</v>
      </c>
      <c r="I162" s="5">
        <v>44531</v>
      </c>
      <c r="J162" s="6">
        <v>3700</v>
      </c>
      <c r="K162" s="6">
        <v>1850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4" t="s">
        <v>58</v>
      </c>
      <c r="R162" s="4">
        <v>877</v>
      </c>
      <c r="S162" s="4" t="s">
        <v>179</v>
      </c>
      <c r="U162" s="4">
        <v>14</v>
      </c>
      <c r="V162" s="4">
        <v>0</v>
      </c>
      <c r="W162" s="4">
        <v>0</v>
      </c>
    </row>
    <row r="163" spans="1:23" ht="11.25" customHeight="1" x14ac:dyDescent="0.25">
      <c r="A163" s="4" t="s">
        <v>65</v>
      </c>
      <c r="B163" s="4" t="s">
        <v>35</v>
      </c>
      <c r="C163" s="4" t="s">
        <v>56</v>
      </c>
      <c r="D163" s="4" t="s">
        <v>25</v>
      </c>
      <c r="E163" s="4" t="s">
        <v>25</v>
      </c>
      <c r="F163" s="4" t="s">
        <v>25</v>
      </c>
      <c r="G163" s="4" t="s">
        <v>60</v>
      </c>
      <c r="H163" s="4" t="s">
        <v>25</v>
      </c>
      <c r="I163" s="5">
        <v>44531</v>
      </c>
      <c r="J163" s="6">
        <v>880</v>
      </c>
      <c r="K163" s="6">
        <v>440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58</v>
      </c>
      <c r="R163" s="4">
        <v>2317</v>
      </c>
      <c r="S163" s="4" t="s">
        <v>179</v>
      </c>
      <c r="U163" s="4">
        <v>14</v>
      </c>
      <c r="V163" s="4">
        <v>0</v>
      </c>
      <c r="W163" s="4">
        <v>0</v>
      </c>
    </row>
    <row r="164" spans="1:23" ht="11.25" customHeight="1" x14ac:dyDescent="0.25">
      <c r="A164" s="4" t="s">
        <v>65</v>
      </c>
      <c r="B164" s="4" t="s">
        <v>35</v>
      </c>
      <c r="C164" s="4" t="s">
        <v>56</v>
      </c>
      <c r="D164" s="4" t="s">
        <v>25</v>
      </c>
      <c r="E164" s="4" t="s">
        <v>25</v>
      </c>
      <c r="F164" s="4" t="s">
        <v>25</v>
      </c>
      <c r="G164" s="4" t="s">
        <v>61</v>
      </c>
      <c r="H164" s="4" t="s">
        <v>25</v>
      </c>
      <c r="I164" s="5">
        <v>44531</v>
      </c>
      <c r="J164" s="6">
        <v>780</v>
      </c>
      <c r="K164" s="6">
        <v>390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4" t="s">
        <v>58</v>
      </c>
      <c r="R164" s="4">
        <v>28915</v>
      </c>
      <c r="S164" s="4" t="s">
        <v>179</v>
      </c>
      <c r="U164" s="4">
        <v>14</v>
      </c>
      <c r="V164" s="4">
        <v>0</v>
      </c>
      <c r="W164" s="4">
        <v>0</v>
      </c>
    </row>
    <row r="165" spans="1:23" ht="11.25" customHeight="1" x14ac:dyDescent="0.25">
      <c r="A165" s="4" t="s">
        <v>65</v>
      </c>
      <c r="B165" s="4" t="s">
        <v>35</v>
      </c>
      <c r="C165" s="4" t="s">
        <v>56</v>
      </c>
      <c r="D165" s="4" t="s">
        <v>25</v>
      </c>
      <c r="E165" s="4" t="s">
        <v>25</v>
      </c>
      <c r="F165" s="4" t="s">
        <v>25</v>
      </c>
      <c r="G165" s="4" t="s">
        <v>62</v>
      </c>
      <c r="H165" s="4" t="s">
        <v>25</v>
      </c>
      <c r="I165" s="5">
        <v>44531</v>
      </c>
      <c r="J165" s="6">
        <v>1280</v>
      </c>
      <c r="K165" s="6">
        <v>640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58</v>
      </c>
      <c r="R165" s="4">
        <v>31695</v>
      </c>
      <c r="S165" s="4" t="s">
        <v>179</v>
      </c>
      <c r="U165" s="4">
        <v>14</v>
      </c>
      <c r="V165" s="4">
        <v>0</v>
      </c>
      <c r="W165" s="4">
        <v>0</v>
      </c>
    </row>
    <row r="166" spans="1:23" ht="11.25" customHeight="1" x14ac:dyDescent="0.25">
      <c r="A166" s="4" t="s">
        <v>65</v>
      </c>
      <c r="B166" s="4" t="s">
        <v>35</v>
      </c>
      <c r="C166" s="4" t="s">
        <v>56</v>
      </c>
      <c r="D166" s="4" t="s">
        <v>25</v>
      </c>
      <c r="E166" s="4" t="s">
        <v>25</v>
      </c>
      <c r="F166" s="4" t="s">
        <v>25</v>
      </c>
      <c r="G166" s="4" t="s">
        <v>63</v>
      </c>
      <c r="H166" s="4" t="s">
        <v>25</v>
      </c>
      <c r="I166" s="5">
        <v>44531</v>
      </c>
      <c r="J166" s="6">
        <v>2425</v>
      </c>
      <c r="K166" s="6">
        <v>1212.5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4" t="s">
        <v>58</v>
      </c>
      <c r="S166" s="4" t="s">
        <v>179</v>
      </c>
      <c r="U166" s="4">
        <v>14</v>
      </c>
      <c r="V166" s="4">
        <v>0</v>
      </c>
      <c r="W166" s="4">
        <v>0</v>
      </c>
    </row>
    <row r="167" spans="1:23" ht="11.25" customHeight="1" x14ac:dyDescent="0.25">
      <c r="A167" s="4" t="s">
        <v>65</v>
      </c>
      <c r="B167" s="4" t="s">
        <v>35</v>
      </c>
      <c r="C167" s="4" t="s">
        <v>56</v>
      </c>
      <c r="D167" s="4" t="s">
        <v>25</v>
      </c>
      <c r="E167" s="4" t="s">
        <v>25</v>
      </c>
      <c r="F167" s="4" t="s">
        <v>25</v>
      </c>
      <c r="G167" s="4" t="s">
        <v>64</v>
      </c>
      <c r="H167" s="4" t="s">
        <v>25</v>
      </c>
      <c r="I167" s="5">
        <v>44531</v>
      </c>
      <c r="J167" s="6">
        <v>1100</v>
      </c>
      <c r="K167" s="6">
        <v>550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58</v>
      </c>
      <c r="S167" s="4" t="s">
        <v>179</v>
      </c>
      <c r="U167" s="4">
        <v>14</v>
      </c>
      <c r="V167" s="4">
        <v>0</v>
      </c>
      <c r="W167" s="4">
        <v>0</v>
      </c>
    </row>
    <row r="168" spans="1:23" ht="11.25" customHeight="1" x14ac:dyDescent="0.25">
      <c r="A168" s="4" t="s">
        <v>21</v>
      </c>
      <c r="B168" s="4" t="s">
        <v>35</v>
      </c>
      <c r="C168" s="4" t="s">
        <v>56</v>
      </c>
      <c r="D168" s="4" t="s">
        <v>25</v>
      </c>
      <c r="E168" s="4" t="s">
        <v>25</v>
      </c>
      <c r="F168" s="4" t="s">
        <v>25</v>
      </c>
      <c r="G168" s="4" t="s">
        <v>57</v>
      </c>
      <c r="H168" s="4" t="s">
        <v>25</v>
      </c>
      <c r="I168" s="5">
        <v>44562</v>
      </c>
      <c r="J168" s="6">
        <v>705</v>
      </c>
      <c r="K168" s="6">
        <v>352.5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4" t="s">
        <v>58</v>
      </c>
      <c r="R168" s="4">
        <v>706</v>
      </c>
      <c r="S168" s="4" t="s">
        <v>180</v>
      </c>
      <c r="U168" s="4">
        <v>14</v>
      </c>
      <c r="V168" s="4">
        <v>0</v>
      </c>
      <c r="W168" s="4">
        <v>0</v>
      </c>
    </row>
    <row r="169" spans="1:23" ht="11.25" customHeight="1" x14ac:dyDescent="0.25">
      <c r="A169" s="4" t="s">
        <v>21</v>
      </c>
      <c r="B169" s="4" t="s">
        <v>35</v>
      </c>
      <c r="C169" s="4" t="s">
        <v>56</v>
      </c>
      <c r="D169" s="4" t="s">
        <v>25</v>
      </c>
      <c r="E169" s="4" t="s">
        <v>25</v>
      </c>
      <c r="F169" s="4" t="s">
        <v>25</v>
      </c>
      <c r="G169" s="4" t="s">
        <v>59</v>
      </c>
      <c r="H169" s="4" t="s">
        <v>25</v>
      </c>
      <c r="I169" s="5">
        <v>44562</v>
      </c>
      <c r="J169" s="6">
        <v>3700</v>
      </c>
      <c r="K169" s="6">
        <v>1850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4" t="s">
        <v>58</v>
      </c>
      <c r="R169" s="4">
        <v>877</v>
      </c>
      <c r="S169" s="4" t="s">
        <v>180</v>
      </c>
      <c r="U169" s="4">
        <v>14</v>
      </c>
      <c r="V169" s="4">
        <v>0</v>
      </c>
      <c r="W169" s="4">
        <v>0</v>
      </c>
    </row>
    <row r="170" spans="1:23" ht="11.25" customHeight="1" x14ac:dyDescent="0.25">
      <c r="A170" s="4" t="s">
        <v>21</v>
      </c>
      <c r="B170" s="4" t="s">
        <v>35</v>
      </c>
      <c r="C170" s="4" t="s">
        <v>56</v>
      </c>
      <c r="D170" s="4" t="s">
        <v>25</v>
      </c>
      <c r="E170" s="4" t="s">
        <v>25</v>
      </c>
      <c r="F170" s="4" t="s">
        <v>25</v>
      </c>
      <c r="G170" s="4" t="s">
        <v>60</v>
      </c>
      <c r="H170" s="4" t="s">
        <v>25</v>
      </c>
      <c r="I170" s="5">
        <v>44562</v>
      </c>
      <c r="J170" s="6">
        <v>880</v>
      </c>
      <c r="K170" s="6">
        <v>440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4" t="s">
        <v>58</v>
      </c>
      <c r="R170" s="4">
        <v>2317</v>
      </c>
      <c r="S170" s="4" t="s">
        <v>180</v>
      </c>
      <c r="U170" s="4">
        <v>14</v>
      </c>
      <c r="V170" s="4">
        <v>0</v>
      </c>
      <c r="W170" s="4">
        <v>0</v>
      </c>
    </row>
    <row r="171" spans="1:23" ht="11.25" customHeight="1" x14ac:dyDescent="0.25">
      <c r="A171" s="4" t="s">
        <v>21</v>
      </c>
      <c r="B171" s="4" t="s">
        <v>35</v>
      </c>
      <c r="C171" s="4" t="s">
        <v>56</v>
      </c>
      <c r="D171" s="4" t="s">
        <v>25</v>
      </c>
      <c r="E171" s="4" t="s">
        <v>25</v>
      </c>
      <c r="F171" s="4" t="s">
        <v>25</v>
      </c>
      <c r="G171" s="4" t="s">
        <v>61</v>
      </c>
      <c r="H171" s="4" t="s">
        <v>25</v>
      </c>
      <c r="I171" s="5">
        <v>44562</v>
      </c>
      <c r="J171" s="6">
        <v>780</v>
      </c>
      <c r="K171" s="6">
        <v>390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4" t="s">
        <v>58</v>
      </c>
      <c r="R171" s="4">
        <v>28915</v>
      </c>
      <c r="S171" s="4" t="s">
        <v>180</v>
      </c>
      <c r="U171" s="4">
        <v>14</v>
      </c>
      <c r="V171" s="4">
        <v>0</v>
      </c>
      <c r="W171" s="4">
        <v>0</v>
      </c>
    </row>
    <row r="172" spans="1:23" ht="11.25" customHeight="1" x14ac:dyDescent="0.25">
      <c r="A172" s="4" t="s">
        <v>21</v>
      </c>
      <c r="B172" s="4" t="s">
        <v>35</v>
      </c>
      <c r="C172" s="4" t="s">
        <v>56</v>
      </c>
      <c r="D172" s="4" t="s">
        <v>25</v>
      </c>
      <c r="E172" s="4" t="s">
        <v>25</v>
      </c>
      <c r="F172" s="4" t="s">
        <v>25</v>
      </c>
      <c r="G172" s="4" t="s">
        <v>62</v>
      </c>
      <c r="H172" s="4" t="s">
        <v>25</v>
      </c>
      <c r="I172" s="5">
        <v>44562</v>
      </c>
      <c r="J172" s="6">
        <v>1280</v>
      </c>
      <c r="K172" s="6">
        <v>640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4" t="s">
        <v>58</v>
      </c>
      <c r="R172" s="4">
        <v>31695</v>
      </c>
      <c r="S172" s="4" t="s">
        <v>180</v>
      </c>
      <c r="U172" s="4">
        <v>14</v>
      </c>
      <c r="V172" s="4">
        <v>0</v>
      </c>
      <c r="W172" s="4">
        <v>0</v>
      </c>
    </row>
    <row r="173" spans="1:23" ht="11.25" customHeight="1" x14ac:dyDescent="0.25">
      <c r="A173" s="4" t="s">
        <v>21</v>
      </c>
      <c r="B173" s="4" t="s">
        <v>35</v>
      </c>
      <c r="C173" s="4" t="s">
        <v>56</v>
      </c>
      <c r="D173" s="4" t="s">
        <v>25</v>
      </c>
      <c r="E173" s="4" t="s">
        <v>25</v>
      </c>
      <c r="F173" s="4" t="s">
        <v>25</v>
      </c>
      <c r="G173" s="4" t="s">
        <v>63</v>
      </c>
      <c r="H173" s="4" t="s">
        <v>25</v>
      </c>
      <c r="I173" s="5">
        <v>44562</v>
      </c>
      <c r="J173" s="6">
        <v>2425</v>
      </c>
      <c r="K173" s="6">
        <v>1212.5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4" t="s">
        <v>58</v>
      </c>
      <c r="S173" s="4" t="s">
        <v>180</v>
      </c>
      <c r="U173" s="4">
        <v>14</v>
      </c>
      <c r="V173" s="4">
        <v>0</v>
      </c>
      <c r="W173" s="4">
        <v>0</v>
      </c>
    </row>
    <row r="174" spans="1:23" ht="11.25" customHeight="1" x14ac:dyDescent="0.25">
      <c r="A174" s="4" t="s">
        <v>21</v>
      </c>
      <c r="B174" s="4" t="s">
        <v>35</v>
      </c>
      <c r="C174" s="4" t="s">
        <v>56</v>
      </c>
      <c r="D174" s="4" t="s">
        <v>25</v>
      </c>
      <c r="E174" s="4" t="s">
        <v>25</v>
      </c>
      <c r="F174" s="4" t="s">
        <v>25</v>
      </c>
      <c r="G174" s="4" t="s">
        <v>64</v>
      </c>
      <c r="H174" s="4" t="s">
        <v>25</v>
      </c>
      <c r="I174" s="5">
        <v>44562</v>
      </c>
      <c r="J174" s="6">
        <v>1100</v>
      </c>
      <c r="K174" s="6">
        <v>550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4" t="s">
        <v>58</v>
      </c>
      <c r="S174" s="4" t="s">
        <v>180</v>
      </c>
      <c r="U174" s="4">
        <v>14</v>
      </c>
      <c r="V174" s="4">
        <v>0</v>
      </c>
      <c r="W174" s="4">
        <v>0</v>
      </c>
    </row>
    <row r="175" spans="1:23" ht="11.25" customHeight="1" x14ac:dyDescent="0.25">
      <c r="A175" s="4" t="s">
        <v>21</v>
      </c>
      <c r="B175" s="4" t="s">
        <v>35</v>
      </c>
      <c r="C175" s="4" t="s">
        <v>56</v>
      </c>
      <c r="D175" s="4" t="s">
        <v>25</v>
      </c>
      <c r="E175" s="4" t="s">
        <v>25</v>
      </c>
      <c r="F175" s="4" t="s">
        <v>25</v>
      </c>
      <c r="G175" s="4" t="s">
        <v>57</v>
      </c>
      <c r="H175" s="4" t="s">
        <v>25</v>
      </c>
      <c r="I175" s="5">
        <v>44593</v>
      </c>
      <c r="J175" s="6">
        <v>705</v>
      </c>
      <c r="K175" s="6">
        <v>352.5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4" t="s">
        <v>58</v>
      </c>
      <c r="R175" s="4">
        <v>706</v>
      </c>
      <c r="S175" s="4" t="s">
        <v>181</v>
      </c>
      <c r="U175" s="4">
        <v>14</v>
      </c>
      <c r="V175" s="4">
        <v>0</v>
      </c>
      <c r="W175" s="4">
        <v>0</v>
      </c>
    </row>
    <row r="176" spans="1:23" ht="11.25" customHeight="1" x14ac:dyDescent="0.25">
      <c r="A176" s="4" t="s">
        <v>21</v>
      </c>
      <c r="B176" s="4" t="s">
        <v>35</v>
      </c>
      <c r="C176" s="4" t="s">
        <v>56</v>
      </c>
      <c r="D176" s="4" t="s">
        <v>25</v>
      </c>
      <c r="E176" s="4" t="s">
        <v>25</v>
      </c>
      <c r="F176" s="4" t="s">
        <v>25</v>
      </c>
      <c r="G176" s="4" t="s">
        <v>59</v>
      </c>
      <c r="H176" s="4" t="s">
        <v>25</v>
      </c>
      <c r="I176" s="5">
        <v>44593</v>
      </c>
      <c r="J176" s="6">
        <v>3700</v>
      </c>
      <c r="K176" s="6">
        <v>1850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4" t="s">
        <v>58</v>
      </c>
      <c r="R176" s="4">
        <v>877</v>
      </c>
      <c r="S176" s="4" t="s">
        <v>181</v>
      </c>
      <c r="U176" s="4">
        <v>14</v>
      </c>
      <c r="V176" s="4">
        <v>0</v>
      </c>
      <c r="W176" s="4">
        <v>0</v>
      </c>
    </row>
    <row r="177" spans="1:23" ht="11.25" customHeight="1" x14ac:dyDescent="0.25">
      <c r="A177" s="4" t="s">
        <v>21</v>
      </c>
      <c r="B177" s="4" t="s">
        <v>35</v>
      </c>
      <c r="C177" s="4" t="s">
        <v>56</v>
      </c>
      <c r="D177" s="4" t="s">
        <v>25</v>
      </c>
      <c r="E177" s="4" t="s">
        <v>25</v>
      </c>
      <c r="F177" s="4" t="s">
        <v>25</v>
      </c>
      <c r="G177" s="4" t="s">
        <v>60</v>
      </c>
      <c r="H177" s="4" t="s">
        <v>25</v>
      </c>
      <c r="I177" s="5">
        <v>44593</v>
      </c>
      <c r="J177" s="6">
        <v>880</v>
      </c>
      <c r="K177" s="6">
        <v>440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4" t="s">
        <v>58</v>
      </c>
      <c r="R177" s="4">
        <v>2317</v>
      </c>
      <c r="S177" s="4" t="s">
        <v>181</v>
      </c>
      <c r="U177" s="4">
        <v>14</v>
      </c>
      <c r="V177" s="4">
        <v>0</v>
      </c>
      <c r="W177" s="4">
        <v>0</v>
      </c>
    </row>
    <row r="178" spans="1:23" ht="11.25" customHeight="1" x14ac:dyDescent="0.25">
      <c r="A178" s="4" t="s">
        <v>21</v>
      </c>
      <c r="B178" s="4" t="s">
        <v>35</v>
      </c>
      <c r="C178" s="4" t="s">
        <v>56</v>
      </c>
      <c r="D178" s="4" t="s">
        <v>25</v>
      </c>
      <c r="E178" s="4" t="s">
        <v>25</v>
      </c>
      <c r="F178" s="4" t="s">
        <v>25</v>
      </c>
      <c r="G178" s="4" t="s">
        <v>61</v>
      </c>
      <c r="H178" s="4" t="s">
        <v>25</v>
      </c>
      <c r="I178" s="5">
        <v>44593</v>
      </c>
      <c r="J178" s="6">
        <v>780</v>
      </c>
      <c r="K178" s="6">
        <v>390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4" t="s">
        <v>58</v>
      </c>
      <c r="R178" s="4">
        <v>28915</v>
      </c>
      <c r="S178" s="4" t="s">
        <v>181</v>
      </c>
      <c r="U178" s="4">
        <v>14</v>
      </c>
      <c r="V178" s="4">
        <v>0</v>
      </c>
      <c r="W178" s="4">
        <v>0</v>
      </c>
    </row>
    <row r="179" spans="1:23" ht="11.25" customHeight="1" x14ac:dyDescent="0.25">
      <c r="A179" s="4" t="s">
        <v>21</v>
      </c>
      <c r="B179" s="4" t="s">
        <v>35</v>
      </c>
      <c r="C179" s="4" t="s">
        <v>56</v>
      </c>
      <c r="D179" s="4" t="s">
        <v>25</v>
      </c>
      <c r="E179" s="4" t="s">
        <v>25</v>
      </c>
      <c r="F179" s="4" t="s">
        <v>25</v>
      </c>
      <c r="G179" s="4" t="s">
        <v>62</v>
      </c>
      <c r="H179" s="4" t="s">
        <v>25</v>
      </c>
      <c r="I179" s="5">
        <v>44593</v>
      </c>
      <c r="J179" s="6">
        <v>1280</v>
      </c>
      <c r="K179" s="6">
        <v>640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4" t="s">
        <v>58</v>
      </c>
      <c r="R179" s="4">
        <v>31695</v>
      </c>
      <c r="S179" s="4" t="s">
        <v>181</v>
      </c>
      <c r="U179" s="4">
        <v>14</v>
      </c>
      <c r="V179" s="4">
        <v>0</v>
      </c>
      <c r="W179" s="4">
        <v>0</v>
      </c>
    </row>
    <row r="180" spans="1:23" ht="11.25" customHeight="1" x14ac:dyDescent="0.25">
      <c r="A180" s="4" t="s">
        <v>21</v>
      </c>
      <c r="B180" s="4" t="s">
        <v>35</v>
      </c>
      <c r="C180" s="4" t="s">
        <v>56</v>
      </c>
      <c r="D180" s="4" t="s">
        <v>25</v>
      </c>
      <c r="E180" s="4" t="s">
        <v>25</v>
      </c>
      <c r="F180" s="4" t="s">
        <v>25</v>
      </c>
      <c r="G180" s="4" t="s">
        <v>63</v>
      </c>
      <c r="H180" s="4" t="s">
        <v>25</v>
      </c>
      <c r="I180" s="5">
        <v>44593</v>
      </c>
      <c r="J180" s="6">
        <v>2425</v>
      </c>
      <c r="K180" s="6">
        <v>1212.5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4" t="s">
        <v>58</v>
      </c>
      <c r="S180" s="4" t="s">
        <v>181</v>
      </c>
      <c r="U180" s="4">
        <v>14</v>
      </c>
      <c r="V180" s="4">
        <v>0</v>
      </c>
      <c r="W180" s="4">
        <v>0</v>
      </c>
    </row>
    <row r="181" spans="1:23" ht="11.25" customHeight="1" x14ac:dyDescent="0.25">
      <c r="A181" s="4" t="s">
        <v>21</v>
      </c>
      <c r="B181" s="4" t="s">
        <v>35</v>
      </c>
      <c r="C181" s="4" t="s">
        <v>56</v>
      </c>
      <c r="D181" s="4" t="s">
        <v>25</v>
      </c>
      <c r="E181" s="4" t="s">
        <v>25</v>
      </c>
      <c r="F181" s="4" t="s">
        <v>25</v>
      </c>
      <c r="G181" s="4" t="s">
        <v>64</v>
      </c>
      <c r="H181" s="4" t="s">
        <v>25</v>
      </c>
      <c r="I181" s="5">
        <v>44593</v>
      </c>
      <c r="J181" s="6">
        <v>1100</v>
      </c>
      <c r="K181" s="6">
        <v>550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4" t="s">
        <v>58</v>
      </c>
      <c r="S181" s="4" t="s">
        <v>181</v>
      </c>
      <c r="U181" s="4">
        <v>14</v>
      </c>
      <c r="V181" s="4">
        <v>0</v>
      </c>
      <c r="W181" s="4">
        <v>0</v>
      </c>
    </row>
    <row r="182" spans="1:23" ht="11.25" customHeight="1" x14ac:dyDescent="0.25">
      <c r="A182" s="4" t="s">
        <v>21</v>
      </c>
      <c r="B182" s="4" t="s">
        <v>35</v>
      </c>
      <c r="C182" s="4" t="s">
        <v>56</v>
      </c>
      <c r="D182" s="4" t="s">
        <v>25</v>
      </c>
      <c r="E182" s="4" t="s">
        <v>25</v>
      </c>
      <c r="F182" s="4" t="s">
        <v>25</v>
      </c>
      <c r="G182" s="4" t="s">
        <v>57</v>
      </c>
      <c r="H182" s="4" t="s">
        <v>25</v>
      </c>
      <c r="I182" s="5">
        <v>44621</v>
      </c>
      <c r="J182" s="6">
        <v>705</v>
      </c>
      <c r="K182" s="6">
        <v>352.5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4" t="s">
        <v>58</v>
      </c>
      <c r="R182" s="4">
        <v>706</v>
      </c>
      <c r="S182" s="4" t="s">
        <v>182</v>
      </c>
      <c r="U182" s="4">
        <v>14</v>
      </c>
      <c r="V182" s="4">
        <v>0</v>
      </c>
      <c r="W182" s="4">
        <v>0</v>
      </c>
    </row>
    <row r="183" spans="1:23" ht="11.25" customHeight="1" x14ac:dyDescent="0.25">
      <c r="A183" s="4" t="s">
        <v>21</v>
      </c>
      <c r="B183" s="4" t="s">
        <v>35</v>
      </c>
      <c r="C183" s="4" t="s">
        <v>56</v>
      </c>
      <c r="D183" s="4" t="s">
        <v>25</v>
      </c>
      <c r="E183" s="4" t="s">
        <v>25</v>
      </c>
      <c r="F183" s="4" t="s">
        <v>25</v>
      </c>
      <c r="G183" s="4" t="s">
        <v>59</v>
      </c>
      <c r="H183" s="4" t="s">
        <v>25</v>
      </c>
      <c r="I183" s="5">
        <v>44621</v>
      </c>
      <c r="J183" s="6">
        <v>3700</v>
      </c>
      <c r="K183" s="6">
        <v>1850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4" t="s">
        <v>58</v>
      </c>
      <c r="R183" s="4">
        <v>877</v>
      </c>
      <c r="S183" s="4" t="s">
        <v>182</v>
      </c>
      <c r="U183" s="4">
        <v>14</v>
      </c>
      <c r="V183" s="4">
        <v>0</v>
      </c>
      <c r="W183" s="4">
        <v>0</v>
      </c>
    </row>
    <row r="184" spans="1:23" ht="11.25" customHeight="1" x14ac:dyDescent="0.25">
      <c r="A184" s="4" t="s">
        <v>21</v>
      </c>
      <c r="B184" s="4" t="s">
        <v>35</v>
      </c>
      <c r="C184" s="4" t="s">
        <v>56</v>
      </c>
      <c r="D184" s="4" t="s">
        <v>25</v>
      </c>
      <c r="E184" s="4" t="s">
        <v>25</v>
      </c>
      <c r="F184" s="4" t="s">
        <v>25</v>
      </c>
      <c r="G184" s="4" t="s">
        <v>60</v>
      </c>
      <c r="H184" s="4" t="s">
        <v>25</v>
      </c>
      <c r="I184" s="5">
        <v>44621</v>
      </c>
      <c r="J184" s="6">
        <v>880</v>
      </c>
      <c r="K184" s="6">
        <v>440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4" t="s">
        <v>58</v>
      </c>
      <c r="R184" s="4">
        <v>2317</v>
      </c>
      <c r="S184" s="4" t="s">
        <v>182</v>
      </c>
      <c r="U184" s="4">
        <v>14</v>
      </c>
      <c r="V184" s="4">
        <v>0</v>
      </c>
      <c r="W184" s="4">
        <v>0</v>
      </c>
    </row>
    <row r="185" spans="1:23" ht="11.25" customHeight="1" x14ac:dyDescent="0.25">
      <c r="A185" s="4" t="s">
        <v>21</v>
      </c>
      <c r="B185" s="4" t="s">
        <v>35</v>
      </c>
      <c r="C185" s="4" t="s">
        <v>56</v>
      </c>
      <c r="D185" s="4" t="s">
        <v>25</v>
      </c>
      <c r="E185" s="4" t="s">
        <v>25</v>
      </c>
      <c r="F185" s="4" t="s">
        <v>25</v>
      </c>
      <c r="G185" s="4" t="s">
        <v>61</v>
      </c>
      <c r="H185" s="4" t="s">
        <v>25</v>
      </c>
      <c r="I185" s="5">
        <v>44621</v>
      </c>
      <c r="J185" s="6">
        <v>780</v>
      </c>
      <c r="K185" s="6">
        <v>390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4" t="s">
        <v>58</v>
      </c>
      <c r="R185" s="4">
        <v>28915</v>
      </c>
      <c r="S185" s="4" t="s">
        <v>182</v>
      </c>
      <c r="U185" s="4">
        <v>14</v>
      </c>
      <c r="V185" s="4">
        <v>0</v>
      </c>
      <c r="W185" s="4">
        <v>0</v>
      </c>
    </row>
    <row r="186" spans="1:23" ht="11.25" customHeight="1" x14ac:dyDescent="0.25">
      <c r="A186" s="4" t="s">
        <v>21</v>
      </c>
      <c r="B186" s="4" t="s">
        <v>35</v>
      </c>
      <c r="C186" s="4" t="s">
        <v>56</v>
      </c>
      <c r="D186" s="4" t="s">
        <v>25</v>
      </c>
      <c r="E186" s="4" t="s">
        <v>25</v>
      </c>
      <c r="F186" s="4" t="s">
        <v>25</v>
      </c>
      <c r="G186" s="4" t="s">
        <v>62</v>
      </c>
      <c r="H186" s="4" t="s">
        <v>25</v>
      </c>
      <c r="I186" s="5">
        <v>44621</v>
      </c>
      <c r="J186" s="6">
        <v>1280</v>
      </c>
      <c r="K186" s="6">
        <v>640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4" t="s">
        <v>58</v>
      </c>
      <c r="R186" s="4">
        <v>31695</v>
      </c>
      <c r="S186" s="4" t="s">
        <v>182</v>
      </c>
      <c r="U186" s="4">
        <v>14</v>
      </c>
      <c r="V186" s="4">
        <v>0</v>
      </c>
      <c r="W186" s="4">
        <v>0</v>
      </c>
    </row>
    <row r="187" spans="1:23" ht="11.25" customHeight="1" x14ac:dyDescent="0.25">
      <c r="A187" s="4" t="s">
        <v>21</v>
      </c>
      <c r="B187" s="4" t="s">
        <v>35</v>
      </c>
      <c r="C187" s="4" t="s">
        <v>56</v>
      </c>
      <c r="D187" s="4" t="s">
        <v>25</v>
      </c>
      <c r="E187" s="4" t="s">
        <v>25</v>
      </c>
      <c r="F187" s="4" t="s">
        <v>25</v>
      </c>
      <c r="G187" s="4" t="s">
        <v>63</v>
      </c>
      <c r="H187" s="4" t="s">
        <v>25</v>
      </c>
      <c r="I187" s="5">
        <v>44621</v>
      </c>
      <c r="J187" s="6">
        <v>2425</v>
      </c>
      <c r="K187" s="6">
        <v>1212.5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4" t="s">
        <v>58</v>
      </c>
      <c r="S187" s="4" t="s">
        <v>182</v>
      </c>
      <c r="U187" s="4">
        <v>14</v>
      </c>
      <c r="V187" s="4">
        <v>0</v>
      </c>
      <c r="W187" s="4">
        <v>0</v>
      </c>
    </row>
    <row r="188" spans="1:23" ht="11.25" customHeight="1" x14ac:dyDescent="0.25">
      <c r="A188" s="4" t="s">
        <v>21</v>
      </c>
      <c r="B188" s="4" t="s">
        <v>35</v>
      </c>
      <c r="C188" s="4" t="s">
        <v>56</v>
      </c>
      <c r="D188" s="4" t="s">
        <v>25</v>
      </c>
      <c r="E188" s="4" t="s">
        <v>25</v>
      </c>
      <c r="F188" s="4" t="s">
        <v>25</v>
      </c>
      <c r="G188" s="4" t="s">
        <v>64</v>
      </c>
      <c r="H188" s="4" t="s">
        <v>25</v>
      </c>
      <c r="I188" s="5">
        <v>44621</v>
      </c>
      <c r="J188" s="6">
        <v>1100</v>
      </c>
      <c r="K188" s="6">
        <v>550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4" t="s">
        <v>58</v>
      </c>
      <c r="S188" s="4" t="s">
        <v>182</v>
      </c>
      <c r="U188" s="4">
        <v>14</v>
      </c>
      <c r="V188" s="4">
        <v>0</v>
      </c>
      <c r="W188" s="4">
        <v>0</v>
      </c>
    </row>
    <row r="189" spans="1:23" ht="11.25" customHeight="1" x14ac:dyDescent="0.25">
      <c r="A189" s="4" t="s">
        <v>65</v>
      </c>
      <c r="B189" s="4" t="s">
        <v>35</v>
      </c>
      <c r="C189" s="4" t="s">
        <v>56</v>
      </c>
      <c r="D189" s="4" t="s">
        <v>25</v>
      </c>
      <c r="E189" s="4" t="s">
        <v>25</v>
      </c>
      <c r="F189" s="4" t="s">
        <v>25</v>
      </c>
      <c r="G189" s="4" t="s">
        <v>57</v>
      </c>
      <c r="H189" s="4" t="s">
        <v>25</v>
      </c>
      <c r="I189" s="5">
        <v>44652</v>
      </c>
      <c r="J189" s="6">
        <v>705</v>
      </c>
      <c r="K189" s="6">
        <v>352.5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4" t="s">
        <v>58</v>
      </c>
      <c r="R189" s="4">
        <v>706</v>
      </c>
      <c r="S189" s="4" t="s">
        <v>183</v>
      </c>
      <c r="U189" s="4">
        <v>14</v>
      </c>
      <c r="V189" s="4">
        <v>0</v>
      </c>
      <c r="W189" s="4">
        <v>0</v>
      </c>
    </row>
    <row r="190" spans="1:23" ht="11.25" customHeight="1" x14ac:dyDescent="0.25">
      <c r="A190" s="4" t="s">
        <v>65</v>
      </c>
      <c r="B190" s="4" t="s">
        <v>35</v>
      </c>
      <c r="C190" s="4" t="s">
        <v>56</v>
      </c>
      <c r="D190" s="4" t="s">
        <v>25</v>
      </c>
      <c r="E190" s="4" t="s">
        <v>25</v>
      </c>
      <c r="F190" s="4" t="s">
        <v>25</v>
      </c>
      <c r="G190" s="4" t="s">
        <v>59</v>
      </c>
      <c r="H190" s="4" t="s">
        <v>25</v>
      </c>
      <c r="I190" s="5">
        <v>44652</v>
      </c>
      <c r="J190" s="6">
        <v>3700</v>
      </c>
      <c r="K190" s="6">
        <v>1850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4" t="s">
        <v>58</v>
      </c>
      <c r="R190" s="4">
        <v>877</v>
      </c>
      <c r="S190" s="4" t="s">
        <v>183</v>
      </c>
      <c r="U190" s="4">
        <v>14</v>
      </c>
      <c r="V190" s="4">
        <v>0</v>
      </c>
      <c r="W190" s="4">
        <v>0</v>
      </c>
    </row>
    <row r="191" spans="1:23" ht="11.25" customHeight="1" x14ac:dyDescent="0.25">
      <c r="A191" s="4" t="s">
        <v>65</v>
      </c>
      <c r="B191" s="4" t="s">
        <v>35</v>
      </c>
      <c r="C191" s="4" t="s">
        <v>56</v>
      </c>
      <c r="D191" s="4" t="s">
        <v>25</v>
      </c>
      <c r="E191" s="4" t="s">
        <v>25</v>
      </c>
      <c r="F191" s="4" t="s">
        <v>25</v>
      </c>
      <c r="G191" s="4" t="s">
        <v>60</v>
      </c>
      <c r="H191" s="4" t="s">
        <v>25</v>
      </c>
      <c r="I191" s="5">
        <v>44652</v>
      </c>
      <c r="J191" s="6">
        <v>880</v>
      </c>
      <c r="K191" s="6">
        <v>440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4" t="s">
        <v>58</v>
      </c>
      <c r="R191" s="4">
        <v>2317</v>
      </c>
      <c r="S191" s="4" t="s">
        <v>183</v>
      </c>
      <c r="U191" s="4">
        <v>14</v>
      </c>
      <c r="V191" s="4">
        <v>0</v>
      </c>
      <c r="W191" s="4">
        <v>0</v>
      </c>
    </row>
    <row r="192" spans="1:23" ht="11.25" customHeight="1" x14ac:dyDescent="0.25">
      <c r="A192" s="4" t="s">
        <v>65</v>
      </c>
      <c r="B192" s="4" t="s">
        <v>35</v>
      </c>
      <c r="C192" s="4" t="s">
        <v>56</v>
      </c>
      <c r="D192" s="4" t="s">
        <v>25</v>
      </c>
      <c r="E192" s="4" t="s">
        <v>25</v>
      </c>
      <c r="F192" s="4" t="s">
        <v>25</v>
      </c>
      <c r="G192" s="4" t="s">
        <v>61</v>
      </c>
      <c r="H192" s="4" t="s">
        <v>25</v>
      </c>
      <c r="I192" s="5">
        <v>44652</v>
      </c>
      <c r="J192" s="6">
        <v>780</v>
      </c>
      <c r="K192" s="6">
        <v>390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4" t="s">
        <v>58</v>
      </c>
      <c r="R192" s="4">
        <v>28915</v>
      </c>
      <c r="S192" s="4" t="s">
        <v>183</v>
      </c>
      <c r="U192" s="4">
        <v>14</v>
      </c>
      <c r="V192" s="4">
        <v>0</v>
      </c>
      <c r="W192" s="4">
        <v>0</v>
      </c>
    </row>
    <row r="193" spans="1:23" ht="11.25" customHeight="1" x14ac:dyDescent="0.25">
      <c r="A193" s="4" t="s">
        <v>65</v>
      </c>
      <c r="B193" s="4" t="s">
        <v>35</v>
      </c>
      <c r="C193" s="4" t="s">
        <v>56</v>
      </c>
      <c r="D193" s="4" t="s">
        <v>25</v>
      </c>
      <c r="E193" s="4" t="s">
        <v>25</v>
      </c>
      <c r="F193" s="4" t="s">
        <v>25</v>
      </c>
      <c r="G193" s="4" t="s">
        <v>62</v>
      </c>
      <c r="H193" s="4" t="s">
        <v>25</v>
      </c>
      <c r="I193" s="5">
        <v>44652</v>
      </c>
      <c r="J193" s="6">
        <v>1280</v>
      </c>
      <c r="K193" s="6">
        <v>640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4" t="s">
        <v>58</v>
      </c>
      <c r="R193" s="4">
        <v>31695</v>
      </c>
      <c r="S193" s="4" t="s">
        <v>183</v>
      </c>
      <c r="U193" s="4">
        <v>14</v>
      </c>
      <c r="V193" s="4">
        <v>0</v>
      </c>
      <c r="W193" s="4">
        <v>0</v>
      </c>
    </row>
    <row r="194" spans="1:23" ht="11.25" customHeight="1" x14ac:dyDescent="0.25">
      <c r="A194" s="4" t="s">
        <v>65</v>
      </c>
      <c r="B194" s="4" t="s">
        <v>35</v>
      </c>
      <c r="C194" s="4" t="s">
        <v>56</v>
      </c>
      <c r="D194" s="4" t="s">
        <v>25</v>
      </c>
      <c r="E194" s="4" t="s">
        <v>25</v>
      </c>
      <c r="F194" s="4" t="s">
        <v>25</v>
      </c>
      <c r="G194" s="4" t="s">
        <v>63</v>
      </c>
      <c r="H194" s="4" t="s">
        <v>25</v>
      </c>
      <c r="I194" s="5">
        <v>44652</v>
      </c>
      <c r="J194" s="6">
        <v>2425</v>
      </c>
      <c r="K194" s="6">
        <v>1212.5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4" t="s">
        <v>58</v>
      </c>
      <c r="S194" s="4" t="s">
        <v>183</v>
      </c>
      <c r="U194" s="4">
        <v>14</v>
      </c>
      <c r="V194" s="4">
        <v>0</v>
      </c>
      <c r="W194" s="4">
        <v>0</v>
      </c>
    </row>
    <row r="195" spans="1:23" ht="11.25" customHeight="1" x14ac:dyDescent="0.25">
      <c r="A195" s="4" t="s">
        <v>65</v>
      </c>
      <c r="B195" s="4" t="s">
        <v>35</v>
      </c>
      <c r="C195" s="4" t="s">
        <v>56</v>
      </c>
      <c r="D195" s="4" t="s">
        <v>25</v>
      </c>
      <c r="E195" s="4" t="s">
        <v>25</v>
      </c>
      <c r="F195" s="4" t="s">
        <v>25</v>
      </c>
      <c r="G195" s="4" t="s">
        <v>64</v>
      </c>
      <c r="H195" s="4" t="s">
        <v>25</v>
      </c>
      <c r="I195" s="5">
        <v>44652</v>
      </c>
      <c r="J195" s="6">
        <v>1100</v>
      </c>
      <c r="K195" s="6">
        <v>550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4" t="s">
        <v>58</v>
      </c>
      <c r="S195" s="4" t="s">
        <v>183</v>
      </c>
      <c r="U195" s="4">
        <v>14</v>
      </c>
      <c r="V195" s="4">
        <v>0</v>
      </c>
      <c r="W195" s="4">
        <v>0</v>
      </c>
    </row>
    <row r="196" spans="1:23" ht="11.25" customHeight="1" x14ac:dyDescent="0.25">
      <c r="A196" s="4" t="s">
        <v>21</v>
      </c>
      <c r="B196" s="4" t="s">
        <v>35</v>
      </c>
      <c r="C196" s="4" t="s">
        <v>56</v>
      </c>
      <c r="D196" s="4" t="s">
        <v>25</v>
      </c>
      <c r="E196" s="4" t="s">
        <v>25</v>
      </c>
      <c r="F196" s="4" t="s">
        <v>25</v>
      </c>
      <c r="G196" s="4" t="s">
        <v>57</v>
      </c>
      <c r="H196" s="4" t="s">
        <v>25</v>
      </c>
      <c r="I196" s="5">
        <v>44682</v>
      </c>
      <c r="J196" s="6">
        <v>705</v>
      </c>
      <c r="K196" s="6">
        <v>352.5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4" t="s">
        <v>58</v>
      </c>
      <c r="R196" s="4">
        <v>706</v>
      </c>
      <c r="S196" s="4" t="s">
        <v>184</v>
      </c>
      <c r="U196" s="4">
        <v>14</v>
      </c>
      <c r="V196" s="4">
        <v>0</v>
      </c>
      <c r="W196" s="4">
        <v>0</v>
      </c>
    </row>
    <row r="197" spans="1:23" ht="11.25" customHeight="1" x14ac:dyDescent="0.25">
      <c r="A197" s="4" t="s">
        <v>21</v>
      </c>
      <c r="B197" s="4" t="s">
        <v>35</v>
      </c>
      <c r="C197" s="4" t="s">
        <v>56</v>
      </c>
      <c r="D197" s="4" t="s">
        <v>25</v>
      </c>
      <c r="E197" s="4" t="s">
        <v>25</v>
      </c>
      <c r="F197" s="4" t="s">
        <v>25</v>
      </c>
      <c r="G197" s="4" t="s">
        <v>59</v>
      </c>
      <c r="H197" s="4" t="s">
        <v>25</v>
      </c>
      <c r="I197" s="5">
        <v>44682</v>
      </c>
      <c r="J197" s="6">
        <v>3700</v>
      </c>
      <c r="K197" s="6">
        <v>1850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4" t="s">
        <v>58</v>
      </c>
      <c r="R197" s="4">
        <v>877</v>
      </c>
      <c r="S197" s="4" t="s">
        <v>184</v>
      </c>
      <c r="U197" s="4">
        <v>14</v>
      </c>
      <c r="V197" s="4">
        <v>0</v>
      </c>
      <c r="W197" s="4">
        <v>0</v>
      </c>
    </row>
    <row r="198" spans="1:23" ht="11.25" customHeight="1" x14ac:dyDescent="0.25">
      <c r="A198" s="4" t="s">
        <v>21</v>
      </c>
      <c r="B198" s="4" t="s">
        <v>35</v>
      </c>
      <c r="C198" s="4" t="s">
        <v>56</v>
      </c>
      <c r="D198" s="4" t="s">
        <v>25</v>
      </c>
      <c r="E198" s="4" t="s">
        <v>25</v>
      </c>
      <c r="F198" s="4" t="s">
        <v>25</v>
      </c>
      <c r="G198" s="4" t="s">
        <v>60</v>
      </c>
      <c r="H198" s="4" t="s">
        <v>25</v>
      </c>
      <c r="I198" s="5">
        <v>44682</v>
      </c>
      <c r="J198" s="6">
        <v>880</v>
      </c>
      <c r="K198" s="6">
        <v>440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4" t="s">
        <v>58</v>
      </c>
      <c r="R198" s="4">
        <v>2317</v>
      </c>
      <c r="S198" s="4" t="s">
        <v>184</v>
      </c>
      <c r="U198" s="4">
        <v>14</v>
      </c>
      <c r="V198" s="4">
        <v>0</v>
      </c>
      <c r="W198" s="4">
        <v>0</v>
      </c>
    </row>
    <row r="199" spans="1:23" ht="11.25" customHeight="1" x14ac:dyDescent="0.25">
      <c r="A199" s="4" t="s">
        <v>21</v>
      </c>
      <c r="B199" s="4" t="s">
        <v>35</v>
      </c>
      <c r="C199" s="4" t="s">
        <v>56</v>
      </c>
      <c r="D199" s="4" t="s">
        <v>25</v>
      </c>
      <c r="E199" s="4" t="s">
        <v>25</v>
      </c>
      <c r="F199" s="4" t="s">
        <v>25</v>
      </c>
      <c r="G199" s="4" t="s">
        <v>61</v>
      </c>
      <c r="H199" s="4" t="s">
        <v>25</v>
      </c>
      <c r="I199" s="5">
        <v>44682</v>
      </c>
      <c r="J199" s="6">
        <v>780</v>
      </c>
      <c r="K199" s="6">
        <v>390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4" t="s">
        <v>58</v>
      </c>
      <c r="R199" s="4">
        <v>28915</v>
      </c>
      <c r="S199" s="4" t="s">
        <v>184</v>
      </c>
      <c r="U199" s="4">
        <v>14</v>
      </c>
      <c r="V199" s="4">
        <v>0</v>
      </c>
      <c r="W199" s="4">
        <v>0</v>
      </c>
    </row>
    <row r="200" spans="1:23" ht="11.25" customHeight="1" x14ac:dyDescent="0.25">
      <c r="A200" s="4" t="s">
        <v>21</v>
      </c>
      <c r="B200" s="4" t="s">
        <v>35</v>
      </c>
      <c r="C200" s="4" t="s">
        <v>56</v>
      </c>
      <c r="D200" s="4" t="s">
        <v>25</v>
      </c>
      <c r="E200" s="4" t="s">
        <v>25</v>
      </c>
      <c r="F200" s="4" t="s">
        <v>25</v>
      </c>
      <c r="G200" s="4" t="s">
        <v>62</v>
      </c>
      <c r="H200" s="4" t="s">
        <v>25</v>
      </c>
      <c r="I200" s="5">
        <v>44682</v>
      </c>
      <c r="J200" s="6">
        <v>1280</v>
      </c>
      <c r="K200" s="6">
        <v>640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4" t="s">
        <v>58</v>
      </c>
      <c r="R200" s="4">
        <v>31695</v>
      </c>
      <c r="S200" s="4" t="s">
        <v>184</v>
      </c>
      <c r="U200" s="4">
        <v>14</v>
      </c>
      <c r="V200" s="4">
        <v>0</v>
      </c>
      <c r="W200" s="4">
        <v>0</v>
      </c>
    </row>
    <row r="201" spans="1:23" ht="11.25" customHeight="1" x14ac:dyDescent="0.25">
      <c r="A201" s="4" t="s">
        <v>21</v>
      </c>
      <c r="B201" s="4" t="s">
        <v>35</v>
      </c>
      <c r="C201" s="4" t="s">
        <v>56</v>
      </c>
      <c r="D201" s="4" t="s">
        <v>25</v>
      </c>
      <c r="E201" s="4" t="s">
        <v>25</v>
      </c>
      <c r="F201" s="4" t="s">
        <v>25</v>
      </c>
      <c r="G201" s="4" t="s">
        <v>63</v>
      </c>
      <c r="H201" s="4" t="s">
        <v>25</v>
      </c>
      <c r="I201" s="5">
        <v>44682</v>
      </c>
      <c r="J201" s="6">
        <v>2425</v>
      </c>
      <c r="K201" s="6">
        <v>1212.5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4" t="s">
        <v>58</v>
      </c>
      <c r="S201" s="4" t="s">
        <v>184</v>
      </c>
      <c r="U201" s="4">
        <v>14</v>
      </c>
      <c r="V201" s="4">
        <v>0</v>
      </c>
      <c r="W201" s="4">
        <v>0</v>
      </c>
    </row>
    <row r="202" spans="1:23" ht="11.25" customHeight="1" x14ac:dyDescent="0.25">
      <c r="A202" s="4" t="s">
        <v>21</v>
      </c>
      <c r="B202" s="4" t="s">
        <v>35</v>
      </c>
      <c r="C202" s="4" t="s">
        <v>56</v>
      </c>
      <c r="D202" s="4" t="s">
        <v>25</v>
      </c>
      <c r="E202" s="4" t="s">
        <v>25</v>
      </c>
      <c r="F202" s="4" t="s">
        <v>25</v>
      </c>
      <c r="G202" s="4" t="s">
        <v>64</v>
      </c>
      <c r="H202" s="4" t="s">
        <v>25</v>
      </c>
      <c r="I202" s="5">
        <v>44682</v>
      </c>
      <c r="J202" s="6">
        <v>1100</v>
      </c>
      <c r="K202" s="6">
        <v>550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4" t="s">
        <v>58</v>
      </c>
      <c r="S202" s="4" t="s">
        <v>184</v>
      </c>
      <c r="U202" s="4">
        <v>14</v>
      </c>
      <c r="V202" s="4">
        <v>0</v>
      </c>
      <c r="W202" s="4">
        <v>0</v>
      </c>
    </row>
    <row r="203" spans="1:23" ht="11.25" customHeight="1" x14ac:dyDescent="0.25">
      <c r="A203" s="4" t="s">
        <v>21</v>
      </c>
      <c r="B203" s="4" t="s">
        <v>35</v>
      </c>
      <c r="C203" s="4" t="s">
        <v>56</v>
      </c>
      <c r="D203" s="4" t="s">
        <v>25</v>
      </c>
      <c r="E203" s="4" t="s">
        <v>25</v>
      </c>
      <c r="F203" s="4" t="s">
        <v>25</v>
      </c>
      <c r="G203" s="4" t="s">
        <v>57</v>
      </c>
      <c r="H203" s="4" t="s">
        <v>25</v>
      </c>
      <c r="I203" s="5">
        <v>44713</v>
      </c>
      <c r="J203" s="6">
        <v>880</v>
      </c>
      <c r="K203" s="6">
        <v>440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4" t="s">
        <v>58</v>
      </c>
      <c r="R203" s="4">
        <v>706</v>
      </c>
      <c r="S203" s="4" t="s">
        <v>185</v>
      </c>
      <c r="U203" s="4">
        <v>14</v>
      </c>
      <c r="V203" s="4">
        <v>0</v>
      </c>
      <c r="W203" s="4">
        <v>0</v>
      </c>
    </row>
    <row r="204" spans="1:23" ht="11.25" customHeight="1" x14ac:dyDescent="0.25">
      <c r="A204" s="4" t="s">
        <v>21</v>
      </c>
      <c r="B204" s="4" t="s">
        <v>35</v>
      </c>
      <c r="C204" s="4" t="s">
        <v>56</v>
      </c>
      <c r="D204" s="4" t="s">
        <v>25</v>
      </c>
      <c r="E204" s="4" t="s">
        <v>25</v>
      </c>
      <c r="F204" s="4" t="s">
        <v>25</v>
      </c>
      <c r="G204" s="4" t="s">
        <v>59</v>
      </c>
      <c r="H204" s="4" t="s">
        <v>25</v>
      </c>
      <c r="I204" s="5">
        <v>44713</v>
      </c>
      <c r="J204" s="6">
        <v>3700</v>
      </c>
      <c r="K204" s="6">
        <v>1850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4" t="s">
        <v>58</v>
      </c>
      <c r="R204" s="4">
        <v>877</v>
      </c>
      <c r="S204" s="4" t="s">
        <v>185</v>
      </c>
      <c r="U204" s="4">
        <v>14</v>
      </c>
      <c r="V204" s="4">
        <v>0</v>
      </c>
      <c r="W204" s="4">
        <v>0</v>
      </c>
    </row>
    <row r="205" spans="1:23" ht="11.25" customHeight="1" x14ac:dyDescent="0.25">
      <c r="A205" s="4" t="s">
        <v>21</v>
      </c>
      <c r="B205" s="4" t="s">
        <v>35</v>
      </c>
      <c r="C205" s="4" t="s">
        <v>56</v>
      </c>
      <c r="D205" s="4" t="s">
        <v>25</v>
      </c>
      <c r="E205" s="4" t="s">
        <v>25</v>
      </c>
      <c r="F205" s="4" t="s">
        <v>25</v>
      </c>
      <c r="G205" s="4" t="s">
        <v>60</v>
      </c>
      <c r="H205" s="4" t="s">
        <v>25</v>
      </c>
      <c r="I205" s="5">
        <v>44713</v>
      </c>
      <c r="J205" s="6">
        <v>880</v>
      </c>
      <c r="K205" s="6">
        <v>440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4" t="s">
        <v>58</v>
      </c>
      <c r="R205" s="4">
        <v>2317</v>
      </c>
      <c r="S205" s="4" t="s">
        <v>185</v>
      </c>
      <c r="U205" s="4">
        <v>14</v>
      </c>
      <c r="V205" s="4">
        <v>0</v>
      </c>
      <c r="W205" s="4">
        <v>0</v>
      </c>
    </row>
    <row r="206" spans="1:23" ht="11.25" customHeight="1" x14ac:dyDescent="0.25">
      <c r="A206" s="4" t="s">
        <v>21</v>
      </c>
      <c r="B206" s="4" t="s">
        <v>35</v>
      </c>
      <c r="C206" s="4" t="s">
        <v>56</v>
      </c>
      <c r="D206" s="4" t="s">
        <v>25</v>
      </c>
      <c r="E206" s="4" t="s">
        <v>25</v>
      </c>
      <c r="F206" s="4" t="s">
        <v>25</v>
      </c>
      <c r="G206" s="4" t="s">
        <v>61</v>
      </c>
      <c r="H206" s="4" t="s">
        <v>25</v>
      </c>
      <c r="I206" s="5">
        <v>44713</v>
      </c>
      <c r="J206" s="6">
        <v>780</v>
      </c>
      <c r="K206" s="6">
        <v>390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4" t="s">
        <v>58</v>
      </c>
      <c r="R206" s="4">
        <v>28915</v>
      </c>
      <c r="S206" s="4" t="s">
        <v>185</v>
      </c>
      <c r="U206" s="4">
        <v>14</v>
      </c>
      <c r="V206" s="4">
        <v>0</v>
      </c>
      <c r="W206" s="4">
        <v>0</v>
      </c>
    </row>
    <row r="207" spans="1:23" ht="11.25" customHeight="1" x14ac:dyDescent="0.25">
      <c r="A207" s="4" t="s">
        <v>21</v>
      </c>
      <c r="B207" s="4" t="s">
        <v>35</v>
      </c>
      <c r="C207" s="4" t="s">
        <v>56</v>
      </c>
      <c r="D207" s="4" t="s">
        <v>25</v>
      </c>
      <c r="E207" s="4" t="s">
        <v>25</v>
      </c>
      <c r="F207" s="4" t="s">
        <v>25</v>
      </c>
      <c r="G207" s="4" t="s">
        <v>62</v>
      </c>
      <c r="H207" s="4" t="s">
        <v>25</v>
      </c>
      <c r="I207" s="5">
        <v>44713</v>
      </c>
      <c r="J207" s="6">
        <v>1280</v>
      </c>
      <c r="K207" s="6">
        <v>640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4" t="s">
        <v>58</v>
      </c>
      <c r="R207" s="4">
        <v>31695</v>
      </c>
      <c r="S207" s="4" t="s">
        <v>185</v>
      </c>
      <c r="U207" s="4">
        <v>14</v>
      </c>
      <c r="V207" s="4">
        <v>0</v>
      </c>
      <c r="W207" s="4">
        <v>0</v>
      </c>
    </row>
    <row r="208" spans="1:23" ht="11.25" customHeight="1" x14ac:dyDescent="0.25">
      <c r="A208" s="4" t="s">
        <v>21</v>
      </c>
      <c r="B208" s="4" t="s">
        <v>35</v>
      </c>
      <c r="C208" s="4" t="s">
        <v>56</v>
      </c>
      <c r="D208" s="4" t="s">
        <v>25</v>
      </c>
      <c r="E208" s="4" t="s">
        <v>25</v>
      </c>
      <c r="F208" s="4" t="s">
        <v>25</v>
      </c>
      <c r="G208" s="4" t="s">
        <v>63</v>
      </c>
      <c r="H208" s="4" t="s">
        <v>25</v>
      </c>
      <c r="I208" s="5">
        <v>44713</v>
      </c>
      <c r="J208" s="6">
        <v>2425</v>
      </c>
      <c r="K208" s="6">
        <v>1212.5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4" t="s">
        <v>58</v>
      </c>
      <c r="S208" s="4" t="s">
        <v>185</v>
      </c>
      <c r="U208" s="4">
        <v>14</v>
      </c>
      <c r="V208" s="4">
        <v>0</v>
      </c>
      <c r="W208" s="4">
        <v>0</v>
      </c>
    </row>
    <row r="209" spans="1:23" ht="11.25" customHeight="1" x14ac:dyDescent="0.25">
      <c r="A209" s="4" t="s">
        <v>21</v>
      </c>
      <c r="B209" s="4" t="s">
        <v>35</v>
      </c>
      <c r="C209" s="4" t="s">
        <v>56</v>
      </c>
      <c r="D209" s="4" t="s">
        <v>25</v>
      </c>
      <c r="E209" s="4" t="s">
        <v>25</v>
      </c>
      <c r="F209" s="4" t="s">
        <v>25</v>
      </c>
      <c r="G209" s="4" t="s">
        <v>64</v>
      </c>
      <c r="H209" s="4" t="s">
        <v>25</v>
      </c>
      <c r="I209" s="5">
        <v>44713</v>
      </c>
      <c r="J209" s="6">
        <v>1100</v>
      </c>
      <c r="K209" s="6">
        <v>550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4" t="s">
        <v>58</v>
      </c>
      <c r="S209" s="4" t="s">
        <v>185</v>
      </c>
      <c r="U209" s="4">
        <v>14</v>
      </c>
      <c r="V209" s="4">
        <v>0</v>
      </c>
      <c r="W209" s="4">
        <v>0</v>
      </c>
    </row>
    <row r="210" spans="1:23" ht="11.25" customHeight="1" x14ac:dyDescent="0.25">
      <c r="A210" s="4" t="s">
        <v>21</v>
      </c>
      <c r="B210" s="4" t="s">
        <v>35</v>
      </c>
      <c r="C210" s="4" t="s">
        <v>39</v>
      </c>
      <c r="D210" s="4" t="s">
        <v>40</v>
      </c>
      <c r="E210" s="4" t="s">
        <v>25</v>
      </c>
      <c r="F210" s="4" t="s">
        <v>25</v>
      </c>
      <c r="G210" s="4" t="s">
        <v>25</v>
      </c>
      <c r="H210" s="4" t="s">
        <v>38</v>
      </c>
      <c r="I210" s="5">
        <v>44378</v>
      </c>
      <c r="J210" s="6">
        <v>0</v>
      </c>
      <c r="K210" s="6">
        <v>0</v>
      </c>
      <c r="L210" s="6">
        <v>1589.729</v>
      </c>
      <c r="M210" s="6">
        <v>1589.729</v>
      </c>
      <c r="N210" s="6">
        <v>1589.729</v>
      </c>
      <c r="O210" s="6">
        <v>1589.729</v>
      </c>
      <c r="P210" s="6">
        <v>0</v>
      </c>
      <c r="Q210" s="4" t="s">
        <v>26</v>
      </c>
      <c r="R210" s="4">
        <v>0</v>
      </c>
      <c r="S210" s="4" t="s">
        <v>186</v>
      </c>
      <c r="T210" s="4" t="s">
        <v>319</v>
      </c>
      <c r="U210" s="4">
        <v>0</v>
      </c>
      <c r="V210" s="4">
        <v>25</v>
      </c>
      <c r="W210" s="4">
        <v>59</v>
      </c>
    </row>
    <row r="211" spans="1:23" ht="11.25" customHeight="1" x14ac:dyDescent="0.25">
      <c r="A211" s="4" t="s">
        <v>27</v>
      </c>
      <c r="B211" s="4" t="s">
        <v>35</v>
      </c>
      <c r="C211" s="4" t="s">
        <v>39</v>
      </c>
      <c r="D211" s="4" t="s">
        <v>40</v>
      </c>
      <c r="E211" s="4" t="s">
        <v>25</v>
      </c>
      <c r="F211" s="4" t="s">
        <v>25</v>
      </c>
      <c r="G211" s="4" t="s">
        <v>25</v>
      </c>
      <c r="H211" s="4" t="s">
        <v>38</v>
      </c>
      <c r="I211" s="5">
        <v>44378</v>
      </c>
      <c r="J211" s="6">
        <v>0</v>
      </c>
      <c r="K211" s="6">
        <v>0</v>
      </c>
      <c r="L211" s="6">
        <v>-382.78199999999998</v>
      </c>
      <c r="M211" s="6">
        <v>-382.78199999999998</v>
      </c>
      <c r="N211" s="6">
        <v>-382.78199999999998</v>
      </c>
      <c r="O211" s="6">
        <v>-382.78199999999998</v>
      </c>
      <c r="P211" s="6">
        <v>0</v>
      </c>
      <c r="Q211" s="4" t="s">
        <v>26</v>
      </c>
      <c r="R211" s="4">
        <v>0</v>
      </c>
      <c r="S211" s="4" t="s">
        <v>186</v>
      </c>
      <c r="T211" s="4" t="s">
        <v>319</v>
      </c>
      <c r="U211" s="4">
        <v>0</v>
      </c>
      <c r="V211" s="4">
        <v>25</v>
      </c>
      <c r="W211" s="4">
        <v>59</v>
      </c>
    </row>
    <row r="212" spans="1:23" ht="11.25" customHeight="1" x14ac:dyDescent="0.25">
      <c r="A212" s="4" t="s">
        <v>28</v>
      </c>
      <c r="B212" s="4" t="s">
        <v>35</v>
      </c>
      <c r="C212" s="4" t="s">
        <v>39</v>
      </c>
      <c r="D212" s="4" t="s">
        <v>40</v>
      </c>
      <c r="E212" s="4" t="s">
        <v>25</v>
      </c>
      <c r="F212" s="4" t="s">
        <v>25</v>
      </c>
      <c r="G212" s="4" t="s">
        <v>25</v>
      </c>
      <c r="H212" s="4" t="s">
        <v>38</v>
      </c>
      <c r="I212" s="5">
        <v>44378</v>
      </c>
      <c r="J212" s="6">
        <v>0</v>
      </c>
      <c r="K212" s="6">
        <v>0</v>
      </c>
      <c r="L212" s="6">
        <v>35.094999999999999</v>
      </c>
      <c r="M212" s="6">
        <v>35.094999999999999</v>
      </c>
      <c r="N212" s="6">
        <v>35.094999999999999</v>
      </c>
      <c r="O212" s="6">
        <v>35.094999999999999</v>
      </c>
      <c r="P212" s="6">
        <v>0</v>
      </c>
      <c r="Q212" s="4" t="s">
        <v>26</v>
      </c>
      <c r="R212" s="4">
        <v>0</v>
      </c>
      <c r="S212" s="4" t="s">
        <v>186</v>
      </c>
      <c r="T212" s="4" t="s">
        <v>319</v>
      </c>
      <c r="U212" s="4">
        <v>0</v>
      </c>
      <c r="V212" s="4">
        <v>25</v>
      </c>
      <c r="W212" s="4">
        <v>59</v>
      </c>
    </row>
    <row r="213" spans="1:23" ht="11.25" customHeight="1" x14ac:dyDescent="0.25">
      <c r="A213" s="4" t="s">
        <v>28</v>
      </c>
      <c r="B213" s="4" t="s">
        <v>35</v>
      </c>
      <c r="C213" s="4" t="s">
        <v>39</v>
      </c>
      <c r="D213" s="4" t="s">
        <v>40</v>
      </c>
      <c r="E213" s="4" t="s">
        <v>25</v>
      </c>
      <c r="F213" s="4" t="s">
        <v>25</v>
      </c>
      <c r="G213" s="4" t="s">
        <v>25</v>
      </c>
      <c r="H213" s="4" t="s">
        <v>38</v>
      </c>
      <c r="I213" s="5">
        <v>44378</v>
      </c>
      <c r="J213" s="6">
        <v>0</v>
      </c>
      <c r="K213" s="6">
        <v>0</v>
      </c>
      <c r="L213" s="6">
        <v>-12.039</v>
      </c>
      <c r="M213" s="6">
        <v>-12.039</v>
      </c>
      <c r="N213" s="6">
        <v>-12.039</v>
      </c>
      <c r="O213" s="6">
        <v>-12.039</v>
      </c>
      <c r="P213" s="6">
        <v>0</v>
      </c>
      <c r="Q213" s="4" t="s">
        <v>26</v>
      </c>
      <c r="R213" s="4">
        <v>0</v>
      </c>
      <c r="S213" s="4" t="s">
        <v>186</v>
      </c>
      <c r="T213" s="4" t="s">
        <v>319</v>
      </c>
      <c r="U213" s="4">
        <v>0</v>
      </c>
      <c r="V213" s="4">
        <v>25</v>
      </c>
      <c r="W213" s="4">
        <v>59</v>
      </c>
    </row>
    <row r="214" spans="1:23" ht="11.25" customHeight="1" x14ac:dyDescent="0.25">
      <c r="A214" s="4" t="s">
        <v>21</v>
      </c>
      <c r="B214" s="4" t="s">
        <v>35</v>
      </c>
      <c r="C214" s="4" t="s">
        <v>39</v>
      </c>
      <c r="D214" s="4" t="s">
        <v>40</v>
      </c>
      <c r="E214" s="4" t="s">
        <v>25</v>
      </c>
      <c r="F214" s="4" t="s">
        <v>25</v>
      </c>
      <c r="G214" s="4" t="s">
        <v>25</v>
      </c>
      <c r="H214" s="4" t="s">
        <v>38</v>
      </c>
      <c r="I214" s="5">
        <v>44409</v>
      </c>
      <c r="J214" s="6">
        <v>0</v>
      </c>
      <c r="K214" s="6">
        <v>0</v>
      </c>
      <c r="L214" s="6">
        <v>1233.7280000000001</v>
      </c>
      <c r="M214" s="6">
        <v>1233.7280000000001</v>
      </c>
      <c r="N214" s="6">
        <v>1233.7280000000001</v>
      </c>
      <c r="O214" s="6">
        <v>1233.7280000000001</v>
      </c>
      <c r="P214" s="6">
        <v>0</v>
      </c>
      <c r="Q214" s="4" t="s">
        <v>26</v>
      </c>
      <c r="R214" s="4">
        <v>0</v>
      </c>
      <c r="S214" s="4" t="s">
        <v>187</v>
      </c>
      <c r="T214" s="4" t="s">
        <v>320</v>
      </c>
      <c r="U214" s="4">
        <v>0</v>
      </c>
      <c r="V214" s="4">
        <v>25</v>
      </c>
      <c r="W214" s="4">
        <v>59</v>
      </c>
    </row>
    <row r="215" spans="1:23" ht="11.25" customHeight="1" x14ac:dyDescent="0.25">
      <c r="A215" s="4" t="s">
        <v>27</v>
      </c>
      <c r="B215" s="4" t="s">
        <v>35</v>
      </c>
      <c r="C215" s="4" t="s">
        <v>39</v>
      </c>
      <c r="D215" s="4" t="s">
        <v>40</v>
      </c>
      <c r="E215" s="4" t="s">
        <v>25</v>
      </c>
      <c r="F215" s="4" t="s">
        <v>25</v>
      </c>
      <c r="G215" s="4" t="s">
        <v>25</v>
      </c>
      <c r="H215" s="4" t="s">
        <v>38</v>
      </c>
      <c r="I215" s="5">
        <v>44409</v>
      </c>
      <c r="J215" s="6">
        <v>0</v>
      </c>
      <c r="K215" s="6">
        <v>0</v>
      </c>
      <c r="L215" s="6">
        <v>-10.218999999999999</v>
      </c>
      <c r="M215" s="6">
        <v>-10.218999999999999</v>
      </c>
      <c r="N215" s="6">
        <v>-10.218999999999999</v>
      </c>
      <c r="O215" s="6">
        <v>-10.218999999999999</v>
      </c>
      <c r="P215" s="6">
        <v>0</v>
      </c>
      <c r="Q215" s="4" t="s">
        <v>26</v>
      </c>
      <c r="R215" s="4">
        <v>0</v>
      </c>
      <c r="S215" s="4" t="s">
        <v>187</v>
      </c>
      <c r="T215" s="4" t="s">
        <v>320</v>
      </c>
      <c r="U215" s="4">
        <v>0</v>
      </c>
      <c r="V215" s="4">
        <v>25</v>
      </c>
      <c r="W215" s="4">
        <v>59</v>
      </c>
    </row>
    <row r="216" spans="1:23" ht="11.25" customHeight="1" x14ac:dyDescent="0.25">
      <c r="A216" s="4" t="s">
        <v>28</v>
      </c>
      <c r="B216" s="4" t="s">
        <v>35</v>
      </c>
      <c r="C216" s="4" t="s">
        <v>39</v>
      </c>
      <c r="D216" s="4" t="s">
        <v>40</v>
      </c>
      <c r="E216" s="4" t="s">
        <v>25</v>
      </c>
      <c r="F216" s="4" t="s">
        <v>25</v>
      </c>
      <c r="G216" s="4" t="s">
        <v>25</v>
      </c>
      <c r="H216" s="4" t="s">
        <v>38</v>
      </c>
      <c r="I216" s="5">
        <v>44409</v>
      </c>
      <c r="J216" s="6">
        <v>0</v>
      </c>
      <c r="K216" s="6">
        <v>0</v>
      </c>
      <c r="L216" s="6">
        <v>16.707999999999998</v>
      </c>
      <c r="M216" s="6">
        <v>16.707999999999998</v>
      </c>
      <c r="N216" s="6">
        <v>16.707999999999998</v>
      </c>
      <c r="O216" s="6">
        <v>16.707999999999998</v>
      </c>
      <c r="P216" s="6">
        <v>0</v>
      </c>
      <c r="Q216" s="4" t="s">
        <v>26</v>
      </c>
      <c r="R216" s="4">
        <v>0</v>
      </c>
      <c r="S216" s="4" t="s">
        <v>187</v>
      </c>
      <c r="T216" s="4" t="s">
        <v>320</v>
      </c>
      <c r="U216" s="4">
        <v>0</v>
      </c>
      <c r="V216" s="4">
        <v>25</v>
      </c>
      <c r="W216" s="4">
        <v>59</v>
      </c>
    </row>
    <row r="217" spans="1:23" ht="11.25" customHeight="1" x14ac:dyDescent="0.25">
      <c r="A217" s="4" t="s">
        <v>21</v>
      </c>
      <c r="B217" s="4" t="s">
        <v>35</v>
      </c>
      <c r="C217" s="4" t="s">
        <v>39</v>
      </c>
      <c r="D217" s="4" t="s">
        <v>40</v>
      </c>
      <c r="E217" s="4" t="s">
        <v>25</v>
      </c>
      <c r="F217" s="4" t="s">
        <v>25</v>
      </c>
      <c r="G217" s="4" t="s">
        <v>25</v>
      </c>
      <c r="H217" s="4" t="s">
        <v>38</v>
      </c>
      <c r="I217" s="5">
        <v>44440</v>
      </c>
      <c r="J217" s="6">
        <v>0</v>
      </c>
      <c r="K217" s="6">
        <v>0</v>
      </c>
      <c r="L217" s="6">
        <v>1027.152</v>
      </c>
      <c r="M217" s="6">
        <v>1027.152</v>
      </c>
      <c r="N217" s="6">
        <v>1027.152</v>
      </c>
      <c r="O217" s="6">
        <v>1027.152</v>
      </c>
      <c r="P217" s="6">
        <v>0</v>
      </c>
      <c r="Q217" s="4" t="s">
        <v>26</v>
      </c>
      <c r="R217" s="4">
        <v>0</v>
      </c>
      <c r="S217" s="4" t="s">
        <v>188</v>
      </c>
      <c r="T217" s="4" t="s">
        <v>321</v>
      </c>
      <c r="U217" s="4">
        <v>0</v>
      </c>
      <c r="V217" s="4">
        <v>25</v>
      </c>
      <c r="W217" s="4">
        <v>59</v>
      </c>
    </row>
    <row r="218" spans="1:23" ht="11.25" customHeight="1" x14ac:dyDescent="0.25">
      <c r="A218" s="4" t="s">
        <v>27</v>
      </c>
      <c r="B218" s="4" t="s">
        <v>35</v>
      </c>
      <c r="C218" s="4" t="s">
        <v>39</v>
      </c>
      <c r="D218" s="4" t="s">
        <v>40</v>
      </c>
      <c r="E218" s="4" t="s">
        <v>25</v>
      </c>
      <c r="F218" s="4" t="s">
        <v>25</v>
      </c>
      <c r="G218" s="4" t="s">
        <v>25</v>
      </c>
      <c r="H218" s="4" t="s">
        <v>38</v>
      </c>
      <c r="I218" s="5">
        <v>44440</v>
      </c>
      <c r="J218" s="6">
        <v>0</v>
      </c>
      <c r="K218" s="6">
        <v>0</v>
      </c>
      <c r="L218" s="6">
        <v>-18.968</v>
      </c>
      <c r="M218" s="6">
        <v>-18.968</v>
      </c>
      <c r="N218" s="6">
        <v>-18.968</v>
      </c>
      <c r="O218" s="6">
        <v>-18.968</v>
      </c>
      <c r="P218" s="6">
        <v>0</v>
      </c>
      <c r="Q218" s="4" t="s">
        <v>26</v>
      </c>
      <c r="R218" s="4">
        <v>0</v>
      </c>
      <c r="S218" s="4" t="s">
        <v>188</v>
      </c>
      <c r="T218" s="4" t="s">
        <v>321</v>
      </c>
      <c r="U218" s="4">
        <v>0</v>
      </c>
      <c r="V218" s="4">
        <v>25</v>
      </c>
      <c r="W218" s="4">
        <v>59</v>
      </c>
    </row>
    <row r="219" spans="1:23" ht="11.25" customHeight="1" x14ac:dyDescent="0.25">
      <c r="A219" s="4" t="s">
        <v>28</v>
      </c>
      <c r="B219" s="4" t="s">
        <v>35</v>
      </c>
      <c r="C219" s="4" t="s">
        <v>39</v>
      </c>
      <c r="D219" s="4" t="s">
        <v>40</v>
      </c>
      <c r="E219" s="4" t="s">
        <v>25</v>
      </c>
      <c r="F219" s="4" t="s">
        <v>25</v>
      </c>
      <c r="G219" s="4" t="s">
        <v>25</v>
      </c>
      <c r="H219" s="4" t="s">
        <v>38</v>
      </c>
      <c r="I219" s="5">
        <v>44440</v>
      </c>
      <c r="J219" s="6">
        <v>0</v>
      </c>
      <c r="K219" s="6">
        <v>0</v>
      </c>
      <c r="L219" s="6">
        <v>19.207999999999998</v>
      </c>
      <c r="M219" s="6">
        <v>19.207999999999998</v>
      </c>
      <c r="N219" s="6">
        <v>19.207999999999998</v>
      </c>
      <c r="O219" s="6">
        <v>19.207999999999998</v>
      </c>
      <c r="P219" s="6">
        <v>0</v>
      </c>
      <c r="Q219" s="4" t="s">
        <v>26</v>
      </c>
      <c r="R219" s="4">
        <v>0</v>
      </c>
      <c r="S219" s="4" t="s">
        <v>188</v>
      </c>
      <c r="T219" s="4" t="s">
        <v>321</v>
      </c>
      <c r="U219" s="4">
        <v>0</v>
      </c>
      <c r="V219" s="4">
        <v>25</v>
      </c>
      <c r="W219" s="4">
        <v>59</v>
      </c>
    </row>
    <row r="220" spans="1:23" ht="11.25" customHeight="1" x14ac:dyDescent="0.25">
      <c r="A220" s="4" t="s">
        <v>21</v>
      </c>
      <c r="B220" s="4" t="s">
        <v>35</v>
      </c>
      <c r="C220" s="4" t="s">
        <v>39</v>
      </c>
      <c r="D220" s="4" t="s">
        <v>40</v>
      </c>
      <c r="E220" s="4" t="s">
        <v>25</v>
      </c>
      <c r="F220" s="4" t="s">
        <v>25</v>
      </c>
      <c r="G220" s="4" t="s">
        <v>25</v>
      </c>
      <c r="H220" s="4" t="s">
        <v>38</v>
      </c>
      <c r="I220" s="5">
        <v>44470</v>
      </c>
      <c r="J220" s="6">
        <v>0</v>
      </c>
      <c r="K220" s="6">
        <v>0</v>
      </c>
      <c r="L220" s="6">
        <v>904.27099999999996</v>
      </c>
      <c r="M220" s="6">
        <v>904.27099999999996</v>
      </c>
      <c r="N220" s="6">
        <v>904.27099999999996</v>
      </c>
      <c r="O220" s="6">
        <v>904.27099999999996</v>
      </c>
      <c r="P220" s="6">
        <v>0</v>
      </c>
      <c r="Q220" s="4" t="s">
        <v>26</v>
      </c>
      <c r="R220" s="4">
        <v>0</v>
      </c>
      <c r="S220" s="4" t="s">
        <v>189</v>
      </c>
      <c r="T220" s="4" t="s">
        <v>322</v>
      </c>
      <c r="U220" s="4">
        <v>0</v>
      </c>
      <c r="V220" s="4">
        <v>25</v>
      </c>
      <c r="W220" s="4">
        <v>59</v>
      </c>
    </row>
    <row r="221" spans="1:23" ht="11.25" customHeight="1" x14ac:dyDescent="0.25">
      <c r="A221" s="4" t="s">
        <v>27</v>
      </c>
      <c r="B221" s="4" t="s">
        <v>35</v>
      </c>
      <c r="C221" s="4" t="s">
        <v>39</v>
      </c>
      <c r="D221" s="4" t="s">
        <v>40</v>
      </c>
      <c r="E221" s="4" t="s">
        <v>25</v>
      </c>
      <c r="F221" s="4" t="s">
        <v>25</v>
      </c>
      <c r="G221" s="4" t="s">
        <v>25</v>
      </c>
      <c r="H221" s="4" t="s">
        <v>38</v>
      </c>
      <c r="I221" s="5">
        <v>44470</v>
      </c>
      <c r="J221" s="6">
        <v>0</v>
      </c>
      <c r="K221" s="6">
        <v>0</v>
      </c>
      <c r="L221" s="6">
        <v>-3.9340000000000002</v>
      </c>
      <c r="M221" s="6">
        <v>-3.9340000000000002</v>
      </c>
      <c r="N221" s="6">
        <v>-3.9340000000000002</v>
      </c>
      <c r="O221" s="6">
        <v>-3.9340000000000002</v>
      </c>
      <c r="P221" s="6">
        <v>0</v>
      </c>
      <c r="Q221" s="4" t="s">
        <v>26</v>
      </c>
      <c r="R221" s="4">
        <v>0</v>
      </c>
      <c r="S221" s="4" t="s">
        <v>189</v>
      </c>
      <c r="T221" s="4" t="s">
        <v>322</v>
      </c>
      <c r="U221" s="4">
        <v>0</v>
      </c>
      <c r="V221" s="4">
        <v>25</v>
      </c>
      <c r="W221" s="4">
        <v>59</v>
      </c>
    </row>
    <row r="222" spans="1:23" ht="11.25" customHeight="1" x14ac:dyDescent="0.25">
      <c r="A222" s="4" t="s">
        <v>28</v>
      </c>
      <c r="B222" s="4" t="s">
        <v>35</v>
      </c>
      <c r="C222" s="4" t="s">
        <v>39</v>
      </c>
      <c r="D222" s="4" t="s">
        <v>40</v>
      </c>
      <c r="E222" s="4" t="s">
        <v>25</v>
      </c>
      <c r="F222" s="4" t="s">
        <v>25</v>
      </c>
      <c r="G222" s="4" t="s">
        <v>25</v>
      </c>
      <c r="H222" s="4" t="s">
        <v>38</v>
      </c>
      <c r="I222" s="5">
        <v>44470</v>
      </c>
      <c r="J222" s="6">
        <v>0</v>
      </c>
      <c r="K222" s="6">
        <v>0</v>
      </c>
      <c r="L222" s="6">
        <v>13.093</v>
      </c>
      <c r="M222" s="6">
        <v>13.093</v>
      </c>
      <c r="N222" s="6">
        <v>13.093</v>
      </c>
      <c r="O222" s="6">
        <v>13.093</v>
      </c>
      <c r="P222" s="6">
        <v>0</v>
      </c>
      <c r="Q222" s="4" t="s">
        <v>26</v>
      </c>
      <c r="R222" s="4">
        <v>0</v>
      </c>
      <c r="S222" s="4" t="s">
        <v>189</v>
      </c>
      <c r="T222" s="4" t="s">
        <v>322</v>
      </c>
      <c r="U222" s="4">
        <v>0</v>
      </c>
      <c r="V222" s="4">
        <v>25</v>
      </c>
      <c r="W222" s="4">
        <v>59</v>
      </c>
    </row>
    <row r="223" spans="1:23" ht="11.25" customHeight="1" x14ac:dyDescent="0.25">
      <c r="A223" s="4" t="s">
        <v>21</v>
      </c>
      <c r="B223" s="4" t="s">
        <v>35</v>
      </c>
      <c r="C223" s="4" t="s">
        <v>39</v>
      </c>
      <c r="D223" s="4" t="s">
        <v>40</v>
      </c>
      <c r="E223" s="4" t="s">
        <v>25</v>
      </c>
      <c r="F223" s="4" t="s">
        <v>25</v>
      </c>
      <c r="G223" s="4" t="s">
        <v>25</v>
      </c>
      <c r="H223" s="4" t="s">
        <v>38</v>
      </c>
      <c r="I223" s="5">
        <v>44501</v>
      </c>
      <c r="J223" s="6">
        <v>0</v>
      </c>
      <c r="K223" s="6">
        <v>0</v>
      </c>
      <c r="L223" s="6">
        <v>1201.3800000000001</v>
      </c>
      <c r="M223" s="6">
        <v>1201.3800000000001</v>
      </c>
      <c r="N223" s="6">
        <v>1201.3800000000001</v>
      </c>
      <c r="O223" s="6">
        <v>1201.3800000000001</v>
      </c>
      <c r="P223" s="6">
        <v>0</v>
      </c>
      <c r="Q223" s="4" t="s">
        <v>26</v>
      </c>
      <c r="R223" s="4">
        <v>0</v>
      </c>
      <c r="S223" s="4" t="s">
        <v>190</v>
      </c>
      <c r="T223" s="4" t="s">
        <v>323</v>
      </c>
      <c r="U223" s="4">
        <v>0</v>
      </c>
      <c r="V223" s="4">
        <v>25</v>
      </c>
      <c r="W223" s="4">
        <v>59</v>
      </c>
    </row>
    <row r="224" spans="1:23" ht="11.25" customHeight="1" x14ac:dyDescent="0.25">
      <c r="A224" s="4" t="s">
        <v>28</v>
      </c>
      <c r="B224" s="4" t="s">
        <v>35</v>
      </c>
      <c r="C224" s="4" t="s">
        <v>39</v>
      </c>
      <c r="D224" s="4" t="s">
        <v>40</v>
      </c>
      <c r="E224" s="4" t="s">
        <v>25</v>
      </c>
      <c r="F224" s="4" t="s">
        <v>25</v>
      </c>
      <c r="G224" s="4" t="s">
        <v>25</v>
      </c>
      <c r="H224" s="4" t="s">
        <v>38</v>
      </c>
      <c r="I224" s="5">
        <v>44501</v>
      </c>
      <c r="J224" s="6">
        <v>0</v>
      </c>
      <c r="K224" s="6">
        <v>0</v>
      </c>
      <c r="L224" s="6">
        <v>14.398</v>
      </c>
      <c r="M224" s="6">
        <v>14.398</v>
      </c>
      <c r="N224" s="6">
        <v>14.398</v>
      </c>
      <c r="O224" s="6">
        <v>14.398</v>
      </c>
      <c r="P224" s="6">
        <v>0</v>
      </c>
      <c r="Q224" s="4" t="s">
        <v>26</v>
      </c>
      <c r="R224" s="4">
        <v>0</v>
      </c>
      <c r="S224" s="4" t="s">
        <v>190</v>
      </c>
      <c r="T224" s="4" t="s">
        <v>323</v>
      </c>
      <c r="U224" s="4">
        <v>0</v>
      </c>
      <c r="V224" s="4">
        <v>25</v>
      </c>
      <c r="W224" s="4">
        <v>59</v>
      </c>
    </row>
    <row r="225" spans="1:23" ht="11.25" customHeight="1" x14ac:dyDescent="0.25">
      <c r="A225" s="4" t="s">
        <v>21</v>
      </c>
      <c r="B225" s="4" t="s">
        <v>35</v>
      </c>
      <c r="C225" s="4" t="s">
        <v>39</v>
      </c>
      <c r="D225" s="4" t="s">
        <v>40</v>
      </c>
      <c r="E225" s="4" t="s">
        <v>25</v>
      </c>
      <c r="F225" s="4" t="s">
        <v>25</v>
      </c>
      <c r="G225" s="4" t="s">
        <v>25</v>
      </c>
      <c r="H225" s="4" t="s">
        <v>38</v>
      </c>
      <c r="I225" s="5">
        <v>44531</v>
      </c>
      <c r="J225" s="6">
        <v>0</v>
      </c>
      <c r="K225" s="6">
        <v>0</v>
      </c>
      <c r="L225" s="6">
        <v>2212.9609999999998</v>
      </c>
      <c r="M225" s="6">
        <v>2212.9609999999998</v>
      </c>
      <c r="N225" s="6">
        <v>2212.9609999999998</v>
      </c>
      <c r="O225" s="6">
        <v>2212.9609999999998</v>
      </c>
      <c r="P225" s="6">
        <v>0</v>
      </c>
      <c r="Q225" s="4" t="s">
        <v>26</v>
      </c>
      <c r="R225" s="4">
        <v>0</v>
      </c>
      <c r="S225" s="4" t="s">
        <v>191</v>
      </c>
      <c r="T225" s="4" t="s">
        <v>324</v>
      </c>
      <c r="U225" s="4">
        <v>0</v>
      </c>
      <c r="V225" s="4">
        <v>25</v>
      </c>
      <c r="W225" s="4">
        <v>59</v>
      </c>
    </row>
    <row r="226" spans="1:23" ht="11.25" customHeight="1" x14ac:dyDescent="0.25">
      <c r="A226" s="4" t="s">
        <v>21</v>
      </c>
      <c r="B226" s="4" t="s">
        <v>35</v>
      </c>
      <c r="C226" s="4" t="s">
        <v>39</v>
      </c>
      <c r="D226" s="4" t="s">
        <v>40</v>
      </c>
      <c r="E226" s="4" t="s">
        <v>25</v>
      </c>
      <c r="F226" s="4" t="s">
        <v>25</v>
      </c>
      <c r="G226" s="4" t="s">
        <v>25</v>
      </c>
      <c r="H226" s="4" t="s">
        <v>38</v>
      </c>
      <c r="I226" s="5">
        <v>44562</v>
      </c>
      <c r="J226" s="6">
        <v>0</v>
      </c>
      <c r="K226" s="6">
        <v>0</v>
      </c>
      <c r="L226" s="6">
        <v>1436.105</v>
      </c>
      <c r="M226" s="6">
        <v>1436.105</v>
      </c>
      <c r="N226" s="6">
        <v>1436.105</v>
      </c>
      <c r="O226" s="6">
        <v>1436.105</v>
      </c>
      <c r="P226" s="6">
        <v>0</v>
      </c>
      <c r="Q226" s="4" t="s">
        <v>26</v>
      </c>
      <c r="R226" s="4">
        <v>0</v>
      </c>
      <c r="S226" s="4" t="s">
        <v>192</v>
      </c>
      <c r="T226" s="4" t="s">
        <v>325</v>
      </c>
      <c r="U226" s="4">
        <v>0</v>
      </c>
      <c r="V226" s="4">
        <v>25</v>
      </c>
      <c r="W226" s="4">
        <v>59</v>
      </c>
    </row>
    <row r="227" spans="1:23" ht="11.25" customHeight="1" x14ac:dyDescent="0.25">
      <c r="A227" s="4" t="s">
        <v>28</v>
      </c>
      <c r="B227" s="4" t="s">
        <v>35</v>
      </c>
      <c r="C227" s="4" t="s">
        <v>39</v>
      </c>
      <c r="D227" s="4" t="s">
        <v>40</v>
      </c>
      <c r="E227" s="4" t="s">
        <v>25</v>
      </c>
      <c r="F227" s="4" t="s">
        <v>25</v>
      </c>
      <c r="G227" s="4" t="s">
        <v>25</v>
      </c>
      <c r="H227" s="4" t="s">
        <v>38</v>
      </c>
      <c r="I227" s="5">
        <v>44562</v>
      </c>
      <c r="J227" s="6">
        <v>0</v>
      </c>
      <c r="K227" s="6">
        <v>0</v>
      </c>
      <c r="L227" s="6">
        <v>23.347999999999999</v>
      </c>
      <c r="M227" s="6">
        <v>23.347999999999999</v>
      </c>
      <c r="N227" s="6">
        <v>23.347999999999999</v>
      </c>
      <c r="O227" s="6">
        <v>23.347999999999999</v>
      </c>
      <c r="P227" s="6">
        <v>0</v>
      </c>
      <c r="Q227" s="4" t="s">
        <v>26</v>
      </c>
      <c r="R227" s="4">
        <v>0</v>
      </c>
      <c r="S227" s="4" t="s">
        <v>192</v>
      </c>
      <c r="T227" s="4" t="s">
        <v>325</v>
      </c>
      <c r="U227" s="4">
        <v>0</v>
      </c>
      <c r="V227" s="4">
        <v>25</v>
      </c>
      <c r="W227" s="4">
        <v>59</v>
      </c>
    </row>
    <row r="228" spans="1:23" ht="11.25" customHeight="1" x14ac:dyDescent="0.25">
      <c r="A228" s="4" t="s">
        <v>21</v>
      </c>
      <c r="B228" s="4" t="s">
        <v>35</v>
      </c>
      <c r="C228" s="4" t="s">
        <v>39</v>
      </c>
      <c r="D228" s="4" t="s">
        <v>40</v>
      </c>
      <c r="E228" s="4" t="s">
        <v>25</v>
      </c>
      <c r="F228" s="4" t="s">
        <v>25</v>
      </c>
      <c r="G228" s="4" t="s">
        <v>25</v>
      </c>
      <c r="H228" s="4" t="s">
        <v>38</v>
      </c>
      <c r="I228" s="5">
        <v>44593</v>
      </c>
      <c r="J228" s="6">
        <v>0</v>
      </c>
      <c r="K228" s="6">
        <v>0</v>
      </c>
      <c r="L228" s="6">
        <v>1741.3679999999999</v>
      </c>
      <c r="M228" s="6">
        <v>1741.3679999999999</v>
      </c>
      <c r="N228" s="6">
        <v>1741.3679999999999</v>
      </c>
      <c r="O228" s="6">
        <v>1741.3679999999999</v>
      </c>
      <c r="P228" s="6">
        <v>0</v>
      </c>
      <c r="Q228" s="4" t="s">
        <v>26</v>
      </c>
      <c r="R228" s="4">
        <v>0</v>
      </c>
      <c r="S228" s="4" t="s">
        <v>193</v>
      </c>
      <c r="T228" s="4" t="s">
        <v>326</v>
      </c>
      <c r="U228" s="4">
        <v>0</v>
      </c>
      <c r="V228" s="4">
        <v>25</v>
      </c>
      <c r="W228" s="4">
        <v>59</v>
      </c>
    </row>
    <row r="229" spans="1:23" ht="11.25" customHeight="1" x14ac:dyDescent="0.25">
      <c r="A229" s="4" t="s">
        <v>27</v>
      </c>
      <c r="B229" s="4" t="s">
        <v>35</v>
      </c>
      <c r="C229" s="4" t="s">
        <v>39</v>
      </c>
      <c r="D229" s="4" t="s">
        <v>40</v>
      </c>
      <c r="E229" s="4" t="s">
        <v>25</v>
      </c>
      <c r="F229" s="4" t="s">
        <v>25</v>
      </c>
      <c r="G229" s="4" t="s">
        <v>25</v>
      </c>
      <c r="H229" s="4" t="s">
        <v>38</v>
      </c>
      <c r="I229" s="5">
        <v>44593</v>
      </c>
      <c r="J229" s="6">
        <v>0</v>
      </c>
      <c r="K229" s="6">
        <v>0</v>
      </c>
      <c r="L229" s="6">
        <v>-7.4379999999999997</v>
      </c>
      <c r="M229" s="6">
        <v>-7.4379999999999997</v>
      </c>
      <c r="N229" s="6">
        <v>-7.4379999999999997</v>
      </c>
      <c r="O229" s="6">
        <v>-7.4379999999999997</v>
      </c>
      <c r="P229" s="6">
        <v>0</v>
      </c>
      <c r="Q229" s="4" t="s">
        <v>26</v>
      </c>
      <c r="R229" s="4">
        <v>0</v>
      </c>
      <c r="S229" s="4" t="s">
        <v>193</v>
      </c>
      <c r="T229" s="4" t="s">
        <v>326</v>
      </c>
      <c r="U229" s="4">
        <v>0</v>
      </c>
      <c r="V229" s="4">
        <v>25</v>
      </c>
      <c r="W229" s="4">
        <v>59</v>
      </c>
    </row>
    <row r="230" spans="1:23" ht="11.25" customHeight="1" x14ac:dyDescent="0.25">
      <c r="A230" s="4" t="s">
        <v>28</v>
      </c>
      <c r="B230" s="4" t="s">
        <v>35</v>
      </c>
      <c r="C230" s="4" t="s">
        <v>39</v>
      </c>
      <c r="D230" s="4" t="s">
        <v>40</v>
      </c>
      <c r="E230" s="4" t="s">
        <v>25</v>
      </c>
      <c r="F230" s="4" t="s">
        <v>25</v>
      </c>
      <c r="G230" s="4" t="s">
        <v>25</v>
      </c>
      <c r="H230" s="4" t="s">
        <v>38</v>
      </c>
      <c r="I230" s="5">
        <v>44593</v>
      </c>
      <c r="J230" s="6">
        <v>0</v>
      </c>
      <c r="K230" s="6">
        <v>0</v>
      </c>
      <c r="L230" s="6">
        <v>79.933000000000007</v>
      </c>
      <c r="M230" s="6">
        <v>79.933000000000007</v>
      </c>
      <c r="N230" s="6">
        <v>79.933000000000007</v>
      </c>
      <c r="O230" s="6">
        <v>79.933000000000007</v>
      </c>
      <c r="P230" s="6">
        <v>0</v>
      </c>
      <c r="Q230" s="4" t="s">
        <v>26</v>
      </c>
      <c r="R230" s="4">
        <v>0</v>
      </c>
      <c r="S230" s="4" t="s">
        <v>193</v>
      </c>
      <c r="T230" s="4" t="s">
        <v>326</v>
      </c>
      <c r="U230" s="4">
        <v>0</v>
      </c>
      <c r="V230" s="4">
        <v>25</v>
      </c>
      <c r="W230" s="4">
        <v>59</v>
      </c>
    </row>
    <row r="231" spans="1:23" ht="11.25" customHeight="1" x14ac:dyDescent="0.25">
      <c r="A231" s="4" t="s">
        <v>21</v>
      </c>
      <c r="B231" s="4" t="s">
        <v>35</v>
      </c>
      <c r="C231" s="4" t="s">
        <v>39</v>
      </c>
      <c r="D231" s="4" t="s">
        <v>40</v>
      </c>
      <c r="E231" s="4" t="s">
        <v>25</v>
      </c>
      <c r="F231" s="4" t="s">
        <v>25</v>
      </c>
      <c r="G231" s="4" t="s">
        <v>25</v>
      </c>
      <c r="H231" s="4" t="s">
        <v>38</v>
      </c>
      <c r="I231" s="5">
        <v>44621</v>
      </c>
      <c r="J231" s="6">
        <v>0</v>
      </c>
      <c r="K231" s="6">
        <v>0</v>
      </c>
      <c r="L231" s="6">
        <v>1860.2539999999999</v>
      </c>
      <c r="M231" s="6">
        <v>1860.2539999999999</v>
      </c>
      <c r="N231" s="6">
        <v>1860.2539999999999</v>
      </c>
      <c r="O231" s="6">
        <v>1860.2539999999999</v>
      </c>
      <c r="P231" s="6">
        <v>0</v>
      </c>
      <c r="Q231" s="4" t="s">
        <v>26</v>
      </c>
      <c r="R231" s="4">
        <v>0</v>
      </c>
      <c r="S231" s="4" t="s">
        <v>194</v>
      </c>
      <c r="T231" s="4" t="s">
        <v>327</v>
      </c>
      <c r="U231" s="4">
        <v>0</v>
      </c>
      <c r="V231" s="4">
        <v>25</v>
      </c>
      <c r="W231" s="4">
        <v>59</v>
      </c>
    </row>
    <row r="232" spans="1:23" ht="11.25" customHeight="1" x14ac:dyDescent="0.25">
      <c r="A232" s="4" t="s">
        <v>27</v>
      </c>
      <c r="B232" s="4" t="s">
        <v>35</v>
      </c>
      <c r="C232" s="4" t="s">
        <v>39</v>
      </c>
      <c r="D232" s="4" t="s">
        <v>40</v>
      </c>
      <c r="E232" s="4" t="s">
        <v>25</v>
      </c>
      <c r="F232" s="4" t="s">
        <v>25</v>
      </c>
      <c r="G232" s="4" t="s">
        <v>25</v>
      </c>
      <c r="H232" s="4" t="s">
        <v>38</v>
      </c>
      <c r="I232" s="5">
        <v>44621</v>
      </c>
      <c r="J232" s="6">
        <v>0</v>
      </c>
      <c r="K232" s="6">
        <v>0</v>
      </c>
      <c r="L232" s="6">
        <v>-16.815999999999999</v>
      </c>
      <c r="M232" s="6">
        <v>-16.815999999999999</v>
      </c>
      <c r="N232" s="6">
        <v>-16.815999999999999</v>
      </c>
      <c r="O232" s="6">
        <v>-16.815999999999999</v>
      </c>
      <c r="P232" s="6">
        <v>0</v>
      </c>
      <c r="Q232" s="4" t="s">
        <v>26</v>
      </c>
      <c r="R232" s="4">
        <v>0</v>
      </c>
      <c r="S232" s="4" t="s">
        <v>194</v>
      </c>
      <c r="T232" s="4" t="s">
        <v>327</v>
      </c>
      <c r="U232" s="4">
        <v>0</v>
      </c>
      <c r="V232" s="4">
        <v>25</v>
      </c>
      <c r="W232" s="4">
        <v>59</v>
      </c>
    </row>
    <row r="233" spans="1:23" ht="11.25" customHeight="1" x14ac:dyDescent="0.25">
      <c r="A233" s="4" t="s">
        <v>28</v>
      </c>
      <c r="B233" s="4" t="s">
        <v>35</v>
      </c>
      <c r="C233" s="4" t="s">
        <v>39</v>
      </c>
      <c r="D233" s="4" t="s">
        <v>40</v>
      </c>
      <c r="E233" s="4" t="s">
        <v>25</v>
      </c>
      <c r="F233" s="4" t="s">
        <v>25</v>
      </c>
      <c r="G233" s="4" t="s">
        <v>25</v>
      </c>
      <c r="H233" s="4" t="s">
        <v>38</v>
      </c>
      <c r="I233" s="5">
        <v>44621</v>
      </c>
      <c r="J233" s="6">
        <v>0</v>
      </c>
      <c r="K233" s="6">
        <v>0</v>
      </c>
      <c r="L233" s="6">
        <v>85.168000000000006</v>
      </c>
      <c r="M233" s="6">
        <v>85.168000000000006</v>
      </c>
      <c r="N233" s="6">
        <v>85.168000000000006</v>
      </c>
      <c r="O233" s="6">
        <v>85.168000000000006</v>
      </c>
      <c r="P233" s="6">
        <v>0</v>
      </c>
      <c r="Q233" s="4" t="s">
        <v>26</v>
      </c>
      <c r="R233" s="4">
        <v>0</v>
      </c>
      <c r="S233" s="4" t="s">
        <v>194</v>
      </c>
      <c r="T233" s="4" t="s">
        <v>327</v>
      </c>
      <c r="U233" s="4">
        <v>0</v>
      </c>
      <c r="V233" s="4">
        <v>25</v>
      </c>
      <c r="W233" s="4">
        <v>59</v>
      </c>
    </row>
    <row r="234" spans="1:23" ht="11.25" customHeight="1" x14ac:dyDescent="0.25">
      <c r="A234" s="4" t="s">
        <v>21</v>
      </c>
      <c r="B234" s="4" t="s">
        <v>35</v>
      </c>
      <c r="C234" s="4" t="s">
        <v>39</v>
      </c>
      <c r="D234" s="4" t="s">
        <v>40</v>
      </c>
      <c r="E234" s="4" t="s">
        <v>25</v>
      </c>
      <c r="F234" s="4" t="s">
        <v>25</v>
      </c>
      <c r="G234" s="4" t="s">
        <v>25</v>
      </c>
      <c r="H234" s="4" t="s">
        <v>38</v>
      </c>
      <c r="I234" s="5">
        <v>44652</v>
      </c>
      <c r="J234" s="6">
        <v>0</v>
      </c>
      <c r="K234" s="6">
        <v>0</v>
      </c>
      <c r="L234" s="6">
        <v>2374.712</v>
      </c>
      <c r="M234" s="6">
        <v>2374.712</v>
      </c>
      <c r="N234" s="6">
        <v>2374.712</v>
      </c>
      <c r="O234" s="6">
        <v>2374.712</v>
      </c>
      <c r="P234" s="6">
        <v>0</v>
      </c>
      <c r="Q234" s="4" t="s">
        <v>26</v>
      </c>
      <c r="R234" s="4">
        <v>0</v>
      </c>
      <c r="S234" s="4" t="s">
        <v>195</v>
      </c>
      <c r="T234" s="4" t="s">
        <v>328</v>
      </c>
      <c r="U234" s="4">
        <v>0</v>
      </c>
      <c r="V234" s="4">
        <v>25</v>
      </c>
      <c r="W234" s="4">
        <v>59</v>
      </c>
    </row>
    <row r="235" spans="1:23" ht="11.25" customHeight="1" x14ac:dyDescent="0.25">
      <c r="A235" s="4" t="s">
        <v>27</v>
      </c>
      <c r="B235" s="4" t="s">
        <v>35</v>
      </c>
      <c r="C235" s="4" t="s">
        <v>39</v>
      </c>
      <c r="D235" s="4" t="s">
        <v>40</v>
      </c>
      <c r="E235" s="4" t="s">
        <v>25</v>
      </c>
      <c r="F235" s="4" t="s">
        <v>25</v>
      </c>
      <c r="G235" s="4" t="s">
        <v>25</v>
      </c>
      <c r="H235" s="4" t="s">
        <v>38</v>
      </c>
      <c r="I235" s="5">
        <v>44652</v>
      </c>
      <c r="J235" s="6">
        <v>0</v>
      </c>
      <c r="K235" s="6">
        <v>0</v>
      </c>
      <c r="L235" s="6">
        <v>-275.49099999999999</v>
      </c>
      <c r="M235" s="6">
        <v>-275.49099999999999</v>
      </c>
      <c r="N235" s="6">
        <v>-275.49099999999999</v>
      </c>
      <c r="O235" s="6">
        <v>-275.49099999999999</v>
      </c>
      <c r="P235" s="6">
        <v>0</v>
      </c>
      <c r="Q235" s="4" t="s">
        <v>26</v>
      </c>
      <c r="R235" s="4">
        <v>0</v>
      </c>
      <c r="S235" s="4" t="s">
        <v>195</v>
      </c>
      <c r="T235" s="4" t="s">
        <v>328</v>
      </c>
      <c r="U235" s="4">
        <v>0</v>
      </c>
      <c r="V235" s="4">
        <v>25</v>
      </c>
      <c r="W235" s="4">
        <v>59</v>
      </c>
    </row>
    <row r="236" spans="1:23" ht="11.25" customHeight="1" x14ac:dyDescent="0.25">
      <c r="A236" s="4" t="s">
        <v>28</v>
      </c>
      <c r="B236" s="4" t="s">
        <v>35</v>
      </c>
      <c r="C236" s="4" t="s">
        <v>39</v>
      </c>
      <c r="D236" s="4" t="s">
        <v>40</v>
      </c>
      <c r="E236" s="4" t="s">
        <v>25</v>
      </c>
      <c r="F236" s="4" t="s">
        <v>25</v>
      </c>
      <c r="G236" s="4" t="s">
        <v>25</v>
      </c>
      <c r="H236" s="4" t="s">
        <v>38</v>
      </c>
      <c r="I236" s="5">
        <v>44652</v>
      </c>
      <c r="J236" s="6">
        <v>0</v>
      </c>
      <c r="K236" s="6">
        <v>0</v>
      </c>
      <c r="L236" s="6">
        <v>241.285</v>
      </c>
      <c r="M236" s="6">
        <v>241.285</v>
      </c>
      <c r="N236" s="6">
        <v>241.285</v>
      </c>
      <c r="O236" s="6">
        <v>241.285</v>
      </c>
      <c r="P236" s="6">
        <v>0</v>
      </c>
      <c r="Q236" s="4" t="s">
        <v>26</v>
      </c>
      <c r="R236" s="4">
        <v>0</v>
      </c>
      <c r="S236" s="4" t="s">
        <v>195</v>
      </c>
      <c r="T236" s="4" t="s">
        <v>328</v>
      </c>
      <c r="U236" s="4">
        <v>0</v>
      </c>
      <c r="V236" s="4">
        <v>25</v>
      </c>
      <c r="W236" s="4">
        <v>59</v>
      </c>
    </row>
    <row r="237" spans="1:23" ht="11.25" customHeight="1" x14ac:dyDescent="0.25">
      <c r="A237" s="4" t="s">
        <v>21</v>
      </c>
      <c r="B237" s="4" t="s">
        <v>35</v>
      </c>
      <c r="C237" s="4" t="s">
        <v>39</v>
      </c>
      <c r="D237" s="4" t="s">
        <v>40</v>
      </c>
      <c r="E237" s="4" t="s">
        <v>25</v>
      </c>
      <c r="F237" s="4" t="s">
        <v>25</v>
      </c>
      <c r="G237" s="4" t="s">
        <v>25</v>
      </c>
      <c r="H237" s="4" t="s">
        <v>38</v>
      </c>
      <c r="I237" s="5">
        <v>44682</v>
      </c>
      <c r="J237" s="6">
        <v>0</v>
      </c>
      <c r="K237" s="6">
        <v>0</v>
      </c>
      <c r="L237" s="6">
        <v>2809.5</v>
      </c>
      <c r="M237" s="6">
        <v>2809.5</v>
      </c>
      <c r="N237" s="6">
        <v>2809.5</v>
      </c>
      <c r="O237" s="6">
        <v>2809.5</v>
      </c>
      <c r="P237" s="6">
        <v>0</v>
      </c>
      <c r="Q237" s="4" t="s">
        <v>26</v>
      </c>
      <c r="R237" s="4">
        <v>0</v>
      </c>
      <c r="S237" s="4" t="s">
        <v>196</v>
      </c>
      <c r="T237" s="4" t="s">
        <v>329</v>
      </c>
      <c r="U237" s="4">
        <v>0</v>
      </c>
      <c r="V237" s="4">
        <v>25</v>
      </c>
      <c r="W237" s="4">
        <v>59</v>
      </c>
    </row>
    <row r="238" spans="1:23" ht="11.25" customHeight="1" x14ac:dyDescent="0.25">
      <c r="A238" s="4" t="s">
        <v>27</v>
      </c>
      <c r="B238" s="4" t="s">
        <v>35</v>
      </c>
      <c r="C238" s="4" t="s">
        <v>39</v>
      </c>
      <c r="D238" s="4" t="s">
        <v>40</v>
      </c>
      <c r="E238" s="4" t="s">
        <v>25</v>
      </c>
      <c r="F238" s="4" t="s">
        <v>25</v>
      </c>
      <c r="G238" s="4" t="s">
        <v>25</v>
      </c>
      <c r="H238" s="4" t="s">
        <v>38</v>
      </c>
      <c r="I238" s="5">
        <v>44682</v>
      </c>
      <c r="J238" s="6">
        <v>0</v>
      </c>
      <c r="K238" s="6">
        <v>0</v>
      </c>
      <c r="L238" s="6">
        <v>-19.614999999999998</v>
      </c>
      <c r="M238" s="6">
        <v>-19.614999999999998</v>
      </c>
      <c r="N238" s="6">
        <v>-19.614999999999998</v>
      </c>
      <c r="O238" s="6">
        <v>-19.614999999999998</v>
      </c>
      <c r="P238" s="6">
        <v>0</v>
      </c>
      <c r="Q238" s="4" t="s">
        <v>26</v>
      </c>
      <c r="R238" s="4">
        <v>0</v>
      </c>
      <c r="S238" s="4" t="s">
        <v>196</v>
      </c>
      <c r="T238" s="4" t="s">
        <v>329</v>
      </c>
      <c r="U238" s="4">
        <v>0</v>
      </c>
      <c r="V238" s="4">
        <v>25</v>
      </c>
      <c r="W238" s="4">
        <v>59</v>
      </c>
    </row>
    <row r="239" spans="1:23" ht="11.25" customHeight="1" x14ac:dyDescent="0.25">
      <c r="A239" s="4" t="s">
        <v>28</v>
      </c>
      <c r="B239" s="4" t="s">
        <v>35</v>
      </c>
      <c r="C239" s="4" t="s">
        <v>39</v>
      </c>
      <c r="D239" s="4" t="s">
        <v>40</v>
      </c>
      <c r="E239" s="4" t="s">
        <v>25</v>
      </c>
      <c r="F239" s="4" t="s">
        <v>25</v>
      </c>
      <c r="G239" s="4" t="s">
        <v>25</v>
      </c>
      <c r="H239" s="4" t="s">
        <v>38</v>
      </c>
      <c r="I239" s="5">
        <v>44682</v>
      </c>
      <c r="J239" s="6">
        <v>0</v>
      </c>
      <c r="K239" s="6">
        <v>0</v>
      </c>
      <c r="L239" s="6">
        <v>158.446</v>
      </c>
      <c r="M239" s="6">
        <v>158.446</v>
      </c>
      <c r="N239" s="6">
        <v>158.446</v>
      </c>
      <c r="O239" s="6">
        <v>158.446</v>
      </c>
      <c r="P239" s="6">
        <v>0</v>
      </c>
      <c r="Q239" s="4" t="s">
        <v>26</v>
      </c>
      <c r="R239" s="4">
        <v>0</v>
      </c>
      <c r="S239" s="4" t="s">
        <v>196</v>
      </c>
      <c r="T239" s="4" t="s">
        <v>329</v>
      </c>
      <c r="U239" s="4">
        <v>0</v>
      </c>
      <c r="V239" s="4">
        <v>25</v>
      </c>
      <c r="W239" s="4">
        <v>59</v>
      </c>
    </row>
    <row r="240" spans="1:23" ht="11.25" customHeight="1" x14ac:dyDescent="0.25">
      <c r="A240" s="4" t="s">
        <v>21</v>
      </c>
      <c r="B240" s="4" t="s">
        <v>35</v>
      </c>
      <c r="C240" s="4" t="s">
        <v>39</v>
      </c>
      <c r="D240" s="4" t="s">
        <v>40</v>
      </c>
      <c r="E240" s="4" t="s">
        <v>25</v>
      </c>
      <c r="F240" s="4" t="s">
        <v>25</v>
      </c>
      <c r="G240" s="4" t="s">
        <v>25</v>
      </c>
      <c r="H240" s="4" t="s">
        <v>38</v>
      </c>
      <c r="I240" s="5">
        <v>44713</v>
      </c>
      <c r="J240" s="6">
        <v>0</v>
      </c>
      <c r="K240" s="6">
        <v>0</v>
      </c>
      <c r="L240" s="6">
        <v>2565.98</v>
      </c>
      <c r="M240" s="6">
        <v>2565.98</v>
      </c>
      <c r="N240" s="6">
        <v>2565.98</v>
      </c>
      <c r="O240" s="6">
        <v>2565.98</v>
      </c>
      <c r="P240" s="6">
        <v>0</v>
      </c>
      <c r="Q240" s="4" t="s">
        <v>26</v>
      </c>
      <c r="R240" s="4">
        <v>0</v>
      </c>
      <c r="S240" s="4" t="s">
        <v>197</v>
      </c>
      <c r="T240" s="4" t="s">
        <v>330</v>
      </c>
      <c r="U240" s="4">
        <v>0</v>
      </c>
      <c r="V240" s="4">
        <v>25</v>
      </c>
      <c r="W240" s="4">
        <v>59</v>
      </c>
    </row>
    <row r="241" spans="1:23" ht="11.25" customHeight="1" x14ac:dyDescent="0.25">
      <c r="A241" s="4" t="s">
        <v>27</v>
      </c>
      <c r="B241" s="4" t="s">
        <v>35</v>
      </c>
      <c r="C241" s="4" t="s">
        <v>39</v>
      </c>
      <c r="D241" s="4" t="s">
        <v>40</v>
      </c>
      <c r="E241" s="4" t="s">
        <v>25</v>
      </c>
      <c r="F241" s="4" t="s">
        <v>25</v>
      </c>
      <c r="G241" s="4" t="s">
        <v>25</v>
      </c>
      <c r="H241" s="4" t="s">
        <v>38</v>
      </c>
      <c r="I241" s="5">
        <v>44713</v>
      </c>
      <c r="J241" s="6">
        <v>0</v>
      </c>
      <c r="K241" s="6">
        <v>0</v>
      </c>
      <c r="L241" s="6">
        <v>-119.33</v>
      </c>
      <c r="M241" s="6">
        <v>-119.33</v>
      </c>
      <c r="N241" s="6">
        <v>-119.33</v>
      </c>
      <c r="O241" s="6">
        <v>-119.33</v>
      </c>
      <c r="P241" s="6">
        <v>0</v>
      </c>
      <c r="Q241" s="4" t="s">
        <v>26</v>
      </c>
      <c r="R241" s="4">
        <v>0</v>
      </c>
      <c r="S241" s="4" t="s">
        <v>197</v>
      </c>
      <c r="T241" s="4" t="s">
        <v>330</v>
      </c>
      <c r="U241" s="4">
        <v>0</v>
      </c>
      <c r="V241" s="4">
        <v>25</v>
      </c>
      <c r="W241" s="4">
        <v>59</v>
      </c>
    </row>
    <row r="242" spans="1:23" ht="11.25" customHeight="1" x14ac:dyDescent="0.25">
      <c r="A242" s="4" t="s">
        <v>28</v>
      </c>
      <c r="B242" s="4" t="s">
        <v>35</v>
      </c>
      <c r="C242" s="4" t="s">
        <v>39</v>
      </c>
      <c r="D242" s="4" t="s">
        <v>40</v>
      </c>
      <c r="E242" s="4" t="s">
        <v>25</v>
      </c>
      <c r="F242" s="4" t="s">
        <v>25</v>
      </c>
      <c r="G242" s="4" t="s">
        <v>25</v>
      </c>
      <c r="H242" s="4" t="s">
        <v>38</v>
      </c>
      <c r="I242" s="5">
        <v>44713</v>
      </c>
      <c r="J242" s="6">
        <v>0</v>
      </c>
      <c r="K242" s="6">
        <v>0</v>
      </c>
      <c r="L242" s="6">
        <v>249.39500000000001</v>
      </c>
      <c r="M242" s="6">
        <v>249.39500000000001</v>
      </c>
      <c r="N242" s="6">
        <v>249.39500000000001</v>
      </c>
      <c r="O242" s="6">
        <v>249.39500000000001</v>
      </c>
      <c r="P242" s="6">
        <v>0</v>
      </c>
      <c r="Q242" s="4" t="s">
        <v>26</v>
      </c>
      <c r="R242" s="4">
        <v>0</v>
      </c>
      <c r="S242" s="4" t="s">
        <v>197</v>
      </c>
      <c r="T242" s="4" t="s">
        <v>330</v>
      </c>
      <c r="U242" s="4">
        <v>0</v>
      </c>
      <c r="V242" s="4">
        <v>25</v>
      </c>
      <c r="W242" s="4">
        <v>59</v>
      </c>
    </row>
    <row r="243" spans="1:23" ht="11.25" customHeight="1" x14ac:dyDescent="0.25">
      <c r="A243" s="4" t="s">
        <v>21</v>
      </c>
      <c r="B243" s="4" t="s">
        <v>35</v>
      </c>
      <c r="C243" s="4" t="s">
        <v>39</v>
      </c>
      <c r="D243" s="4" t="s">
        <v>40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44378</v>
      </c>
      <c r="J243" s="6">
        <v>21320</v>
      </c>
      <c r="K243" s="6">
        <v>21320</v>
      </c>
      <c r="L243" s="6">
        <v>0</v>
      </c>
      <c r="M243" s="6">
        <v>0</v>
      </c>
      <c r="N243" s="6">
        <v>0</v>
      </c>
      <c r="O243" s="6">
        <v>0</v>
      </c>
      <c r="P243" s="6">
        <v>127</v>
      </c>
      <c r="Q243" s="4" t="s">
        <v>26</v>
      </c>
      <c r="R243" s="4">
        <v>0</v>
      </c>
      <c r="S243" s="4" t="s">
        <v>198</v>
      </c>
      <c r="U243" s="4">
        <v>18</v>
      </c>
      <c r="V243" s="4">
        <v>0</v>
      </c>
      <c r="W243" s="4">
        <v>0</v>
      </c>
    </row>
    <row r="244" spans="1:23" ht="11.25" customHeight="1" x14ac:dyDescent="0.25">
      <c r="A244" s="4" t="s">
        <v>27</v>
      </c>
      <c r="B244" s="4" t="s">
        <v>35</v>
      </c>
      <c r="C244" s="4" t="s">
        <v>39</v>
      </c>
      <c r="D244" s="4" t="s">
        <v>40</v>
      </c>
      <c r="E244" s="4" t="s">
        <v>25</v>
      </c>
      <c r="F244" s="4" t="s">
        <v>25</v>
      </c>
      <c r="G244" s="4" t="s">
        <v>25</v>
      </c>
      <c r="H244" s="4" t="s">
        <v>25</v>
      </c>
      <c r="I244" s="5">
        <v>44378</v>
      </c>
      <c r="J244" s="6">
        <v>-4268</v>
      </c>
      <c r="K244" s="6">
        <v>-4268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4" t="s">
        <v>26</v>
      </c>
      <c r="R244" s="4">
        <v>0</v>
      </c>
      <c r="S244" s="4" t="s">
        <v>198</v>
      </c>
      <c r="U244" s="4">
        <v>18</v>
      </c>
      <c r="V244" s="4">
        <v>0</v>
      </c>
      <c r="W244" s="4">
        <v>0</v>
      </c>
    </row>
    <row r="245" spans="1:23" ht="11.25" customHeight="1" x14ac:dyDescent="0.25">
      <c r="A245" s="4" t="s">
        <v>28</v>
      </c>
      <c r="B245" s="4" t="s">
        <v>35</v>
      </c>
      <c r="C245" s="4" t="s">
        <v>39</v>
      </c>
      <c r="D245" s="4" t="s">
        <v>40</v>
      </c>
      <c r="E245" s="4" t="s">
        <v>25</v>
      </c>
      <c r="F245" s="4" t="s">
        <v>25</v>
      </c>
      <c r="G245" s="4" t="s">
        <v>25</v>
      </c>
      <c r="H245" s="4" t="s">
        <v>25</v>
      </c>
      <c r="I245" s="5">
        <v>44378</v>
      </c>
      <c r="J245" s="6">
        <v>1253</v>
      </c>
      <c r="K245" s="6">
        <v>1253</v>
      </c>
      <c r="L245" s="6">
        <v>0</v>
      </c>
      <c r="M245" s="6">
        <v>0</v>
      </c>
      <c r="N245" s="6">
        <v>0</v>
      </c>
      <c r="O245" s="6">
        <v>0</v>
      </c>
      <c r="P245" s="6">
        <v>11</v>
      </c>
      <c r="Q245" s="4" t="s">
        <v>26</v>
      </c>
      <c r="R245" s="4">
        <v>0</v>
      </c>
      <c r="S245" s="4" t="s">
        <v>198</v>
      </c>
      <c r="U245" s="4">
        <v>18</v>
      </c>
      <c r="V245" s="4">
        <v>0</v>
      </c>
      <c r="W245" s="4">
        <v>0</v>
      </c>
    </row>
    <row r="246" spans="1:23" ht="11.25" customHeight="1" x14ac:dyDescent="0.25">
      <c r="A246" s="4" t="s">
        <v>28</v>
      </c>
      <c r="B246" s="4" t="s">
        <v>35</v>
      </c>
      <c r="C246" s="4" t="s">
        <v>39</v>
      </c>
      <c r="D246" s="4" t="s">
        <v>40</v>
      </c>
      <c r="E246" s="4" t="s">
        <v>25</v>
      </c>
      <c r="F246" s="4" t="s">
        <v>25</v>
      </c>
      <c r="G246" s="4" t="s">
        <v>25</v>
      </c>
      <c r="H246" s="4" t="s">
        <v>25</v>
      </c>
      <c r="I246" s="5">
        <v>44378</v>
      </c>
      <c r="J246" s="6">
        <v>-82</v>
      </c>
      <c r="K246" s="6">
        <v>-82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4" t="s">
        <v>26</v>
      </c>
      <c r="R246" s="4">
        <v>0</v>
      </c>
      <c r="S246" s="4" t="s">
        <v>198</v>
      </c>
      <c r="U246" s="4">
        <v>18</v>
      </c>
      <c r="V246" s="4">
        <v>0</v>
      </c>
      <c r="W246" s="4">
        <v>0</v>
      </c>
    </row>
    <row r="247" spans="1:23" ht="11.25" customHeight="1" x14ac:dyDescent="0.25">
      <c r="A247" s="4" t="s">
        <v>21</v>
      </c>
      <c r="B247" s="4" t="s">
        <v>35</v>
      </c>
      <c r="C247" s="4" t="s">
        <v>39</v>
      </c>
      <c r="D247" s="4" t="s">
        <v>40</v>
      </c>
      <c r="E247" s="4" t="s">
        <v>25</v>
      </c>
      <c r="F247" s="4" t="s">
        <v>25</v>
      </c>
      <c r="G247" s="4" t="s">
        <v>25</v>
      </c>
      <c r="H247" s="4" t="s">
        <v>25</v>
      </c>
      <c r="I247" s="5">
        <v>44409</v>
      </c>
      <c r="J247" s="6">
        <v>16377</v>
      </c>
      <c r="K247" s="6">
        <v>16377</v>
      </c>
      <c r="L247" s="6">
        <v>0</v>
      </c>
      <c r="M247" s="6">
        <v>0</v>
      </c>
      <c r="N247" s="6">
        <v>0</v>
      </c>
      <c r="O247" s="6">
        <v>0</v>
      </c>
      <c r="P247" s="6">
        <v>126</v>
      </c>
      <c r="Q247" s="4" t="s">
        <v>26</v>
      </c>
      <c r="R247" s="4">
        <v>0</v>
      </c>
      <c r="S247" s="4" t="s">
        <v>199</v>
      </c>
      <c r="U247" s="4">
        <v>18</v>
      </c>
      <c r="V247" s="4">
        <v>0</v>
      </c>
      <c r="W247" s="4">
        <v>0</v>
      </c>
    </row>
    <row r="248" spans="1:23" ht="11.25" customHeight="1" x14ac:dyDescent="0.25">
      <c r="A248" s="4" t="s">
        <v>27</v>
      </c>
      <c r="B248" s="4" t="s">
        <v>35</v>
      </c>
      <c r="C248" s="4" t="s">
        <v>39</v>
      </c>
      <c r="D248" s="4" t="s">
        <v>40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44409</v>
      </c>
      <c r="J248" s="6">
        <v>-110</v>
      </c>
      <c r="K248" s="6">
        <v>-110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4" t="s">
        <v>26</v>
      </c>
      <c r="R248" s="4">
        <v>0</v>
      </c>
      <c r="S248" s="4" t="s">
        <v>199</v>
      </c>
      <c r="U248" s="4">
        <v>18</v>
      </c>
      <c r="V248" s="4">
        <v>0</v>
      </c>
      <c r="W248" s="4">
        <v>0</v>
      </c>
    </row>
    <row r="249" spans="1:23" ht="11.25" customHeight="1" x14ac:dyDescent="0.25">
      <c r="A249" s="4" t="s">
        <v>28</v>
      </c>
      <c r="B249" s="4" t="s">
        <v>35</v>
      </c>
      <c r="C249" s="4" t="s">
        <v>39</v>
      </c>
      <c r="D249" s="4" t="s">
        <v>40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44409</v>
      </c>
      <c r="J249" s="6">
        <v>1057</v>
      </c>
      <c r="K249" s="6">
        <v>1057</v>
      </c>
      <c r="L249" s="6">
        <v>0</v>
      </c>
      <c r="M249" s="6">
        <v>0</v>
      </c>
      <c r="N249" s="6">
        <v>0</v>
      </c>
      <c r="O249" s="6">
        <v>0</v>
      </c>
      <c r="P249" s="6">
        <v>10</v>
      </c>
      <c r="Q249" s="4" t="s">
        <v>26</v>
      </c>
      <c r="R249" s="4">
        <v>0</v>
      </c>
      <c r="S249" s="4" t="s">
        <v>199</v>
      </c>
      <c r="U249" s="4">
        <v>18</v>
      </c>
      <c r="V249" s="4">
        <v>0</v>
      </c>
      <c r="W249" s="4">
        <v>0</v>
      </c>
    </row>
    <row r="250" spans="1:23" ht="11.25" customHeight="1" x14ac:dyDescent="0.25">
      <c r="A250" s="4" t="s">
        <v>21</v>
      </c>
      <c r="B250" s="4" t="s">
        <v>35</v>
      </c>
      <c r="C250" s="4" t="s">
        <v>39</v>
      </c>
      <c r="D250" s="4" t="s">
        <v>40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44440</v>
      </c>
      <c r="J250" s="6">
        <v>14816</v>
      </c>
      <c r="K250" s="6">
        <v>14816</v>
      </c>
      <c r="L250" s="6">
        <v>0</v>
      </c>
      <c r="M250" s="6">
        <v>0</v>
      </c>
      <c r="N250" s="6">
        <v>0</v>
      </c>
      <c r="O250" s="6">
        <v>0</v>
      </c>
      <c r="P250" s="6">
        <v>129</v>
      </c>
      <c r="Q250" s="4" t="s">
        <v>26</v>
      </c>
      <c r="R250" s="4">
        <v>0</v>
      </c>
      <c r="S250" s="4" t="s">
        <v>200</v>
      </c>
      <c r="U250" s="4">
        <v>18</v>
      </c>
      <c r="V250" s="4">
        <v>0</v>
      </c>
      <c r="W250" s="4">
        <v>0</v>
      </c>
    </row>
    <row r="251" spans="1:23" ht="11.25" customHeight="1" x14ac:dyDescent="0.25">
      <c r="A251" s="4" t="s">
        <v>27</v>
      </c>
      <c r="B251" s="4" t="s">
        <v>35</v>
      </c>
      <c r="C251" s="4" t="s">
        <v>39</v>
      </c>
      <c r="D251" s="4" t="s">
        <v>40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44440</v>
      </c>
      <c r="J251" s="6">
        <v>-721</v>
      </c>
      <c r="K251" s="6">
        <v>-721</v>
      </c>
      <c r="L251" s="6">
        <v>0</v>
      </c>
      <c r="M251" s="6">
        <v>0</v>
      </c>
      <c r="N251" s="6">
        <v>0</v>
      </c>
      <c r="O251" s="6">
        <v>0</v>
      </c>
      <c r="P251" s="6">
        <v>-1</v>
      </c>
      <c r="Q251" s="4" t="s">
        <v>26</v>
      </c>
      <c r="R251" s="4">
        <v>0</v>
      </c>
      <c r="S251" s="4" t="s">
        <v>200</v>
      </c>
      <c r="U251" s="4">
        <v>18</v>
      </c>
      <c r="V251" s="4">
        <v>0</v>
      </c>
      <c r="W251" s="4">
        <v>0</v>
      </c>
    </row>
    <row r="252" spans="1:23" ht="11.25" customHeight="1" x14ac:dyDescent="0.25">
      <c r="A252" s="4" t="s">
        <v>28</v>
      </c>
      <c r="B252" s="4" t="s">
        <v>35</v>
      </c>
      <c r="C252" s="4" t="s">
        <v>39</v>
      </c>
      <c r="D252" s="4" t="s">
        <v>40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44440</v>
      </c>
      <c r="J252" s="6">
        <v>1057</v>
      </c>
      <c r="K252" s="6">
        <v>1057</v>
      </c>
      <c r="L252" s="6">
        <v>0</v>
      </c>
      <c r="M252" s="6">
        <v>0</v>
      </c>
      <c r="N252" s="6">
        <v>0</v>
      </c>
      <c r="O252" s="6">
        <v>0</v>
      </c>
      <c r="P252" s="6">
        <v>10</v>
      </c>
      <c r="Q252" s="4" t="s">
        <v>26</v>
      </c>
      <c r="R252" s="4">
        <v>0</v>
      </c>
      <c r="S252" s="4" t="s">
        <v>200</v>
      </c>
      <c r="U252" s="4">
        <v>18</v>
      </c>
      <c r="V252" s="4">
        <v>0</v>
      </c>
      <c r="W252" s="4">
        <v>0</v>
      </c>
    </row>
    <row r="253" spans="1:23" ht="11.25" customHeight="1" x14ac:dyDescent="0.25">
      <c r="A253" s="4" t="s">
        <v>21</v>
      </c>
      <c r="B253" s="4" t="s">
        <v>35</v>
      </c>
      <c r="C253" s="4" t="s">
        <v>39</v>
      </c>
      <c r="D253" s="4" t="s">
        <v>40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44470</v>
      </c>
      <c r="J253" s="6">
        <v>15041</v>
      </c>
      <c r="K253" s="6">
        <v>15041</v>
      </c>
      <c r="L253" s="6">
        <v>0</v>
      </c>
      <c r="M253" s="6">
        <v>0</v>
      </c>
      <c r="N253" s="6">
        <v>0</v>
      </c>
      <c r="O253" s="6">
        <v>0</v>
      </c>
      <c r="P253" s="6">
        <v>130</v>
      </c>
      <c r="Q253" s="4" t="s">
        <v>26</v>
      </c>
      <c r="R253" s="4">
        <v>0</v>
      </c>
      <c r="S253" s="4" t="s">
        <v>201</v>
      </c>
      <c r="U253" s="4">
        <v>18</v>
      </c>
      <c r="V253" s="4">
        <v>0</v>
      </c>
      <c r="W253" s="4">
        <v>0</v>
      </c>
    </row>
    <row r="254" spans="1:23" ht="11.25" customHeight="1" x14ac:dyDescent="0.25">
      <c r="A254" s="4" t="s">
        <v>27</v>
      </c>
      <c r="B254" s="4" t="s">
        <v>35</v>
      </c>
      <c r="C254" s="4" t="s">
        <v>39</v>
      </c>
      <c r="D254" s="4" t="s">
        <v>40</v>
      </c>
      <c r="E254" s="4" t="s">
        <v>25</v>
      </c>
      <c r="F254" s="4" t="s">
        <v>25</v>
      </c>
      <c r="G254" s="4" t="s">
        <v>25</v>
      </c>
      <c r="H254" s="4" t="s">
        <v>25</v>
      </c>
      <c r="I254" s="5">
        <v>44470</v>
      </c>
      <c r="J254" s="6">
        <v>-140</v>
      </c>
      <c r="K254" s="6">
        <v>-140</v>
      </c>
      <c r="L254" s="6">
        <v>0</v>
      </c>
      <c r="M254" s="6">
        <v>0</v>
      </c>
      <c r="N254" s="6">
        <v>0</v>
      </c>
      <c r="O254" s="6">
        <v>0</v>
      </c>
      <c r="P254" s="6">
        <v>-1</v>
      </c>
      <c r="Q254" s="4" t="s">
        <v>26</v>
      </c>
      <c r="R254" s="4">
        <v>0</v>
      </c>
      <c r="S254" s="4" t="s">
        <v>201</v>
      </c>
      <c r="U254" s="4">
        <v>18</v>
      </c>
      <c r="V254" s="4">
        <v>0</v>
      </c>
      <c r="W254" s="4">
        <v>0</v>
      </c>
    </row>
    <row r="255" spans="1:23" ht="11.25" customHeight="1" x14ac:dyDescent="0.25">
      <c r="A255" s="4" t="s">
        <v>28</v>
      </c>
      <c r="B255" s="4" t="s">
        <v>35</v>
      </c>
      <c r="C255" s="4" t="s">
        <v>39</v>
      </c>
      <c r="D255" s="4" t="s">
        <v>40</v>
      </c>
      <c r="E255" s="4" t="s">
        <v>25</v>
      </c>
      <c r="F255" s="4" t="s">
        <v>25</v>
      </c>
      <c r="G255" s="4" t="s">
        <v>25</v>
      </c>
      <c r="H255" s="4" t="s">
        <v>25</v>
      </c>
      <c r="I255" s="5">
        <v>44470</v>
      </c>
      <c r="J255" s="6">
        <v>1057</v>
      </c>
      <c r="K255" s="6">
        <v>1057</v>
      </c>
      <c r="L255" s="6">
        <v>0</v>
      </c>
      <c r="M255" s="6">
        <v>0</v>
      </c>
      <c r="N255" s="6">
        <v>0</v>
      </c>
      <c r="O255" s="6">
        <v>0</v>
      </c>
      <c r="P255" s="6">
        <v>10</v>
      </c>
      <c r="Q255" s="4" t="s">
        <v>26</v>
      </c>
      <c r="R255" s="4">
        <v>0</v>
      </c>
      <c r="S255" s="4" t="s">
        <v>201</v>
      </c>
      <c r="U255" s="4">
        <v>18</v>
      </c>
      <c r="V255" s="4">
        <v>0</v>
      </c>
      <c r="W255" s="4">
        <v>0</v>
      </c>
    </row>
    <row r="256" spans="1:23" ht="11.25" customHeight="1" x14ac:dyDescent="0.25">
      <c r="A256" s="4" t="s">
        <v>21</v>
      </c>
      <c r="B256" s="4" t="s">
        <v>35</v>
      </c>
      <c r="C256" s="4" t="s">
        <v>39</v>
      </c>
      <c r="D256" s="4" t="s">
        <v>40</v>
      </c>
      <c r="E256" s="4" t="s">
        <v>25</v>
      </c>
      <c r="F256" s="4" t="s">
        <v>25</v>
      </c>
      <c r="G256" s="4" t="s">
        <v>25</v>
      </c>
      <c r="H256" s="4" t="s">
        <v>25</v>
      </c>
      <c r="I256" s="5">
        <v>44501</v>
      </c>
      <c r="J256" s="6">
        <v>16332</v>
      </c>
      <c r="K256" s="6">
        <v>16332</v>
      </c>
      <c r="L256" s="6">
        <v>0</v>
      </c>
      <c r="M256" s="6">
        <v>0</v>
      </c>
      <c r="N256" s="6">
        <v>0</v>
      </c>
      <c r="O256" s="6">
        <v>0</v>
      </c>
      <c r="P256" s="6">
        <v>128</v>
      </c>
      <c r="Q256" s="4" t="s">
        <v>26</v>
      </c>
      <c r="R256" s="4">
        <v>0</v>
      </c>
      <c r="S256" s="4" t="s">
        <v>202</v>
      </c>
      <c r="U256" s="4">
        <v>18</v>
      </c>
      <c r="V256" s="4">
        <v>0</v>
      </c>
      <c r="W256" s="4">
        <v>0</v>
      </c>
    </row>
    <row r="257" spans="1:23" ht="11.25" customHeight="1" x14ac:dyDescent="0.25">
      <c r="A257" s="4" t="s">
        <v>27</v>
      </c>
      <c r="B257" s="4" t="s">
        <v>35</v>
      </c>
      <c r="C257" s="4" t="s">
        <v>39</v>
      </c>
      <c r="D257" s="4" t="s">
        <v>40</v>
      </c>
      <c r="E257" s="4" t="s">
        <v>25</v>
      </c>
      <c r="F257" s="4" t="s">
        <v>25</v>
      </c>
      <c r="G257" s="4" t="s">
        <v>25</v>
      </c>
      <c r="H257" s="4" t="s">
        <v>25</v>
      </c>
      <c r="I257" s="5">
        <v>44501</v>
      </c>
      <c r="J257" s="6">
        <v>-835</v>
      </c>
      <c r="K257" s="6">
        <v>-835</v>
      </c>
      <c r="L257" s="6">
        <v>0</v>
      </c>
      <c r="M257" s="6">
        <v>0</v>
      </c>
      <c r="N257" s="6">
        <v>0</v>
      </c>
      <c r="O257" s="6">
        <v>0</v>
      </c>
      <c r="P257" s="6">
        <v>-1</v>
      </c>
      <c r="Q257" s="4" t="s">
        <v>26</v>
      </c>
      <c r="R257" s="4">
        <v>0</v>
      </c>
      <c r="S257" s="4" t="s">
        <v>202</v>
      </c>
      <c r="U257" s="4">
        <v>18</v>
      </c>
      <c r="V257" s="4">
        <v>0</v>
      </c>
      <c r="W257" s="4">
        <v>0</v>
      </c>
    </row>
    <row r="258" spans="1:23" ht="11.25" customHeight="1" x14ac:dyDescent="0.25">
      <c r="A258" s="4" t="s">
        <v>28</v>
      </c>
      <c r="B258" s="4" t="s">
        <v>35</v>
      </c>
      <c r="C258" s="4" t="s">
        <v>39</v>
      </c>
      <c r="D258" s="4" t="s">
        <v>40</v>
      </c>
      <c r="E258" s="4" t="s">
        <v>25</v>
      </c>
      <c r="F258" s="4" t="s">
        <v>25</v>
      </c>
      <c r="G258" s="4" t="s">
        <v>25</v>
      </c>
      <c r="H258" s="4" t="s">
        <v>25</v>
      </c>
      <c r="I258" s="5">
        <v>44501</v>
      </c>
      <c r="J258" s="6">
        <v>1061</v>
      </c>
      <c r="K258" s="6">
        <v>1061</v>
      </c>
      <c r="L258" s="6">
        <v>0</v>
      </c>
      <c r="M258" s="6">
        <v>0</v>
      </c>
      <c r="N258" s="6">
        <v>0</v>
      </c>
      <c r="O258" s="6">
        <v>0</v>
      </c>
      <c r="P258" s="6">
        <v>10</v>
      </c>
      <c r="Q258" s="4" t="s">
        <v>26</v>
      </c>
      <c r="R258" s="4">
        <v>0</v>
      </c>
      <c r="S258" s="4" t="s">
        <v>202</v>
      </c>
      <c r="U258" s="4">
        <v>18</v>
      </c>
      <c r="V258" s="4">
        <v>0</v>
      </c>
      <c r="W258" s="4">
        <v>0</v>
      </c>
    </row>
    <row r="259" spans="1:23" ht="11.25" customHeight="1" x14ac:dyDescent="0.25">
      <c r="A259" s="4" t="s">
        <v>21</v>
      </c>
      <c r="B259" s="4" t="s">
        <v>35</v>
      </c>
      <c r="C259" s="4" t="s">
        <v>39</v>
      </c>
      <c r="D259" s="4" t="s">
        <v>40</v>
      </c>
      <c r="E259" s="4" t="s">
        <v>25</v>
      </c>
      <c r="F259" s="4" t="s">
        <v>25</v>
      </c>
      <c r="G259" s="4" t="s">
        <v>25</v>
      </c>
      <c r="H259" s="4" t="s">
        <v>25</v>
      </c>
      <c r="I259" s="5">
        <v>44531</v>
      </c>
      <c r="J259" s="6">
        <v>18206</v>
      </c>
      <c r="K259" s="6">
        <v>18206</v>
      </c>
      <c r="L259" s="6">
        <v>0</v>
      </c>
      <c r="M259" s="6">
        <v>0</v>
      </c>
      <c r="N259" s="6">
        <v>0</v>
      </c>
      <c r="O259" s="6">
        <v>0</v>
      </c>
      <c r="P259" s="6">
        <v>128</v>
      </c>
      <c r="Q259" s="4" t="s">
        <v>26</v>
      </c>
      <c r="R259" s="4">
        <v>0</v>
      </c>
      <c r="S259" s="4" t="s">
        <v>203</v>
      </c>
      <c r="U259" s="4">
        <v>18</v>
      </c>
      <c r="V259" s="4">
        <v>0</v>
      </c>
      <c r="W259" s="4">
        <v>0</v>
      </c>
    </row>
    <row r="260" spans="1:23" ht="11.25" customHeight="1" x14ac:dyDescent="0.25">
      <c r="A260" s="4" t="s">
        <v>21</v>
      </c>
      <c r="B260" s="4" t="s">
        <v>35</v>
      </c>
      <c r="C260" s="4" t="s">
        <v>39</v>
      </c>
      <c r="D260" s="4" t="s">
        <v>40</v>
      </c>
      <c r="E260" s="4" t="s">
        <v>25</v>
      </c>
      <c r="F260" s="4" t="s">
        <v>25</v>
      </c>
      <c r="G260" s="4" t="s">
        <v>25</v>
      </c>
      <c r="H260" s="4" t="s">
        <v>25</v>
      </c>
      <c r="I260" s="5">
        <v>44562</v>
      </c>
      <c r="J260" s="6">
        <v>16379</v>
      </c>
      <c r="K260" s="6">
        <v>16379</v>
      </c>
      <c r="L260" s="6">
        <v>0</v>
      </c>
      <c r="M260" s="6">
        <v>0</v>
      </c>
      <c r="N260" s="6">
        <v>0</v>
      </c>
      <c r="O260" s="6">
        <v>0</v>
      </c>
      <c r="P260" s="6">
        <v>129</v>
      </c>
      <c r="Q260" s="4" t="s">
        <v>26</v>
      </c>
      <c r="R260" s="4">
        <v>0</v>
      </c>
      <c r="S260" s="4" t="s">
        <v>204</v>
      </c>
      <c r="U260" s="4">
        <v>18</v>
      </c>
      <c r="V260" s="4">
        <v>0</v>
      </c>
      <c r="W260" s="4">
        <v>0</v>
      </c>
    </row>
    <row r="261" spans="1:23" ht="11.25" customHeight="1" x14ac:dyDescent="0.25">
      <c r="A261" s="4" t="s">
        <v>28</v>
      </c>
      <c r="B261" s="4" t="s">
        <v>35</v>
      </c>
      <c r="C261" s="4" t="s">
        <v>39</v>
      </c>
      <c r="D261" s="4" t="s">
        <v>40</v>
      </c>
      <c r="E261" s="4" t="s">
        <v>25</v>
      </c>
      <c r="F261" s="4" t="s">
        <v>25</v>
      </c>
      <c r="G261" s="4" t="s">
        <v>25</v>
      </c>
      <c r="H261" s="4" t="s">
        <v>25</v>
      </c>
      <c r="I261" s="5">
        <v>44562</v>
      </c>
      <c r="J261" s="6">
        <v>1132</v>
      </c>
      <c r="K261" s="6">
        <v>1132</v>
      </c>
      <c r="L261" s="6">
        <v>0</v>
      </c>
      <c r="M261" s="6">
        <v>0</v>
      </c>
      <c r="N261" s="6">
        <v>0</v>
      </c>
      <c r="O261" s="6">
        <v>0</v>
      </c>
      <c r="P261" s="6">
        <v>9</v>
      </c>
      <c r="Q261" s="4" t="s">
        <v>26</v>
      </c>
      <c r="R261" s="4">
        <v>0</v>
      </c>
      <c r="S261" s="4" t="s">
        <v>204</v>
      </c>
      <c r="U261" s="4">
        <v>18</v>
      </c>
      <c r="V261" s="4">
        <v>0</v>
      </c>
      <c r="W261" s="4">
        <v>0</v>
      </c>
    </row>
    <row r="262" spans="1:23" ht="11.25" customHeight="1" x14ac:dyDescent="0.25">
      <c r="A262" s="4" t="s">
        <v>21</v>
      </c>
      <c r="B262" s="4" t="s">
        <v>35</v>
      </c>
      <c r="C262" s="4" t="s">
        <v>39</v>
      </c>
      <c r="D262" s="4" t="s">
        <v>40</v>
      </c>
      <c r="E262" s="4" t="s">
        <v>25</v>
      </c>
      <c r="F262" s="4" t="s">
        <v>25</v>
      </c>
      <c r="G262" s="4" t="s">
        <v>25</v>
      </c>
      <c r="H262" s="4" t="s">
        <v>25</v>
      </c>
      <c r="I262" s="5">
        <v>44593</v>
      </c>
      <c r="J262" s="6">
        <v>16929</v>
      </c>
      <c r="K262" s="6">
        <v>16929</v>
      </c>
      <c r="L262" s="6">
        <v>0</v>
      </c>
      <c r="M262" s="6">
        <v>0</v>
      </c>
      <c r="N262" s="6">
        <v>0</v>
      </c>
      <c r="O262" s="6">
        <v>0</v>
      </c>
      <c r="P262" s="6">
        <v>129</v>
      </c>
      <c r="Q262" s="4" t="s">
        <v>26</v>
      </c>
      <c r="R262" s="4">
        <v>0</v>
      </c>
      <c r="S262" s="4" t="s">
        <v>205</v>
      </c>
      <c r="U262" s="4">
        <v>18</v>
      </c>
      <c r="V262" s="4">
        <v>0</v>
      </c>
      <c r="W262" s="4">
        <v>0</v>
      </c>
    </row>
    <row r="263" spans="1:23" ht="11.25" customHeight="1" x14ac:dyDescent="0.25">
      <c r="A263" s="4" t="s">
        <v>27</v>
      </c>
      <c r="B263" s="4" t="s">
        <v>35</v>
      </c>
      <c r="C263" s="4" t="s">
        <v>39</v>
      </c>
      <c r="D263" s="4" t="s">
        <v>40</v>
      </c>
      <c r="E263" s="4" t="s">
        <v>25</v>
      </c>
      <c r="F263" s="4" t="s">
        <v>25</v>
      </c>
      <c r="G263" s="4" t="s">
        <v>25</v>
      </c>
      <c r="H263" s="4" t="s">
        <v>25</v>
      </c>
      <c r="I263" s="5">
        <v>44593</v>
      </c>
      <c r="J263" s="6">
        <v>-90</v>
      </c>
      <c r="K263" s="6">
        <v>-90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4" t="s">
        <v>26</v>
      </c>
      <c r="R263" s="4">
        <v>0</v>
      </c>
      <c r="S263" s="4" t="s">
        <v>205</v>
      </c>
      <c r="U263" s="4">
        <v>18</v>
      </c>
      <c r="V263" s="4">
        <v>0</v>
      </c>
      <c r="W263" s="4">
        <v>0</v>
      </c>
    </row>
    <row r="264" spans="1:23" ht="11.25" customHeight="1" x14ac:dyDescent="0.25">
      <c r="A264" s="4" t="s">
        <v>28</v>
      </c>
      <c r="B264" s="4" t="s">
        <v>35</v>
      </c>
      <c r="C264" s="4" t="s">
        <v>39</v>
      </c>
      <c r="D264" s="4" t="s">
        <v>40</v>
      </c>
      <c r="E264" s="4" t="s">
        <v>25</v>
      </c>
      <c r="F264" s="4" t="s">
        <v>25</v>
      </c>
      <c r="G264" s="4" t="s">
        <v>25</v>
      </c>
      <c r="H264" s="4" t="s">
        <v>25</v>
      </c>
      <c r="I264" s="5">
        <v>44593</v>
      </c>
      <c r="J264" s="6">
        <v>1479</v>
      </c>
      <c r="K264" s="6">
        <v>1479</v>
      </c>
      <c r="L264" s="6">
        <v>0</v>
      </c>
      <c r="M264" s="6">
        <v>0</v>
      </c>
      <c r="N264" s="6">
        <v>0</v>
      </c>
      <c r="O264" s="6">
        <v>0</v>
      </c>
      <c r="P264" s="6">
        <v>10</v>
      </c>
      <c r="Q264" s="4" t="s">
        <v>26</v>
      </c>
      <c r="R264" s="4">
        <v>0</v>
      </c>
      <c r="S264" s="4" t="s">
        <v>205</v>
      </c>
      <c r="U264" s="4">
        <v>18</v>
      </c>
      <c r="V264" s="4">
        <v>0</v>
      </c>
      <c r="W264" s="4">
        <v>0</v>
      </c>
    </row>
    <row r="265" spans="1:23" ht="11.25" customHeight="1" x14ac:dyDescent="0.25">
      <c r="A265" s="4" t="s">
        <v>21</v>
      </c>
      <c r="B265" s="4" t="s">
        <v>35</v>
      </c>
      <c r="C265" s="4" t="s">
        <v>39</v>
      </c>
      <c r="D265" s="4" t="s">
        <v>40</v>
      </c>
      <c r="E265" s="4" t="s">
        <v>25</v>
      </c>
      <c r="F265" s="4" t="s">
        <v>25</v>
      </c>
      <c r="G265" s="4" t="s">
        <v>25</v>
      </c>
      <c r="H265" s="4" t="s">
        <v>25</v>
      </c>
      <c r="I265" s="5">
        <v>44621</v>
      </c>
      <c r="J265" s="6">
        <v>17864</v>
      </c>
      <c r="K265" s="6">
        <v>17864</v>
      </c>
      <c r="L265" s="6">
        <v>0</v>
      </c>
      <c r="M265" s="6">
        <v>0</v>
      </c>
      <c r="N265" s="6">
        <v>0</v>
      </c>
      <c r="O265" s="6">
        <v>0</v>
      </c>
      <c r="P265" s="6">
        <v>129</v>
      </c>
      <c r="Q265" s="4" t="s">
        <v>26</v>
      </c>
      <c r="R265" s="4">
        <v>0</v>
      </c>
      <c r="S265" s="4" t="s">
        <v>206</v>
      </c>
      <c r="U265" s="4">
        <v>18</v>
      </c>
      <c r="V265" s="4">
        <v>0</v>
      </c>
      <c r="W265" s="4">
        <v>0</v>
      </c>
    </row>
    <row r="266" spans="1:23" ht="11.25" customHeight="1" x14ac:dyDescent="0.25">
      <c r="A266" s="4" t="s">
        <v>28</v>
      </c>
      <c r="B266" s="4" t="s">
        <v>35</v>
      </c>
      <c r="C266" s="4" t="s">
        <v>39</v>
      </c>
      <c r="D266" s="4" t="s">
        <v>40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44621</v>
      </c>
      <c r="J266" s="6">
        <v>1721</v>
      </c>
      <c r="K266" s="6">
        <v>1721</v>
      </c>
      <c r="L266" s="6">
        <v>0</v>
      </c>
      <c r="M266" s="6">
        <v>0</v>
      </c>
      <c r="N266" s="6">
        <v>0</v>
      </c>
      <c r="O266" s="6">
        <v>0</v>
      </c>
      <c r="P266" s="6">
        <v>10</v>
      </c>
      <c r="Q266" s="4" t="s">
        <v>26</v>
      </c>
      <c r="R266" s="4">
        <v>0</v>
      </c>
      <c r="S266" s="4" t="s">
        <v>206</v>
      </c>
      <c r="U266" s="4">
        <v>18</v>
      </c>
      <c r="V266" s="4">
        <v>0</v>
      </c>
      <c r="W266" s="4">
        <v>0</v>
      </c>
    </row>
    <row r="267" spans="1:23" ht="11.25" customHeight="1" x14ac:dyDescent="0.25">
      <c r="A267" s="4" t="s">
        <v>21</v>
      </c>
      <c r="B267" s="4" t="s">
        <v>35</v>
      </c>
      <c r="C267" s="4" t="s">
        <v>39</v>
      </c>
      <c r="D267" s="4" t="s">
        <v>40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44652</v>
      </c>
      <c r="J267" s="6">
        <v>20745</v>
      </c>
      <c r="K267" s="6">
        <v>20745</v>
      </c>
      <c r="L267" s="6">
        <v>0</v>
      </c>
      <c r="M267" s="6">
        <v>0</v>
      </c>
      <c r="N267" s="6">
        <v>0</v>
      </c>
      <c r="O267" s="6">
        <v>0</v>
      </c>
      <c r="P267" s="6">
        <v>137</v>
      </c>
      <c r="Q267" s="4" t="s">
        <v>26</v>
      </c>
      <c r="R267" s="4">
        <v>0</v>
      </c>
      <c r="S267" s="4" t="s">
        <v>207</v>
      </c>
      <c r="U267" s="4">
        <v>18</v>
      </c>
      <c r="V267" s="4">
        <v>0</v>
      </c>
      <c r="W267" s="4">
        <v>0</v>
      </c>
    </row>
    <row r="268" spans="1:23" ht="11.25" customHeight="1" x14ac:dyDescent="0.25">
      <c r="A268" s="4" t="s">
        <v>27</v>
      </c>
      <c r="B268" s="4" t="s">
        <v>35</v>
      </c>
      <c r="C268" s="4" t="s">
        <v>39</v>
      </c>
      <c r="D268" s="4" t="s">
        <v>40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44652</v>
      </c>
      <c r="J268" s="6">
        <v>-1995</v>
      </c>
      <c r="K268" s="6">
        <v>-1995</v>
      </c>
      <c r="L268" s="6">
        <v>0</v>
      </c>
      <c r="M268" s="6">
        <v>0</v>
      </c>
      <c r="N268" s="6">
        <v>0</v>
      </c>
      <c r="O268" s="6">
        <v>0</v>
      </c>
      <c r="P268" s="6">
        <v>-10</v>
      </c>
      <c r="Q268" s="4" t="s">
        <v>26</v>
      </c>
      <c r="R268" s="4">
        <v>0</v>
      </c>
      <c r="S268" s="4" t="s">
        <v>207</v>
      </c>
      <c r="U268" s="4">
        <v>18</v>
      </c>
      <c r="V268" s="4">
        <v>0</v>
      </c>
      <c r="W268" s="4">
        <v>0</v>
      </c>
    </row>
    <row r="269" spans="1:23" ht="11.25" customHeight="1" x14ac:dyDescent="0.25">
      <c r="A269" s="4" t="s">
        <v>28</v>
      </c>
      <c r="B269" s="4" t="s">
        <v>35</v>
      </c>
      <c r="C269" s="4" t="s">
        <v>39</v>
      </c>
      <c r="D269" s="4" t="s">
        <v>40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44652</v>
      </c>
      <c r="J269" s="6">
        <v>3720</v>
      </c>
      <c r="K269" s="6">
        <v>3720</v>
      </c>
      <c r="L269" s="6">
        <v>0</v>
      </c>
      <c r="M269" s="6">
        <v>0</v>
      </c>
      <c r="N269" s="6">
        <v>0</v>
      </c>
      <c r="O269" s="6">
        <v>0</v>
      </c>
      <c r="P269" s="6">
        <v>12</v>
      </c>
      <c r="Q269" s="4" t="s">
        <v>26</v>
      </c>
      <c r="R269" s="4">
        <v>0</v>
      </c>
      <c r="S269" s="4" t="s">
        <v>207</v>
      </c>
      <c r="U269" s="4">
        <v>18</v>
      </c>
      <c r="V269" s="4">
        <v>0</v>
      </c>
      <c r="W269" s="4">
        <v>0</v>
      </c>
    </row>
    <row r="270" spans="1:23" ht="11.25" customHeight="1" x14ac:dyDescent="0.25">
      <c r="A270" s="4" t="s">
        <v>21</v>
      </c>
      <c r="B270" s="4" t="s">
        <v>35</v>
      </c>
      <c r="C270" s="4" t="s">
        <v>39</v>
      </c>
      <c r="D270" s="4" t="s">
        <v>40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44682</v>
      </c>
      <c r="J270" s="6">
        <v>19235</v>
      </c>
      <c r="K270" s="6">
        <v>19235</v>
      </c>
      <c r="L270" s="6">
        <v>0</v>
      </c>
      <c r="M270" s="6">
        <v>0</v>
      </c>
      <c r="N270" s="6">
        <v>0</v>
      </c>
      <c r="O270" s="6">
        <v>0</v>
      </c>
      <c r="P270" s="6">
        <v>126</v>
      </c>
      <c r="Q270" s="4" t="s">
        <v>26</v>
      </c>
      <c r="R270" s="4">
        <v>0</v>
      </c>
      <c r="S270" s="4" t="s">
        <v>208</v>
      </c>
      <c r="U270" s="4">
        <v>18</v>
      </c>
      <c r="V270" s="4">
        <v>0</v>
      </c>
      <c r="W270" s="4">
        <v>0</v>
      </c>
    </row>
    <row r="271" spans="1:23" ht="11.25" customHeight="1" x14ac:dyDescent="0.25">
      <c r="A271" s="4" t="s">
        <v>27</v>
      </c>
      <c r="B271" s="4" t="s">
        <v>35</v>
      </c>
      <c r="C271" s="4" t="s">
        <v>39</v>
      </c>
      <c r="D271" s="4" t="s">
        <v>40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44682</v>
      </c>
      <c r="J271" s="6">
        <v>-594</v>
      </c>
      <c r="K271" s="6">
        <v>-594</v>
      </c>
      <c r="L271" s="6">
        <v>0</v>
      </c>
      <c r="M271" s="6">
        <v>0</v>
      </c>
      <c r="N271" s="6">
        <v>0</v>
      </c>
      <c r="O271" s="6">
        <v>0</v>
      </c>
      <c r="P271" s="6">
        <v>-4</v>
      </c>
      <c r="Q271" s="4" t="s">
        <v>26</v>
      </c>
      <c r="R271" s="4">
        <v>0</v>
      </c>
      <c r="S271" s="4" t="s">
        <v>208</v>
      </c>
      <c r="U271" s="4">
        <v>18</v>
      </c>
      <c r="V271" s="4">
        <v>0</v>
      </c>
      <c r="W271" s="4">
        <v>0</v>
      </c>
    </row>
    <row r="272" spans="1:23" ht="11.25" customHeight="1" x14ac:dyDescent="0.25">
      <c r="A272" s="4" t="s">
        <v>28</v>
      </c>
      <c r="B272" s="4" t="s">
        <v>35</v>
      </c>
      <c r="C272" s="4" t="s">
        <v>39</v>
      </c>
      <c r="D272" s="4" t="s">
        <v>40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44682</v>
      </c>
      <c r="J272" s="6">
        <v>2053</v>
      </c>
      <c r="K272" s="6">
        <v>2053</v>
      </c>
      <c r="L272" s="6">
        <v>0</v>
      </c>
      <c r="M272" s="6">
        <v>0</v>
      </c>
      <c r="N272" s="6">
        <v>0</v>
      </c>
      <c r="O272" s="6">
        <v>0</v>
      </c>
      <c r="P272" s="6">
        <v>14</v>
      </c>
      <c r="Q272" s="4" t="s">
        <v>26</v>
      </c>
      <c r="R272" s="4">
        <v>0</v>
      </c>
      <c r="S272" s="4" t="s">
        <v>208</v>
      </c>
      <c r="U272" s="4">
        <v>18</v>
      </c>
      <c r="V272" s="4">
        <v>0</v>
      </c>
      <c r="W272" s="4">
        <v>0</v>
      </c>
    </row>
    <row r="273" spans="1:23" ht="11.25" customHeight="1" x14ac:dyDescent="0.25">
      <c r="A273" s="4" t="s">
        <v>21</v>
      </c>
      <c r="B273" s="4" t="s">
        <v>35</v>
      </c>
      <c r="C273" s="4" t="s">
        <v>39</v>
      </c>
      <c r="D273" s="4" t="s">
        <v>40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44713</v>
      </c>
      <c r="J273" s="6">
        <v>20795</v>
      </c>
      <c r="K273" s="6">
        <v>20795</v>
      </c>
      <c r="L273" s="6">
        <v>0</v>
      </c>
      <c r="M273" s="6">
        <v>0</v>
      </c>
      <c r="N273" s="6">
        <v>0</v>
      </c>
      <c r="O273" s="6">
        <v>0</v>
      </c>
      <c r="P273" s="6">
        <v>128</v>
      </c>
      <c r="Q273" s="4" t="s">
        <v>26</v>
      </c>
      <c r="R273" s="4">
        <v>0</v>
      </c>
      <c r="S273" s="4" t="s">
        <v>209</v>
      </c>
      <c r="U273" s="4">
        <v>18</v>
      </c>
      <c r="V273" s="4">
        <v>0</v>
      </c>
      <c r="W273" s="4">
        <v>0</v>
      </c>
    </row>
    <row r="274" spans="1:23" ht="11.25" customHeight="1" x14ac:dyDescent="0.25">
      <c r="A274" s="4" t="s">
        <v>27</v>
      </c>
      <c r="B274" s="4" t="s">
        <v>35</v>
      </c>
      <c r="C274" s="4" t="s">
        <v>39</v>
      </c>
      <c r="D274" s="4" t="s">
        <v>40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44713</v>
      </c>
      <c r="J274" s="6">
        <v>-1006</v>
      </c>
      <c r="K274" s="6">
        <v>-1006</v>
      </c>
      <c r="L274" s="6">
        <v>0</v>
      </c>
      <c r="M274" s="6">
        <v>0</v>
      </c>
      <c r="N274" s="6">
        <v>0</v>
      </c>
      <c r="O274" s="6">
        <v>0</v>
      </c>
      <c r="P274" s="6">
        <v>-5</v>
      </c>
      <c r="Q274" s="4" t="s">
        <v>26</v>
      </c>
      <c r="R274" s="4">
        <v>0</v>
      </c>
      <c r="S274" s="4" t="s">
        <v>209</v>
      </c>
      <c r="U274" s="4">
        <v>18</v>
      </c>
      <c r="V274" s="4">
        <v>0</v>
      </c>
      <c r="W274" s="4">
        <v>0</v>
      </c>
    </row>
    <row r="275" spans="1:23" ht="11.25" customHeight="1" x14ac:dyDescent="0.25">
      <c r="A275" s="4" t="s">
        <v>28</v>
      </c>
      <c r="B275" s="4" t="s">
        <v>35</v>
      </c>
      <c r="C275" s="4" t="s">
        <v>39</v>
      </c>
      <c r="D275" s="4" t="s">
        <v>40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44713</v>
      </c>
      <c r="J275" s="6">
        <v>2363</v>
      </c>
      <c r="K275" s="6">
        <v>2363</v>
      </c>
      <c r="L275" s="6">
        <v>0</v>
      </c>
      <c r="M275" s="6">
        <v>0</v>
      </c>
      <c r="N275" s="6">
        <v>0</v>
      </c>
      <c r="O275" s="6">
        <v>0</v>
      </c>
      <c r="P275" s="6">
        <v>15</v>
      </c>
      <c r="Q275" s="4" t="s">
        <v>26</v>
      </c>
      <c r="R275" s="4">
        <v>0</v>
      </c>
      <c r="S275" s="4" t="s">
        <v>209</v>
      </c>
      <c r="U275" s="4">
        <v>18</v>
      </c>
      <c r="V275" s="4">
        <v>0</v>
      </c>
      <c r="W275" s="4">
        <v>0</v>
      </c>
    </row>
    <row r="276" spans="1:23" ht="11.25" customHeight="1" x14ac:dyDescent="0.25">
      <c r="A276" s="4" t="s">
        <v>21</v>
      </c>
      <c r="B276" s="4" t="s">
        <v>35</v>
      </c>
      <c r="C276" s="4" t="s">
        <v>39</v>
      </c>
      <c r="D276" s="4" t="s">
        <v>40</v>
      </c>
      <c r="E276" s="4" t="s">
        <v>25</v>
      </c>
      <c r="F276" s="4" t="s">
        <v>25</v>
      </c>
      <c r="G276" s="4" t="s">
        <v>25</v>
      </c>
      <c r="H276" s="4" t="s">
        <v>37</v>
      </c>
      <c r="I276" s="5">
        <v>44378</v>
      </c>
      <c r="J276" s="6">
        <v>0</v>
      </c>
      <c r="K276" s="6">
        <v>0</v>
      </c>
      <c r="L276" s="6">
        <v>119.389</v>
      </c>
      <c r="M276" s="6">
        <v>119.389</v>
      </c>
      <c r="N276" s="6">
        <v>119.389</v>
      </c>
      <c r="O276" s="6">
        <v>119.389</v>
      </c>
      <c r="P276" s="6">
        <v>0</v>
      </c>
      <c r="Q276" s="4" t="s">
        <v>26</v>
      </c>
      <c r="R276" s="4">
        <v>0</v>
      </c>
      <c r="S276" s="4" t="s">
        <v>210</v>
      </c>
      <c r="T276" s="4" t="s">
        <v>331</v>
      </c>
      <c r="U276" s="4">
        <v>0</v>
      </c>
      <c r="V276" s="4">
        <v>12</v>
      </c>
      <c r="W276" s="4">
        <v>66</v>
      </c>
    </row>
    <row r="277" spans="1:23" ht="11.25" customHeight="1" x14ac:dyDescent="0.25">
      <c r="A277" s="4" t="s">
        <v>27</v>
      </c>
      <c r="B277" s="4" t="s">
        <v>35</v>
      </c>
      <c r="C277" s="4" t="s">
        <v>39</v>
      </c>
      <c r="D277" s="4" t="s">
        <v>40</v>
      </c>
      <c r="E277" s="4" t="s">
        <v>25</v>
      </c>
      <c r="F277" s="4" t="s">
        <v>25</v>
      </c>
      <c r="G277" s="4" t="s">
        <v>25</v>
      </c>
      <c r="H277" s="4" t="s">
        <v>37</v>
      </c>
      <c r="I277" s="5">
        <v>44378</v>
      </c>
      <c r="J277" s="6">
        <v>0</v>
      </c>
      <c r="K277" s="6">
        <v>0</v>
      </c>
      <c r="L277" s="6">
        <v>-42.000999999999998</v>
      </c>
      <c r="M277" s="6">
        <v>-42.000999999999998</v>
      </c>
      <c r="N277" s="6">
        <v>-42.000999999999998</v>
      </c>
      <c r="O277" s="6">
        <v>-42.000999999999998</v>
      </c>
      <c r="P277" s="6">
        <v>0</v>
      </c>
      <c r="Q277" s="4" t="s">
        <v>26</v>
      </c>
      <c r="R277" s="4">
        <v>0</v>
      </c>
      <c r="S277" s="4" t="s">
        <v>210</v>
      </c>
      <c r="T277" s="4" t="s">
        <v>331</v>
      </c>
      <c r="U277" s="4">
        <v>0</v>
      </c>
      <c r="V277" s="4">
        <v>12</v>
      </c>
      <c r="W277" s="4">
        <v>66</v>
      </c>
    </row>
    <row r="278" spans="1:23" ht="11.25" customHeight="1" x14ac:dyDescent="0.25">
      <c r="A278" s="4" t="s">
        <v>28</v>
      </c>
      <c r="B278" s="4" t="s">
        <v>35</v>
      </c>
      <c r="C278" s="4" t="s">
        <v>39</v>
      </c>
      <c r="D278" s="4" t="s">
        <v>40</v>
      </c>
      <c r="E278" s="4" t="s">
        <v>25</v>
      </c>
      <c r="F278" s="4" t="s">
        <v>25</v>
      </c>
      <c r="G278" s="4" t="s">
        <v>25</v>
      </c>
      <c r="H278" s="4" t="s">
        <v>37</v>
      </c>
      <c r="I278" s="5">
        <v>44378</v>
      </c>
      <c r="J278" s="6">
        <v>0</v>
      </c>
      <c r="K278" s="6">
        <v>0</v>
      </c>
      <c r="L278" s="6">
        <v>2.5299999999999998</v>
      </c>
      <c r="M278" s="6">
        <v>2.5299999999999998</v>
      </c>
      <c r="N278" s="6">
        <v>2.5299999999999998</v>
      </c>
      <c r="O278" s="6">
        <v>2.5299999999999998</v>
      </c>
      <c r="P278" s="6">
        <v>0</v>
      </c>
      <c r="Q278" s="4" t="s">
        <v>26</v>
      </c>
      <c r="R278" s="4">
        <v>0</v>
      </c>
      <c r="S278" s="4" t="s">
        <v>210</v>
      </c>
      <c r="T278" s="4" t="s">
        <v>331</v>
      </c>
      <c r="U278" s="4">
        <v>0</v>
      </c>
      <c r="V278" s="4">
        <v>12</v>
      </c>
      <c r="W278" s="4">
        <v>66</v>
      </c>
    </row>
    <row r="279" spans="1:23" ht="11.25" customHeight="1" x14ac:dyDescent="0.25">
      <c r="A279" s="4" t="s">
        <v>28</v>
      </c>
      <c r="B279" s="4" t="s">
        <v>35</v>
      </c>
      <c r="C279" s="4" t="s">
        <v>39</v>
      </c>
      <c r="D279" s="4" t="s">
        <v>40</v>
      </c>
      <c r="E279" s="4" t="s">
        <v>25</v>
      </c>
      <c r="F279" s="4" t="s">
        <v>25</v>
      </c>
      <c r="G279" s="4" t="s">
        <v>25</v>
      </c>
      <c r="H279" s="4" t="s">
        <v>37</v>
      </c>
      <c r="I279" s="5">
        <v>44378</v>
      </c>
      <c r="J279" s="6">
        <v>0</v>
      </c>
      <c r="K279" s="6">
        <v>0</v>
      </c>
      <c r="L279" s="6">
        <v>-1.2529999999999999</v>
      </c>
      <c r="M279" s="6">
        <v>-1.2529999999999999</v>
      </c>
      <c r="N279" s="6">
        <v>-1.2529999999999999</v>
      </c>
      <c r="O279" s="6">
        <v>-1.2529999999999999</v>
      </c>
      <c r="P279" s="6">
        <v>0</v>
      </c>
      <c r="Q279" s="4" t="s">
        <v>26</v>
      </c>
      <c r="R279" s="4">
        <v>0</v>
      </c>
      <c r="S279" s="4" t="s">
        <v>210</v>
      </c>
      <c r="T279" s="4" t="s">
        <v>331</v>
      </c>
      <c r="U279" s="4">
        <v>0</v>
      </c>
      <c r="V279" s="4">
        <v>12</v>
      </c>
      <c r="W279" s="4">
        <v>66</v>
      </c>
    </row>
    <row r="280" spans="1:23" ht="11.25" customHeight="1" x14ac:dyDescent="0.25">
      <c r="A280" s="4" t="s">
        <v>21</v>
      </c>
      <c r="B280" s="4" t="s">
        <v>35</v>
      </c>
      <c r="C280" s="4" t="s">
        <v>39</v>
      </c>
      <c r="D280" s="4" t="s">
        <v>40</v>
      </c>
      <c r="E280" s="4" t="s">
        <v>25</v>
      </c>
      <c r="F280" s="4" t="s">
        <v>25</v>
      </c>
      <c r="G280" s="4" t="s">
        <v>25</v>
      </c>
      <c r="H280" s="4" t="s">
        <v>37</v>
      </c>
      <c r="I280" s="5">
        <v>44409</v>
      </c>
      <c r="J280" s="6">
        <v>0</v>
      </c>
      <c r="K280" s="6">
        <v>0</v>
      </c>
      <c r="L280" s="6">
        <v>76.781000000000006</v>
      </c>
      <c r="M280" s="6">
        <v>76.781000000000006</v>
      </c>
      <c r="N280" s="6">
        <v>76.781000000000006</v>
      </c>
      <c r="O280" s="6">
        <v>76.781000000000006</v>
      </c>
      <c r="P280" s="6">
        <v>0</v>
      </c>
      <c r="Q280" s="4" t="s">
        <v>26</v>
      </c>
      <c r="R280" s="4">
        <v>0</v>
      </c>
      <c r="S280" s="4" t="s">
        <v>211</v>
      </c>
      <c r="T280" s="4" t="s">
        <v>332</v>
      </c>
      <c r="U280" s="4">
        <v>0</v>
      </c>
      <c r="V280" s="4">
        <v>12</v>
      </c>
      <c r="W280" s="4">
        <v>66</v>
      </c>
    </row>
    <row r="281" spans="1:23" ht="11.25" customHeight="1" x14ac:dyDescent="0.25">
      <c r="A281" s="4" t="s">
        <v>27</v>
      </c>
      <c r="B281" s="4" t="s">
        <v>35</v>
      </c>
      <c r="C281" s="4" t="s">
        <v>39</v>
      </c>
      <c r="D281" s="4" t="s">
        <v>40</v>
      </c>
      <c r="E281" s="4" t="s">
        <v>25</v>
      </c>
      <c r="F281" s="4" t="s">
        <v>25</v>
      </c>
      <c r="G281" s="4" t="s">
        <v>25</v>
      </c>
      <c r="H281" s="4" t="s">
        <v>37</v>
      </c>
      <c r="I281" s="5">
        <v>44409</v>
      </c>
      <c r="J281" s="6">
        <v>0</v>
      </c>
      <c r="K281" s="6">
        <v>0</v>
      </c>
      <c r="L281" s="6">
        <v>-0.64900000000000002</v>
      </c>
      <c r="M281" s="6">
        <v>-0.64900000000000002</v>
      </c>
      <c r="N281" s="6">
        <v>-0.64900000000000002</v>
      </c>
      <c r="O281" s="6">
        <v>-0.64900000000000002</v>
      </c>
      <c r="P281" s="6">
        <v>0</v>
      </c>
      <c r="Q281" s="4" t="s">
        <v>26</v>
      </c>
      <c r="R281" s="4">
        <v>0</v>
      </c>
      <c r="S281" s="4" t="s">
        <v>211</v>
      </c>
      <c r="T281" s="4" t="s">
        <v>332</v>
      </c>
      <c r="U281" s="4">
        <v>0</v>
      </c>
      <c r="V281" s="4">
        <v>12</v>
      </c>
      <c r="W281" s="4">
        <v>66</v>
      </c>
    </row>
    <row r="282" spans="1:23" ht="11.25" customHeight="1" x14ac:dyDescent="0.25">
      <c r="A282" s="4" t="s">
        <v>28</v>
      </c>
      <c r="B282" s="4" t="s">
        <v>35</v>
      </c>
      <c r="C282" s="4" t="s">
        <v>39</v>
      </c>
      <c r="D282" s="4" t="s">
        <v>40</v>
      </c>
      <c r="E282" s="4" t="s">
        <v>25</v>
      </c>
      <c r="F282" s="4" t="s">
        <v>25</v>
      </c>
      <c r="G282" s="4" t="s">
        <v>25</v>
      </c>
      <c r="H282" s="4" t="s">
        <v>37</v>
      </c>
      <c r="I282" s="5">
        <v>44409</v>
      </c>
      <c r="J282" s="6">
        <v>0</v>
      </c>
      <c r="K282" s="6">
        <v>0</v>
      </c>
      <c r="L282" s="6">
        <v>2.23</v>
      </c>
      <c r="M282" s="6">
        <v>2.23</v>
      </c>
      <c r="N282" s="6">
        <v>2.23</v>
      </c>
      <c r="O282" s="6">
        <v>2.23</v>
      </c>
      <c r="P282" s="6">
        <v>0</v>
      </c>
      <c r="Q282" s="4" t="s">
        <v>26</v>
      </c>
      <c r="R282" s="4">
        <v>0</v>
      </c>
      <c r="S282" s="4" t="s">
        <v>211</v>
      </c>
      <c r="T282" s="4" t="s">
        <v>332</v>
      </c>
      <c r="U282" s="4">
        <v>0</v>
      </c>
      <c r="V282" s="4">
        <v>12</v>
      </c>
      <c r="W282" s="4">
        <v>66</v>
      </c>
    </row>
    <row r="283" spans="1:23" ht="11.25" customHeight="1" x14ac:dyDescent="0.25">
      <c r="A283" s="4" t="s">
        <v>21</v>
      </c>
      <c r="B283" s="4" t="s">
        <v>35</v>
      </c>
      <c r="C283" s="4" t="s">
        <v>39</v>
      </c>
      <c r="D283" s="4" t="s">
        <v>40</v>
      </c>
      <c r="E283" s="4" t="s">
        <v>25</v>
      </c>
      <c r="F283" s="4" t="s">
        <v>25</v>
      </c>
      <c r="G283" s="4" t="s">
        <v>25</v>
      </c>
      <c r="H283" s="4" t="s">
        <v>37</v>
      </c>
      <c r="I283" s="5">
        <v>44440</v>
      </c>
      <c r="J283" s="6">
        <v>0</v>
      </c>
      <c r="K283" s="6">
        <v>0</v>
      </c>
      <c r="L283" s="6">
        <v>67.664000000000001</v>
      </c>
      <c r="M283" s="6">
        <v>67.664000000000001</v>
      </c>
      <c r="N283" s="6">
        <v>67.664000000000001</v>
      </c>
      <c r="O283" s="6">
        <v>67.664000000000001</v>
      </c>
      <c r="P283" s="6">
        <v>0</v>
      </c>
      <c r="Q283" s="4" t="s">
        <v>26</v>
      </c>
      <c r="R283" s="4">
        <v>0</v>
      </c>
      <c r="S283" s="4" t="s">
        <v>212</v>
      </c>
      <c r="T283" s="4" t="s">
        <v>333</v>
      </c>
      <c r="U283" s="4">
        <v>0</v>
      </c>
      <c r="V283" s="4">
        <v>12</v>
      </c>
      <c r="W283" s="4">
        <v>66</v>
      </c>
    </row>
    <row r="284" spans="1:23" ht="11.25" customHeight="1" x14ac:dyDescent="0.25">
      <c r="A284" s="4" t="s">
        <v>27</v>
      </c>
      <c r="B284" s="4" t="s">
        <v>35</v>
      </c>
      <c r="C284" s="4" t="s">
        <v>39</v>
      </c>
      <c r="D284" s="4" t="s">
        <v>40</v>
      </c>
      <c r="E284" s="4" t="s">
        <v>25</v>
      </c>
      <c r="F284" s="4" t="s">
        <v>25</v>
      </c>
      <c r="G284" s="4" t="s">
        <v>25</v>
      </c>
      <c r="H284" s="4" t="s">
        <v>37</v>
      </c>
      <c r="I284" s="5">
        <v>44440</v>
      </c>
      <c r="J284" s="6">
        <v>0</v>
      </c>
      <c r="K284" s="6">
        <v>0</v>
      </c>
      <c r="L284" s="6">
        <v>-1.869</v>
      </c>
      <c r="M284" s="6">
        <v>-1.869</v>
      </c>
      <c r="N284" s="6">
        <v>-1.869</v>
      </c>
      <c r="O284" s="6">
        <v>-1.869</v>
      </c>
      <c r="P284" s="6">
        <v>0</v>
      </c>
      <c r="Q284" s="4" t="s">
        <v>26</v>
      </c>
      <c r="R284" s="4">
        <v>0</v>
      </c>
      <c r="S284" s="4" t="s">
        <v>212</v>
      </c>
      <c r="T284" s="4" t="s">
        <v>333</v>
      </c>
      <c r="U284" s="4">
        <v>0</v>
      </c>
      <c r="V284" s="4">
        <v>12</v>
      </c>
      <c r="W284" s="4">
        <v>66</v>
      </c>
    </row>
    <row r="285" spans="1:23" ht="11.25" customHeight="1" x14ac:dyDescent="0.25">
      <c r="A285" s="4" t="s">
        <v>28</v>
      </c>
      <c r="B285" s="4" t="s">
        <v>35</v>
      </c>
      <c r="C285" s="4" t="s">
        <v>39</v>
      </c>
      <c r="D285" s="4" t="s">
        <v>40</v>
      </c>
      <c r="E285" s="4" t="s">
        <v>25</v>
      </c>
      <c r="F285" s="4" t="s">
        <v>25</v>
      </c>
      <c r="G285" s="4" t="s">
        <v>25</v>
      </c>
      <c r="H285" s="4" t="s">
        <v>37</v>
      </c>
      <c r="I285" s="5">
        <v>44440</v>
      </c>
      <c r="J285" s="6">
        <v>0</v>
      </c>
      <c r="K285" s="6">
        <v>0</v>
      </c>
      <c r="L285" s="6">
        <v>2.738</v>
      </c>
      <c r="M285" s="6">
        <v>2.738</v>
      </c>
      <c r="N285" s="6">
        <v>2.738</v>
      </c>
      <c r="O285" s="6">
        <v>2.738</v>
      </c>
      <c r="P285" s="6">
        <v>0</v>
      </c>
      <c r="Q285" s="4" t="s">
        <v>26</v>
      </c>
      <c r="R285" s="4">
        <v>0</v>
      </c>
      <c r="S285" s="4" t="s">
        <v>212</v>
      </c>
      <c r="T285" s="4" t="s">
        <v>333</v>
      </c>
      <c r="U285" s="4">
        <v>0</v>
      </c>
      <c r="V285" s="4">
        <v>12</v>
      </c>
      <c r="W285" s="4">
        <v>66</v>
      </c>
    </row>
    <row r="286" spans="1:23" ht="11.25" customHeight="1" x14ac:dyDescent="0.25">
      <c r="A286" s="4" t="s">
        <v>21</v>
      </c>
      <c r="B286" s="4" t="s">
        <v>35</v>
      </c>
      <c r="C286" s="4" t="s">
        <v>39</v>
      </c>
      <c r="D286" s="4" t="s">
        <v>40</v>
      </c>
      <c r="E286" s="4" t="s">
        <v>25</v>
      </c>
      <c r="F286" s="4" t="s">
        <v>25</v>
      </c>
      <c r="G286" s="4" t="s">
        <v>25</v>
      </c>
      <c r="H286" s="4" t="s">
        <v>37</v>
      </c>
      <c r="I286" s="5">
        <v>44470</v>
      </c>
      <c r="J286" s="6">
        <v>0</v>
      </c>
      <c r="K286" s="6">
        <v>0</v>
      </c>
      <c r="L286" s="6">
        <v>61.856000000000002</v>
      </c>
      <c r="M286" s="6">
        <v>61.856000000000002</v>
      </c>
      <c r="N286" s="6">
        <v>61.856000000000002</v>
      </c>
      <c r="O286" s="6">
        <v>61.856000000000002</v>
      </c>
      <c r="P286" s="6">
        <v>0</v>
      </c>
      <c r="Q286" s="4" t="s">
        <v>26</v>
      </c>
      <c r="R286" s="4">
        <v>0</v>
      </c>
      <c r="S286" s="4" t="s">
        <v>213</v>
      </c>
      <c r="T286" s="4" t="s">
        <v>334</v>
      </c>
      <c r="U286" s="4">
        <v>0</v>
      </c>
      <c r="V286" s="4">
        <v>12</v>
      </c>
      <c r="W286" s="4">
        <v>66</v>
      </c>
    </row>
    <row r="287" spans="1:23" ht="11.25" customHeight="1" x14ac:dyDescent="0.25">
      <c r="A287" s="4" t="s">
        <v>27</v>
      </c>
      <c r="B287" s="4" t="s">
        <v>35</v>
      </c>
      <c r="C287" s="4" t="s">
        <v>39</v>
      </c>
      <c r="D287" s="4" t="s">
        <v>40</v>
      </c>
      <c r="E287" s="4" t="s">
        <v>25</v>
      </c>
      <c r="F287" s="4" t="s">
        <v>25</v>
      </c>
      <c r="G287" s="4" t="s">
        <v>25</v>
      </c>
      <c r="H287" s="4" t="s">
        <v>37</v>
      </c>
      <c r="I287" s="5">
        <v>44470</v>
      </c>
      <c r="J287" s="6">
        <v>0</v>
      </c>
      <c r="K287" s="6">
        <v>0</v>
      </c>
      <c r="L287" s="6">
        <v>-0.38</v>
      </c>
      <c r="M287" s="6">
        <v>-0.38</v>
      </c>
      <c r="N287" s="6">
        <v>-0.38</v>
      </c>
      <c r="O287" s="6">
        <v>-0.38</v>
      </c>
      <c r="P287" s="6">
        <v>0</v>
      </c>
      <c r="Q287" s="4" t="s">
        <v>26</v>
      </c>
      <c r="R287" s="4">
        <v>0</v>
      </c>
      <c r="S287" s="4" t="s">
        <v>213</v>
      </c>
      <c r="T287" s="4" t="s">
        <v>334</v>
      </c>
      <c r="U287" s="4">
        <v>0</v>
      </c>
      <c r="V287" s="4">
        <v>12</v>
      </c>
      <c r="W287" s="4">
        <v>66</v>
      </c>
    </row>
    <row r="288" spans="1:23" ht="11.25" customHeight="1" x14ac:dyDescent="0.25">
      <c r="A288" s="4" t="s">
        <v>28</v>
      </c>
      <c r="B288" s="4" t="s">
        <v>35</v>
      </c>
      <c r="C288" s="4" t="s">
        <v>39</v>
      </c>
      <c r="D288" s="4" t="s">
        <v>40</v>
      </c>
      <c r="E288" s="4" t="s">
        <v>25</v>
      </c>
      <c r="F288" s="4" t="s">
        <v>25</v>
      </c>
      <c r="G288" s="4" t="s">
        <v>25</v>
      </c>
      <c r="H288" s="4" t="s">
        <v>37</v>
      </c>
      <c r="I288" s="5">
        <v>44470</v>
      </c>
      <c r="J288" s="6">
        <v>0</v>
      </c>
      <c r="K288" s="6">
        <v>0</v>
      </c>
      <c r="L288" s="6">
        <v>2.5449999999999999</v>
      </c>
      <c r="M288" s="6">
        <v>2.5449999999999999</v>
      </c>
      <c r="N288" s="6">
        <v>2.5449999999999999</v>
      </c>
      <c r="O288" s="6">
        <v>2.5449999999999999</v>
      </c>
      <c r="P288" s="6">
        <v>0</v>
      </c>
      <c r="Q288" s="4" t="s">
        <v>26</v>
      </c>
      <c r="R288" s="4">
        <v>0</v>
      </c>
      <c r="S288" s="4" t="s">
        <v>213</v>
      </c>
      <c r="T288" s="4" t="s">
        <v>334</v>
      </c>
      <c r="U288" s="4">
        <v>0</v>
      </c>
      <c r="V288" s="4">
        <v>12</v>
      </c>
      <c r="W288" s="4">
        <v>66</v>
      </c>
    </row>
    <row r="289" spans="1:23" ht="11.25" customHeight="1" x14ac:dyDescent="0.25">
      <c r="A289" s="4" t="s">
        <v>21</v>
      </c>
      <c r="B289" s="4" t="s">
        <v>35</v>
      </c>
      <c r="C289" s="4" t="s">
        <v>39</v>
      </c>
      <c r="D289" s="4" t="s">
        <v>40</v>
      </c>
      <c r="E289" s="4" t="s">
        <v>25</v>
      </c>
      <c r="F289" s="4" t="s">
        <v>25</v>
      </c>
      <c r="G289" s="4" t="s">
        <v>25</v>
      </c>
      <c r="H289" s="4" t="s">
        <v>37</v>
      </c>
      <c r="I289" s="5">
        <v>44501</v>
      </c>
      <c r="J289" s="6">
        <v>0</v>
      </c>
      <c r="K289" s="6">
        <v>0</v>
      </c>
      <c r="L289" s="6">
        <v>93.572000000000003</v>
      </c>
      <c r="M289" s="6">
        <v>93.572000000000003</v>
      </c>
      <c r="N289" s="6">
        <v>93.572000000000003</v>
      </c>
      <c r="O289" s="6">
        <v>93.572000000000003</v>
      </c>
      <c r="P289" s="6">
        <v>0</v>
      </c>
      <c r="Q289" s="4" t="s">
        <v>26</v>
      </c>
      <c r="R289" s="4">
        <v>0</v>
      </c>
      <c r="S289" s="4" t="s">
        <v>214</v>
      </c>
      <c r="T289" s="4" t="s">
        <v>335</v>
      </c>
      <c r="U289" s="4">
        <v>0</v>
      </c>
      <c r="V289" s="4">
        <v>12</v>
      </c>
      <c r="W289" s="4">
        <v>66</v>
      </c>
    </row>
    <row r="290" spans="1:23" ht="11.25" customHeight="1" x14ac:dyDescent="0.25">
      <c r="A290" s="4" t="s">
        <v>28</v>
      </c>
      <c r="B290" s="4" t="s">
        <v>35</v>
      </c>
      <c r="C290" s="4" t="s">
        <v>39</v>
      </c>
      <c r="D290" s="4" t="s">
        <v>40</v>
      </c>
      <c r="E290" s="4" t="s">
        <v>25</v>
      </c>
      <c r="F290" s="4" t="s">
        <v>25</v>
      </c>
      <c r="G290" s="4" t="s">
        <v>25</v>
      </c>
      <c r="H290" s="4" t="s">
        <v>37</v>
      </c>
      <c r="I290" s="5">
        <v>44501</v>
      </c>
      <c r="J290" s="6">
        <v>0</v>
      </c>
      <c r="K290" s="6">
        <v>0</v>
      </c>
      <c r="L290" s="6">
        <v>2.6309999999999998</v>
      </c>
      <c r="M290" s="6">
        <v>2.6309999999999998</v>
      </c>
      <c r="N290" s="6">
        <v>2.6309999999999998</v>
      </c>
      <c r="O290" s="6">
        <v>2.6309999999999998</v>
      </c>
      <c r="P290" s="6">
        <v>0</v>
      </c>
      <c r="Q290" s="4" t="s">
        <v>26</v>
      </c>
      <c r="R290" s="4">
        <v>0</v>
      </c>
      <c r="S290" s="4" t="s">
        <v>214</v>
      </c>
      <c r="T290" s="4" t="s">
        <v>335</v>
      </c>
      <c r="U290" s="4">
        <v>0</v>
      </c>
      <c r="V290" s="4">
        <v>12</v>
      </c>
      <c r="W290" s="4">
        <v>66</v>
      </c>
    </row>
    <row r="291" spans="1:23" ht="11.25" customHeight="1" x14ac:dyDescent="0.25">
      <c r="A291" s="4" t="s">
        <v>21</v>
      </c>
      <c r="B291" s="4" t="s">
        <v>35</v>
      </c>
      <c r="C291" s="4" t="s">
        <v>39</v>
      </c>
      <c r="D291" s="4" t="s">
        <v>40</v>
      </c>
      <c r="E291" s="4" t="s">
        <v>25</v>
      </c>
      <c r="F291" s="4" t="s">
        <v>25</v>
      </c>
      <c r="G291" s="4" t="s">
        <v>25</v>
      </c>
      <c r="H291" s="4" t="s">
        <v>37</v>
      </c>
      <c r="I291" s="5">
        <v>44531</v>
      </c>
      <c r="J291" s="6">
        <v>0</v>
      </c>
      <c r="K291" s="6">
        <v>0</v>
      </c>
      <c r="L291" s="6">
        <v>157.58600000000001</v>
      </c>
      <c r="M291" s="6">
        <v>157.58600000000001</v>
      </c>
      <c r="N291" s="6">
        <v>157.58600000000001</v>
      </c>
      <c r="O291" s="6">
        <v>157.58600000000001</v>
      </c>
      <c r="P291" s="6">
        <v>0</v>
      </c>
      <c r="Q291" s="4" t="s">
        <v>26</v>
      </c>
      <c r="R291" s="4">
        <v>0</v>
      </c>
      <c r="S291" s="4" t="s">
        <v>215</v>
      </c>
      <c r="T291" s="4" t="s">
        <v>336</v>
      </c>
      <c r="U291" s="4">
        <v>0</v>
      </c>
      <c r="V291" s="4">
        <v>12</v>
      </c>
      <c r="W291" s="4">
        <v>66</v>
      </c>
    </row>
    <row r="292" spans="1:23" ht="11.25" customHeight="1" x14ac:dyDescent="0.25">
      <c r="A292" s="4" t="s">
        <v>21</v>
      </c>
      <c r="B292" s="4" t="s">
        <v>35</v>
      </c>
      <c r="C292" s="4" t="s">
        <v>39</v>
      </c>
      <c r="D292" s="4" t="s">
        <v>40</v>
      </c>
      <c r="E292" s="4" t="s">
        <v>25</v>
      </c>
      <c r="F292" s="4" t="s">
        <v>25</v>
      </c>
      <c r="G292" s="4" t="s">
        <v>25</v>
      </c>
      <c r="H292" s="4" t="s">
        <v>37</v>
      </c>
      <c r="I292" s="5">
        <v>44562</v>
      </c>
      <c r="J292" s="6">
        <v>0</v>
      </c>
      <c r="K292" s="6">
        <v>0</v>
      </c>
      <c r="L292" s="6">
        <v>80.748999999999995</v>
      </c>
      <c r="M292" s="6">
        <v>80.748999999999995</v>
      </c>
      <c r="N292" s="6">
        <v>80.748999999999995</v>
      </c>
      <c r="O292" s="6">
        <v>80.748999999999995</v>
      </c>
      <c r="P292" s="6">
        <v>0</v>
      </c>
      <c r="Q292" s="4" t="s">
        <v>26</v>
      </c>
      <c r="R292" s="4">
        <v>0</v>
      </c>
      <c r="S292" s="4" t="s">
        <v>216</v>
      </c>
      <c r="T292" s="4" t="s">
        <v>337</v>
      </c>
      <c r="U292" s="4">
        <v>0</v>
      </c>
      <c r="V292" s="4">
        <v>12</v>
      </c>
      <c r="W292" s="4">
        <v>66</v>
      </c>
    </row>
    <row r="293" spans="1:23" ht="11.25" customHeight="1" x14ac:dyDescent="0.25">
      <c r="A293" s="4" t="s">
        <v>28</v>
      </c>
      <c r="B293" s="4" t="s">
        <v>35</v>
      </c>
      <c r="C293" s="4" t="s">
        <v>39</v>
      </c>
      <c r="D293" s="4" t="s">
        <v>40</v>
      </c>
      <c r="E293" s="4" t="s">
        <v>25</v>
      </c>
      <c r="F293" s="4" t="s">
        <v>25</v>
      </c>
      <c r="G293" s="4" t="s">
        <v>25</v>
      </c>
      <c r="H293" s="4" t="s">
        <v>37</v>
      </c>
      <c r="I293" s="5">
        <v>44562</v>
      </c>
      <c r="J293" s="6">
        <v>0</v>
      </c>
      <c r="K293" s="6">
        <v>0</v>
      </c>
      <c r="L293" s="6">
        <v>4.4880000000000004</v>
      </c>
      <c r="M293" s="6">
        <v>4.4880000000000004</v>
      </c>
      <c r="N293" s="6">
        <v>4.4880000000000004</v>
      </c>
      <c r="O293" s="6">
        <v>4.4880000000000004</v>
      </c>
      <c r="P293" s="6">
        <v>0</v>
      </c>
      <c r="Q293" s="4" t="s">
        <v>26</v>
      </c>
      <c r="R293" s="4">
        <v>0</v>
      </c>
      <c r="S293" s="4" t="s">
        <v>216</v>
      </c>
      <c r="T293" s="4" t="s">
        <v>337</v>
      </c>
      <c r="U293" s="4">
        <v>0</v>
      </c>
      <c r="V293" s="4">
        <v>12</v>
      </c>
      <c r="W293" s="4">
        <v>66</v>
      </c>
    </row>
    <row r="294" spans="1:23" ht="11.25" customHeight="1" x14ac:dyDescent="0.25">
      <c r="A294" s="4" t="s">
        <v>21</v>
      </c>
      <c r="B294" s="4" t="s">
        <v>35</v>
      </c>
      <c r="C294" s="4" t="s">
        <v>39</v>
      </c>
      <c r="D294" s="4" t="s">
        <v>40</v>
      </c>
      <c r="E294" s="4" t="s">
        <v>25</v>
      </c>
      <c r="F294" s="4" t="s">
        <v>25</v>
      </c>
      <c r="G294" s="4" t="s">
        <v>25</v>
      </c>
      <c r="H294" s="4" t="s">
        <v>37</v>
      </c>
      <c r="I294" s="5">
        <v>44593</v>
      </c>
      <c r="J294" s="6">
        <v>0</v>
      </c>
      <c r="K294" s="6">
        <v>0</v>
      </c>
      <c r="L294" s="6">
        <v>119.126</v>
      </c>
      <c r="M294" s="6">
        <v>119.126</v>
      </c>
      <c r="N294" s="6">
        <v>119.126</v>
      </c>
      <c r="O294" s="6">
        <v>119.126</v>
      </c>
      <c r="P294" s="6">
        <v>0</v>
      </c>
      <c r="Q294" s="4" t="s">
        <v>26</v>
      </c>
      <c r="R294" s="4">
        <v>0</v>
      </c>
      <c r="S294" s="4" t="s">
        <v>217</v>
      </c>
      <c r="T294" s="4" t="s">
        <v>338</v>
      </c>
      <c r="U294" s="4">
        <v>0</v>
      </c>
      <c r="V294" s="4">
        <v>12</v>
      </c>
      <c r="W294" s="4">
        <v>66</v>
      </c>
    </row>
    <row r="295" spans="1:23" ht="11.25" customHeight="1" x14ac:dyDescent="0.25">
      <c r="A295" s="4" t="s">
        <v>27</v>
      </c>
      <c r="B295" s="4" t="s">
        <v>35</v>
      </c>
      <c r="C295" s="4" t="s">
        <v>39</v>
      </c>
      <c r="D295" s="4" t="s">
        <v>40</v>
      </c>
      <c r="E295" s="4" t="s">
        <v>25</v>
      </c>
      <c r="F295" s="4" t="s">
        <v>25</v>
      </c>
      <c r="G295" s="4" t="s">
        <v>25</v>
      </c>
      <c r="H295" s="4" t="s">
        <v>37</v>
      </c>
      <c r="I295" s="5">
        <v>44593</v>
      </c>
      <c r="J295" s="6">
        <v>0</v>
      </c>
      <c r="K295" s="6">
        <v>0</v>
      </c>
      <c r="L295" s="6">
        <v>-0.34</v>
      </c>
      <c r="M295" s="6">
        <v>-0.34</v>
      </c>
      <c r="N295" s="6">
        <v>-0.34</v>
      </c>
      <c r="O295" s="6">
        <v>-0.34</v>
      </c>
      <c r="P295" s="6">
        <v>0</v>
      </c>
      <c r="Q295" s="4" t="s">
        <v>26</v>
      </c>
      <c r="R295" s="4">
        <v>0</v>
      </c>
      <c r="S295" s="4" t="s">
        <v>217</v>
      </c>
      <c r="T295" s="4" t="s">
        <v>338</v>
      </c>
      <c r="U295" s="4">
        <v>0</v>
      </c>
      <c r="V295" s="4">
        <v>12</v>
      </c>
      <c r="W295" s="4">
        <v>66</v>
      </c>
    </row>
    <row r="296" spans="1:23" ht="11.25" customHeight="1" x14ac:dyDescent="0.25">
      <c r="A296" s="4" t="s">
        <v>28</v>
      </c>
      <c r="B296" s="4" t="s">
        <v>35</v>
      </c>
      <c r="C296" s="4" t="s">
        <v>39</v>
      </c>
      <c r="D296" s="4" t="s">
        <v>40</v>
      </c>
      <c r="E296" s="4" t="s">
        <v>25</v>
      </c>
      <c r="F296" s="4" t="s">
        <v>25</v>
      </c>
      <c r="G296" s="4" t="s">
        <v>25</v>
      </c>
      <c r="H296" s="4" t="s">
        <v>37</v>
      </c>
      <c r="I296" s="5">
        <v>44593</v>
      </c>
      <c r="J296" s="6">
        <v>0</v>
      </c>
      <c r="K296" s="6">
        <v>0</v>
      </c>
      <c r="L296" s="6">
        <v>8.7899999999999991</v>
      </c>
      <c r="M296" s="6">
        <v>8.7899999999999991</v>
      </c>
      <c r="N296" s="6">
        <v>8.7899999999999991</v>
      </c>
      <c r="O296" s="6">
        <v>8.7899999999999991</v>
      </c>
      <c r="P296" s="6">
        <v>0</v>
      </c>
      <c r="Q296" s="4" t="s">
        <v>26</v>
      </c>
      <c r="R296" s="4">
        <v>0</v>
      </c>
      <c r="S296" s="4" t="s">
        <v>217</v>
      </c>
      <c r="T296" s="4" t="s">
        <v>338</v>
      </c>
      <c r="U296" s="4">
        <v>0</v>
      </c>
      <c r="V296" s="4">
        <v>12</v>
      </c>
      <c r="W296" s="4">
        <v>66</v>
      </c>
    </row>
    <row r="297" spans="1:23" ht="11.25" customHeight="1" x14ac:dyDescent="0.25">
      <c r="A297" s="4" t="s">
        <v>21</v>
      </c>
      <c r="B297" s="4" t="s">
        <v>35</v>
      </c>
      <c r="C297" s="4" t="s">
        <v>39</v>
      </c>
      <c r="D297" s="4" t="s">
        <v>40</v>
      </c>
      <c r="E297" s="4" t="s">
        <v>25</v>
      </c>
      <c r="F297" s="4" t="s">
        <v>25</v>
      </c>
      <c r="G297" s="4" t="s">
        <v>25</v>
      </c>
      <c r="H297" s="4" t="s">
        <v>37</v>
      </c>
      <c r="I297" s="5">
        <v>44621</v>
      </c>
      <c r="J297" s="6">
        <v>0</v>
      </c>
      <c r="K297" s="6">
        <v>0</v>
      </c>
      <c r="L297" s="6">
        <v>137.07599999999999</v>
      </c>
      <c r="M297" s="6">
        <v>137.07599999999999</v>
      </c>
      <c r="N297" s="6">
        <v>137.07599999999999</v>
      </c>
      <c r="O297" s="6">
        <v>137.07599999999999</v>
      </c>
      <c r="P297" s="6">
        <v>0</v>
      </c>
      <c r="Q297" s="4" t="s">
        <v>26</v>
      </c>
      <c r="R297" s="4">
        <v>0</v>
      </c>
      <c r="S297" s="4" t="s">
        <v>218</v>
      </c>
      <c r="T297" s="4" t="s">
        <v>339</v>
      </c>
      <c r="U297" s="4">
        <v>0</v>
      </c>
      <c r="V297" s="4">
        <v>12</v>
      </c>
      <c r="W297" s="4">
        <v>66</v>
      </c>
    </row>
    <row r="298" spans="1:23" ht="11.25" customHeight="1" x14ac:dyDescent="0.25">
      <c r="A298" s="4" t="s">
        <v>27</v>
      </c>
      <c r="B298" s="4" t="s">
        <v>35</v>
      </c>
      <c r="C298" s="4" t="s">
        <v>39</v>
      </c>
      <c r="D298" s="4" t="s">
        <v>40</v>
      </c>
      <c r="E298" s="4" t="s">
        <v>25</v>
      </c>
      <c r="F298" s="4" t="s">
        <v>25</v>
      </c>
      <c r="G298" s="4" t="s">
        <v>25</v>
      </c>
      <c r="H298" s="4" t="s">
        <v>37</v>
      </c>
      <c r="I298" s="5">
        <v>44621</v>
      </c>
      <c r="J298" s="6">
        <v>0</v>
      </c>
      <c r="K298" s="6">
        <v>0</v>
      </c>
      <c r="L298" s="6">
        <v>-0.66100000000000003</v>
      </c>
      <c r="M298" s="6">
        <v>-0.66100000000000003</v>
      </c>
      <c r="N298" s="6">
        <v>-0.66100000000000003</v>
      </c>
      <c r="O298" s="6">
        <v>-0.66100000000000003</v>
      </c>
      <c r="P298" s="6">
        <v>0</v>
      </c>
      <c r="Q298" s="4" t="s">
        <v>26</v>
      </c>
      <c r="R298" s="4">
        <v>0</v>
      </c>
      <c r="S298" s="4" t="s">
        <v>218</v>
      </c>
      <c r="T298" s="4" t="s">
        <v>339</v>
      </c>
      <c r="U298" s="4">
        <v>0</v>
      </c>
      <c r="V298" s="4">
        <v>12</v>
      </c>
      <c r="W298" s="4">
        <v>66</v>
      </c>
    </row>
    <row r="299" spans="1:23" ht="11.25" customHeight="1" x14ac:dyDescent="0.25">
      <c r="A299" s="4" t="s">
        <v>28</v>
      </c>
      <c r="B299" s="4" t="s">
        <v>35</v>
      </c>
      <c r="C299" s="4" t="s">
        <v>39</v>
      </c>
      <c r="D299" s="4" t="s">
        <v>40</v>
      </c>
      <c r="E299" s="4" t="s">
        <v>25</v>
      </c>
      <c r="F299" s="4" t="s">
        <v>25</v>
      </c>
      <c r="G299" s="4" t="s">
        <v>25</v>
      </c>
      <c r="H299" s="4" t="s">
        <v>37</v>
      </c>
      <c r="I299" s="5">
        <v>44621</v>
      </c>
      <c r="J299" s="6">
        <v>0</v>
      </c>
      <c r="K299" s="6">
        <v>0</v>
      </c>
      <c r="L299" s="6">
        <v>10.946</v>
      </c>
      <c r="M299" s="6">
        <v>10.946</v>
      </c>
      <c r="N299" s="6">
        <v>10.946</v>
      </c>
      <c r="O299" s="6">
        <v>10.946</v>
      </c>
      <c r="P299" s="6">
        <v>0</v>
      </c>
      <c r="Q299" s="4" t="s">
        <v>26</v>
      </c>
      <c r="R299" s="4">
        <v>0</v>
      </c>
      <c r="S299" s="4" t="s">
        <v>218</v>
      </c>
      <c r="T299" s="4" t="s">
        <v>339</v>
      </c>
      <c r="U299" s="4">
        <v>0</v>
      </c>
      <c r="V299" s="4">
        <v>12</v>
      </c>
      <c r="W299" s="4">
        <v>66</v>
      </c>
    </row>
    <row r="300" spans="1:23" ht="11.25" customHeight="1" x14ac:dyDescent="0.25">
      <c r="A300" s="4" t="s">
        <v>21</v>
      </c>
      <c r="B300" s="4" t="s">
        <v>35</v>
      </c>
      <c r="C300" s="4" t="s">
        <v>39</v>
      </c>
      <c r="D300" s="4" t="s">
        <v>40</v>
      </c>
      <c r="E300" s="4" t="s">
        <v>25</v>
      </c>
      <c r="F300" s="4" t="s">
        <v>25</v>
      </c>
      <c r="G300" s="4" t="s">
        <v>25</v>
      </c>
      <c r="H300" s="4" t="s">
        <v>37</v>
      </c>
      <c r="I300" s="5">
        <v>44652</v>
      </c>
      <c r="J300" s="6">
        <v>0</v>
      </c>
      <c r="K300" s="6">
        <v>0</v>
      </c>
      <c r="L300" s="6">
        <v>181.124</v>
      </c>
      <c r="M300" s="6">
        <v>181.124</v>
      </c>
      <c r="N300" s="6">
        <v>181.124</v>
      </c>
      <c r="O300" s="6">
        <v>181.124</v>
      </c>
      <c r="P300" s="6">
        <v>0</v>
      </c>
      <c r="Q300" s="4" t="s">
        <v>26</v>
      </c>
      <c r="R300" s="4">
        <v>0</v>
      </c>
      <c r="S300" s="4" t="s">
        <v>219</v>
      </c>
      <c r="T300" s="4" t="s">
        <v>340</v>
      </c>
      <c r="U300" s="4">
        <v>0</v>
      </c>
      <c r="V300" s="4">
        <v>12</v>
      </c>
      <c r="W300" s="4">
        <v>66</v>
      </c>
    </row>
    <row r="301" spans="1:23" ht="11.25" customHeight="1" x14ac:dyDescent="0.25">
      <c r="A301" s="4" t="s">
        <v>27</v>
      </c>
      <c r="B301" s="4" t="s">
        <v>35</v>
      </c>
      <c r="C301" s="4" t="s">
        <v>39</v>
      </c>
      <c r="D301" s="4" t="s">
        <v>40</v>
      </c>
      <c r="E301" s="4" t="s">
        <v>25</v>
      </c>
      <c r="F301" s="4" t="s">
        <v>25</v>
      </c>
      <c r="G301" s="4" t="s">
        <v>25</v>
      </c>
      <c r="H301" s="4" t="s">
        <v>37</v>
      </c>
      <c r="I301" s="5">
        <v>44652</v>
      </c>
      <c r="J301" s="6">
        <v>0</v>
      </c>
      <c r="K301" s="6">
        <v>0</v>
      </c>
      <c r="L301" s="6">
        <v>-14.768000000000001</v>
      </c>
      <c r="M301" s="6">
        <v>-14.768000000000001</v>
      </c>
      <c r="N301" s="6">
        <v>-14.768000000000001</v>
      </c>
      <c r="O301" s="6">
        <v>-14.768000000000001</v>
      </c>
      <c r="P301" s="6">
        <v>0</v>
      </c>
      <c r="Q301" s="4" t="s">
        <v>26</v>
      </c>
      <c r="R301" s="4">
        <v>0</v>
      </c>
      <c r="S301" s="4" t="s">
        <v>219</v>
      </c>
      <c r="T301" s="4" t="s">
        <v>340</v>
      </c>
      <c r="U301" s="4">
        <v>0</v>
      </c>
      <c r="V301" s="4">
        <v>12</v>
      </c>
      <c r="W301" s="4">
        <v>66</v>
      </c>
    </row>
    <row r="302" spans="1:23" ht="11.25" customHeight="1" x14ac:dyDescent="0.25">
      <c r="A302" s="4" t="s">
        <v>28</v>
      </c>
      <c r="B302" s="4" t="s">
        <v>35</v>
      </c>
      <c r="C302" s="4" t="s">
        <v>39</v>
      </c>
      <c r="D302" s="4" t="s">
        <v>40</v>
      </c>
      <c r="E302" s="4" t="s">
        <v>25</v>
      </c>
      <c r="F302" s="4" t="s">
        <v>25</v>
      </c>
      <c r="G302" s="4" t="s">
        <v>25</v>
      </c>
      <c r="H302" s="4" t="s">
        <v>37</v>
      </c>
      <c r="I302" s="5">
        <v>44652</v>
      </c>
      <c r="J302" s="6">
        <v>0</v>
      </c>
      <c r="K302" s="6">
        <v>0</v>
      </c>
      <c r="L302" s="6">
        <v>24.75</v>
      </c>
      <c r="M302" s="6">
        <v>24.75</v>
      </c>
      <c r="N302" s="6">
        <v>24.75</v>
      </c>
      <c r="O302" s="6">
        <v>24.75</v>
      </c>
      <c r="P302" s="6">
        <v>0</v>
      </c>
      <c r="Q302" s="4" t="s">
        <v>26</v>
      </c>
      <c r="R302" s="4">
        <v>0</v>
      </c>
      <c r="S302" s="4" t="s">
        <v>219</v>
      </c>
      <c r="T302" s="4" t="s">
        <v>340</v>
      </c>
      <c r="U302" s="4">
        <v>0</v>
      </c>
      <c r="V302" s="4">
        <v>12</v>
      </c>
      <c r="W302" s="4">
        <v>66</v>
      </c>
    </row>
    <row r="303" spans="1:23" ht="11.25" customHeight="1" x14ac:dyDescent="0.25">
      <c r="A303" s="4" t="s">
        <v>21</v>
      </c>
      <c r="B303" s="4" t="s">
        <v>35</v>
      </c>
      <c r="C303" s="4" t="s">
        <v>39</v>
      </c>
      <c r="D303" s="4" t="s">
        <v>40</v>
      </c>
      <c r="E303" s="4" t="s">
        <v>25</v>
      </c>
      <c r="F303" s="4" t="s">
        <v>25</v>
      </c>
      <c r="G303" s="4" t="s">
        <v>25</v>
      </c>
      <c r="H303" s="4" t="s">
        <v>37</v>
      </c>
      <c r="I303" s="5">
        <v>44682</v>
      </c>
      <c r="J303" s="6">
        <v>0</v>
      </c>
      <c r="K303" s="6">
        <v>0</v>
      </c>
      <c r="L303" s="6">
        <v>187.631</v>
      </c>
      <c r="M303" s="6">
        <v>187.631</v>
      </c>
      <c r="N303" s="6">
        <v>187.631</v>
      </c>
      <c r="O303" s="6">
        <v>187.631</v>
      </c>
      <c r="P303" s="6">
        <v>0</v>
      </c>
      <c r="Q303" s="4" t="s">
        <v>26</v>
      </c>
      <c r="R303" s="4">
        <v>0</v>
      </c>
      <c r="S303" s="4" t="s">
        <v>220</v>
      </c>
      <c r="T303" s="4" t="s">
        <v>341</v>
      </c>
      <c r="U303" s="4">
        <v>0</v>
      </c>
      <c r="V303" s="4">
        <v>12</v>
      </c>
      <c r="W303" s="4">
        <v>66</v>
      </c>
    </row>
    <row r="304" spans="1:23" ht="11.25" customHeight="1" x14ac:dyDescent="0.25">
      <c r="A304" s="4" t="s">
        <v>27</v>
      </c>
      <c r="B304" s="4" t="s">
        <v>35</v>
      </c>
      <c r="C304" s="4" t="s">
        <v>39</v>
      </c>
      <c r="D304" s="4" t="s">
        <v>40</v>
      </c>
      <c r="E304" s="4" t="s">
        <v>25</v>
      </c>
      <c r="F304" s="4" t="s">
        <v>25</v>
      </c>
      <c r="G304" s="4" t="s">
        <v>25</v>
      </c>
      <c r="H304" s="4" t="s">
        <v>37</v>
      </c>
      <c r="I304" s="5">
        <v>44682</v>
      </c>
      <c r="J304" s="6">
        <v>0</v>
      </c>
      <c r="K304" s="6">
        <v>0</v>
      </c>
      <c r="L304" s="6">
        <v>-1.6659999999999999</v>
      </c>
      <c r="M304" s="6">
        <v>-1.6659999999999999</v>
      </c>
      <c r="N304" s="6">
        <v>-1.6659999999999999</v>
      </c>
      <c r="O304" s="6">
        <v>-1.6659999999999999</v>
      </c>
      <c r="P304" s="6">
        <v>0</v>
      </c>
      <c r="Q304" s="4" t="s">
        <v>26</v>
      </c>
      <c r="R304" s="4">
        <v>0</v>
      </c>
      <c r="S304" s="4" t="s">
        <v>220</v>
      </c>
      <c r="T304" s="4" t="s">
        <v>341</v>
      </c>
      <c r="U304" s="4">
        <v>0</v>
      </c>
      <c r="V304" s="4">
        <v>12</v>
      </c>
      <c r="W304" s="4">
        <v>66</v>
      </c>
    </row>
    <row r="305" spans="1:23" ht="11.25" customHeight="1" x14ac:dyDescent="0.25">
      <c r="A305" s="4" t="s">
        <v>28</v>
      </c>
      <c r="B305" s="4" t="s">
        <v>35</v>
      </c>
      <c r="C305" s="4" t="s">
        <v>39</v>
      </c>
      <c r="D305" s="4" t="s">
        <v>40</v>
      </c>
      <c r="E305" s="4" t="s">
        <v>25</v>
      </c>
      <c r="F305" s="4" t="s">
        <v>25</v>
      </c>
      <c r="G305" s="4" t="s">
        <v>25</v>
      </c>
      <c r="H305" s="4" t="s">
        <v>37</v>
      </c>
      <c r="I305" s="5">
        <v>44682</v>
      </c>
      <c r="J305" s="6">
        <v>0</v>
      </c>
      <c r="K305" s="6">
        <v>0</v>
      </c>
      <c r="L305" s="6">
        <v>13.974</v>
      </c>
      <c r="M305" s="6">
        <v>13.974</v>
      </c>
      <c r="N305" s="6">
        <v>13.974</v>
      </c>
      <c r="O305" s="6">
        <v>13.974</v>
      </c>
      <c r="P305" s="6">
        <v>0</v>
      </c>
      <c r="Q305" s="4" t="s">
        <v>26</v>
      </c>
      <c r="R305" s="4">
        <v>0</v>
      </c>
      <c r="S305" s="4" t="s">
        <v>220</v>
      </c>
      <c r="T305" s="4" t="s">
        <v>341</v>
      </c>
      <c r="U305" s="4">
        <v>0</v>
      </c>
      <c r="V305" s="4">
        <v>12</v>
      </c>
      <c r="W305" s="4">
        <v>66</v>
      </c>
    </row>
    <row r="306" spans="1:23" ht="11.25" customHeight="1" x14ac:dyDescent="0.25">
      <c r="A306" s="4" t="s">
        <v>21</v>
      </c>
      <c r="B306" s="4" t="s">
        <v>35</v>
      </c>
      <c r="C306" s="4" t="s">
        <v>39</v>
      </c>
      <c r="D306" s="4" t="s">
        <v>40</v>
      </c>
      <c r="E306" s="4" t="s">
        <v>25</v>
      </c>
      <c r="F306" s="4" t="s">
        <v>25</v>
      </c>
      <c r="G306" s="4" t="s">
        <v>25</v>
      </c>
      <c r="H306" s="4" t="s">
        <v>37</v>
      </c>
      <c r="I306" s="5">
        <v>44713</v>
      </c>
      <c r="J306" s="6">
        <v>0</v>
      </c>
      <c r="K306" s="6">
        <v>0</v>
      </c>
      <c r="L306" s="6">
        <v>185.31</v>
      </c>
      <c r="M306" s="6">
        <v>185.31</v>
      </c>
      <c r="N306" s="6">
        <v>185.31</v>
      </c>
      <c r="O306" s="6">
        <v>185.31</v>
      </c>
      <c r="P306" s="6">
        <v>0</v>
      </c>
      <c r="Q306" s="4" t="s">
        <v>26</v>
      </c>
      <c r="R306" s="4">
        <v>0</v>
      </c>
      <c r="S306" s="4" t="s">
        <v>221</v>
      </c>
      <c r="T306" s="4" t="s">
        <v>342</v>
      </c>
      <c r="U306" s="4">
        <v>0</v>
      </c>
      <c r="V306" s="4">
        <v>12</v>
      </c>
      <c r="W306" s="4">
        <v>66</v>
      </c>
    </row>
    <row r="307" spans="1:23" ht="11.25" customHeight="1" x14ac:dyDescent="0.25">
      <c r="A307" s="4" t="s">
        <v>27</v>
      </c>
      <c r="B307" s="4" t="s">
        <v>35</v>
      </c>
      <c r="C307" s="4" t="s">
        <v>39</v>
      </c>
      <c r="D307" s="4" t="s">
        <v>40</v>
      </c>
      <c r="E307" s="4" t="s">
        <v>25</v>
      </c>
      <c r="F307" s="4" t="s">
        <v>25</v>
      </c>
      <c r="G307" s="4" t="s">
        <v>25</v>
      </c>
      <c r="H307" s="4" t="s">
        <v>37</v>
      </c>
      <c r="I307" s="5">
        <v>44713</v>
      </c>
      <c r="J307" s="6">
        <v>0</v>
      </c>
      <c r="K307" s="6">
        <v>0</v>
      </c>
      <c r="L307" s="6">
        <v>-7.5149999999999997</v>
      </c>
      <c r="M307" s="6">
        <v>-7.5149999999999997</v>
      </c>
      <c r="N307" s="6">
        <v>-7.5149999999999997</v>
      </c>
      <c r="O307" s="6">
        <v>-7.5149999999999997</v>
      </c>
      <c r="P307" s="6">
        <v>0</v>
      </c>
      <c r="Q307" s="4" t="s">
        <v>26</v>
      </c>
      <c r="R307" s="4">
        <v>0</v>
      </c>
      <c r="S307" s="4" t="s">
        <v>221</v>
      </c>
      <c r="T307" s="4" t="s">
        <v>342</v>
      </c>
      <c r="U307" s="4">
        <v>0</v>
      </c>
      <c r="V307" s="4">
        <v>12</v>
      </c>
      <c r="W307" s="4">
        <v>66</v>
      </c>
    </row>
    <row r="308" spans="1:23" ht="11.25" customHeight="1" x14ac:dyDescent="0.25">
      <c r="A308" s="4" t="s">
        <v>28</v>
      </c>
      <c r="B308" s="4" t="s">
        <v>35</v>
      </c>
      <c r="C308" s="4" t="s">
        <v>39</v>
      </c>
      <c r="D308" s="4" t="s">
        <v>40</v>
      </c>
      <c r="E308" s="4" t="s">
        <v>25</v>
      </c>
      <c r="F308" s="4" t="s">
        <v>25</v>
      </c>
      <c r="G308" s="4" t="s">
        <v>25</v>
      </c>
      <c r="H308" s="4" t="s">
        <v>37</v>
      </c>
      <c r="I308" s="5">
        <v>44713</v>
      </c>
      <c r="J308" s="6">
        <v>0</v>
      </c>
      <c r="K308" s="6">
        <v>0</v>
      </c>
      <c r="L308" s="6">
        <v>25.175999999999998</v>
      </c>
      <c r="M308" s="6">
        <v>25.175999999999998</v>
      </c>
      <c r="N308" s="6">
        <v>25.175999999999998</v>
      </c>
      <c r="O308" s="6">
        <v>25.175999999999998</v>
      </c>
      <c r="P308" s="6">
        <v>0</v>
      </c>
      <c r="Q308" s="4" t="s">
        <v>26</v>
      </c>
      <c r="R308" s="4">
        <v>0</v>
      </c>
      <c r="S308" s="4" t="s">
        <v>221</v>
      </c>
      <c r="T308" s="4" t="s">
        <v>342</v>
      </c>
      <c r="U308" s="4">
        <v>0</v>
      </c>
      <c r="V308" s="4">
        <v>12</v>
      </c>
      <c r="W308" s="4">
        <v>66</v>
      </c>
    </row>
    <row r="309" spans="1:23" ht="11.25" customHeight="1" x14ac:dyDescent="0.25">
      <c r="A309" s="4" t="s">
        <v>21</v>
      </c>
      <c r="B309" s="4" t="s">
        <v>35</v>
      </c>
      <c r="C309" s="4" t="s">
        <v>39</v>
      </c>
      <c r="D309" s="4" t="s">
        <v>49</v>
      </c>
      <c r="E309" s="4" t="s">
        <v>25</v>
      </c>
      <c r="F309" s="4" t="s">
        <v>25</v>
      </c>
      <c r="G309" s="4" t="s">
        <v>25</v>
      </c>
      <c r="H309" s="4" t="s">
        <v>38</v>
      </c>
      <c r="I309" s="5">
        <v>44378</v>
      </c>
      <c r="J309" s="6">
        <v>0</v>
      </c>
      <c r="K309" s="6">
        <v>0</v>
      </c>
      <c r="L309" s="6">
        <v>30.088000000000001</v>
      </c>
      <c r="M309" s="6">
        <v>30.088000000000001</v>
      </c>
      <c r="N309" s="6">
        <v>30.088000000000001</v>
      </c>
      <c r="O309" s="6">
        <v>30.088000000000001</v>
      </c>
      <c r="P309" s="6">
        <v>0</v>
      </c>
      <c r="Q309" s="4" t="s">
        <v>26</v>
      </c>
      <c r="R309" s="4">
        <v>0</v>
      </c>
      <c r="S309" s="4" t="s">
        <v>186</v>
      </c>
      <c r="T309" s="4" t="s">
        <v>319</v>
      </c>
      <c r="U309" s="4">
        <v>0</v>
      </c>
      <c r="V309" s="4">
        <v>25</v>
      </c>
      <c r="W309" s="4">
        <v>59</v>
      </c>
    </row>
    <row r="310" spans="1:23" ht="11.25" customHeight="1" x14ac:dyDescent="0.25">
      <c r="A310" s="4" t="s">
        <v>21</v>
      </c>
      <c r="B310" s="4" t="s">
        <v>35</v>
      </c>
      <c r="C310" s="4" t="s">
        <v>39</v>
      </c>
      <c r="D310" s="4" t="s">
        <v>49</v>
      </c>
      <c r="E310" s="4" t="s">
        <v>25</v>
      </c>
      <c r="F310" s="4" t="s">
        <v>25</v>
      </c>
      <c r="G310" s="4" t="s">
        <v>25</v>
      </c>
      <c r="H310" s="4" t="s">
        <v>38</v>
      </c>
      <c r="I310" s="5">
        <v>44409</v>
      </c>
      <c r="J310" s="6">
        <v>0</v>
      </c>
      <c r="K310" s="6">
        <v>0</v>
      </c>
      <c r="L310" s="6">
        <v>33.709000000000003</v>
      </c>
      <c r="M310" s="6">
        <v>33.709000000000003</v>
      </c>
      <c r="N310" s="6">
        <v>33.709000000000003</v>
      </c>
      <c r="O310" s="6">
        <v>33.709000000000003</v>
      </c>
      <c r="P310" s="6">
        <v>0</v>
      </c>
      <c r="Q310" s="4" t="s">
        <v>26</v>
      </c>
      <c r="R310" s="4">
        <v>0</v>
      </c>
      <c r="S310" s="4" t="s">
        <v>187</v>
      </c>
      <c r="T310" s="4" t="s">
        <v>320</v>
      </c>
      <c r="U310" s="4">
        <v>0</v>
      </c>
      <c r="V310" s="4">
        <v>25</v>
      </c>
      <c r="W310" s="4">
        <v>59</v>
      </c>
    </row>
    <row r="311" spans="1:23" ht="11.25" customHeight="1" x14ac:dyDescent="0.25">
      <c r="A311" s="4" t="s">
        <v>21</v>
      </c>
      <c r="B311" s="4" t="s">
        <v>35</v>
      </c>
      <c r="C311" s="4" t="s">
        <v>39</v>
      </c>
      <c r="D311" s="4" t="s">
        <v>49</v>
      </c>
      <c r="E311" s="4" t="s">
        <v>25</v>
      </c>
      <c r="F311" s="4" t="s">
        <v>25</v>
      </c>
      <c r="G311" s="4" t="s">
        <v>25</v>
      </c>
      <c r="H311" s="4" t="s">
        <v>38</v>
      </c>
      <c r="I311" s="5">
        <v>44440</v>
      </c>
      <c r="J311" s="6">
        <v>0</v>
      </c>
      <c r="K311" s="6">
        <v>0</v>
      </c>
      <c r="L311" s="6">
        <v>32.725000000000001</v>
      </c>
      <c r="M311" s="6">
        <v>32.725000000000001</v>
      </c>
      <c r="N311" s="6">
        <v>32.725000000000001</v>
      </c>
      <c r="O311" s="6">
        <v>32.725000000000001</v>
      </c>
      <c r="P311" s="6">
        <v>0</v>
      </c>
      <c r="Q311" s="4" t="s">
        <v>26</v>
      </c>
      <c r="R311" s="4">
        <v>0</v>
      </c>
      <c r="S311" s="4" t="s">
        <v>188</v>
      </c>
      <c r="T311" s="4" t="s">
        <v>321</v>
      </c>
      <c r="U311" s="4">
        <v>0</v>
      </c>
      <c r="V311" s="4">
        <v>25</v>
      </c>
      <c r="W311" s="4">
        <v>59</v>
      </c>
    </row>
    <row r="312" spans="1:23" ht="11.25" customHeight="1" x14ac:dyDescent="0.25">
      <c r="A312" s="4" t="s">
        <v>21</v>
      </c>
      <c r="B312" s="4" t="s">
        <v>35</v>
      </c>
      <c r="C312" s="4" t="s">
        <v>39</v>
      </c>
      <c r="D312" s="4" t="s">
        <v>49</v>
      </c>
      <c r="E312" s="4" t="s">
        <v>25</v>
      </c>
      <c r="F312" s="4" t="s">
        <v>25</v>
      </c>
      <c r="G312" s="4" t="s">
        <v>25</v>
      </c>
      <c r="H312" s="4" t="s">
        <v>38</v>
      </c>
      <c r="I312" s="5">
        <v>44470</v>
      </c>
      <c r="J312" s="6">
        <v>0</v>
      </c>
      <c r="K312" s="6">
        <v>0</v>
      </c>
      <c r="L312" s="6">
        <v>30.803999999999998</v>
      </c>
      <c r="M312" s="6">
        <v>30.803999999999998</v>
      </c>
      <c r="N312" s="6">
        <v>30.803999999999998</v>
      </c>
      <c r="O312" s="6">
        <v>30.803999999999998</v>
      </c>
      <c r="P312" s="6">
        <v>0</v>
      </c>
      <c r="Q312" s="4" t="s">
        <v>26</v>
      </c>
      <c r="R312" s="4">
        <v>0</v>
      </c>
      <c r="S312" s="4" t="s">
        <v>189</v>
      </c>
      <c r="T312" s="4" t="s">
        <v>322</v>
      </c>
      <c r="U312" s="4">
        <v>0</v>
      </c>
      <c r="V312" s="4">
        <v>25</v>
      </c>
      <c r="W312" s="4">
        <v>59</v>
      </c>
    </row>
    <row r="313" spans="1:23" ht="11.25" customHeight="1" x14ac:dyDescent="0.25">
      <c r="A313" s="4" t="s">
        <v>21</v>
      </c>
      <c r="B313" s="4" t="s">
        <v>35</v>
      </c>
      <c r="C313" s="4" t="s">
        <v>39</v>
      </c>
      <c r="D313" s="4" t="s">
        <v>49</v>
      </c>
      <c r="E313" s="4" t="s">
        <v>25</v>
      </c>
      <c r="F313" s="4" t="s">
        <v>25</v>
      </c>
      <c r="G313" s="4" t="s">
        <v>25</v>
      </c>
      <c r="H313" s="4" t="s">
        <v>38</v>
      </c>
      <c r="I313" s="5">
        <v>44501</v>
      </c>
      <c r="J313" s="6">
        <v>0</v>
      </c>
      <c r="K313" s="6">
        <v>0</v>
      </c>
      <c r="L313" s="6">
        <v>72.063999999999993</v>
      </c>
      <c r="M313" s="6">
        <v>72.063999999999993</v>
      </c>
      <c r="N313" s="6">
        <v>72.063999999999993</v>
      </c>
      <c r="O313" s="6">
        <v>72.063999999999993</v>
      </c>
      <c r="P313" s="6">
        <v>0</v>
      </c>
      <c r="Q313" s="4" t="s">
        <v>26</v>
      </c>
      <c r="R313" s="4">
        <v>0</v>
      </c>
      <c r="S313" s="4" t="s">
        <v>190</v>
      </c>
      <c r="T313" s="4" t="s">
        <v>323</v>
      </c>
      <c r="U313" s="4">
        <v>0</v>
      </c>
      <c r="V313" s="4">
        <v>25</v>
      </c>
      <c r="W313" s="4">
        <v>59</v>
      </c>
    </row>
    <row r="314" spans="1:23" ht="11.25" customHeight="1" x14ac:dyDescent="0.25">
      <c r="A314" s="4" t="s">
        <v>27</v>
      </c>
      <c r="B314" s="4" t="s">
        <v>35</v>
      </c>
      <c r="C314" s="4" t="s">
        <v>39</v>
      </c>
      <c r="D314" s="4" t="s">
        <v>49</v>
      </c>
      <c r="E314" s="4" t="s">
        <v>25</v>
      </c>
      <c r="F314" s="4" t="s">
        <v>25</v>
      </c>
      <c r="G314" s="4" t="s">
        <v>25</v>
      </c>
      <c r="H314" s="4" t="s">
        <v>38</v>
      </c>
      <c r="I314" s="5">
        <v>44501</v>
      </c>
      <c r="J314" s="6">
        <v>0</v>
      </c>
      <c r="K314" s="6">
        <v>0</v>
      </c>
      <c r="L314" s="6">
        <v>-39.256999999999998</v>
      </c>
      <c r="M314" s="6">
        <v>-39.256999999999998</v>
      </c>
      <c r="N314" s="6">
        <v>-39.256999999999998</v>
      </c>
      <c r="O314" s="6">
        <v>-39.256999999999998</v>
      </c>
      <c r="P314" s="6">
        <v>0</v>
      </c>
      <c r="Q314" s="4" t="s">
        <v>26</v>
      </c>
      <c r="R314" s="4">
        <v>0</v>
      </c>
      <c r="S314" s="4" t="s">
        <v>190</v>
      </c>
      <c r="T314" s="4" t="s">
        <v>323</v>
      </c>
      <c r="U314" s="4">
        <v>0</v>
      </c>
      <c r="V314" s="4">
        <v>25</v>
      </c>
      <c r="W314" s="4">
        <v>59</v>
      </c>
    </row>
    <row r="315" spans="1:23" ht="11.25" customHeight="1" x14ac:dyDescent="0.25">
      <c r="A315" s="4" t="s">
        <v>21</v>
      </c>
      <c r="B315" s="4" t="s">
        <v>35</v>
      </c>
      <c r="C315" s="4" t="s">
        <v>39</v>
      </c>
      <c r="D315" s="4" t="s">
        <v>49</v>
      </c>
      <c r="E315" s="4" t="s">
        <v>25</v>
      </c>
      <c r="F315" s="4" t="s">
        <v>25</v>
      </c>
      <c r="G315" s="4" t="s">
        <v>25</v>
      </c>
      <c r="H315" s="4" t="s">
        <v>38</v>
      </c>
      <c r="I315" s="5">
        <v>44531</v>
      </c>
      <c r="J315" s="6">
        <v>0</v>
      </c>
      <c r="K315" s="6">
        <v>0</v>
      </c>
      <c r="L315" s="6">
        <v>34.274999999999999</v>
      </c>
      <c r="M315" s="6">
        <v>34.274999999999999</v>
      </c>
      <c r="N315" s="6">
        <v>34.274999999999999</v>
      </c>
      <c r="O315" s="6">
        <v>34.274999999999999</v>
      </c>
      <c r="P315" s="6">
        <v>0</v>
      </c>
      <c r="Q315" s="4" t="s">
        <v>26</v>
      </c>
      <c r="R315" s="4">
        <v>0</v>
      </c>
      <c r="S315" s="4" t="s">
        <v>191</v>
      </c>
      <c r="T315" s="4" t="s">
        <v>324</v>
      </c>
      <c r="U315" s="4">
        <v>0</v>
      </c>
      <c r="V315" s="4">
        <v>25</v>
      </c>
      <c r="W315" s="4">
        <v>59</v>
      </c>
    </row>
    <row r="316" spans="1:23" ht="11.25" customHeight="1" x14ac:dyDescent="0.25">
      <c r="A316" s="4" t="s">
        <v>21</v>
      </c>
      <c r="B316" s="4" t="s">
        <v>35</v>
      </c>
      <c r="C316" s="4" t="s">
        <v>39</v>
      </c>
      <c r="D316" s="4" t="s">
        <v>49</v>
      </c>
      <c r="E316" s="4" t="s">
        <v>25</v>
      </c>
      <c r="F316" s="4" t="s">
        <v>25</v>
      </c>
      <c r="G316" s="4" t="s">
        <v>25</v>
      </c>
      <c r="H316" s="4" t="s">
        <v>38</v>
      </c>
      <c r="I316" s="5">
        <v>44562</v>
      </c>
      <c r="J316" s="6">
        <v>0</v>
      </c>
      <c r="K316" s="6">
        <v>0</v>
      </c>
      <c r="L316" s="6">
        <v>38.162999999999997</v>
      </c>
      <c r="M316" s="6">
        <v>38.162999999999997</v>
      </c>
      <c r="N316" s="6">
        <v>38.162999999999997</v>
      </c>
      <c r="O316" s="6">
        <v>38.162999999999997</v>
      </c>
      <c r="P316" s="6">
        <v>0</v>
      </c>
      <c r="Q316" s="4" t="s">
        <v>26</v>
      </c>
      <c r="R316" s="4">
        <v>0</v>
      </c>
      <c r="S316" s="4" t="s">
        <v>192</v>
      </c>
      <c r="T316" s="4" t="s">
        <v>325</v>
      </c>
      <c r="U316" s="4">
        <v>0</v>
      </c>
      <c r="V316" s="4">
        <v>25</v>
      </c>
      <c r="W316" s="4">
        <v>59</v>
      </c>
    </row>
    <row r="317" spans="1:23" ht="11.25" customHeight="1" x14ac:dyDescent="0.25">
      <c r="A317" s="4" t="s">
        <v>21</v>
      </c>
      <c r="B317" s="4" t="s">
        <v>35</v>
      </c>
      <c r="C317" s="4" t="s">
        <v>39</v>
      </c>
      <c r="D317" s="4" t="s">
        <v>49</v>
      </c>
      <c r="E317" s="4" t="s">
        <v>25</v>
      </c>
      <c r="F317" s="4" t="s">
        <v>25</v>
      </c>
      <c r="G317" s="4" t="s">
        <v>25</v>
      </c>
      <c r="H317" s="4" t="s">
        <v>38</v>
      </c>
      <c r="I317" s="5">
        <v>44593</v>
      </c>
      <c r="J317" s="6">
        <v>0</v>
      </c>
      <c r="K317" s="6">
        <v>0</v>
      </c>
      <c r="L317" s="6">
        <v>90.84</v>
      </c>
      <c r="M317" s="6">
        <v>90.84</v>
      </c>
      <c r="N317" s="6">
        <v>90.84</v>
      </c>
      <c r="O317" s="6">
        <v>90.84</v>
      </c>
      <c r="P317" s="6">
        <v>0</v>
      </c>
      <c r="Q317" s="4" t="s">
        <v>26</v>
      </c>
      <c r="R317" s="4">
        <v>0</v>
      </c>
      <c r="S317" s="4" t="s">
        <v>193</v>
      </c>
      <c r="T317" s="4" t="s">
        <v>326</v>
      </c>
      <c r="U317" s="4">
        <v>0</v>
      </c>
      <c r="V317" s="4">
        <v>25</v>
      </c>
      <c r="W317" s="4">
        <v>59</v>
      </c>
    </row>
    <row r="318" spans="1:23" ht="11.25" customHeight="1" x14ac:dyDescent="0.25">
      <c r="A318" s="4" t="s">
        <v>27</v>
      </c>
      <c r="B318" s="4" t="s">
        <v>35</v>
      </c>
      <c r="C318" s="4" t="s">
        <v>39</v>
      </c>
      <c r="D318" s="4" t="s">
        <v>49</v>
      </c>
      <c r="E318" s="4" t="s">
        <v>25</v>
      </c>
      <c r="F318" s="4" t="s">
        <v>25</v>
      </c>
      <c r="G318" s="4" t="s">
        <v>25</v>
      </c>
      <c r="H318" s="4" t="s">
        <v>38</v>
      </c>
      <c r="I318" s="5">
        <v>44593</v>
      </c>
      <c r="J318" s="6">
        <v>0</v>
      </c>
      <c r="K318" s="6">
        <v>0</v>
      </c>
      <c r="L318" s="6">
        <v>-49.624000000000002</v>
      </c>
      <c r="M318" s="6">
        <v>-49.624000000000002</v>
      </c>
      <c r="N318" s="6">
        <v>-49.624000000000002</v>
      </c>
      <c r="O318" s="6">
        <v>-49.624000000000002</v>
      </c>
      <c r="P318" s="6">
        <v>0</v>
      </c>
      <c r="Q318" s="4" t="s">
        <v>26</v>
      </c>
      <c r="R318" s="4">
        <v>0</v>
      </c>
      <c r="S318" s="4" t="s">
        <v>193</v>
      </c>
      <c r="T318" s="4" t="s">
        <v>326</v>
      </c>
      <c r="U318" s="4">
        <v>0</v>
      </c>
      <c r="V318" s="4">
        <v>25</v>
      </c>
      <c r="W318" s="4">
        <v>59</v>
      </c>
    </row>
    <row r="319" spans="1:23" ht="11.25" customHeight="1" x14ac:dyDescent="0.25">
      <c r="A319" s="4" t="s">
        <v>21</v>
      </c>
      <c r="B319" s="4" t="s">
        <v>35</v>
      </c>
      <c r="C319" s="4" t="s">
        <v>39</v>
      </c>
      <c r="D319" s="4" t="s">
        <v>49</v>
      </c>
      <c r="E319" s="4" t="s">
        <v>25</v>
      </c>
      <c r="F319" s="4" t="s">
        <v>25</v>
      </c>
      <c r="G319" s="4" t="s">
        <v>25</v>
      </c>
      <c r="H319" s="4" t="s">
        <v>38</v>
      </c>
      <c r="I319" s="5">
        <v>44621</v>
      </c>
      <c r="J319" s="6">
        <v>0</v>
      </c>
      <c r="K319" s="6">
        <v>0</v>
      </c>
      <c r="L319" s="6">
        <v>79.659000000000006</v>
      </c>
      <c r="M319" s="6">
        <v>79.659000000000006</v>
      </c>
      <c r="N319" s="6">
        <v>79.659000000000006</v>
      </c>
      <c r="O319" s="6">
        <v>79.659000000000006</v>
      </c>
      <c r="P319" s="6">
        <v>0</v>
      </c>
      <c r="Q319" s="4" t="s">
        <v>26</v>
      </c>
      <c r="R319" s="4">
        <v>0</v>
      </c>
      <c r="S319" s="4" t="s">
        <v>194</v>
      </c>
      <c r="T319" s="4" t="s">
        <v>327</v>
      </c>
      <c r="U319" s="4">
        <v>0</v>
      </c>
      <c r="V319" s="4">
        <v>25</v>
      </c>
      <c r="W319" s="4">
        <v>59</v>
      </c>
    </row>
    <row r="320" spans="1:23" ht="11.25" customHeight="1" x14ac:dyDescent="0.25">
      <c r="A320" s="4" t="s">
        <v>27</v>
      </c>
      <c r="B320" s="4" t="s">
        <v>35</v>
      </c>
      <c r="C320" s="4" t="s">
        <v>39</v>
      </c>
      <c r="D320" s="4" t="s">
        <v>49</v>
      </c>
      <c r="E320" s="4" t="s">
        <v>25</v>
      </c>
      <c r="F320" s="4" t="s">
        <v>25</v>
      </c>
      <c r="G320" s="4" t="s">
        <v>25</v>
      </c>
      <c r="H320" s="4" t="s">
        <v>38</v>
      </c>
      <c r="I320" s="5">
        <v>44621</v>
      </c>
      <c r="J320" s="6">
        <v>0</v>
      </c>
      <c r="K320" s="6">
        <v>0</v>
      </c>
      <c r="L320" s="6">
        <v>-43.320999999999998</v>
      </c>
      <c r="M320" s="6">
        <v>-43.320999999999998</v>
      </c>
      <c r="N320" s="6">
        <v>-43.320999999999998</v>
      </c>
      <c r="O320" s="6">
        <v>-43.320999999999998</v>
      </c>
      <c r="P320" s="6">
        <v>0</v>
      </c>
      <c r="Q320" s="4" t="s">
        <v>26</v>
      </c>
      <c r="R320" s="4">
        <v>0</v>
      </c>
      <c r="S320" s="4" t="s">
        <v>194</v>
      </c>
      <c r="T320" s="4" t="s">
        <v>327</v>
      </c>
      <c r="U320" s="4">
        <v>0</v>
      </c>
      <c r="V320" s="4">
        <v>25</v>
      </c>
      <c r="W320" s="4">
        <v>59</v>
      </c>
    </row>
    <row r="321" spans="1:23" ht="11.25" customHeight="1" x14ac:dyDescent="0.25">
      <c r="A321" s="4" t="s">
        <v>21</v>
      </c>
      <c r="B321" s="4" t="s">
        <v>35</v>
      </c>
      <c r="C321" s="4" t="s">
        <v>39</v>
      </c>
      <c r="D321" s="4" t="s">
        <v>49</v>
      </c>
      <c r="E321" s="4" t="s">
        <v>25</v>
      </c>
      <c r="F321" s="4" t="s">
        <v>25</v>
      </c>
      <c r="G321" s="4" t="s">
        <v>25</v>
      </c>
      <c r="H321" s="4" t="s">
        <v>38</v>
      </c>
      <c r="I321" s="5">
        <v>44652</v>
      </c>
      <c r="J321" s="6">
        <v>0</v>
      </c>
      <c r="K321" s="6">
        <v>0</v>
      </c>
      <c r="L321" s="6">
        <v>38.289000000000001</v>
      </c>
      <c r="M321" s="6">
        <v>38.289000000000001</v>
      </c>
      <c r="N321" s="6">
        <v>38.289000000000001</v>
      </c>
      <c r="O321" s="6">
        <v>38.289000000000001</v>
      </c>
      <c r="P321" s="6">
        <v>0</v>
      </c>
      <c r="Q321" s="4" t="s">
        <v>26</v>
      </c>
      <c r="R321" s="4">
        <v>0</v>
      </c>
      <c r="S321" s="4" t="s">
        <v>195</v>
      </c>
      <c r="T321" s="4" t="s">
        <v>328</v>
      </c>
      <c r="U321" s="4">
        <v>0</v>
      </c>
      <c r="V321" s="4">
        <v>25</v>
      </c>
      <c r="W321" s="4">
        <v>59</v>
      </c>
    </row>
    <row r="322" spans="1:23" ht="11.25" customHeight="1" x14ac:dyDescent="0.25">
      <c r="A322" s="4" t="s">
        <v>21</v>
      </c>
      <c r="B322" s="4" t="s">
        <v>35</v>
      </c>
      <c r="C322" s="4" t="s">
        <v>39</v>
      </c>
      <c r="D322" s="4" t="s">
        <v>49</v>
      </c>
      <c r="E322" s="4" t="s">
        <v>25</v>
      </c>
      <c r="F322" s="4" t="s">
        <v>25</v>
      </c>
      <c r="G322" s="4" t="s">
        <v>25</v>
      </c>
      <c r="H322" s="4" t="s">
        <v>38</v>
      </c>
      <c r="I322" s="5">
        <v>44682</v>
      </c>
      <c r="J322" s="6">
        <v>0</v>
      </c>
      <c r="K322" s="6">
        <v>0</v>
      </c>
      <c r="L322" s="6">
        <v>31.364999999999998</v>
      </c>
      <c r="M322" s="6">
        <v>31.364999999999998</v>
      </c>
      <c r="N322" s="6">
        <v>31.364999999999998</v>
      </c>
      <c r="O322" s="6">
        <v>31.364999999999998</v>
      </c>
      <c r="P322" s="6">
        <v>0</v>
      </c>
      <c r="Q322" s="4" t="s">
        <v>26</v>
      </c>
      <c r="R322" s="4">
        <v>0</v>
      </c>
      <c r="S322" s="4" t="s">
        <v>196</v>
      </c>
      <c r="T322" s="4" t="s">
        <v>329</v>
      </c>
      <c r="U322" s="4">
        <v>0</v>
      </c>
      <c r="V322" s="4">
        <v>25</v>
      </c>
      <c r="W322" s="4">
        <v>59</v>
      </c>
    </row>
    <row r="323" spans="1:23" ht="11.25" customHeight="1" x14ac:dyDescent="0.25">
      <c r="A323" s="4" t="s">
        <v>21</v>
      </c>
      <c r="B323" s="4" t="s">
        <v>35</v>
      </c>
      <c r="C323" s="4" t="s">
        <v>39</v>
      </c>
      <c r="D323" s="4" t="s">
        <v>49</v>
      </c>
      <c r="E323" s="4" t="s">
        <v>25</v>
      </c>
      <c r="F323" s="4" t="s">
        <v>25</v>
      </c>
      <c r="G323" s="4" t="s">
        <v>25</v>
      </c>
      <c r="H323" s="4" t="s">
        <v>38</v>
      </c>
      <c r="I323" s="5">
        <v>44713</v>
      </c>
      <c r="J323" s="6">
        <v>0</v>
      </c>
      <c r="K323" s="6">
        <v>0</v>
      </c>
      <c r="L323" s="6">
        <v>31.111000000000001</v>
      </c>
      <c r="M323" s="6">
        <v>31.111000000000001</v>
      </c>
      <c r="N323" s="6">
        <v>31.111000000000001</v>
      </c>
      <c r="O323" s="6">
        <v>31.111000000000001</v>
      </c>
      <c r="P323" s="6">
        <v>0</v>
      </c>
      <c r="Q323" s="4" t="s">
        <v>26</v>
      </c>
      <c r="R323" s="4">
        <v>0</v>
      </c>
      <c r="S323" s="4" t="s">
        <v>197</v>
      </c>
      <c r="T323" s="4" t="s">
        <v>330</v>
      </c>
      <c r="U323" s="4">
        <v>0</v>
      </c>
      <c r="V323" s="4">
        <v>25</v>
      </c>
      <c r="W323" s="4">
        <v>59</v>
      </c>
    </row>
    <row r="324" spans="1:23" ht="11.25" customHeight="1" x14ac:dyDescent="0.25">
      <c r="A324" s="4" t="s">
        <v>21</v>
      </c>
      <c r="B324" s="4" t="s">
        <v>35</v>
      </c>
      <c r="C324" s="4" t="s">
        <v>39</v>
      </c>
      <c r="D324" s="4" t="s">
        <v>49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44378</v>
      </c>
      <c r="J324" s="6">
        <v>155</v>
      </c>
      <c r="K324" s="6">
        <v>155</v>
      </c>
      <c r="L324" s="6">
        <v>0</v>
      </c>
      <c r="M324" s="6">
        <v>0</v>
      </c>
      <c r="N324" s="6">
        <v>0</v>
      </c>
      <c r="O324" s="6">
        <v>0</v>
      </c>
      <c r="P324" s="6">
        <v>1</v>
      </c>
      <c r="Q324" s="4" t="s">
        <v>26</v>
      </c>
      <c r="R324" s="4">
        <v>0</v>
      </c>
      <c r="S324" s="4" t="s">
        <v>198</v>
      </c>
      <c r="U324" s="4">
        <v>18</v>
      </c>
      <c r="V324" s="4">
        <v>0</v>
      </c>
      <c r="W324" s="4">
        <v>0</v>
      </c>
    </row>
    <row r="325" spans="1:23" ht="11.25" customHeight="1" x14ac:dyDescent="0.25">
      <c r="A325" s="4" t="s">
        <v>21</v>
      </c>
      <c r="B325" s="4" t="s">
        <v>35</v>
      </c>
      <c r="C325" s="4" t="s">
        <v>39</v>
      </c>
      <c r="D325" s="4" t="s">
        <v>49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44409</v>
      </c>
      <c r="J325" s="6">
        <v>155</v>
      </c>
      <c r="K325" s="6">
        <v>155</v>
      </c>
      <c r="L325" s="6">
        <v>0</v>
      </c>
      <c r="M325" s="6">
        <v>0</v>
      </c>
      <c r="N325" s="6">
        <v>0</v>
      </c>
      <c r="O325" s="6">
        <v>0</v>
      </c>
      <c r="P325" s="6">
        <v>1</v>
      </c>
      <c r="Q325" s="4" t="s">
        <v>26</v>
      </c>
      <c r="R325" s="4">
        <v>0</v>
      </c>
      <c r="S325" s="4" t="s">
        <v>199</v>
      </c>
      <c r="U325" s="4">
        <v>18</v>
      </c>
      <c r="V325" s="4">
        <v>0</v>
      </c>
      <c r="W325" s="4">
        <v>0</v>
      </c>
    </row>
    <row r="326" spans="1:23" ht="11.25" customHeight="1" x14ac:dyDescent="0.25">
      <c r="A326" s="4" t="s">
        <v>21</v>
      </c>
      <c r="B326" s="4" t="s">
        <v>35</v>
      </c>
      <c r="C326" s="4" t="s">
        <v>39</v>
      </c>
      <c r="D326" s="4" t="s">
        <v>49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44440</v>
      </c>
      <c r="J326" s="6">
        <v>155</v>
      </c>
      <c r="K326" s="6">
        <v>155</v>
      </c>
      <c r="L326" s="6">
        <v>0</v>
      </c>
      <c r="M326" s="6">
        <v>0</v>
      </c>
      <c r="N326" s="6">
        <v>0</v>
      </c>
      <c r="O326" s="6">
        <v>0</v>
      </c>
      <c r="P326" s="6">
        <v>1</v>
      </c>
      <c r="Q326" s="4" t="s">
        <v>26</v>
      </c>
      <c r="R326" s="4">
        <v>0</v>
      </c>
      <c r="S326" s="4" t="s">
        <v>200</v>
      </c>
      <c r="U326" s="4">
        <v>18</v>
      </c>
      <c r="V326" s="4">
        <v>0</v>
      </c>
      <c r="W326" s="4">
        <v>0</v>
      </c>
    </row>
    <row r="327" spans="1:23" ht="11.25" customHeight="1" x14ac:dyDescent="0.25">
      <c r="A327" s="4" t="s">
        <v>21</v>
      </c>
      <c r="B327" s="4" t="s">
        <v>35</v>
      </c>
      <c r="C327" s="4" t="s">
        <v>39</v>
      </c>
      <c r="D327" s="4" t="s">
        <v>49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44470</v>
      </c>
      <c r="J327" s="6">
        <v>155</v>
      </c>
      <c r="K327" s="6">
        <v>155</v>
      </c>
      <c r="L327" s="6">
        <v>0</v>
      </c>
      <c r="M327" s="6">
        <v>0</v>
      </c>
      <c r="N327" s="6">
        <v>0</v>
      </c>
      <c r="O327" s="6">
        <v>0</v>
      </c>
      <c r="P327" s="6">
        <v>1</v>
      </c>
      <c r="Q327" s="4" t="s">
        <v>26</v>
      </c>
      <c r="R327" s="4">
        <v>0</v>
      </c>
      <c r="S327" s="4" t="s">
        <v>201</v>
      </c>
      <c r="U327" s="4">
        <v>18</v>
      </c>
      <c r="V327" s="4">
        <v>0</v>
      </c>
      <c r="W327" s="4">
        <v>0</v>
      </c>
    </row>
    <row r="328" spans="1:23" ht="11.25" customHeight="1" x14ac:dyDescent="0.25">
      <c r="A328" s="4" t="s">
        <v>21</v>
      </c>
      <c r="B328" s="4" t="s">
        <v>35</v>
      </c>
      <c r="C328" s="4" t="s">
        <v>39</v>
      </c>
      <c r="D328" s="4" t="s">
        <v>49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44501</v>
      </c>
      <c r="J328" s="6">
        <v>310</v>
      </c>
      <c r="K328" s="6">
        <v>310</v>
      </c>
      <c r="L328" s="6">
        <v>0</v>
      </c>
      <c r="M328" s="6">
        <v>0</v>
      </c>
      <c r="N328" s="6">
        <v>0</v>
      </c>
      <c r="O328" s="6">
        <v>0</v>
      </c>
      <c r="P328" s="6">
        <v>2</v>
      </c>
      <c r="Q328" s="4" t="s">
        <v>26</v>
      </c>
      <c r="R328" s="4">
        <v>0</v>
      </c>
      <c r="S328" s="4" t="s">
        <v>202</v>
      </c>
      <c r="U328" s="4">
        <v>18</v>
      </c>
      <c r="V328" s="4">
        <v>0</v>
      </c>
      <c r="W328" s="4">
        <v>0</v>
      </c>
    </row>
    <row r="329" spans="1:23" ht="11.25" customHeight="1" x14ac:dyDescent="0.25">
      <c r="A329" s="4" t="s">
        <v>27</v>
      </c>
      <c r="B329" s="4" t="s">
        <v>35</v>
      </c>
      <c r="C329" s="4" t="s">
        <v>39</v>
      </c>
      <c r="D329" s="4" t="s">
        <v>49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44501</v>
      </c>
      <c r="J329" s="6">
        <v>-155</v>
      </c>
      <c r="K329" s="6">
        <v>-155</v>
      </c>
      <c r="L329" s="6">
        <v>0</v>
      </c>
      <c r="M329" s="6">
        <v>0</v>
      </c>
      <c r="N329" s="6">
        <v>0</v>
      </c>
      <c r="O329" s="6">
        <v>0</v>
      </c>
      <c r="P329" s="6">
        <v>-1</v>
      </c>
      <c r="Q329" s="4" t="s">
        <v>26</v>
      </c>
      <c r="R329" s="4">
        <v>0</v>
      </c>
      <c r="S329" s="4" t="s">
        <v>202</v>
      </c>
      <c r="U329" s="4">
        <v>18</v>
      </c>
      <c r="V329" s="4">
        <v>0</v>
      </c>
      <c r="W329" s="4">
        <v>0</v>
      </c>
    </row>
    <row r="330" spans="1:23" ht="11.25" customHeight="1" x14ac:dyDescent="0.25">
      <c r="A330" s="4" t="s">
        <v>21</v>
      </c>
      <c r="B330" s="4" t="s">
        <v>35</v>
      </c>
      <c r="C330" s="4" t="s">
        <v>39</v>
      </c>
      <c r="D330" s="4" t="s">
        <v>49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44531</v>
      </c>
      <c r="J330" s="6">
        <v>155</v>
      </c>
      <c r="K330" s="6">
        <v>155</v>
      </c>
      <c r="L330" s="6">
        <v>0</v>
      </c>
      <c r="M330" s="6">
        <v>0</v>
      </c>
      <c r="N330" s="6">
        <v>0</v>
      </c>
      <c r="O330" s="6">
        <v>0</v>
      </c>
      <c r="P330" s="6">
        <v>1</v>
      </c>
      <c r="Q330" s="4" t="s">
        <v>26</v>
      </c>
      <c r="R330" s="4">
        <v>0</v>
      </c>
      <c r="S330" s="4" t="s">
        <v>203</v>
      </c>
      <c r="U330" s="4">
        <v>18</v>
      </c>
      <c r="V330" s="4">
        <v>0</v>
      </c>
      <c r="W330" s="4">
        <v>0</v>
      </c>
    </row>
    <row r="331" spans="1:23" ht="11.25" customHeight="1" x14ac:dyDescent="0.25">
      <c r="A331" s="4" t="s">
        <v>21</v>
      </c>
      <c r="B331" s="4" t="s">
        <v>35</v>
      </c>
      <c r="C331" s="4" t="s">
        <v>39</v>
      </c>
      <c r="D331" s="4" t="s">
        <v>49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44562</v>
      </c>
      <c r="J331" s="6">
        <v>155</v>
      </c>
      <c r="K331" s="6">
        <v>155</v>
      </c>
      <c r="L331" s="6">
        <v>0</v>
      </c>
      <c r="M331" s="6">
        <v>0</v>
      </c>
      <c r="N331" s="6">
        <v>0</v>
      </c>
      <c r="O331" s="6">
        <v>0</v>
      </c>
      <c r="P331" s="6">
        <v>1</v>
      </c>
      <c r="Q331" s="4" t="s">
        <v>26</v>
      </c>
      <c r="R331" s="4">
        <v>0</v>
      </c>
      <c r="S331" s="4" t="s">
        <v>204</v>
      </c>
      <c r="U331" s="4">
        <v>18</v>
      </c>
      <c r="V331" s="4">
        <v>0</v>
      </c>
      <c r="W331" s="4">
        <v>0</v>
      </c>
    </row>
    <row r="332" spans="1:23" ht="11.25" customHeight="1" x14ac:dyDescent="0.25">
      <c r="A332" s="4" t="s">
        <v>21</v>
      </c>
      <c r="B332" s="4" t="s">
        <v>35</v>
      </c>
      <c r="C332" s="4" t="s">
        <v>39</v>
      </c>
      <c r="D332" s="4" t="s">
        <v>49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44593</v>
      </c>
      <c r="J332" s="6">
        <v>310</v>
      </c>
      <c r="K332" s="6">
        <v>310</v>
      </c>
      <c r="L332" s="6">
        <v>0</v>
      </c>
      <c r="M332" s="6">
        <v>0</v>
      </c>
      <c r="N332" s="6">
        <v>0</v>
      </c>
      <c r="O332" s="6">
        <v>0</v>
      </c>
      <c r="P332" s="6">
        <v>2</v>
      </c>
      <c r="Q332" s="4" t="s">
        <v>26</v>
      </c>
      <c r="R332" s="4">
        <v>0</v>
      </c>
      <c r="S332" s="4" t="s">
        <v>205</v>
      </c>
      <c r="U332" s="4">
        <v>18</v>
      </c>
      <c r="V332" s="4">
        <v>0</v>
      </c>
      <c r="W332" s="4">
        <v>0</v>
      </c>
    </row>
    <row r="333" spans="1:23" ht="11.25" customHeight="1" x14ac:dyDescent="0.25">
      <c r="A333" s="4" t="s">
        <v>27</v>
      </c>
      <c r="B333" s="4" t="s">
        <v>35</v>
      </c>
      <c r="C333" s="4" t="s">
        <v>39</v>
      </c>
      <c r="D333" s="4" t="s">
        <v>49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44593</v>
      </c>
      <c r="J333" s="6">
        <v>-155</v>
      </c>
      <c r="K333" s="6">
        <v>-155</v>
      </c>
      <c r="L333" s="6">
        <v>0</v>
      </c>
      <c r="M333" s="6">
        <v>0</v>
      </c>
      <c r="N333" s="6">
        <v>0</v>
      </c>
      <c r="O333" s="6">
        <v>0</v>
      </c>
      <c r="P333" s="6">
        <v>-1</v>
      </c>
      <c r="Q333" s="4" t="s">
        <v>26</v>
      </c>
      <c r="R333" s="4">
        <v>0</v>
      </c>
      <c r="S333" s="4" t="s">
        <v>205</v>
      </c>
      <c r="U333" s="4">
        <v>18</v>
      </c>
      <c r="V333" s="4">
        <v>0</v>
      </c>
      <c r="W333" s="4">
        <v>0</v>
      </c>
    </row>
    <row r="334" spans="1:23" ht="11.25" customHeight="1" x14ac:dyDescent="0.25">
      <c r="A334" s="4" t="s">
        <v>21</v>
      </c>
      <c r="B334" s="4" t="s">
        <v>35</v>
      </c>
      <c r="C334" s="4" t="s">
        <v>39</v>
      </c>
      <c r="D334" s="4" t="s">
        <v>49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44621</v>
      </c>
      <c r="J334" s="6">
        <v>310</v>
      </c>
      <c r="K334" s="6">
        <v>310</v>
      </c>
      <c r="L334" s="6">
        <v>0</v>
      </c>
      <c r="M334" s="6">
        <v>0</v>
      </c>
      <c r="N334" s="6">
        <v>0</v>
      </c>
      <c r="O334" s="6">
        <v>0</v>
      </c>
      <c r="P334" s="6">
        <v>2</v>
      </c>
      <c r="Q334" s="4" t="s">
        <v>26</v>
      </c>
      <c r="R334" s="4">
        <v>0</v>
      </c>
      <c r="S334" s="4" t="s">
        <v>206</v>
      </c>
      <c r="U334" s="4">
        <v>18</v>
      </c>
      <c r="V334" s="4">
        <v>0</v>
      </c>
      <c r="W334" s="4">
        <v>0</v>
      </c>
    </row>
    <row r="335" spans="1:23" ht="11.25" customHeight="1" x14ac:dyDescent="0.25">
      <c r="A335" s="4" t="s">
        <v>27</v>
      </c>
      <c r="B335" s="4" t="s">
        <v>35</v>
      </c>
      <c r="C335" s="4" t="s">
        <v>39</v>
      </c>
      <c r="D335" s="4" t="s">
        <v>49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44621</v>
      </c>
      <c r="J335" s="6">
        <v>-155</v>
      </c>
      <c r="K335" s="6">
        <v>-155</v>
      </c>
      <c r="L335" s="6">
        <v>0</v>
      </c>
      <c r="M335" s="6">
        <v>0</v>
      </c>
      <c r="N335" s="6">
        <v>0</v>
      </c>
      <c r="O335" s="6">
        <v>0</v>
      </c>
      <c r="P335" s="6">
        <v>-1</v>
      </c>
      <c r="Q335" s="4" t="s">
        <v>26</v>
      </c>
      <c r="R335" s="4">
        <v>0</v>
      </c>
      <c r="S335" s="4" t="s">
        <v>206</v>
      </c>
      <c r="U335" s="4">
        <v>18</v>
      </c>
      <c r="V335" s="4">
        <v>0</v>
      </c>
      <c r="W335" s="4">
        <v>0</v>
      </c>
    </row>
    <row r="336" spans="1:23" ht="11.25" customHeight="1" x14ac:dyDescent="0.25">
      <c r="A336" s="4" t="s">
        <v>21</v>
      </c>
      <c r="B336" s="4" t="s">
        <v>35</v>
      </c>
      <c r="C336" s="4" t="s">
        <v>39</v>
      </c>
      <c r="D336" s="4" t="s">
        <v>49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44652</v>
      </c>
      <c r="J336" s="6">
        <v>155</v>
      </c>
      <c r="K336" s="6">
        <v>155</v>
      </c>
      <c r="L336" s="6">
        <v>0</v>
      </c>
      <c r="M336" s="6">
        <v>0</v>
      </c>
      <c r="N336" s="6">
        <v>0</v>
      </c>
      <c r="O336" s="6">
        <v>0</v>
      </c>
      <c r="P336" s="6">
        <v>1</v>
      </c>
      <c r="Q336" s="4" t="s">
        <v>26</v>
      </c>
      <c r="R336" s="4">
        <v>0</v>
      </c>
      <c r="S336" s="4" t="s">
        <v>207</v>
      </c>
      <c r="U336" s="4">
        <v>18</v>
      </c>
      <c r="V336" s="4">
        <v>0</v>
      </c>
      <c r="W336" s="4">
        <v>0</v>
      </c>
    </row>
    <row r="337" spans="1:23" ht="11.25" customHeight="1" x14ac:dyDescent="0.25">
      <c r="A337" s="4" t="s">
        <v>21</v>
      </c>
      <c r="B337" s="4" t="s">
        <v>35</v>
      </c>
      <c r="C337" s="4" t="s">
        <v>39</v>
      </c>
      <c r="D337" s="4" t="s">
        <v>49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44682</v>
      </c>
      <c r="J337" s="6">
        <v>155</v>
      </c>
      <c r="K337" s="6">
        <v>155</v>
      </c>
      <c r="L337" s="6">
        <v>0</v>
      </c>
      <c r="M337" s="6">
        <v>0</v>
      </c>
      <c r="N337" s="6">
        <v>0</v>
      </c>
      <c r="O337" s="6">
        <v>0</v>
      </c>
      <c r="P337" s="6">
        <v>1</v>
      </c>
      <c r="Q337" s="4" t="s">
        <v>26</v>
      </c>
      <c r="R337" s="4">
        <v>0</v>
      </c>
      <c r="S337" s="4" t="s">
        <v>208</v>
      </c>
      <c r="U337" s="4">
        <v>18</v>
      </c>
      <c r="V337" s="4">
        <v>0</v>
      </c>
      <c r="W337" s="4">
        <v>0</v>
      </c>
    </row>
    <row r="338" spans="1:23" ht="11.25" customHeight="1" x14ac:dyDescent="0.25">
      <c r="A338" s="4" t="s">
        <v>21</v>
      </c>
      <c r="B338" s="4" t="s">
        <v>35</v>
      </c>
      <c r="C338" s="4" t="s">
        <v>39</v>
      </c>
      <c r="D338" s="4" t="s">
        <v>49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44713</v>
      </c>
      <c r="J338" s="6">
        <v>155</v>
      </c>
      <c r="K338" s="6">
        <v>155</v>
      </c>
      <c r="L338" s="6">
        <v>0</v>
      </c>
      <c r="M338" s="6">
        <v>0</v>
      </c>
      <c r="N338" s="6">
        <v>0</v>
      </c>
      <c r="O338" s="6">
        <v>0</v>
      </c>
      <c r="P338" s="6">
        <v>1</v>
      </c>
      <c r="Q338" s="4" t="s">
        <v>26</v>
      </c>
      <c r="R338" s="4">
        <v>0</v>
      </c>
      <c r="S338" s="4" t="s">
        <v>209</v>
      </c>
      <c r="U338" s="4">
        <v>18</v>
      </c>
      <c r="V338" s="4">
        <v>0</v>
      </c>
      <c r="W338" s="4">
        <v>0</v>
      </c>
    </row>
    <row r="339" spans="1:23" ht="11.25" customHeight="1" x14ac:dyDescent="0.25">
      <c r="A339" s="4" t="s">
        <v>21</v>
      </c>
      <c r="B339" s="4" t="s">
        <v>35</v>
      </c>
      <c r="C339" s="4" t="s">
        <v>39</v>
      </c>
      <c r="D339" s="4" t="s">
        <v>49</v>
      </c>
      <c r="E339" s="4" t="s">
        <v>25</v>
      </c>
      <c r="F339" s="4" t="s">
        <v>25</v>
      </c>
      <c r="G339" s="4" t="s">
        <v>25</v>
      </c>
      <c r="H339" s="4" t="s">
        <v>37</v>
      </c>
      <c r="I339" s="5">
        <v>44378</v>
      </c>
      <c r="J339" s="6">
        <v>0</v>
      </c>
      <c r="K339" s="6">
        <v>0</v>
      </c>
      <c r="L339" s="6">
        <v>3.391</v>
      </c>
      <c r="M339" s="6">
        <v>3.391</v>
      </c>
      <c r="N339" s="6">
        <v>3.391</v>
      </c>
      <c r="O339" s="6">
        <v>3.391</v>
      </c>
      <c r="P339" s="6">
        <v>0</v>
      </c>
      <c r="Q339" s="4" t="s">
        <v>26</v>
      </c>
      <c r="R339" s="4">
        <v>0</v>
      </c>
      <c r="S339" s="4" t="s">
        <v>210</v>
      </c>
      <c r="T339" s="4" t="s">
        <v>331</v>
      </c>
      <c r="U339" s="4">
        <v>0</v>
      </c>
      <c r="V339" s="4">
        <v>12</v>
      </c>
      <c r="W339" s="4">
        <v>66</v>
      </c>
    </row>
    <row r="340" spans="1:23" ht="11.25" customHeight="1" x14ac:dyDescent="0.25">
      <c r="A340" s="4" t="s">
        <v>21</v>
      </c>
      <c r="B340" s="4" t="s">
        <v>35</v>
      </c>
      <c r="C340" s="4" t="s">
        <v>39</v>
      </c>
      <c r="D340" s="4" t="s">
        <v>49</v>
      </c>
      <c r="E340" s="4" t="s">
        <v>25</v>
      </c>
      <c r="F340" s="4" t="s">
        <v>25</v>
      </c>
      <c r="G340" s="4" t="s">
        <v>25</v>
      </c>
      <c r="H340" s="4" t="s">
        <v>37</v>
      </c>
      <c r="I340" s="5">
        <v>44409</v>
      </c>
      <c r="J340" s="6">
        <v>0</v>
      </c>
      <c r="K340" s="6">
        <v>0</v>
      </c>
      <c r="L340" s="6">
        <v>3.911</v>
      </c>
      <c r="M340" s="6">
        <v>3.911</v>
      </c>
      <c r="N340" s="6">
        <v>3.911</v>
      </c>
      <c r="O340" s="6">
        <v>3.911</v>
      </c>
      <c r="P340" s="6">
        <v>0</v>
      </c>
      <c r="Q340" s="4" t="s">
        <v>26</v>
      </c>
      <c r="R340" s="4">
        <v>0</v>
      </c>
      <c r="S340" s="4" t="s">
        <v>211</v>
      </c>
      <c r="T340" s="4" t="s">
        <v>332</v>
      </c>
      <c r="U340" s="4">
        <v>0</v>
      </c>
      <c r="V340" s="4">
        <v>12</v>
      </c>
      <c r="W340" s="4">
        <v>66</v>
      </c>
    </row>
    <row r="341" spans="1:23" ht="11.25" customHeight="1" x14ac:dyDescent="0.25">
      <c r="A341" s="4" t="s">
        <v>21</v>
      </c>
      <c r="B341" s="4" t="s">
        <v>35</v>
      </c>
      <c r="C341" s="4" t="s">
        <v>39</v>
      </c>
      <c r="D341" s="4" t="s">
        <v>49</v>
      </c>
      <c r="E341" s="4" t="s">
        <v>25</v>
      </c>
      <c r="F341" s="4" t="s">
        <v>25</v>
      </c>
      <c r="G341" s="4" t="s">
        <v>25</v>
      </c>
      <c r="H341" s="4" t="s">
        <v>37</v>
      </c>
      <c r="I341" s="5">
        <v>44440</v>
      </c>
      <c r="J341" s="6">
        <v>0</v>
      </c>
      <c r="K341" s="6">
        <v>0</v>
      </c>
      <c r="L341" s="6">
        <v>3.9119999999999999</v>
      </c>
      <c r="M341" s="6">
        <v>3.9119999999999999</v>
      </c>
      <c r="N341" s="6">
        <v>3.9119999999999999</v>
      </c>
      <c r="O341" s="6">
        <v>3.9119999999999999</v>
      </c>
      <c r="P341" s="6">
        <v>0</v>
      </c>
      <c r="Q341" s="4" t="s">
        <v>26</v>
      </c>
      <c r="R341" s="4">
        <v>0</v>
      </c>
      <c r="S341" s="4" t="s">
        <v>212</v>
      </c>
      <c r="T341" s="4" t="s">
        <v>333</v>
      </c>
      <c r="U341" s="4">
        <v>0</v>
      </c>
      <c r="V341" s="4">
        <v>12</v>
      </c>
      <c r="W341" s="4">
        <v>66</v>
      </c>
    </row>
    <row r="342" spans="1:23" ht="11.25" customHeight="1" x14ac:dyDescent="0.25">
      <c r="A342" s="4" t="s">
        <v>21</v>
      </c>
      <c r="B342" s="4" t="s">
        <v>35</v>
      </c>
      <c r="C342" s="4" t="s">
        <v>39</v>
      </c>
      <c r="D342" s="4" t="s">
        <v>49</v>
      </c>
      <c r="E342" s="4" t="s">
        <v>25</v>
      </c>
      <c r="F342" s="4" t="s">
        <v>25</v>
      </c>
      <c r="G342" s="4" t="s">
        <v>25</v>
      </c>
      <c r="H342" s="4" t="s">
        <v>37</v>
      </c>
      <c r="I342" s="5">
        <v>44470</v>
      </c>
      <c r="J342" s="6">
        <v>0</v>
      </c>
      <c r="K342" s="6">
        <v>0</v>
      </c>
      <c r="L342" s="6">
        <v>3.5720000000000001</v>
      </c>
      <c r="M342" s="6">
        <v>3.5720000000000001</v>
      </c>
      <c r="N342" s="6">
        <v>3.5720000000000001</v>
      </c>
      <c r="O342" s="6">
        <v>3.5720000000000001</v>
      </c>
      <c r="P342" s="6">
        <v>0</v>
      </c>
      <c r="Q342" s="4" t="s">
        <v>26</v>
      </c>
      <c r="R342" s="4">
        <v>0</v>
      </c>
      <c r="S342" s="4" t="s">
        <v>213</v>
      </c>
      <c r="T342" s="4" t="s">
        <v>334</v>
      </c>
      <c r="U342" s="4">
        <v>0</v>
      </c>
      <c r="V342" s="4">
        <v>12</v>
      </c>
      <c r="W342" s="4">
        <v>66</v>
      </c>
    </row>
    <row r="343" spans="1:23" ht="11.25" customHeight="1" x14ac:dyDescent="0.25">
      <c r="A343" s="4" t="s">
        <v>21</v>
      </c>
      <c r="B343" s="4" t="s">
        <v>35</v>
      </c>
      <c r="C343" s="4" t="s">
        <v>39</v>
      </c>
      <c r="D343" s="4" t="s">
        <v>49</v>
      </c>
      <c r="E343" s="4" t="s">
        <v>25</v>
      </c>
      <c r="F343" s="4" t="s">
        <v>25</v>
      </c>
      <c r="G343" s="4" t="s">
        <v>25</v>
      </c>
      <c r="H343" s="4" t="s">
        <v>37</v>
      </c>
      <c r="I343" s="5">
        <v>44501</v>
      </c>
      <c r="J343" s="6">
        <v>0</v>
      </c>
      <c r="K343" s="6">
        <v>0</v>
      </c>
      <c r="L343" s="6">
        <v>6.9139999999999997</v>
      </c>
      <c r="M343" s="6">
        <v>6.9139999999999997</v>
      </c>
      <c r="N343" s="6">
        <v>6.9139999999999997</v>
      </c>
      <c r="O343" s="6">
        <v>6.9139999999999997</v>
      </c>
      <c r="P343" s="6">
        <v>0</v>
      </c>
      <c r="Q343" s="4" t="s">
        <v>26</v>
      </c>
      <c r="R343" s="4">
        <v>0</v>
      </c>
      <c r="S343" s="4" t="s">
        <v>214</v>
      </c>
      <c r="T343" s="4" t="s">
        <v>335</v>
      </c>
      <c r="U343" s="4">
        <v>0</v>
      </c>
      <c r="V343" s="4">
        <v>12</v>
      </c>
      <c r="W343" s="4">
        <v>66</v>
      </c>
    </row>
    <row r="344" spans="1:23" ht="11.25" customHeight="1" x14ac:dyDescent="0.25">
      <c r="A344" s="4" t="s">
        <v>27</v>
      </c>
      <c r="B344" s="4" t="s">
        <v>35</v>
      </c>
      <c r="C344" s="4" t="s">
        <v>39</v>
      </c>
      <c r="D344" s="4" t="s">
        <v>49</v>
      </c>
      <c r="E344" s="4" t="s">
        <v>25</v>
      </c>
      <c r="F344" s="4" t="s">
        <v>25</v>
      </c>
      <c r="G344" s="4" t="s">
        <v>25</v>
      </c>
      <c r="H344" s="4" t="s">
        <v>37</v>
      </c>
      <c r="I344" s="5">
        <v>44501</v>
      </c>
      <c r="J344" s="6">
        <v>0</v>
      </c>
      <c r="K344" s="6">
        <v>0</v>
      </c>
      <c r="L344" s="6">
        <v>-3.4569999999999999</v>
      </c>
      <c r="M344" s="6">
        <v>-3.4569999999999999</v>
      </c>
      <c r="N344" s="6">
        <v>-3.4569999999999999</v>
      </c>
      <c r="O344" s="6">
        <v>-3.4569999999999999</v>
      </c>
      <c r="P344" s="6">
        <v>0</v>
      </c>
      <c r="Q344" s="4" t="s">
        <v>26</v>
      </c>
      <c r="R344" s="4">
        <v>0</v>
      </c>
      <c r="S344" s="4" t="s">
        <v>214</v>
      </c>
      <c r="T344" s="4" t="s">
        <v>335</v>
      </c>
      <c r="U344" s="4">
        <v>0</v>
      </c>
      <c r="V344" s="4">
        <v>12</v>
      </c>
      <c r="W344" s="4">
        <v>66</v>
      </c>
    </row>
    <row r="345" spans="1:23" ht="11.25" customHeight="1" x14ac:dyDescent="0.25">
      <c r="A345" s="4" t="s">
        <v>21</v>
      </c>
      <c r="B345" s="4" t="s">
        <v>35</v>
      </c>
      <c r="C345" s="4" t="s">
        <v>39</v>
      </c>
      <c r="D345" s="4" t="s">
        <v>49</v>
      </c>
      <c r="E345" s="4" t="s">
        <v>25</v>
      </c>
      <c r="F345" s="4" t="s">
        <v>25</v>
      </c>
      <c r="G345" s="4" t="s">
        <v>25</v>
      </c>
      <c r="H345" s="4" t="s">
        <v>37</v>
      </c>
      <c r="I345" s="5">
        <v>44531</v>
      </c>
      <c r="J345" s="6">
        <v>0</v>
      </c>
      <c r="K345" s="6">
        <v>0</v>
      </c>
      <c r="L345" s="6">
        <v>3.641</v>
      </c>
      <c r="M345" s="6">
        <v>3.641</v>
      </c>
      <c r="N345" s="6">
        <v>3.641</v>
      </c>
      <c r="O345" s="6">
        <v>3.641</v>
      </c>
      <c r="P345" s="6">
        <v>0</v>
      </c>
      <c r="Q345" s="4" t="s">
        <v>26</v>
      </c>
      <c r="R345" s="4">
        <v>0</v>
      </c>
      <c r="S345" s="4" t="s">
        <v>215</v>
      </c>
      <c r="T345" s="4" t="s">
        <v>336</v>
      </c>
      <c r="U345" s="4">
        <v>0</v>
      </c>
      <c r="V345" s="4">
        <v>12</v>
      </c>
      <c r="W345" s="4">
        <v>66</v>
      </c>
    </row>
    <row r="346" spans="1:23" ht="11.25" customHeight="1" x14ac:dyDescent="0.25">
      <c r="A346" s="4" t="s">
        <v>21</v>
      </c>
      <c r="B346" s="4" t="s">
        <v>35</v>
      </c>
      <c r="C346" s="4" t="s">
        <v>39</v>
      </c>
      <c r="D346" s="4" t="s">
        <v>49</v>
      </c>
      <c r="E346" s="4" t="s">
        <v>25</v>
      </c>
      <c r="F346" s="4" t="s">
        <v>25</v>
      </c>
      <c r="G346" s="4" t="s">
        <v>25</v>
      </c>
      <c r="H346" s="4" t="s">
        <v>37</v>
      </c>
      <c r="I346" s="5">
        <v>44562</v>
      </c>
      <c r="J346" s="6">
        <v>0</v>
      </c>
      <c r="K346" s="6">
        <v>0</v>
      </c>
      <c r="L346" s="6">
        <v>4.4850000000000003</v>
      </c>
      <c r="M346" s="6">
        <v>4.4850000000000003</v>
      </c>
      <c r="N346" s="6">
        <v>4.4850000000000003</v>
      </c>
      <c r="O346" s="6">
        <v>4.4850000000000003</v>
      </c>
      <c r="P346" s="6">
        <v>0</v>
      </c>
      <c r="Q346" s="4" t="s">
        <v>26</v>
      </c>
      <c r="R346" s="4">
        <v>0</v>
      </c>
      <c r="S346" s="4" t="s">
        <v>216</v>
      </c>
      <c r="T346" s="4" t="s">
        <v>337</v>
      </c>
      <c r="U346" s="4">
        <v>0</v>
      </c>
      <c r="V346" s="4">
        <v>12</v>
      </c>
      <c r="W346" s="4">
        <v>66</v>
      </c>
    </row>
    <row r="347" spans="1:23" ht="11.25" customHeight="1" x14ac:dyDescent="0.25">
      <c r="A347" s="4" t="s">
        <v>21</v>
      </c>
      <c r="B347" s="4" t="s">
        <v>35</v>
      </c>
      <c r="C347" s="4" t="s">
        <v>39</v>
      </c>
      <c r="D347" s="4" t="s">
        <v>49</v>
      </c>
      <c r="E347" s="4" t="s">
        <v>25</v>
      </c>
      <c r="F347" s="4" t="s">
        <v>25</v>
      </c>
      <c r="G347" s="4" t="s">
        <v>25</v>
      </c>
      <c r="H347" s="4" t="s">
        <v>37</v>
      </c>
      <c r="I347" s="5">
        <v>44593</v>
      </c>
      <c r="J347" s="6">
        <v>0</v>
      </c>
      <c r="K347" s="6">
        <v>0</v>
      </c>
      <c r="L347" s="6">
        <v>8.4359999999999999</v>
      </c>
      <c r="M347" s="6">
        <v>8.4359999999999999</v>
      </c>
      <c r="N347" s="6">
        <v>8.4359999999999999</v>
      </c>
      <c r="O347" s="6">
        <v>8.4359999999999999</v>
      </c>
      <c r="P347" s="6">
        <v>0</v>
      </c>
      <c r="Q347" s="4" t="s">
        <v>26</v>
      </c>
      <c r="R347" s="4">
        <v>0</v>
      </c>
      <c r="S347" s="4" t="s">
        <v>217</v>
      </c>
      <c r="T347" s="4" t="s">
        <v>338</v>
      </c>
      <c r="U347" s="4">
        <v>0</v>
      </c>
      <c r="V347" s="4">
        <v>12</v>
      </c>
      <c r="W347" s="4">
        <v>66</v>
      </c>
    </row>
    <row r="348" spans="1:23" ht="11.25" customHeight="1" x14ac:dyDescent="0.25">
      <c r="A348" s="4" t="s">
        <v>27</v>
      </c>
      <c r="B348" s="4" t="s">
        <v>35</v>
      </c>
      <c r="C348" s="4" t="s">
        <v>39</v>
      </c>
      <c r="D348" s="4" t="s">
        <v>49</v>
      </c>
      <c r="E348" s="4" t="s">
        <v>25</v>
      </c>
      <c r="F348" s="4" t="s">
        <v>25</v>
      </c>
      <c r="G348" s="4" t="s">
        <v>25</v>
      </c>
      <c r="H348" s="4" t="s">
        <v>37</v>
      </c>
      <c r="I348" s="5">
        <v>44593</v>
      </c>
      <c r="J348" s="6">
        <v>0</v>
      </c>
      <c r="K348" s="6">
        <v>0</v>
      </c>
      <c r="L348" s="6">
        <v>-4.218</v>
      </c>
      <c r="M348" s="6">
        <v>-4.218</v>
      </c>
      <c r="N348" s="6">
        <v>-4.218</v>
      </c>
      <c r="O348" s="6">
        <v>-4.218</v>
      </c>
      <c r="P348" s="6">
        <v>0</v>
      </c>
      <c r="Q348" s="4" t="s">
        <v>26</v>
      </c>
      <c r="R348" s="4">
        <v>0</v>
      </c>
      <c r="S348" s="4" t="s">
        <v>217</v>
      </c>
      <c r="T348" s="4" t="s">
        <v>338</v>
      </c>
      <c r="U348" s="4">
        <v>0</v>
      </c>
      <c r="V348" s="4">
        <v>12</v>
      </c>
      <c r="W348" s="4">
        <v>66</v>
      </c>
    </row>
    <row r="349" spans="1:23" ht="11.25" customHeight="1" x14ac:dyDescent="0.25">
      <c r="A349" s="4" t="s">
        <v>21</v>
      </c>
      <c r="B349" s="4" t="s">
        <v>35</v>
      </c>
      <c r="C349" s="4" t="s">
        <v>39</v>
      </c>
      <c r="D349" s="4" t="s">
        <v>49</v>
      </c>
      <c r="E349" s="4" t="s">
        <v>25</v>
      </c>
      <c r="F349" s="4" t="s">
        <v>25</v>
      </c>
      <c r="G349" s="4" t="s">
        <v>25</v>
      </c>
      <c r="H349" s="4" t="s">
        <v>37</v>
      </c>
      <c r="I349" s="5">
        <v>44621</v>
      </c>
      <c r="J349" s="6">
        <v>0</v>
      </c>
      <c r="K349" s="6">
        <v>0</v>
      </c>
      <c r="L349" s="6">
        <v>7.968</v>
      </c>
      <c r="M349" s="6">
        <v>7.968</v>
      </c>
      <c r="N349" s="6">
        <v>7.968</v>
      </c>
      <c r="O349" s="6">
        <v>7.968</v>
      </c>
      <c r="P349" s="6">
        <v>0</v>
      </c>
      <c r="Q349" s="4" t="s">
        <v>26</v>
      </c>
      <c r="R349" s="4">
        <v>0</v>
      </c>
      <c r="S349" s="4" t="s">
        <v>218</v>
      </c>
      <c r="T349" s="4" t="s">
        <v>339</v>
      </c>
      <c r="U349" s="4">
        <v>0</v>
      </c>
      <c r="V349" s="4">
        <v>12</v>
      </c>
      <c r="W349" s="4">
        <v>66</v>
      </c>
    </row>
    <row r="350" spans="1:23" ht="11.25" customHeight="1" x14ac:dyDescent="0.25">
      <c r="A350" s="4" t="s">
        <v>27</v>
      </c>
      <c r="B350" s="4" t="s">
        <v>35</v>
      </c>
      <c r="C350" s="4" t="s">
        <v>39</v>
      </c>
      <c r="D350" s="4" t="s">
        <v>49</v>
      </c>
      <c r="E350" s="4" t="s">
        <v>25</v>
      </c>
      <c r="F350" s="4" t="s">
        <v>25</v>
      </c>
      <c r="G350" s="4" t="s">
        <v>25</v>
      </c>
      <c r="H350" s="4" t="s">
        <v>37</v>
      </c>
      <c r="I350" s="5">
        <v>44621</v>
      </c>
      <c r="J350" s="6">
        <v>0</v>
      </c>
      <c r="K350" s="6">
        <v>0</v>
      </c>
      <c r="L350" s="6">
        <v>-3.984</v>
      </c>
      <c r="M350" s="6">
        <v>-3.984</v>
      </c>
      <c r="N350" s="6">
        <v>-3.984</v>
      </c>
      <c r="O350" s="6">
        <v>-3.984</v>
      </c>
      <c r="P350" s="6">
        <v>0</v>
      </c>
      <c r="Q350" s="4" t="s">
        <v>26</v>
      </c>
      <c r="R350" s="4">
        <v>0</v>
      </c>
      <c r="S350" s="4" t="s">
        <v>218</v>
      </c>
      <c r="T350" s="4" t="s">
        <v>339</v>
      </c>
      <c r="U350" s="4">
        <v>0</v>
      </c>
      <c r="V350" s="4">
        <v>12</v>
      </c>
      <c r="W350" s="4">
        <v>66</v>
      </c>
    </row>
    <row r="351" spans="1:23" ht="11.25" customHeight="1" x14ac:dyDescent="0.25">
      <c r="A351" s="4" t="s">
        <v>21</v>
      </c>
      <c r="B351" s="4" t="s">
        <v>35</v>
      </c>
      <c r="C351" s="4" t="s">
        <v>39</v>
      </c>
      <c r="D351" s="4" t="s">
        <v>49</v>
      </c>
      <c r="E351" s="4" t="s">
        <v>25</v>
      </c>
      <c r="F351" s="4" t="s">
        <v>25</v>
      </c>
      <c r="G351" s="4" t="s">
        <v>25</v>
      </c>
      <c r="H351" s="4" t="s">
        <v>37</v>
      </c>
      <c r="I351" s="5">
        <v>44652</v>
      </c>
      <c r="J351" s="6">
        <v>0</v>
      </c>
      <c r="K351" s="6">
        <v>0</v>
      </c>
      <c r="L351" s="6">
        <v>4.383</v>
      </c>
      <c r="M351" s="6">
        <v>4.383</v>
      </c>
      <c r="N351" s="6">
        <v>4.383</v>
      </c>
      <c r="O351" s="6">
        <v>4.383</v>
      </c>
      <c r="P351" s="6">
        <v>0</v>
      </c>
      <c r="Q351" s="4" t="s">
        <v>26</v>
      </c>
      <c r="R351" s="4">
        <v>0</v>
      </c>
      <c r="S351" s="4" t="s">
        <v>219</v>
      </c>
      <c r="T351" s="4" t="s">
        <v>340</v>
      </c>
      <c r="U351" s="4">
        <v>0</v>
      </c>
      <c r="V351" s="4">
        <v>12</v>
      </c>
      <c r="W351" s="4">
        <v>66</v>
      </c>
    </row>
    <row r="352" spans="1:23" ht="11.25" customHeight="1" x14ac:dyDescent="0.25">
      <c r="A352" s="4" t="s">
        <v>21</v>
      </c>
      <c r="B352" s="4" t="s">
        <v>35</v>
      </c>
      <c r="C352" s="4" t="s">
        <v>39</v>
      </c>
      <c r="D352" s="4" t="s">
        <v>49</v>
      </c>
      <c r="E352" s="4" t="s">
        <v>25</v>
      </c>
      <c r="F352" s="4" t="s">
        <v>25</v>
      </c>
      <c r="G352" s="4" t="s">
        <v>25</v>
      </c>
      <c r="H352" s="4" t="s">
        <v>37</v>
      </c>
      <c r="I352" s="5">
        <v>44682</v>
      </c>
      <c r="J352" s="6">
        <v>0</v>
      </c>
      <c r="K352" s="6">
        <v>0</v>
      </c>
      <c r="L352" s="6">
        <v>3.214</v>
      </c>
      <c r="M352" s="6">
        <v>3.214</v>
      </c>
      <c r="N352" s="6">
        <v>3.214</v>
      </c>
      <c r="O352" s="6">
        <v>3.214</v>
      </c>
      <c r="P352" s="6">
        <v>0</v>
      </c>
      <c r="Q352" s="4" t="s">
        <v>26</v>
      </c>
      <c r="R352" s="4">
        <v>0</v>
      </c>
      <c r="S352" s="4" t="s">
        <v>220</v>
      </c>
      <c r="T352" s="4" t="s">
        <v>341</v>
      </c>
      <c r="U352" s="4">
        <v>0</v>
      </c>
      <c r="V352" s="4">
        <v>12</v>
      </c>
      <c r="W352" s="4">
        <v>66</v>
      </c>
    </row>
    <row r="353" spans="1:23" ht="11.25" customHeight="1" x14ac:dyDescent="0.25">
      <c r="A353" s="4" t="s">
        <v>21</v>
      </c>
      <c r="B353" s="4" t="s">
        <v>35</v>
      </c>
      <c r="C353" s="4" t="s">
        <v>39</v>
      </c>
      <c r="D353" s="4" t="s">
        <v>49</v>
      </c>
      <c r="E353" s="4" t="s">
        <v>25</v>
      </c>
      <c r="F353" s="4" t="s">
        <v>25</v>
      </c>
      <c r="G353" s="4" t="s">
        <v>25</v>
      </c>
      <c r="H353" s="4" t="s">
        <v>37</v>
      </c>
      <c r="I353" s="5">
        <v>44713</v>
      </c>
      <c r="J353" s="6">
        <v>0</v>
      </c>
      <c r="K353" s="6">
        <v>0</v>
      </c>
      <c r="L353" s="6">
        <v>3.472</v>
      </c>
      <c r="M353" s="6">
        <v>3.472</v>
      </c>
      <c r="N353" s="6">
        <v>3.472</v>
      </c>
      <c r="O353" s="6">
        <v>3.472</v>
      </c>
      <c r="P353" s="6">
        <v>0</v>
      </c>
      <c r="Q353" s="4" t="s">
        <v>26</v>
      </c>
      <c r="R353" s="4">
        <v>0</v>
      </c>
      <c r="S353" s="4" t="s">
        <v>221</v>
      </c>
      <c r="T353" s="4" t="s">
        <v>342</v>
      </c>
      <c r="U353" s="4">
        <v>0</v>
      </c>
      <c r="V353" s="4">
        <v>12</v>
      </c>
      <c r="W353" s="4">
        <v>66</v>
      </c>
    </row>
    <row r="354" spans="1:23" ht="11.25" customHeight="1" x14ac:dyDescent="0.25">
      <c r="A354" s="4" t="s">
        <v>21</v>
      </c>
      <c r="B354" s="4" t="s">
        <v>35</v>
      </c>
      <c r="C354" s="4" t="s">
        <v>39</v>
      </c>
      <c r="D354" s="4" t="s">
        <v>34</v>
      </c>
      <c r="E354" s="4" t="s">
        <v>25</v>
      </c>
      <c r="F354" s="4" t="s">
        <v>55</v>
      </c>
      <c r="G354" s="4" t="s">
        <v>25</v>
      </c>
      <c r="H354" s="4" t="s">
        <v>38</v>
      </c>
      <c r="I354" s="5">
        <v>44378</v>
      </c>
      <c r="J354" s="6">
        <v>0</v>
      </c>
      <c r="K354" s="6">
        <v>0</v>
      </c>
      <c r="L354" s="6">
        <v>456.125</v>
      </c>
      <c r="M354" s="6">
        <v>163.29275000000001</v>
      </c>
      <c r="N354" s="6">
        <v>0</v>
      </c>
      <c r="O354" s="6">
        <v>0</v>
      </c>
      <c r="P354" s="6">
        <v>0</v>
      </c>
      <c r="Q354" s="4" t="s">
        <v>54</v>
      </c>
      <c r="R354" s="4">
        <v>0</v>
      </c>
      <c r="S354" s="4" t="s">
        <v>186</v>
      </c>
      <c r="U354" s="4">
        <v>0</v>
      </c>
      <c r="V354" s="4">
        <v>25</v>
      </c>
      <c r="W354" s="4">
        <v>0</v>
      </c>
    </row>
    <row r="355" spans="1:23" ht="11.25" customHeight="1" x14ac:dyDescent="0.25">
      <c r="A355" s="4" t="s">
        <v>21</v>
      </c>
      <c r="B355" s="4" t="s">
        <v>35</v>
      </c>
      <c r="C355" s="4" t="s">
        <v>39</v>
      </c>
      <c r="D355" s="4" t="s">
        <v>34</v>
      </c>
      <c r="E355" s="4" t="s">
        <v>25</v>
      </c>
      <c r="F355" s="4" t="s">
        <v>55</v>
      </c>
      <c r="G355" s="4" t="s">
        <v>25</v>
      </c>
      <c r="H355" s="4" t="s">
        <v>38</v>
      </c>
      <c r="I355" s="5">
        <v>44409</v>
      </c>
      <c r="J355" s="6">
        <v>0</v>
      </c>
      <c r="K355" s="6">
        <v>0</v>
      </c>
      <c r="L355" s="6">
        <v>527.52300000000002</v>
      </c>
      <c r="M355" s="6">
        <v>527.52300000000002</v>
      </c>
      <c r="N355" s="6">
        <v>0</v>
      </c>
      <c r="O355" s="6">
        <v>0</v>
      </c>
      <c r="P355" s="6">
        <v>0</v>
      </c>
      <c r="Q355" s="4" t="s">
        <v>54</v>
      </c>
      <c r="R355" s="4">
        <v>0</v>
      </c>
      <c r="S355" s="4" t="s">
        <v>187</v>
      </c>
      <c r="U355" s="4">
        <v>0</v>
      </c>
      <c r="V355" s="4">
        <v>25</v>
      </c>
      <c r="W355" s="4">
        <v>0</v>
      </c>
    </row>
    <row r="356" spans="1:23" ht="11.25" customHeight="1" x14ac:dyDescent="0.25">
      <c r="A356" s="4" t="s">
        <v>21</v>
      </c>
      <c r="B356" s="4" t="s">
        <v>35</v>
      </c>
      <c r="C356" s="4" t="s">
        <v>39</v>
      </c>
      <c r="D356" s="4" t="s">
        <v>34</v>
      </c>
      <c r="E356" s="4" t="s">
        <v>25</v>
      </c>
      <c r="F356" s="4" t="s">
        <v>55</v>
      </c>
      <c r="G356" s="4" t="s">
        <v>25</v>
      </c>
      <c r="H356" s="4" t="s">
        <v>38</v>
      </c>
      <c r="I356" s="5">
        <v>44440</v>
      </c>
      <c r="J356" s="6">
        <v>0</v>
      </c>
      <c r="K356" s="6">
        <v>0</v>
      </c>
      <c r="L356" s="6">
        <v>557.39400000000001</v>
      </c>
      <c r="M356" s="6">
        <v>557.39400000000001</v>
      </c>
      <c r="N356" s="6">
        <v>0</v>
      </c>
      <c r="O356" s="6">
        <v>0</v>
      </c>
      <c r="P356" s="6">
        <v>0</v>
      </c>
      <c r="Q356" s="4" t="s">
        <v>54</v>
      </c>
      <c r="R356" s="4">
        <v>0</v>
      </c>
      <c r="S356" s="4" t="s">
        <v>188</v>
      </c>
      <c r="U356" s="4">
        <v>0</v>
      </c>
      <c r="V356" s="4">
        <v>25</v>
      </c>
      <c r="W356" s="4">
        <v>0</v>
      </c>
    </row>
    <row r="357" spans="1:23" ht="11.25" customHeight="1" x14ac:dyDescent="0.25">
      <c r="A357" s="4" t="s">
        <v>21</v>
      </c>
      <c r="B357" s="4" t="s">
        <v>35</v>
      </c>
      <c r="C357" s="4" t="s">
        <v>39</v>
      </c>
      <c r="D357" s="4" t="s">
        <v>34</v>
      </c>
      <c r="E357" s="4" t="s">
        <v>25</v>
      </c>
      <c r="F357" s="4" t="s">
        <v>55</v>
      </c>
      <c r="G357" s="4" t="s">
        <v>25</v>
      </c>
      <c r="H357" s="4" t="s">
        <v>38</v>
      </c>
      <c r="I357" s="5">
        <v>44470</v>
      </c>
      <c r="J357" s="6">
        <v>0</v>
      </c>
      <c r="K357" s="6">
        <v>0</v>
      </c>
      <c r="L357" s="6">
        <v>516.30700000000002</v>
      </c>
      <c r="M357" s="6">
        <v>516.30700000000002</v>
      </c>
      <c r="N357" s="6">
        <v>0</v>
      </c>
      <c r="O357" s="6">
        <v>0</v>
      </c>
      <c r="P357" s="6">
        <v>0</v>
      </c>
      <c r="Q357" s="4" t="s">
        <v>54</v>
      </c>
      <c r="R357" s="4">
        <v>0</v>
      </c>
      <c r="S357" s="4" t="s">
        <v>189</v>
      </c>
      <c r="U357" s="4">
        <v>0</v>
      </c>
      <c r="V357" s="4">
        <v>25</v>
      </c>
      <c r="W357" s="4">
        <v>0</v>
      </c>
    </row>
    <row r="358" spans="1:23" ht="11.25" customHeight="1" x14ac:dyDescent="0.25">
      <c r="A358" s="4" t="s">
        <v>21</v>
      </c>
      <c r="B358" s="4" t="s">
        <v>35</v>
      </c>
      <c r="C358" s="4" t="s">
        <v>39</v>
      </c>
      <c r="D358" s="4" t="s">
        <v>34</v>
      </c>
      <c r="E358" s="4" t="s">
        <v>25</v>
      </c>
      <c r="F358" s="4" t="s">
        <v>55</v>
      </c>
      <c r="G358" s="4" t="s">
        <v>25</v>
      </c>
      <c r="H358" s="4" t="s">
        <v>38</v>
      </c>
      <c r="I358" s="5">
        <v>44501</v>
      </c>
      <c r="J358" s="6">
        <v>0</v>
      </c>
      <c r="K358" s="6">
        <v>0</v>
      </c>
      <c r="L358" s="6">
        <v>486.08499999999998</v>
      </c>
      <c r="M358" s="6">
        <v>486.08499999999998</v>
      </c>
      <c r="N358" s="6">
        <v>0</v>
      </c>
      <c r="O358" s="6">
        <v>0</v>
      </c>
      <c r="P358" s="6">
        <v>0</v>
      </c>
      <c r="Q358" s="4" t="s">
        <v>54</v>
      </c>
      <c r="R358" s="4">
        <v>0</v>
      </c>
      <c r="S358" s="4" t="s">
        <v>190</v>
      </c>
      <c r="U358" s="4">
        <v>0</v>
      </c>
      <c r="V358" s="4">
        <v>25</v>
      </c>
      <c r="W358" s="4">
        <v>0</v>
      </c>
    </row>
    <row r="359" spans="1:23" ht="11.25" customHeight="1" x14ac:dyDescent="0.25">
      <c r="A359" s="4" t="s">
        <v>65</v>
      </c>
      <c r="B359" s="4" t="s">
        <v>35</v>
      </c>
      <c r="C359" s="4" t="s">
        <v>39</v>
      </c>
      <c r="D359" s="4" t="s">
        <v>34</v>
      </c>
      <c r="E359" s="4" t="s">
        <v>25</v>
      </c>
      <c r="F359" s="4" t="s">
        <v>55</v>
      </c>
      <c r="G359" s="4" t="s">
        <v>25</v>
      </c>
      <c r="H359" s="4" t="s">
        <v>38</v>
      </c>
      <c r="I359" s="5">
        <v>44531</v>
      </c>
      <c r="J359" s="6">
        <v>0</v>
      </c>
      <c r="K359" s="6">
        <v>0</v>
      </c>
      <c r="L359" s="6">
        <v>486.08499999999998</v>
      </c>
      <c r="M359" s="6">
        <v>486.08499999999998</v>
      </c>
      <c r="N359" s="6">
        <v>0</v>
      </c>
      <c r="O359" s="6">
        <v>0</v>
      </c>
      <c r="P359" s="6">
        <v>0</v>
      </c>
      <c r="Q359" s="4" t="s">
        <v>54</v>
      </c>
      <c r="R359" s="4">
        <v>0</v>
      </c>
      <c r="S359" s="4" t="s">
        <v>191</v>
      </c>
      <c r="U359" s="4">
        <v>0</v>
      </c>
      <c r="V359" s="4">
        <v>25</v>
      </c>
      <c r="W359" s="4">
        <v>0</v>
      </c>
    </row>
    <row r="360" spans="1:23" ht="11.25" customHeight="1" x14ac:dyDescent="0.25">
      <c r="A360" s="4" t="s">
        <v>21</v>
      </c>
      <c r="B360" s="4" t="s">
        <v>35</v>
      </c>
      <c r="C360" s="4" t="s">
        <v>39</v>
      </c>
      <c r="D360" s="4" t="s">
        <v>34</v>
      </c>
      <c r="E360" s="4" t="s">
        <v>25</v>
      </c>
      <c r="F360" s="4" t="s">
        <v>55</v>
      </c>
      <c r="G360" s="4" t="s">
        <v>25</v>
      </c>
      <c r="H360" s="4" t="s">
        <v>38</v>
      </c>
      <c r="I360" s="5">
        <v>44562</v>
      </c>
      <c r="J360" s="6">
        <v>0</v>
      </c>
      <c r="K360" s="6">
        <v>0</v>
      </c>
      <c r="L360" s="6">
        <v>362.80500000000001</v>
      </c>
      <c r="M360" s="6">
        <v>362.80500000000001</v>
      </c>
      <c r="N360" s="6">
        <v>0</v>
      </c>
      <c r="O360" s="6">
        <v>0</v>
      </c>
      <c r="P360" s="6">
        <v>0</v>
      </c>
      <c r="Q360" s="4" t="s">
        <v>54</v>
      </c>
      <c r="R360" s="4">
        <v>0</v>
      </c>
      <c r="S360" s="4" t="s">
        <v>192</v>
      </c>
      <c r="U360" s="4">
        <v>0</v>
      </c>
      <c r="V360" s="4">
        <v>25</v>
      </c>
      <c r="W360" s="4">
        <v>0</v>
      </c>
    </row>
    <row r="361" spans="1:23" ht="11.25" customHeight="1" x14ac:dyDescent="0.25">
      <c r="A361" s="4" t="s">
        <v>21</v>
      </c>
      <c r="B361" s="4" t="s">
        <v>35</v>
      </c>
      <c r="C361" s="4" t="s">
        <v>39</v>
      </c>
      <c r="D361" s="4" t="s">
        <v>34</v>
      </c>
      <c r="E361" s="4" t="s">
        <v>25</v>
      </c>
      <c r="F361" s="4" t="s">
        <v>55</v>
      </c>
      <c r="G361" s="4" t="s">
        <v>25</v>
      </c>
      <c r="H361" s="4" t="s">
        <v>38</v>
      </c>
      <c r="I361" s="5">
        <v>44593</v>
      </c>
      <c r="J361" s="6">
        <v>0</v>
      </c>
      <c r="K361" s="6">
        <v>0</v>
      </c>
      <c r="L361" s="6">
        <v>453.40499999999997</v>
      </c>
      <c r="M361" s="6">
        <v>453.40499999999997</v>
      </c>
      <c r="N361" s="6">
        <v>0</v>
      </c>
      <c r="O361" s="6">
        <v>0</v>
      </c>
      <c r="P361" s="6">
        <v>0</v>
      </c>
      <c r="Q361" s="4" t="s">
        <v>54</v>
      </c>
      <c r="R361" s="4">
        <v>0</v>
      </c>
      <c r="S361" s="4" t="s">
        <v>193</v>
      </c>
      <c r="U361" s="4">
        <v>0</v>
      </c>
      <c r="V361" s="4">
        <v>25</v>
      </c>
      <c r="W361" s="4">
        <v>0</v>
      </c>
    </row>
    <row r="362" spans="1:23" ht="11.25" customHeight="1" x14ac:dyDescent="0.25">
      <c r="A362" s="4" t="s">
        <v>21</v>
      </c>
      <c r="B362" s="4" t="s">
        <v>35</v>
      </c>
      <c r="C362" s="4" t="s">
        <v>39</v>
      </c>
      <c r="D362" s="4" t="s">
        <v>34</v>
      </c>
      <c r="E362" s="4" t="s">
        <v>25</v>
      </c>
      <c r="F362" s="4" t="s">
        <v>55</v>
      </c>
      <c r="G362" s="4" t="s">
        <v>25</v>
      </c>
      <c r="H362" s="4" t="s">
        <v>38</v>
      </c>
      <c r="I362" s="5">
        <v>44621</v>
      </c>
      <c r="J362" s="6">
        <v>0</v>
      </c>
      <c r="K362" s="6">
        <v>0</v>
      </c>
      <c r="L362" s="6">
        <v>484.22300000000001</v>
      </c>
      <c r="M362" s="6">
        <v>484.22300000000001</v>
      </c>
      <c r="N362" s="6">
        <v>0</v>
      </c>
      <c r="O362" s="6">
        <v>0</v>
      </c>
      <c r="P362" s="6">
        <v>0</v>
      </c>
      <c r="Q362" s="4" t="s">
        <v>54</v>
      </c>
      <c r="R362" s="4">
        <v>0</v>
      </c>
      <c r="S362" s="4" t="s">
        <v>194</v>
      </c>
      <c r="U362" s="4">
        <v>0</v>
      </c>
      <c r="V362" s="4">
        <v>25</v>
      </c>
      <c r="W362" s="4">
        <v>0</v>
      </c>
    </row>
    <row r="363" spans="1:23" ht="11.25" customHeight="1" x14ac:dyDescent="0.25">
      <c r="A363" s="4" t="s">
        <v>65</v>
      </c>
      <c r="B363" s="4" t="s">
        <v>35</v>
      </c>
      <c r="C363" s="4" t="s">
        <v>39</v>
      </c>
      <c r="D363" s="4" t="s">
        <v>34</v>
      </c>
      <c r="E363" s="4" t="s">
        <v>25</v>
      </c>
      <c r="F363" s="4" t="s">
        <v>55</v>
      </c>
      <c r="G363" s="4" t="s">
        <v>25</v>
      </c>
      <c r="H363" s="4" t="s">
        <v>38</v>
      </c>
      <c r="I363" s="5">
        <v>44652</v>
      </c>
      <c r="J363" s="6">
        <v>0</v>
      </c>
      <c r="K363" s="6">
        <v>0</v>
      </c>
      <c r="L363" s="6">
        <v>484.22300000000001</v>
      </c>
      <c r="M363" s="6">
        <v>484.22300000000001</v>
      </c>
      <c r="N363" s="6">
        <v>0</v>
      </c>
      <c r="O363" s="6">
        <v>0</v>
      </c>
      <c r="P363" s="6">
        <v>0</v>
      </c>
      <c r="Q363" s="4" t="s">
        <v>54</v>
      </c>
      <c r="R363" s="4">
        <v>0</v>
      </c>
      <c r="S363" s="4" t="s">
        <v>195</v>
      </c>
      <c r="U363" s="4">
        <v>0</v>
      </c>
      <c r="V363" s="4">
        <v>25</v>
      </c>
      <c r="W363" s="4">
        <v>0</v>
      </c>
    </row>
    <row r="364" spans="1:23" ht="11.25" customHeight="1" x14ac:dyDescent="0.25">
      <c r="A364" s="4" t="s">
        <v>21</v>
      </c>
      <c r="B364" s="4" t="s">
        <v>35</v>
      </c>
      <c r="C364" s="4" t="s">
        <v>39</v>
      </c>
      <c r="D364" s="4" t="s">
        <v>34</v>
      </c>
      <c r="E364" s="4" t="s">
        <v>25</v>
      </c>
      <c r="F364" s="4" t="s">
        <v>55</v>
      </c>
      <c r="G364" s="4" t="s">
        <v>25</v>
      </c>
      <c r="H364" s="4" t="s">
        <v>38</v>
      </c>
      <c r="I364" s="5">
        <v>44682</v>
      </c>
      <c r="J364" s="6">
        <v>0</v>
      </c>
      <c r="K364" s="6">
        <v>0</v>
      </c>
      <c r="L364" s="6">
        <v>1545.7550000000001</v>
      </c>
      <c r="M364" s="6">
        <v>1545.7550000000001</v>
      </c>
      <c r="N364" s="6">
        <v>0</v>
      </c>
      <c r="O364" s="6">
        <v>0</v>
      </c>
      <c r="P364" s="6">
        <v>0</v>
      </c>
      <c r="Q364" s="4" t="s">
        <v>54</v>
      </c>
      <c r="R364" s="4">
        <v>0</v>
      </c>
      <c r="S364" s="4" t="s">
        <v>196</v>
      </c>
      <c r="U364" s="4">
        <v>0</v>
      </c>
      <c r="V364" s="4">
        <v>25</v>
      </c>
      <c r="W364" s="4">
        <v>0</v>
      </c>
    </row>
    <row r="365" spans="1:23" ht="11.25" customHeight="1" x14ac:dyDescent="0.25">
      <c r="A365" s="4" t="s">
        <v>21</v>
      </c>
      <c r="B365" s="4" t="s">
        <v>35</v>
      </c>
      <c r="C365" s="4" t="s">
        <v>39</v>
      </c>
      <c r="D365" s="4" t="s">
        <v>34</v>
      </c>
      <c r="E365" s="4" t="s">
        <v>25</v>
      </c>
      <c r="F365" s="4" t="s">
        <v>55</v>
      </c>
      <c r="G365" s="4" t="s">
        <v>25</v>
      </c>
      <c r="H365" s="4" t="s">
        <v>38</v>
      </c>
      <c r="I365" s="5">
        <v>44713</v>
      </c>
      <c r="J365" s="6">
        <v>0</v>
      </c>
      <c r="K365" s="6">
        <v>0</v>
      </c>
      <c r="L365" s="6">
        <v>1995.7719999999999</v>
      </c>
      <c r="M365" s="6">
        <v>1995.7719999999999</v>
      </c>
      <c r="N365" s="6">
        <v>0</v>
      </c>
      <c r="O365" s="6">
        <v>0</v>
      </c>
      <c r="P365" s="6">
        <v>0</v>
      </c>
      <c r="Q365" s="4" t="s">
        <v>54</v>
      </c>
      <c r="R365" s="4">
        <v>0</v>
      </c>
      <c r="S365" s="4" t="s">
        <v>197</v>
      </c>
      <c r="U365" s="4">
        <v>0</v>
      </c>
      <c r="V365" s="4">
        <v>25</v>
      </c>
      <c r="W365" s="4">
        <v>0</v>
      </c>
    </row>
    <row r="366" spans="1:23" ht="11.25" customHeight="1" x14ac:dyDescent="0.25">
      <c r="A366" s="4" t="s">
        <v>21</v>
      </c>
      <c r="B366" s="4" t="s">
        <v>35</v>
      </c>
      <c r="C366" s="4" t="s">
        <v>39</v>
      </c>
      <c r="D366" s="4" t="s">
        <v>34</v>
      </c>
      <c r="E366" s="4" t="s">
        <v>25</v>
      </c>
      <c r="F366" s="4" t="s">
        <v>55</v>
      </c>
      <c r="G366" s="4" t="s">
        <v>25</v>
      </c>
      <c r="H366" s="4" t="s">
        <v>25</v>
      </c>
      <c r="I366" s="5">
        <v>44378</v>
      </c>
      <c r="J366" s="6">
        <v>1822</v>
      </c>
      <c r="K366" s="6">
        <v>652.27599999999995</v>
      </c>
      <c r="L366" s="6">
        <v>0</v>
      </c>
      <c r="M366" s="6">
        <v>0</v>
      </c>
      <c r="N366" s="6">
        <v>0</v>
      </c>
      <c r="O366" s="6">
        <v>0</v>
      </c>
      <c r="P366" s="6">
        <v>3</v>
      </c>
      <c r="Q366" s="4" t="s">
        <v>54</v>
      </c>
      <c r="R366" s="4">
        <v>0</v>
      </c>
      <c r="S366" s="4" t="s">
        <v>198</v>
      </c>
      <c r="U366" s="4">
        <v>18</v>
      </c>
      <c r="V366" s="4">
        <v>0</v>
      </c>
      <c r="W366" s="4">
        <v>0</v>
      </c>
    </row>
    <row r="367" spans="1:23" ht="11.25" customHeight="1" x14ac:dyDescent="0.25">
      <c r="A367" s="4" t="s">
        <v>21</v>
      </c>
      <c r="B367" s="4" t="s">
        <v>35</v>
      </c>
      <c r="C367" s="4" t="s">
        <v>39</v>
      </c>
      <c r="D367" s="4" t="s">
        <v>34</v>
      </c>
      <c r="E367" s="4" t="s">
        <v>25</v>
      </c>
      <c r="F367" s="4" t="s">
        <v>55</v>
      </c>
      <c r="G367" s="4" t="s">
        <v>25</v>
      </c>
      <c r="H367" s="4" t="s">
        <v>25</v>
      </c>
      <c r="I367" s="5">
        <v>44409</v>
      </c>
      <c r="J367" s="6">
        <v>2535</v>
      </c>
      <c r="K367" s="6">
        <v>1133.145</v>
      </c>
      <c r="L367" s="6">
        <v>0</v>
      </c>
      <c r="M367" s="6">
        <v>0</v>
      </c>
      <c r="N367" s="6">
        <v>0</v>
      </c>
      <c r="O367" s="6">
        <v>0</v>
      </c>
      <c r="P367" s="6">
        <v>4</v>
      </c>
      <c r="Q367" s="4" t="s">
        <v>54</v>
      </c>
      <c r="R367" s="4">
        <v>0</v>
      </c>
      <c r="S367" s="4" t="s">
        <v>199</v>
      </c>
      <c r="U367" s="4">
        <v>18</v>
      </c>
      <c r="V367" s="4">
        <v>0</v>
      </c>
      <c r="W367" s="4">
        <v>0</v>
      </c>
    </row>
    <row r="368" spans="1:23" ht="11.25" customHeight="1" x14ac:dyDescent="0.25">
      <c r="A368" s="4" t="s">
        <v>21</v>
      </c>
      <c r="B368" s="4" t="s">
        <v>35</v>
      </c>
      <c r="C368" s="4" t="s">
        <v>39</v>
      </c>
      <c r="D368" s="4" t="s">
        <v>34</v>
      </c>
      <c r="E368" s="4" t="s">
        <v>25</v>
      </c>
      <c r="F368" s="4" t="s">
        <v>55</v>
      </c>
      <c r="G368" s="4" t="s">
        <v>25</v>
      </c>
      <c r="H368" s="4" t="s">
        <v>25</v>
      </c>
      <c r="I368" s="5">
        <v>44440</v>
      </c>
      <c r="J368" s="6">
        <v>3085</v>
      </c>
      <c r="K368" s="6">
        <v>1823.2349999999999</v>
      </c>
      <c r="L368" s="6">
        <v>0</v>
      </c>
      <c r="M368" s="6">
        <v>0</v>
      </c>
      <c r="N368" s="6">
        <v>0</v>
      </c>
      <c r="O368" s="6">
        <v>0</v>
      </c>
      <c r="P368" s="6">
        <v>5</v>
      </c>
      <c r="Q368" s="4" t="s">
        <v>54</v>
      </c>
      <c r="R368" s="4">
        <v>0</v>
      </c>
      <c r="S368" s="4" t="s">
        <v>200</v>
      </c>
      <c r="U368" s="4">
        <v>18</v>
      </c>
      <c r="V368" s="4">
        <v>0</v>
      </c>
      <c r="W368" s="4">
        <v>0</v>
      </c>
    </row>
    <row r="369" spans="1:23" ht="11.25" customHeight="1" x14ac:dyDescent="0.25">
      <c r="A369" s="4" t="s">
        <v>21</v>
      </c>
      <c r="B369" s="4" t="s">
        <v>35</v>
      </c>
      <c r="C369" s="4" t="s">
        <v>39</v>
      </c>
      <c r="D369" s="4" t="s">
        <v>34</v>
      </c>
      <c r="E369" s="4" t="s">
        <v>25</v>
      </c>
      <c r="F369" s="4" t="s">
        <v>55</v>
      </c>
      <c r="G369" s="4" t="s">
        <v>25</v>
      </c>
      <c r="H369" s="4" t="s">
        <v>25</v>
      </c>
      <c r="I369" s="5">
        <v>44470</v>
      </c>
      <c r="J369" s="6">
        <v>3172</v>
      </c>
      <c r="K369" s="6">
        <v>1665.3</v>
      </c>
      <c r="L369" s="6">
        <v>0</v>
      </c>
      <c r="M369" s="6">
        <v>0</v>
      </c>
      <c r="N369" s="6">
        <v>0</v>
      </c>
      <c r="O369" s="6">
        <v>0</v>
      </c>
      <c r="P369" s="6">
        <v>5</v>
      </c>
      <c r="Q369" s="4" t="s">
        <v>54</v>
      </c>
      <c r="R369" s="4">
        <v>0</v>
      </c>
      <c r="S369" s="4" t="s">
        <v>201</v>
      </c>
      <c r="U369" s="4">
        <v>18</v>
      </c>
      <c r="V369" s="4">
        <v>0</v>
      </c>
      <c r="W369" s="4">
        <v>0</v>
      </c>
    </row>
    <row r="370" spans="1:23" ht="11.25" customHeight="1" x14ac:dyDescent="0.25">
      <c r="A370" s="4" t="s">
        <v>21</v>
      </c>
      <c r="B370" s="4" t="s">
        <v>35</v>
      </c>
      <c r="C370" s="4" t="s">
        <v>39</v>
      </c>
      <c r="D370" s="4" t="s">
        <v>34</v>
      </c>
      <c r="E370" s="4" t="s">
        <v>25</v>
      </c>
      <c r="F370" s="4" t="s">
        <v>55</v>
      </c>
      <c r="G370" s="4" t="s">
        <v>25</v>
      </c>
      <c r="H370" s="4" t="s">
        <v>25</v>
      </c>
      <c r="I370" s="5">
        <v>44501</v>
      </c>
      <c r="J370" s="6">
        <v>3034</v>
      </c>
      <c r="K370" s="6">
        <v>1535.204</v>
      </c>
      <c r="L370" s="6">
        <v>0</v>
      </c>
      <c r="M370" s="6">
        <v>0</v>
      </c>
      <c r="N370" s="6">
        <v>0</v>
      </c>
      <c r="O370" s="6">
        <v>0</v>
      </c>
      <c r="P370" s="6">
        <v>5</v>
      </c>
      <c r="Q370" s="4" t="s">
        <v>54</v>
      </c>
      <c r="R370" s="4">
        <v>0</v>
      </c>
      <c r="S370" s="4" t="s">
        <v>202</v>
      </c>
      <c r="U370" s="4">
        <v>18</v>
      </c>
      <c r="V370" s="4">
        <v>0</v>
      </c>
      <c r="W370" s="4">
        <v>0</v>
      </c>
    </row>
    <row r="371" spans="1:23" ht="11.25" customHeight="1" x14ac:dyDescent="0.25">
      <c r="A371" s="4" t="s">
        <v>65</v>
      </c>
      <c r="B371" s="4" t="s">
        <v>35</v>
      </c>
      <c r="C371" s="4" t="s">
        <v>39</v>
      </c>
      <c r="D371" s="4" t="s">
        <v>34</v>
      </c>
      <c r="E371" s="4" t="s">
        <v>25</v>
      </c>
      <c r="F371" s="4" t="s">
        <v>55</v>
      </c>
      <c r="G371" s="4" t="s">
        <v>25</v>
      </c>
      <c r="H371" s="4" t="s">
        <v>25</v>
      </c>
      <c r="I371" s="5">
        <v>44531</v>
      </c>
      <c r="J371" s="6">
        <v>3034</v>
      </c>
      <c r="K371" s="6">
        <v>1535.204</v>
      </c>
      <c r="L371" s="6">
        <v>0</v>
      </c>
      <c r="M371" s="6">
        <v>0</v>
      </c>
      <c r="N371" s="6">
        <v>0</v>
      </c>
      <c r="O371" s="6">
        <v>0</v>
      </c>
      <c r="P371" s="6">
        <v>5</v>
      </c>
      <c r="Q371" s="4" t="s">
        <v>54</v>
      </c>
      <c r="R371" s="4">
        <v>0</v>
      </c>
      <c r="S371" s="4" t="s">
        <v>203</v>
      </c>
      <c r="U371" s="4">
        <v>18</v>
      </c>
      <c r="V371" s="4">
        <v>0</v>
      </c>
      <c r="W371" s="4">
        <v>0</v>
      </c>
    </row>
    <row r="372" spans="1:23" ht="11.25" customHeight="1" x14ac:dyDescent="0.25">
      <c r="A372" s="4" t="s">
        <v>21</v>
      </c>
      <c r="B372" s="4" t="s">
        <v>35</v>
      </c>
      <c r="C372" s="4" t="s">
        <v>39</v>
      </c>
      <c r="D372" s="4" t="s">
        <v>34</v>
      </c>
      <c r="E372" s="4" t="s">
        <v>25</v>
      </c>
      <c r="F372" s="4" t="s">
        <v>55</v>
      </c>
      <c r="G372" s="4" t="s">
        <v>25</v>
      </c>
      <c r="H372" s="4" t="s">
        <v>25</v>
      </c>
      <c r="I372" s="5">
        <v>44562</v>
      </c>
      <c r="J372" s="6">
        <v>3855</v>
      </c>
      <c r="K372" s="6">
        <v>2170.3649999999998</v>
      </c>
      <c r="L372" s="6">
        <v>0</v>
      </c>
      <c r="M372" s="6">
        <v>0</v>
      </c>
      <c r="N372" s="6">
        <v>0</v>
      </c>
      <c r="O372" s="6">
        <v>0</v>
      </c>
      <c r="P372" s="6">
        <v>5</v>
      </c>
      <c r="Q372" s="4" t="s">
        <v>54</v>
      </c>
      <c r="R372" s="4">
        <v>0</v>
      </c>
      <c r="S372" s="4" t="s">
        <v>204</v>
      </c>
      <c r="U372" s="4">
        <v>18</v>
      </c>
      <c r="V372" s="4">
        <v>0</v>
      </c>
      <c r="W372" s="4">
        <v>0</v>
      </c>
    </row>
    <row r="373" spans="1:23" ht="11.25" customHeight="1" x14ac:dyDescent="0.25">
      <c r="A373" s="4" t="s">
        <v>21</v>
      </c>
      <c r="B373" s="4" t="s">
        <v>35</v>
      </c>
      <c r="C373" s="4" t="s">
        <v>39</v>
      </c>
      <c r="D373" s="4" t="s">
        <v>34</v>
      </c>
      <c r="E373" s="4" t="s">
        <v>25</v>
      </c>
      <c r="F373" s="4" t="s">
        <v>55</v>
      </c>
      <c r="G373" s="4" t="s">
        <v>25</v>
      </c>
      <c r="H373" s="4" t="s">
        <v>25</v>
      </c>
      <c r="I373" s="5">
        <v>44593</v>
      </c>
      <c r="J373" s="6">
        <v>4613</v>
      </c>
      <c r="K373" s="6">
        <v>1942.0730000000001</v>
      </c>
      <c r="L373" s="6">
        <v>0</v>
      </c>
      <c r="M373" s="6">
        <v>0</v>
      </c>
      <c r="N373" s="6">
        <v>0</v>
      </c>
      <c r="O373" s="6">
        <v>0</v>
      </c>
      <c r="P373" s="6">
        <v>6</v>
      </c>
      <c r="Q373" s="4" t="s">
        <v>54</v>
      </c>
      <c r="R373" s="4">
        <v>0</v>
      </c>
      <c r="S373" s="4" t="s">
        <v>205</v>
      </c>
      <c r="U373" s="4">
        <v>18</v>
      </c>
      <c r="V373" s="4">
        <v>0</v>
      </c>
      <c r="W373" s="4">
        <v>0</v>
      </c>
    </row>
    <row r="374" spans="1:23" ht="11.25" customHeight="1" x14ac:dyDescent="0.25">
      <c r="A374" s="4" t="s">
        <v>21</v>
      </c>
      <c r="B374" s="4" t="s">
        <v>35</v>
      </c>
      <c r="C374" s="4" t="s">
        <v>39</v>
      </c>
      <c r="D374" s="4" t="s">
        <v>34</v>
      </c>
      <c r="E374" s="4" t="s">
        <v>25</v>
      </c>
      <c r="F374" s="4" t="s">
        <v>55</v>
      </c>
      <c r="G374" s="4" t="s">
        <v>25</v>
      </c>
      <c r="H374" s="4" t="s">
        <v>25</v>
      </c>
      <c r="I374" s="5">
        <v>44621</v>
      </c>
      <c r="J374" s="6">
        <v>4183</v>
      </c>
      <c r="K374" s="6">
        <v>1765.2260000000001</v>
      </c>
      <c r="L374" s="6">
        <v>0</v>
      </c>
      <c r="M374" s="6">
        <v>0</v>
      </c>
      <c r="N374" s="6">
        <v>0</v>
      </c>
      <c r="O374" s="6">
        <v>0</v>
      </c>
      <c r="P374" s="6">
        <v>7</v>
      </c>
      <c r="Q374" s="4" t="s">
        <v>54</v>
      </c>
      <c r="R374" s="4">
        <v>0</v>
      </c>
      <c r="S374" s="4" t="s">
        <v>206</v>
      </c>
      <c r="U374" s="4">
        <v>18</v>
      </c>
      <c r="V374" s="4">
        <v>0</v>
      </c>
      <c r="W374" s="4">
        <v>0</v>
      </c>
    </row>
    <row r="375" spans="1:23" ht="11.25" customHeight="1" x14ac:dyDescent="0.25">
      <c r="A375" s="4" t="s">
        <v>65</v>
      </c>
      <c r="B375" s="4" t="s">
        <v>35</v>
      </c>
      <c r="C375" s="4" t="s">
        <v>39</v>
      </c>
      <c r="D375" s="4" t="s">
        <v>34</v>
      </c>
      <c r="E375" s="4" t="s">
        <v>25</v>
      </c>
      <c r="F375" s="4" t="s">
        <v>55</v>
      </c>
      <c r="G375" s="4" t="s">
        <v>25</v>
      </c>
      <c r="H375" s="4" t="s">
        <v>25</v>
      </c>
      <c r="I375" s="5">
        <v>44652</v>
      </c>
      <c r="J375" s="6">
        <v>4183</v>
      </c>
      <c r="K375" s="6">
        <v>1765.2260000000001</v>
      </c>
      <c r="L375" s="6">
        <v>0</v>
      </c>
      <c r="M375" s="6">
        <v>0</v>
      </c>
      <c r="N375" s="6">
        <v>0</v>
      </c>
      <c r="O375" s="6">
        <v>0</v>
      </c>
      <c r="P375" s="6">
        <v>7</v>
      </c>
      <c r="Q375" s="4" t="s">
        <v>54</v>
      </c>
      <c r="R375" s="4">
        <v>0</v>
      </c>
      <c r="S375" s="4" t="s">
        <v>207</v>
      </c>
      <c r="U375" s="4">
        <v>18</v>
      </c>
      <c r="V375" s="4">
        <v>0</v>
      </c>
      <c r="W375" s="4">
        <v>0</v>
      </c>
    </row>
    <row r="376" spans="1:23" ht="11.25" customHeight="1" x14ac:dyDescent="0.25">
      <c r="A376" s="4" t="s">
        <v>21</v>
      </c>
      <c r="B376" s="4" t="s">
        <v>35</v>
      </c>
      <c r="C376" s="4" t="s">
        <v>39</v>
      </c>
      <c r="D376" s="4" t="s">
        <v>34</v>
      </c>
      <c r="E376" s="4" t="s">
        <v>25</v>
      </c>
      <c r="F376" s="4" t="s">
        <v>55</v>
      </c>
      <c r="G376" s="4" t="s">
        <v>25</v>
      </c>
      <c r="H376" s="4" t="s">
        <v>25</v>
      </c>
      <c r="I376" s="5">
        <v>44682</v>
      </c>
      <c r="J376" s="6">
        <v>6667</v>
      </c>
      <c r="K376" s="6">
        <v>2760.1379999999999</v>
      </c>
      <c r="L376" s="6">
        <v>0</v>
      </c>
      <c r="M376" s="6">
        <v>0</v>
      </c>
      <c r="N376" s="6">
        <v>0</v>
      </c>
      <c r="O376" s="6">
        <v>0</v>
      </c>
      <c r="P376" s="6">
        <v>8</v>
      </c>
      <c r="Q376" s="4" t="s">
        <v>54</v>
      </c>
      <c r="R376" s="4">
        <v>0</v>
      </c>
      <c r="S376" s="4" t="s">
        <v>208</v>
      </c>
      <c r="U376" s="4">
        <v>18</v>
      </c>
      <c r="V376" s="4">
        <v>0</v>
      </c>
      <c r="W376" s="4">
        <v>0</v>
      </c>
    </row>
    <row r="377" spans="1:23" ht="11.25" customHeight="1" x14ac:dyDescent="0.25">
      <c r="A377" s="4" t="s">
        <v>21</v>
      </c>
      <c r="B377" s="4" t="s">
        <v>35</v>
      </c>
      <c r="C377" s="4" t="s">
        <v>39</v>
      </c>
      <c r="D377" s="4" t="s">
        <v>34</v>
      </c>
      <c r="E377" s="4" t="s">
        <v>25</v>
      </c>
      <c r="F377" s="4" t="s">
        <v>55</v>
      </c>
      <c r="G377" s="4" t="s">
        <v>25</v>
      </c>
      <c r="H377" s="4" t="s">
        <v>25</v>
      </c>
      <c r="I377" s="5">
        <v>44713</v>
      </c>
      <c r="J377" s="6">
        <v>8554</v>
      </c>
      <c r="K377" s="6">
        <v>3002.4540000000002</v>
      </c>
      <c r="L377" s="6">
        <v>0</v>
      </c>
      <c r="M377" s="6">
        <v>0</v>
      </c>
      <c r="N377" s="6">
        <v>0</v>
      </c>
      <c r="O377" s="6">
        <v>0</v>
      </c>
      <c r="P377" s="6">
        <v>13</v>
      </c>
      <c r="Q377" s="4" t="s">
        <v>54</v>
      </c>
      <c r="R377" s="4">
        <v>0</v>
      </c>
      <c r="S377" s="4" t="s">
        <v>209</v>
      </c>
      <c r="U377" s="4">
        <v>18</v>
      </c>
      <c r="V377" s="4">
        <v>0</v>
      </c>
      <c r="W377" s="4">
        <v>0</v>
      </c>
    </row>
    <row r="378" spans="1:23" ht="11.25" customHeight="1" x14ac:dyDescent="0.25">
      <c r="A378" s="4" t="s">
        <v>21</v>
      </c>
      <c r="B378" s="4" t="s">
        <v>35</v>
      </c>
      <c r="C378" s="4" t="s">
        <v>39</v>
      </c>
      <c r="D378" s="4" t="s">
        <v>34</v>
      </c>
      <c r="E378" s="4" t="s">
        <v>25</v>
      </c>
      <c r="F378" s="4" t="s">
        <v>55</v>
      </c>
      <c r="G378" s="4" t="s">
        <v>25</v>
      </c>
      <c r="H378" s="4" t="s">
        <v>37</v>
      </c>
      <c r="I378" s="5">
        <v>44378</v>
      </c>
      <c r="J378" s="6">
        <v>0</v>
      </c>
      <c r="K378" s="6">
        <v>0</v>
      </c>
      <c r="L378" s="6">
        <v>64.95</v>
      </c>
      <c r="M378" s="6">
        <v>23.252099999999999</v>
      </c>
      <c r="N378" s="6">
        <v>0</v>
      </c>
      <c r="O378" s="6">
        <v>0</v>
      </c>
      <c r="P378" s="6">
        <v>0</v>
      </c>
      <c r="Q378" s="4" t="s">
        <v>54</v>
      </c>
      <c r="R378" s="4">
        <v>0</v>
      </c>
      <c r="S378" s="4" t="s">
        <v>210</v>
      </c>
      <c r="U378" s="4">
        <v>0</v>
      </c>
      <c r="V378" s="4">
        <v>12</v>
      </c>
      <c r="W378" s="4">
        <v>0</v>
      </c>
    </row>
    <row r="379" spans="1:23" ht="11.25" customHeight="1" x14ac:dyDescent="0.25">
      <c r="A379" s="4" t="s">
        <v>21</v>
      </c>
      <c r="B379" s="4" t="s">
        <v>35</v>
      </c>
      <c r="C379" s="4" t="s">
        <v>39</v>
      </c>
      <c r="D379" s="4" t="s">
        <v>34</v>
      </c>
      <c r="E379" s="4" t="s">
        <v>25</v>
      </c>
      <c r="F379" s="4" t="s">
        <v>55</v>
      </c>
      <c r="G379" s="4" t="s">
        <v>25</v>
      </c>
      <c r="H379" s="4" t="s">
        <v>37</v>
      </c>
      <c r="I379" s="5">
        <v>44409</v>
      </c>
      <c r="J379" s="6">
        <v>0</v>
      </c>
      <c r="K379" s="6">
        <v>0</v>
      </c>
      <c r="L379" s="6">
        <v>59.216999999999999</v>
      </c>
      <c r="M379" s="6">
        <v>26.647649999999999</v>
      </c>
      <c r="N379" s="6">
        <v>0</v>
      </c>
      <c r="O379" s="6">
        <v>0</v>
      </c>
      <c r="P379" s="6">
        <v>0</v>
      </c>
      <c r="Q379" s="4" t="s">
        <v>54</v>
      </c>
      <c r="R379" s="4">
        <v>0</v>
      </c>
      <c r="S379" s="4" t="s">
        <v>211</v>
      </c>
      <c r="U379" s="4">
        <v>0</v>
      </c>
      <c r="V379" s="4">
        <v>12</v>
      </c>
      <c r="W379" s="4">
        <v>0</v>
      </c>
    </row>
    <row r="380" spans="1:23" ht="11.25" customHeight="1" x14ac:dyDescent="0.25">
      <c r="A380" s="4" t="s">
        <v>21</v>
      </c>
      <c r="B380" s="4" t="s">
        <v>35</v>
      </c>
      <c r="C380" s="4" t="s">
        <v>39</v>
      </c>
      <c r="D380" s="4" t="s">
        <v>34</v>
      </c>
      <c r="E380" s="4" t="s">
        <v>25</v>
      </c>
      <c r="F380" s="4" t="s">
        <v>55</v>
      </c>
      <c r="G380" s="4" t="s">
        <v>25</v>
      </c>
      <c r="H380" s="4" t="s">
        <v>37</v>
      </c>
      <c r="I380" s="5">
        <v>44440</v>
      </c>
      <c r="J380" s="6">
        <v>0</v>
      </c>
      <c r="K380" s="6">
        <v>0</v>
      </c>
      <c r="L380" s="6">
        <v>51.08</v>
      </c>
      <c r="M380" s="6">
        <v>27.103048000000001</v>
      </c>
      <c r="N380" s="6">
        <v>0</v>
      </c>
      <c r="O380" s="6">
        <v>0</v>
      </c>
      <c r="P380" s="6">
        <v>0</v>
      </c>
      <c r="Q380" s="4" t="s">
        <v>54</v>
      </c>
      <c r="R380" s="4">
        <v>0</v>
      </c>
      <c r="S380" s="4" t="s">
        <v>212</v>
      </c>
      <c r="U380" s="4">
        <v>0</v>
      </c>
      <c r="V380" s="4">
        <v>12</v>
      </c>
      <c r="W380" s="4">
        <v>0</v>
      </c>
    </row>
    <row r="381" spans="1:23" ht="11.25" customHeight="1" x14ac:dyDescent="0.25">
      <c r="A381" s="4" t="s">
        <v>21</v>
      </c>
      <c r="B381" s="4" t="s">
        <v>35</v>
      </c>
      <c r="C381" s="4" t="s">
        <v>39</v>
      </c>
      <c r="D381" s="4" t="s">
        <v>34</v>
      </c>
      <c r="E381" s="4" t="s">
        <v>25</v>
      </c>
      <c r="F381" s="4" t="s">
        <v>55</v>
      </c>
      <c r="G381" s="4" t="s">
        <v>25</v>
      </c>
      <c r="H381" s="4" t="s">
        <v>37</v>
      </c>
      <c r="I381" s="5">
        <v>44470</v>
      </c>
      <c r="J381" s="6">
        <v>0</v>
      </c>
      <c r="K381" s="6">
        <v>0</v>
      </c>
      <c r="L381" s="6">
        <v>47.006</v>
      </c>
      <c r="M381" s="6">
        <v>24.678149999999999</v>
      </c>
      <c r="N381" s="6">
        <v>0</v>
      </c>
      <c r="O381" s="6">
        <v>0</v>
      </c>
      <c r="P381" s="6">
        <v>0</v>
      </c>
      <c r="Q381" s="4" t="s">
        <v>54</v>
      </c>
      <c r="R381" s="4">
        <v>0</v>
      </c>
      <c r="S381" s="4" t="s">
        <v>213</v>
      </c>
      <c r="U381" s="4">
        <v>0</v>
      </c>
      <c r="V381" s="4">
        <v>12</v>
      </c>
      <c r="W381" s="4">
        <v>0</v>
      </c>
    </row>
    <row r="382" spans="1:23" ht="11.25" customHeight="1" x14ac:dyDescent="0.25">
      <c r="A382" s="4" t="s">
        <v>21</v>
      </c>
      <c r="B382" s="4" t="s">
        <v>35</v>
      </c>
      <c r="C382" s="4" t="s">
        <v>39</v>
      </c>
      <c r="D382" s="4" t="s">
        <v>34</v>
      </c>
      <c r="E382" s="4" t="s">
        <v>25</v>
      </c>
      <c r="F382" s="4" t="s">
        <v>55</v>
      </c>
      <c r="G382" s="4" t="s">
        <v>25</v>
      </c>
      <c r="H382" s="4" t="s">
        <v>37</v>
      </c>
      <c r="I382" s="5">
        <v>44501</v>
      </c>
      <c r="J382" s="6">
        <v>0</v>
      </c>
      <c r="K382" s="6">
        <v>0</v>
      </c>
      <c r="L382" s="6">
        <v>47.975000000000001</v>
      </c>
      <c r="M382" s="6">
        <v>24.27535</v>
      </c>
      <c r="N382" s="6">
        <v>0</v>
      </c>
      <c r="O382" s="6">
        <v>0</v>
      </c>
      <c r="P382" s="6">
        <v>0</v>
      </c>
      <c r="Q382" s="4" t="s">
        <v>54</v>
      </c>
      <c r="R382" s="4">
        <v>0</v>
      </c>
      <c r="S382" s="4" t="s">
        <v>214</v>
      </c>
      <c r="U382" s="4">
        <v>0</v>
      </c>
      <c r="V382" s="4">
        <v>12</v>
      </c>
      <c r="W382" s="4">
        <v>0</v>
      </c>
    </row>
    <row r="383" spans="1:23" ht="11.25" customHeight="1" x14ac:dyDescent="0.25">
      <c r="A383" s="4" t="s">
        <v>65</v>
      </c>
      <c r="B383" s="4" t="s">
        <v>35</v>
      </c>
      <c r="C383" s="4" t="s">
        <v>39</v>
      </c>
      <c r="D383" s="4" t="s">
        <v>34</v>
      </c>
      <c r="E383" s="4" t="s">
        <v>25</v>
      </c>
      <c r="F383" s="4" t="s">
        <v>55</v>
      </c>
      <c r="G383" s="4" t="s">
        <v>25</v>
      </c>
      <c r="H383" s="4" t="s">
        <v>37</v>
      </c>
      <c r="I383" s="5">
        <v>44531</v>
      </c>
      <c r="J383" s="6">
        <v>0</v>
      </c>
      <c r="K383" s="6">
        <v>0</v>
      </c>
      <c r="L383" s="6">
        <v>47.975000000000001</v>
      </c>
      <c r="M383" s="6">
        <v>24.27535</v>
      </c>
      <c r="N383" s="6">
        <v>0</v>
      </c>
      <c r="O383" s="6">
        <v>0</v>
      </c>
      <c r="P383" s="6">
        <v>0</v>
      </c>
      <c r="Q383" s="4" t="s">
        <v>54</v>
      </c>
      <c r="R383" s="4">
        <v>0</v>
      </c>
      <c r="S383" s="4" t="s">
        <v>215</v>
      </c>
      <c r="U383" s="4">
        <v>0</v>
      </c>
      <c r="V383" s="4">
        <v>12</v>
      </c>
      <c r="W383" s="4">
        <v>0</v>
      </c>
    </row>
    <row r="384" spans="1:23" ht="11.25" customHeight="1" x14ac:dyDescent="0.25">
      <c r="A384" s="4" t="s">
        <v>21</v>
      </c>
      <c r="B384" s="4" t="s">
        <v>35</v>
      </c>
      <c r="C384" s="4" t="s">
        <v>39</v>
      </c>
      <c r="D384" s="4" t="s">
        <v>34</v>
      </c>
      <c r="E384" s="4" t="s">
        <v>25</v>
      </c>
      <c r="F384" s="4" t="s">
        <v>55</v>
      </c>
      <c r="G384" s="4" t="s">
        <v>25</v>
      </c>
      <c r="H384" s="4" t="s">
        <v>37</v>
      </c>
      <c r="I384" s="5">
        <v>44562</v>
      </c>
      <c r="J384" s="6">
        <v>0</v>
      </c>
      <c r="K384" s="6">
        <v>0</v>
      </c>
      <c r="L384" s="6">
        <v>34.628</v>
      </c>
      <c r="M384" s="6">
        <v>19.495564000000002</v>
      </c>
      <c r="N384" s="6">
        <v>0</v>
      </c>
      <c r="O384" s="6">
        <v>0</v>
      </c>
      <c r="P384" s="6">
        <v>0</v>
      </c>
      <c r="Q384" s="4" t="s">
        <v>54</v>
      </c>
      <c r="R384" s="4">
        <v>0</v>
      </c>
      <c r="S384" s="4" t="s">
        <v>216</v>
      </c>
      <c r="U384" s="4">
        <v>0</v>
      </c>
      <c r="V384" s="4">
        <v>12</v>
      </c>
      <c r="W384" s="4">
        <v>0</v>
      </c>
    </row>
    <row r="385" spans="1:23" ht="11.25" customHeight="1" x14ac:dyDescent="0.25">
      <c r="A385" s="4" t="s">
        <v>21</v>
      </c>
      <c r="B385" s="4" t="s">
        <v>35</v>
      </c>
      <c r="C385" s="4" t="s">
        <v>39</v>
      </c>
      <c r="D385" s="4" t="s">
        <v>34</v>
      </c>
      <c r="E385" s="4" t="s">
        <v>25</v>
      </c>
      <c r="F385" s="4" t="s">
        <v>55</v>
      </c>
      <c r="G385" s="4" t="s">
        <v>25</v>
      </c>
      <c r="H385" s="4" t="s">
        <v>37</v>
      </c>
      <c r="I385" s="5">
        <v>44593</v>
      </c>
      <c r="J385" s="6">
        <v>0</v>
      </c>
      <c r="K385" s="6">
        <v>0</v>
      </c>
      <c r="L385" s="6">
        <v>44.442999999999998</v>
      </c>
      <c r="M385" s="6">
        <v>23.492569799999998</v>
      </c>
      <c r="N385" s="6">
        <v>0</v>
      </c>
      <c r="O385" s="6">
        <v>0</v>
      </c>
      <c r="P385" s="6">
        <v>0</v>
      </c>
      <c r="Q385" s="4" t="s">
        <v>54</v>
      </c>
      <c r="R385" s="4">
        <v>0</v>
      </c>
      <c r="S385" s="4" t="s">
        <v>217</v>
      </c>
      <c r="U385" s="4">
        <v>0</v>
      </c>
      <c r="V385" s="4">
        <v>12</v>
      </c>
      <c r="W385" s="4">
        <v>0</v>
      </c>
    </row>
    <row r="386" spans="1:23" ht="11.25" customHeight="1" x14ac:dyDescent="0.25">
      <c r="A386" s="4" t="s">
        <v>21</v>
      </c>
      <c r="B386" s="4" t="s">
        <v>35</v>
      </c>
      <c r="C386" s="4" t="s">
        <v>39</v>
      </c>
      <c r="D386" s="4" t="s">
        <v>34</v>
      </c>
      <c r="E386" s="4" t="s">
        <v>25</v>
      </c>
      <c r="F386" s="4" t="s">
        <v>55</v>
      </c>
      <c r="G386" s="4" t="s">
        <v>25</v>
      </c>
      <c r="H386" s="4" t="s">
        <v>37</v>
      </c>
      <c r="I386" s="5">
        <v>44621</v>
      </c>
      <c r="J386" s="6">
        <v>0</v>
      </c>
      <c r="K386" s="6">
        <v>0</v>
      </c>
      <c r="L386" s="6">
        <v>54.761000000000003</v>
      </c>
      <c r="M386" s="6">
        <v>23.109141999999999</v>
      </c>
      <c r="N386" s="6">
        <v>0</v>
      </c>
      <c r="O386" s="6">
        <v>0</v>
      </c>
      <c r="P386" s="6">
        <v>0</v>
      </c>
      <c r="Q386" s="4" t="s">
        <v>54</v>
      </c>
      <c r="R386" s="4">
        <v>0</v>
      </c>
      <c r="S386" s="4" t="s">
        <v>218</v>
      </c>
      <c r="U386" s="4">
        <v>0</v>
      </c>
      <c r="V386" s="4">
        <v>12</v>
      </c>
      <c r="W386" s="4">
        <v>0</v>
      </c>
    </row>
    <row r="387" spans="1:23" ht="11.25" customHeight="1" x14ac:dyDescent="0.25">
      <c r="A387" s="4" t="s">
        <v>65</v>
      </c>
      <c r="B387" s="4" t="s">
        <v>35</v>
      </c>
      <c r="C387" s="4" t="s">
        <v>39</v>
      </c>
      <c r="D387" s="4" t="s">
        <v>34</v>
      </c>
      <c r="E387" s="4" t="s">
        <v>25</v>
      </c>
      <c r="F387" s="4" t="s">
        <v>55</v>
      </c>
      <c r="G387" s="4" t="s">
        <v>25</v>
      </c>
      <c r="H387" s="4" t="s">
        <v>37</v>
      </c>
      <c r="I387" s="5">
        <v>44652</v>
      </c>
      <c r="J387" s="6">
        <v>0</v>
      </c>
      <c r="K387" s="6">
        <v>0</v>
      </c>
      <c r="L387" s="6">
        <v>54.761000000000003</v>
      </c>
      <c r="M387" s="6">
        <v>23.109141999999999</v>
      </c>
      <c r="N387" s="6">
        <v>0</v>
      </c>
      <c r="O387" s="6">
        <v>0</v>
      </c>
      <c r="P387" s="6">
        <v>0</v>
      </c>
      <c r="Q387" s="4" t="s">
        <v>54</v>
      </c>
      <c r="R387" s="4">
        <v>0</v>
      </c>
      <c r="S387" s="4" t="s">
        <v>219</v>
      </c>
      <c r="U387" s="4">
        <v>0</v>
      </c>
      <c r="V387" s="4">
        <v>12</v>
      </c>
      <c r="W387" s="4">
        <v>0</v>
      </c>
    </row>
    <row r="388" spans="1:23" ht="11.25" customHeight="1" x14ac:dyDescent="0.25">
      <c r="A388" s="4" t="s">
        <v>21</v>
      </c>
      <c r="B388" s="4" t="s">
        <v>35</v>
      </c>
      <c r="C388" s="4" t="s">
        <v>39</v>
      </c>
      <c r="D388" s="4" t="s">
        <v>34</v>
      </c>
      <c r="E388" s="4" t="s">
        <v>25</v>
      </c>
      <c r="F388" s="4" t="s">
        <v>55</v>
      </c>
      <c r="G388" s="4" t="s">
        <v>25</v>
      </c>
      <c r="H388" s="4" t="s">
        <v>37</v>
      </c>
      <c r="I388" s="5">
        <v>44682</v>
      </c>
      <c r="J388" s="6">
        <v>0</v>
      </c>
      <c r="K388" s="6">
        <v>0</v>
      </c>
      <c r="L388" s="6">
        <v>181.01300000000001</v>
      </c>
      <c r="M388" s="6">
        <v>101.548293</v>
      </c>
      <c r="N388" s="6">
        <v>0</v>
      </c>
      <c r="O388" s="6">
        <v>0</v>
      </c>
      <c r="P388" s="6">
        <v>0</v>
      </c>
      <c r="Q388" s="4" t="s">
        <v>54</v>
      </c>
      <c r="R388" s="4">
        <v>0</v>
      </c>
      <c r="S388" s="4" t="s">
        <v>220</v>
      </c>
      <c r="U388" s="4">
        <v>0</v>
      </c>
      <c r="V388" s="4">
        <v>12</v>
      </c>
      <c r="W388" s="4">
        <v>0</v>
      </c>
    </row>
    <row r="389" spans="1:23" ht="11.25" customHeight="1" x14ac:dyDescent="0.25">
      <c r="A389" s="4" t="s">
        <v>21</v>
      </c>
      <c r="B389" s="4" t="s">
        <v>35</v>
      </c>
      <c r="C389" s="4" t="s">
        <v>39</v>
      </c>
      <c r="D389" s="4" t="s">
        <v>34</v>
      </c>
      <c r="E389" s="4" t="s">
        <v>25</v>
      </c>
      <c r="F389" s="4" t="s">
        <v>55</v>
      </c>
      <c r="G389" s="4" t="s">
        <v>25</v>
      </c>
      <c r="H389" s="4" t="s">
        <v>37</v>
      </c>
      <c r="I389" s="5">
        <v>44713</v>
      </c>
      <c r="J389" s="6">
        <v>0</v>
      </c>
      <c r="K389" s="6">
        <v>0</v>
      </c>
      <c r="L389" s="6">
        <v>229.89099999999999</v>
      </c>
      <c r="M389" s="6">
        <v>128.279178</v>
      </c>
      <c r="N389" s="6">
        <v>0</v>
      </c>
      <c r="O389" s="6">
        <v>0</v>
      </c>
      <c r="P389" s="6">
        <v>0</v>
      </c>
      <c r="Q389" s="4" t="s">
        <v>54</v>
      </c>
      <c r="R389" s="4">
        <v>0</v>
      </c>
      <c r="S389" s="4" t="s">
        <v>221</v>
      </c>
      <c r="U389" s="4">
        <v>0</v>
      </c>
      <c r="V389" s="4">
        <v>12</v>
      </c>
      <c r="W389" s="4">
        <v>0</v>
      </c>
    </row>
    <row r="390" spans="1:23" ht="11.25" customHeight="1" x14ac:dyDescent="0.25">
      <c r="A390" s="4" t="s">
        <v>21</v>
      </c>
      <c r="B390" s="4" t="s">
        <v>35</v>
      </c>
      <c r="C390" s="4" t="s">
        <v>39</v>
      </c>
      <c r="D390" s="4" t="s">
        <v>34</v>
      </c>
      <c r="E390" s="4" t="s">
        <v>25</v>
      </c>
      <c r="F390" s="4" t="s">
        <v>25</v>
      </c>
      <c r="G390" s="4" t="s">
        <v>25</v>
      </c>
      <c r="H390" s="4" t="s">
        <v>38</v>
      </c>
      <c r="I390" s="5">
        <v>44378</v>
      </c>
      <c r="J390" s="6">
        <v>0</v>
      </c>
      <c r="K390" s="6">
        <v>0</v>
      </c>
      <c r="L390" s="6">
        <v>6815.0640000000003</v>
      </c>
      <c r="M390" s="6">
        <v>6815.0640000000003</v>
      </c>
      <c r="N390" s="6">
        <v>6815.0640000000003</v>
      </c>
      <c r="O390" s="6">
        <v>6815.0640000000003</v>
      </c>
      <c r="P390" s="6">
        <v>0</v>
      </c>
      <c r="Q390" s="4" t="s">
        <v>26</v>
      </c>
      <c r="R390" s="4">
        <v>0</v>
      </c>
      <c r="S390" s="4" t="s">
        <v>186</v>
      </c>
      <c r="T390" s="4" t="s">
        <v>319</v>
      </c>
      <c r="U390" s="4">
        <v>0</v>
      </c>
      <c r="V390" s="4">
        <v>25</v>
      </c>
      <c r="W390" s="4">
        <v>59</v>
      </c>
    </row>
    <row r="391" spans="1:23" ht="11.25" customHeight="1" x14ac:dyDescent="0.25">
      <c r="A391" s="4" t="s">
        <v>27</v>
      </c>
      <c r="B391" s="4" t="s">
        <v>35</v>
      </c>
      <c r="C391" s="4" t="s">
        <v>39</v>
      </c>
      <c r="D391" s="4" t="s">
        <v>34</v>
      </c>
      <c r="E391" s="4" t="s">
        <v>25</v>
      </c>
      <c r="F391" s="4" t="s">
        <v>25</v>
      </c>
      <c r="G391" s="4" t="s">
        <v>25</v>
      </c>
      <c r="H391" s="4" t="s">
        <v>38</v>
      </c>
      <c r="I391" s="5">
        <v>44378</v>
      </c>
      <c r="J391" s="6">
        <v>0</v>
      </c>
      <c r="K391" s="6">
        <v>0</v>
      </c>
      <c r="L391" s="6">
        <v>-544.08600000000001</v>
      </c>
      <c r="M391" s="6">
        <v>-544.08600000000001</v>
      </c>
      <c r="N391" s="6">
        <v>-544.08600000000001</v>
      </c>
      <c r="O391" s="6">
        <v>-544.08600000000001</v>
      </c>
      <c r="P391" s="6">
        <v>0</v>
      </c>
      <c r="Q391" s="4" t="s">
        <v>26</v>
      </c>
      <c r="R391" s="4">
        <v>0</v>
      </c>
      <c r="S391" s="4" t="s">
        <v>186</v>
      </c>
      <c r="T391" s="4" t="s">
        <v>319</v>
      </c>
      <c r="U391" s="4">
        <v>0</v>
      </c>
      <c r="V391" s="4">
        <v>25</v>
      </c>
      <c r="W391" s="4">
        <v>59</v>
      </c>
    </row>
    <row r="392" spans="1:23" ht="11.25" customHeight="1" x14ac:dyDescent="0.25">
      <c r="A392" s="4" t="s">
        <v>28</v>
      </c>
      <c r="B392" s="4" t="s">
        <v>35</v>
      </c>
      <c r="C392" s="4" t="s">
        <v>39</v>
      </c>
      <c r="D392" s="4" t="s">
        <v>34</v>
      </c>
      <c r="E392" s="4" t="s">
        <v>25</v>
      </c>
      <c r="F392" s="4" t="s">
        <v>25</v>
      </c>
      <c r="G392" s="4" t="s">
        <v>25</v>
      </c>
      <c r="H392" s="4" t="s">
        <v>38</v>
      </c>
      <c r="I392" s="5">
        <v>44378</v>
      </c>
      <c r="J392" s="6">
        <v>0</v>
      </c>
      <c r="K392" s="6">
        <v>0</v>
      </c>
      <c r="L392" s="6">
        <v>316.392</v>
      </c>
      <c r="M392" s="6">
        <v>316.392</v>
      </c>
      <c r="N392" s="6">
        <v>316.392</v>
      </c>
      <c r="O392" s="6">
        <v>316.392</v>
      </c>
      <c r="P392" s="6">
        <v>0</v>
      </c>
      <c r="Q392" s="4" t="s">
        <v>26</v>
      </c>
      <c r="R392" s="4">
        <v>0</v>
      </c>
      <c r="S392" s="4" t="s">
        <v>186</v>
      </c>
      <c r="T392" s="4" t="s">
        <v>319</v>
      </c>
      <c r="U392" s="4">
        <v>0</v>
      </c>
      <c r="V392" s="4">
        <v>25</v>
      </c>
      <c r="W392" s="4">
        <v>59</v>
      </c>
    </row>
    <row r="393" spans="1:23" ht="11.25" customHeight="1" x14ac:dyDescent="0.25">
      <c r="A393" s="4" t="s">
        <v>21</v>
      </c>
      <c r="B393" s="4" t="s">
        <v>35</v>
      </c>
      <c r="C393" s="4" t="s">
        <v>39</v>
      </c>
      <c r="D393" s="4" t="s">
        <v>34</v>
      </c>
      <c r="E393" s="4" t="s">
        <v>25</v>
      </c>
      <c r="F393" s="4" t="s">
        <v>25</v>
      </c>
      <c r="G393" s="4" t="s">
        <v>25</v>
      </c>
      <c r="H393" s="4" t="s">
        <v>38</v>
      </c>
      <c r="I393" s="5">
        <v>44409</v>
      </c>
      <c r="J393" s="6">
        <v>0</v>
      </c>
      <c r="K393" s="6">
        <v>0</v>
      </c>
      <c r="L393" s="6">
        <v>6384.058</v>
      </c>
      <c r="M393" s="6">
        <v>6384.058</v>
      </c>
      <c r="N393" s="6">
        <v>6384.058</v>
      </c>
      <c r="O393" s="6">
        <v>6384.058</v>
      </c>
      <c r="P393" s="6">
        <v>0</v>
      </c>
      <c r="Q393" s="4" t="s">
        <v>26</v>
      </c>
      <c r="R393" s="4">
        <v>0</v>
      </c>
      <c r="S393" s="4" t="s">
        <v>187</v>
      </c>
      <c r="T393" s="4" t="s">
        <v>320</v>
      </c>
      <c r="U393" s="4">
        <v>0</v>
      </c>
      <c r="V393" s="4">
        <v>25</v>
      </c>
      <c r="W393" s="4">
        <v>59</v>
      </c>
    </row>
    <row r="394" spans="1:23" ht="11.25" customHeight="1" x14ac:dyDescent="0.25">
      <c r="A394" s="4" t="s">
        <v>28</v>
      </c>
      <c r="B394" s="4" t="s">
        <v>35</v>
      </c>
      <c r="C394" s="4" t="s">
        <v>39</v>
      </c>
      <c r="D394" s="4" t="s">
        <v>34</v>
      </c>
      <c r="E394" s="4" t="s">
        <v>25</v>
      </c>
      <c r="F394" s="4" t="s">
        <v>25</v>
      </c>
      <c r="G394" s="4" t="s">
        <v>25</v>
      </c>
      <c r="H394" s="4" t="s">
        <v>38</v>
      </c>
      <c r="I394" s="5">
        <v>44409</v>
      </c>
      <c r="J394" s="6">
        <v>0</v>
      </c>
      <c r="K394" s="6">
        <v>0</v>
      </c>
      <c r="L394" s="6">
        <v>326.16800000000001</v>
      </c>
      <c r="M394" s="6">
        <v>326.16800000000001</v>
      </c>
      <c r="N394" s="6">
        <v>326.16800000000001</v>
      </c>
      <c r="O394" s="6">
        <v>326.16800000000001</v>
      </c>
      <c r="P394" s="6">
        <v>0</v>
      </c>
      <c r="Q394" s="4" t="s">
        <v>26</v>
      </c>
      <c r="R394" s="4">
        <v>0</v>
      </c>
      <c r="S394" s="4" t="s">
        <v>187</v>
      </c>
      <c r="T394" s="4" t="s">
        <v>320</v>
      </c>
      <c r="U394" s="4">
        <v>0</v>
      </c>
      <c r="V394" s="4">
        <v>25</v>
      </c>
      <c r="W394" s="4">
        <v>59</v>
      </c>
    </row>
    <row r="395" spans="1:23" ht="11.25" customHeight="1" x14ac:dyDescent="0.25">
      <c r="A395" s="4" t="s">
        <v>21</v>
      </c>
      <c r="B395" s="4" t="s">
        <v>35</v>
      </c>
      <c r="C395" s="4" t="s">
        <v>39</v>
      </c>
      <c r="D395" s="4" t="s">
        <v>34</v>
      </c>
      <c r="E395" s="4" t="s">
        <v>25</v>
      </c>
      <c r="F395" s="4" t="s">
        <v>25</v>
      </c>
      <c r="G395" s="4" t="s">
        <v>25</v>
      </c>
      <c r="H395" s="4" t="s">
        <v>38</v>
      </c>
      <c r="I395" s="5">
        <v>44440</v>
      </c>
      <c r="J395" s="6">
        <v>0</v>
      </c>
      <c r="K395" s="6">
        <v>0</v>
      </c>
      <c r="L395" s="6">
        <v>6651.0119999999997</v>
      </c>
      <c r="M395" s="6">
        <v>6651.0119999999997</v>
      </c>
      <c r="N395" s="6">
        <v>6651.0119999999997</v>
      </c>
      <c r="O395" s="6">
        <v>6651.0119999999997</v>
      </c>
      <c r="P395" s="6">
        <v>0</v>
      </c>
      <c r="Q395" s="4" t="s">
        <v>26</v>
      </c>
      <c r="R395" s="4">
        <v>0</v>
      </c>
      <c r="S395" s="4" t="s">
        <v>188</v>
      </c>
      <c r="T395" s="4" t="s">
        <v>321</v>
      </c>
      <c r="U395" s="4">
        <v>0</v>
      </c>
      <c r="V395" s="4">
        <v>25</v>
      </c>
      <c r="W395" s="4">
        <v>59</v>
      </c>
    </row>
    <row r="396" spans="1:23" ht="11.25" customHeight="1" x14ac:dyDescent="0.25">
      <c r="A396" s="4" t="s">
        <v>28</v>
      </c>
      <c r="B396" s="4" t="s">
        <v>35</v>
      </c>
      <c r="C396" s="4" t="s">
        <v>39</v>
      </c>
      <c r="D396" s="4" t="s">
        <v>34</v>
      </c>
      <c r="E396" s="4" t="s">
        <v>25</v>
      </c>
      <c r="F396" s="4" t="s">
        <v>25</v>
      </c>
      <c r="G396" s="4" t="s">
        <v>25</v>
      </c>
      <c r="H396" s="4" t="s">
        <v>38</v>
      </c>
      <c r="I396" s="5">
        <v>44440</v>
      </c>
      <c r="J396" s="6">
        <v>0</v>
      </c>
      <c r="K396" s="6">
        <v>0</v>
      </c>
      <c r="L396" s="6">
        <v>325.83699999999999</v>
      </c>
      <c r="M396" s="6">
        <v>325.83699999999999</v>
      </c>
      <c r="N396" s="6">
        <v>325.83699999999999</v>
      </c>
      <c r="O396" s="6">
        <v>325.83699999999999</v>
      </c>
      <c r="P396" s="6">
        <v>0</v>
      </c>
      <c r="Q396" s="4" t="s">
        <v>26</v>
      </c>
      <c r="R396" s="4">
        <v>0</v>
      </c>
      <c r="S396" s="4" t="s">
        <v>188</v>
      </c>
      <c r="T396" s="4" t="s">
        <v>321</v>
      </c>
      <c r="U396" s="4">
        <v>0</v>
      </c>
      <c r="V396" s="4">
        <v>25</v>
      </c>
      <c r="W396" s="4">
        <v>59</v>
      </c>
    </row>
    <row r="397" spans="1:23" ht="11.25" customHeight="1" x14ac:dyDescent="0.25">
      <c r="A397" s="4" t="s">
        <v>21</v>
      </c>
      <c r="B397" s="4" t="s">
        <v>35</v>
      </c>
      <c r="C397" s="4" t="s">
        <v>39</v>
      </c>
      <c r="D397" s="4" t="s">
        <v>34</v>
      </c>
      <c r="E397" s="4" t="s">
        <v>25</v>
      </c>
      <c r="F397" s="4" t="s">
        <v>25</v>
      </c>
      <c r="G397" s="4" t="s">
        <v>25</v>
      </c>
      <c r="H397" s="4" t="s">
        <v>38</v>
      </c>
      <c r="I397" s="5">
        <v>44470</v>
      </c>
      <c r="J397" s="6">
        <v>0</v>
      </c>
      <c r="K397" s="6">
        <v>0</v>
      </c>
      <c r="L397" s="6">
        <v>6546.0789999999997</v>
      </c>
      <c r="M397" s="6">
        <v>6546.0789999999997</v>
      </c>
      <c r="N397" s="6">
        <v>6546.0789999999997</v>
      </c>
      <c r="O397" s="6">
        <v>6546.0789999999997</v>
      </c>
      <c r="P397" s="6">
        <v>0</v>
      </c>
      <c r="Q397" s="4" t="s">
        <v>26</v>
      </c>
      <c r="R397" s="4">
        <v>0</v>
      </c>
      <c r="S397" s="4" t="s">
        <v>189</v>
      </c>
      <c r="T397" s="4" t="s">
        <v>322</v>
      </c>
      <c r="U397" s="4">
        <v>0</v>
      </c>
      <c r="V397" s="4">
        <v>25</v>
      </c>
      <c r="W397" s="4">
        <v>59</v>
      </c>
    </row>
    <row r="398" spans="1:23" ht="11.25" customHeight="1" x14ac:dyDescent="0.25">
      <c r="A398" s="4" t="s">
        <v>28</v>
      </c>
      <c r="B398" s="4" t="s">
        <v>35</v>
      </c>
      <c r="C398" s="4" t="s">
        <v>39</v>
      </c>
      <c r="D398" s="4" t="s">
        <v>34</v>
      </c>
      <c r="E398" s="4" t="s">
        <v>25</v>
      </c>
      <c r="F398" s="4" t="s">
        <v>25</v>
      </c>
      <c r="G398" s="4" t="s">
        <v>25</v>
      </c>
      <c r="H398" s="4" t="s">
        <v>38</v>
      </c>
      <c r="I398" s="5">
        <v>44470</v>
      </c>
      <c r="J398" s="6">
        <v>0</v>
      </c>
      <c r="K398" s="6">
        <v>0</v>
      </c>
      <c r="L398" s="6">
        <v>305.10700000000003</v>
      </c>
      <c r="M398" s="6">
        <v>305.10700000000003</v>
      </c>
      <c r="N398" s="6">
        <v>305.10700000000003</v>
      </c>
      <c r="O398" s="6">
        <v>305.10700000000003</v>
      </c>
      <c r="P398" s="6">
        <v>0</v>
      </c>
      <c r="Q398" s="4" t="s">
        <v>26</v>
      </c>
      <c r="R398" s="4">
        <v>0</v>
      </c>
      <c r="S398" s="4" t="s">
        <v>189</v>
      </c>
      <c r="T398" s="4" t="s">
        <v>322</v>
      </c>
      <c r="U398" s="4">
        <v>0</v>
      </c>
      <c r="V398" s="4">
        <v>25</v>
      </c>
      <c r="W398" s="4">
        <v>59</v>
      </c>
    </row>
    <row r="399" spans="1:23" ht="11.25" customHeight="1" x14ac:dyDescent="0.25">
      <c r="A399" s="4" t="s">
        <v>21</v>
      </c>
      <c r="B399" s="4" t="s">
        <v>35</v>
      </c>
      <c r="C399" s="4" t="s">
        <v>39</v>
      </c>
      <c r="D399" s="4" t="s">
        <v>34</v>
      </c>
      <c r="E399" s="4" t="s">
        <v>25</v>
      </c>
      <c r="F399" s="4" t="s">
        <v>25</v>
      </c>
      <c r="G399" s="4" t="s">
        <v>25</v>
      </c>
      <c r="H399" s="4" t="s">
        <v>38</v>
      </c>
      <c r="I399" s="5">
        <v>44501</v>
      </c>
      <c r="J399" s="6">
        <v>0</v>
      </c>
      <c r="K399" s="6">
        <v>0</v>
      </c>
      <c r="L399" s="6">
        <v>5027.9440000000004</v>
      </c>
      <c r="M399" s="6">
        <v>5027.9440000000004</v>
      </c>
      <c r="N399" s="6">
        <v>5027.9440000000004</v>
      </c>
      <c r="O399" s="6">
        <v>5027.9440000000004</v>
      </c>
      <c r="P399" s="6">
        <v>0</v>
      </c>
      <c r="Q399" s="4" t="s">
        <v>26</v>
      </c>
      <c r="R399" s="4">
        <v>0</v>
      </c>
      <c r="S399" s="4" t="s">
        <v>190</v>
      </c>
      <c r="T399" s="4" t="s">
        <v>323</v>
      </c>
      <c r="U399" s="4">
        <v>0</v>
      </c>
      <c r="V399" s="4">
        <v>25</v>
      </c>
      <c r="W399" s="4">
        <v>59</v>
      </c>
    </row>
    <row r="400" spans="1:23" ht="11.25" customHeight="1" x14ac:dyDescent="0.25">
      <c r="A400" s="4" t="s">
        <v>28</v>
      </c>
      <c r="B400" s="4" t="s">
        <v>35</v>
      </c>
      <c r="C400" s="4" t="s">
        <v>39</v>
      </c>
      <c r="D400" s="4" t="s">
        <v>34</v>
      </c>
      <c r="E400" s="4" t="s">
        <v>25</v>
      </c>
      <c r="F400" s="4" t="s">
        <v>25</v>
      </c>
      <c r="G400" s="4" t="s">
        <v>25</v>
      </c>
      <c r="H400" s="4" t="s">
        <v>38</v>
      </c>
      <c r="I400" s="5">
        <v>44501</v>
      </c>
      <c r="J400" s="6">
        <v>0</v>
      </c>
      <c r="K400" s="6">
        <v>0</v>
      </c>
      <c r="L400" s="6">
        <v>295.52</v>
      </c>
      <c r="M400" s="6">
        <v>295.52</v>
      </c>
      <c r="N400" s="6">
        <v>295.52</v>
      </c>
      <c r="O400" s="6">
        <v>295.52</v>
      </c>
      <c r="P400" s="6">
        <v>0</v>
      </c>
      <c r="Q400" s="4" t="s">
        <v>26</v>
      </c>
      <c r="R400" s="4">
        <v>0</v>
      </c>
      <c r="S400" s="4" t="s">
        <v>190</v>
      </c>
      <c r="T400" s="4" t="s">
        <v>323</v>
      </c>
      <c r="U400" s="4">
        <v>0</v>
      </c>
      <c r="V400" s="4">
        <v>25</v>
      </c>
      <c r="W400" s="4">
        <v>59</v>
      </c>
    </row>
    <row r="401" spans="1:23" ht="11.25" customHeight="1" x14ac:dyDescent="0.25">
      <c r="A401" s="4" t="s">
        <v>21</v>
      </c>
      <c r="B401" s="4" t="s">
        <v>35</v>
      </c>
      <c r="C401" s="4" t="s">
        <v>39</v>
      </c>
      <c r="D401" s="4" t="s">
        <v>34</v>
      </c>
      <c r="E401" s="4" t="s">
        <v>25</v>
      </c>
      <c r="F401" s="4" t="s">
        <v>25</v>
      </c>
      <c r="G401" s="4" t="s">
        <v>25</v>
      </c>
      <c r="H401" s="4" t="s">
        <v>38</v>
      </c>
      <c r="I401" s="5">
        <v>44531</v>
      </c>
      <c r="J401" s="6">
        <v>0</v>
      </c>
      <c r="K401" s="6">
        <v>0</v>
      </c>
      <c r="L401" s="6">
        <v>4723.2650000000003</v>
      </c>
      <c r="M401" s="6">
        <v>4723.2650000000003</v>
      </c>
      <c r="N401" s="6">
        <v>4723.2650000000003</v>
      </c>
      <c r="O401" s="6">
        <v>4723.2650000000003</v>
      </c>
      <c r="P401" s="6">
        <v>0</v>
      </c>
      <c r="Q401" s="4" t="s">
        <v>26</v>
      </c>
      <c r="R401" s="4">
        <v>0</v>
      </c>
      <c r="S401" s="4" t="s">
        <v>191</v>
      </c>
      <c r="T401" s="4" t="s">
        <v>324</v>
      </c>
      <c r="U401" s="4">
        <v>0</v>
      </c>
      <c r="V401" s="4">
        <v>25</v>
      </c>
      <c r="W401" s="4">
        <v>59</v>
      </c>
    </row>
    <row r="402" spans="1:23" ht="11.25" customHeight="1" x14ac:dyDescent="0.25">
      <c r="A402" s="4" t="s">
        <v>21</v>
      </c>
      <c r="B402" s="4" t="s">
        <v>35</v>
      </c>
      <c r="C402" s="4" t="s">
        <v>39</v>
      </c>
      <c r="D402" s="4" t="s">
        <v>34</v>
      </c>
      <c r="E402" s="4" t="s">
        <v>25</v>
      </c>
      <c r="F402" s="4" t="s">
        <v>25</v>
      </c>
      <c r="G402" s="4" t="s">
        <v>25</v>
      </c>
      <c r="H402" s="4" t="s">
        <v>38</v>
      </c>
      <c r="I402" s="5">
        <v>44562</v>
      </c>
      <c r="J402" s="6">
        <v>0</v>
      </c>
      <c r="K402" s="6">
        <v>0</v>
      </c>
      <c r="L402" s="6">
        <v>4143.5569999999998</v>
      </c>
      <c r="M402" s="6">
        <v>4143.5569999999998</v>
      </c>
      <c r="N402" s="6">
        <v>4143.5569999999998</v>
      </c>
      <c r="O402" s="6">
        <v>4143.5569999999998</v>
      </c>
      <c r="P402" s="6">
        <v>0</v>
      </c>
      <c r="Q402" s="4" t="s">
        <v>26</v>
      </c>
      <c r="R402" s="4">
        <v>0</v>
      </c>
      <c r="S402" s="4" t="s">
        <v>192</v>
      </c>
      <c r="T402" s="4" t="s">
        <v>325</v>
      </c>
      <c r="U402" s="4">
        <v>0</v>
      </c>
      <c r="V402" s="4">
        <v>25</v>
      </c>
      <c r="W402" s="4">
        <v>59</v>
      </c>
    </row>
    <row r="403" spans="1:23" ht="11.25" customHeight="1" x14ac:dyDescent="0.25">
      <c r="A403" s="4" t="s">
        <v>28</v>
      </c>
      <c r="B403" s="4" t="s">
        <v>35</v>
      </c>
      <c r="C403" s="4" t="s">
        <v>39</v>
      </c>
      <c r="D403" s="4" t="s">
        <v>34</v>
      </c>
      <c r="E403" s="4" t="s">
        <v>25</v>
      </c>
      <c r="F403" s="4" t="s">
        <v>25</v>
      </c>
      <c r="G403" s="4" t="s">
        <v>25</v>
      </c>
      <c r="H403" s="4" t="s">
        <v>38</v>
      </c>
      <c r="I403" s="5">
        <v>44562</v>
      </c>
      <c r="J403" s="6">
        <v>0</v>
      </c>
      <c r="K403" s="6">
        <v>0</v>
      </c>
      <c r="L403" s="6">
        <v>274.983</v>
      </c>
      <c r="M403" s="6">
        <v>274.983</v>
      </c>
      <c r="N403" s="6">
        <v>274.983</v>
      </c>
      <c r="O403" s="6">
        <v>274.983</v>
      </c>
      <c r="P403" s="6">
        <v>0</v>
      </c>
      <c r="Q403" s="4" t="s">
        <v>26</v>
      </c>
      <c r="R403" s="4">
        <v>0</v>
      </c>
      <c r="S403" s="4" t="s">
        <v>192</v>
      </c>
      <c r="T403" s="4" t="s">
        <v>325</v>
      </c>
      <c r="U403" s="4">
        <v>0</v>
      </c>
      <c r="V403" s="4">
        <v>25</v>
      </c>
      <c r="W403" s="4">
        <v>59</v>
      </c>
    </row>
    <row r="404" spans="1:23" ht="11.25" customHeight="1" x14ac:dyDescent="0.25">
      <c r="A404" s="4" t="s">
        <v>21</v>
      </c>
      <c r="B404" s="4" t="s">
        <v>35</v>
      </c>
      <c r="C404" s="4" t="s">
        <v>39</v>
      </c>
      <c r="D404" s="4" t="s">
        <v>34</v>
      </c>
      <c r="E404" s="4" t="s">
        <v>25</v>
      </c>
      <c r="F404" s="4" t="s">
        <v>25</v>
      </c>
      <c r="G404" s="4" t="s">
        <v>25</v>
      </c>
      <c r="H404" s="4" t="s">
        <v>38</v>
      </c>
      <c r="I404" s="5">
        <v>44593</v>
      </c>
      <c r="J404" s="6">
        <v>0</v>
      </c>
      <c r="K404" s="6">
        <v>0</v>
      </c>
      <c r="L404" s="6">
        <v>4078.538</v>
      </c>
      <c r="M404" s="6">
        <v>4078.538</v>
      </c>
      <c r="N404" s="6">
        <v>4078.538</v>
      </c>
      <c r="O404" s="6">
        <v>4078.538</v>
      </c>
      <c r="P404" s="6">
        <v>0</v>
      </c>
      <c r="Q404" s="4" t="s">
        <v>26</v>
      </c>
      <c r="R404" s="4">
        <v>0</v>
      </c>
      <c r="S404" s="4" t="s">
        <v>193</v>
      </c>
      <c r="T404" s="4" t="s">
        <v>326</v>
      </c>
      <c r="U404" s="4">
        <v>0</v>
      </c>
      <c r="V404" s="4">
        <v>25</v>
      </c>
      <c r="W404" s="4">
        <v>59</v>
      </c>
    </row>
    <row r="405" spans="1:23" ht="11.25" customHeight="1" x14ac:dyDescent="0.25">
      <c r="A405" s="4" t="s">
        <v>27</v>
      </c>
      <c r="B405" s="4" t="s">
        <v>35</v>
      </c>
      <c r="C405" s="4" t="s">
        <v>39</v>
      </c>
      <c r="D405" s="4" t="s">
        <v>34</v>
      </c>
      <c r="E405" s="4" t="s">
        <v>25</v>
      </c>
      <c r="F405" s="4" t="s">
        <v>25</v>
      </c>
      <c r="G405" s="4" t="s">
        <v>25</v>
      </c>
      <c r="H405" s="4" t="s">
        <v>38</v>
      </c>
      <c r="I405" s="5">
        <v>44593</v>
      </c>
      <c r="J405" s="6">
        <v>0</v>
      </c>
      <c r="K405" s="6">
        <v>0</v>
      </c>
      <c r="L405" s="6">
        <v>-1.357</v>
      </c>
      <c r="M405" s="6">
        <v>-1.357</v>
      </c>
      <c r="N405" s="6">
        <v>-1.357</v>
      </c>
      <c r="O405" s="6">
        <v>-1.357</v>
      </c>
      <c r="P405" s="6">
        <v>0</v>
      </c>
      <c r="Q405" s="4" t="s">
        <v>26</v>
      </c>
      <c r="R405" s="4">
        <v>0</v>
      </c>
      <c r="S405" s="4" t="s">
        <v>193</v>
      </c>
      <c r="T405" s="4" t="s">
        <v>326</v>
      </c>
      <c r="U405" s="4">
        <v>0</v>
      </c>
      <c r="V405" s="4">
        <v>25</v>
      </c>
      <c r="W405" s="4">
        <v>59</v>
      </c>
    </row>
    <row r="406" spans="1:23" ht="11.25" customHeight="1" x14ac:dyDescent="0.25">
      <c r="A406" s="4" t="s">
        <v>28</v>
      </c>
      <c r="B406" s="4" t="s">
        <v>35</v>
      </c>
      <c r="C406" s="4" t="s">
        <v>39</v>
      </c>
      <c r="D406" s="4" t="s">
        <v>34</v>
      </c>
      <c r="E406" s="4" t="s">
        <v>25</v>
      </c>
      <c r="F406" s="4" t="s">
        <v>25</v>
      </c>
      <c r="G406" s="4" t="s">
        <v>25</v>
      </c>
      <c r="H406" s="4" t="s">
        <v>38</v>
      </c>
      <c r="I406" s="5">
        <v>44593</v>
      </c>
      <c r="J406" s="6">
        <v>0</v>
      </c>
      <c r="K406" s="6">
        <v>0</v>
      </c>
      <c r="L406" s="6">
        <v>376.36700000000002</v>
      </c>
      <c r="M406" s="6">
        <v>376.36700000000002</v>
      </c>
      <c r="N406" s="6">
        <v>376.36700000000002</v>
      </c>
      <c r="O406" s="6">
        <v>376.36700000000002</v>
      </c>
      <c r="P406" s="6">
        <v>0</v>
      </c>
      <c r="Q406" s="4" t="s">
        <v>26</v>
      </c>
      <c r="R406" s="4">
        <v>0</v>
      </c>
      <c r="S406" s="4" t="s">
        <v>193</v>
      </c>
      <c r="T406" s="4" t="s">
        <v>326</v>
      </c>
      <c r="U406" s="4">
        <v>0</v>
      </c>
      <c r="V406" s="4">
        <v>25</v>
      </c>
      <c r="W406" s="4">
        <v>59</v>
      </c>
    </row>
    <row r="407" spans="1:23" ht="11.25" customHeight="1" x14ac:dyDescent="0.25">
      <c r="A407" s="4" t="s">
        <v>21</v>
      </c>
      <c r="B407" s="4" t="s">
        <v>35</v>
      </c>
      <c r="C407" s="4" t="s">
        <v>39</v>
      </c>
      <c r="D407" s="4" t="s">
        <v>34</v>
      </c>
      <c r="E407" s="4" t="s">
        <v>25</v>
      </c>
      <c r="F407" s="4" t="s">
        <v>25</v>
      </c>
      <c r="G407" s="4" t="s">
        <v>25</v>
      </c>
      <c r="H407" s="4" t="s">
        <v>38</v>
      </c>
      <c r="I407" s="5">
        <v>44621</v>
      </c>
      <c r="J407" s="6">
        <v>0</v>
      </c>
      <c r="K407" s="6">
        <v>0</v>
      </c>
      <c r="L407" s="6">
        <v>4207.1940000000004</v>
      </c>
      <c r="M407" s="6">
        <v>4207.1940000000004</v>
      </c>
      <c r="N407" s="6">
        <v>4207.1940000000004</v>
      </c>
      <c r="O407" s="6">
        <v>4207.1940000000004</v>
      </c>
      <c r="P407" s="6">
        <v>0</v>
      </c>
      <c r="Q407" s="4" t="s">
        <v>26</v>
      </c>
      <c r="R407" s="4">
        <v>0</v>
      </c>
      <c r="S407" s="4" t="s">
        <v>194</v>
      </c>
      <c r="T407" s="4" t="s">
        <v>327</v>
      </c>
      <c r="U407" s="4">
        <v>0</v>
      </c>
      <c r="V407" s="4">
        <v>25</v>
      </c>
      <c r="W407" s="4">
        <v>59</v>
      </c>
    </row>
    <row r="408" spans="1:23" ht="11.25" customHeight="1" x14ac:dyDescent="0.25">
      <c r="A408" s="4" t="s">
        <v>28</v>
      </c>
      <c r="B408" s="4" t="s">
        <v>35</v>
      </c>
      <c r="C408" s="4" t="s">
        <v>39</v>
      </c>
      <c r="D408" s="4" t="s">
        <v>34</v>
      </c>
      <c r="E408" s="4" t="s">
        <v>25</v>
      </c>
      <c r="F408" s="4" t="s">
        <v>25</v>
      </c>
      <c r="G408" s="4" t="s">
        <v>25</v>
      </c>
      <c r="H408" s="4" t="s">
        <v>38</v>
      </c>
      <c r="I408" s="5">
        <v>44621</v>
      </c>
      <c r="J408" s="6">
        <v>0</v>
      </c>
      <c r="K408" s="6">
        <v>0</v>
      </c>
      <c r="L408" s="6">
        <v>413.221</v>
      </c>
      <c r="M408" s="6">
        <v>413.221</v>
      </c>
      <c r="N408" s="6">
        <v>413.221</v>
      </c>
      <c r="O408" s="6">
        <v>413.221</v>
      </c>
      <c r="P408" s="6">
        <v>0</v>
      </c>
      <c r="Q408" s="4" t="s">
        <v>26</v>
      </c>
      <c r="R408" s="4">
        <v>0</v>
      </c>
      <c r="S408" s="4" t="s">
        <v>194</v>
      </c>
      <c r="T408" s="4" t="s">
        <v>327</v>
      </c>
      <c r="U408" s="4">
        <v>0</v>
      </c>
      <c r="V408" s="4">
        <v>25</v>
      </c>
      <c r="W408" s="4">
        <v>59</v>
      </c>
    </row>
    <row r="409" spans="1:23" ht="11.25" customHeight="1" x14ac:dyDescent="0.25">
      <c r="A409" s="4" t="s">
        <v>21</v>
      </c>
      <c r="B409" s="4" t="s">
        <v>35</v>
      </c>
      <c r="C409" s="4" t="s">
        <v>39</v>
      </c>
      <c r="D409" s="4" t="s">
        <v>34</v>
      </c>
      <c r="E409" s="4" t="s">
        <v>25</v>
      </c>
      <c r="F409" s="4" t="s">
        <v>25</v>
      </c>
      <c r="G409" s="4" t="s">
        <v>25</v>
      </c>
      <c r="H409" s="4" t="s">
        <v>38</v>
      </c>
      <c r="I409" s="5">
        <v>44652</v>
      </c>
      <c r="J409" s="6">
        <v>0</v>
      </c>
      <c r="K409" s="6">
        <v>0</v>
      </c>
      <c r="L409" s="6">
        <v>3910.3020000000001</v>
      </c>
      <c r="M409" s="6">
        <v>3910.3020000000001</v>
      </c>
      <c r="N409" s="6">
        <v>3910.3020000000001</v>
      </c>
      <c r="O409" s="6">
        <v>3910.3020000000001</v>
      </c>
      <c r="P409" s="6">
        <v>0</v>
      </c>
      <c r="Q409" s="4" t="s">
        <v>26</v>
      </c>
      <c r="R409" s="4">
        <v>0</v>
      </c>
      <c r="S409" s="4" t="s">
        <v>195</v>
      </c>
      <c r="T409" s="4" t="s">
        <v>328</v>
      </c>
      <c r="U409" s="4">
        <v>0</v>
      </c>
      <c r="V409" s="4">
        <v>25</v>
      </c>
      <c r="W409" s="4">
        <v>59</v>
      </c>
    </row>
    <row r="410" spans="1:23" ht="11.25" customHeight="1" x14ac:dyDescent="0.25">
      <c r="A410" s="4" t="s">
        <v>27</v>
      </c>
      <c r="B410" s="4" t="s">
        <v>35</v>
      </c>
      <c r="C410" s="4" t="s">
        <v>39</v>
      </c>
      <c r="D410" s="4" t="s">
        <v>34</v>
      </c>
      <c r="E410" s="4" t="s">
        <v>25</v>
      </c>
      <c r="F410" s="4" t="s">
        <v>25</v>
      </c>
      <c r="G410" s="4" t="s">
        <v>25</v>
      </c>
      <c r="H410" s="4" t="s">
        <v>38</v>
      </c>
      <c r="I410" s="5">
        <v>44652</v>
      </c>
      <c r="J410" s="6">
        <v>0</v>
      </c>
      <c r="K410" s="6">
        <v>0</v>
      </c>
      <c r="L410" s="6">
        <v>-24.974</v>
      </c>
      <c r="M410" s="6">
        <v>-24.974</v>
      </c>
      <c r="N410" s="6">
        <v>-24.974</v>
      </c>
      <c r="O410" s="6">
        <v>-24.974</v>
      </c>
      <c r="P410" s="6">
        <v>0</v>
      </c>
      <c r="Q410" s="4" t="s">
        <v>26</v>
      </c>
      <c r="R410" s="4">
        <v>0</v>
      </c>
      <c r="S410" s="4" t="s">
        <v>195</v>
      </c>
      <c r="T410" s="4" t="s">
        <v>328</v>
      </c>
      <c r="U410" s="4">
        <v>0</v>
      </c>
      <c r="V410" s="4">
        <v>25</v>
      </c>
      <c r="W410" s="4">
        <v>59</v>
      </c>
    </row>
    <row r="411" spans="1:23" ht="11.25" customHeight="1" x14ac:dyDescent="0.25">
      <c r="A411" s="4" t="s">
        <v>28</v>
      </c>
      <c r="B411" s="4" t="s">
        <v>35</v>
      </c>
      <c r="C411" s="4" t="s">
        <v>39</v>
      </c>
      <c r="D411" s="4" t="s">
        <v>34</v>
      </c>
      <c r="E411" s="4" t="s">
        <v>25</v>
      </c>
      <c r="F411" s="4" t="s">
        <v>25</v>
      </c>
      <c r="G411" s="4" t="s">
        <v>25</v>
      </c>
      <c r="H411" s="4" t="s">
        <v>38</v>
      </c>
      <c r="I411" s="5">
        <v>44652</v>
      </c>
      <c r="J411" s="6">
        <v>0</v>
      </c>
      <c r="K411" s="6">
        <v>0</v>
      </c>
      <c r="L411" s="6">
        <v>544.74599999999998</v>
      </c>
      <c r="M411" s="6">
        <v>544.74599999999998</v>
      </c>
      <c r="N411" s="6">
        <v>544.74599999999998</v>
      </c>
      <c r="O411" s="6">
        <v>544.74599999999998</v>
      </c>
      <c r="P411" s="6">
        <v>0</v>
      </c>
      <c r="Q411" s="4" t="s">
        <v>26</v>
      </c>
      <c r="R411" s="4">
        <v>0</v>
      </c>
      <c r="S411" s="4" t="s">
        <v>195</v>
      </c>
      <c r="T411" s="4" t="s">
        <v>328</v>
      </c>
      <c r="U411" s="4">
        <v>0</v>
      </c>
      <c r="V411" s="4">
        <v>25</v>
      </c>
      <c r="W411" s="4">
        <v>59</v>
      </c>
    </row>
    <row r="412" spans="1:23" ht="11.25" customHeight="1" x14ac:dyDescent="0.25">
      <c r="A412" s="4" t="s">
        <v>21</v>
      </c>
      <c r="B412" s="4" t="s">
        <v>35</v>
      </c>
      <c r="C412" s="4" t="s">
        <v>39</v>
      </c>
      <c r="D412" s="4" t="s">
        <v>34</v>
      </c>
      <c r="E412" s="4" t="s">
        <v>25</v>
      </c>
      <c r="F412" s="4" t="s">
        <v>25</v>
      </c>
      <c r="G412" s="4" t="s">
        <v>25</v>
      </c>
      <c r="H412" s="4" t="s">
        <v>38</v>
      </c>
      <c r="I412" s="5">
        <v>44682</v>
      </c>
      <c r="J412" s="6">
        <v>0</v>
      </c>
      <c r="K412" s="6">
        <v>0</v>
      </c>
      <c r="L412" s="6">
        <v>3453.2510000000002</v>
      </c>
      <c r="M412" s="6">
        <v>3453.2510000000002</v>
      </c>
      <c r="N412" s="6">
        <v>3453.2510000000002</v>
      </c>
      <c r="O412" s="6">
        <v>3453.2510000000002</v>
      </c>
      <c r="P412" s="6">
        <v>0</v>
      </c>
      <c r="Q412" s="4" t="s">
        <v>26</v>
      </c>
      <c r="R412" s="4">
        <v>0</v>
      </c>
      <c r="S412" s="4" t="s">
        <v>196</v>
      </c>
      <c r="T412" s="4" t="s">
        <v>329</v>
      </c>
      <c r="U412" s="4">
        <v>0</v>
      </c>
      <c r="V412" s="4">
        <v>25</v>
      </c>
      <c r="W412" s="4">
        <v>59</v>
      </c>
    </row>
    <row r="413" spans="1:23" ht="11.25" customHeight="1" x14ac:dyDescent="0.25">
      <c r="A413" s="4" t="s">
        <v>27</v>
      </c>
      <c r="B413" s="4" t="s">
        <v>35</v>
      </c>
      <c r="C413" s="4" t="s">
        <v>39</v>
      </c>
      <c r="D413" s="4" t="s">
        <v>34</v>
      </c>
      <c r="E413" s="4" t="s">
        <v>25</v>
      </c>
      <c r="F413" s="4" t="s">
        <v>25</v>
      </c>
      <c r="G413" s="4" t="s">
        <v>25</v>
      </c>
      <c r="H413" s="4" t="s">
        <v>38</v>
      </c>
      <c r="I413" s="5">
        <v>44682</v>
      </c>
      <c r="J413" s="6">
        <v>0</v>
      </c>
      <c r="K413" s="6">
        <v>0</v>
      </c>
      <c r="L413" s="6">
        <v>-39.677999999999997</v>
      </c>
      <c r="M413" s="6">
        <v>-39.677999999999997</v>
      </c>
      <c r="N413" s="6">
        <v>-39.677999999999997</v>
      </c>
      <c r="O413" s="6">
        <v>-39.677999999999997</v>
      </c>
      <c r="P413" s="6">
        <v>0</v>
      </c>
      <c r="Q413" s="4" t="s">
        <v>26</v>
      </c>
      <c r="R413" s="4">
        <v>0</v>
      </c>
      <c r="S413" s="4" t="s">
        <v>196</v>
      </c>
      <c r="T413" s="4" t="s">
        <v>329</v>
      </c>
      <c r="U413" s="4">
        <v>0</v>
      </c>
      <c r="V413" s="4">
        <v>25</v>
      </c>
      <c r="W413" s="4">
        <v>59</v>
      </c>
    </row>
    <row r="414" spans="1:23" ht="11.25" customHeight="1" x14ac:dyDescent="0.25">
      <c r="A414" s="4" t="s">
        <v>28</v>
      </c>
      <c r="B414" s="4" t="s">
        <v>35</v>
      </c>
      <c r="C414" s="4" t="s">
        <v>39</v>
      </c>
      <c r="D414" s="4" t="s">
        <v>34</v>
      </c>
      <c r="E414" s="4" t="s">
        <v>25</v>
      </c>
      <c r="F414" s="4" t="s">
        <v>25</v>
      </c>
      <c r="G414" s="4" t="s">
        <v>25</v>
      </c>
      <c r="H414" s="4" t="s">
        <v>38</v>
      </c>
      <c r="I414" s="5">
        <v>44682</v>
      </c>
      <c r="J414" s="6">
        <v>0</v>
      </c>
      <c r="K414" s="6">
        <v>0</v>
      </c>
      <c r="L414" s="6">
        <v>423.47500000000002</v>
      </c>
      <c r="M414" s="6">
        <v>423.47500000000002</v>
      </c>
      <c r="N414" s="6">
        <v>423.47500000000002</v>
      </c>
      <c r="O414" s="6">
        <v>423.47500000000002</v>
      </c>
      <c r="P414" s="6">
        <v>0</v>
      </c>
      <c r="Q414" s="4" t="s">
        <v>26</v>
      </c>
      <c r="R414" s="4">
        <v>0</v>
      </c>
      <c r="S414" s="4" t="s">
        <v>196</v>
      </c>
      <c r="T414" s="4" t="s">
        <v>329</v>
      </c>
      <c r="U414" s="4">
        <v>0</v>
      </c>
      <c r="V414" s="4">
        <v>25</v>
      </c>
      <c r="W414" s="4">
        <v>59</v>
      </c>
    </row>
    <row r="415" spans="1:23" ht="11.25" customHeight="1" x14ac:dyDescent="0.25">
      <c r="A415" s="4" t="s">
        <v>21</v>
      </c>
      <c r="B415" s="4" t="s">
        <v>35</v>
      </c>
      <c r="C415" s="4" t="s">
        <v>39</v>
      </c>
      <c r="D415" s="4" t="s">
        <v>34</v>
      </c>
      <c r="E415" s="4" t="s">
        <v>25</v>
      </c>
      <c r="F415" s="4" t="s">
        <v>25</v>
      </c>
      <c r="G415" s="4" t="s">
        <v>25</v>
      </c>
      <c r="H415" s="4" t="s">
        <v>38</v>
      </c>
      <c r="I415" s="5">
        <v>44713</v>
      </c>
      <c r="J415" s="6">
        <v>0</v>
      </c>
      <c r="K415" s="6">
        <v>0</v>
      </c>
      <c r="L415" s="6">
        <v>3650.1289999999999</v>
      </c>
      <c r="M415" s="6">
        <v>3650.1289999999999</v>
      </c>
      <c r="N415" s="6">
        <v>3650.1289999999999</v>
      </c>
      <c r="O415" s="6">
        <v>3650.1289999999999</v>
      </c>
      <c r="P415" s="6">
        <v>0</v>
      </c>
      <c r="Q415" s="4" t="s">
        <v>26</v>
      </c>
      <c r="R415" s="4">
        <v>0</v>
      </c>
      <c r="S415" s="4" t="s">
        <v>197</v>
      </c>
      <c r="T415" s="4" t="s">
        <v>330</v>
      </c>
      <c r="U415" s="4">
        <v>0</v>
      </c>
      <c r="V415" s="4">
        <v>25</v>
      </c>
      <c r="W415" s="4">
        <v>59</v>
      </c>
    </row>
    <row r="416" spans="1:23" ht="11.25" customHeight="1" x14ac:dyDescent="0.25">
      <c r="A416" s="4" t="s">
        <v>28</v>
      </c>
      <c r="B416" s="4" t="s">
        <v>35</v>
      </c>
      <c r="C416" s="4" t="s">
        <v>39</v>
      </c>
      <c r="D416" s="4" t="s">
        <v>34</v>
      </c>
      <c r="E416" s="4" t="s">
        <v>25</v>
      </c>
      <c r="F416" s="4" t="s">
        <v>25</v>
      </c>
      <c r="G416" s="4" t="s">
        <v>25</v>
      </c>
      <c r="H416" s="4" t="s">
        <v>38</v>
      </c>
      <c r="I416" s="5">
        <v>44713</v>
      </c>
      <c r="J416" s="6">
        <v>0</v>
      </c>
      <c r="K416" s="6">
        <v>0</v>
      </c>
      <c r="L416" s="6">
        <v>512.01099999999997</v>
      </c>
      <c r="M416" s="6">
        <v>512.01099999999997</v>
      </c>
      <c r="N416" s="6">
        <v>512.01099999999997</v>
      </c>
      <c r="O416" s="6">
        <v>512.01099999999997</v>
      </c>
      <c r="P416" s="6">
        <v>0</v>
      </c>
      <c r="Q416" s="4" t="s">
        <v>26</v>
      </c>
      <c r="R416" s="4">
        <v>0</v>
      </c>
      <c r="S416" s="4" t="s">
        <v>197</v>
      </c>
      <c r="T416" s="4" t="s">
        <v>330</v>
      </c>
      <c r="U416" s="4">
        <v>0</v>
      </c>
      <c r="V416" s="4">
        <v>25</v>
      </c>
      <c r="W416" s="4">
        <v>59</v>
      </c>
    </row>
    <row r="417" spans="1:23" ht="11.25" customHeight="1" x14ac:dyDescent="0.25">
      <c r="A417" s="4" t="s">
        <v>21</v>
      </c>
      <c r="B417" s="4" t="s">
        <v>35</v>
      </c>
      <c r="C417" s="4" t="s">
        <v>39</v>
      </c>
      <c r="D417" s="4" t="s">
        <v>34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44378</v>
      </c>
      <c r="J417" s="6">
        <v>28804</v>
      </c>
      <c r="K417" s="6">
        <v>28804</v>
      </c>
      <c r="L417" s="6">
        <v>0</v>
      </c>
      <c r="M417" s="6">
        <v>0</v>
      </c>
      <c r="N417" s="6">
        <v>0</v>
      </c>
      <c r="O417" s="6">
        <v>0</v>
      </c>
      <c r="P417" s="6">
        <v>80</v>
      </c>
      <c r="Q417" s="4" t="s">
        <v>26</v>
      </c>
      <c r="R417" s="4">
        <v>0</v>
      </c>
      <c r="S417" s="4" t="s">
        <v>198</v>
      </c>
      <c r="U417" s="4">
        <v>18</v>
      </c>
      <c r="V417" s="4">
        <v>0</v>
      </c>
      <c r="W417" s="4">
        <v>0</v>
      </c>
    </row>
    <row r="418" spans="1:23" ht="11.25" customHeight="1" x14ac:dyDescent="0.25">
      <c r="A418" s="4" t="s">
        <v>27</v>
      </c>
      <c r="B418" s="4" t="s">
        <v>35</v>
      </c>
      <c r="C418" s="4" t="s">
        <v>39</v>
      </c>
      <c r="D418" s="4" t="s">
        <v>34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44378</v>
      </c>
      <c r="J418" s="6">
        <v>-4373</v>
      </c>
      <c r="K418" s="6">
        <v>-4373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4" t="s">
        <v>26</v>
      </c>
      <c r="R418" s="4">
        <v>0</v>
      </c>
      <c r="S418" s="4" t="s">
        <v>198</v>
      </c>
      <c r="U418" s="4">
        <v>18</v>
      </c>
      <c r="V418" s="4">
        <v>0</v>
      </c>
      <c r="W418" s="4">
        <v>0</v>
      </c>
    </row>
    <row r="419" spans="1:23" ht="11.25" customHeight="1" x14ac:dyDescent="0.25">
      <c r="A419" s="4" t="s">
        <v>28</v>
      </c>
      <c r="B419" s="4" t="s">
        <v>35</v>
      </c>
      <c r="C419" s="4" t="s">
        <v>39</v>
      </c>
      <c r="D419" s="4" t="s">
        <v>34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44378</v>
      </c>
      <c r="J419" s="6">
        <v>1727</v>
      </c>
      <c r="K419" s="6">
        <v>1727</v>
      </c>
      <c r="L419" s="6">
        <v>0</v>
      </c>
      <c r="M419" s="6">
        <v>0</v>
      </c>
      <c r="N419" s="6">
        <v>0</v>
      </c>
      <c r="O419" s="6">
        <v>0</v>
      </c>
      <c r="P419" s="6">
        <v>5</v>
      </c>
      <c r="Q419" s="4" t="s">
        <v>26</v>
      </c>
      <c r="R419" s="4">
        <v>0</v>
      </c>
      <c r="S419" s="4" t="s">
        <v>198</v>
      </c>
      <c r="U419" s="4">
        <v>18</v>
      </c>
      <c r="V419" s="4">
        <v>0</v>
      </c>
      <c r="W419" s="4">
        <v>0</v>
      </c>
    </row>
    <row r="420" spans="1:23" ht="11.25" customHeight="1" x14ac:dyDescent="0.25">
      <c r="A420" s="4" t="s">
        <v>21</v>
      </c>
      <c r="B420" s="4" t="s">
        <v>35</v>
      </c>
      <c r="C420" s="4" t="s">
        <v>39</v>
      </c>
      <c r="D420" s="4" t="s">
        <v>34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44409</v>
      </c>
      <c r="J420" s="6">
        <v>24242</v>
      </c>
      <c r="K420" s="6">
        <v>24242</v>
      </c>
      <c r="L420" s="6">
        <v>0</v>
      </c>
      <c r="M420" s="6">
        <v>0</v>
      </c>
      <c r="N420" s="6">
        <v>0</v>
      </c>
      <c r="O420" s="6">
        <v>0</v>
      </c>
      <c r="P420" s="6">
        <v>79</v>
      </c>
      <c r="Q420" s="4" t="s">
        <v>26</v>
      </c>
      <c r="R420" s="4">
        <v>0</v>
      </c>
      <c r="S420" s="4" t="s">
        <v>199</v>
      </c>
      <c r="U420" s="4">
        <v>18</v>
      </c>
      <c r="V420" s="4">
        <v>0</v>
      </c>
      <c r="W420" s="4">
        <v>0</v>
      </c>
    </row>
    <row r="421" spans="1:23" ht="11.25" customHeight="1" x14ac:dyDescent="0.25">
      <c r="A421" s="4" t="s">
        <v>28</v>
      </c>
      <c r="B421" s="4" t="s">
        <v>35</v>
      </c>
      <c r="C421" s="4" t="s">
        <v>39</v>
      </c>
      <c r="D421" s="4" t="s">
        <v>34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44409</v>
      </c>
      <c r="J421" s="6">
        <v>1727</v>
      </c>
      <c r="K421" s="6">
        <v>1727</v>
      </c>
      <c r="L421" s="6">
        <v>0</v>
      </c>
      <c r="M421" s="6">
        <v>0</v>
      </c>
      <c r="N421" s="6">
        <v>0</v>
      </c>
      <c r="O421" s="6">
        <v>0</v>
      </c>
      <c r="P421" s="6">
        <v>5</v>
      </c>
      <c r="Q421" s="4" t="s">
        <v>26</v>
      </c>
      <c r="R421" s="4">
        <v>0</v>
      </c>
      <c r="S421" s="4" t="s">
        <v>199</v>
      </c>
      <c r="U421" s="4">
        <v>18</v>
      </c>
      <c r="V421" s="4">
        <v>0</v>
      </c>
      <c r="W421" s="4">
        <v>0</v>
      </c>
    </row>
    <row r="422" spans="1:23" ht="11.25" customHeight="1" x14ac:dyDescent="0.25">
      <c r="A422" s="4" t="s">
        <v>21</v>
      </c>
      <c r="B422" s="4" t="s">
        <v>35</v>
      </c>
      <c r="C422" s="4" t="s">
        <v>39</v>
      </c>
      <c r="D422" s="4" t="s">
        <v>34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44440</v>
      </c>
      <c r="J422" s="6">
        <v>24830</v>
      </c>
      <c r="K422" s="6">
        <v>24830</v>
      </c>
      <c r="L422" s="6">
        <v>0</v>
      </c>
      <c r="M422" s="6">
        <v>0</v>
      </c>
      <c r="N422" s="6">
        <v>0</v>
      </c>
      <c r="O422" s="6">
        <v>0</v>
      </c>
      <c r="P422" s="6">
        <v>79</v>
      </c>
      <c r="Q422" s="4" t="s">
        <v>26</v>
      </c>
      <c r="R422" s="4">
        <v>0</v>
      </c>
      <c r="S422" s="4" t="s">
        <v>200</v>
      </c>
      <c r="U422" s="4">
        <v>18</v>
      </c>
      <c r="V422" s="4">
        <v>0</v>
      </c>
      <c r="W422" s="4">
        <v>0</v>
      </c>
    </row>
    <row r="423" spans="1:23" ht="11.25" customHeight="1" x14ac:dyDescent="0.25">
      <c r="A423" s="4" t="s">
        <v>28</v>
      </c>
      <c r="B423" s="4" t="s">
        <v>35</v>
      </c>
      <c r="C423" s="4" t="s">
        <v>39</v>
      </c>
      <c r="D423" s="4" t="s">
        <v>34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44440</v>
      </c>
      <c r="J423" s="6">
        <v>1727</v>
      </c>
      <c r="K423" s="6">
        <v>1727</v>
      </c>
      <c r="L423" s="6">
        <v>0</v>
      </c>
      <c r="M423" s="6">
        <v>0</v>
      </c>
      <c r="N423" s="6">
        <v>0</v>
      </c>
      <c r="O423" s="6">
        <v>0</v>
      </c>
      <c r="P423" s="6">
        <v>5</v>
      </c>
      <c r="Q423" s="4" t="s">
        <v>26</v>
      </c>
      <c r="R423" s="4">
        <v>0</v>
      </c>
      <c r="S423" s="4" t="s">
        <v>200</v>
      </c>
      <c r="U423" s="4">
        <v>18</v>
      </c>
      <c r="V423" s="4">
        <v>0</v>
      </c>
      <c r="W423" s="4">
        <v>0</v>
      </c>
    </row>
    <row r="424" spans="1:23" ht="11.25" customHeight="1" x14ac:dyDescent="0.25">
      <c r="A424" s="4" t="s">
        <v>21</v>
      </c>
      <c r="B424" s="4" t="s">
        <v>35</v>
      </c>
      <c r="C424" s="4" t="s">
        <v>39</v>
      </c>
      <c r="D424" s="4" t="s">
        <v>34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44470</v>
      </c>
      <c r="J424" s="6">
        <v>24987</v>
      </c>
      <c r="K424" s="6">
        <v>24987</v>
      </c>
      <c r="L424" s="6">
        <v>0</v>
      </c>
      <c r="M424" s="6">
        <v>0</v>
      </c>
      <c r="N424" s="6">
        <v>0</v>
      </c>
      <c r="O424" s="6">
        <v>0</v>
      </c>
      <c r="P424" s="6">
        <v>79</v>
      </c>
      <c r="Q424" s="4" t="s">
        <v>26</v>
      </c>
      <c r="R424" s="4">
        <v>0</v>
      </c>
      <c r="S424" s="4" t="s">
        <v>201</v>
      </c>
      <c r="U424" s="4">
        <v>18</v>
      </c>
      <c r="V424" s="4">
        <v>0</v>
      </c>
      <c r="W424" s="4">
        <v>0</v>
      </c>
    </row>
    <row r="425" spans="1:23" ht="11.25" customHeight="1" x14ac:dyDescent="0.25">
      <c r="A425" s="4" t="s">
        <v>28</v>
      </c>
      <c r="B425" s="4" t="s">
        <v>35</v>
      </c>
      <c r="C425" s="4" t="s">
        <v>39</v>
      </c>
      <c r="D425" s="4" t="s">
        <v>34</v>
      </c>
      <c r="E425" s="4" t="s">
        <v>25</v>
      </c>
      <c r="F425" s="4" t="s">
        <v>25</v>
      </c>
      <c r="G425" s="4" t="s">
        <v>25</v>
      </c>
      <c r="H425" s="4" t="s">
        <v>25</v>
      </c>
      <c r="I425" s="5">
        <v>44470</v>
      </c>
      <c r="J425" s="6">
        <v>1727</v>
      </c>
      <c r="K425" s="6">
        <v>1727</v>
      </c>
      <c r="L425" s="6">
        <v>0</v>
      </c>
      <c r="M425" s="6">
        <v>0</v>
      </c>
      <c r="N425" s="6">
        <v>0</v>
      </c>
      <c r="O425" s="6">
        <v>0</v>
      </c>
      <c r="P425" s="6">
        <v>5</v>
      </c>
      <c r="Q425" s="4" t="s">
        <v>26</v>
      </c>
      <c r="R425" s="4">
        <v>0</v>
      </c>
      <c r="S425" s="4" t="s">
        <v>201</v>
      </c>
      <c r="U425" s="4">
        <v>18</v>
      </c>
      <c r="V425" s="4">
        <v>0</v>
      </c>
      <c r="W425" s="4">
        <v>0</v>
      </c>
    </row>
    <row r="426" spans="1:23" ht="11.25" customHeight="1" x14ac:dyDescent="0.25">
      <c r="A426" s="4" t="s">
        <v>21</v>
      </c>
      <c r="B426" s="4" t="s">
        <v>35</v>
      </c>
      <c r="C426" s="4" t="s">
        <v>39</v>
      </c>
      <c r="D426" s="4" t="s">
        <v>34</v>
      </c>
      <c r="E426" s="4" t="s">
        <v>25</v>
      </c>
      <c r="F426" s="4" t="s">
        <v>25</v>
      </c>
      <c r="G426" s="4" t="s">
        <v>25</v>
      </c>
      <c r="H426" s="4" t="s">
        <v>25</v>
      </c>
      <c r="I426" s="5">
        <v>44501</v>
      </c>
      <c r="J426" s="6">
        <v>21281</v>
      </c>
      <c r="K426" s="6">
        <v>21281</v>
      </c>
      <c r="L426" s="6">
        <v>0</v>
      </c>
      <c r="M426" s="6">
        <v>0</v>
      </c>
      <c r="N426" s="6">
        <v>0</v>
      </c>
      <c r="O426" s="6">
        <v>0</v>
      </c>
      <c r="P426" s="6">
        <v>80</v>
      </c>
      <c r="Q426" s="4" t="s">
        <v>26</v>
      </c>
      <c r="R426" s="4">
        <v>0</v>
      </c>
      <c r="S426" s="4" t="s">
        <v>202</v>
      </c>
      <c r="U426" s="4">
        <v>18</v>
      </c>
      <c r="V426" s="4">
        <v>0</v>
      </c>
      <c r="W426" s="4">
        <v>0</v>
      </c>
    </row>
    <row r="427" spans="1:23" ht="11.25" customHeight="1" x14ac:dyDescent="0.25">
      <c r="A427" s="4" t="s">
        <v>28</v>
      </c>
      <c r="B427" s="4" t="s">
        <v>35</v>
      </c>
      <c r="C427" s="4" t="s">
        <v>39</v>
      </c>
      <c r="D427" s="4" t="s">
        <v>34</v>
      </c>
      <c r="E427" s="4" t="s">
        <v>25</v>
      </c>
      <c r="F427" s="4" t="s">
        <v>25</v>
      </c>
      <c r="G427" s="4" t="s">
        <v>25</v>
      </c>
      <c r="H427" s="4" t="s">
        <v>25</v>
      </c>
      <c r="I427" s="5">
        <v>44501</v>
      </c>
      <c r="J427" s="6">
        <v>1727</v>
      </c>
      <c r="K427" s="6">
        <v>1727</v>
      </c>
      <c r="L427" s="6">
        <v>0</v>
      </c>
      <c r="M427" s="6">
        <v>0</v>
      </c>
      <c r="N427" s="6">
        <v>0</v>
      </c>
      <c r="O427" s="6">
        <v>0</v>
      </c>
      <c r="P427" s="6">
        <v>5</v>
      </c>
      <c r="Q427" s="4" t="s">
        <v>26</v>
      </c>
      <c r="R427" s="4">
        <v>0</v>
      </c>
      <c r="S427" s="4" t="s">
        <v>202</v>
      </c>
      <c r="U427" s="4">
        <v>18</v>
      </c>
      <c r="V427" s="4">
        <v>0</v>
      </c>
      <c r="W427" s="4">
        <v>0</v>
      </c>
    </row>
    <row r="428" spans="1:23" ht="11.25" customHeight="1" x14ac:dyDescent="0.25">
      <c r="A428" s="4" t="s">
        <v>21</v>
      </c>
      <c r="B428" s="4" t="s">
        <v>35</v>
      </c>
      <c r="C428" s="4" t="s">
        <v>39</v>
      </c>
      <c r="D428" s="4" t="s">
        <v>34</v>
      </c>
      <c r="E428" s="4" t="s">
        <v>25</v>
      </c>
      <c r="F428" s="4" t="s">
        <v>25</v>
      </c>
      <c r="G428" s="4" t="s">
        <v>25</v>
      </c>
      <c r="H428" s="4" t="s">
        <v>25</v>
      </c>
      <c r="I428" s="5">
        <v>44531</v>
      </c>
      <c r="J428" s="6">
        <v>21331</v>
      </c>
      <c r="K428" s="6">
        <v>21331</v>
      </c>
      <c r="L428" s="6">
        <v>0</v>
      </c>
      <c r="M428" s="6">
        <v>0</v>
      </c>
      <c r="N428" s="6">
        <v>0</v>
      </c>
      <c r="O428" s="6">
        <v>0</v>
      </c>
      <c r="P428" s="6">
        <v>79</v>
      </c>
      <c r="Q428" s="4" t="s">
        <v>26</v>
      </c>
      <c r="R428" s="4">
        <v>0</v>
      </c>
      <c r="S428" s="4" t="s">
        <v>203</v>
      </c>
      <c r="U428" s="4">
        <v>18</v>
      </c>
      <c r="V428" s="4">
        <v>0</v>
      </c>
      <c r="W428" s="4">
        <v>0</v>
      </c>
    </row>
    <row r="429" spans="1:23" ht="11.25" customHeight="1" x14ac:dyDescent="0.25">
      <c r="A429" s="4" t="s">
        <v>21</v>
      </c>
      <c r="B429" s="4" t="s">
        <v>35</v>
      </c>
      <c r="C429" s="4" t="s">
        <v>39</v>
      </c>
      <c r="D429" s="4" t="s">
        <v>34</v>
      </c>
      <c r="E429" s="4" t="s">
        <v>25</v>
      </c>
      <c r="F429" s="4" t="s">
        <v>25</v>
      </c>
      <c r="G429" s="4" t="s">
        <v>25</v>
      </c>
      <c r="H429" s="4" t="s">
        <v>25</v>
      </c>
      <c r="I429" s="5">
        <v>44562</v>
      </c>
      <c r="J429" s="6">
        <v>21078</v>
      </c>
      <c r="K429" s="6">
        <v>21078</v>
      </c>
      <c r="L429" s="6">
        <v>0</v>
      </c>
      <c r="M429" s="6">
        <v>0</v>
      </c>
      <c r="N429" s="6">
        <v>0</v>
      </c>
      <c r="O429" s="6">
        <v>0</v>
      </c>
      <c r="P429" s="6">
        <v>80</v>
      </c>
      <c r="Q429" s="4" t="s">
        <v>26</v>
      </c>
      <c r="R429" s="4">
        <v>0</v>
      </c>
      <c r="S429" s="4" t="s">
        <v>204</v>
      </c>
      <c r="U429" s="4">
        <v>18</v>
      </c>
      <c r="V429" s="4">
        <v>0</v>
      </c>
      <c r="W429" s="4">
        <v>0</v>
      </c>
    </row>
    <row r="430" spans="1:23" ht="11.25" customHeight="1" x14ac:dyDescent="0.25">
      <c r="A430" s="4" t="s">
        <v>28</v>
      </c>
      <c r="B430" s="4" t="s">
        <v>35</v>
      </c>
      <c r="C430" s="4" t="s">
        <v>39</v>
      </c>
      <c r="D430" s="4" t="s">
        <v>34</v>
      </c>
      <c r="E430" s="4" t="s">
        <v>25</v>
      </c>
      <c r="F430" s="4" t="s">
        <v>25</v>
      </c>
      <c r="G430" s="4" t="s">
        <v>25</v>
      </c>
      <c r="H430" s="4" t="s">
        <v>25</v>
      </c>
      <c r="I430" s="5">
        <v>44562</v>
      </c>
      <c r="J430" s="6">
        <v>1706</v>
      </c>
      <c r="K430" s="6">
        <v>1706</v>
      </c>
      <c r="L430" s="6">
        <v>0</v>
      </c>
      <c r="M430" s="6">
        <v>0</v>
      </c>
      <c r="N430" s="6">
        <v>0</v>
      </c>
      <c r="O430" s="6">
        <v>0</v>
      </c>
      <c r="P430" s="6">
        <v>5</v>
      </c>
      <c r="Q430" s="4" t="s">
        <v>26</v>
      </c>
      <c r="R430" s="4">
        <v>0</v>
      </c>
      <c r="S430" s="4" t="s">
        <v>204</v>
      </c>
      <c r="U430" s="4">
        <v>18</v>
      </c>
      <c r="V430" s="4">
        <v>0</v>
      </c>
      <c r="W430" s="4">
        <v>0</v>
      </c>
    </row>
    <row r="431" spans="1:23" ht="11.25" customHeight="1" x14ac:dyDescent="0.25">
      <c r="A431" s="4" t="s">
        <v>21</v>
      </c>
      <c r="B431" s="4" t="s">
        <v>35</v>
      </c>
      <c r="C431" s="4" t="s">
        <v>39</v>
      </c>
      <c r="D431" s="4" t="s">
        <v>34</v>
      </c>
      <c r="E431" s="4" t="s">
        <v>25</v>
      </c>
      <c r="F431" s="4" t="s">
        <v>25</v>
      </c>
      <c r="G431" s="4" t="s">
        <v>25</v>
      </c>
      <c r="H431" s="4" t="s">
        <v>25</v>
      </c>
      <c r="I431" s="5">
        <v>44593</v>
      </c>
      <c r="J431" s="6">
        <v>20546</v>
      </c>
      <c r="K431" s="6">
        <v>20546</v>
      </c>
      <c r="L431" s="6">
        <v>0</v>
      </c>
      <c r="M431" s="6">
        <v>0</v>
      </c>
      <c r="N431" s="6">
        <v>0</v>
      </c>
      <c r="O431" s="6">
        <v>0</v>
      </c>
      <c r="P431" s="6">
        <v>77</v>
      </c>
      <c r="Q431" s="4" t="s">
        <v>26</v>
      </c>
      <c r="R431" s="4">
        <v>0</v>
      </c>
      <c r="S431" s="4" t="s">
        <v>205</v>
      </c>
      <c r="U431" s="4">
        <v>18</v>
      </c>
      <c r="V431" s="4">
        <v>0</v>
      </c>
      <c r="W431" s="4">
        <v>0</v>
      </c>
    </row>
    <row r="432" spans="1:23" ht="11.25" customHeight="1" x14ac:dyDescent="0.25">
      <c r="A432" s="4" t="s">
        <v>27</v>
      </c>
      <c r="B432" s="4" t="s">
        <v>35</v>
      </c>
      <c r="C432" s="4" t="s">
        <v>39</v>
      </c>
      <c r="D432" s="4" t="s">
        <v>34</v>
      </c>
      <c r="E432" s="4" t="s">
        <v>25</v>
      </c>
      <c r="F432" s="4" t="s">
        <v>25</v>
      </c>
      <c r="G432" s="4" t="s">
        <v>25</v>
      </c>
      <c r="H432" s="4" t="s">
        <v>25</v>
      </c>
      <c r="I432" s="5">
        <v>44593</v>
      </c>
      <c r="J432" s="6">
        <v>-555</v>
      </c>
      <c r="K432" s="6">
        <v>-555</v>
      </c>
      <c r="L432" s="6">
        <v>0</v>
      </c>
      <c r="M432" s="6">
        <v>0</v>
      </c>
      <c r="N432" s="6">
        <v>0</v>
      </c>
      <c r="O432" s="6">
        <v>0</v>
      </c>
      <c r="P432" s="6">
        <v>-1</v>
      </c>
      <c r="Q432" s="4" t="s">
        <v>26</v>
      </c>
      <c r="R432" s="4">
        <v>0</v>
      </c>
      <c r="S432" s="4" t="s">
        <v>205</v>
      </c>
      <c r="U432" s="4">
        <v>18</v>
      </c>
      <c r="V432" s="4">
        <v>0</v>
      </c>
      <c r="W432" s="4">
        <v>0</v>
      </c>
    </row>
    <row r="433" spans="1:23" ht="11.25" customHeight="1" x14ac:dyDescent="0.25">
      <c r="A433" s="4" t="s">
        <v>28</v>
      </c>
      <c r="B433" s="4" t="s">
        <v>35</v>
      </c>
      <c r="C433" s="4" t="s">
        <v>39</v>
      </c>
      <c r="D433" s="4" t="s">
        <v>34</v>
      </c>
      <c r="E433" s="4" t="s">
        <v>25</v>
      </c>
      <c r="F433" s="4" t="s">
        <v>25</v>
      </c>
      <c r="G433" s="4" t="s">
        <v>25</v>
      </c>
      <c r="H433" s="4" t="s">
        <v>25</v>
      </c>
      <c r="I433" s="5">
        <v>44593</v>
      </c>
      <c r="J433" s="6">
        <v>2812</v>
      </c>
      <c r="K433" s="6">
        <v>2812</v>
      </c>
      <c r="L433" s="6">
        <v>0</v>
      </c>
      <c r="M433" s="6">
        <v>0</v>
      </c>
      <c r="N433" s="6">
        <v>0</v>
      </c>
      <c r="O433" s="6">
        <v>0</v>
      </c>
      <c r="P433" s="6">
        <v>8</v>
      </c>
      <c r="Q433" s="4" t="s">
        <v>26</v>
      </c>
      <c r="R433" s="4">
        <v>0</v>
      </c>
      <c r="S433" s="4" t="s">
        <v>205</v>
      </c>
      <c r="U433" s="4">
        <v>18</v>
      </c>
      <c r="V433" s="4">
        <v>0</v>
      </c>
      <c r="W433" s="4">
        <v>0</v>
      </c>
    </row>
    <row r="434" spans="1:23" ht="11.25" customHeight="1" x14ac:dyDescent="0.25">
      <c r="A434" s="4" t="s">
        <v>21</v>
      </c>
      <c r="B434" s="4" t="s">
        <v>35</v>
      </c>
      <c r="C434" s="4" t="s">
        <v>39</v>
      </c>
      <c r="D434" s="4" t="s">
        <v>34</v>
      </c>
      <c r="E434" s="4" t="s">
        <v>25</v>
      </c>
      <c r="F434" s="4" t="s">
        <v>25</v>
      </c>
      <c r="G434" s="4" t="s">
        <v>25</v>
      </c>
      <c r="H434" s="4" t="s">
        <v>25</v>
      </c>
      <c r="I434" s="5">
        <v>44621</v>
      </c>
      <c r="J434" s="6">
        <v>20348</v>
      </c>
      <c r="K434" s="6">
        <v>20348</v>
      </c>
      <c r="L434" s="6">
        <v>0</v>
      </c>
      <c r="M434" s="6">
        <v>0</v>
      </c>
      <c r="N434" s="6">
        <v>0</v>
      </c>
      <c r="O434" s="6">
        <v>0</v>
      </c>
      <c r="P434" s="6">
        <v>76</v>
      </c>
      <c r="Q434" s="4" t="s">
        <v>26</v>
      </c>
      <c r="R434" s="4">
        <v>0</v>
      </c>
      <c r="S434" s="4" t="s">
        <v>206</v>
      </c>
      <c r="U434" s="4">
        <v>18</v>
      </c>
      <c r="V434" s="4">
        <v>0</v>
      </c>
      <c r="W434" s="4">
        <v>0</v>
      </c>
    </row>
    <row r="435" spans="1:23" ht="11.25" customHeight="1" x14ac:dyDescent="0.25">
      <c r="A435" s="4" t="s">
        <v>28</v>
      </c>
      <c r="B435" s="4" t="s">
        <v>35</v>
      </c>
      <c r="C435" s="4" t="s">
        <v>39</v>
      </c>
      <c r="D435" s="4" t="s">
        <v>34</v>
      </c>
      <c r="E435" s="4" t="s">
        <v>25</v>
      </c>
      <c r="F435" s="4" t="s">
        <v>25</v>
      </c>
      <c r="G435" s="4" t="s">
        <v>25</v>
      </c>
      <c r="H435" s="4" t="s">
        <v>25</v>
      </c>
      <c r="I435" s="5">
        <v>44621</v>
      </c>
      <c r="J435" s="6">
        <v>2847</v>
      </c>
      <c r="K435" s="6">
        <v>2847</v>
      </c>
      <c r="L435" s="6">
        <v>0</v>
      </c>
      <c r="M435" s="6">
        <v>0</v>
      </c>
      <c r="N435" s="6">
        <v>0</v>
      </c>
      <c r="O435" s="6">
        <v>0</v>
      </c>
      <c r="P435" s="6">
        <v>9</v>
      </c>
      <c r="Q435" s="4" t="s">
        <v>26</v>
      </c>
      <c r="R435" s="4">
        <v>0</v>
      </c>
      <c r="S435" s="4" t="s">
        <v>206</v>
      </c>
      <c r="U435" s="4">
        <v>18</v>
      </c>
      <c r="V435" s="4">
        <v>0</v>
      </c>
      <c r="W435" s="4">
        <v>0</v>
      </c>
    </row>
    <row r="436" spans="1:23" ht="11.25" customHeight="1" x14ac:dyDescent="0.25">
      <c r="A436" s="4" t="s">
        <v>21</v>
      </c>
      <c r="B436" s="4" t="s">
        <v>35</v>
      </c>
      <c r="C436" s="4" t="s">
        <v>39</v>
      </c>
      <c r="D436" s="4" t="s">
        <v>34</v>
      </c>
      <c r="E436" s="4" t="s">
        <v>25</v>
      </c>
      <c r="F436" s="4" t="s">
        <v>25</v>
      </c>
      <c r="G436" s="4" t="s">
        <v>25</v>
      </c>
      <c r="H436" s="4" t="s">
        <v>25</v>
      </c>
      <c r="I436" s="5">
        <v>44652</v>
      </c>
      <c r="J436" s="6">
        <v>18919</v>
      </c>
      <c r="K436" s="6">
        <v>18919</v>
      </c>
      <c r="L436" s="6">
        <v>0</v>
      </c>
      <c r="M436" s="6">
        <v>0</v>
      </c>
      <c r="N436" s="6">
        <v>0</v>
      </c>
      <c r="O436" s="6">
        <v>0</v>
      </c>
      <c r="P436" s="6">
        <v>74</v>
      </c>
      <c r="Q436" s="4" t="s">
        <v>26</v>
      </c>
      <c r="R436" s="4">
        <v>0</v>
      </c>
      <c r="S436" s="4" t="s">
        <v>207</v>
      </c>
      <c r="U436" s="4">
        <v>18</v>
      </c>
      <c r="V436" s="4">
        <v>0</v>
      </c>
      <c r="W436" s="4">
        <v>0</v>
      </c>
    </row>
    <row r="437" spans="1:23" ht="11.25" customHeight="1" x14ac:dyDescent="0.25">
      <c r="A437" s="4" t="s">
        <v>27</v>
      </c>
      <c r="B437" s="4" t="s">
        <v>35</v>
      </c>
      <c r="C437" s="4" t="s">
        <v>39</v>
      </c>
      <c r="D437" s="4" t="s">
        <v>34</v>
      </c>
      <c r="E437" s="4" t="s">
        <v>25</v>
      </c>
      <c r="F437" s="4" t="s">
        <v>25</v>
      </c>
      <c r="G437" s="4" t="s">
        <v>25</v>
      </c>
      <c r="H437" s="4" t="s">
        <v>25</v>
      </c>
      <c r="I437" s="5">
        <v>44652</v>
      </c>
      <c r="J437" s="6">
        <v>-369</v>
      </c>
      <c r="K437" s="6">
        <v>-369</v>
      </c>
      <c r="L437" s="6">
        <v>0</v>
      </c>
      <c r="M437" s="6">
        <v>0</v>
      </c>
      <c r="N437" s="6">
        <v>0</v>
      </c>
      <c r="O437" s="6">
        <v>0</v>
      </c>
      <c r="P437" s="6">
        <v>-1</v>
      </c>
      <c r="Q437" s="4" t="s">
        <v>26</v>
      </c>
      <c r="R437" s="4">
        <v>0</v>
      </c>
      <c r="S437" s="4" t="s">
        <v>207</v>
      </c>
      <c r="U437" s="4">
        <v>18</v>
      </c>
      <c r="V437" s="4">
        <v>0</v>
      </c>
      <c r="W437" s="4">
        <v>0</v>
      </c>
    </row>
    <row r="438" spans="1:23" ht="11.25" customHeight="1" x14ac:dyDescent="0.25">
      <c r="A438" s="4" t="s">
        <v>28</v>
      </c>
      <c r="B438" s="4" t="s">
        <v>35</v>
      </c>
      <c r="C438" s="4" t="s">
        <v>39</v>
      </c>
      <c r="D438" s="4" t="s">
        <v>34</v>
      </c>
      <c r="E438" s="4" t="s">
        <v>25</v>
      </c>
      <c r="F438" s="4" t="s">
        <v>25</v>
      </c>
      <c r="G438" s="4" t="s">
        <v>25</v>
      </c>
      <c r="H438" s="4" t="s">
        <v>25</v>
      </c>
      <c r="I438" s="5">
        <v>44652</v>
      </c>
      <c r="J438" s="6">
        <v>3005</v>
      </c>
      <c r="K438" s="6">
        <v>3005</v>
      </c>
      <c r="L438" s="6">
        <v>0</v>
      </c>
      <c r="M438" s="6">
        <v>0</v>
      </c>
      <c r="N438" s="6">
        <v>0</v>
      </c>
      <c r="O438" s="6">
        <v>0</v>
      </c>
      <c r="P438" s="6">
        <v>11</v>
      </c>
      <c r="Q438" s="4" t="s">
        <v>26</v>
      </c>
      <c r="R438" s="4">
        <v>0</v>
      </c>
      <c r="S438" s="4" t="s">
        <v>207</v>
      </c>
      <c r="U438" s="4">
        <v>18</v>
      </c>
      <c r="V438" s="4">
        <v>0</v>
      </c>
      <c r="W438" s="4">
        <v>0</v>
      </c>
    </row>
    <row r="439" spans="1:23" ht="11.25" customHeight="1" x14ac:dyDescent="0.25">
      <c r="A439" s="4" t="s">
        <v>21</v>
      </c>
      <c r="B439" s="4" t="s">
        <v>35</v>
      </c>
      <c r="C439" s="4" t="s">
        <v>39</v>
      </c>
      <c r="D439" s="4" t="s">
        <v>34</v>
      </c>
      <c r="E439" s="4" t="s">
        <v>25</v>
      </c>
      <c r="F439" s="4" t="s">
        <v>25</v>
      </c>
      <c r="G439" s="4" t="s">
        <v>25</v>
      </c>
      <c r="H439" s="4" t="s">
        <v>25</v>
      </c>
      <c r="I439" s="5">
        <v>44682</v>
      </c>
      <c r="J439" s="6">
        <v>17965</v>
      </c>
      <c r="K439" s="6">
        <v>17965</v>
      </c>
      <c r="L439" s="6">
        <v>0</v>
      </c>
      <c r="M439" s="6">
        <v>0</v>
      </c>
      <c r="N439" s="6">
        <v>0</v>
      </c>
      <c r="O439" s="6">
        <v>0</v>
      </c>
      <c r="P439" s="6">
        <v>72</v>
      </c>
      <c r="Q439" s="4" t="s">
        <v>26</v>
      </c>
      <c r="R439" s="4">
        <v>0</v>
      </c>
      <c r="S439" s="4" t="s">
        <v>208</v>
      </c>
      <c r="U439" s="4">
        <v>18</v>
      </c>
      <c r="V439" s="4">
        <v>0</v>
      </c>
      <c r="W439" s="4">
        <v>0</v>
      </c>
    </row>
    <row r="440" spans="1:23" ht="11.25" customHeight="1" x14ac:dyDescent="0.25">
      <c r="A440" s="4" t="s">
        <v>27</v>
      </c>
      <c r="B440" s="4" t="s">
        <v>35</v>
      </c>
      <c r="C440" s="4" t="s">
        <v>39</v>
      </c>
      <c r="D440" s="4" t="s">
        <v>34</v>
      </c>
      <c r="E440" s="4" t="s">
        <v>25</v>
      </c>
      <c r="F440" s="4" t="s">
        <v>25</v>
      </c>
      <c r="G440" s="4" t="s">
        <v>25</v>
      </c>
      <c r="H440" s="4" t="s">
        <v>25</v>
      </c>
      <c r="I440" s="5">
        <v>44682</v>
      </c>
      <c r="J440" s="6">
        <v>-170</v>
      </c>
      <c r="K440" s="6">
        <v>-170</v>
      </c>
      <c r="L440" s="6">
        <v>0</v>
      </c>
      <c r="M440" s="6">
        <v>0</v>
      </c>
      <c r="N440" s="6">
        <v>0</v>
      </c>
      <c r="O440" s="6">
        <v>0</v>
      </c>
      <c r="P440" s="6">
        <v>-1</v>
      </c>
      <c r="Q440" s="4" t="s">
        <v>26</v>
      </c>
      <c r="R440" s="4">
        <v>0</v>
      </c>
      <c r="S440" s="4" t="s">
        <v>208</v>
      </c>
      <c r="U440" s="4">
        <v>18</v>
      </c>
      <c r="V440" s="4">
        <v>0</v>
      </c>
      <c r="W440" s="4">
        <v>0</v>
      </c>
    </row>
    <row r="441" spans="1:23" ht="11.25" customHeight="1" x14ac:dyDescent="0.25">
      <c r="A441" s="4" t="s">
        <v>28</v>
      </c>
      <c r="B441" s="4" t="s">
        <v>35</v>
      </c>
      <c r="C441" s="4" t="s">
        <v>39</v>
      </c>
      <c r="D441" s="4" t="s">
        <v>34</v>
      </c>
      <c r="E441" s="4" t="s">
        <v>25</v>
      </c>
      <c r="F441" s="4" t="s">
        <v>25</v>
      </c>
      <c r="G441" s="4" t="s">
        <v>25</v>
      </c>
      <c r="H441" s="4" t="s">
        <v>25</v>
      </c>
      <c r="I441" s="5">
        <v>44682</v>
      </c>
      <c r="J441" s="6">
        <v>2931</v>
      </c>
      <c r="K441" s="6">
        <v>2931</v>
      </c>
      <c r="L441" s="6">
        <v>0</v>
      </c>
      <c r="M441" s="6">
        <v>0</v>
      </c>
      <c r="N441" s="6">
        <v>0</v>
      </c>
      <c r="O441" s="6">
        <v>0</v>
      </c>
      <c r="P441" s="6">
        <v>10</v>
      </c>
      <c r="Q441" s="4" t="s">
        <v>26</v>
      </c>
      <c r="R441" s="4">
        <v>0</v>
      </c>
      <c r="S441" s="4" t="s">
        <v>208</v>
      </c>
      <c r="U441" s="4">
        <v>18</v>
      </c>
      <c r="V441" s="4">
        <v>0</v>
      </c>
      <c r="W441" s="4">
        <v>0</v>
      </c>
    </row>
    <row r="442" spans="1:23" ht="11.25" customHeight="1" x14ac:dyDescent="0.25">
      <c r="A442" s="4" t="s">
        <v>21</v>
      </c>
      <c r="B442" s="4" t="s">
        <v>35</v>
      </c>
      <c r="C442" s="4" t="s">
        <v>39</v>
      </c>
      <c r="D442" s="4" t="s">
        <v>34</v>
      </c>
      <c r="E442" s="4" t="s">
        <v>25</v>
      </c>
      <c r="F442" s="4" t="s">
        <v>25</v>
      </c>
      <c r="G442" s="4" t="s">
        <v>25</v>
      </c>
      <c r="H442" s="4" t="s">
        <v>25</v>
      </c>
      <c r="I442" s="5">
        <v>44713</v>
      </c>
      <c r="J442" s="6">
        <v>17901</v>
      </c>
      <c r="K442" s="6">
        <v>17901</v>
      </c>
      <c r="L442" s="6">
        <v>0</v>
      </c>
      <c r="M442" s="6">
        <v>0</v>
      </c>
      <c r="N442" s="6">
        <v>0</v>
      </c>
      <c r="O442" s="6">
        <v>0</v>
      </c>
      <c r="P442" s="6">
        <v>71</v>
      </c>
      <c r="Q442" s="4" t="s">
        <v>26</v>
      </c>
      <c r="R442" s="4">
        <v>0</v>
      </c>
      <c r="S442" s="4" t="s">
        <v>209</v>
      </c>
      <c r="U442" s="4">
        <v>18</v>
      </c>
      <c r="V442" s="4">
        <v>0</v>
      </c>
      <c r="W442" s="4">
        <v>0</v>
      </c>
    </row>
    <row r="443" spans="1:23" ht="11.25" customHeight="1" x14ac:dyDescent="0.25">
      <c r="A443" s="4" t="s">
        <v>28</v>
      </c>
      <c r="B443" s="4" t="s">
        <v>35</v>
      </c>
      <c r="C443" s="4" t="s">
        <v>39</v>
      </c>
      <c r="D443" s="4" t="s">
        <v>34</v>
      </c>
      <c r="E443" s="4" t="s">
        <v>25</v>
      </c>
      <c r="F443" s="4" t="s">
        <v>25</v>
      </c>
      <c r="G443" s="4" t="s">
        <v>25</v>
      </c>
      <c r="H443" s="4" t="s">
        <v>25</v>
      </c>
      <c r="I443" s="5">
        <v>44713</v>
      </c>
      <c r="J443" s="6">
        <v>2960</v>
      </c>
      <c r="K443" s="6">
        <v>2960</v>
      </c>
      <c r="L443" s="6">
        <v>0</v>
      </c>
      <c r="M443" s="6">
        <v>0</v>
      </c>
      <c r="N443" s="6">
        <v>0</v>
      </c>
      <c r="O443" s="6">
        <v>0</v>
      </c>
      <c r="P443" s="6">
        <v>10</v>
      </c>
      <c r="Q443" s="4" t="s">
        <v>26</v>
      </c>
      <c r="R443" s="4">
        <v>0</v>
      </c>
      <c r="S443" s="4" t="s">
        <v>209</v>
      </c>
      <c r="U443" s="4">
        <v>18</v>
      </c>
      <c r="V443" s="4">
        <v>0</v>
      </c>
      <c r="W443" s="4">
        <v>0</v>
      </c>
    </row>
    <row r="444" spans="1:23" ht="11.25" customHeight="1" x14ac:dyDescent="0.25">
      <c r="A444" s="4" t="s">
        <v>21</v>
      </c>
      <c r="B444" s="4" t="s">
        <v>35</v>
      </c>
      <c r="C444" s="4" t="s">
        <v>39</v>
      </c>
      <c r="D444" s="4" t="s">
        <v>34</v>
      </c>
      <c r="E444" s="4" t="s">
        <v>25</v>
      </c>
      <c r="F444" s="4" t="s">
        <v>25</v>
      </c>
      <c r="G444" s="4" t="s">
        <v>25</v>
      </c>
      <c r="H444" s="4" t="s">
        <v>37</v>
      </c>
      <c r="I444" s="5">
        <v>44378</v>
      </c>
      <c r="J444" s="6">
        <v>0</v>
      </c>
      <c r="K444" s="6">
        <v>0</v>
      </c>
      <c r="L444" s="6">
        <v>448.46199999999999</v>
      </c>
      <c r="M444" s="6">
        <v>448.46199999999999</v>
      </c>
      <c r="N444" s="6">
        <v>448.46199999999999</v>
      </c>
      <c r="O444" s="6">
        <v>448.46199999999999</v>
      </c>
      <c r="P444" s="6">
        <v>0</v>
      </c>
      <c r="Q444" s="4" t="s">
        <v>26</v>
      </c>
      <c r="R444" s="4">
        <v>0</v>
      </c>
      <c r="S444" s="4" t="s">
        <v>210</v>
      </c>
      <c r="T444" s="4" t="s">
        <v>331</v>
      </c>
      <c r="U444" s="4">
        <v>0</v>
      </c>
      <c r="V444" s="4">
        <v>12</v>
      </c>
      <c r="W444" s="4">
        <v>66</v>
      </c>
    </row>
    <row r="445" spans="1:23" ht="11.25" customHeight="1" x14ac:dyDescent="0.25">
      <c r="A445" s="4" t="s">
        <v>27</v>
      </c>
      <c r="B445" s="4" t="s">
        <v>35</v>
      </c>
      <c r="C445" s="4" t="s">
        <v>39</v>
      </c>
      <c r="D445" s="4" t="s">
        <v>34</v>
      </c>
      <c r="E445" s="4" t="s">
        <v>25</v>
      </c>
      <c r="F445" s="4" t="s">
        <v>25</v>
      </c>
      <c r="G445" s="4" t="s">
        <v>25</v>
      </c>
      <c r="H445" s="4" t="s">
        <v>37</v>
      </c>
      <c r="I445" s="5">
        <v>44378</v>
      </c>
      <c r="J445" s="6">
        <v>0</v>
      </c>
      <c r="K445" s="6">
        <v>0</v>
      </c>
      <c r="L445" s="6">
        <v>-18.57</v>
      </c>
      <c r="M445" s="6">
        <v>-18.57</v>
      </c>
      <c r="N445" s="6">
        <v>-18.57</v>
      </c>
      <c r="O445" s="6">
        <v>-18.57</v>
      </c>
      <c r="P445" s="6">
        <v>0</v>
      </c>
      <c r="Q445" s="4" t="s">
        <v>26</v>
      </c>
      <c r="R445" s="4">
        <v>0</v>
      </c>
      <c r="S445" s="4" t="s">
        <v>210</v>
      </c>
      <c r="T445" s="4" t="s">
        <v>331</v>
      </c>
      <c r="U445" s="4">
        <v>0</v>
      </c>
      <c r="V445" s="4">
        <v>12</v>
      </c>
      <c r="W445" s="4">
        <v>66</v>
      </c>
    </row>
    <row r="446" spans="1:23" ht="11.25" customHeight="1" x14ac:dyDescent="0.25">
      <c r="A446" s="4" t="s">
        <v>28</v>
      </c>
      <c r="B446" s="4" t="s">
        <v>35</v>
      </c>
      <c r="C446" s="4" t="s">
        <v>39</v>
      </c>
      <c r="D446" s="4" t="s">
        <v>34</v>
      </c>
      <c r="E446" s="4" t="s">
        <v>25</v>
      </c>
      <c r="F446" s="4" t="s">
        <v>25</v>
      </c>
      <c r="G446" s="4" t="s">
        <v>25</v>
      </c>
      <c r="H446" s="4" t="s">
        <v>37</v>
      </c>
      <c r="I446" s="5">
        <v>44378</v>
      </c>
      <c r="J446" s="6">
        <v>0</v>
      </c>
      <c r="K446" s="6">
        <v>0</v>
      </c>
      <c r="L446" s="6">
        <v>11.151999999999999</v>
      </c>
      <c r="M446" s="6">
        <v>11.151999999999999</v>
      </c>
      <c r="N446" s="6">
        <v>11.151999999999999</v>
      </c>
      <c r="O446" s="6">
        <v>11.151999999999999</v>
      </c>
      <c r="P446" s="6">
        <v>0</v>
      </c>
      <c r="Q446" s="4" t="s">
        <v>26</v>
      </c>
      <c r="R446" s="4">
        <v>0</v>
      </c>
      <c r="S446" s="4" t="s">
        <v>210</v>
      </c>
      <c r="T446" s="4" t="s">
        <v>331</v>
      </c>
      <c r="U446" s="4">
        <v>0</v>
      </c>
      <c r="V446" s="4">
        <v>12</v>
      </c>
      <c r="W446" s="4">
        <v>66</v>
      </c>
    </row>
    <row r="447" spans="1:23" ht="11.25" customHeight="1" x14ac:dyDescent="0.25">
      <c r="A447" s="4" t="s">
        <v>21</v>
      </c>
      <c r="B447" s="4" t="s">
        <v>35</v>
      </c>
      <c r="C447" s="4" t="s">
        <v>39</v>
      </c>
      <c r="D447" s="4" t="s">
        <v>34</v>
      </c>
      <c r="E447" s="4" t="s">
        <v>25</v>
      </c>
      <c r="F447" s="4" t="s">
        <v>25</v>
      </c>
      <c r="G447" s="4" t="s">
        <v>25</v>
      </c>
      <c r="H447" s="4" t="s">
        <v>37</v>
      </c>
      <c r="I447" s="5">
        <v>44409</v>
      </c>
      <c r="J447" s="6">
        <v>0</v>
      </c>
      <c r="K447" s="6">
        <v>0</v>
      </c>
      <c r="L447" s="6">
        <v>409.77499999999998</v>
      </c>
      <c r="M447" s="6">
        <v>409.77499999999998</v>
      </c>
      <c r="N447" s="6">
        <v>409.77499999999998</v>
      </c>
      <c r="O447" s="6">
        <v>409.77499999999998</v>
      </c>
      <c r="P447" s="6">
        <v>0</v>
      </c>
      <c r="Q447" s="4" t="s">
        <v>26</v>
      </c>
      <c r="R447" s="4">
        <v>0</v>
      </c>
      <c r="S447" s="4" t="s">
        <v>211</v>
      </c>
      <c r="T447" s="4" t="s">
        <v>332</v>
      </c>
      <c r="U447" s="4">
        <v>0</v>
      </c>
      <c r="V447" s="4">
        <v>12</v>
      </c>
      <c r="W447" s="4">
        <v>66</v>
      </c>
    </row>
    <row r="448" spans="1:23" ht="11.25" customHeight="1" x14ac:dyDescent="0.25">
      <c r="A448" s="4" t="s">
        <v>28</v>
      </c>
      <c r="B448" s="4" t="s">
        <v>35</v>
      </c>
      <c r="C448" s="4" t="s">
        <v>39</v>
      </c>
      <c r="D448" s="4" t="s">
        <v>34</v>
      </c>
      <c r="E448" s="4" t="s">
        <v>25</v>
      </c>
      <c r="F448" s="4" t="s">
        <v>25</v>
      </c>
      <c r="G448" s="4" t="s">
        <v>25</v>
      </c>
      <c r="H448" s="4" t="s">
        <v>37</v>
      </c>
      <c r="I448" s="5">
        <v>44409</v>
      </c>
      <c r="J448" s="6">
        <v>0</v>
      </c>
      <c r="K448" s="6">
        <v>0</v>
      </c>
      <c r="L448" s="6">
        <v>16.042999999999999</v>
      </c>
      <c r="M448" s="6">
        <v>16.042999999999999</v>
      </c>
      <c r="N448" s="6">
        <v>16.042999999999999</v>
      </c>
      <c r="O448" s="6">
        <v>16.042999999999999</v>
      </c>
      <c r="P448" s="6">
        <v>0</v>
      </c>
      <c r="Q448" s="4" t="s">
        <v>26</v>
      </c>
      <c r="R448" s="4">
        <v>0</v>
      </c>
      <c r="S448" s="4" t="s">
        <v>211</v>
      </c>
      <c r="T448" s="4" t="s">
        <v>332</v>
      </c>
      <c r="U448" s="4">
        <v>0</v>
      </c>
      <c r="V448" s="4">
        <v>12</v>
      </c>
      <c r="W448" s="4">
        <v>66</v>
      </c>
    </row>
    <row r="449" spans="1:23" ht="11.25" customHeight="1" x14ac:dyDescent="0.25">
      <c r="A449" s="4" t="s">
        <v>21</v>
      </c>
      <c r="B449" s="4" t="s">
        <v>35</v>
      </c>
      <c r="C449" s="4" t="s">
        <v>39</v>
      </c>
      <c r="D449" s="4" t="s">
        <v>34</v>
      </c>
      <c r="E449" s="4" t="s">
        <v>25</v>
      </c>
      <c r="F449" s="4" t="s">
        <v>25</v>
      </c>
      <c r="G449" s="4" t="s">
        <v>25</v>
      </c>
      <c r="H449" s="4" t="s">
        <v>37</v>
      </c>
      <c r="I449" s="5">
        <v>44440</v>
      </c>
      <c r="J449" s="6">
        <v>0</v>
      </c>
      <c r="K449" s="6">
        <v>0</v>
      </c>
      <c r="L449" s="6">
        <v>396.44200000000001</v>
      </c>
      <c r="M449" s="6">
        <v>396.44200000000001</v>
      </c>
      <c r="N449" s="6">
        <v>396.44200000000001</v>
      </c>
      <c r="O449" s="6">
        <v>396.44200000000001</v>
      </c>
      <c r="P449" s="6">
        <v>0</v>
      </c>
      <c r="Q449" s="4" t="s">
        <v>26</v>
      </c>
      <c r="R449" s="4">
        <v>0</v>
      </c>
      <c r="S449" s="4" t="s">
        <v>212</v>
      </c>
      <c r="T449" s="4" t="s">
        <v>333</v>
      </c>
      <c r="U449" s="4">
        <v>0</v>
      </c>
      <c r="V449" s="4">
        <v>12</v>
      </c>
      <c r="W449" s="4">
        <v>66</v>
      </c>
    </row>
    <row r="450" spans="1:23" ht="11.25" customHeight="1" x14ac:dyDescent="0.25">
      <c r="A450" s="4" t="s">
        <v>28</v>
      </c>
      <c r="B450" s="4" t="s">
        <v>35</v>
      </c>
      <c r="C450" s="4" t="s">
        <v>39</v>
      </c>
      <c r="D450" s="4" t="s">
        <v>34</v>
      </c>
      <c r="E450" s="4" t="s">
        <v>25</v>
      </c>
      <c r="F450" s="4" t="s">
        <v>25</v>
      </c>
      <c r="G450" s="4" t="s">
        <v>25</v>
      </c>
      <c r="H450" s="4" t="s">
        <v>37</v>
      </c>
      <c r="I450" s="5">
        <v>44440</v>
      </c>
      <c r="J450" s="6">
        <v>0</v>
      </c>
      <c r="K450" s="6">
        <v>0</v>
      </c>
      <c r="L450" s="6">
        <v>13.768000000000001</v>
      </c>
      <c r="M450" s="6">
        <v>13.768000000000001</v>
      </c>
      <c r="N450" s="6">
        <v>13.768000000000001</v>
      </c>
      <c r="O450" s="6">
        <v>13.768000000000001</v>
      </c>
      <c r="P450" s="6">
        <v>0</v>
      </c>
      <c r="Q450" s="4" t="s">
        <v>26</v>
      </c>
      <c r="R450" s="4">
        <v>0</v>
      </c>
      <c r="S450" s="4" t="s">
        <v>212</v>
      </c>
      <c r="T450" s="4" t="s">
        <v>333</v>
      </c>
      <c r="U450" s="4">
        <v>0</v>
      </c>
      <c r="V450" s="4">
        <v>12</v>
      </c>
      <c r="W450" s="4">
        <v>66</v>
      </c>
    </row>
    <row r="451" spans="1:23" ht="11.25" customHeight="1" x14ac:dyDescent="0.25">
      <c r="A451" s="4" t="s">
        <v>21</v>
      </c>
      <c r="B451" s="4" t="s">
        <v>35</v>
      </c>
      <c r="C451" s="4" t="s">
        <v>39</v>
      </c>
      <c r="D451" s="4" t="s">
        <v>34</v>
      </c>
      <c r="E451" s="4" t="s">
        <v>25</v>
      </c>
      <c r="F451" s="4" t="s">
        <v>25</v>
      </c>
      <c r="G451" s="4" t="s">
        <v>25</v>
      </c>
      <c r="H451" s="4" t="s">
        <v>37</v>
      </c>
      <c r="I451" s="5">
        <v>44470</v>
      </c>
      <c r="J451" s="6">
        <v>0</v>
      </c>
      <c r="K451" s="6">
        <v>0</v>
      </c>
      <c r="L451" s="6">
        <v>371.45499999999998</v>
      </c>
      <c r="M451" s="6">
        <v>371.45499999999998</v>
      </c>
      <c r="N451" s="6">
        <v>371.45499999999998</v>
      </c>
      <c r="O451" s="6">
        <v>371.45499999999998</v>
      </c>
      <c r="P451" s="6">
        <v>0</v>
      </c>
      <c r="Q451" s="4" t="s">
        <v>26</v>
      </c>
      <c r="R451" s="4">
        <v>0</v>
      </c>
      <c r="S451" s="4" t="s">
        <v>213</v>
      </c>
      <c r="T451" s="4" t="s">
        <v>334</v>
      </c>
      <c r="U451" s="4">
        <v>0</v>
      </c>
      <c r="V451" s="4">
        <v>12</v>
      </c>
      <c r="W451" s="4">
        <v>66</v>
      </c>
    </row>
    <row r="452" spans="1:23" ht="11.25" customHeight="1" x14ac:dyDescent="0.25">
      <c r="A452" s="4" t="s">
        <v>28</v>
      </c>
      <c r="B452" s="4" t="s">
        <v>35</v>
      </c>
      <c r="C452" s="4" t="s">
        <v>39</v>
      </c>
      <c r="D452" s="4" t="s">
        <v>34</v>
      </c>
      <c r="E452" s="4" t="s">
        <v>25</v>
      </c>
      <c r="F452" s="4" t="s">
        <v>25</v>
      </c>
      <c r="G452" s="4" t="s">
        <v>25</v>
      </c>
      <c r="H452" s="4" t="s">
        <v>37</v>
      </c>
      <c r="I452" s="5">
        <v>44470</v>
      </c>
      <c r="J452" s="6">
        <v>0</v>
      </c>
      <c r="K452" s="6">
        <v>0</v>
      </c>
      <c r="L452" s="6">
        <v>10.016</v>
      </c>
      <c r="M452" s="6">
        <v>10.016</v>
      </c>
      <c r="N452" s="6">
        <v>10.016</v>
      </c>
      <c r="O452" s="6">
        <v>10.016</v>
      </c>
      <c r="P452" s="6">
        <v>0</v>
      </c>
      <c r="Q452" s="4" t="s">
        <v>26</v>
      </c>
      <c r="R452" s="4">
        <v>0</v>
      </c>
      <c r="S452" s="4" t="s">
        <v>213</v>
      </c>
      <c r="T452" s="4" t="s">
        <v>334</v>
      </c>
      <c r="U452" s="4">
        <v>0</v>
      </c>
      <c r="V452" s="4">
        <v>12</v>
      </c>
      <c r="W452" s="4">
        <v>66</v>
      </c>
    </row>
    <row r="453" spans="1:23" ht="11.25" customHeight="1" x14ac:dyDescent="0.25">
      <c r="A453" s="4" t="s">
        <v>21</v>
      </c>
      <c r="B453" s="4" t="s">
        <v>35</v>
      </c>
      <c r="C453" s="4" t="s">
        <v>39</v>
      </c>
      <c r="D453" s="4" t="s">
        <v>34</v>
      </c>
      <c r="E453" s="4" t="s">
        <v>25</v>
      </c>
      <c r="F453" s="4" t="s">
        <v>25</v>
      </c>
      <c r="G453" s="4" t="s">
        <v>25</v>
      </c>
      <c r="H453" s="4" t="s">
        <v>37</v>
      </c>
      <c r="I453" s="5">
        <v>44501</v>
      </c>
      <c r="J453" s="6">
        <v>0</v>
      </c>
      <c r="K453" s="6">
        <v>0</v>
      </c>
      <c r="L453" s="6">
        <v>185.691</v>
      </c>
      <c r="M453" s="6">
        <v>185.691</v>
      </c>
      <c r="N453" s="6">
        <v>185.691</v>
      </c>
      <c r="O453" s="6">
        <v>185.691</v>
      </c>
      <c r="P453" s="6">
        <v>0</v>
      </c>
      <c r="Q453" s="4" t="s">
        <v>26</v>
      </c>
      <c r="R453" s="4">
        <v>0</v>
      </c>
      <c r="S453" s="4" t="s">
        <v>214</v>
      </c>
      <c r="T453" s="4" t="s">
        <v>335</v>
      </c>
      <c r="U453" s="4">
        <v>0</v>
      </c>
      <c r="V453" s="4">
        <v>12</v>
      </c>
      <c r="W453" s="4">
        <v>66</v>
      </c>
    </row>
    <row r="454" spans="1:23" ht="11.25" customHeight="1" x14ac:dyDescent="0.25">
      <c r="A454" s="4" t="s">
        <v>28</v>
      </c>
      <c r="B454" s="4" t="s">
        <v>35</v>
      </c>
      <c r="C454" s="4" t="s">
        <v>39</v>
      </c>
      <c r="D454" s="4" t="s">
        <v>34</v>
      </c>
      <c r="E454" s="4" t="s">
        <v>25</v>
      </c>
      <c r="F454" s="4" t="s">
        <v>25</v>
      </c>
      <c r="G454" s="4" t="s">
        <v>25</v>
      </c>
      <c r="H454" s="4" t="s">
        <v>37</v>
      </c>
      <c r="I454" s="5">
        <v>44501</v>
      </c>
      <c r="J454" s="6">
        <v>0</v>
      </c>
      <c r="K454" s="6">
        <v>0</v>
      </c>
      <c r="L454" s="6">
        <v>7.048</v>
      </c>
      <c r="M454" s="6">
        <v>7.048</v>
      </c>
      <c r="N454" s="6">
        <v>7.048</v>
      </c>
      <c r="O454" s="6">
        <v>7.048</v>
      </c>
      <c r="P454" s="6">
        <v>0</v>
      </c>
      <c r="Q454" s="4" t="s">
        <v>26</v>
      </c>
      <c r="R454" s="4">
        <v>0</v>
      </c>
      <c r="S454" s="4" t="s">
        <v>214</v>
      </c>
      <c r="T454" s="4" t="s">
        <v>335</v>
      </c>
      <c r="U454" s="4">
        <v>0</v>
      </c>
      <c r="V454" s="4">
        <v>12</v>
      </c>
      <c r="W454" s="4">
        <v>66</v>
      </c>
    </row>
    <row r="455" spans="1:23" ht="11.25" customHeight="1" x14ac:dyDescent="0.25">
      <c r="A455" s="4" t="s">
        <v>21</v>
      </c>
      <c r="B455" s="4" t="s">
        <v>35</v>
      </c>
      <c r="C455" s="4" t="s">
        <v>39</v>
      </c>
      <c r="D455" s="4" t="s">
        <v>34</v>
      </c>
      <c r="E455" s="4" t="s">
        <v>25</v>
      </c>
      <c r="F455" s="4" t="s">
        <v>25</v>
      </c>
      <c r="G455" s="4" t="s">
        <v>25</v>
      </c>
      <c r="H455" s="4" t="s">
        <v>37</v>
      </c>
      <c r="I455" s="5">
        <v>44531</v>
      </c>
      <c r="J455" s="6">
        <v>0</v>
      </c>
      <c r="K455" s="6">
        <v>0</v>
      </c>
      <c r="L455" s="6">
        <v>183.94399999999999</v>
      </c>
      <c r="M455" s="6">
        <v>183.94399999999999</v>
      </c>
      <c r="N455" s="6">
        <v>183.94399999999999</v>
      </c>
      <c r="O455" s="6">
        <v>183.94399999999999</v>
      </c>
      <c r="P455" s="6">
        <v>0</v>
      </c>
      <c r="Q455" s="4" t="s">
        <v>26</v>
      </c>
      <c r="R455" s="4">
        <v>0</v>
      </c>
      <c r="S455" s="4" t="s">
        <v>215</v>
      </c>
      <c r="T455" s="4" t="s">
        <v>336</v>
      </c>
      <c r="U455" s="4">
        <v>0</v>
      </c>
      <c r="V455" s="4">
        <v>12</v>
      </c>
      <c r="W455" s="4">
        <v>66</v>
      </c>
    </row>
    <row r="456" spans="1:23" ht="11.25" customHeight="1" x14ac:dyDescent="0.25">
      <c r="A456" s="4" t="s">
        <v>21</v>
      </c>
      <c r="B456" s="4" t="s">
        <v>35</v>
      </c>
      <c r="C456" s="4" t="s">
        <v>39</v>
      </c>
      <c r="D456" s="4" t="s">
        <v>34</v>
      </c>
      <c r="E456" s="4" t="s">
        <v>25</v>
      </c>
      <c r="F456" s="4" t="s">
        <v>25</v>
      </c>
      <c r="G456" s="4" t="s">
        <v>25</v>
      </c>
      <c r="H456" s="4" t="s">
        <v>37</v>
      </c>
      <c r="I456" s="5">
        <v>44562</v>
      </c>
      <c r="J456" s="6">
        <v>0</v>
      </c>
      <c r="K456" s="6">
        <v>0</v>
      </c>
      <c r="L456" s="6">
        <v>438.71100000000001</v>
      </c>
      <c r="M456" s="6">
        <v>438.71100000000001</v>
      </c>
      <c r="N456" s="6">
        <v>438.71100000000001</v>
      </c>
      <c r="O456" s="6">
        <v>438.71100000000001</v>
      </c>
      <c r="P456" s="6">
        <v>0</v>
      </c>
      <c r="Q456" s="4" t="s">
        <v>26</v>
      </c>
      <c r="R456" s="4">
        <v>0</v>
      </c>
      <c r="S456" s="4" t="s">
        <v>216</v>
      </c>
      <c r="T456" s="4" t="s">
        <v>337</v>
      </c>
      <c r="U456" s="4">
        <v>0</v>
      </c>
      <c r="V456" s="4">
        <v>12</v>
      </c>
      <c r="W456" s="4">
        <v>66</v>
      </c>
    </row>
    <row r="457" spans="1:23" ht="11.25" customHeight="1" x14ac:dyDescent="0.25">
      <c r="A457" s="4" t="s">
        <v>27</v>
      </c>
      <c r="B457" s="4" t="s">
        <v>35</v>
      </c>
      <c r="C457" s="4" t="s">
        <v>39</v>
      </c>
      <c r="D457" s="4" t="s">
        <v>34</v>
      </c>
      <c r="E457" s="4" t="s">
        <v>25</v>
      </c>
      <c r="F457" s="4" t="s">
        <v>25</v>
      </c>
      <c r="G457" s="4" t="s">
        <v>25</v>
      </c>
      <c r="H457" s="4" t="s">
        <v>37</v>
      </c>
      <c r="I457" s="5">
        <v>44562</v>
      </c>
      <c r="J457" s="6">
        <v>0</v>
      </c>
      <c r="K457" s="6">
        <v>0</v>
      </c>
      <c r="L457" s="6">
        <v>-258.69499999999999</v>
      </c>
      <c r="M457" s="6">
        <v>-258.69499999999999</v>
      </c>
      <c r="N457" s="6">
        <v>-258.69499999999999</v>
      </c>
      <c r="O457" s="6">
        <v>-258.69499999999999</v>
      </c>
      <c r="P457" s="6">
        <v>0</v>
      </c>
      <c r="Q457" s="4" t="s">
        <v>26</v>
      </c>
      <c r="R457" s="4">
        <v>0</v>
      </c>
      <c r="S457" s="4" t="s">
        <v>216</v>
      </c>
      <c r="T457" s="4" t="s">
        <v>337</v>
      </c>
      <c r="U457" s="4">
        <v>0</v>
      </c>
      <c r="V457" s="4">
        <v>12</v>
      </c>
      <c r="W457" s="4">
        <v>66</v>
      </c>
    </row>
    <row r="458" spans="1:23" ht="11.25" customHeight="1" x14ac:dyDescent="0.25">
      <c r="A458" s="4" t="s">
        <v>28</v>
      </c>
      <c r="B458" s="4" t="s">
        <v>35</v>
      </c>
      <c r="C458" s="4" t="s">
        <v>39</v>
      </c>
      <c r="D458" s="4" t="s">
        <v>34</v>
      </c>
      <c r="E458" s="4" t="s">
        <v>25</v>
      </c>
      <c r="F458" s="4" t="s">
        <v>25</v>
      </c>
      <c r="G458" s="4" t="s">
        <v>25</v>
      </c>
      <c r="H458" s="4" t="s">
        <v>37</v>
      </c>
      <c r="I458" s="5">
        <v>44562</v>
      </c>
      <c r="J458" s="6">
        <v>0</v>
      </c>
      <c r="K458" s="6">
        <v>0</v>
      </c>
      <c r="L458" s="6">
        <v>18.225999999999999</v>
      </c>
      <c r="M458" s="6">
        <v>18.225999999999999</v>
      </c>
      <c r="N458" s="6">
        <v>18.225999999999999</v>
      </c>
      <c r="O458" s="6">
        <v>18.225999999999999</v>
      </c>
      <c r="P458" s="6">
        <v>0</v>
      </c>
      <c r="Q458" s="4" t="s">
        <v>26</v>
      </c>
      <c r="R458" s="4">
        <v>0</v>
      </c>
      <c r="S458" s="4" t="s">
        <v>216</v>
      </c>
      <c r="T458" s="4" t="s">
        <v>337</v>
      </c>
      <c r="U458" s="4">
        <v>0</v>
      </c>
      <c r="V458" s="4">
        <v>12</v>
      </c>
      <c r="W458" s="4">
        <v>66</v>
      </c>
    </row>
    <row r="459" spans="1:23" ht="11.25" customHeight="1" x14ac:dyDescent="0.25">
      <c r="A459" s="4" t="s">
        <v>21</v>
      </c>
      <c r="B459" s="4" t="s">
        <v>35</v>
      </c>
      <c r="C459" s="4" t="s">
        <v>39</v>
      </c>
      <c r="D459" s="4" t="s">
        <v>34</v>
      </c>
      <c r="E459" s="4" t="s">
        <v>25</v>
      </c>
      <c r="F459" s="4" t="s">
        <v>25</v>
      </c>
      <c r="G459" s="4" t="s">
        <v>25</v>
      </c>
      <c r="H459" s="4" t="s">
        <v>37</v>
      </c>
      <c r="I459" s="5">
        <v>44593</v>
      </c>
      <c r="J459" s="6">
        <v>0</v>
      </c>
      <c r="K459" s="6">
        <v>0</v>
      </c>
      <c r="L459" s="6">
        <v>158.375</v>
      </c>
      <c r="M459" s="6">
        <v>158.375</v>
      </c>
      <c r="N459" s="6">
        <v>158.375</v>
      </c>
      <c r="O459" s="6">
        <v>158.375</v>
      </c>
      <c r="P459" s="6">
        <v>0</v>
      </c>
      <c r="Q459" s="4" t="s">
        <v>26</v>
      </c>
      <c r="R459" s="4">
        <v>0</v>
      </c>
      <c r="S459" s="4" t="s">
        <v>217</v>
      </c>
      <c r="T459" s="4" t="s">
        <v>338</v>
      </c>
      <c r="U459" s="4">
        <v>0</v>
      </c>
      <c r="V459" s="4">
        <v>12</v>
      </c>
      <c r="W459" s="4">
        <v>66</v>
      </c>
    </row>
    <row r="460" spans="1:23" ht="11.25" customHeight="1" x14ac:dyDescent="0.25">
      <c r="A460" s="4" t="s">
        <v>27</v>
      </c>
      <c r="B460" s="4" t="s">
        <v>35</v>
      </c>
      <c r="C460" s="4" t="s">
        <v>39</v>
      </c>
      <c r="D460" s="4" t="s">
        <v>34</v>
      </c>
      <c r="E460" s="4" t="s">
        <v>25</v>
      </c>
      <c r="F460" s="4" t="s">
        <v>25</v>
      </c>
      <c r="G460" s="4" t="s">
        <v>25</v>
      </c>
      <c r="H460" s="4" t="s">
        <v>37</v>
      </c>
      <c r="I460" s="5">
        <v>44593</v>
      </c>
      <c r="J460" s="6">
        <v>0</v>
      </c>
      <c r="K460" s="6">
        <v>0</v>
      </c>
      <c r="L460" s="6">
        <v>-0.113</v>
      </c>
      <c r="M460" s="6">
        <v>-0.113</v>
      </c>
      <c r="N460" s="6">
        <v>-0.113</v>
      </c>
      <c r="O460" s="6">
        <v>-0.113</v>
      </c>
      <c r="P460" s="6">
        <v>0</v>
      </c>
      <c r="Q460" s="4" t="s">
        <v>26</v>
      </c>
      <c r="R460" s="4">
        <v>0</v>
      </c>
      <c r="S460" s="4" t="s">
        <v>217</v>
      </c>
      <c r="T460" s="4" t="s">
        <v>338</v>
      </c>
      <c r="U460" s="4">
        <v>0</v>
      </c>
      <c r="V460" s="4">
        <v>12</v>
      </c>
      <c r="W460" s="4">
        <v>66</v>
      </c>
    </row>
    <row r="461" spans="1:23" ht="11.25" customHeight="1" x14ac:dyDescent="0.25">
      <c r="A461" s="4" t="s">
        <v>28</v>
      </c>
      <c r="B461" s="4" t="s">
        <v>35</v>
      </c>
      <c r="C461" s="4" t="s">
        <v>39</v>
      </c>
      <c r="D461" s="4" t="s">
        <v>34</v>
      </c>
      <c r="E461" s="4" t="s">
        <v>25</v>
      </c>
      <c r="F461" s="4" t="s">
        <v>25</v>
      </c>
      <c r="G461" s="4" t="s">
        <v>25</v>
      </c>
      <c r="H461" s="4" t="s">
        <v>37</v>
      </c>
      <c r="I461" s="5">
        <v>44593</v>
      </c>
      <c r="J461" s="6">
        <v>0</v>
      </c>
      <c r="K461" s="6">
        <v>0</v>
      </c>
      <c r="L461" s="6">
        <v>33.058999999999997</v>
      </c>
      <c r="M461" s="6">
        <v>33.058999999999997</v>
      </c>
      <c r="N461" s="6">
        <v>33.058999999999997</v>
      </c>
      <c r="O461" s="6">
        <v>33.058999999999997</v>
      </c>
      <c r="P461" s="6">
        <v>0</v>
      </c>
      <c r="Q461" s="4" t="s">
        <v>26</v>
      </c>
      <c r="R461" s="4">
        <v>0</v>
      </c>
      <c r="S461" s="4" t="s">
        <v>217</v>
      </c>
      <c r="T461" s="4" t="s">
        <v>338</v>
      </c>
      <c r="U461" s="4">
        <v>0</v>
      </c>
      <c r="V461" s="4">
        <v>12</v>
      </c>
      <c r="W461" s="4">
        <v>66</v>
      </c>
    </row>
    <row r="462" spans="1:23" ht="11.25" customHeight="1" x14ac:dyDescent="0.25">
      <c r="A462" s="4" t="s">
        <v>21</v>
      </c>
      <c r="B462" s="4" t="s">
        <v>35</v>
      </c>
      <c r="C462" s="4" t="s">
        <v>39</v>
      </c>
      <c r="D462" s="4" t="s">
        <v>34</v>
      </c>
      <c r="E462" s="4" t="s">
        <v>25</v>
      </c>
      <c r="F462" s="4" t="s">
        <v>25</v>
      </c>
      <c r="G462" s="4" t="s">
        <v>25</v>
      </c>
      <c r="H462" s="4" t="s">
        <v>37</v>
      </c>
      <c r="I462" s="5">
        <v>44621</v>
      </c>
      <c r="J462" s="6">
        <v>0</v>
      </c>
      <c r="K462" s="6">
        <v>0</v>
      </c>
      <c r="L462" s="6">
        <v>153.41900000000001</v>
      </c>
      <c r="M462" s="6">
        <v>153.41900000000001</v>
      </c>
      <c r="N462" s="6">
        <v>153.41900000000001</v>
      </c>
      <c r="O462" s="6">
        <v>153.41900000000001</v>
      </c>
      <c r="P462" s="6">
        <v>0</v>
      </c>
      <c r="Q462" s="4" t="s">
        <v>26</v>
      </c>
      <c r="R462" s="4">
        <v>0</v>
      </c>
      <c r="S462" s="4" t="s">
        <v>218</v>
      </c>
      <c r="T462" s="4" t="s">
        <v>339</v>
      </c>
      <c r="U462" s="4">
        <v>0</v>
      </c>
      <c r="V462" s="4">
        <v>12</v>
      </c>
      <c r="W462" s="4">
        <v>66</v>
      </c>
    </row>
    <row r="463" spans="1:23" ht="11.25" customHeight="1" x14ac:dyDescent="0.25">
      <c r="A463" s="4" t="s">
        <v>28</v>
      </c>
      <c r="B463" s="4" t="s">
        <v>35</v>
      </c>
      <c r="C463" s="4" t="s">
        <v>39</v>
      </c>
      <c r="D463" s="4" t="s">
        <v>34</v>
      </c>
      <c r="E463" s="4" t="s">
        <v>25</v>
      </c>
      <c r="F463" s="4" t="s">
        <v>25</v>
      </c>
      <c r="G463" s="4" t="s">
        <v>25</v>
      </c>
      <c r="H463" s="4" t="s">
        <v>37</v>
      </c>
      <c r="I463" s="5">
        <v>44621</v>
      </c>
      <c r="J463" s="6">
        <v>0</v>
      </c>
      <c r="K463" s="6">
        <v>0</v>
      </c>
      <c r="L463" s="6">
        <v>33.238</v>
      </c>
      <c r="M463" s="6">
        <v>33.238</v>
      </c>
      <c r="N463" s="6">
        <v>33.238</v>
      </c>
      <c r="O463" s="6">
        <v>33.238</v>
      </c>
      <c r="P463" s="6">
        <v>0</v>
      </c>
      <c r="Q463" s="4" t="s">
        <v>26</v>
      </c>
      <c r="R463" s="4">
        <v>0</v>
      </c>
      <c r="S463" s="4" t="s">
        <v>218</v>
      </c>
      <c r="T463" s="4" t="s">
        <v>339</v>
      </c>
      <c r="U463" s="4">
        <v>0</v>
      </c>
      <c r="V463" s="4">
        <v>12</v>
      </c>
      <c r="W463" s="4">
        <v>66</v>
      </c>
    </row>
    <row r="464" spans="1:23" ht="11.25" customHeight="1" x14ac:dyDescent="0.25">
      <c r="A464" s="4" t="s">
        <v>21</v>
      </c>
      <c r="B464" s="4" t="s">
        <v>35</v>
      </c>
      <c r="C464" s="4" t="s">
        <v>39</v>
      </c>
      <c r="D464" s="4" t="s">
        <v>34</v>
      </c>
      <c r="E464" s="4" t="s">
        <v>25</v>
      </c>
      <c r="F464" s="4" t="s">
        <v>25</v>
      </c>
      <c r="G464" s="4" t="s">
        <v>25</v>
      </c>
      <c r="H464" s="4" t="s">
        <v>37</v>
      </c>
      <c r="I464" s="5">
        <v>44652</v>
      </c>
      <c r="J464" s="6">
        <v>0</v>
      </c>
      <c r="K464" s="6">
        <v>0</v>
      </c>
      <c r="L464" s="6">
        <v>232.14599999999999</v>
      </c>
      <c r="M464" s="6">
        <v>232.14599999999999</v>
      </c>
      <c r="N464" s="6">
        <v>232.14599999999999</v>
      </c>
      <c r="O464" s="6">
        <v>232.14599999999999</v>
      </c>
      <c r="P464" s="6">
        <v>0</v>
      </c>
      <c r="Q464" s="4" t="s">
        <v>26</v>
      </c>
      <c r="R464" s="4">
        <v>0</v>
      </c>
      <c r="S464" s="4" t="s">
        <v>219</v>
      </c>
      <c r="T464" s="4" t="s">
        <v>340</v>
      </c>
      <c r="U464" s="4">
        <v>0</v>
      </c>
      <c r="V464" s="4">
        <v>12</v>
      </c>
      <c r="W464" s="4">
        <v>66</v>
      </c>
    </row>
    <row r="465" spans="1:23" ht="11.25" customHeight="1" x14ac:dyDescent="0.25">
      <c r="A465" s="4" t="s">
        <v>27</v>
      </c>
      <c r="B465" s="4" t="s">
        <v>35</v>
      </c>
      <c r="C465" s="4" t="s">
        <v>39</v>
      </c>
      <c r="D465" s="4" t="s">
        <v>34</v>
      </c>
      <c r="E465" s="4" t="s">
        <v>25</v>
      </c>
      <c r="F465" s="4" t="s">
        <v>25</v>
      </c>
      <c r="G465" s="4" t="s">
        <v>25</v>
      </c>
      <c r="H465" s="4" t="s">
        <v>37</v>
      </c>
      <c r="I465" s="5">
        <v>44652</v>
      </c>
      <c r="J465" s="6">
        <v>0</v>
      </c>
      <c r="K465" s="6">
        <v>0</v>
      </c>
      <c r="L465" s="6">
        <v>-0.154</v>
      </c>
      <c r="M465" s="6">
        <v>-0.154</v>
      </c>
      <c r="N465" s="6">
        <v>-0.154</v>
      </c>
      <c r="O465" s="6">
        <v>-0.154</v>
      </c>
      <c r="P465" s="6">
        <v>0</v>
      </c>
      <c r="Q465" s="4" t="s">
        <v>26</v>
      </c>
      <c r="R465" s="4">
        <v>0</v>
      </c>
      <c r="S465" s="4" t="s">
        <v>219</v>
      </c>
      <c r="T465" s="4" t="s">
        <v>340</v>
      </c>
      <c r="U465" s="4">
        <v>0</v>
      </c>
      <c r="V465" s="4">
        <v>12</v>
      </c>
      <c r="W465" s="4">
        <v>66</v>
      </c>
    </row>
    <row r="466" spans="1:23" ht="11.25" customHeight="1" x14ac:dyDescent="0.25">
      <c r="A466" s="4" t="s">
        <v>28</v>
      </c>
      <c r="B466" s="4" t="s">
        <v>35</v>
      </c>
      <c r="C466" s="4" t="s">
        <v>39</v>
      </c>
      <c r="D466" s="4" t="s">
        <v>34</v>
      </c>
      <c r="E466" s="4" t="s">
        <v>25</v>
      </c>
      <c r="F466" s="4" t="s">
        <v>25</v>
      </c>
      <c r="G466" s="4" t="s">
        <v>25</v>
      </c>
      <c r="H466" s="4" t="s">
        <v>37</v>
      </c>
      <c r="I466" s="5">
        <v>44652</v>
      </c>
      <c r="J466" s="6">
        <v>0</v>
      </c>
      <c r="K466" s="6">
        <v>0</v>
      </c>
      <c r="L466" s="6">
        <v>55.688000000000002</v>
      </c>
      <c r="M466" s="6">
        <v>55.688000000000002</v>
      </c>
      <c r="N466" s="6">
        <v>55.688000000000002</v>
      </c>
      <c r="O466" s="6">
        <v>55.688000000000002</v>
      </c>
      <c r="P466" s="6">
        <v>0</v>
      </c>
      <c r="Q466" s="4" t="s">
        <v>26</v>
      </c>
      <c r="R466" s="4">
        <v>0</v>
      </c>
      <c r="S466" s="4" t="s">
        <v>219</v>
      </c>
      <c r="T466" s="4" t="s">
        <v>340</v>
      </c>
      <c r="U466" s="4">
        <v>0</v>
      </c>
      <c r="V466" s="4">
        <v>12</v>
      </c>
      <c r="W466" s="4">
        <v>66</v>
      </c>
    </row>
    <row r="467" spans="1:23" ht="11.25" customHeight="1" x14ac:dyDescent="0.25">
      <c r="A467" s="4" t="s">
        <v>21</v>
      </c>
      <c r="B467" s="4" t="s">
        <v>35</v>
      </c>
      <c r="C467" s="4" t="s">
        <v>39</v>
      </c>
      <c r="D467" s="4" t="s">
        <v>34</v>
      </c>
      <c r="E467" s="4" t="s">
        <v>25</v>
      </c>
      <c r="F467" s="4" t="s">
        <v>25</v>
      </c>
      <c r="G467" s="4" t="s">
        <v>25</v>
      </c>
      <c r="H467" s="4" t="s">
        <v>37</v>
      </c>
      <c r="I467" s="5">
        <v>44682</v>
      </c>
      <c r="J467" s="6">
        <v>0</v>
      </c>
      <c r="K467" s="6">
        <v>0</v>
      </c>
      <c r="L467" s="6">
        <v>222.875</v>
      </c>
      <c r="M467" s="6">
        <v>222.875</v>
      </c>
      <c r="N467" s="6">
        <v>222.875</v>
      </c>
      <c r="O467" s="6">
        <v>222.875</v>
      </c>
      <c r="P467" s="6">
        <v>0</v>
      </c>
      <c r="Q467" s="4" t="s">
        <v>26</v>
      </c>
      <c r="R467" s="4">
        <v>0</v>
      </c>
      <c r="S467" s="4" t="s">
        <v>220</v>
      </c>
      <c r="T467" s="4" t="s">
        <v>341</v>
      </c>
      <c r="U467" s="4">
        <v>0</v>
      </c>
      <c r="V467" s="4">
        <v>12</v>
      </c>
      <c r="W467" s="4">
        <v>66</v>
      </c>
    </row>
    <row r="468" spans="1:23" ht="11.25" customHeight="1" x14ac:dyDescent="0.25">
      <c r="A468" s="4" t="s">
        <v>27</v>
      </c>
      <c r="B468" s="4" t="s">
        <v>35</v>
      </c>
      <c r="C468" s="4" t="s">
        <v>39</v>
      </c>
      <c r="D468" s="4" t="s">
        <v>34</v>
      </c>
      <c r="E468" s="4" t="s">
        <v>25</v>
      </c>
      <c r="F468" s="4" t="s">
        <v>25</v>
      </c>
      <c r="G468" s="4" t="s">
        <v>25</v>
      </c>
      <c r="H468" s="4" t="s">
        <v>37</v>
      </c>
      <c r="I468" s="5">
        <v>44682</v>
      </c>
      <c r="J468" s="6">
        <v>0</v>
      </c>
      <c r="K468" s="6">
        <v>0</v>
      </c>
      <c r="L468" s="6">
        <v>-1.2649999999999999</v>
      </c>
      <c r="M468" s="6">
        <v>-1.2649999999999999</v>
      </c>
      <c r="N468" s="6">
        <v>-1.2649999999999999</v>
      </c>
      <c r="O468" s="6">
        <v>-1.2649999999999999</v>
      </c>
      <c r="P468" s="6">
        <v>0</v>
      </c>
      <c r="Q468" s="4" t="s">
        <v>26</v>
      </c>
      <c r="R468" s="4">
        <v>0</v>
      </c>
      <c r="S468" s="4" t="s">
        <v>220</v>
      </c>
      <c r="T468" s="4" t="s">
        <v>341</v>
      </c>
      <c r="U468" s="4">
        <v>0</v>
      </c>
      <c r="V468" s="4">
        <v>12</v>
      </c>
      <c r="W468" s="4">
        <v>66</v>
      </c>
    </row>
    <row r="469" spans="1:23" ht="11.25" customHeight="1" x14ac:dyDescent="0.25">
      <c r="A469" s="4" t="s">
        <v>28</v>
      </c>
      <c r="B469" s="4" t="s">
        <v>35</v>
      </c>
      <c r="C469" s="4" t="s">
        <v>39</v>
      </c>
      <c r="D469" s="4" t="s">
        <v>34</v>
      </c>
      <c r="E469" s="4" t="s">
        <v>25</v>
      </c>
      <c r="F469" s="4" t="s">
        <v>25</v>
      </c>
      <c r="G469" s="4" t="s">
        <v>25</v>
      </c>
      <c r="H469" s="4" t="s">
        <v>37</v>
      </c>
      <c r="I469" s="5">
        <v>44682</v>
      </c>
      <c r="J469" s="6">
        <v>0</v>
      </c>
      <c r="K469" s="6">
        <v>0</v>
      </c>
      <c r="L469" s="6">
        <v>29.966000000000001</v>
      </c>
      <c r="M469" s="6">
        <v>29.966000000000001</v>
      </c>
      <c r="N469" s="6">
        <v>29.966000000000001</v>
      </c>
      <c r="O469" s="6">
        <v>29.966000000000001</v>
      </c>
      <c r="P469" s="6">
        <v>0</v>
      </c>
      <c r="Q469" s="4" t="s">
        <v>26</v>
      </c>
      <c r="R469" s="4">
        <v>0</v>
      </c>
      <c r="S469" s="4" t="s">
        <v>220</v>
      </c>
      <c r="T469" s="4" t="s">
        <v>341</v>
      </c>
      <c r="U469" s="4">
        <v>0</v>
      </c>
      <c r="V469" s="4">
        <v>12</v>
      </c>
      <c r="W469" s="4">
        <v>66</v>
      </c>
    </row>
    <row r="470" spans="1:23" ht="11.25" customHeight="1" x14ac:dyDescent="0.25">
      <c r="A470" s="4" t="s">
        <v>21</v>
      </c>
      <c r="B470" s="4" t="s">
        <v>35</v>
      </c>
      <c r="C470" s="4" t="s">
        <v>39</v>
      </c>
      <c r="D470" s="4" t="s">
        <v>34</v>
      </c>
      <c r="E470" s="4" t="s">
        <v>25</v>
      </c>
      <c r="F470" s="4" t="s">
        <v>25</v>
      </c>
      <c r="G470" s="4" t="s">
        <v>25</v>
      </c>
      <c r="H470" s="4" t="s">
        <v>37</v>
      </c>
      <c r="I470" s="5">
        <v>44713</v>
      </c>
      <c r="J470" s="6">
        <v>0</v>
      </c>
      <c r="K470" s="6">
        <v>0</v>
      </c>
      <c r="L470" s="6">
        <v>228.393</v>
      </c>
      <c r="M470" s="6">
        <v>228.393</v>
      </c>
      <c r="N470" s="6">
        <v>228.393</v>
      </c>
      <c r="O470" s="6">
        <v>228.393</v>
      </c>
      <c r="P470" s="6">
        <v>0</v>
      </c>
      <c r="Q470" s="4" t="s">
        <v>26</v>
      </c>
      <c r="R470" s="4">
        <v>0</v>
      </c>
      <c r="S470" s="4" t="s">
        <v>221</v>
      </c>
      <c r="T470" s="4" t="s">
        <v>342</v>
      </c>
      <c r="U470" s="4">
        <v>0</v>
      </c>
      <c r="V470" s="4">
        <v>12</v>
      </c>
      <c r="W470" s="4">
        <v>66</v>
      </c>
    </row>
    <row r="471" spans="1:23" ht="11.25" customHeight="1" x14ac:dyDescent="0.25">
      <c r="A471" s="4" t="s">
        <v>28</v>
      </c>
      <c r="B471" s="4" t="s">
        <v>35</v>
      </c>
      <c r="C471" s="4" t="s">
        <v>39</v>
      </c>
      <c r="D471" s="4" t="s">
        <v>34</v>
      </c>
      <c r="E471" s="4" t="s">
        <v>25</v>
      </c>
      <c r="F471" s="4" t="s">
        <v>25</v>
      </c>
      <c r="G471" s="4" t="s">
        <v>25</v>
      </c>
      <c r="H471" s="4" t="s">
        <v>37</v>
      </c>
      <c r="I471" s="5">
        <v>44713</v>
      </c>
      <c r="J471" s="6">
        <v>0</v>
      </c>
      <c r="K471" s="6">
        <v>0</v>
      </c>
      <c r="L471" s="6">
        <v>30.966999999999999</v>
      </c>
      <c r="M471" s="6">
        <v>30.966999999999999</v>
      </c>
      <c r="N471" s="6">
        <v>30.966999999999999</v>
      </c>
      <c r="O471" s="6">
        <v>30.966999999999999</v>
      </c>
      <c r="P471" s="6">
        <v>0</v>
      </c>
      <c r="Q471" s="4" t="s">
        <v>26</v>
      </c>
      <c r="R471" s="4">
        <v>0</v>
      </c>
      <c r="S471" s="4" t="s">
        <v>221</v>
      </c>
      <c r="T471" s="4" t="s">
        <v>342</v>
      </c>
      <c r="U471" s="4">
        <v>0</v>
      </c>
      <c r="V471" s="4">
        <v>12</v>
      </c>
      <c r="W471" s="4">
        <v>66</v>
      </c>
    </row>
    <row r="472" spans="1:23" ht="11.25" customHeight="1" x14ac:dyDescent="0.25">
      <c r="A472" s="4" t="s">
        <v>21</v>
      </c>
      <c r="B472" s="4" t="s">
        <v>35</v>
      </c>
      <c r="C472" s="4" t="s">
        <v>39</v>
      </c>
      <c r="D472" s="4" t="s">
        <v>43</v>
      </c>
      <c r="E472" s="4" t="s">
        <v>25</v>
      </c>
      <c r="F472" s="4" t="s">
        <v>25</v>
      </c>
      <c r="G472" s="4" t="s">
        <v>25</v>
      </c>
      <c r="H472" s="4" t="s">
        <v>38</v>
      </c>
      <c r="I472" s="5">
        <v>44378</v>
      </c>
      <c r="J472" s="6">
        <v>0</v>
      </c>
      <c r="K472" s="6">
        <v>0</v>
      </c>
      <c r="L472" s="6">
        <v>23.942</v>
      </c>
      <c r="M472" s="6">
        <v>23.942</v>
      </c>
      <c r="N472" s="6">
        <v>23.942</v>
      </c>
      <c r="O472" s="6">
        <v>23.942</v>
      </c>
      <c r="P472" s="6">
        <v>0</v>
      </c>
      <c r="Q472" s="4" t="s">
        <v>26</v>
      </c>
      <c r="R472" s="4">
        <v>0</v>
      </c>
      <c r="S472" s="4" t="s">
        <v>186</v>
      </c>
      <c r="T472" s="4" t="s">
        <v>319</v>
      </c>
      <c r="U472" s="4">
        <v>0</v>
      </c>
      <c r="V472" s="4">
        <v>25</v>
      </c>
      <c r="W472" s="4">
        <v>59</v>
      </c>
    </row>
    <row r="473" spans="1:23" ht="11.25" customHeight="1" x14ac:dyDescent="0.25">
      <c r="A473" s="4" t="s">
        <v>27</v>
      </c>
      <c r="B473" s="4" t="s">
        <v>35</v>
      </c>
      <c r="C473" s="4" t="s">
        <v>39</v>
      </c>
      <c r="D473" s="4" t="s">
        <v>43</v>
      </c>
      <c r="E473" s="4" t="s">
        <v>25</v>
      </c>
      <c r="F473" s="4" t="s">
        <v>25</v>
      </c>
      <c r="G473" s="4" t="s">
        <v>25</v>
      </c>
      <c r="H473" s="4" t="s">
        <v>38</v>
      </c>
      <c r="I473" s="5">
        <v>44378</v>
      </c>
      <c r="J473" s="6">
        <v>0</v>
      </c>
      <c r="K473" s="6">
        <v>0</v>
      </c>
      <c r="L473" s="6">
        <v>-4.55</v>
      </c>
      <c r="M473" s="6">
        <v>-4.55</v>
      </c>
      <c r="N473" s="6">
        <v>-4.55</v>
      </c>
      <c r="O473" s="6">
        <v>-4.55</v>
      </c>
      <c r="P473" s="6">
        <v>0</v>
      </c>
      <c r="Q473" s="4" t="s">
        <v>26</v>
      </c>
      <c r="R473" s="4">
        <v>0</v>
      </c>
      <c r="S473" s="4" t="s">
        <v>186</v>
      </c>
      <c r="T473" s="4" t="s">
        <v>319</v>
      </c>
      <c r="U473" s="4">
        <v>0</v>
      </c>
      <c r="V473" s="4">
        <v>25</v>
      </c>
      <c r="W473" s="4">
        <v>59</v>
      </c>
    </row>
    <row r="474" spans="1:23" ht="11.25" customHeight="1" x14ac:dyDescent="0.25">
      <c r="A474" s="4" t="s">
        <v>21</v>
      </c>
      <c r="B474" s="4" t="s">
        <v>35</v>
      </c>
      <c r="C474" s="4" t="s">
        <v>39</v>
      </c>
      <c r="D474" s="4" t="s">
        <v>43</v>
      </c>
      <c r="E474" s="4" t="s">
        <v>25</v>
      </c>
      <c r="F474" s="4" t="s">
        <v>25</v>
      </c>
      <c r="G474" s="4" t="s">
        <v>25</v>
      </c>
      <c r="H474" s="4" t="s">
        <v>38</v>
      </c>
      <c r="I474" s="5">
        <v>44409</v>
      </c>
      <c r="J474" s="6">
        <v>0</v>
      </c>
      <c r="K474" s="6">
        <v>0</v>
      </c>
      <c r="L474" s="6">
        <v>20.742999999999999</v>
      </c>
      <c r="M474" s="6">
        <v>20.742999999999999</v>
      </c>
      <c r="N474" s="6">
        <v>20.742999999999999</v>
      </c>
      <c r="O474" s="6">
        <v>20.742999999999999</v>
      </c>
      <c r="P474" s="6">
        <v>0</v>
      </c>
      <c r="Q474" s="4" t="s">
        <v>26</v>
      </c>
      <c r="R474" s="4">
        <v>0</v>
      </c>
      <c r="S474" s="4" t="s">
        <v>187</v>
      </c>
      <c r="T474" s="4" t="s">
        <v>320</v>
      </c>
      <c r="U474" s="4">
        <v>0</v>
      </c>
      <c r="V474" s="4">
        <v>25</v>
      </c>
      <c r="W474" s="4">
        <v>59</v>
      </c>
    </row>
    <row r="475" spans="1:23" ht="11.25" customHeight="1" x14ac:dyDescent="0.25">
      <c r="A475" s="4" t="s">
        <v>21</v>
      </c>
      <c r="B475" s="4" t="s">
        <v>35</v>
      </c>
      <c r="C475" s="4" t="s">
        <v>39</v>
      </c>
      <c r="D475" s="4" t="s">
        <v>43</v>
      </c>
      <c r="E475" s="4" t="s">
        <v>25</v>
      </c>
      <c r="F475" s="4" t="s">
        <v>25</v>
      </c>
      <c r="G475" s="4" t="s">
        <v>25</v>
      </c>
      <c r="H475" s="4" t="s">
        <v>38</v>
      </c>
      <c r="I475" s="5">
        <v>44440</v>
      </c>
      <c r="J475" s="6">
        <v>0</v>
      </c>
      <c r="K475" s="6">
        <v>0</v>
      </c>
      <c r="L475" s="6">
        <v>20.61</v>
      </c>
      <c r="M475" s="6">
        <v>20.61</v>
      </c>
      <c r="N475" s="6">
        <v>20.61</v>
      </c>
      <c r="O475" s="6">
        <v>20.61</v>
      </c>
      <c r="P475" s="6">
        <v>0</v>
      </c>
      <c r="Q475" s="4" t="s">
        <v>26</v>
      </c>
      <c r="R475" s="4">
        <v>0</v>
      </c>
      <c r="S475" s="4" t="s">
        <v>188</v>
      </c>
      <c r="T475" s="4" t="s">
        <v>321</v>
      </c>
      <c r="U475" s="4">
        <v>0</v>
      </c>
      <c r="V475" s="4">
        <v>25</v>
      </c>
      <c r="W475" s="4">
        <v>59</v>
      </c>
    </row>
    <row r="476" spans="1:23" ht="11.25" customHeight="1" x14ac:dyDescent="0.25">
      <c r="A476" s="4" t="s">
        <v>21</v>
      </c>
      <c r="B476" s="4" t="s">
        <v>35</v>
      </c>
      <c r="C476" s="4" t="s">
        <v>39</v>
      </c>
      <c r="D476" s="4" t="s">
        <v>43</v>
      </c>
      <c r="E476" s="4" t="s">
        <v>25</v>
      </c>
      <c r="F476" s="4" t="s">
        <v>25</v>
      </c>
      <c r="G476" s="4" t="s">
        <v>25</v>
      </c>
      <c r="H476" s="4" t="s">
        <v>38</v>
      </c>
      <c r="I476" s="5">
        <v>44470</v>
      </c>
      <c r="J476" s="6">
        <v>0</v>
      </c>
      <c r="K476" s="6">
        <v>0</v>
      </c>
      <c r="L476" s="6">
        <v>16.742000000000001</v>
      </c>
      <c r="M476" s="6">
        <v>16.742000000000001</v>
      </c>
      <c r="N476" s="6">
        <v>16.742000000000001</v>
      </c>
      <c r="O476" s="6">
        <v>16.742000000000001</v>
      </c>
      <c r="P476" s="6">
        <v>0</v>
      </c>
      <c r="Q476" s="4" t="s">
        <v>26</v>
      </c>
      <c r="R476" s="4">
        <v>0</v>
      </c>
      <c r="S476" s="4" t="s">
        <v>189</v>
      </c>
      <c r="T476" s="4" t="s">
        <v>322</v>
      </c>
      <c r="U476" s="4">
        <v>0</v>
      </c>
      <c r="V476" s="4">
        <v>25</v>
      </c>
      <c r="W476" s="4">
        <v>59</v>
      </c>
    </row>
    <row r="477" spans="1:23" ht="11.25" customHeight="1" x14ac:dyDescent="0.25">
      <c r="A477" s="4" t="s">
        <v>21</v>
      </c>
      <c r="B477" s="4" t="s">
        <v>35</v>
      </c>
      <c r="C477" s="4" t="s">
        <v>39</v>
      </c>
      <c r="D477" s="4" t="s">
        <v>43</v>
      </c>
      <c r="E477" s="4" t="s">
        <v>25</v>
      </c>
      <c r="F477" s="4" t="s">
        <v>25</v>
      </c>
      <c r="G477" s="4" t="s">
        <v>25</v>
      </c>
      <c r="H477" s="4" t="s">
        <v>38</v>
      </c>
      <c r="I477" s="5">
        <v>44501</v>
      </c>
      <c r="J477" s="6">
        <v>0</v>
      </c>
      <c r="K477" s="6">
        <v>0</v>
      </c>
      <c r="L477" s="6">
        <v>19.446000000000002</v>
      </c>
      <c r="M477" s="6">
        <v>19.446000000000002</v>
      </c>
      <c r="N477" s="6">
        <v>19.446000000000002</v>
      </c>
      <c r="O477" s="6">
        <v>19.446000000000002</v>
      </c>
      <c r="P477" s="6">
        <v>0</v>
      </c>
      <c r="Q477" s="4" t="s">
        <v>26</v>
      </c>
      <c r="R477" s="4">
        <v>0</v>
      </c>
      <c r="S477" s="4" t="s">
        <v>190</v>
      </c>
      <c r="T477" s="4" t="s">
        <v>323</v>
      </c>
      <c r="U477" s="4">
        <v>0</v>
      </c>
      <c r="V477" s="4">
        <v>25</v>
      </c>
      <c r="W477" s="4">
        <v>59</v>
      </c>
    </row>
    <row r="478" spans="1:23" ht="11.25" customHeight="1" x14ac:dyDescent="0.25">
      <c r="A478" s="4" t="s">
        <v>21</v>
      </c>
      <c r="B478" s="4" t="s">
        <v>35</v>
      </c>
      <c r="C478" s="4" t="s">
        <v>39</v>
      </c>
      <c r="D478" s="4" t="s">
        <v>43</v>
      </c>
      <c r="E478" s="4" t="s">
        <v>25</v>
      </c>
      <c r="F478" s="4" t="s">
        <v>25</v>
      </c>
      <c r="G478" s="4" t="s">
        <v>25</v>
      </c>
      <c r="H478" s="4" t="s">
        <v>38</v>
      </c>
      <c r="I478" s="5">
        <v>44531</v>
      </c>
      <c r="J478" s="6">
        <v>0</v>
      </c>
      <c r="K478" s="6">
        <v>0</v>
      </c>
      <c r="L478" s="6">
        <v>21.465</v>
      </c>
      <c r="M478" s="6">
        <v>21.465</v>
      </c>
      <c r="N478" s="6">
        <v>21.465</v>
      </c>
      <c r="O478" s="6">
        <v>21.465</v>
      </c>
      <c r="P478" s="6">
        <v>0</v>
      </c>
      <c r="Q478" s="4" t="s">
        <v>26</v>
      </c>
      <c r="R478" s="4">
        <v>0</v>
      </c>
      <c r="S478" s="4" t="s">
        <v>191</v>
      </c>
      <c r="T478" s="4" t="s">
        <v>324</v>
      </c>
      <c r="U478" s="4">
        <v>0</v>
      </c>
      <c r="V478" s="4">
        <v>25</v>
      </c>
      <c r="W478" s="4">
        <v>59</v>
      </c>
    </row>
    <row r="479" spans="1:23" ht="11.25" customHeight="1" x14ac:dyDescent="0.25">
      <c r="A479" s="4" t="s">
        <v>21</v>
      </c>
      <c r="B479" s="4" t="s">
        <v>35</v>
      </c>
      <c r="C479" s="4" t="s">
        <v>39</v>
      </c>
      <c r="D479" s="4" t="s">
        <v>43</v>
      </c>
      <c r="E479" s="4" t="s">
        <v>25</v>
      </c>
      <c r="F479" s="4" t="s">
        <v>25</v>
      </c>
      <c r="G479" s="4" t="s">
        <v>25</v>
      </c>
      <c r="H479" s="4" t="s">
        <v>38</v>
      </c>
      <c r="I479" s="5">
        <v>44562</v>
      </c>
      <c r="J479" s="6">
        <v>0</v>
      </c>
      <c r="K479" s="6">
        <v>0</v>
      </c>
      <c r="L479" s="6">
        <v>20.318000000000001</v>
      </c>
      <c r="M479" s="6">
        <v>20.318000000000001</v>
      </c>
      <c r="N479" s="6">
        <v>20.318000000000001</v>
      </c>
      <c r="O479" s="6">
        <v>20.318000000000001</v>
      </c>
      <c r="P479" s="6">
        <v>0</v>
      </c>
      <c r="Q479" s="4" t="s">
        <v>26</v>
      </c>
      <c r="R479" s="4">
        <v>0</v>
      </c>
      <c r="S479" s="4" t="s">
        <v>192</v>
      </c>
      <c r="T479" s="4" t="s">
        <v>325</v>
      </c>
      <c r="U479" s="4">
        <v>0</v>
      </c>
      <c r="V479" s="4">
        <v>25</v>
      </c>
      <c r="W479" s="4">
        <v>59</v>
      </c>
    </row>
    <row r="480" spans="1:23" ht="11.25" customHeight="1" x14ac:dyDescent="0.25">
      <c r="A480" s="4" t="s">
        <v>21</v>
      </c>
      <c r="B480" s="4" t="s">
        <v>35</v>
      </c>
      <c r="C480" s="4" t="s">
        <v>39</v>
      </c>
      <c r="D480" s="4" t="s">
        <v>43</v>
      </c>
      <c r="E480" s="4" t="s">
        <v>25</v>
      </c>
      <c r="F480" s="4" t="s">
        <v>25</v>
      </c>
      <c r="G480" s="4" t="s">
        <v>25</v>
      </c>
      <c r="H480" s="4" t="s">
        <v>38</v>
      </c>
      <c r="I480" s="5">
        <v>44593</v>
      </c>
      <c r="J480" s="6">
        <v>0</v>
      </c>
      <c r="K480" s="6">
        <v>0</v>
      </c>
      <c r="L480" s="6">
        <v>5.444</v>
      </c>
      <c r="M480" s="6">
        <v>5.444</v>
      </c>
      <c r="N480" s="6">
        <v>5.444</v>
      </c>
      <c r="O480" s="6">
        <v>5.444</v>
      </c>
      <c r="P480" s="6">
        <v>0</v>
      </c>
      <c r="Q480" s="4" t="s">
        <v>26</v>
      </c>
      <c r="R480" s="4">
        <v>0</v>
      </c>
      <c r="S480" s="4" t="s">
        <v>193</v>
      </c>
      <c r="T480" s="4" t="s">
        <v>326</v>
      </c>
      <c r="U480" s="4">
        <v>0</v>
      </c>
      <c r="V480" s="4">
        <v>25</v>
      </c>
      <c r="W480" s="4">
        <v>59</v>
      </c>
    </row>
    <row r="481" spans="1:23" ht="11.25" customHeight="1" x14ac:dyDescent="0.25">
      <c r="A481" s="4" t="s">
        <v>21</v>
      </c>
      <c r="B481" s="4" t="s">
        <v>35</v>
      </c>
      <c r="C481" s="4" t="s">
        <v>39</v>
      </c>
      <c r="D481" s="4" t="s">
        <v>43</v>
      </c>
      <c r="E481" s="4" t="s">
        <v>25</v>
      </c>
      <c r="F481" s="4" t="s">
        <v>25</v>
      </c>
      <c r="G481" s="4" t="s">
        <v>25</v>
      </c>
      <c r="H481" s="4" t="s">
        <v>38</v>
      </c>
      <c r="I481" s="5">
        <v>44621</v>
      </c>
      <c r="J481" s="6">
        <v>0</v>
      </c>
      <c r="K481" s="6">
        <v>0</v>
      </c>
      <c r="L481" s="6">
        <v>7.0119999999999996</v>
      </c>
      <c r="M481" s="6">
        <v>7.0119999999999996</v>
      </c>
      <c r="N481" s="6">
        <v>7.0119999999999996</v>
      </c>
      <c r="O481" s="6">
        <v>7.0119999999999996</v>
      </c>
      <c r="P481" s="6">
        <v>0</v>
      </c>
      <c r="Q481" s="4" t="s">
        <v>26</v>
      </c>
      <c r="R481" s="4">
        <v>0</v>
      </c>
      <c r="S481" s="4" t="s">
        <v>194</v>
      </c>
      <c r="T481" s="4" t="s">
        <v>327</v>
      </c>
      <c r="U481" s="4">
        <v>0</v>
      </c>
      <c r="V481" s="4">
        <v>25</v>
      </c>
      <c r="W481" s="4">
        <v>59</v>
      </c>
    </row>
    <row r="482" spans="1:23" ht="11.25" customHeight="1" x14ac:dyDescent="0.25">
      <c r="A482" s="4" t="s">
        <v>27</v>
      </c>
      <c r="B482" s="4" t="s">
        <v>35</v>
      </c>
      <c r="C482" s="4" t="s">
        <v>39</v>
      </c>
      <c r="D482" s="4" t="s">
        <v>43</v>
      </c>
      <c r="E482" s="4" t="s">
        <v>25</v>
      </c>
      <c r="F482" s="4" t="s">
        <v>25</v>
      </c>
      <c r="G482" s="4" t="s">
        <v>25</v>
      </c>
      <c r="H482" s="4" t="s">
        <v>38</v>
      </c>
      <c r="I482" s="5">
        <v>44621</v>
      </c>
      <c r="J482" s="6">
        <v>0</v>
      </c>
      <c r="K482" s="6">
        <v>0</v>
      </c>
      <c r="L482" s="6">
        <v>-0.11</v>
      </c>
      <c r="M482" s="6">
        <v>-0.11</v>
      </c>
      <c r="N482" s="6">
        <v>-0.11</v>
      </c>
      <c r="O482" s="6">
        <v>-0.11</v>
      </c>
      <c r="P482" s="6">
        <v>0</v>
      </c>
      <c r="Q482" s="4" t="s">
        <v>26</v>
      </c>
      <c r="R482" s="4">
        <v>0</v>
      </c>
      <c r="S482" s="4" t="s">
        <v>194</v>
      </c>
      <c r="T482" s="4" t="s">
        <v>327</v>
      </c>
      <c r="U482" s="4">
        <v>0</v>
      </c>
      <c r="V482" s="4">
        <v>25</v>
      </c>
      <c r="W482" s="4">
        <v>59</v>
      </c>
    </row>
    <row r="483" spans="1:23" ht="11.25" customHeight="1" x14ac:dyDescent="0.25">
      <c r="A483" s="4" t="s">
        <v>21</v>
      </c>
      <c r="B483" s="4" t="s">
        <v>35</v>
      </c>
      <c r="C483" s="4" t="s">
        <v>39</v>
      </c>
      <c r="D483" s="4" t="s">
        <v>43</v>
      </c>
      <c r="E483" s="4" t="s">
        <v>25</v>
      </c>
      <c r="F483" s="4" t="s">
        <v>25</v>
      </c>
      <c r="G483" s="4" t="s">
        <v>25</v>
      </c>
      <c r="H483" s="4" t="s">
        <v>38</v>
      </c>
      <c r="I483" s="5">
        <v>44652</v>
      </c>
      <c r="J483" s="6">
        <v>0</v>
      </c>
      <c r="K483" s="6">
        <v>0</v>
      </c>
      <c r="L483" s="6">
        <v>10.518000000000001</v>
      </c>
      <c r="M483" s="6">
        <v>10.518000000000001</v>
      </c>
      <c r="N483" s="6">
        <v>10.518000000000001</v>
      </c>
      <c r="O483" s="6">
        <v>10.518000000000001</v>
      </c>
      <c r="P483" s="6">
        <v>0</v>
      </c>
      <c r="Q483" s="4" t="s">
        <v>26</v>
      </c>
      <c r="R483" s="4">
        <v>0</v>
      </c>
      <c r="S483" s="4" t="s">
        <v>195</v>
      </c>
      <c r="T483" s="4" t="s">
        <v>328</v>
      </c>
      <c r="U483" s="4">
        <v>0</v>
      </c>
      <c r="V483" s="4">
        <v>25</v>
      </c>
      <c r="W483" s="4">
        <v>59</v>
      </c>
    </row>
    <row r="484" spans="1:23" ht="11.25" customHeight="1" x14ac:dyDescent="0.25">
      <c r="A484" s="4" t="s">
        <v>27</v>
      </c>
      <c r="B484" s="4" t="s">
        <v>35</v>
      </c>
      <c r="C484" s="4" t="s">
        <v>39</v>
      </c>
      <c r="D484" s="4" t="s">
        <v>43</v>
      </c>
      <c r="E484" s="4" t="s">
        <v>25</v>
      </c>
      <c r="F484" s="4" t="s">
        <v>25</v>
      </c>
      <c r="G484" s="4" t="s">
        <v>25</v>
      </c>
      <c r="H484" s="4" t="s">
        <v>38</v>
      </c>
      <c r="I484" s="5">
        <v>44652</v>
      </c>
      <c r="J484" s="6">
        <v>0</v>
      </c>
      <c r="K484" s="6">
        <v>0</v>
      </c>
      <c r="L484" s="6">
        <v>-0.58399999999999996</v>
      </c>
      <c r="M484" s="6">
        <v>-0.58399999999999996</v>
      </c>
      <c r="N484" s="6">
        <v>-0.58399999999999996</v>
      </c>
      <c r="O484" s="6">
        <v>-0.58399999999999996</v>
      </c>
      <c r="P484" s="6">
        <v>0</v>
      </c>
      <c r="Q484" s="4" t="s">
        <v>26</v>
      </c>
      <c r="R484" s="4">
        <v>0</v>
      </c>
      <c r="S484" s="4" t="s">
        <v>195</v>
      </c>
      <c r="T484" s="4" t="s">
        <v>328</v>
      </c>
      <c r="U484" s="4">
        <v>0</v>
      </c>
      <c r="V484" s="4">
        <v>25</v>
      </c>
      <c r="W484" s="4">
        <v>59</v>
      </c>
    </row>
    <row r="485" spans="1:23" ht="11.25" customHeight="1" x14ac:dyDescent="0.25">
      <c r="A485" s="4" t="s">
        <v>21</v>
      </c>
      <c r="B485" s="4" t="s">
        <v>35</v>
      </c>
      <c r="C485" s="4" t="s">
        <v>39</v>
      </c>
      <c r="D485" s="4" t="s">
        <v>43</v>
      </c>
      <c r="E485" s="4" t="s">
        <v>25</v>
      </c>
      <c r="F485" s="4" t="s">
        <v>25</v>
      </c>
      <c r="G485" s="4" t="s">
        <v>25</v>
      </c>
      <c r="H485" s="4" t="s">
        <v>38</v>
      </c>
      <c r="I485" s="5">
        <v>44682</v>
      </c>
      <c r="J485" s="6">
        <v>0</v>
      </c>
      <c r="K485" s="6">
        <v>0</v>
      </c>
      <c r="L485" s="6">
        <v>9.6660000000000004</v>
      </c>
      <c r="M485" s="6">
        <v>9.6660000000000004</v>
      </c>
      <c r="N485" s="6">
        <v>9.6660000000000004</v>
      </c>
      <c r="O485" s="6">
        <v>9.6660000000000004</v>
      </c>
      <c r="P485" s="6">
        <v>0</v>
      </c>
      <c r="Q485" s="4" t="s">
        <v>26</v>
      </c>
      <c r="R485" s="4">
        <v>0</v>
      </c>
      <c r="S485" s="4" t="s">
        <v>196</v>
      </c>
      <c r="T485" s="4" t="s">
        <v>329</v>
      </c>
      <c r="U485" s="4">
        <v>0</v>
      </c>
      <c r="V485" s="4">
        <v>25</v>
      </c>
      <c r="W485" s="4">
        <v>59</v>
      </c>
    </row>
    <row r="486" spans="1:23" ht="11.25" customHeight="1" x14ac:dyDescent="0.25">
      <c r="A486" s="4" t="s">
        <v>21</v>
      </c>
      <c r="B486" s="4" t="s">
        <v>35</v>
      </c>
      <c r="C486" s="4" t="s">
        <v>39</v>
      </c>
      <c r="D486" s="4" t="s">
        <v>43</v>
      </c>
      <c r="E486" s="4" t="s">
        <v>25</v>
      </c>
      <c r="F486" s="4" t="s">
        <v>25</v>
      </c>
      <c r="G486" s="4" t="s">
        <v>25</v>
      </c>
      <c r="H486" s="4" t="s">
        <v>38</v>
      </c>
      <c r="I486" s="5">
        <v>44713</v>
      </c>
      <c r="J486" s="6">
        <v>0</v>
      </c>
      <c r="K486" s="6">
        <v>0</v>
      </c>
      <c r="L486" s="6">
        <v>12.858000000000001</v>
      </c>
      <c r="M486" s="6">
        <v>12.858000000000001</v>
      </c>
      <c r="N486" s="6">
        <v>12.858000000000001</v>
      </c>
      <c r="O486" s="6">
        <v>12.858000000000001</v>
      </c>
      <c r="P486" s="6">
        <v>0</v>
      </c>
      <c r="Q486" s="4" t="s">
        <v>26</v>
      </c>
      <c r="R486" s="4">
        <v>0</v>
      </c>
      <c r="S486" s="4" t="s">
        <v>197</v>
      </c>
      <c r="T486" s="4" t="s">
        <v>330</v>
      </c>
      <c r="U486" s="4">
        <v>0</v>
      </c>
      <c r="V486" s="4">
        <v>25</v>
      </c>
      <c r="W486" s="4">
        <v>59</v>
      </c>
    </row>
    <row r="487" spans="1:23" ht="11.25" customHeight="1" x14ac:dyDescent="0.25">
      <c r="A487" s="4" t="s">
        <v>21</v>
      </c>
      <c r="B487" s="4" t="s">
        <v>35</v>
      </c>
      <c r="C487" s="4" t="s">
        <v>39</v>
      </c>
      <c r="D487" s="4" t="s">
        <v>43</v>
      </c>
      <c r="E487" s="4" t="s">
        <v>25</v>
      </c>
      <c r="F487" s="4" t="s">
        <v>25</v>
      </c>
      <c r="G487" s="4" t="s">
        <v>25</v>
      </c>
      <c r="H487" s="4" t="s">
        <v>25</v>
      </c>
      <c r="I487" s="5">
        <v>44378</v>
      </c>
      <c r="J487" s="6">
        <v>462</v>
      </c>
      <c r="K487" s="6">
        <v>462</v>
      </c>
      <c r="L487" s="6">
        <v>0</v>
      </c>
      <c r="M487" s="6">
        <v>0</v>
      </c>
      <c r="N487" s="6">
        <v>0</v>
      </c>
      <c r="O487" s="6">
        <v>0</v>
      </c>
      <c r="P487" s="6">
        <v>5</v>
      </c>
      <c r="Q487" s="4" t="s">
        <v>26</v>
      </c>
      <c r="R487" s="4">
        <v>0</v>
      </c>
      <c r="S487" s="4" t="s">
        <v>198</v>
      </c>
      <c r="U487" s="4">
        <v>18</v>
      </c>
      <c r="V487" s="4">
        <v>0</v>
      </c>
      <c r="W487" s="4">
        <v>0</v>
      </c>
    </row>
    <row r="488" spans="1:23" ht="11.25" customHeight="1" x14ac:dyDescent="0.25">
      <c r="A488" s="4" t="s">
        <v>27</v>
      </c>
      <c r="B488" s="4" t="s">
        <v>35</v>
      </c>
      <c r="C488" s="4" t="s">
        <v>39</v>
      </c>
      <c r="D488" s="4" t="s">
        <v>43</v>
      </c>
      <c r="E488" s="4" t="s">
        <v>25</v>
      </c>
      <c r="F488" s="4" t="s">
        <v>25</v>
      </c>
      <c r="G488" s="4" t="s">
        <v>25</v>
      </c>
      <c r="H488" s="4" t="s">
        <v>25</v>
      </c>
      <c r="I488" s="5">
        <v>44378</v>
      </c>
      <c r="J488" s="6">
        <v>-130</v>
      </c>
      <c r="K488" s="6">
        <v>-130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4" t="s">
        <v>26</v>
      </c>
      <c r="R488" s="4">
        <v>0</v>
      </c>
      <c r="S488" s="4" t="s">
        <v>198</v>
      </c>
      <c r="U488" s="4">
        <v>18</v>
      </c>
      <c r="V488" s="4">
        <v>0</v>
      </c>
      <c r="W488" s="4">
        <v>0</v>
      </c>
    </row>
    <row r="489" spans="1:23" ht="11.25" customHeight="1" x14ac:dyDescent="0.25">
      <c r="A489" s="4" t="s">
        <v>21</v>
      </c>
      <c r="B489" s="4" t="s">
        <v>35</v>
      </c>
      <c r="C489" s="4" t="s">
        <v>39</v>
      </c>
      <c r="D489" s="4" t="s">
        <v>43</v>
      </c>
      <c r="E489" s="4" t="s">
        <v>25</v>
      </c>
      <c r="F489" s="4" t="s">
        <v>25</v>
      </c>
      <c r="G489" s="4" t="s">
        <v>25</v>
      </c>
      <c r="H489" s="4" t="s">
        <v>25</v>
      </c>
      <c r="I489" s="5">
        <v>44409</v>
      </c>
      <c r="J489" s="6">
        <v>333</v>
      </c>
      <c r="K489" s="6">
        <v>333</v>
      </c>
      <c r="L489" s="6">
        <v>0</v>
      </c>
      <c r="M489" s="6">
        <v>0</v>
      </c>
      <c r="N489" s="6">
        <v>0</v>
      </c>
      <c r="O489" s="6">
        <v>0</v>
      </c>
      <c r="P489" s="6">
        <v>5</v>
      </c>
      <c r="Q489" s="4" t="s">
        <v>26</v>
      </c>
      <c r="R489" s="4">
        <v>0</v>
      </c>
      <c r="S489" s="4" t="s">
        <v>199</v>
      </c>
      <c r="U489" s="4">
        <v>18</v>
      </c>
      <c r="V489" s="4">
        <v>0</v>
      </c>
      <c r="W489" s="4">
        <v>0</v>
      </c>
    </row>
    <row r="490" spans="1:23" ht="11.25" customHeight="1" x14ac:dyDescent="0.25">
      <c r="A490" s="4" t="s">
        <v>21</v>
      </c>
      <c r="B490" s="4" t="s">
        <v>35</v>
      </c>
      <c r="C490" s="4" t="s">
        <v>39</v>
      </c>
      <c r="D490" s="4" t="s">
        <v>43</v>
      </c>
      <c r="E490" s="4" t="s">
        <v>25</v>
      </c>
      <c r="F490" s="4" t="s">
        <v>25</v>
      </c>
      <c r="G490" s="4" t="s">
        <v>25</v>
      </c>
      <c r="H490" s="4" t="s">
        <v>25</v>
      </c>
      <c r="I490" s="5">
        <v>44440</v>
      </c>
      <c r="J490" s="6">
        <v>335</v>
      </c>
      <c r="K490" s="6">
        <v>335</v>
      </c>
      <c r="L490" s="6">
        <v>0</v>
      </c>
      <c r="M490" s="6">
        <v>0</v>
      </c>
      <c r="N490" s="6">
        <v>0</v>
      </c>
      <c r="O490" s="6">
        <v>0</v>
      </c>
      <c r="P490" s="6">
        <v>5</v>
      </c>
      <c r="Q490" s="4" t="s">
        <v>26</v>
      </c>
      <c r="R490" s="4">
        <v>0</v>
      </c>
      <c r="S490" s="4" t="s">
        <v>200</v>
      </c>
      <c r="U490" s="4">
        <v>18</v>
      </c>
      <c r="V490" s="4">
        <v>0</v>
      </c>
      <c r="W490" s="4">
        <v>0</v>
      </c>
    </row>
    <row r="491" spans="1:23" ht="11.25" customHeight="1" x14ac:dyDescent="0.25">
      <c r="A491" s="4" t="s">
        <v>21</v>
      </c>
      <c r="B491" s="4" t="s">
        <v>35</v>
      </c>
      <c r="C491" s="4" t="s">
        <v>39</v>
      </c>
      <c r="D491" s="4" t="s">
        <v>43</v>
      </c>
      <c r="E491" s="4" t="s">
        <v>25</v>
      </c>
      <c r="F491" s="4" t="s">
        <v>25</v>
      </c>
      <c r="G491" s="4" t="s">
        <v>25</v>
      </c>
      <c r="H491" s="4" t="s">
        <v>25</v>
      </c>
      <c r="I491" s="5">
        <v>44470</v>
      </c>
      <c r="J491" s="6">
        <v>332</v>
      </c>
      <c r="K491" s="6">
        <v>332</v>
      </c>
      <c r="L491" s="6">
        <v>0</v>
      </c>
      <c r="M491" s="6">
        <v>0</v>
      </c>
      <c r="N491" s="6">
        <v>0</v>
      </c>
      <c r="O491" s="6">
        <v>0</v>
      </c>
      <c r="P491" s="6">
        <v>5</v>
      </c>
      <c r="Q491" s="4" t="s">
        <v>26</v>
      </c>
      <c r="R491" s="4">
        <v>0</v>
      </c>
      <c r="S491" s="4" t="s">
        <v>201</v>
      </c>
      <c r="U491" s="4">
        <v>18</v>
      </c>
      <c r="V491" s="4">
        <v>0</v>
      </c>
      <c r="W491" s="4">
        <v>0</v>
      </c>
    </row>
    <row r="492" spans="1:23" ht="11.25" customHeight="1" x14ac:dyDescent="0.25">
      <c r="A492" s="4" t="s">
        <v>21</v>
      </c>
      <c r="B492" s="4" t="s">
        <v>35</v>
      </c>
      <c r="C492" s="4" t="s">
        <v>39</v>
      </c>
      <c r="D492" s="4" t="s">
        <v>43</v>
      </c>
      <c r="E492" s="4" t="s">
        <v>25</v>
      </c>
      <c r="F492" s="4" t="s">
        <v>25</v>
      </c>
      <c r="G492" s="4" t="s">
        <v>25</v>
      </c>
      <c r="H492" s="4" t="s">
        <v>25</v>
      </c>
      <c r="I492" s="5">
        <v>44501</v>
      </c>
      <c r="J492" s="6">
        <v>332</v>
      </c>
      <c r="K492" s="6">
        <v>332</v>
      </c>
      <c r="L492" s="6">
        <v>0</v>
      </c>
      <c r="M492" s="6">
        <v>0</v>
      </c>
      <c r="N492" s="6">
        <v>0</v>
      </c>
      <c r="O492" s="6">
        <v>0</v>
      </c>
      <c r="P492" s="6">
        <v>5</v>
      </c>
      <c r="Q492" s="4" t="s">
        <v>26</v>
      </c>
      <c r="R492" s="4">
        <v>0</v>
      </c>
      <c r="S492" s="4" t="s">
        <v>202</v>
      </c>
      <c r="U492" s="4">
        <v>18</v>
      </c>
      <c r="V492" s="4">
        <v>0</v>
      </c>
      <c r="W492" s="4">
        <v>0</v>
      </c>
    </row>
    <row r="493" spans="1:23" ht="11.25" customHeight="1" x14ac:dyDescent="0.25">
      <c r="A493" s="4" t="s">
        <v>21</v>
      </c>
      <c r="B493" s="4" t="s">
        <v>35</v>
      </c>
      <c r="C493" s="4" t="s">
        <v>39</v>
      </c>
      <c r="D493" s="4" t="s">
        <v>43</v>
      </c>
      <c r="E493" s="4" t="s">
        <v>25</v>
      </c>
      <c r="F493" s="4" t="s">
        <v>25</v>
      </c>
      <c r="G493" s="4" t="s">
        <v>25</v>
      </c>
      <c r="H493" s="4" t="s">
        <v>25</v>
      </c>
      <c r="I493" s="5">
        <v>44531</v>
      </c>
      <c r="J493" s="6">
        <v>339</v>
      </c>
      <c r="K493" s="6">
        <v>339</v>
      </c>
      <c r="L493" s="6">
        <v>0</v>
      </c>
      <c r="M493" s="6">
        <v>0</v>
      </c>
      <c r="N493" s="6">
        <v>0</v>
      </c>
      <c r="O493" s="6">
        <v>0</v>
      </c>
      <c r="P493" s="6">
        <v>5</v>
      </c>
      <c r="Q493" s="4" t="s">
        <v>26</v>
      </c>
      <c r="R493" s="4">
        <v>0</v>
      </c>
      <c r="S493" s="4" t="s">
        <v>203</v>
      </c>
      <c r="U493" s="4">
        <v>18</v>
      </c>
      <c r="V493" s="4">
        <v>0</v>
      </c>
      <c r="W493" s="4">
        <v>0</v>
      </c>
    </row>
    <row r="494" spans="1:23" ht="11.25" customHeight="1" x14ac:dyDescent="0.25">
      <c r="A494" s="4" t="s">
        <v>21</v>
      </c>
      <c r="B494" s="4" t="s">
        <v>35</v>
      </c>
      <c r="C494" s="4" t="s">
        <v>39</v>
      </c>
      <c r="D494" s="4" t="s">
        <v>43</v>
      </c>
      <c r="E494" s="4" t="s">
        <v>25</v>
      </c>
      <c r="F494" s="4" t="s">
        <v>25</v>
      </c>
      <c r="G494" s="4" t="s">
        <v>25</v>
      </c>
      <c r="H494" s="4" t="s">
        <v>25</v>
      </c>
      <c r="I494" s="5">
        <v>44562</v>
      </c>
      <c r="J494" s="6">
        <v>340</v>
      </c>
      <c r="K494" s="6">
        <v>340</v>
      </c>
      <c r="L494" s="6">
        <v>0</v>
      </c>
      <c r="M494" s="6">
        <v>0</v>
      </c>
      <c r="N494" s="6">
        <v>0</v>
      </c>
      <c r="O494" s="6">
        <v>0</v>
      </c>
      <c r="P494" s="6">
        <v>5</v>
      </c>
      <c r="Q494" s="4" t="s">
        <v>26</v>
      </c>
      <c r="R494" s="4">
        <v>0</v>
      </c>
      <c r="S494" s="4" t="s">
        <v>204</v>
      </c>
      <c r="U494" s="4">
        <v>18</v>
      </c>
      <c r="V494" s="4">
        <v>0</v>
      </c>
      <c r="W494" s="4">
        <v>0</v>
      </c>
    </row>
    <row r="495" spans="1:23" ht="11.25" customHeight="1" x14ac:dyDescent="0.25">
      <c r="A495" s="4" t="s">
        <v>21</v>
      </c>
      <c r="B495" s="4" t="s">
        <v>35</v>
      </c>
      <c r="C495" s="4" t="s">
        <v>39</v>
      </c>
      <c r="D495" s="4" t="s">
        <v>43</v>
      </c>
      <c r="E495" s="4" t="s">
        <v>25</v>
      </c>
      <c r="F495" s="4" t="s">
        <v>25</v>
      </c>
      <c r="G495" s="4" t="s">
        <v>25</v>
      </c>
      <c r="H495" s="4" t="s">
        <v>25</v>
      </c>
      <c r="I495" s="5">
        <v>44593</v>
      </c>
      <c r="J495" s="6">
        <v>300</v>
      </c>
      <c r="K495" s="6">
        <v>300</v>
      </c>
      <c r="L495" s="6">
        <v>0</v>
      </c>
      <c r="M495" s="6">
        <v>0</v>
      </c>
      <c r="N495" s="6">
        <v>0</v>
      </c>
      <c r="O495" s="6">
        <v>0</v>
      </c>
      <c r="P495" s="6">
        <v>4</v>
      </c>
      <c r="Q495" s="4" t="s">
        <v>26</v>
      </c>
      <c r="R495" s="4">
        <v>0</v>
      </c>
      <c r="S495" s="4" t="s">
        <v>205</v>
      </c>
      <c r="U495" s="4">
        <v>18</v>
      </c>
      <c r="V495" s="4">
        <v>0</v>
      </c>
      <c r="W495" s="4">
        <v>0</v>
      </c>
    </row>
    <row r="496" spans="1:23" ht="11.25" customHeight="1" x14ac:dyDescent="0.25">
      <c r="A496" s="4" t="s">
        <v>21</v>
      </c>
      <c r="B496" s="4" t="s">
        <v>35</v>
      </c>
      <c r="C496" s="4" t="s">
        <v>39</v>
      </c>
      <c r="D496" s="4" t="s">
        <v>43</v>
      </c>
      <c r="E496" s="4" t="s">
        <v>25</v>
      </c>
      <c r="F496" s="4" t="s">
        <v>25</v>
      </c>
      <c r="G496" s="4" t="s">
        <v>25</v>
      </c>
      <c r="H496" s="4" t="s">
        <v>25</v>
      </c>
      <c r="I496" s="5">
        <v>44621</v>
      </c>
      <c r="J496" s="6">
        <v>428</v>
      </c>
      <c r="K496" s="6">
        <v>428</v>
      </c>
      <c r="L496" s="6">
        <v>0</v>
      </c>
      <c r="M496" s="6">
        <v>0</v>
      </c>
      <c r="N496" s="6">
        <v>0</v>
      </c>
      <c r="O496" s="6">
        <v>0</v>
      </c>
      <c r="P496" s="6">
        <v>5</v>
      </c>
      <c r="Q496" s="4" t="s">
        <v>26</v>
      </c>
      <c r="R496" s="4">
        <v>0</v>
      </c>
      <c r="S496" s="4" t="s">
        <v>206</v>
      </c>
      <c r="U496" s="4">
        <v>18</v>
      </c>
      <c r="V496" s="4">
        <v>0</v>
      </c>
      <c r="W496" s="4">
        <v>0</v>
      </c>
    </row>
    <row r="497" spans="1:23" ht="11.25" customHeight="1" x14ac:dyDescent="0.25">
      <c r="A497" s="4" t="s">
        <v>27</v>
      </c>
      <c r="B497" s="4" t="s">
        <v>35</v>
      </c>
      <c r="C497" s="4" t="s">
        <v>39</v>
      </c>
      <c r="D497" s="4" t="s">
        <v>43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44621</v>
      </c>
      <c r="J497" s="6">
        <v>-128</v>
      </c>
      <c r="K497" s="6">
        <v>-128</v>
      </c>
      <c r="L497" s="6">
        <v>0</v>
      </c>
      <c r="M497" s="6">
        <v>0</v>
      </c>
      <c r="N497" s="6">
        <v>0</v>
      </c>
      <c r="O497" s="6">
        <v>0</v>
      </c>
      <c r="P497" s="6">
        <v>-1</v>
      </c>
      <c r="Q497" s="4" t="s">
        <v>26</v>
      </c>
      <c r="R497" s="4">
        <v>0</v>
      </c>
      <c r="S497" s="4" t="s">
        <v>206</v>
      </c>
      <c r="U497" s="4">
        <v>18</v>
      </c>
      <c r="V497" s="4">
        <v>0</v>
      </c>
      <c r="W497" s="4">
        <v>0</v>
      </c>
    </row>
    <row r="498" spans="1:23" ht="11.25" customHeight="1" x14ac:dyDescent="0.25">
      <c r="A498" s="4" t="s">
        <v>21</v>
      </c>
      <c r="B498" s="4" t="s">
        <v>35</v>
      </c>
      <c r="C498" s="4" t="s">
        <v>39</v>
      </c>
      <c r="D498" s="4" t="s">
        <v>43</v>
      </c>
      <c r="E498" s="4" t="s">
        <v>25</v>
      </c>
      <c r="F498" s="4" t="s">
        <v>25</v>
      </c>
      <c r="G498" s="4" t="s">
        <v>25</v>
      </c>
      <c r="H498" s="4" t="s">
        <v>25</v>
      </c>
      <c r="I498" s="5">
        <v>44652</v>
      </c>
      <c r="J498" s="6">
        <v>428</v>
      </c>
      <c r="K498" s="6">
        <v>428</v>
      </c>
      <c r="L498" s="6">
        <v>0</v>
      </c>
      <c r="M498" s="6">
        <v>0</v>
      </c>
      <c r="N498" s="6">
        <v>0</v>
      </c>
      <c r="O498" s="6">
        <v>0</v>
      </c>
      <c r="P498" s="6">
        <v>5</v>
      </c>
      <c r="Q498" s="4" t="s">
        <v>26</v>
      </c>
      <c r="R498" s="4">
        <v>0</v>
      </c>
      <c r="S498" s="4" t="s">
        <v>207</v>
      </c>
      <c r="U498" s="4">
        <v>18</v>
      </c>
      <c r="V498" s="4">
        <v>0</v>
      </c>
      <c r="W498" s="4">
        <v>0</v>
      </c>
    </row>
    <row r="499" spans="1:23" ht="11.25" customHeight="1" x14ac:dyDescent="0.25">
      <c r="A499" s="4" t="s">
        <v>27</v>
      </c>
      <c r="B499" s="4" t="s">
        <v>35</v>
      </c>
      <c r="C499" s="4" t="s">
        <v>39</v>
      </c>
      <c r="D499" s="4" t="s">
        <v>43</v>
      </c>
      <c r="E499" s="4" t="s">
        <v>25</v>
      </c>
      <c r="F499" s="4" t="s">
        <v>25</v>
      </c>
      <c r="G499" s="4" t="s">
        <v>25</v>
      </c>
      <c r="H499" s="4" t="s">
        <v>25</v>
      </c>
      <c r="I499" s="5">
        <v>44652</v>
      </c>
      <c r="J499" s="6">
        <v>-128</v>
      </c>
      <c r="K499" s="6">
        <v>-128</v>
      </c>
      <c r="L499" s="6">
        <v>0</v>
      </c>
      <c r="M499" s="6">
        <v>0</v>
      </c>
      <c r="N499" s="6">
        <v>0</v>
      </c>
      <c r="O499" s="6">
        <v>0</v>
      </c>
      <c r="P499" s="6">
        <v>-1</v>
      </c>
      <c r="Q499" s="4" t="s">
        <v>26</v>
      </c>
      <c r="R499" s="4">
        <v>0</v>
      </c>
      <c r="S499" s="4" t="s">
        <v>207</v>
      </c>
      <c r="U499" s="4">
        <v>18</v>
      </c>
      <c r="V499" s="4">
        <v>0</v>
      </c>
      <c r="W499" s="4">
        <v>0</v>
      </c>
    </row>
    <row r="500" spans="1:23" ht="11.25" customHeight="1" x14ac:dyDescent="0.25">
      <c r="A500" s="4" t="s">
        <v>21</v>
      </c>
      <c r="B500" s="4" t="s">
        <v>35</v>
      </c>
      <c r="C500" s="4" t="s">
        <v>39</v>
      </c>
      <c r="D500" s="4" t="s">
        <v>43</v>
      </c>
      <c r="E500" s="4" t="s">
        <v>25</v>
      </c>
      <c r="F500" s="4" t="s">
        <v>25</v>
      </c>
      <c r="G500" s="4" t="s">
        <v>25</v>
      </c>
      <c r="H500" s="4" t="s">
        <v>25</v>
      </c>
      <c r="I500" s="5">
        <v>44682</v>
      </c>
      <c r="J500" s="6">
        <v>300</v>
      </c>
      <c r="K500" s="6">
        <v>300</v>
      </c>
      <c r="L500" s="6">
        <v>0</v>
      </c>
      <c r="M500" s="6">
        <v>0</v>
      </c>
      <c r="N500" s="6">
        <v>0</v>
      </c>
      <c r="O500" s="6">
        <v>0</v>
      </c>
      <c r="P500" s="6">
        <v>4</v>
      </c>
      <c r="Q500" s="4" t="s">
        <v>26</v>
      </c>
      <c r="R500" s="4">
        <v>0</v>
      </c>
      <c r="S500" s="4" t="s">
        <v>208</v>
      </c>
      <c r="U500" s="4">
        <v>18</v>
      </c>
      <c r="V500" s="4">
        <v>0</v>
      </c>
      <c r="W500" s="4">
        <v>0</v>
      </c>
    </row>
    <row r="501" spans="1:23" ht="11.25" customHeight="1" x14ac:dyDescent="0.25">
      <c r="A501" s="4" t="s">
        <v>21</v>
      </c>
      <c r="B501" s="4" t="s">
        <v>35</v>
      </c>
      <c r="C501" s="4" t="s">
        <v>39</v>
      </c>
      <c r="D501" s="4" t="s">
        <v>43</v>
      </c>
      <c r="E501" s="4" t="s">
        <v>25</v>
      </c>
      <c r="F501" s="4" t="s">
        <v>25</v>
      </c>
      <c r="G501" s="4" t="s">
        <v>25</v>
      </c>
      <c r="H501" s="4" t="s">
        <v>25</v>
      </c>
      <c r="I501" s="5">
        <v>44713</v>
      </c>
      <c r="J501" s="6">
        <v>300</v>
      </c>
      <c r="K501" s="6">
        <v>300</v>
      </c>
      <c r="L501" s="6">
        <v>0</v>
      </c>
      <c r="M501" s="6">
        <v>0</v>
      </c>
      <c r="N501" s="6">
        <v>0</v>
      </c>
      <c r="O501" s="6">
        <v>0</v>
      </c>
      <c r="P501" s="6">
        <v>4</v>
      </c>
      <c r="Q501" s="4" t="s">
        <v>26</v>
      </c>
      <c r="R501" s="4">
        <v>0</v>
      </c>
      <c r="S501" s="4" t="s">
        <v>209</v>
      </c>
      <c r="U501" s="4">
        <v>18</v>
      </c>
      <c r="V501" s="4">
        <v>0</v>
      </c>
      <c r="W501" s="4">
        <v>0</v>
      </c>
    </row>
    <row r="502" spans="1:23" ht="11.25" customHeight="1" x14ac:dyDescent="0.25">
      <c r="A502" s="4" t="s">
        <v>21</v>
      </c>
      <c r="B502" s="4" t="s">
        <v>35</v>
      </c>
      <c r="C502" s="4" t="s">
        <v>39</v>
      </c>
      <c r="D502" s="4" t="s">
        <v>43</v>
      </c>
      <c r="E502" s="4" t="s">
        <v>25</v>
      </c>
      <c r="F502" s="4" t="s">
        <v>25</v>
      </c>
      <c r="G502" s="4" t="s">
        <v>25</v>
      </c>
      <c r="H502" s="4" t="s">
        <v>37</v>
      </c>
      <c r="I502" s="5">
        <v>44378</v>
      </c>
      <c r="J502" s="6">
        <v>0</v>
      </c>
      <c r="K502" s="6">
        <v>0</v>
      </c>
      <c r="L502" s="6">
        <v>1.1759999999999999</v>
      </c>
      <c r="M502" s="6">
        <v>1.1759999999999999</v>
      </c>
      <c r="N502" s="6">
        <v>1.1759999999999999</v>
      </c>
      <c r="O502" s="6">
        <v>1.1759999999999999</v>
      </c>
      <c r="P502" s="6">
        <v>0</v>
      </c>
      <c r="Q502" s="4" t="s">
        <v>26</v>
      </c>
      <c r="R502" s="4">
        <v>0</v>
      </c>
      <c r="S502" s="4" t="s">
        <v>210</v>
      </c>
      <c r="T502" s="4" t="s">
        <v>331</v>
      </c>
      <c r="U502" s="4">
        <v>0</v>
      </c>
      <c r="V502" s="4">
        <v>12</v>
      </c>
      <c r="W502" s="4">
        <v>66</v>
      </c>
    </row>
    <row r="503" spans="1:23" ht="11.25" customHeight="1" x14ac:dyDescent="0.25">
      <c r="A503" s="4" t="s">
        <v>27</v>
      </c>
      <c r="B503" s="4" t="s">
        <v>35</v>
      </c>
      <c r="C503" s="4" t="s">
        <v>39</v>
      </c>
      <c r="D503" s="4" t="s">
        <v>43</v>
      </c>
      <c r="E503" s="4" t="s">
        <v>25</v>
      </c>
      <c r="F503" s="4" t="s">
        <v>25</v>
      </c>
      <c r="G503" s="4" t="s">
        <v>25</v>
      </c>
      <c r="H503" s="4" t="s">
        <v>37</v>
      </c>
      <c r="I503" s="5">
        <v>44378</v>
      </c>
      <c r="J503" s="6">
        <v>0</v>
      </c>
      <c r="K503" s="6">
        <v>0</v>
      </c>
      <c r="L503" s="6">
        <v>-0.43099999999999999</v>
      </c>
      <c r="M503" s="6">
        <v>-0.43099999999999999</v>
      </c>
      <c r="N503" s="6">
        <v>-0.43099999999999999</v>
      </c>
      <c r="O503" s="6">
        <v>-0.43099999999999999</v>
      </c>
      <c r="P503" s="6">
        <v>0</v>
      </c>
      <c r="Q503" s="4" t="s">
        <v>26</v>
      </c>
      <c r="R503" s="4">
        <v>0</v>
      </c>
      <c r="S503" s="4" t="s">
        <v>210</v>
      </c>
      <c r="T503" s="4" t="s">
        <v>331</v>
      </c>
      <c r="U503" s="4">
        <v>0</v>
      </c>
      <c r="V503" s="4">
        <v>12</v>
      </c>
      <c r="W503" s="4">
        <v>66</v>
      </c>
    </row>
    <row r="504" spans="1:23" ht="11.25" customHeight="1" x14ac:dyDescent="0.25">
      <c r="A504" s="4" t="s">
        <v>21</v>
      </c>
      <c r="B504" s="4" t="s">
        <v>35</v>
      </c>
      <c r="C504" s="4" t="s">
        <v>39</v>
      </c>
      <c r="D504" s="4" t="s">
        <v>43</v>
      </c>
      <c r="E504" s="4" t="s">
        <v>25</v>
      </c>
      <c r="F504" s="4" t="s">
        <v>25</v>
      </c>
      <c r="G504" s="4" t="s">
        <v>25</v>
      </c>
      <c r="H504" s="4" t="s">
        <v>37</v>
      </c>
      <c r="I504" s="5">
        <v>44409</v>
      </c>
      <c r="J504" s="6">
        <v>0</v>
      </c>
      <c r="K504" s="6">
        <v>0</v>
      </c>
      <c r="L504" s="6">
        <v>1.042</v>
      </c>
      <c r="M504" s="6">
        <v>1.042</v>
      </c>
      <c r="N504" s="6">
        <v>1.042</v>
      </c>
      <c r="O504" s="6">
        <v>1.042</v>
      </c>
      <c r="P504" s="6">
        <v>0</v>
      </c>
      <c r="Q504" s="4" t="s">
        <v>26</v>
      </c>
      <c r="R504" s="4">
        <v>0</v>
      </c>
      <c r="S504" s="4" t="s">
        <v>211</v>
      </c>
      <c r="T504" s="4" t="s">
        <v>332</v>
      </c>
      <c r="U504" s="4">
        <v>0</v>
      </c>
      <c r="V504" s="4">
        <v>12</v>
      </c>
      <c r="W504" s="4">
        <v>66</v>
      </c>
    </row>
    <row r="505" spans="1:23" ht="11.25" customHeight="1" x14ac:dyDescent="0.25">
      <c r="A505" s="4" t="s">
        <v>21</v>
      </c>
      <c r="B505" s="4" t="s">
        <v>35</v>
      </c>
      <c r="C505" s="4" t="s">
        <v>39</v>
      </c>
      <c r="D505" s="4" t="s">
        <v>43</v>
      </c>
      <c r="E505" s="4" t="s">
        <v>25</v>
      </c>
      <c r="F505" s="4" t="s">
        <v>25</v>
      </c>
      <c r="G505" s="4" t="s">
        <v>25</v>
      </c>
      <c r="H505" s="4" t="s">
        <v>37</v>
      </c>
      <c r="I505" s="5">
        <v>44440</v>
      </c>
      <c r="J505" s="6">
        <v>0</v>
      </c>
      <c r="K505" s="6">
        <v>0</v>
      </c>
      <c r="L505" s="6">
        <v>0.98299999999999998</v>
      </c>
      <c r="M505" s="6">
        <v>0.98299999999999998</v>
      </c>
      <c r="N505" s="6">
        <v>0.98299999999999998</v>
      </c>
      <c r="O505" s="6">
        <v>0.98299999999999998</v>
      </c>
      <c r="P505" s="6">
        <v>0</v>
      </c>
      <c r="Q505" s="4" t="s">
        <v>26</v>
      </c>
      <c r="R505" s="4">
        <v>0</v>
      </c>
      <c r="S505" s="4" t="s">
        <v>212</v>
      </c>
      <c r="T505" s="4" t="s">
        <v>333</v>
      </c>
      <c r="U505" s="4">
        <v>0</v>
      </c>
      <c r="V505" s="4">
        <v>12</v>
      </c>
      <c r="W505" s="4">
        <v>66</v>
      </c>
    </row>
    <row r="506" spans="1:23" ht="11.25" customHeight="1" x14ac:dyDescent="0.25">
      <c r="A506" s="4" t="s">
        <v>21</v>
      </c>
      <c r="B506" s="4" t="s">
        <v>35</v>
      </c>
      <c r="C506" s="4" t="s">
        <v>39</v>
      </c>
      <c r="D506" s="4" t="s">
        <v>43</v>
      </c>
      <c r="E506" s="4" t="s">
        <v>25</v>
      </c>
      <c r="F506" s="4" t="s">
        <v>25</v>
      </c>
      <c r="G506" s="4" t="s">
        <v>25</v>
      </c>
      <c r="H506" s="4" t="s">
        <v>37</v>
      </c>
      <c r="I506" s="5">
        <v>44470</v>
      </c>
      <c r="J506" s="6">
        <v>0</v>
      </c>
      <c r="K506" s="6">
        <v>0</v>
      </c>
      <c r="L506" s="6">
        <v>0.91100000000000003</v>
      </c>
      <c r="M506" s="6">
        <v>0.91100000000000003</v>
      </c>
      <c r="N506" s="6">
        <v>0.91100000000000003</v>
      </c>
      <c r="O506" s="6">
        <v>0.91100000000000003</v>
      </c>
      <c r="P506" s="6">
        <v>0</v>
      </c>
      <c r="Q506" s="4" t="s">
        <v>26</v>
      </c>
      <c r="R506" s="4">
        <v>0</v>
      </c>
      <c r="S506" s="4" t="s">
        <v>213</v>
      </c>
      <c r="T506" s="4" t="s">
        <v>334</v>
      </c>
      <c r="U506" s="4">
        <v>0</v>
      </c>
      <c r="V506" s="4">
        <v>12</v>
      </c>
      <c r="W506" s="4">
        <v>66</v>
      </c>
    </row>
    <row r="507" spans="1:23" ht="11.25" customHeight="1" x14ac:dyDescent="0.25">
      <c r="A507" s="4" t="s">
        <v>21</v>
      </c>
      <c r="B507" s="4" t="s">
        <v>35</v>
      </c>
      <c r="C507" s="4" t="s">
        <v>39</v>
      </c>
      <c r="D507" s="4" t="s">
        <v>43</v>
      </c>
      <c r="E507" s="4" t="s">
        <v>25</v>
      </c>
      <c r="F507" s="4" t="s">
        <v>25</v>
      </c>
      <c r="G507" s="4" t="s">
        <v>25</v>
      </c>
      <c r="H507" s="4" t="s">
        <v>37</v>
      </c>
      <c r="I507" s="5">
        <v>44501</v>
      </c>
      <c r="J507" s="6">
        <v>0</v>
      </c>
      <c r="K507" s="6">
        <v>0</v>
      </c>
      <c r="L507" s="6">
        <v>0.84099999999999997</v>
      </c>
      <c r="M507" s="6">
        <v>0.84099999999999997</v>
      </c>
      <c r="N507" s="6">
        <v>0.84099999999999997</v>
      </c>
      <c r="O507" s="6">
        <v>0.84099999999999997</v>
      </c>
      <c r="P507" s="6">
        <v>0</v>
      </c>
      <c r="Q507" s="4" t="s">
        <v>26</v>
      </c>
      <c r="R507" s="4">
        <v>0</v>
      </c>
      <c r="S507" s="4" t="s">
        <v>214</v>
      </c>
      <c r="T507" s="4" t="s">
        <v>335</v>
      </c>
      <c r="U507" s="4">
        <v>0</v>
      </c>
      <c r="V507" s="4">
        <v>12</v>
      </c>
      <c r="W507" s="4">
        <v>66</v>
      </c>
    </row>
    <row r="508" spans="1:23" ht="11.25" customHeight="1" x14ac:dyDescent="0.25">
      <c r="A508" s="4" t="s">
        <v>21</v>
      </c>
      <c r="B508" s="4" t="s">
        <v>35</v>
      </c>
      <c r="C508" s="4" t="s">
        <v>39</v>
      </c>
      <c r="D508" s="4" t="s">
        <v>43</v>
      </c>
      <c r="E508" s="4" t="s">
        <v>25</v>
      </c>
      <c r="F508" s="4" t="s">
        <v>25</v>
      </c>
      <c r="G508" s="4" t="s">
        <v>25</v>
      </c>
      <c r="H508" s="4" t="s">
        <v>37</v>
      </c>
      <c r="I508" s="5">
        <v>44531</v>
      </c>
      <c r="J508" s="6">
        <v>0</v>
      </c>
      <c r="K508" s="6">
        <v>0</v>
      </c>
      <c r="L508" s="6">
        <v>0.81699999999999995</v>
      </c>
      <c r="M508" s="6">
        <v>0.81699999999999995</v>
      </c>
      <c r="N508" s="6">
        <v>0.81699999999999995</v>
      </c>
      <c r="O508" s="6">
        <v>0.81699999999999995</v>
      </c>
      <c r="P508" s="6">
        <v>0</v>
      </c>
      <c r="Q508" s="4" t="s">
        <v>26</v>
      </c>
      <c r="R508" s="4">
        <v>0</v>
      </c>
      <c r="S508" s="4" t="s">
        <v>215</v>
      </c>
      <c r="T508" s="4" t="s">
        <v>336</v>
      </c>
      <c r="U508" s="4">
        <v>0</v>
      </c>
      <c r="V508" s="4">
        <v>12</v>
      </c>
      <c r="W508" s="4">
        <v>66</v>
      </c>
    </row>
    <row r="509" spans="1:23" ht="11.25" customHeight="1" x14ac:dyDescent="0.25">
      <c r="A509" s="4" t="s">
        <v>21</v>
      </c>
      <c r="B509" s="4" t="s">
        <v>35</v>
      </c>
      <c r="C509" s="4" t="s">
        <v>39</v>
      </c>
      <c r="D509" s="4" t="s">
        <v>43</v>
      </c>
      <c r="E509" s="4" t="s">
        <v>25</v>
      </c>
      <c r="F509" s="4" t="s">
        <v>25</v>
      </c>
      <c r="G509" s="4" t="s">
        <v>25</v>
      </c>
      <c r="H509" s="4" t="s">
        <v>37</v>
      </c>
      <c r="I509" s="5">
        <v>44562</v>
      </c>
      <c r="J509" s="6">
        <v>0</v>
      </c>
      <c r="K509" s="6">
        <v>0</v>
      </c>
      <c r="L509" s="6">
        <v>0.91700000000000004</v>
      </c>
      <c r="M509" s="6">
        <v>0.91700000000000004</v>
      </c>
      <c r="N509" s="6">
        <v>0.91700000000000004</v>
      </c>
      <c r="O509" s="6">
        <v>0.91700000000000004</v>
      </c>
      <c r="P509" s="6">
        <v>0</v>
      </c>
      <c r="Q509" s="4" t="s">
        <v>26</v>
      </c>
      <c r="R509" s="4">
        <v>0</v>
      </c>
      <c r="S509" s="4" t="s">
        <v>216</v>
      </c>
      <c r="T509" s="4" t="s">
        <v>337</v>
      </c>
      <c r="U509" s="4">
        <v>0</v>
      </c>
      <c r="V509" s="4">
        <v>12</v>
      </c>
      <c r="W509" s="4">
        <v>66</v>
      </c>
    </row>
    <row r="510" spans="1:23" ht="11.25" customHeight="1" x14ac:dyDescent="0.25">
      <c r="A510" s="4" t="s">
        <v>21</v>
      </c>
      <c r="B510" s="4" t="s">
        <v>35</v>
      </c>
      <c r="C510" s="4" t="s">
        <v>39</v>
      </c>
      <c r="D510" s="4" t="s">
        <v>43</v>
      </c>
      <c r="E510" s="4" t="s">
        <v>25</v>
      </c>
      <c r="F510" s="4" t="s">
        <v>25</v>
      </c>
      <c r="G510" s="4" t="s">
        <v>25</v>
      </c>
      <c r="H510" s="4" t="s">
        <v>37</v>
      </c>
      <c r="I510" s="5">
        <v>44593</v>
      </c>
      <c r="J510" s="6">
        <v>0</v>
      </c>
      <c r="K510" s="6">
        <v>0</v>
      </c>
      <c r="L510" s="6">
        <v>0.45</v>
      </c>
      <c r="M510" s="6">
        <v>0.45</v>
      </c>
      <c r="N510" s="6">
        <v>0.45</v>
      </c>
      <c r="O510" s="6">
        <v>0.45</v>
      </c>
      <c r="P510" s="6">
        <v>0</v>
      </c>
      <c r="Q510" s="4" t="s">
        <v>26</v>
      </c>
      <c r="R510" s="4">
        <v>0</v>
      </c>
      <c r="S510" s="4" t="s">
        <v>217</v>
      </c>
      <c r="T510" s="4" t="s">
        <v>338</v>
      </c>
      <c r="U510" s="4">
        <v>0</v>
      </c>
      <c r="V510" s="4">
        <v>12</v>
      </c>
      <c r="W510" s="4">
        <v>66</v>
      </c>
    </row>
    <row r="511" spans="1:23" ht="11.25" customHeight="1" x14ac:dyDescent="0.25">
      <c r="A511" s="4" t="s">
        <v>21</v>
      </c>
      <c r="B511" s="4" t="s">
        <v>35</v>
      </c>
      <c r="C511" s="4" t="s">
        <v>39</v>
      </c>
      <c r="D511" s="4" t="s">
        <v>43</v>
      </c>
      <c r="E511" s="4" t="s">
        <v>25</v>
      </c>
      <c r="F511" s="4" t="s">
        <v>25</v>
      </c>
      <c r="G511" s="4" t="s">
        <v>25</v>
      </c>
      <c r="H511" s="4" t="s">
        <v>37</v>
      </c>
      <c r="I511" s="5">
        <v>44621</v>
      </c>
      <c r="J511" s="6">
        <v>0</v>
      </c>
      <c r="K511" s="6">
        <v>0</v>
      </c>
      <c r="L511" s="6">
        <v>0.45900000000000002</v>
      </c>
      <c r="M511" s="6">
        <v>0.45900000000000002</v>
      </c>
      <c r="N511" s="6">
        <v>0.45900000000000002</v>
      </c>
      <c r="O511" s="6">
        <v>0.45900000000000002</v>
      </c>
      <c r="P511" s="6">
        <v>0</v>
      </c>
      <c r="Q511" s="4" t="s">
        <v>26</v>
      </c>
      <c r="R511" s="4">
        <v>0</v>
      </c>
      <c r="S511" s="4" t="s">
        <v>218</v>
      </c>
      <c r="T511" s="4" t="s">
        <v>339</v>
      </c>
      <c r="U511" s="4">
        <v>0</v>
      </c>
      <c r="V511" s="4">
        <v>12</v>
      </c>
      <c r="W511" s="4">
        <v>66</v>
      </c>
    </row>
    <row r="512" spans="1:23" ht="11.25" customHeight="1" x14ac:dyDescent="0.25">
      <c r="A512" s="4" t="s">
        <v>27</v>
      </c>
      <c r="B512" s="4" t="s">
        <v>35</v>
      </c>
      <c r="C512" s="4" t="s">
        <v>39</v>
      </c>
      <c r="D512" s="4" t="s">
        <v>43</v>
      </c>
      <c r="E512" s="4" t="s">
        <v>25</v>
      </c>
      <c r="F512" s="4" t="s">
        <v>25</v>
      </c>
      <c r="G512" s="4" t="s">
        <v>25</v>
      </c>
      <c r="H512" s="4" t="s">
        <v>37</v>
      </c>
      <c r="I512" s="5">
        <v>44621</v>
      </c>
      <c r="J512" s="6">
        <v>0</v>
      </c>
      <c r="K512" s="6">
        <v>0</v>
      </c>
      <c r="L512" s="6">
        <v>-1.0999999999999999E-2</v>
      </c>
      <c r="M512" s="6">
        <v>-1.0999999999999999E-2</v>
      </c>
      <c r="N512" s="6">
        <v>-1.0999999999999999E-2</v>
      </c>
      <c r="O512" s="6">
        <v>-1.0999999999999999E-2</v>
      </c>
      <c r="P512" s="6">
        <v>0</v>
      </c>
      <c r="Q512" s="4" t="s">
        <v>26</v>
      </c>
      <c r="R512" s="4">
        <v>0</v>
      </c>
      <c r="S512" s="4" t="s">
        <v>218</v>
      </c>
      <c r="T512" s="4" t="s">
        <v>339</v>
      </c>
      <c r="U512" s="4">
        <v>0</v>
      </c>
      <c r="V512" s="4">
        <v>12</v>
      </c>
      <c r="W512" s="4">
        <v>66</v>
      </c>
    </row>
    <row r="513" spans="1:23" ht="11.25" customHeight="1" x14ac:dyDescent="0.25">
      <c r="A513" s="4" t="s">
        <v>21</v>
      </c>
      <c r="B513" s="4" t="s">
        <v>35</v>
      </c>
      <c r="C513" s="4" t="s">
        <v>39</v>
      </c>
      <c r="D513" s="4" t="s">
        <v>43</v>
      </c>
      <c r="E513" s="4" t="s">
        <v>25</v>
      </c>
      <c r="F513" s="4" t="s">
        <v>25</v>
      </c>
      <c r="G513" s="4" t="s">
        <v>25</v>
      </c>
      <c r="H513" s="4" t="s">
        <v>37</v>
      </c>
      <c r="I513" s="5">
        <v>44652</v>
      </c>
      <c r="J513" s="6">
        <v>0</v>
      </c>
      <c r="K513" s="6">
        <v>0</v>
      </c>
      <c r="L513" s="6">
        <v>0.72799999999999998</v>
      </c>
      <c r="M513" s="6">
        <v>0.72799999999999998</v>
      </c>
      <c r="N513" s="6">
        <v>0.72799999999999998</v>
      </c>
      <c r="O513" s="6">
        <v>0.72799999999999998</v>
      </c>
      <c r="P513" s="6">
        <v>0</v>
      </c>
      <c r="Q513" s="4" t="s">
        <v>26</v>
      </c>
      <c r="R513" s="4">
        <v>0</v>
      </c>
      <c r="S513" s="4" t="s">
        <v>219</v>
      </c>
      <c r="T513" s="4" t="s">
        <v>340</v>
      </c>
      <c r="U513" s="4">
        <v>0</v>
      </c>
      <c r="V513" s="4">
        <v>12</v>
      </c>
      <c r="W513" s="4">
        <v>66</v>
      </c>
    </row>
    <row r="514" spans="1:23" ht="11.25" customHeight="1" x14ac:dyDescent="0.25">
      <c r="A514" s="4" t="s">
        <v>27</v>
      </c>
      <c r="B514" s="4" t="s">
        <v>35</v>
      </c>
      <c r="C514" s="4" t="s">
        <v>39</v>
      </c>
      <c r="D514" s="4" t="s">
        <v>43</v>
      </c>
      <c r="E514" s="4" t="s">
        <v>25</v>
      </c>
      <c r="F514" s="4" t="s">
        <v>25</v>
      </c>
      <c r="G514" s="4" t="s">
        <v>25</v>
      </c>
      <c r="H514" s="4" t="s">
        <v>37</v>
      </c>
      <c r="I514" s="5">
        <v>44652</v>
      </c>
      <c r="J514" s="6">
        <v>0</v>
      </c>
      <c r="K514" s="6">
        <v>0</v>
      </c>
      <c r="L514" s="6">
        <v>-1.4999999999999999E-2</v>
      </c>
      <c r="M514" s="6">
        <v>-1.4999999999999999E-2</v>
      </c>
      <c r="N514" s="6">
        <v>-1.4999999999999999E-2</v>
      </c>
      <c r="O514" s="6">
        <v>-1.4999999999999999E-2</v>
      </c>
      <c r="P514" s="6">
        <v>0</v>
      </c>
      <c r="Q514" s="4" t="s">
        <v>26</v>
      </c>
      <c r="R514" s="4">
        <v>0</v>
      </c>
      <c r="S514" s="4" t="s">
        <v>219</v>
      </c>
      <c r="T514" s="4" t="s">
        <v>340</v>
      </c>
      <c r="U514" s="4">
        <v>0</v>
      </c>
      <c r="V514" s="4">
        <v>12</v>
      </c>
      <c r="W514" s="4">
        <v>66</v>
      </c>
    </row>
    <row r="515" spans="1:23" ht="11.25" customHeight="1" x14ac:dyDescent="0.25">
      <c r="A515" s="4" t="s">
        <v>21</v>
      </c>
      <c r="B515" s="4" t="s">
        <v>35</v>
      </c>
      <c r="C515" s="4" t="s">
        <v>39</v>
      </c>
      <c r="D515" s="4" t="s">
        <v>43</v>
      </c>
      <c r="E515" s="4" t="s">
        <v>25</v>
      </c>
      <c r="F515" s="4" t="s">
        <v>25</v>
      </c>
      <c r="G515" s="4" t="s">
        <v>25</v>
      </c>
      <c r="H515" s="4" t="s">
        <v>37</v>
      </c>
      <c r="I515" s="5">
        <v>44682</v>
      </c>
      <c r="J515" s="6">
        <v>0</v>
      </c>
      <c r="K515" s="6">
        <v>0</v>
      </c>
      <c r="L515" s="6">
        <v>0.65100000000000002</v>
      </c>
      <c r="M515" s="6">
        <v>0.65100000000000002</v>
      </c>
      <c r="N515" s="6">
        <v>0.65100000000000002</v>
      </c>
      <c r="O515" s="6">
        <v>0.65100000000000002</v>
      </c>
      <c r="P515" s="6">
        <v>0</v>
      </c>
      <c r="Q515" s="4" t="s">
        <v>26</v>
      </c>
      <c r="R515" s="4">
        <v>0</v>
      </c>
      <c r="S515" s="4" t="s">
        <v>220</v>
      </c>
      <c r="T515" s="4" t="s">
        <v>341</v>
      </c>
      <c r="U515" s="4">
        <v>0</v>
      </c>
      <c r="V515" s="4">
        <v>12</v>
      </c>
      <c r="W515" s="4">
        <v>66</v>
      </c>
    </row>
    <row r="516" spans="1:23" ht="11.25" customHeight="1" x14ac:dyDescent="0.25">
      <c r="A516" s="4" t="s">
        <v>21</v>
      </c>
      <c r="B516" s="4" t="s">
        <v>35</v>
      </c>
      <c r="C516" s="4" t="s">
        <v>39</v>
      </c>
      <c r="D516" s="4" t="s">
        <v>43</v>
      </c>
      <c r="E516" s="4" t="s">
        <v>25</v>
      </c>
      <c r="F516" s="4" t="s">
        <v>25</v>
      </c>
      <c r="G516" s="4" t="s">
        <v>25</v>
      </c>
      <c r="H516" s="4" t="s">
        <v>37</v>
      </c>
      <c r="I516" s="5">
        <v>44713</v>
      </c>
      <c r="J516" s="6">
        <v>0</v>
      </c>
      <c r="K516" s="6">
        <v>0</v>
      </c>
      <c r="L516" s="6">
        <v>0.82899999999999996</v>
      </c>
      <c r="M516" s="6">
        <v>0.82899999999999996</v>
      </c>
      <c r="N516" s="6">
        <v>0.82899999999999996</v>
      </c>
      <c r="O516" s="6">
        <v>0.82899999999999996</v>
      </c>
      <c r="P516" s="6">
        <v>0</v>
      </c>
      <c r="Q516" s="4" t="s">
        <v>26</v>
      </c>
      <c r="R516" s="4">
        <v>0</v>
      </c>
      <c r="S516" s="4" t="s">
        <v>221</v>
      </c>
      <c r="T516" s="4" t="s">
        <v>342</v>
      </c>
      <c r="U516" s="4">
        <v>0</v>
      </c>
      <c r="V516" s="4">
        <v>12</v>
      </c>
      <c r="W516" s="4">
        <v>66</v>
      </c>
    </row>
    <row r="517" spans="1:23" ht="11.25" customHeight="1" x14ac:dyDescent="0.25">
      <c r="A517" s="4" t="s">
        <v>21</v>
      </c>
      <c r="B517" s="4" t="s">
        <v>35</v>
      </c>
      <c r="C517" s="4" t="s">
        <v>39</v>
      </c>
      <c r="D517" s="4" t="s">
        <v>42</v>
      </c>
      <c r="E517" s="4" t="s">
        <v>50</v>
      </c>
      <c r="F517" s="4" t="s">
        <v>51</v>
      </c>
      <c r="G517" s="4" t="s">
        <v>25</v>
      </c>
      <c r="H517" s="4" t="s">
        <v>38</v>
      </c>
      <c r="I517" s="5">
        <v>44378</v>
      </c>
      <c r="J517" s="6">
        <v>0</v>
      </c>
      <c r="K517" s="6">
        <v>0</v>
      </c>
      <c r="L517" s="6">
        <v>123.249</v>
      </c>
      <c r="M517" s="6">
        <v>36.974699999999999</v>
      </c>
      <c r="N517" s="6">
        <v>123.249</v>
      </c>
      <c r="O517" s="6">
        <v>36.974699999999999</v>
      </c>
      <c r="P517" s="6">
        <v>0</v>
      </c>
      <c r="Q517" s="4" t="s">
        <v>26</v>
      </c>
      <c r="R517" s="4">
        <v>0</v>
      </c>
      <c r="S517" s="4" t="s">
        <v>186</v>
      </c>
      <c r="T517" s="4" t="s">
        <v>319</v>
      </c>
      <c r="U517" s="4">
        <v>0</v>
      </c>
      <c r="V517" s="4">
        <v>25</v>
      </c>
      <c r="W517" s="4">
        <v>59</v>
      </c>
    </row>
    <row r="518" spans="1:23" ht="11.25" customHeight="1" x14ac:dyDescent="0.25">
      <c r="A518" s="4" t="s">
        <v>28</v>
      </c>
      <c r="B518" s="4" t="s">
        <v>35</v>
      </c>
      <c r="C518" s="4" t="s">
        <v>39</v>
      </c>
      <c r="D518" s="4" t="s">
        <v>42</v>
      </c>
      <c r="E518" s="4" t="s">
        <v>50</v>
      </c>
      <c r="F518" s="4" t="s">
        <v>51</v>
      </c>
      <c r="G518" s="4" t="s">
        <v>25</v>
      </c>
      <c r="H518" s="4" t="s">
        <v>38</v>
      </c>
      <c r="I518" s="5">
        <v>44378</v>
      </c>
      <c r="J518" s="6">
        <v>0</v>
      </c>
      <c r="K518" s="6">
        <v>0</v>
      </c>
      <c r="L518" s="6">
        <v>0.23699999999999999</v>
      </c>
      <c r="M518" s="6">
        <v>7.1099999999999997E-2</v>
      </c>
      <c r="N518" s="6">
        <v>0.23699999999999999</v>
      </c>
      <c r="O518" s="6">
        <v>7.1099999999999997E-2</v>
      </c>
      <c r="P518" s="6">
        <v>0</v>
      </c>
      <c r="Q518" s="4" t="s">
        <v>26</v>
      </c>
      <c r="R518" s="4">
        <v>0</v>
      </c>
      <c r="S518" s="4" t="s">
        <v>186</v>
      </c>
      <c r="T518" s="4" t="s">
        <v>319</v>
      </c>
      <c r="U518" s="4">
        <v>0</v>
      </c>
      <c r="V518" s="4">
        <v>25</v>
      </c>
      <c r="W518" s="4">
        <v>59</v>
      </c>
    </row>
    <row r="519" spans="1:23" ht="11.25" customHeight="1" x14ac:dyDescent="0.25">
      <c r="A519" s="4" t="s">
        <v>21</v>
      </c>
      <c r="B519" s="4" t="s">
        <v>35</v>
      </c>
      <c r="C519" s="4" t="s">
        <v>39</v>
      </c>
      <c r="D519" s="4" t="s">
        <v>42</v>
      </c>
      <c r="E519" s="4" t="s">
        <v>50</v>
      </c>
      <c r="F519" s="4" t="s">
        <v>51</v>
      </c>
      <c r="G519" s="4" t="s">
        <v>25</v>
      </c>
      <c r="H519" s="4" t="s">
        <v>38</v>
      </c>
      <c r="I519" s="5">
        <v>44409</v>
      </c>
      <c r="J519" s="6">
        <v>0</v>
      </c>
      <c r="K519" s="6">
        <v>0</v>
      </c>
      <c r="L519" s="6">
        <v>209.07300000000001</v>
      </c>
      <c r="M519" s="6">
        <v>62.721899999999998</v>
      </c>
      <c r="N519" s="6">
        <v>209.07300000000001</v>
      </c>
      <c r="O519" s="6">
        <v>62.721899999999998</v>
      </c>
      <c r="P519" s="6">
        <v>0</v>
      </c>
      <c r="Q519" s="4" t="s">
        <v>26</v>
      </c>
      <c r="R519" s="4">
        <v>0</v>
      </c>
      <c r="S519" s="4" t="s">
        <v>187</v>
      </c>
      <c r="T519" s="4" t="s">
        <v>320</v>
      </c>
      <c r="U519" s="4">
        <v>0</v>
      </c>
      <c r="V519" s="4">
        <v>25</v>
      </c>
      <c r="W519" s="4">
        <v>59</v>
      </c>
    </row>
    <row r="520" spans="1:23" ht="11.25" customHeight="1" x14ac:dyDescent="0.25">
      <c r="A520" s="4" t="s">
        <v>28</v>
      </c>
      <c r="B520" s="4" t="s">
        <v>35</v>
      </c>
      <c r="C520" s="4" t="s">
        <v>39</v>
      </c>
      <c r="D520" s="4" t="s">
        <v>42</v>
      </c>
      <c r="E520" s="4" t="s">
        <v>50</v>
      </c>
      <c r="F520" s="4" t="s">
        <v>51</v>
      </c>
      <c r="G520" s="4" t="s">
        <v>25</v>
      </c>
      <c r="H520" s="4" t="s">
        <v>38</v>
      </c>
      <c r="I520" s="5">
        <v>44409</v>
      </c>
      <c r="J520" s="6">
        <v>0</v>
      </c>
      <c r="K520" s="6">
        <v>0</v>
      </c>
      <c r="L520" s="6">
        <v>8.3350000000000009</v>
      </c>
      <c r="M520" s="6">
        <v>2.5005000000000002</v>
      </c>
      <c r="N520" s="6">
        <v>8.3350000000000009</v>
      </c>
      <c r="O520" s="6">
        <v>2.5005000000000002</v>
      </c>
      <c r="P520" s="6">
        <v>0</v>
      </c>
      <c r="Q520" s="4" t="s">
        <v>26</v>
      </c>
      <c r="R520" s="4">
        <v>0</v>
      </c>
      <c r="S520" s="4" t="s">
        <v>187</v>
      </c>
      <c r="T520" s="4" t="s">
        <v>320</v>
      </c>
      <c r="U520" s="4">
        <v>0</v>
      </c>
      <c r="V520" s="4">
        <v>25</v>
      </c>
      <c r="W520" s="4">
        <v>59</v>
      </c>
    </row>
    <row r="521" spans="1:23" ht="11.25" customHeight="1" x14ac:dyDescent="0.25">
      <c r="A521" s="4" t="s">
        <v>21</v>
      </c>
      <c r="B521" s="4" t="s">
        <v>35</v>
      </c>
      <c r="C521" s="4" t="s">
        <v>39</v>
      </c>
      <c r="D521" s="4" t="s">
        <v>42</v>
      </c>
      <c r="E521" s="4" t="s">
        <v>50</v>
      </c>
      <c r="F521" s="4" t="s">
        <v>51</v>
      </c>
      <c r="G521" s="4" t="s">
        <v>25</v>
      </c>
      <c r="H521" s="4" t="s">
        <v>38</v>
      </c>
      <c r="I521" s="5">
        <v>44440</v>
      </c>
      <c r="J521" s="6">
        <v>0</v>
      </c>
      <c r="K521" s="6">
        <v>0</v>
      </c>
      <c r="L521" s="6">
        <v>615.45600000000002</v>
      </c>
      <c r="M521" s="6">
        <v>184.63679999999999</v>
      </c>
      <c r="N521" s="6">
        <v>615.45600000000002</v>
      </c>
      <c r="O521" s="6">
        <v>184.63679999999999</v>
      </c>
      <c r="P521" s="6">
        <v>0</v>
      </c>
      <c r="Q521" s="4" t="s">
        <v>26</v>
      </c>
      <c r="R521" s="4">
        <v>0</v>
      </c>
      <c r="S521" s="4" t="s">
        <v>188</v>
      </c>
      <c r="T521" s="4" t="s">
        <v>321</v>
      </c>
      <c r="U521" s="4">
        <v>0</v>
      </c>
      <c r="V521" s="4">
        <v>25</v>
      </c>
      <c r="W521" s="4">
        <v>59</v>
      </c>
    </row>
    <row r="522" spans="1:23" ht="11.25" customHeight="1" x14ac:dyDescent="0.25">
      <c r="A522" s="4" t="s">
        <v>28</v>
      </c>
      <c r="B522" s="4" t="s">
        <v>35</v>
      </c>
      <c r="C522" s="4" t="s">
        <v>39</v>
      </c>
      <c r="D522" s="4" t="s">
        <v>42</v>
      </c>
      <c r="E522" s="4" t="s">
        <v>50</v>
      </c>
      <c r="F522" s="4" t="s">
        <v>51</v>
      </c>
      <c r="G522" s="4" t="s">
        <v>25</v>
      </c>
      <c r="H522" s="4" t="s">
        <v>38</v>
      </c>
      <c r="I522" s="5">
        <v>44440</v>
      </c>
      <c r="J522" s="6">
        <v>0</v>
      </c>
      <c r="K522" s="6">
        <v>0</v>
      </c>
      <c r="L522" s="6">
        <v>11.565</v>
      </c>
      <c r="M522" s="6">
        <v>3.4695</v>
      </c>
      <c r="N522" s="6">
        <v>11.565</v>
      </c>
      <c r="O522" s="6">
        <v>3.4695</v>
      </c>
      <c r="P522" s="6">
        <v>0</v>
      </c>
      <c r="Q522" s="4" t="s">
        <v>26</v>
      </c>
      <c r="R522" s="4">
        <v>0</v>
      </c>
      <c r="S522" s="4" t="s">
        <v>188</v>
      </c>
      <c r="T522" s="4" t="s">
        <v>321</v>
      </c>
      <c r="U522" s="4">
        <v>0</v>
      </c>
      <c r="V522" s="4">
        <v>25</v>
      </c>
      <c r="W522" s="4">
        <v>59</v>
      </c>
    </row>
    <row r="523" spans="1:23" ht="11.25" customHeight="1" x14ac:dyDescent="0.25">
      <c r="A523" s="4" t="s">
        <v>21</v>
      </c>
      <c r="B523" s="4" t="s">
        <v>35</v>
      </c>
      <c r="C523" s="4" t="s">
        <v>39</v>
      </c>
      <c r="D523" s="4" t="s">
        <v>42</v>
      </c>
      <c r="E523" s="4" t="s">
        <v>50</v>
      </c>
      <c r="F523" s="4" t="s">
        <v>51</v>
      </c>
      <c r="G523" s="4" t="s">
        <v>25</v>
      </c>
      <c r="H523" s="4" t="s">
        <v>38</v>
      </c>
      <c r="I523" s="5">
        <v>44470</v>
      </c>
      <c r="J523" s="6">
        <v>0</v>
      </c>
      <c r="K523" s="6">
        <v>0</v>
      </c>
      <c r="L523" s="6">
        <v>315.94</v>
      </c>
      <c r="M523" s="6">
        <v>94.781999999999996</v>
      </c>
      <c r="N523" s="6">
        <v>315.94</v>
      </c>
      <c r="O523" s="6">
        <v>94.781999999999996</v>
      </c>
      <c r="P523" s="6">
        <v>0</v>
      </c>
      <c r="Q523" s="4" t="s">
        <v>26</v>
      </c>
      <c r="R523" s="4">
        <v>0</v>
      </c>
      <c r="S523" s="4" t="s">
        <v>189</v>
      </c>
      <c r="T523" s="4" t="s">
        <v>322</v>
      </c>
      <c r="U523" s="4">
        <v>0</v>
      </c>
      <c r="V523" s="4">
        <v>25</v>
      </c>
      <c r="W523" s="4">
        <v>59</v>
      </c>
    </row>
    <row r="524" spans="1:23" ht="11.25" customHeight="1" x14ac:dyDescent="0.25">
      <c r="A524" s="4" t="s">
        <v>21</v>
      </c>
      <c r="B524" s="4" t="s">
        <v>35</v>
      </c>
      <c r="C524" s="4" t="s">
        <v>39</v>
      </c>
      <c r="D524" s="4" t="s">
        <v>42</v>
      </c>
      <c r="E524" s="4" t="s">
        <v>50</v>
      </c>
      <c r="F524" s="4" t="s">
        <v>51</v>
      </c>
      <c r="G524" s="4" t="s">
        <v>25</v>
      </c>
      <c r="H524" s="4" t="s">
        <v>38</v>
      </c>
      <c r="I524" s="5">
        <v>44501</v>
      </c>
      <c r="J524" s="6">
        <v>0</v>
      </c>
      <c r="K524" s="6">
        <v>0</v>
      </c>
      <c r="L524" s="6">
        <v>584.85500000000002</v>
      </c>
      <c r="M524" s="6">
        <v>175.45650000000001</v>
      </c>
      <c r="N524" s="6">
        <v>584.85500000000002</v>
      </c>
      <c r="O524" s="6">
        <v>175.45650000000001</v>
      </c>
      <c r="P524" s="6">
        <v>0</v>
      </c>
      <c r="Q524" s="4" t="s">
        <v>26</v>
      </c>
      <c r="R524" s="4">
        <v>0</v>
      </c>
      <c r="S524" s="4" t="s">
        <v>190</v>
      </c>
      <c r="T524" s="4" t="s">
        <v>323</v>
      </c>
      <c r="U524" s="4">
        <v>0</v>
      </c>
      <c r="V524" s="4">
        <v>25</v>
      </c>
      <c r="W524" s="4">
        <v>59</v>
      </c>
    </row>
    <row r="525" spans="1:23" ht="11.25" customHeight="1" x14ac:dyDescent="0.25">
      <c r="A525" s="4" t="s">
        <v>27</v>
      </c>
      <c r="B525" s="4" t="s">
        <v>35</v>
      </c>
      <c r="C525" s="4" t="s">
        <v>39</v>
      </c>
      <c r="D525" s="4" t="s">
        <v>42</v>
      </c>
      <c r="E525" s="4" t="s">
        <v>50</v>
      </c>
      <c r="F525" s="4" t="s">
        <v>51</v>
      </c>
      <c r="G525" s="4" t="s">
        <v>25</v>
      </c>
      <c r="H525" s="4" t="s">
        <v>38</v>
      </c>
      <c r="I525" s="5">
        <v>44501</v>
      </c>
      <c r="J525" s="6">
        <v>0</v>
      </c>
      <c r="K525" s="6">
        <v>0</v>
      </c>
      <c r="L525" s="6">
        <v>-0.63300000000000001</v>
      </c>
      <c r="M525" s="6">
        <v>-0.18990000000000001</v>
      </c>
      <c r="N525" s="6">
        <v>-0.63300000000000001</v>
      </c>
      <c r="O525" s="6">
        <v>-0.18990000000000001</v>
      </c>
      <c r="P525" s="6">
        <v>0</v>
      </c>
      <c r="Q525" s="4" t="s">
        <v>26</v>
      </c>
      <c r="R525" s="4">
        <v>0</v>
      </c>
      <c r="S525" s="4" t="s">
        <v>190</v>
      </c>
      <c r="T525" s="4" t="s">
        <v>323</v>
      </c>
      <c r="U525" s="4">
        <v>0</v>
      </c>
      <c r="V525" s="4">
        <v>25</v>
      </c>
      <c r="W525" s="4">
        <v>59</v>
      </c>
    </row>
    <row r="526" spans="1:23" ht="11.25" customHeight="1" x14ac:dyDescent="0.25">
      <c r="A526" s="4" t="s">
        <v>28</v>
      </c>
      <c r="B526" s="4" t="s">
        <v>35</v>
      </c>
      <c r="C526" s="4" t="s">
        <v>39</v>
      </c>
      <c r="D526" s="4" t="s">
        <v>42</v>
      </c>
      <c r="E526" s="4" t="s">
        <v>50</v>
      </c>
      <c r="F526" s="4" t="s">
        <v>51</v>
      </c>
      <c r="G526" s="4" t="s">
        <v>25</v>
      </c>
      <c r="H526" s="4" t="s">
        <v>38</v>
      </c>
      <c r="I526" s="5">
        <v>44501</v>
      </c>
      <c r="J526" s="6">
        <v>0</v>
      </c>
      <c r="K526" s="6">
        <v>0</v>
      </c>
      <c r="L526" s="6">
        <v>9.1150000000000002</v>
      </c>
      <c r="M526" s="6">
        <v>2.7345000000000002</v>
      </c>
      <c r="N526" s="6">
        <v>9.1150000000000002</v>
      </c>
      <c r="O526" s="6">
        <v>2.7345000000000002</v>
      </c>
      <c r="P526" s="6">
        <v>0</v>
      </c>
      <c r="Q526" s="4" t="s">
        <v>26</v>
      </c>
      <c r="R526" s="4">
        <v>0</v>
      </c>
      <c r="S526" s="4" t="s">
        <v>190</v>
      </c>
      <c r="T526" s="4" t="s">
        <v>323</v>
      </c>
      <c r="U526" s="4">
        <v>0</v>
      </c>
      <c r="V526" s="4">
        <v>25</v>
      </c>
      <c r="W526" s="4">
        <v>59</v>
      </c>
    </row>
    <row r="527" spans="1:23" ht="11.25" customHeight="1" x14ac:dyDescent="0.25">
      <c r="A527" s="4" t="s">
        <v>21</v>
      </c>
      <c r="B527" s="4" t="s">
        <v>35</v>
      </c>
      <c r="C527" s="4" t="s">
        <v>39</v>
      </c>
      <c r="D527" s="4" t="s">
        <v>42</v>
      </c>
      <c r="E527" s="4" t="s">
        <v>50</v>
      </c>
      <c r="F527" s="4" t="s">
        <v>51</v>
      </c>
      <c r="G527" s="4" t="s">
        <v>25</v>
      </c>
      <c r="H527" s="4" t="s">
        <v>38</v>
      </c>
      <c r="I527" s="5">
        <v>44531</v>
      </c>
      <c r="J527" s="6">
        <v>0</v>
      </c>
      <c r="K527" s="6">
        <v>0</v>
      </c>
      <c r="L527" s="6">
        <v>5148.9059999999999</v>
      </c>
      <c r="M527" s="6">
        <v>1544.6718000000001</v>
      </c>
      <c r="N527" s="6">
        <v>5148.9059999999999</v>
      </c>
      <c r="O527" s="6">
        <v>1544.6718000000001</v>
      </c>
      <c r="P527" s="6">
        <v>0</v>
      </c>
      <c r="Q527" s="4" t="s">
        <v>26</v>
      </c>
      <c r="R527" s="4">
        <v>0</v>
      </c>
      <c r="S527" s="4" t="s">
        <v>191</v>
      </c>
      <c r="T527" s="4" t="s">
        <v>324</v>
      </c>
      <c r="U527" s="4">
        <v>0</v>
      </c>
      <c r="V527" s="4">
        <v>25</v>
      </c>
      <c r="W527" s="4">
        <v>59</v>
      </c>
    </row>
    <row r="528" spans="1:23" ht="11.25" customHeight="1" x14ac:dyDescent="0.25">
      <c r="A528" s="4" t="s">
        <v>21</v>
      </c>
      <c r="B528" s="4" t="s">
        <v>35</v>
      </c>
      <c r="C528" s="4" t="s">
        <v>39</v>
      </c>
      <c r="D528" s="4" t="s">
        <v>42</v>
      </c>
      <c r="E528" s="4" t="s">
        <v>50</v>
      </c>
      <c r="F528" s="4" t="s">
        <v>51</v>
      </c>
      <c r="G528" s="4" t="s">
        <v>25</v>
      </c>
      <c r="H528" s="4" t="s">
        <v>38</v>
      </c>
      <c r="I528" s="5">
        <v>44562</v>
      </c>
      <c r="J528" s="6">
        <v>0</v>
      </c>
      <c r="K528" s="6">
        <v>0</v>
      </c>
      <c r="L528" s="6">
        <v>6675.9070000000002</v>
      </c>
      <c r="M528" s="6">
        <v>2002.7720999999999</v>
      </c>
      <c r="N528" s="6">
        <v>6675.9070000000002</v>
      </c>
      <c r="O528" s="6">
        <v>2002.7720999999999</v>
      </c>
      <c r="P528" s="6">
        <v>0</v>
      </c>
      <c r="Q528" s="4" t="s">
        <v>26</v>
      </c>
      <c r="R528" s="4">
        <v>0</v>
      </c>
      <c r="S528" s="4" t="s">
        <v>192</v>
      </c>
      <c r="T528" s="4" t="s">
        <v>325</v>
      </c>
      <c r="U528" s="4">
        <v>0</v>
      </c>
      <c r="V528" s="4">
        <v>25</v>
      </c>
      <c r="W528" s="4">
        <v>59</v>
      </c>
    </row>
    <row r="529" spans="1:23" ht="11.25" customHeight="1" x14ac:dyDescent="0.25">
      <c r="A529" s="4" t="s">
        <v>28</v>
      </c>
      <c r="B529" s="4" t="s">
        <v>35</v>
      </c>
      <c r="C529" s="4" t="s">
        <v>39</v>
      </c>
      <c r="D529" s="4" t="s">
        <v>42</v>
      </c>
      <c r="E529" s="4" t="s">
        <v>50</v>
      </c>
      <c r="F529" s="4" t="s">
        <v>51</v>
      </c>
      <c r="G529" s="4" t="s">
        <v>25</v>
      </c>
      <c r="H529" s="4" t="s">
        <v>38</v>
      </c>
      <c r="I529" s="5">
        <v>44562</v>
      </c>
      <c r="J529" s="6">
        <v>0</v>
      </c>
      <c r="K529" s="6">
        <v>0</v>
      </c>
      <c r="L529" s="6">
        <v>181.376</v>
      </c>
      <c r="M529" s="6">
        <v>54.412799999999997</v>
      </c>
      <c r="N529" s="6">
        <v>181.376</v>
      </c>
      <c r="O529" s="6">
        <v>54.412799999999997</v>
      </c>
      <c r="P529" s="6">
        <v>0</v>
      </c>
      <c r="Q529" s="4" t="s">
        <v>26</v>
      </c>
      <c r="R529" s="4">
        <v>0</v>
      </c>
      <c r="S529" s="4" t="s">
        <v>192</v>
      </c>
      <c r="T529" s="4" t="s">
        <v>325</v>
      </c>
      <c r="U529" s="4">
        <v>0</v>
      </c>
      <c r="V529" s="4">
        <v>25</v>
      </c>
      <c r="W529" s="4">
        <v>59</v>
      </c>
    </row>
    <row r="530" spans="1:23" ht="11.25" customHeight="1" x14ac:dyDescent="0.25">
      <c r="A530" s="4" t="s">
        <v>21</v>
      </c>
      <c r="B530" s="4" t="s">
        <v>35</v>
      </c>
      <c r="C530" s="4" t="s">
        <v>39</v>
      </c>
      <c r="D530" s="4" t="s">
        <v>42</v>
      </c>
      <c r="E530" s="4" t="s">
        <v>50</v>
      </c>
      <c r="F530" s="4" t="s">
        <v>51</v>
      </c>
      <c r="G530" s="4" t="s">
        <v>25</v>
      </c>
      <c r="H530" s="4" t="s">
        <v>38</v>
      </c>
      <c r="I530" s="5">
        <v>44593</v>
      </c>
      <c r="J530" s="6">
        <v>0</v>
      </c>
      <c r="K530" s="6">
        <v>0</v>
      </c>
      <c r="L530" s="6">
        <v>5164.74</v>
      </c>
      <c r="M530" s="6">
        <v>1549.422</v>
      </c>
      <c r="N530" s="6">
        <v>5164.74</v>
      </c>
      <c r="O530" s="6">
        <v>1549.422</v>
      </c>
      <c r="P530" s="6">
        <v>0</v>
      </c>
      <c r="Q530" s="4" t="s">
        <v>26</v>
      </c>
      <c r="R530" s="4">
        <v>0</v>
      </c>
      <c r="S530" s="4" t="s">
        <v>193</v>
      </c>
      <c r="T530" s="4" t="s">
        <v>326</v>
      </c>
      <c r="U530" s="4">
        <v>0</v>
      </c>
      <c r="V530" s="4">
        <v>25</v>
      </c>
      <c r="W530" s="4">
        <v>59</v>
      </c>
    </row>
    <row r="531" spans="1:23" ht="11.25" customHeight="1" x14ac:dyDescent="0.25">
      <c r="A531" s="4" t="s">
        <v>27</v>
      </c>
      <c r="B531" s="4" t="s">
        <v>35</v>
      </c>
      <c r="C531" s="4" t="s">
        <v>39</v>
      </c>
      <c r="D531" s="4" t="s">
        <v>42</v>
      </c>
      <c r="E531" s="4" t="s">
        <v>50</v>
      </c>
      <c r="F531" s="4" t="s">
        <v>51</v>
      </c>
      <c r="G531" s="4" t="s">
        <v>25</v>
      </c>
      <c r="H531" s="4" t="s">
        <v>38</v>
      </c>
      <c r="I531" s="5">
        <v>44593</v>
      </c>
      <c r="J531" s="6">
        <v>0</v>
      </c>
      <c r="K531" s="6">
        <v>0</v>
      </c>
      <c r="L531" s="6">
        <v>-56.470999999999997</v>
      </c>
      <c r="M531" s="6">
        <v>-16.941299999999998</v>
      </c>
      <c r="N531" s="6">
        <v>-56.470999999999997</v>
      </c>
      <c r="O531" s="6">
        <v>-16.941299999999998</v>
      </c>
      <c r="P531" s="6">
        <v>0</v>
      </c>
      <c r="Q531" s="4" t="s">
        <v>26</v>
      </c>
      <c r="R531" s="4">
        <v>0</v>
      </c>
      <c r="S531" s="4" t="s">
        <v>193</v>
      </c>
      <c r="T531" s="4" t="s">
        <v>326</v>
      </c>
      <c r="U531" s="4">
        <v>0</v>
      </c>
      <c r="V531" s="4">
        <v>25</v>
      </c>
      <c r="W531" s="4">
        <v>59</v>
      </c>
    </row>
    <row r="532" spans="1:23" ht="11.25" customHeight="1" x14ac:dyDescent="0.25">
      <c r="A532" s="4" t="s">
        <v>28</v>
      </c>
      <c r="B532" s="4" t="s">
        <v>35</v>
      </c>
      <c r="C532" s="4" t="s">
        <v>39</v>
      </c>
      <c r="D532" s="4" t="s">
        <v>42</v>
      </c>
      <c r="E532" s="4" t="s">
        <v>50</v>
      </c>
      <c r="F532" s="4" t="s">
        <v>51</v>
      </c>
      <c r="G532" s="4" t="s">
        <v>25</v>
      </c>
      <c r="H532" s="4" t="s">
        <v>38</v>
      </c>
      <c r="I532" s="5">
        <v>44593</v>
      </c>
      <c r="J532" s="6">
        <v>0</v>
      </c>
      <c r="K532" s="6">
        <v>0</v>
      </c>
      <c r="L532" s="6">
        <v>157.94</v>
      </c>
      <c r="M532" s="6">
        <v>47.381999999999998</v>
      </c>
      <c r="N532" s="6">
        <v>157.94</v>
      </c>
      <c r="O532" s="6">
        <v>47.381999999999998</v>
      </c>
      <c r="P532" s="6">
        <v>0</v>
      </c>
      <c r="Q532" s="4" t="s">
        <v>26</v>
      </c>
      <c r="R532" s="4">
        <v>0</v>
      </c>
      <c r="S532" s="4" t="s">
        <v>193</v>
      </c>
      <c r="T532" s="4" t="s">
        <v>326</v>
      </c>
      <c r="U532" s="4">
        <v>0</v>
      </c>
      <c r="V532" s="4">
        <v>25</v>
      </c>
      <c r="W532" s="4">
        <v>59</v>
      </c>
    </row>
    <row r="533" spans="1:23" ht="11.25" customHeight="1" x14ac:dyDescent="0.25">
      <c r="A533" s="4" t="s">
        <v>21</v>
      </c>
      <c r="B533" s="4" t="s">
        <v>35</v>
      </c>
      <c r="C533" s="4" t="s">
        <v>39</v>
      </c>
      <c r="D533" s="4" t="s">
        <v>42</v>
      </c>
      <c r="E533" s="4" t="s">
        <v>50</v>
      </c>
      <c r="F533" s="4" t="s">
        <v>51</v>
      </c>
      <c r="G533" s="4" t="s">
        <v>25</v>
      </c>
      <c r="H533" s="4" t="s">
        <v>38</v>
      </c>
      <c r="I533" s="5">
        <v>44621</v>
      </c>
      <c r="J533" s="6">
        <v>0</v>
      </c>
      <c r="K533" s="6">
        <v>0</v>
      </c>
      <c r="L533" s="6">
        <v>3306.627</v>
      </c>
      <c r="M533" s="6">
        <v>991.98810000000003</v>
      </c>
      <c r="N533" s="6">
        <v>3306.627</v>
      </c>
      <c r="O533" s="6">
        <v>991.98810000000003</v>
      </c>
      <c r="P533" s="6">
        <v>0</v>
      </c>
      <c r="Q533" s="4" t="s">
        <v>26</v>
      </c>
      <c r="R533" s="4">
        <v>0</v>
      </c>
      <c r="S533" s="4" t="s">
        <v>194</v>
      </c>
      <c r="T533" s="4" t="s">
        <v>327</v>
      </c>
      <c r="U533" s="4">
        <v>0</v>
      </c>
      <c r="V533" s="4">
        <v>25</v>
      </c>
      <c r="W533" s="4">
        <v>59</v>
      </c>
    </row>
    <row r="534" spans="1:23" ht="11.25" customHeight="1" x14ac:dyDescent="0.25">
      <c r="A534" s="4" t="s">
        <v>27</v>
      </c>
      <c r="B534" s="4" t="s">
        <v>35</v>
      </c>
      <c r="C534" s="4" t="s">
        <v>39</v>
      </c>
      <c r="D534" s="4" t="s">
        <v>42</v>
      </c>
      <c r="E534" s="4" t="s">
        <v>50</v>
      </c>
      <c r="F534" s="4" t="s">
        <v>51</v>
      </c>
      <c r="G534" s="4" t="s">
        <v>25</v>
      </c>
      <c r="H534" s="4" t="s">
        <v>38</v>
      </c>
      <c r="I534" s="5">
        <v>44621</v>
      </c>
      <c r="J534" s="6">
        <v>0</v>
      </c>
      <c r="K534" s="6">
        <v>0</v>
      </c>
      <c r="L534" s="6">
        <v>-55.35</v>
      </c>
      <c r="M534" s="6">
        <v>-16.605</v>
      </c>
      <c r="N534" s="6">
        <v>-55.35</v>
      </c>
      <c r="O534" s="6">
        <v>-16.605</v>
      </c>
      <c r="P534" s="6">
        <v>0</v>
      </c>
      <c r="Q534" s="4" t="s">
        <v>26</v>
      </c>
      <c r="R534" s="4">
        <v>0</v>
      </c>
      <c r="S534" s="4" t="s">
        <v>194</v>
      </c>
      <c r="T534" s="4" t="s">
        <v>327</v>
      </c>
      <c r="U534" s="4">
        <v>0</v>
      </c>
      <c r="V534" s="4">
        <v>25</v>
      </c>
      <c r="W534" s="4">
        <v>59</v>
      </c>
    </row>
    <row r="535" spans="1:23" ht="11.25" customHeight="1" x14ac:dyDescent="0.25">
      <c r="A535" s="4" t="s">
        <v>28</v>
      </c>
      <c r="B535" s="4" t="s">
        <v>35</v>
      </c>
      <c r="C535" s="4" t="s">
        <v>39</v>
      </c>
      <c r="D535" s="4" t="s">
        <v>42</v>
      </c>
      <c r="E535" s="4" t="s">
        <v>50</v>
      </c>
      <c r="F535" s="4" t="s">
        <v>51</v>
      </c>
      <c r="G535" s="4" t="s">
        <v>25</v>
      </c>
      <c r="H535" s="4" t="s">
        <v>38</v>
      </c>
      <c r="I535" s="5">
        <v>44621</v>
      </c>
      <c r="J535" s="6">
        <v>0</v>
      </c>
      <c r="K535" s="6">
        <v>0</v>
      </c>
      <c r="L535" s="6">
        <v>100.608</v>
      </c>
      <c r="M535" s="6">
        <v>30.182400000000001</v>
      </c>
      <c r="N535" s="6">
        <v>100.608</v>
      </c>
      <c r="O535" s="6">
        <v>30.182400000000001</v>
      </c>
      <c r="P535" s="6">
        <v>0</v>
      </c>
      <c r="Q535" s="4" t="s">
        <v>26</v>
      </c>
      <c r="R535" s="4">
        <v>0</v>
      </c>
      <c r="S535" s="4" t="s">
        <v>194</v>
      </c>
      <c r="T535" s="4" t="s">
        <v>327</v>
      </c>
      <c r="U535" s="4">
        <v>0</v>
      </c>
      <c r="V535" s="4">
        <v>25</v>
      </c>
      <c r="W535" s="4">
        <v>59</v>
      </c>
    </row>
    <row r="536" spans="1:23" ht="11.25" customHeight="1" x14ac:dyDescent="0.25">
      <c r="A536" s="4" t="s">
        <v>21</v>
      </c>
      <c r="B536" s="4" t="s">
        <v>35</v>
      </c>
      <c r="C536" s="4" t="s">
        <v>39</v>
      </c>
      <c r="D536" s="4" t="s">
        <v>42</v>
      </c>
      <c r="E536" s="4" t="s">
        <v>50</v>
      </c>
      <c r="F536" s="4" t="s">
        <v>51</v>
      </c>
      <c r="G536" s="4" t="s">
        <v>25</v>
      </c>
      <c r="H536" s="4" t="s">
        <v>38</v>
      </c>
      <c r="I536" s="5">
        <v>44652</v>
      </c>
      <c r="J536" s="6">
        <v>0</v>
      </c>
      <c r="K536" s="6">
        <v>0</v>
      </c>
      <c r="L536" s="6">
        <v>1019.164</v>
      </c>
      <c r="M536" s="6">
        <v>305.74919999999997</v>
      </c>
      <c r="N536" s="6">
        <v>1019.164</v>
      </c>
      <c r="O536" s="6">
        <v>305.74919999999997</v>
      </c>
      <c r="P536" s="6">
        <v>0</v>
      </c>
      <c r="Q536" s="4" t="s">
        <v>26</v>
      </c>
      <c r="R536" s="4">
        <v>0</v>
      </c>
      <c r="S536" s="4" t="s">
        <v>195</v>
      </c>
      <c r="T536" s="4" t="s">
        <v>328</v>
      </c>
      <c r="U536" s="4">
        <v>0</v>
      </c>
      <c r="V536" s="4">
        <v>25</v>
      </c>
      <c r="W536" s="4">
        <v>59</v>
      </c>
    </row>
    <row r="537" spans="1:23" ht="11.25" customHeight="1" x14ac:dyDescent="0.25">
      <c r="A537" s="4" t="s">
        <v>27</v>
      </c>
      <c r="B537" s="4" t="s">
        <v>35</v>
      </c>
      <c r="C537" s="4" t="s">
        <v>39</v>
      </c>
      <c r="D537" s="4" t="s">
        <v>42</v>
      </c>
      <c r="E537" s="4" t="s">
        <v>50</v>
      </c>
      <c r="F537" s="4" t="s">
        <v>51</v>
      </c>
      <c r="G537" s="4" t="s">
        <v>25</v>
      </c>
      <c r="H537" s="4" t="s">
        <v>38</v>
      </c>
      <c r="I537" s="5">
        <v>44652</v>
      </c>
      <c r="J537" s="6">
        <v>0</v>
      </c>
      <c r="K537" s="6">
        <v>0</v>
      </c>
      <c r="L537" s="6">
        <v>-28.209</v>
      </c>
      <c r="M537" s="6">
        <v>-8.4626999999999999</v>
      </c>
      <c r="N537" s="6">
        <v>-28.209</v>
      </c>
      <c r="O537" s="6">
        <v>-8.4626999999999999</v>
      </c>
      <c r="P537" s="6">
        <v>0</v>
      </c>
      <c r="Q537" s="4" t="s">
        <v>26</v>
      </c>
      <c r="R537" s="4">
        <v>0</v>
      </c>
      <c r="S537" s="4" t="s">
        <v>195</v>
      </c>
      <c r="T537" s="4" t="s">
        <v>328</v>
      </c>
      <c r="U537" s="4">
        <v>0</v>
      </c>
      <c r="V537" s="4">
        <v>25</v>
      </c>
      <c r="W537" s="4">
        <v>59</v>
      </c>
    </row>
    <row r="538" spans="1:23" ht="11.25" customHeight="1" x14ac:dyDescent="0.25">
      <c r="A538" s="4" t="s">
        <v>28</v>
      </c>
      <c r="B538" s="4" t="s">
        <v>35</v>
      </c>
      <c r="C538" s="4" t="s">
        <v>39</v>
      </c>
      <c r="D538" s="4" t="s">
        <v>42</v>
      </c>
      <c r="E538" s="4" t="s">
        <v>50</v>
      </c>
      <c r="F538" s="4" t="s">
        <v>51</v>
      </c>
      <c r="G538" s="4" t="s">
        <v>25</v>
      </c>
      <c r="H538" s="4" t="s">
        <v>38</v>
      </c>
      <c r="I538" s="5">
        <v>44652</v>
      </c>
      <c r="J538" s="6">
        <v>0</v>
      </c>
      <c r="K538" s="6">
        <v>0</v>
      </c>
      <c r="L538" s="6">
        <v>29.965</v>
      </c>
      <c r="M538" s="6">
        <v>8.9894999999999996</v>
      </c>
      <c r="N538" s="6">
        <v>29.965</v>
      </c>
      <c r="O538" s="6">
        <v>8.9894999999999996</v>
      </c>
      <c r="P538" s="6">
        <v>0</v>
      </c>
      <c r="Q538" s="4" t="s">
        <v>26</v>
      </c>
      <c r="R538" s="4">
        <v>0</v>
      </c>
      <c r="S538" s="4" t="s">
        <v>195</v>
      </c>
      <c r="T538" s="4" t="s">
        <v>328</v>
      </c>
      <c r="U538" s="4">
        <v>0</v>
      </c>
      <c r="V538" s="4">
        <v>25</v>
      </c>
      <c r="W538" s="4">
        <v>59</v>
      </c>
    </row>
    <row r="539" spans="1:23" ht="11.25" customHeight="1" x14ac:dyDescent="0.25">
      <c r="A539" s="4" t="s">
        <v>21</v>
      </c>
      <c r="B539" s="4" t="s">
        <v>35</v>
      </c>
      <c r="C539" s="4" t="s">
        <v>39</v>
      </c>
      <c r="D539" s="4" t="s">
        <v>42</v>
      </c>
      <c r="E539" s="4" t="s">
        <v>50</v>
      </c>
      <c r="F539" s="4" t="s">
        <v>51</v>
      </c>
      <c r="G539" s="4" t="s">
        <v>25</v>
      </c>
      <c r="H539" s="4" t="s">
        <v>38</v>
      </c>
      <c r="I539" s="5">
        <v>44682</v>
      </c>
      <c r="J539" s="6">
        <v>0</v>
      </c>
      <c r="K539" s="6">
        <v>0</v>
      </c>
      <c r="L539" s="6">
        <v>369.96300000000002</v>
      </c>
      <c r="M539" s="6">
        <v>110.9889</v>
      </c>
      <c r="N539" s="6">
        <v>369.96300000000002</v>
      </c>
      <c r="O539" s="6">
        <v>110.9889</v>
      </c>
      <c r="P539" s="6">
        <v>0</v>
      </c>
      <c r="Q539" s="4" t="s">
        <v>26</v>
      </c>
      <c r="R539" s="4">
        <v>0</v>
      </c>
      <c r="S539" s="4" t="s">
        <v>196</v>
      </c>
      <c r="T539" s="4" t="s">
        <v>329</v>
      </c>
      <c r="U539" s="4">
        <v>0</v>
      </c>
      <c r="V539" s="4">
        <v>25</v>
      </c>
      <c r="W539" s="4">
        <v>59</v>
      </c>
    </row>
    <row r="540" spans="1:23" ht="11.25" customHeight="1" x14ac:dyDescent="0.25">
      <c r="A540" s="4" t="s">
        <v>27</v>
      </c>
      <c r="B540" s="4" t="s">
        <v>35</v>
      </c>
      <c r="C540" s="4" t="s">
        <v>39</v>
      </c>
      <c r="D540" s="4" t="s">
        <v>42</v>
      </c>
      <c r="E540" s="4" t="s">
        <v>50</v>
      </c>
      <c r="F540" s="4" t="s">
        <v>51</v>
      </c>
      <c r="G540" s="4" t="s">
        <v>25</v>
      </c>
      <c r="H540" s="4" t="s">
        <v>38</v>
      </c>
      <c r="I540" s="5">
        <v>44682</v>
      </c>
      <c r="J540" s="6">
        <v>0</v>
      </c>
      <c r="K540" s="6">
        <v>0</v>
      </c>
      <c r="L540" s="6">
        <v>-13.811999999999999</v>
      </c>
      <c r="M540" s="6">
        <v>-4.1436000000000002</v>
      </c>
      <c r="N540" s="6">
        <v>-13.811999999999999</v>
      </c>
      <c r="O540" s="6">
        <v>-4.1436000000000002</v>
      </c>
      <c r="P540" s="6">
        <v>0</v>
      </c>
      <c r="Q540" s="4" t="s">
        <v>26</v>
      </c>
      <c r="R540" s="4">
        <v>0</v>
      </c>
      <c r="S540" s="4" t="s">
        <v>196</v>
      </c>
      <c r="T540" s="4" t="s">
        <v>329</v>
      </c>
      <c r="U540" s="4">
        <v>0</v>
      </c>
      <c r="V540" s="4">
        <v>25</v>
      </c>
      <c r="W540" s="4">
        <v>59</v>
      </c>
    </row>
    <row r="541" spans="1:23" ht="11.25" customHeight="1" x14ac:dyDescent="0.25">
      <c r="A541" s="4" t="s">
        <v>28</v>
      </c>
      <c r="B541" s="4" t="s">
        <v>35</v>
      </c>
      <c r="C541" s="4" t="s">
        <v>39</v>
      </c>
      <c r="D541" s="4" t="s">
        <v>42</v>
      </c>
      <c r="E541" s="4" t="s">
        <v>50</v>
      </c>
      <c r="F541" s="4" t="s">
        <v>51</v>
      </c>
      <c r="G541" s="4" t="s">
        <v>25</v>
      </c>
      <c r="H541" s="4" t="s">
        <v>38</v>
      </c>
      <c r="I541" s="5">
        <v>44682</v>
      </c>
      <c r="J541" s="6">
        <v>0</v>
      </c>
      <c r="K541" s="6">
        <v>0</v>
      </c>
      <c r="L541" s="6">
        <v>1.6060000000000001</v>
      </c>
      <c r="M541" s="6">
        <v>0.48180000000000001</v>
      </c>
      <c r="N541" s="6">
        <v>1.6060000000000001</v>
      </c>
      <c r="O541" s="6">
        <v>0.48180000000000001</v>
      </c>
      <c r="P541" s="6">
        <v>0</v>
      </c>
      <c r="Q541" s="4" t="s">
        <v>26</v>
      </c>
      <c r="R541" s="4">
        <v>0</v>
      </c>
      <c r="S541" s="4" t="s">
        <v>196</v>
      </c>
      <c r="T541" s="4" t="s">
        <v>329</v>
      </c>
      <c r="U541" s="4">
        <v>0</v>
      </c>
      <c r="V541" s="4">
        <v>25</v>
      </c>
      <c r="W541" s="4">
        <v>59</v>
      </c>
    </row>
    <row r="542" spans="1:23" ht="11.25" customHeight="1" x14ac:dyDescent="0.25">
      <c r="A542" s="4" t="s">
        <v>21</v>
      </c>
      <c r="B542" s="4" t="s">
        <v>35</v>
      </c>
      <c r="C542" s="4" t="s">
        <v>39</v>
      </c>
      <c r="D542" s="4" t="s">
        <v>42</v>
      </c>
      <c r="E542" s="4" t="s">
        <v>50</v>
      </c>
      <c r="F542" s="4" t="s">
        <v>51</v>
      </c>
      <c r="G542" s="4" t="s">
        <v>25</v>
      </c>
      <c r="H542" s="4" t="s">
        <v>38</v>
      </c>
      <c r="I542" s="5">
        <v>44713</v>
      </c>
      <c r="J542" s="6">
        <v>0</v>
      </c>
      <c r="K542" s="6">
        <v>0</v>
      </c>
      <c r="L542" s="6">
        <v>253.489</v>
      </c>
      <c r="M542" s="6">
        <v>76.046700000000001</v>
      </c>
      <c r="N542" s="6">
        <v>253.489</v>
      </c>
      <c r="O542" s="6">
        <v>76.046700000000001</v>
      </c>
      <c r="P542" s="6">
        <v>0</v>
      </c>
      <c r="Q542" s="4" t="s">
        <v>26</v>
      </c>
      <c r="R542" s="4">
        <v>0</v>
      </c>
      <c r="S542" s="4" t="s">
        <v>197</v>
      </c>
      <c r="T542" s="4" t="s">
        <v>330</v>
      </c>
      <c r="U542" s="4">
        <v>0</v>
      </c>
      <c r="V542" s="4">
        <v>25</v>
      </c>
      <c r="W542" s="4">
        <v>59</v>
      </c>
    </row>
    <row r="543" spans="1:23" ht="11.25" customHeight="1" x14ac:dyDescent="0.25">
      <c r="A543" s="4" t="s">
        <v>27</v>
      </c>
      <c r="B543" s="4" t="s">
        <v>35</v>
      </c>
      <c r="C543" s="4" t="s">
        <v>39</v>
      </c>
      <c r="D543" s="4" t="s">
        <v>42</v>
      </c>
      <c r="E543" s="4" t="s">
        <v>50</v>
      </c>
      <c r="F543" s="4" t="s">
        <v>51</v>
      </c>
      <c r="G543" s="4" t="s">
        <v>25</v>
      </c>
      <c r="H543" s="4" t="s">
        <v>38</v>
      </c>
      <c r="I543" s="5">
        <v>44713</v>
      </c>
      <c r="J543" s="6">
        <v>0</v>
      </c>
      <c r="K543" s="6">
        <v>0</v>
      </c>
      <c r="L543" s="6">
        <v>-0.57899999999999996</v>
      </c>
      <c r="M543" s="6">
        <v>-0.17369999999999999</v>
      </c>
      <c r="N543" s="6">
        <v>-0.57899999999999996</v>
      </c>
      <c r="O543" s="6">
        <v>-0.17369999999999999</v>
      </c>
      <c r="P543" s="6">
        <v>0</v>
      </c>
      <c r="Q543" s="4" t="s">
        <v>26</v>
      </c>
      <c r="R543" s="4">
        <v>0</v>
      </c>
      <c r="S543" s="4" t="s">
        <v>197</v>
      </c>
      <c r="T543" s="4" t="s">
        <v>330</v>
      </c>
      <c r="U543" s="4">
        <v>0</v>
      </c>
      <c r="V543" s="4">
        <v>25</v>
      </c>
      <c r="W543" s="4">
        <v>59</v>
      </c>
    </row>
    <row r="544" spans="1:23" ht="11.25" customHeight="1" x14ac:dyDescent="0.25">
      <c r="A544" s="4" t="s">
        <v>21</v>
      </c>
      <c r="B544" s="4" t="s">
        <v>35</v>
      </c>
      <c r="C544" s="4" t="s">
        <v>39</v>
      </c>
      <c r="D544" s="4" t="s">
        <v>42</v>
      </c>
      <c r="E544" s="4" t="s">
        <v>50</v>
      </c>
      <c r="F544" s="4" t="s">
        <v>51</v>
      </c>
      <c r="G544" s="4" t="s">
        <v>25</v>
      </c>
      <c r="H544" s="4" t="s">
        <v>37</v>
      </c>
      <c r="I544" s="5">
        <v>44378</v>
      </c>
      <c r="J544" s="6">
        <v>0</v>
      </c>
      <c r="K544" s="6">
        <v>0</v>
      </c>
      <c r="L544" s="6">
        <v>15.003</v>
      </c>
      <c r="M544" s="6">
        <v>4.5008999999999997</v>
      </c>
      <c r="N544" s="6">
        <v>15.003</v>
      </c>
      <c r="O544" s="6">
        <v>4.5008999999999997</v>
      </c>
      <c r="P544" s="6">
        <v>0</v>
      </c>
      <c r="Q544" s="4" t="s">
        <v>26</v>
      </c>
      <c r="R544" s="4">
        <v>0</v>
      </c>
      <c r="S544" s="4" t="s">
        <v>210</v>
      </c>
      <c r="T544" s="4" t="s">
        <v>331</v>
      </c>
      <c r="U544" s="4">
        <v>0</v>
      </c>
      <c r="V544" s="4">
        <v>12</v>
      </c>
      <c r="W544" s="4">
        <v>66</v>
      </c>
    </row>
    <row r="545" spans="1:23" ht="11.25" customHeight="1" x14ac:dyDescent="0.25">
      <c r="A545" s="4" t="s">
        <v>21</v>
      </c>
      <c r="B545" s="4" t="s">
        <v>35</v>
      </c>
      <c r="C545" s="4" t="s">
        <v>39</v>
      </c>
      <c r="D545" s="4" t="s">
        <v>42</v>
      </c>
      <c r="E545" s="4" t="s">
        <v>50</v>
      </c>
      <c r="F545" s="4" t="s">
        <v>51</v>
      </c>
      <c r="G545" s="4" t="s">
        <v>25</v>
      </c>
      <c r="H545" s="4" t="s">
        <v>37</v>
      </c>
      <c r="I545" s="5">
        <v>44409</v>
      </c>
      <c r="J545" s="6">
        <v>0</v>
      </c>
      <c r="K545" s="6">
        <v>0</v>
      </c>
      <c r="L545" s="6">
        <v>16.64</v>
      </c>
      <c r="M545" s="6">
        <v>4.992</v>
      </c>
      <c r="N545" s="6">
        <v>16.64</v>
      </c>
      <c r="O545" s="6">
        <v>4.992</v>
      </c>
      <c r="P545" s="6">
        <v>0</v>
      </c>
      <c r="Q545" s="4" t="s">
        <v>26</v>
      </c>
      <c r="R545" s="4">
        <v>0</v>
      </c>
      <c r="S545" s="4" t="s">
        <v>211</v>
      </c>
      <c r="T545" s="4" t="s">
        <v>332</v>
      </c>
      <c r="U545" s="4">
        <v>0</v>
      </c>
      <c r="V545" s="4">
        <v>12</v>
      </c>
      <c r="W545" s="4">
        <v>66</v>
      </c>
    </row>
    <row r="546" spans="1:23" ht="11.25" customHeight="1" x14ac:dyDescent="0.25">
      <c r="A546" s="4" t="s">
        <v>28</v>
      </c>
      <c r="B546" s="4" t="s">
        <v>35</v>
      </c>
      <c r="C546" s="4" t="s">
        <v>39</v>
      </c>
      <c r="D546" s="4" t="s">
        <v>42</v>
      </c>
      <c r="E546" s="4" t="s">
        <v>50</v>
      </c>
      <c r="F546" s="4" t="s">
        <v>51</v>
      </c>
      <c r="G546" s="4" t="s">
        <v>25</v>
      </c>
      <c r="H546" s="4" t="s">
        <v>37</v>
      </c>
      <c r="I546" s="5">
        <v>44409</v>
      </c>
      <c r="J546" s="6">
        <v>0</v>
      </c>
      <c r="K546" s="6">
        <v>0</v>
      </c>
      <c r="L546" s="6">
        <v>0.32500000000000001</v>
      </c>
      <c r="M546" s="6">
        <v>9.7500000000000003E-2</v>
      </c>
      <c r="N546" s="6">
        <v>0.32500000000000001</v>
      </c>
      <c r="O546" s="6">
        <v>9.7500000000000003E-2</v>
      </c>
      <c r="P546" s="6">
        <v>0</v>
      </c>
      <c r="Q546" s="4" t="s">
        <v>26</v>
      </c>
      <c r="R546" s="4">
        <v>0</v>
      </c>
      <c r="S546" s="4" t="s">
        <v>211</v>
      </c>
      <c r="T546" s="4" t="s">
        <v>332</v>
      </c>
      <c r="U546" s="4">
        <v>0</v>
      </c>
      <c r="V546" s="4">
        <v>12</v>
      </c>
      <c r="W546" s="4">
        <v>66</v>
      </c>
    </row>
    <row r="547" spans="1:23" ht="11.25" customHeight="1" x14ac:dyDescent="0.25">
      <c r="A547" s="4" t="s">
        <v>21</v>
      </c>
      <c r="B547" s="4" t="s">
        <v>35</v>
      </c>
      <c r="C547" s="4" t="s">
        <v>39</v>
      </c>
      <c r="D547" s="4" t="s">
        <v>42</v>
      </c>
      <c r="E547" s="4" t="s">
        <v>50</v>
      </c>
      <c r="F547" s="4" t="s">
        <v>51</v>
      </c>
      <c r="G547" s="4" t="s">
        <v>25</v>
      </c>
      <c r="H547" s="4" t="s">
        <v>37</v>
      </c>
      <c r="I547" s="5">
        <v>44440</v>
      </c>
      <c r="J547" s="6">
        <v>0</v>
      </c>
      <c r="K547" s="6">
        <v>0</v>
      </c>
      <c r="L547" s="6">
        <v>21.83</v>
      </c>
      <c r="M547" s="6">
        <v>6.5490000000000004</v>
      </c>
      <c r="N547" s="6">
        <v>21.83</v>
      </c>
      <c r="O547" s="6">
        <v>6.5490000000000004</v>
      </c>
      <c r="P547" s="6">
        <v>0</v>
      </c>
      <c r="Q547" s="4" t="s">
        <v>26</v>
      </c>
      <c r="R547" s="4">
        <v>0</v>
      </c>
      <c r="S547" s="4" t="s">
        <v>212</v>
      </c>
      <c r="T547" s="4" t="s">
        <v>333</v>
      </c>
      <c r="U547" s="4">
        <v>0</v>
      </c>
      <c r="V547" s="4">
        <v>12</v>
      </c>
      <c r="W547" s="4">
        <v>66</v>
      </c>
    </row>
    <row r="548" spans="1:23" ht="11.25" customHeight="1" x14ac:dyDescent="0.25">
      <c r="A548" s="4" t="s">
        <v>28</v>
      </c>
      <c r="B548" s="4" t="s">
        <v>35</v>
      </c>
      <c r="C548" s="4" t="s">
        <v>39</v>
      </c>
      <c r="D548" s="4" t="s">
        <v>42</v>
      </c>
      <c r="E548" s="4" t="s">
        <v>50</v>
      </c>
      <c r="F548" s="4" t="s">
        <v>51</v>
      </c>
      <c r="G548" s="4" t="s">
        <v>25</v>
      </c>
      <c r="H548" s="4" t="s">
        <v>37</v>
      </c>
      <c r="I548" s="5">
        <v>44440</v>
      </c>
      <c r="J548" s="6">
        <v>0</v>
      </c>
      <c r="K548" s="6">
        <v>0</v>
      </c>
      <c r="L548" s="6">
        <v>0.42799999999999999</v>
      </c>
      <c r="M548" s="6">
        <v>0.12839999999999999</v>
      </c>
      <c r="N548" s="6">
        <v>0.42799999999999999</v>
      </c>
      <c r="O548" s="6">
        <v>0.12839999999999999</v>
      </c>
      <c r="P548" s="6">
        <v>0</v>
      </c>
      <c r="Q548" s="4" t="s">
        <v>26</v>
      </c>
      <c r="R548" s="4">
        <v>0</v>
      </c>
      <c r="S548" s="4" t="s">
        <v>212</v>
      </c>
      <c r="T548" s="4" t="s">
        <v>333</v>
      </c>
      <c r="U548" s="4">
        <v>0</v>
      </c>
      <c r="V548" s="4">
        <v>12</v>
      </c>
      <c r="W548" s="4">
        <v>66</v>
      </c>
    </row>
    <row r="549" spans="1:23" ht="11.25" customHeight="1" x14ac:dyDescent="0.25">
      <c r="A549" s="4" t="s">
        <v>21</v>
      </c>
      <c r="B549" s="4" t="s">
        <v>35</v>
      </c>
      <c r="C549" s="4" t="s">
        <v>39</v>
      </c>
      <c r="D549" s="4" t="s">
        <v>42</v>
      </c>
      <c r="E549" s="4" t="s">
        <v>50</v>
      </c>
      <c r="F549" s="4" t="s">
        <v>51</v>
      </c>
      <c r="G549" s="4" t="s">
        <v>25</v>
      </c>
      <c r="H549" s="4" t="s">
        <v>37</v>
      </c>
      <c r="I549" s="5">
        <v>44470</v>
      </c>
      <c r="J549" s="6">
        <v>0</v>
      </c>
      <c r="K549" s="6">
        <v>0</v>
      </c>
      <c r="L549" s="6">
        <v>18.888999999999999</v>
      </c>
      <c r="M549" s="6">
        <v>5.6666999999999996</v>
      </c>
      <c r="N549" s="6">
        <v>18.888999999999999</v>
      </c>
      <c r="O549" s="6">
        <v>5.6666999999999996</v>
      </c>
      <c r="P549" s="6">
        <v>0</v>
      </c>
      <c r="Q549" s="4" t="s">
        <v>26</v>
      </c>
      <c r="R549" s="4">
        <v>0</v>
      </c>
      <c r="S549" s="4" t="s">
        <v>213</v>
      </c>
      <c r="T549" s="4" t="s">
        <v>334</v>
      </c>
      <c r="U549" s="4">
        <v>0</v>
      </c>
      <c r="V549" s="4">
        <v>12</v>
      </c>
      <c r="W549" s="4">
        <v>66</v>
      </c>
    </row>
    <row r="550" spans="1:23" ht="11.25" customHeight="1" x14ac:dyDescent="0.25">
      <c r="A550" s="4" t="s">
        <v>21</v>
      </c>
      <c r="B550" s="4" t="s">
        <v>35</v>
      </c>
      <c r="C550" s="4" t="s">
        <v>39</v>
      </c>
      <c r="D550" s="4" t="s">
        <v>42</v>
      </c>
      <c r="E550" s="4" t="s">
        <v>50</v>
      </c>
      <c r="F550" s="4" t="s">
        <v>51</v>
      </c>
      <c r="G550" s="4" t="s">
        <v>25</v>
      </c>
      <c r="H550" s="4" t="s">
        <v>37</v>
      </c>
      <c r="I550" s="5">
        <v>44501</v>
      </c>
      <c r="J550" s="6">
        <v>0</v>
      </c>
      <c r="K550" s="6">
        <v>0</v>
      </c>
      <c r="L550" s="6">
        <v>20.326000000000001</v>
      </c>
      <c r="M550" s="6">
        <v>6.0978000000000003</v>
      </c>
      <c r="N550" s="6">
        <v>20.326000000000001</v>
      </c>
      <c r="O550" s="6">
        <v>6.0978000000000003</v>
      </c>
      <c r="P550" s="6">
        <v>0</v>
      </c>
      <c r="Q550" s="4" t="s">
        <v>26</v>
      </c>
      <c r="R550" s="4">
        <v>0</v>
      </c>
      <c r="S550" s="4" t="s">
        <v>214</v>
      </c>
      <c r="T550" s="4" t="s">
        <v>335</v>
      </c>
      <c r="U550" s="4">
        <v>0</v>
      </c>
      <c r="V550" s="4">
        <v>12</v>
      </c>
      <c r="W550" s="4">
        <v>66</v>
      </c>
    </row>
    <row r="551" spans="1:23" ht="11.25" customHeight="1" x14ac:dyDescent="0.25">
      <c r="A551" s="4" t="s">
        <v>27</v>
      </c>
      <c r="B551" s="4" t="s">
        <v>35</v>
      </c>
      <c r="C551" s="4" t="s">
        <v>39</v>
      </c>
      <c r="D551" s="4" t="s">
        <v>42</v>
      </c>
      <c r="E551" s="4" t="s">
        <v>50</v>
      </c>
      <c r="F551" s="4" t="s">
        <v>51</v>
      </c>
      <c r="G551" s="4" t="s">
        <v>25</v>
      </c>
      <c r="H551" s="4" t="s">
        <v>37</v>
      </c>
      <c r="I551" s="5">
        <v>44501</v>
      </c>
      <c r="J551" s="6">
        <v>0</v>
      </c>
      <c r="K551" s="6">
        <v>0</v>
      </c>
      <c r="L551" s="6">
        <v>-6.0999999999999999E-2</v>
      </c>
      <c r="M551" s="6">
        <v>-1.83E-2</v>
      </c>
      <c r="N551" s="6">
        <v>-6.0999999999999999E-2</v>
      </c>
      <c r="O551" s="6">
        <v>-1.83E-2</v>
      </c>
      <c r="P551" s="6">
        <v>0</v>
      </c>
      <c r="Q551" s="4" t="s">
        <v>26</v>
      </c>
      <c r="R551" s="4">
        <v>0</v>
      </c>
      <c r="S551" s="4" t="s">
        <v>214</v>
      </c>
      <c r="T551" s="4" t="s">
        <v>335</v>
      </c>
      <c r="U551" s="4">
        <v>0</v>
      </c>
      <c r="V551" s="4">
        <v>12</v>
      </c>
      <c r="W551" s="4">
        <v>66</v>
      </c>
    </row>
    <row r="552" spans="1:23" ht="11.25" customHeight="1" x14ac:dyDescent="0.25">
      <c r="A552" s="4" t="s">
        <v>28</v>
      </c>
      <c r="B552" s="4" t="s">
        <v>35</v>
      </c>
      <c r="C552" s="4" t="s">
        <v>39</v>
      </c>
      <c r="D552" s="4" t="s">
        <v>42</v>
      </c>
      <c r="E552" s="4" t="s">
        <v>50</v>
      </c>
      <c r="F552" s="4" t="s">
        <v>51</v>
      </c>
      <c r="G552" s="4" t="s">
        <v>25</v>
      </c>
      <c r="H552" s="4" t="s">
        <v>37</v>
      </c>
      <c r="I552" s="5">
        <v>44501</v>
      </c>
      <c r="J552" s="6">
        <v>0</v>
      </c>
      <c r="K552" s="6">
        <v>0</v>
      </c>
      <c r="L552" s="6">
        <v>0.48199999999999998</v>
      </c>
      <c r="M552" s="6">
        <v>0.14460000000000001</v>
      </c>
      <c r="N552" s="6">
        <v>0.48199999999999998</v>
      </c>
      <c r="O552" s="6">
        <v>0.14460000000000001</v>
      </c>
      <c r="P552" s="6">
        <v>0</v>
      </c>
      <c r="Q552" s="4" t="s">
        <v>26</v>
      </c>
      <c r="R552" s="4">
        <v>0</v>
      </c>
      <c r="S552" s="4" t="s">
        <v>214</v>
      </c>
      <c r="T552" s="4" t="s">
        <v>335</v>
      </c>
      <c r="U552" s="4">
        <v>0</v>
      </c>
      <c r="V552" s="4">
        <v>12</v>
      </c>
      <c r="W552" s="4">
        <v>66</v>
      </c>
    </row>
    <row r="553" spans="1:23" ht="11.25" customHeight="1" x14ac:dyDescent="0.25">
      <c r="A553" s="4" t="s">
        <v>21</v>
      </c>
      <c r="B553" s="4" t="s">
        <v>35</v>
      </c>
      <c r="C553" s="4" t="s">
        <v>39</v>
      </c>
      <c r="D553" s="4" t="s">
        <v>42</v>
      </c>
      <c r="E553" s="4" t="s">
        <v>50</v>
      </c>
      <c r="F553" s="4" t="s">
        <v>51</v>
      </c>
      <c r="G553" s="4" t="s">
        <v>25</v>
      </c>
      <c r="H553" s="4" t="s">
        <v>37</v>
      </c>
      <c r="I553" s="5">
        <v>44531</v>
      </c>
      <c r="J553" s="6">
        <v>0</v>
      </c>
      <c r="K553" s="6">
        <v>0</v>
      </c>
      <c r="L553" s="6">
        <v>60.673000000000002</v>
      </c>
      <c r="M553" s="6">
        <v>18.201899999999998</v>
      </c>
      <c r="N553" s="6">
        <v>60.673000000000002</v>
      </c>
      <c r="O553" s="6">
        <v>18.201899999999998</v>
      </c>
      <c r="P553" s="6">
        <v>0</v>
      </c>
      <c r="Q553" s="4" t="s">
        <v>26</v>
      </c>
      <c r="R553" s="4">
        <v>0</v>
      </c>
      <c r="S553" s="4" t="s">
        <v>215</v>
      </c>
      <c r="T553" s="4" t="s">
        <v>336</v>
      </c>
      <c r="U553" s="4">
        <v>0</v>
      </c>
      <c r="V553" s="4">
        <v>12</v>
      </c>
      <c r="W553" s="4">
        <v>66</v>
      </c>
    </row>
    <row r="554" spans="1:23" ht="11.25" customHeight="1" x14ac:dyDescent="0.25">
      <c r="A554" s="4" t="s">
        <v>21</v>
      </c>
      <c r="B554" s="4" t="s">
        <v>35</v>
      </c>
      <c r="C554" s="4" t="s">
        <v>39</v>
      </c>
      <c r="D554" s="4" t="s">
        <v>42</v>
      </c>
      <c r="E554" s="4" t="s">
        <v>50</v>
      </c>
      <c r="F554" s="4" t="s">
        <v>51</v>
      </c>
      <c r="G554" s="4" t="s">
        <v>25</v>
      </c>
      <c r="H554" s="4" t="s">
        <v>37</v>
      </c>
      <c r="I554" s="5">
        <v>44562</v>
      </c>
      <c r="J554" s="6">
        <v>0</v>
      </c>
      <c r="K554" s="6">
        <v>0</v>
      </c>
      <c r="L554" s="6">
        <v>126.414</v>
      </c>
      <c r="M554" s="6">
        <v>37.924199999999999</v>
      </c>
      <c r="N554" s="6">
        <v>126.414</v>
      </c>
      <c r="O554" s="6">
        <v>37.924199999999999</v>
      </c>
      <c r="P554" s="6">
        <v>0</v>
      </c>
      <c r="Q554" s="4" t="s">
        <v>26</v>
      </c>
      <c r="R554" s="4">
        <v>0</v>
      </c>
      <c r="S554" s="4" t="s">
        <v>216</v>
      </c>
      <c r="T554" s="4" t="s">
        <v>337</v>
      </c>
      <c r="U554" s="4">
        <v>0</v>
      </c>
      <c r="V554" s="4">
        <v>12</v>
      </c>
      <c r="W554" s="4">
        <v>66</v>
      </c>
    </row>
    <row r="555" spans="1:23" ht="11.25" customHeight="1" x14ac:dyDescent="0.25">
      <c r="A555" s="4" t="s">
        <v>28</v>
      </c>
      <c r="B555" s="4" t="s">
        <v>35</v>
      </c>
      <c r="C555" s="4" t="s">
        <v>39</v>
      </c>
      <c r="D555" s="4" t="s">
        <v>42</v>
      </c>
      <c r="E555" s="4" t="s">
        <v>50</v>
      </c>
      <c r="F555" s="4" t="s">
        <v>51</v>
      </c>
      <c r="G555" s="4" t="s">
        <v>25</v>
      </c>
      <c r="H555" s="4" t="s">
        <v>37</v>
      </c>
      <c r="I555" s="5">
        <v>44562</v>
      </c>
      <c r="J555" s="6">
        <v>0</v>
      </c>
      <c r="K555" s="6">
        <v>0</v>
      </c>
      <c r="L555" s="6">
        <v>0.40500000000000003</v>
      </c>
      <c r="M555" s="6">
        <v>0.1215</v>
      </c>
      <c r="N555" s="6">
        <v>0.40500000000000003</v>
      </c>
      <c r="O555" s="6">
        <v>0.1215</v>
      </c>
      <c r="P555" s="6">
        <v>0</v>
      </c>
      <c r="Q555" s="4" t="s">
        <v>26</v>
      </c>
      <c r="R555" s="4">
        <v>0</v>
      </c>
      <c r="S555" s="4" t="s">
        <v>216</v>
      </c>
      <c r="T555" s="4" t="s">
        <v>337</v>
      </c>
      <c r="U555" s="4">
        <v>0</v>
      </c>
      <c r="V555" s="4">
        <v>12</v>
      </c>
      <c r="W555" s="4">
        <v>66</v>
      </c>
    </row>
    <row r="556" spans="1:23" ht="11.25" customHeight="1" x14ac:dyDescent="0.25">
      <c r="A556" s="4" t="s">
        <v>21</v>
      </c>
      <c r="B556" s="4" t="s">
        <v>35</v>
      </c>
      <c r="C556" s="4" t="s">
        <v>39</v>
      </c>
      <c r="D556" s="4" t="s">
        <v>42</v>
      </c>
      <c r="E556" s="4" t="s">
        <v>50</v>
      </c>
      <c r="F556" s="4" t="s">
        <v>51</v>
      </c>
      <c r="G556" s="4" t="s">
        <v>25</v>
      </c>
      <c r="H556" s="4" t="s">
        <v>37</v>
      </c>
      <c r="I556" s="5">
        <v>44593</v>
      </c>
      <c r="J556" s="6">
        <v>0</v>
      </c>
      <c r="K556" s="6">
        <v>0</v>
      </c>
      <c r="L556" s="6">
        <v>79.546999999999997</v>
      </c>
      <c r="M556" s="6">
        <v>23.864100000000001</v>
      </c>
      <c r="N556" s="6">
        <v>79.546999999999997</v>
      </c>
      <c r="O556" s="6">
        <v>23.864100000000001</v>
      </c>
      <c r="P556" s="6">
        <v>0</v>
      </c>
      <c r="Q556" s="4" t="s">
        <v>26</v>
      </c>
      <c r="R556" s="4">
        <v>0</v>
      </c>
      <c r="S556" s="4" t="s">
        <v>217</v>
      </c>
      <c r="T556" s="4" t="s">
        <v>338</v>
      </c>
      <c r="U556" s="4">
        <v>0</v>
      </c>
      <c r="V556" s="4">
        <v>12</v>
      </c>
      <c r="W556" s="4">
        <v>66</v>
      </c>
    </row>
    <row r="557" spans="1:23" ht="11.25" customHeight="1" x14ac:dyDescent="0.25">
      <c r="A557" s="4" t="s">
        <v>27</v>
      </c>
      <c r="B557" s="4" t="s">
        <v>35</v>
      </c>
      <c r="C557" s="4" t="s">
        <v>39</v>
      </c>
      <c r="D557" s="4" t="s">
        <v>42</v>
      </c>
      <c r="E557" s="4" t="s">
        <v>50</v>
      </c>
      <c r="F557" s="4" t="s">
        <v>51</v>
      </c>
      <c r="G557" s="4" t="s">
        <v>25</v>
      </c>
      <c r="H557" s="4" t="s">
        <v>37</v>
      </c>
      <c r="I557" s="5">
        <v>44593</v>
      </c>
      <c r="J557" s="6">
        <v>0</v>
      </c>
      <c r="K557" s="6">
        <v>0</v>
      </c>
      <c r="L557" s="6">
        <v>-9.0999999999999998E-2</v>
      </c>
      <c r="M557" s="6">
        <v>-2.7300000000000001E-2</v>
      </c>
      <c r="N557" s="6">
        <v>-9.0999999999999998E-2</v>
      </c>
      <c r="O557" s="6">
        <v>-2.7300000000000001E-2</v>
      </c>
      <c r="P557" s="6">
        <v>0</v>
      </c>
      <c r="Q557" s="4" t="s">
        <v>26</v>
      </c>
      <c r="R557" s="4">
        <v>0</v>
      </c>
      <c r="S557" s="4" t="s">
        <v>217</v>
      </c>
      <c r="T557" s="4" t="s">
        <v>338</v>
      </c>
      <c r="U557" s="4">
        <v>0</v>
      </c>
      <c r="V557" s="4">
        <v>12</v>
      </c>
      <c r="W557" s="4">
        <v>66</v>
      </c>
    </row>
    <row r="558" spans="1:23" ht="11.25" customHeight="1" x14ac:dyDescent="0.25">
      <c r="A558" s="4" t="s">
        <v>28</v>
      </c>
      <c r="B558" s="4" t="s">
        <v>35</v>
      </c>
      <c r="C558" s="4" t="s">
        <v>39</v>
      </c>
      <c r="D558" s="4" t="s">
        <v>42</v>
      </c>
      <c r="E558" s="4" t="s">
        <v>50</v>
      </c>
      <c r="F558" s="4" t="s">
        <v>51</v>
      </c>
      <c r="G558" s="4" t="s">
        <v>25</v>
      </c>
      <c r="H558" s="4" t="s">
        <v>37</v>
      </c>
      <c r="I558" s="5">
        <v>44593</v>
      </c>
      <c r="J558" s="6">
        <v>0</v>
      </c>
      <c r="K558" s="6">
        <v>0</v>
      </c>
      <c r="L558" s="6">
        <v>0.38600000000000001</v>
      </c>
      <c r="M558" s="6">
        <v>0.1158</v>
      </c>
      <c r="N558" s="6">
        <v>0.38600000000000001</v>
      </c>
      <c r="O558" s="6">
        <v>0.1158</v>
      </c>
      <c r="P558" s="6">
        <v>0</v>
      </c>
      <c r="Q558" s="4" t="s">
        <v>26</v>
      </c>
      <c r="R558" s="4">
        <v>0</v>
      </c>
      <c r="S558" s="4" t="s">
        <v>217</v>
      </c>
      <c r="T558" s="4" t="s">
        <v>338</v>
      </c>
      <c r="U558" s="4">
        <v>0</v>
      </c>
      <c r="V558" s="4">
        <v>12</v>
      </c>
      <c r="W558" s="4">
        <v>66</v>
      </c>
    </row>
    <row r="559" spans="1:23" ht="11.25" customHeight="1" x14ac:dyDescent="0.25">
      <c r="A559" s="4" t="s">
        <v>21</v>
      </c>
      <c r="B559" s="4" t="s">
        <v>35</v>
      </c>
      <c r="C559" s="4" t="s">
        <v>39</v>
      </c>
      <c r="D559" s="4" t="s">
        <v>42</v>
      </c>
      <c r="E559" s="4" t="s">
        <v>50</v>
      </c>
      <c r="F559" s="4" t="s">
        <v>51</v>
      </c>
      <c r="G559" s="4" t="s">
        <v>25</v>
      </c>
      <c r="H559" s="4" t="s">
        <v>37</v>
      </c>
      <c r="I559" s="5">
        <v>44621</v>
      </c>
      <c r="J559" s="6">
        <v>0</v>
      </c>
      <c r="K559" s="6">
        <v>0</v>
      </c>
      <c r="L559" s="6">
        <v>83.45</v>
      </c>
      <c r="M559" s="6">
        <v>25.035</v>
      </c>
      <c r="N559" s="6">
        <v>83.45</v>
      </c>
      <c r="O559" s="6">
        <v>25.035</v>
      </c>
      <c r="P559" s="6">
        <v>0</v>
      </c>
      <c r="Q559" s="4" t="s">
        <v>26</v>
      </c>
      <c r="R559" s="4">
        <v>0</v>
      </c>
      <c r="S559" s="4" t="s">
        <v>218</v>
      </c>
      <c r="T559" s="4" t="s">
        <v>339</v>
      </c>
      <c r="U559" s="4">
        <v>0</v>
      </c>
      <c r="V559" s="4">
        <v>12</v>
      </c>
      <c r="W559" s="4">
        <v>66</v>
      </c>
    </row>
    <row r="560" spans="1:23" ht="11.25" customHeight="1" x14ac:dyDescent="0.25">
      <c r="A560" s="4" t="s">
        <v>27</v>
      </c>
      <c r="B560" s="4" t="s">
        <v>35</v>
      </c>
      <c r="C560" s="4" t="s">
        <v>39</v>
      </c>
      <c r="D560" s="4" t="s">
        <v>42</v>
      </c>
      <c r="E560" s="4" t="s">
        <v>50</v>
      </c>
      <c r="F560" s="4" t="s">
        <v>51</v>
      </c>
      <c r="G560" s="4" t="s">
        <v>25</v>
      </c>
      <c r="H560" s="4" t="s">
        <v>37</v>
      </c>
      <c r="I560" s="5">
        <v>44621</v>
      </c>
      <c r="J560" s="6">
        <v>0</v>
      </c>
      <c r="K560" s="6">
        <v>0</v>
      </c>
      <c r="L560" s="6">
        <v>-0.88600000000000001</v>
      </c>
      <c r="M560" s="6">
        <v>-0.26579999999999998</v>
      </c>
      <c r="N560" s="6">
        <v>-0.88600000000000001</v>
      </c>
      <c r="O560" s="6">
        <v>-0.26579999999999998</v>
      </c>
      <c r="P560" s="6">
        <v>0</v>
      </c>
      <c r="Q560" s="4" t="s">
        <v>26</v>
      </c>
      <c r="R560" s="4">
        <v>0</v>
      </c>
      <c r="S560" s="4" t="s">
        <v>218</v>
      </c>
      <c r="T560" s="4" t="s">
        <v>339</v>
      </c>
      <c r="U560" s="4">
        <v>0</v>
      </c>
      <c r="V560" s="4">
        <v>12</v>
      </c>
      <c r="W560" s="4">
        <v>66</v>
      </c>
    </row>
    <row r="561" spans="1:23" ht="11.25" customHeight="1" x14ac:dyDescent="0.25">
      <c r="A561" s="4" t="s">
        <v>28</v>
      </c>
      <c r="B561" s="4" t="s">
        <v>35</v>
      </c>
      <c r="C561" s="4" t="s">
        <v>39</v>
      </c>
      <c r="D561" s="4" t="s">
        <v>42</v>
      </c>
      <c r="E561" s="4" t="s">
        <v>50</v>
      </c>
      <c r="F561" s="4" t="s">
        <v>51</v>
      </c>
      <c r="G561" s="4" t="s">
        <v>25</v>
      </c>
      <c r="H561" s="4" t="s">
        <v>37</v>
      </c>
      <c r="I561" s="5">
        <v>44621</v>
      </c>
      <c r="J561" s="6">
        <v>0</v>
      </c>
      <c r="K561" s="6">
        <v>0</v>
      </c>
      <c r="L561" s="6">
        <v>0.25800000000000001</v>
      </c>
      <c r="M561" s="6">
        <v>7.7399999999999997E-2</v>
      </c>
      <c r="N561" s="6">
        <v>0.25800000000000001</v>
      </c>
      <c r="O561" s="6">
        <v>7.7399999999999997E-2</v>
      </c>
      <c r="P561" s="6">
        <v>0</v>
      </c>
      <c r="Q561" s="4" t="s">
        <v>26</v>
      </c>
      <c r="R561" s="4">
        <v>0</v>
      </c>
      <c r="S561" s="4" t="s">
        <v>218</v>
      </c>
      <c r="T561" s="4" t="s">
        <v>339</v>
      </c>
      <c r="U561" s="4">
        <v>0</v>
      </c>
      <c r="V561" s="4">
        <v>12</v>
      </c>
      <c r="W561" s="4">
        <v>66</v>
      </c>
    </row>
    <row r="562" spans="1:23" ht="11.25" customHeight="1" x14ac:dyDescent="0.25">
      <c r="A562" s="4" t="s">
        <v>21</v>
      </c>
      <c r="B562" s="4" t="s">
        <v>35</v>
      </c>
      <c r="C562" s="4" t="s">
        <v>39</v>
      </c>
      <c r="D562" s="4" t="s">
        <v>42</v>
      </c>
      <c r="E562" s="4" t="s">
        <v>50</v>
      </c>
      <c r="F562" s="4" t="s">
        <v>51</v>
      </c>
      <c r="G562" s="4" t="s">
        <v>25</v>
      </c>
      <c r="H562" s="4" t="s">
        <v>37</v>
      </c>
      <c r="I562" s="5">
        <v>44652</v>
      </c>
      <c r="J562" s="6">
        <v>0</v>
      </c>
      <c r="K562" s="6">
        <v>0</v>
      </c>
      <c r="L562" s="6">
        <v>31.059000000000001</v>
      </c>
      <c r="M562" s="6">
        <v>9.3177000000000003</v>
      </c>
      <c r="N562" s="6">
        <v>31.059000000000001</v>
      </c>
      <c r="O562" s="6">
        <v>9.3177000000000003</v>
      </c>
      <c r="P562" s="6">
        <v>0</v>
      </c>
      <c r="Q562" s="4" t="s">
        <v>26</v>
      </c>
      <c r="R562" s="4">
        <v>0</v>
      </c>
      <c r="S562" s="4" t="s">
        <v>219</v>
      </c>
      <c r="T562" s="4" t="s">
        <v>340</v>
      </c>
      <c r="U562" s="4">
        <v>0</v>
      </c>
      <c r="V562" s="4">
        <v>12</v>
      </c>
      <c r="W562" s="4">
        <v>66</v>
      </c>
    </row>
    <row r="563" spans="1:23" ht="11.25" customHeight="1" x14ac:dyDescent="0.25">
      <c r="A563" s="4" t="s">
        <v>27</v>
      </c>
      <c r="B563" s="4" t="s">
        <v>35</v>
      </c>
      <c r="C563" s="4" t="s">
        <v>39</v>
      </c>
      <c r="D563" s="4" t="s">
        <v>42</v>
      </c>
      <c r="E563" s="4" t="s">
        <v>50</v>
      </c>
      <c r="F563" s="4" t="s">
        <v>51</v>
      </c>
      <c r="G563" s="4" t="s">
        <v>25</v>
      </c>
      <c r="H563" s="4" t="s">
        <v>37</v>
      </c>
      <c r="I563" s="5">
        <v>44652</v>
      </c>
      <c r="J563" s="6">
        <v>0</v>
      </c>
      <c r="K563" s="6">
        <v>0</v>
      </c>
      <c r="L563" s="6">
        <v>-2.99</v>
      </c>
      <c r="M563" s="6">
        <v>-0.89700000000000002</v>
      </c>
      <c r="N563" s="6">
        <v>-2.99</v>
      </c>
      <c r="O563" s="6">
        <v>-0.89700000000000002</v>
      </c>
      <c r="P563" s="6">
        <v>0</v>
      </c>
      <c r="Q563" s="4" t="s">
        <v>26</v>
      </c>
      <c r="R563" s="4">
        <v>0</v>
      </c>
      <c r="S563" s="4" t="s">
        <v>219</v>
      </c>
      <c r="T563" s="4" t="s">
        <v>340</v>
      </c>
      <c r="U563" s="4">
        <v>0</v>
      </c>
      <c r="V563" s="4">
        <v>12</v>
      </c>
      <c r="W563" s="4">
        <v>66</v>
      </c>
    </row>
    <row r="564" spans="1:23" ht="11.25" customHeight="1" x14ac:dyDescent="0.25">
      <c r="A564" s="4" t="s">
        <v>28</v>
      </c>
      <c r="B564" s="4" t="s">
        <v>35</v>
      </c>
      <c r="C564" s="4" t="s">
        <v>39</v>
      </c>
      <c r="D564" s="4" t="s">
        <v>42</v>
      </c>
      <c r="E564" s="4" t="s">
        <v>50</v>
      </c>
      <c r="F564" s="4" t="s">
        <v>51</v>
      </c>
      <c r="G564" s="4" t="s">
        <v>25</v>
      </c>
      <c r="H564" s="4" t="s">
        <v>37</v>
      </c>
      <c r="I564" s="5">
        <v>44652</v>
      </c>
      <c r="J564" s="6">
        <v>0</v>
      </c>
      <c r="K564" s="6">
        <v>0</v>
      </c>
      <c r="L564" s="6">
        <v>0.32</v>
      </c>
      <c r="M564" s="6">
        <v>9.6000000000000002E-2</v>
      </c>
      <c r="N564" s="6">
        <v>0.32</v>
      </c>
      <c r="O564" s="6">
        <v>9.6000000000000002E-2</v>
      </c>
      <c r="P564" s="6">
        <v>0</v>
      </c>
      <c r="Q564" s="4" t="s">
        <v>26</v>
      </c>
      <c r="R564" s="4">
        <v>0</v>
      </c>
      <c r="S564" s="4" t="s">
        <v>219</v>
      </c>
      <c r="T564" s="4" t="s">
        <v>340</v>
      </c>
      <c r="U564" s="4">
        <v>0</v>
      </c>
      <c r="V564" s="4">
        <v>12</v>
      </c>
      <c r="W564" s="4">
        <v>66</v>
      </c>
    </row>
    <row r="565" spans="1:23" ht="11.25" customHeight="1" x14ac:dyDescent="0.25">
      <c r="A565" s="4" t="s">
        <v>21</v>
      </c>
      <c r="B565" s="4" t="s">
        <v>35</v>
      </c>
      <c r="C565" s="4" t="s">
        <v>39</v>
      </c>
      <c r="D565" s="4" t="s">
        <v>42</v>
      </c>
      <c r="E565" s="4" t="s">
        <v>50</v>
      </c>
      <c r="F565" s="4" t="s">
        <v>51</v>
      </c>
      <c r="G565" s="4" t="s">
        <v>25</v>
      </c>
      <c r="H565" s="4" t="s">
        <v>37</v>
      </c>
      <c r="I565" s="5">
        <v>44682</v>
      </c>
      <c r="J565" s="6">
        <v>0</v>
      </c>
      <c r="K565" s="6">
        <v>0</v>
      </c>
      <c r="L565" s="6">
        <v>18.913</v>
      </c>
      <c r="M565" s="6">
        <v>5.6738999999999997</v>
      </c>
      <c r="N565" s="6">
        <v>18.913</v>
      </c>
      <c r="O565" s="6">
        <v>5.6738999999999997</v>
      </c>
      <c r="P565" s="6">
        <v>0</v>
      </c>
      <c r="Q565" s="4" t="s">
        <v>26</v>
      </c>
      <c r="R565" s="4">
        <v>0</v>
      </c>
      <c r="S565" s="4" t="s">
        <v>220</v>
      </c>
      <c r="T565" s="4" t="s">
        <v>341</v>
      </c>
      <c r="U565" s="4">
        <v>0</v>
      </c>
      <c r="V565" s="4">
        <v>12</v>
      </c>
      <c r="W565" s="4">
        <v>66</v>
      </c>
    </row>
    <row r="566" spans="1:23" ht="11.25" customHeight="1" x14ac:dyDescent="0.25">
      <c r="A566" s="4" t="s">
        <v>27</v>
      </c>
      <c r="B566" s="4" t="s">
        <v>35</v>
      </c>
      <c r="C566" s="4" t="s">
        <v>39</v>
      </c>
      <c r="D566" s="4" t="s">
        <v>42</v>
      </c>
      <c r="E566" s="4" t="s">
        <v>50</v>
      </c>
      <c r="F566" s="4" t="s">
        <v>51</v>
      </c>
      <c r="G566" s="4" t="s">
        <v>25</v>
      </c>
      <c r="H566" s="4" t="s">
        <v>37</v>
      </c>
      <c r="I566" s="5">
        <v>44682</v>
      </c>
      <c r="J566" s="6">
        <v>0</v>
      </c>
      <c r="K566" s="6">
        <v>0</v>
      </c>
      <c r="L566" s="6">
        <v>-0.38</v>
      </c>
      <c r="M566" s="6">
        <v>-0.114</v>
      </c>
      <c r="N566" s="6">
        <v>-0.38</v>
      </c>
      <c r="O566" s="6">
        <v>-0.114</v>
      </c>
      <c r="P566" s="6">
        <v>0</v>
      </c>
      <c r="Q566" s="4" t="s">
        <v>26</v>
      </c>
      <c r="R566" s="4">
        <v>0</v>
      </c>
      <c r="S566" s="4" t="s">
        <v>220</v>
      </c>
      <c r="T566" s="4" t="s">
        <v>341</v>
      </c>
      <c r="U566" s="4">
        <v>0</v>
      </c>
      <c r="V566" s="4">
        <v>12</v>
      </c>
      <c r="W566" s="4">
        <v>66</v>
      </c>
    </row>
    <row r="567" spans="1:23" ht="11.25" customHeight="1" x14ac:dyDescent="0.25">
      <c r="A567" s="4" t="s">
        <v>21</v>
      </c>
      <c r="B567" s="4" t="s">
        <v>35</v>
      </c>
      <c r="C567" s="4" t="s">
        <v>39</v>
      </c>
      <c r="D567" s="4" t="s">
        <v>42</v>
      </c>
      <c r="E567" s="4" t="s">
        <v>50</v>
      </c>
      <c r="F567" s="4" t="s">
        <v>51</v>
      </c>
      <c r="G567" s="4" t="s">
        <v>25</v>
      </c>
      <c r="H567" s="4" t="s">
        <v>37</v>
      </c>
      <c r="I567" s="5">
        <v>44713</v>
      </c>
      <c r="J567" s="6">
        <v>0</v>
      </c>
      <c r="K567" s="6">
        <v>0</v>
      </c>
      <c r="L567" s="6">
        <v>19.396999999999998</v>
      </c>
      <c r="M567" s="6">
        <v>5.8190999999999997</v>
      </c>
      <c r="N567" s="6">
        <v>19.396999999999998</v>
      </c>
      <c r="O567" s="6">
        <v>5.8190999999999997</v>
      </c>
      <c r="P567" s="6">
        <v>0</v>
      </c>
      <c r="Q567" s="4" t="s">
        <v>26</v>
      </c>
      <c r="R567" s="4">
        <v>0</v>
      </c>
      <c r="S567" s="4" t="s">
        <v>221</v>
      </c>
      <c r="T567" s="4" t="s">
        <v>342</v>
      </c>
      <c r="U567" s="4">
        <v>0</v>
      </c>
      <c r="V567" s="4">
        <v>12</v>
      </c>
      <c r="W567" s="4">
        <v>66</v>
      </c>
    </row>
    <row r="568" spans="1:23" ht="11.25" customHeight="1" x14ac:dyDescent="0.25">
      <c r="A568" s="4" t="s">
        <v>27</v>
      </c>
      <c r="B568" s="4" t="s">
        <v>35</v>
      </c>
      <c r="C568" s="4" t="s">
        <v>39</v>
      </c>
      <c r="D568" s="4" t="s">
        <v>42</v>
      </c>
      <c r="E568" s="4" t="s">
        <v>50</v>
      </c>
      <c r="F568" s="4" t="s">
        <v>51</v>
      </c>
      <c r="G568" s="4" t="s">
        <v>25</v>
      </c>
      <c r="H568" s="4" t="s">
        <v>37</v>
      </c>
      <c r="I568" s="5">
        <v>44713</v>
      </c>
      <c r="J568" s="6">
        <v>0</v>
      </c>
      <c r="K568" s="6">
        <v>0</v>
      </c>
      <c r="L568" s="6">
        <v>-0.09</v>
      </c>
      <c r="M568" s="6">
        <v>-2.7E-2</v>
      </c>
      <c r="N568" s="6">
        <v>-0.09</v>
      </c>
      <c r="O568" s="6">
        <v>-2.7E-2</v>
      </c>
      <c r="P568" s="6">
        <v>0</v>
      </c>
      <c r="Q568" s="4" t="s">
        <v>26</v>
      </c>
      <c r="R568" s="4">
        <v>0</v>
      </c>
      <c r="S568" s="4" t="s">
        <v>221</v>
      </c>
      <c r="T568" s="4" t="s">
        <v>342</v>
      </c>
      <c r="U568" s="4">
        <v>0</v>
      </c>
      <c r="V568" s="4">
        <v>12</v>
      </c>
      <c r="W568" s="4">
        <v>66</v>
      </c>
    </row>
    <row r="569" spans="1:23" ht="11.25" customHeight="1" x14ac:dyDescent="0.25">
      <c r="A569" s="4" t="s">
        <v>21</v>
      </c>
      <c r="B569" s="4" t="s">
        <v>35</v>
      </c>
      <c r="C569" s="4" t="s">
        <v>39</v>
      </c>
      <c r="D569" s="4" t="s">
        <v>42</v>
      </c>
      <c r="E569" s="4" t="s">
        <v>50</v>
      </c>
      <c r="F569" s="4" t="s">
        <v>52</v>
      </c>
      <c r="G569" s="4" t="s">
        <v>25</v>
      </c>
      <c r="H569" s="4" t="s">
        <v>38</v>
      </c>
      <c r="I569" s="5">
        <v>44378</v>
      </c>
      <c r="J569" s="6">
        <v>0</v>
      </c>
      <c r="K569" s="6">
        <v>0</v>
      </c>
      <c r="L569" s="6">
        <v>84.168000000000006</v>
      </c>
      <c r="M569" s="6">
        <v>25.250399999999999</v>
      </c>
      <c r="N569" s="6">
        <v>84.168000000000006</v>
      </c>
      <c r="O569" s="6">
        <v>25.250399999999999</v>
      </c>
      <c r="P569" s="6">
        <v>0</v>
      </c>
      <c r="Q569" s="4" t="s">
        <v>26</v>
      </c>
      <c r="R569" s="4">
        <v>0</v>
      </c>
      <c r="S569" s="4" t="s">
        <v>186</v>
      </c>
      <c r="T569" s="4" t="s">
        <v>319</v>
      </c>
      <c r="U569" s="4">
        <v>0</v>
      </c>
      <c r="V569" s="4">
        <v>25</v>
      </c>
      <c r="W569" s="4">
        <v>59</v>
      </c>
    </row>
    <row r="570" spans="1:23" ht="11.25" customHeight="1" x14ac:dyDescent="0.25">
      <c r="A570" s="4" t="s">
        <v>21</v>
      </c>
      <c r="B570" s="4" t="s">
        <v>35</v>
      </c>
      <c r="C570" s="4" t="s">
        <v>39</v>
      </c>
      <c r="D570" s="4" t="s">
        <v>42</v>
      </c>
      <c r="E570" s="4" t="s">
        <v>50</v>
      </c>
      <c r="F570" s="4" t="s">
        <v>52</v>
      </c>
      <c r="G570" s="4" t="s">
        <v>25</v>
      </c>
      <c r="H570" s="4" t="s">
        <v>38</v>
      </c>
      <c r="I570" s="5">
        <v>44409</v>
      </c>
      <c r="J570" s="6">
        <v>0</v>
      </c>
      <c r="K570" s="6">
        <v>0</v>
      </c>
      <c r="L570" s="6">
        <v>151.08000000000001</v>
      </c>
      <c r="M570" s="6">
        <v>45.323999999999998</v>
      </c>
      <c r="N570" s="6">
        <v>151.08000000000001</v>
      </c>
      <c r="O570" s="6">
        <v>45.323999999999998</v>
      </c>
      <c r="P570" s="6">
        <v>0</v>
      </c>
      <c r="Q570" s="4" t="s">
        <v>26</v>
      </c>
      <c r="R570" s="4">
        <v>0</v>
      </c>
      <c r="S570" s="4" t="s">
        <v>187</v>
      </c>
      <c r="T570" s="4" t="s">
        <v>320</v>
      </c>
      <c r="U570" s="4">
        <v>0</v>
      </c>
      <c r="V570" s="4">
        <v>25</v>
      </c>
      <c r="W570" s="4">
        <v>59</v>
      </c>
    </row>
    <row r="571" spans="1:23" ht="11.25" customHeight="1" x14ac:dyDescent="0.25">
      <c r="A571" s="4" t="s">
        <v>28</v>
      </c>
      <c r="B571" s="4" t="s">
        <v>35</v>
      </c>
      <c r="C571" s="4" t="s">
        <v>39</v>
      </c>
      <c r="D571" s="4" t="s">
        <v>42</v>
      </c>
      <c r="E571" s="4" t="s">
        <v>50</v>
      </c>
      <c r="F571" s="4" t="s">
        <v>52</v>
      </c>
      <c r="G571" s="4" t="s">
        <v>25</v>
      </c>
      <c r="H571" s="4" t="s">
        <v>38</v>
      </c>
      <c r="I571" s="5">
        <v>44409</v>
      </c>
      <c r="J571" s="6">
        <v>0</v>
      </c>
      <c r="K571" s="6">
        <v>0</v>
      </c>
      <c r="L571" s="6">
        <v>13.695</v>
      </c>
      <c r="M571" s="6">
        <v>4.1085000000000003</v>
      </c>
      <c r="N571" s="6">
        <v>13.695</v>
      </c>
      <c r="O571" s="6">
        <v>4.1085000000000003</v>
      </c>
      <c r="P571" s="6">
        <v>0</v>
      </c>
      <c r="Q571" s="4" t="s">
        <v>26</v>
      </c>
      <c r="R571" s="4">
        <v>0</v>
      </c>
      <c r="S571" s="4" t="s">
        <v>187</v>
      </c>
      <c r="T571" s="4" t="s">
        <v>320</v>
      </c>
      <c r="U571" s="4">
        <v>0</v>
      </c>
      <c r="V571" s="4">
        <v>25</v>
      </c>
      <c r="W571" s="4">
        <v>59</v>
      </c>
    </row>
    <row r="572" spans="1:23" ht="11.25" customHeight="1" x14ac:dyDescent="0.25">
      <c r="A572" s="4" t="s">
        <v>21</v>
      </c>
      <c r="B572" s="4" t="s">
        <v>35</v>
      </c>
      <c r="C572" s="4" t="s">
        <v>39</v>
      </c>
      <c r="D572" s="4" t="s">
        <v>42</v>
      </c>
      <c r="E572" s="4" t="s">
        <v>50</v>
      </c>
      <c r="F572" s="4" t="s">
        <v>52</v>
      </c>
      <c r="G572" s="4" t="s">
        <v>25</v>
      </c>
      <c r="H572" s="4" t="s">
        <v>38</v>
      </c>
      <c r="I572" s="5">
        <v>44440</v>
      </c>
      <c r="J572" s="6">
        <v>0</v>
      </c>
      <c r="K572" s="6">
        <v>0</v>
      </c>
      <c r="L572" s="6">
        <v>516.85</v>
      </c>
      <c r="M572" s="6">
        <v>155.05500000000001</v>
      </c>
      <c r="N572" s="6">
        <v>516.85</v>
      </c>
      <c r="O572" s="6">
        <v>155.05500000000001</v>
      </c>
      <c r="P572" s="6">
        <v>0</v>
      </c>
      <c r="Q572" s="4" t="s">
        <v>26</v>
      </c>
      <c r="R572" s="4">
        <v>0</v>
      </c>
      <c r="S572" s="4" t="s">
        <v>188</v>
      </c>
      <c r="T572" s="4" t="s">
        <v>321</v>
      </c>
      <c r="U572" s="4">
        <v>0</v>
      </c>
      <c r="V572" s="4">
        <v>25</v>
      </c>
      <c r="W572" s="4">
        <v>59</v>
      </c>
    </row>
    <row r="573" spans="1:23" ht="11.25" customHeight="1" x14ac:dyDescent="0.25">
      <c r="A573" s="4" t="s">
        <v>28</v>
      </c>
      <c r="B573" s="4" t="s">
        <v>35</v>
      </c>
      <c r="C573" s="4" t="s">
        <v>39</v>
      </c>
      <c r="D573" s="4" t="s">
        <v>42</v>
      </c>
      <c r="E573" s="4" t="s">
        <v>50</v>
      </c>
      <c r="F573" s="4" t="s">
        <v>52</v>
      </c>
      <c r="G573" s="4" t="s">
        <v>25</v>
      </c>
      <c r="H573" s="4" t="s">
        <v>38</v>
      </c>
      <c r="I573" s="5">
        <v>44440</v>
      </c>
      <c r="J573" s="6">
        <v>0</v>
      </c>
      <c r="K573" s="6">
        <v>0</v>
      </c>
      <c r="L573" s="6">
        <v>16.559000000000001</v>
      </c>
      <c r="M573" s="6">
        <v>4.9676999999999998</v>
      </c>
      <c r="N573" s="6">
        <v>16.559000000000001</v>
      </c>
      <c r="O573" s="6">
        <v>4.9676999999999998</v>
      </c>
      <c r="P573" s="6">
        <v>0</v>
      </c>
      <c r="Q573" s="4" t="s">
        <v>26</v>
      </c>
      <c r="R573" s="4">
        <v>0</v>
      </c>
      <c r="S573" s="4" t="s">
        <v>188</v>
      </c>
      <c r="T573" s="4" t="s">
        <v>321</v>
      </c>
      <c r="U573" s="4">
        <v>0</v>
      </c>
      <c r="V573" s="4">
        <v>25</v>
      </c>
      <c r="W573" s="4">
        <v>59</v>
      </c>
    </row>
    <row r="574" spans="1:23" ht="11.25" customHeight="1" x14ac:dyDescent="0.25">
      <c r="A574" s="4" t="s">
        <v>21</v>
      </c>
      <c r="B574" s="4" t="s">
        <v>35</v>
      </c>
      <c r="C574" s="4" t="s">
        <v>39</v>
      </c>
      <c r="D574" s="4" t="s">
        <v>42</v>
      </c>
      <c r="E574" s="4" t="s">
        <v>50</v>
      </c>
      <c r="F574" s="4" t="s">
        <v>52</v>
      </c>
      <c r="G574" s="4" t="s">
        <v>25</v>
      </c>
      <c r="H574" s="4" t="s">
        <v>38</v>
      </c>
      <c r="I574" s="5">
        <v>44470</v>
      </c>
      <c r="J574" s="6">
        <v>0</v>
      </c>
      <c r="K574" s="6">
        <v>0</v>
      </c>
      <c r="L574" s="6">
        <v>249.75800000000001</v>
      </c>
      <c r="M574" s="6">
        <v>74.927400000000006</v>
      </c>
      <c r="N574" s="6">
        <v>249.75800000000001</v>
      </c>
      <c r="O574" s="6">
        <v>74.927400000000006</v>
      </c>
      <c r="P574" s="6">
        <v>0</v>
      </c>
      <c r="Q574" s="4" t="s">
        <v>26</v>
      </c>
      <c r="R574" s="4">
        <v>0</v>
      </c>
      <c r="S574" s="4" t="s">
        <v>189</v>
      </c>
      <c r="T574" s="4" t="s">
        <v>322</v>
      </c>
      <c r="U574" s="4">
        <v>0</v>
      </c>
      <c r="V574" s="4">
        <v>25</v>
      </c>
      <c r="W574" s="4">
        <v>59</v>
      </c>
    </row>
    <row r="575" spans="1:23" ht="11.25" customHeight="1" x14ac:dyDescent="0.25">
      <c r="A575" s="4" t="s">
        <v>21</v>
      </c>
      <c r="B575" s="4" t="s">
        <v>35</v>
      </c>
      <c r="C575" s="4" t="s">
        <v>39</v>
      </c>
      <c r="D575" s="4" t="s">
        <v>42</v>
      </c>
      <c r="E575" s="4" t="s">
        <v>50</v>
      </c>
      <c r="F575" s="4" t="s">
        <v>52</v>
      </c>
      <c r="G575" s="4" t="s">
        <v>25</v>
      </c>
      <c r="H575" s="4" t="s">
        <v>38</v>
      </c>
      <c r="I575" s="5">
        <v>44501</v>
      </c>
      <c r="J575" s="6">
        <v>0</v>
      </c>
      <c r="K575" s="6">
        <v>0</v>
      </c>
      <c r="L575" s="6">
        <v>495.33699999999999</v>
      </c>
      <c r="M575" s="6">
        <v>148.6011</v>
      </c>
      <c r="N575" s="6">
        <v>495.33699999999999</v>
      </c>
      <c r="O575" s="6">
        <v>148.6011</v>
      </c>
      <c r="P575" s="6">
        <v>0</v>
      </c>
      <c r="Q575" s="4" t="s">
        <v>26</v>
      </c>
      <c r="R575" s="4">
        <v>0</v>
      </c>
      <c r="S575" s="4" t="s">
        <v>190</v>
      </c>
      <c r="T575" s="4" t="s">
        <v>323</v>
      </c>
      <c r="U575" s="4">
        <v>0</v>
      </c>
      <c r="V575" s="4">
        <v>25</v>
      </c>
      <c r="W575" s="4">
        <v>59</v>
      </c>
    </row>
    <row r="576" spans="1:23" ht="11.25" customHeight="1" x14ac:dyDescent="0.25">
      <c r="A576" s="4" t="s">
        <v>27</v>
      </c>
      <c r="B576" s="4" t="s">
        <v>35</v>
      </c>
      <c r="C576" s="4" t="s">
        <v>39</v>
      </c>
      <c r="D576" s="4" t="s">
        <v>42</v>
      </c>
      <c r="E576" s="4" t="s">
        <v>50</v>
      </c>
      <c r="F576" s="4" t="s">
        <v>52</v>
      </c>
      <c r="G576" s="4" t="s">
        <v>25</v>
      </c>
      <c r="H576" s="4" t="s">
        <v>38</v>
      </c>
      <c r="I576" s="5">
        <v>44501</v>
      </c>
      <c r="J576" s="6">
        <v>0</v>
      </c>
      <c r="K576" s="6">
        <v>0</v>
      </c>
      <c r="L576" s="6">
        <v>-3.9289999999999998</v>
      </c>
      <c r="M576" s="6">
        <v>-1.1787000000000001</v>
      </c>
      <c r="N576" s="6">
        <v>-3.9289999999999998</v>
      </c>
      <c r="O576" s="6">
        <v>-1.1787000000000001</v>
      </c>
      <c r="P576" s="6">
        <v>0</v>
      </c>
      <c r="Q576" s="4" t="s">
        <v>26</v>
      </c>
      <c r="R576" s="4">
        <v>0</v>
      </c>
      <c r="S576" s="4" t="s">
        <v>190</v>
      </c>
      <c r="T576" s="4" t="s">
        <v>323</v>
      </c>
      <c r="U576" s="4">
        <v>0</v>
      </c>
      <c r="V576" s="4">
        <v>25</v>
      </c>
      <c r="W576" s="4">
        <v>59</v>
      </c>
    </row>
    <row r="577" spans="1:23" ht="11.25" customHeight="1" x14ac:dyDescent="0.25">
      <c r="A577" s="4" t="s">
        <v>28</v>
      </c>
      <c r="B577" s="4" t="s">
        <v>35</v>
      </c>
      <c r="C577" s="4" t="s">
        <v>39</v>
      </c>
      <c r="D577" s="4" t="s">
        <v>42</v>
      </c>
      <c r="E577" s="4" t="s">
        <v>50</v>
      </c>
      <c r="F577" s="4" t="s">
        <v>52</v>
      </c>
      <c r="G577" s="4" t="s">
        <v>25</v>
      </c>
      <c r="H577" s="4" t="s">
        <v>38</v>
      </c>
      <c r="I577" s="5">
        <v>44501</v>
      </c>
      <c r="J577" s="6">
        <v>0</v>
      </c>
      <c r="K577" s="6">
        <v>0</v>
      </c>
      <c r="L577" s="6">
        <v>8.8059999999999992</v>
      </c>
      <c r="M577" s="6">
        <v>2.6417999999999999</v>
      </c>
      <c r="N577" s="6">
        <v>8.8059999999999992</v>
      </c>
      <c r="O577" s="6">
        <v>2.6417999999999999</v>
      </c>
      <c r="P577" s="6">
        <v>0</v>
      </c>
      <c r="Q577" s="4" t="s">
        <v>26</v>
      </c>
      <c r="R577" s="4">
        <v>0</v>
      </c>
      <c r="S577" s="4" t="s">
        <v>190</v>
      </c>
      <c r="T577" s="4" t="s">
        <v>323</v>
      </c>
      <c r="U577" s="4">
        <v>0</v>
      </c>
      <c r="V577" s="4">
        <v>25</v>
      </c>
      <c r="W577" s="4">
        <v>59</v>
      </c>
    </row>
    <row r="578" spans="1:23" ht="11.25" customHeight="1" x14ac:dyDescent="0.25">
      <c r="A578" s="4" t="s">
        <v>21</v>
      </c>
      <c r="B578" s="4" t="s">
        <v>35</v>
      </c>
      <c r="C578" s="4" t="s">
        <v>39</v>
      </c>
      <c r="D578" s="4" t="s">
        <v>42</v>
      </c>
      <c r="E578" s="4" t="s">
        <v>50</v>
      </c>
      <c r="F578" s="4" t="s">
        <v>52</v>
      </c>
      <c r="G578" s="4" t="s">
        <v>25</v>
      </c>
      <c r="H578" s="4" t="s">
        <v>38</v>
      </c>
      <c r="I578" s="5">
        <v>44531</v>
      </c>
      <c r="J578" s="6">
        <v>0</v>
      </c>
      <c r="K578" s="6">
        <v>0</v>
      </c>
      <c r="L578" s="6">
        <v>4394.9979999999996</v>
      </c>
      <c r="M578" s="6">
        <v>1318.4993999999999</v>
      </c>
      <c r="N578" s="6">
        <v>4394.9979999999996</v>
      </c>
      <c r="O578" s="6">
        <v>1318.4993999999999</v>
      </c>
      <c r="P578" s="6">
        <v>0</v>
      </c>
      <c r="Q578" s="4" t="s">
        <v>26</v>
      </c>
      <c r="R578" s="4">
        <v>0</v>
      </c>
      <c r="S578" s="4" t="s">
        <v>191</v>
      </c>
      <c r="T578" s="4" t="s">
        <v>324</v>
      </c>
      <c r="U578" s="4">
        <v>0</v>
      </c>
      <c r="V578" s="4">
        <v>25</v>
      </c>
      <c r="W578" s="4">
        <v>59</v>
      </c>
    </row>
    <row r="579" spans="1:23" ht="11.25" customHeight="1" x14ac:dyDescent="0.25">
      <c r="A579" s="4" t="s">
        <v>21</v>
      </c>
      <c r="B579" s="4" t="s">
        <v>35</v>
      </c>
      <c r="C579" s="4" t="s">
        <v>39</v>
      </c>
      <c r="D579" s="4" t="s">
        <v>42</v>
      </c>
      <c r="E579" s="4" t="s">
        <v>50</v>
      </c>
      <c r="F579" s="4" t="s">
        <v>52</v>
      </c>
      <c r="G579" s="4" t="s">
        <v>25</v>
      </c>
      <c r="H579" s="4" t="s">
        <v>38</v>
      </c>
      <c r="I579" s="5">
        <v>44562</v>
      </c>
      <c r="J579" s="6">
        <v>0</v>
      </c>
      <c r="K579" s="6">
        <v>0</v>
      </c>
      <c r="L579" s="6">
        <v>6187.6310000000003</v>
      </c>
      <c r="M579" s="6">
        <v>1856.2892999999999</v>
      </c>
      <c r="N579" s="6">
        <v>6187.6310000000003</v>
      </c>
      <c r="O579" s="6">
        <v>1856.2892999999999</v>
      </c>
      <c r="P579" s="6">
        <v>0</v>
      </c>
      <c r="Q579" s="4" t="s">
        <v>26</v>
      </c>
      <c r="R579" s="4">
        <v>0</v>
      </c>
      <c r="S579" s="4" t="s">
        <v>192</v>
      </c>
      <c r="T579" s="4" t="s">
        <v>325</v>
      </c>
      <c r="U579" s="4">
        <v>0</v>
      </c>
      <c r="V579" s="4">
        <v>25</v>
      </c>
      <c r="W579" s="4">
        <v>59</v>
      </c>
    </row>
    <row r="580" spans="1:23" ht="11.25" customHeight="1" x14ac:dyDescent="0.25">
      <c r="A580" s="4" t="s">
        <v>28</v>
      </c>
      <c r="B580" s="4" t="s">
        <v>35</v>
      </c>
      <c r="C580" s="4" t="s">
        <v>39</v>
      </c>
      <c r="D580" s="4" t="s">
        <v>42</v>
      </c>
      <c r="E580" s="4" t="s">
        <v>50</v>
      </c>
      <c r="F580" s="4" t="s">
        <v>52</v>
      </c>
      <c r="G580" s="4" t="s">
        <v>25</v>
      </c>
      <c r="H580" s="4" t="s">
        <v>38</v>
      </c>
      <c r="I580" s="5">
        <v>44562</v>
      </c>
      <c r="J580" s="6">
        <v>0</v>
      </c>
      <c r="K580" s="6">
        <v>0</v>
      </c>
      <c r="L580" s="6">
        <v>94.134</v>
      </c>
      <c r="M580" s="6">
        <v>28.240200000000002</v>
      </c>
      <c r="N580" s="6">
        <v>94.134</v>
      </c>
      <c r="O580" s="6">
        <v>28.240200000000002</v>
      </c>
      <c r="P580" s="6">
        <v>0</v>
      </c>
      <c r="Q580" s="4" t="s">
        <v>26</v>
      </c>
      <c r="R580" s="4">
        <v>0</v>
      </c>
      <c r="S580" s="4" t="s">
        <v>192</v>
      </c>
      <c r="T580" s="4" t="s">
        <v>325</v>
      </c>
      <c r="U580" s="4">
        <v>0</v>
      </c>
      <c r="V580" s="4">
        <v>25</v>
      </c>
      <c r="W580" s="4">
        <v>59</v>
      </c>
    </row>
    <row r="581" spans="1:23" ht="11.25" customHeight="1" x14ac:dyDescent="0.25">
      <c r="A581" s="4" t="s">
        <v>21</v>
      </c>
      <c r="B581" s="4" t="s">
        <v>35</v>
      </c>
      <c r="C581" s="4" t="s">
        <v>39</v>
      </c>
      <c r="D581" s="4" t="s">
        <v>42</v>
      </c>
      <c r="E581" s="4" t="s">
        <v>50</v>
      </c>
      <c r="F581" s="4" t="s">
        <v>52</v>
      </c>
      <c r="G581" s="4" t="s">
        <v>25</v>
      </c>
      <c r="H581" s="4" t="s">
        <v>38</v>
      </c>
      <c r="I581" s="5">
        <v>44593</v>
      </c>
      <c r="J581" s="6">
        <v>0</v>
      </c>
      <c r="K581" s="6">
        <v>0</v>
      </c>
      <c r="L581" s="6">
        <v>4719.0860000000002</v>
      </c>
      <c r="M581" s="6">
        <v>1415.7257999999999</v>
      </c>
      <c r="N581" s="6">
        <v>4719.0860000000002</v>
      </c>
      <c r="O581" s="6">
        <v>1415.7257999999999</v>
      </c>
      <c r="P581" s="6">
        <v>0</v>
      </c>
      <c r="Q581" s="4" t="s">
        <v>26</v>
      </c>
      <c r="R581" s="4">
        <v>0</v>
      </c>
      <c r="S581" s="4" t="s">
        <v>193</v>
      </c>
      <c r="T581" s="4" t="s">
        <v>326</v>
      </c>
      <c r="U581" s="4">
        <v>0</v>
      </c>
      <c r="V581" s="4">
        <v>25</v>
      </c>
      <c r="W581" s="4">
        <v>59</v>
      </c>
    </row>
    <row r="582" spans="1:23" ht="11.25" customHeight="1" x14ac:dyDescent="0.25">
      <c r="A582" s="4" t="s">
        <v>27</v>
      </c>
      <c r="B582" s="4" t="s">
        <v>35</v>
      </c>
      <c r="C582" s="4" t="s">
        <v>39</v>
      </c>
      <c r="D582" s="4" t="s">
        <v>42</v>
      </c>
      <c r="E582" s="4" t="s">
        <v>50</v>
      </c>
      <c r="F582" s="4" t="s">
        <v>52</v>
      </c>
      <c r="G582" s="4" t="s">
        <v>25</v>
      </c>
      <c r="H582" s="4" t="s">
        <v>38</v>
      </c>
      <c r="I582" s="5">
        <v>44593</v>
      </c>
      <c r="J582" s="6">
        <v>0</v>
      </c>
      <c r="K582" s="6">
        <v>0</v>
      </c>
      <c r="L582" s="6">
        <v>-59.923999999999999</v>
      </c>
      <c r="M582" s="6">
        <v>-17.9772</v>
      </c>
      <c r="N582" s="6">
        <v>-59.923999999999999</v>
      </c>
      <c r="O582" s="6">
        <v>-17.9772</v>
      </c>
      <c r="P582" s="6">
        <v>0</v>
      </c>
      <c r="Q582" s="4" t="s">
        <v>26</v>
      </c>
      <c r="R582" s="4">
        <v>0</v>
      </c>
      <c r="S582" s="4" t="s">
        <v>193</v>
      </c>
      <c r="T582" s="4" t="s">
        <v>326</v>
      </c>
      <c r="U582" s="4">
        <v>0</v>
      </c>
      <c r="V582" s="4">
        <v>25</v>
      </c>
      <c r="W582" s="4">
        <v>59</v>
      </c>
    </row>
    <row r="583" spans="1:23" ht="11.25" customHeight="1" x14ac:dyDescent="0.25">
      <c r="A583" s="4" t="s">
        <v>28</v>
      </c>
      <c r="B583" s="4" t="s">
        <v>35</v>
      </c>
      <c r="C583" s="4" t="s">
        <v>39</v>
      </c>
      <c r="D583" s="4" t="s">
        <v>42</v>
      </c>
      <c r="E583" s="4" t="s">
        <v>50</v>
      </c>
      <c r="F583" s="4" t="s">
        <v>52</v>
      </c>
      <c r="G583" s="4" t="s">
        <v>25</v>
      </c>
      <c r="H583" s="4" t="s">
        <v>38</v>
      </c>
      <c r="I583" s="5">
        <v>44593</v>
      </c>
      <c r="J583" s="6">
        <v>0</v>
      </c>
      <c r="K583" s="6">
        <v>0</v>
      </c>
      <c r="L583" s="6">
        <v>93.962999999999994</v>
      </c>
      <c r="M583" s="6">
        <v>28.1889</v>
      </c>
      <c r="N583" s="6">
        <v>93.962999999999994</v>
      </c>
      <c r="O583" s="6">
        <v>28.1889</v>
      </c>
      <c r="P583" s="6">
        <v>0</v>
      </c>
      <c r="Q583" s="4" t="s">
        <v>26</v>
      </c>
      <c r="R583" s="4">
        <v>0</v>
      </c>
      <c r="S583" s="4" t="s">
        <v>193</v>
      </c>
      <c r="T583" s="4" t="s">
        <v>326</v>
      </c>
      <c r="U583" s="4">
        <v>0</v>
      </c>
      <c r="V583" s="4">
        <v>25</v>
      </c>
      <c r="W583" s="4">
        <v>59</v>
      </c>
    </row>
    <row r="584" spans="1:23" ht="11.25" customHeight="1" x14ac:dyDescent="0.25">
      <c r="A584" s="4" t="s">
        <v>21</v>
      </c>
      <c r="B584" s="4" t="s">
        <v>35</v>
      </c>
      <c r="C584" s="4" t="s">
        <v>39</v>
      </c>
      <c r="D584" s="4" t="s">
        <v>42</v>
      </c>
      <c r="E584" s="4" t="s">
        <v>50</v>
      </c>
      <c r="F584" s="4" t="s">
        <v>52</v>
      </c>
      <c r="G584" s="4" t="s">
        <v>25</v>
      </c>
      <c r="H584" s="4" t="s">
        <v>38</v>
      </c>
      <c r="I584" s="5">
        <v>44621</v>
      </c>
      <c r="J584" s="6">
        <v>0</v>
      </c>
      <c r="K584" s="6">
        <v>0</v>
      </c>
      <c r="L584" s="6">
        <v>3626.3319999999999</v>
      </c>
      <c r="M584" s="6">
        <v>1087.8996</v>
      </c>
      <c r="N584" s="6">
        <v>3626.3319999999999</v>
      </c>
      <c r="O584" s="6">
        <v>1087.8996</v>
      </c>
      <c r="P584" s="6">
        <v>0</v>
      </c>
      <c r="Q584" s="4" t="s">
        <v>26</v>
      </c>
      <c r="R584" s="4">
        <v>0</v>
      </c>
      <c r="S584" s="4" t="s">
        <v>194</v>
      </c>
      <c r="T584" s="4" t="s">
        <v>327</v>
      </c>
      <c r="U584" s="4">
        <v>0</v>
      </c>
      <c r="V584" s="4">
        <v>25</v>
      </c>
      <c r="W584" s="4">
        <v>59</v>
      </c>
    </row>
    <row r="585" spans="1:23" ht="11.25" customHeight="1" x14ac:dyDescent="0.25">
      <c r="A585" s="4" t="s">
        <v>27</v>
      </c>
      <c r="B585" s="4" t="s">
        <v>35</v>
      </c>
      <c r="C585" s="4" t="s">
        <v>39</v>
      </c>
      <c r="D585" s="4" t="s">
        <v>42</v>
      </c>
      <c r="E585" s="4" t="s">
        <v>50</v>
      </c>
      <c r="F585" s="4" t="s">
        <v>52</v>
      </c>
      <c r="G585" s="4" t="s">
        <v>25</v>
      </c>
      <c r="H585" s="4" t="s">
        <v>38</v>
      </c>
      <c r="I585" s="5">
        <v>44621</v>
      </c>
      <c r="J585" s="6">
        <v>0</v>
      </c>
      <c r="K585" s="6">
        <v>0</v>
      </c>
      <c r="L585" s="6">
        <v>-98.995000000000005</v>
      </c>
      <c r="M585" s="6">
        <v>-29.698499999999999</v>
      </c>
      <c r="N585" s="6">
        <v>-98.995000000000005</v>
      </c>
      <c r="O585" s="6">
        <v>-29.698499999999999</v>
      </c>
      <c r="P585" s="6">
        <v>0</v>
      </c>
      <c r="Q585" s="4" t="s">
        <v>26</v>
      </c>
      <c r="R585" s="4">
        <v>0</v>
      </c>
      <c r="S585" s="4" t="s">
        <v>194</v>
      </c>
      <c r="T585" s="4" t="s">
        <v>327</v>
      </c>
      <c r="U585" s="4">
        <v>0</v>
      </c>
      <c r="V585" s="4">
        <v>25</v>
      </c>
      <c r="W585" s="4">
        <v>59</v>
      </c>
    </row>
    <row r="586" spans="1:23" ht="11.25" customHeight="1" x14ac:dyDescent="0.25">
      <c r="A586" s="4" t="s">
        <v>28</v>
      </c>
      <c r="B586" s="4" t="s">
        <v>35</v>
      </c>
      <c r="C586" s="4" t="s">
        <v>39</v>
      </c>
      <c r="D586" s="4" t="s">
        <v>42</v>
      </c>
      <c r="E586" s="4" t="s">
        <v>50</v>
      </c>
      <c r="F586" s="4" t="s">
        <v>52</v>
      </c>
      <c r="G586" s="4" t="s">
        <v>25</v>
      </c>
      <c r="H586" s="4" t="s">
        <v>38</v>
      </c>
      <c r="I586" s="5">
        <v>44621</v>
      </c>
      <c r="J586" s="6">
        <v>0</v>
      </c>
      <c r="K586" s="6">
        <v>0</v>
      </c>
      <c r="L586" s="6">
        <v>43.478000000000002</v>
      </c>
      <c r="M586" s="6">
        <v>13.0434</v>
      </c>
      <c r="N586" s="6">
        <v>43.478000000000002</v>
      </c>
      <c r="O586" s="6">
        <v>13.0434</v>
      </c>
      <c r="P586" s="6">
        <v>0</v>
      </c>
      <c r="Q586" s="4" t="s">
        <v>26</v>
      </c>
      <c r="R586" s="4">
        <v>0</v>
      </c>
      <c r="S586" s="4" t="s">
        <v>194</v>
      </c>
      <c r="T586" s="4" t="s">
        <v>327</v>
      </c>
      <c r="U586" s="4">
        <v>0</v>
      </c>
      <c r="V586" s="4">
        <v>25</v>
      </c>
      <c r="W586" s="4">
        <v>59</v>
      </c>
    </row>
    <row r="587" spans="1:23" ht="11.25" customHeight="1" x14ac:dyDescent="0.25">
      <c r="A587" s="4" t="s">
        <v>21</v>
      </c>
      <c r="B587" s="4" t="s">
        <v>35</v>
      </c>
      <c r="C587" s="4" t="s">
        <v>39</v>
      </c>
      <c r="D587" s="4" t="s">
        <v>42</v>
      </c>
      <c r="E587" s="4" t="s">
        <v>50</v>
      </c>
      <c r="F587" s="4" t="s">
        <v>52</v>
      </c>
      <c r="G587" s="4" t="s">
        <v>25</v>
      </c>
      <c r="H587" s="4" t="s">
        <v>38</v>
      </c>
      <c r="I587" s="5">
        <v>44652</v>
      </c>
      <c r="J587" s="6">
        <v>0</v>
      </c>
      <c r="K587" s="6">
        <v>0</v>
      </c>
      <c r="L587" s="6">
        <v>891.06500000000005</v>
      </c>
      <c r="M587" s="6">
        <v>267.31950000000001</v>
      </c>
      <c r="N587" s="6">
        <v>891.06500000000005</v>
      </c>
      <c r="O587" s="6">
        <v>267.31950000000001</v>
      </c>
      <c r="P587" s="6">
        <v>0</v>
      </c>
      <c r="Q587" s="4" t="s">
        <v>26</v>
      </c>
      <c r="R587" s="4">
        <v>0</v>
      </c>
      <c r="S587" s="4" t="s">
        <v>195</v>
      </c>
      <c r="T587" s="4" t="s">
        <v>328</v>
      </c>
      <c r="U587" s="4">
        <v>0</v>
      </c>
      <c r="V587" s="4">
        <v>25</v>
      </c>
      <c r="W587" s="4">
        <v>59</v>
      </c>
    </row>
    <row r="588" spans="1:23" ht="11.25" customHeight="1" x14ac:dyDescent="0.25">
      <c r="A588" s="4" t="s">
        <v>27</v>
      </c>
      <c r="B588" s="4" t="s">
        <v>35</v>
      </c>
      <c r="C588" s="4" t="s">
        <v>39</v>
      </c>
      <c r="D588" s="4" t="s">
        <v>42</v>
      </c>
      <c r="E588" s="4" t="s">
        <v>50</v>
      </c>
      <c r="F588" s="4" t="s">
        <v>52</v>
      </c>
      <c r="G588" s="4" t="s">
        <v>25</v>
      </c>
      <c r="H588" s="4" t="s">
        <v>38</v>
      </c>
      <c r="I588" s="5">
        <v>44652</v>
      </c>
      <c r="J588" s="6">
        <v>0</v>
      </c>
      <c r="K588" s="6">
        <v>0</v>
      </c>
      <c r="L588" s="6">
        <v>-29.437000000000001</v>
      </c>
      <c r="M588" s="6">
        <v>-8.8310999999999993</v>
      </c>
      <c r="N588" s="6">
        <v>-29.437000000000001</v>
      </c>
      <c r="O588" s="6">
        <v>-8.8310999999999993</v>
      </c>
      <c r="P588" s="6">
        <v>0</v>
      </c>
      <c r="Q588" s="4" t="s">
        <v>26</v>
      </c>
      <c r="R588" s="4">
        <v>0</v>
      </c>
      <c r="S588" s="4" t="s">
        <v>195</v>
      </c>
      <c r="T588" s="4" t="s">
        <v>328</v>
      </c>
      <c r="U588" s="4">
        <v>0</v>
      </c>
      <c r="V588" s="4">
        <v>25</v>
      </c>
      <c r="W588" s="4">
        <v>59</v>
      </c>
    </row>
    <row r="589" spans="1:23" ht="11.25" customHeight="1" x14ac:dyDescent="0.25">
      <c r="A589" s="4" t="s">
        <v>28</v>
      </c>
      <c r="B589" s="4" t="s">
        <v>35</v>
      </c>
      <c r="C589" s="4" t="s">
        <v>39</v>
      </c>
      <c r="D589" s="4" t="s">
        <v>42</v>
      </c>
      <c r="E589" s="4" t="s">
        <v>50</v>
      </c>
      <c r="F589" s="4" t="s">
        <v>52</v>
      </c>
      <c r="G589" s="4" t="s">
        <v>25</v>
      </c>
      <c r="H589" s="4" t="s">
        <v>38</v>
      </c>
      <c r="I589" s="5">
        <v>44652</v>
      </c>
      <c r="J589" s="6">
        <v>0</v>
      </c>
      <c r="K589" s="6">
        <v>0</v>
      </c>
      <c r="L589" s="6">
        <v>15.882</v>
      </c>
      <c r="M589" s="6">
        <v>4.7645999999999997</v>
      </c>
      <c r="N589" s="6">
        <v>15.882</v>
      </c>
      <c r="O589" s="6">
        <v>4.7645999999999997</v>
      </c>
      <c r="P589" s="6">
        <v>0</v>
      </c>
      <c r="Q589" s="4" t="s">
        <v>26</v>
      </c>
      <c r="R589" s="4">
        <v>0</v>
      </c>
      <c r="S589" s="4" t="s">
        <v>195</v>
      </c>
      <c r="T589" s="4" t="s">
        <v>328</v>
      </c>
      <c r="U589" s="4">
        <v>0</v>
      </c>
      <c r="V589" s="4">
        <v>25</v>
      </c>
      <c r="W589" s="4">
        <v>59</v>
      </c>
    </row>
    <row r="590" spans="1:23" ht="11.25" customHeight="1" x14ac:dyDescent="0.25">
      <c r="A590" s="4" t="s">
        <v>21</v>
      </c>
      <c r="B590" s="4" t="s">
        <v>35</v>
      </c>
      <c r="C590" s="4" t="s">
        <v>39</v>
      </c>
      <c r="D590" s="4" t="s">
        <v>42</v>
      </c>
      <c r="E590" s="4" t="s">
        <v>50</v>
      </c>
      <c r="F590" s="4" t="s">
        <v>52</v>
      </c>
      <c r="G590" s="4" t="s">
        <v>25</v>
      </c>
      <c r="H590" s="4" t="s">
        <v>38</v>
      </c>
      <c r="I590" s="5">
        <v>44682</v>
      </c>
      <c r="J590" s="6">
        <v>0</v>
      </c>
      <c r="K590" s="6">
        <v>0</v>
      </c>
      <c r="L590" s="6">
        <v>287.714</v>
      </c>
      <c r="M590" s="6">
        <v>86.3142</v>
      </c>
      <c r="N590" s="6">
        <v>287.714</v>
      </c>
      <c r="O590" s="6">
        <v>86.3142</v>
      </c>
      <c r="P590" s="6">
        <v>0</v>
      </c>
      <c r="Q590" s="4" t="s">
        <v>26</v>
      </c>
      <c r="R590" s="4">
        <v>0</v>
      </c>
      <c r="S590" s="4" t="s">
        <v>196</v>
      </c>
      <c r="T590" s="4" t="s">
        <v>329</v>
      </c>
      <c r="U590" s="4">
        <v>0</v>
      </c>
      <c r="V590" s="4">
        <v>25</v>
      </c>
      <c r="W590" s="4">
        <v>59</v>
      </c>
    </row>
    <row r="591" spans="1:23" ht="11.25" customHeight="1" x14ac:dyDescent="0.25">
      <c r="A591" s="4" t="s">
        <v>27</v>
      </c>
      <c r="B591" s="4" t="s">
        <v>35</v>
      </c>
      <c r="C591" s="4" t="s">
        <v>39</v>
      </c>
      <c r="D591" s="4" t="s">
        <v>42</v>
      </c>
      <c r="E591" s="4" t="s">
        <v>50</v>
      </c>
      <c r="F591" s="4" t="s">
        <v>52</v>
      </c>
      <c r="G591" s="4" t="s">
        <v>25</v>
      </c>
      <c r="H591" s="4" t="s">
        <v>38</v>
      </c>
      <c r="I591" s="5">
        <v>44682</v>
      </c>
      <c r="J591" s="6">
        <v>0</v>
      </c>
      <c r="K591" s="6">
        <v>0</v>
      </c>
      <c r="L591" s="6">
        <v>-6.31</v>
      </c>
      <c r="M591" s="6">
        <v>-1.893</v>
      </c>
      <c r="N591" s="6">
        <v>-6.31</v>
      </c>
      <c r="O591" s="6">
        <v>-1.893</v>
      </c>
      <c r="P591" s="6">
        <v>0</v>
      </c>
      <c r="Q591" s="4" t="s">
        <v>26</v>
      </c>
      <c r="R591" s="4">
        <v>0</v>
      </c>
      <c r="S591" s="4" t="s">
        <v>196</v>
      </c>
      <c r="T591" s="4" t="s">
        <v>329</v>
      </c>
      <c r="U591" s="4">
        <v>0</v>
      </c>
      <c r="V591" s="4">
        <v>25</v>
      </c>
      <c r="W591" s="4">
        <v>59</v>
      </c>
    </row>
    <row r="592" spans="1:23" ht="11.25" customHeight="1" x14ac:dyDescent="0.25">
      <c r="A592" s="4" t="s">
        <v>21</v>
      </c>
      <c r="B592" s="4" t="s">
        <v>35</v>
      </c>
      <c r="C592" s="4" t="s">
        <v>39</v>
      </c>
      <c r="D592" s="4" t="s">
        <v>42</v>
      </c>
      <c r="E592" s="4" t="s">
        <v>50</v>
      </c>
      <c r="F592" s="4" t="s">
        <v>52</v>
      </c>
      <c r="G592" s="4" t="s">
        <v>25</v>
      </c>
      <c r="H592" s="4" t="s">
        <v>38</v>
      </c>
      <c r="I592" s="5">
        <v>44713</v>
      </c>
      <c r="J592" s="6">
        <v>0</v>
      </c>
      <c r="K592" s="6">
        <v>0</v>
      </c>
      <c r="L592" s="6">
        <v>222.86099999999999</v>
      </c>
      <c r="M592" s="6">
        <v>66.8583</v>
      </c>
      <c r="N592" s="6">
        <v>222.86099999999999</v>
      </c>
      <c r="O592" s="6">
        <v>66.8583</v>
      </c>
      <c r="P592" s="6">
        <v>0</v>
      </c>
      <c r="Q592" s="4" t="s">
        <v>26</v>
      </c>
      <c r="R592" s="4">
        <v>0</v>
      </c>
      <c r="S592" s="4" t="s">
        <v>197</v>
      </c>
      <c r="T592" s="4" t="s">
        <v>330</v>
      </c>
      <c r="U592" s="4">
        <v>0</v>
      </c>
      <c r="V592" s="4">
        <v>25</v>
      </c>
      <c r="W592" s="4">
        <v>59</v>
      </c>
    </row>
    <row r="593" spans="1:23" ht="11.25" customHeight="1" x14ac:dyDescent="0.25">
      <c r="A593" s="4" t="s">
        <v>27</v>
      </c>
      <c r="B593" s="4" t="s">
        <v>35</v>
      </c>
      <c r="C593" s="4" t="s">
        <v>39</v>
      </c>
      <c r="D593" s="4" t="s">
        <v>42</v>
      </c>
      <c r="E593" s="4" t="s">
        <v>50</v>
      </c>
      <c r="F593" s="4" t="s">
        <v>52</v>
      </c>
      <c r="G593" s="4" t="s">
        <v>25</v>
      </c>
      <c r="H593" s="4" t="s">
        <v>38</v>
      </c>
      <c r="I593" s="5">
        <v>44713</v>
      </c>
      <c r="J593" s="6">
        <v>0</v>
      </c>
      <c r="K593" s="6">
        <v>0</v>
      </c>
      <c r="L593" s="6">
        <v>-0.36299999999999999</v>
      </c>
      <c r="M593" s="6">
        <v>-0.1089</v>
      </c>
      <c r="N593" s="6">
        <v>-0.36299999999999999</v>
      </c>
      <c r="O593" s="6">
        <v>-0.1089</v>
      </c>
      <c r="P593" s="6">
        <v>0</v>
      </c>
      <c r="Q593" s="4" t="s">
        <v>26</v>
      </c>
      <c r="R593" s="4">
        <v>0</v>
      </c>
      <c r="S593" s="4" t="s">
        <v>197</v>
      </c>
      <c r="T593" s="4" t="s">
        <v>330</v>
      </c>
      <c r="U593" s="4">
        <v>0</v>
      </c>
      <c r="V593" s="4">
        <v>25</v>
      </c>
      <c r="W593" s="4">
        <v>59</v>
      </c>
    </row>
    <row r="594" spans="1:23" ht="11.25" customHeight="1" x14ac:dyDescent="0.25">
      <c r="A594" s="4" t="s">
        <v>28</v>
      </c>
      <c r="B594" s="4" t="s">
        <v>35</v>
      </c>
      <c r="C594" s="4" t="s">
        <v>39</v>
      </c>
      <c r="D594" s="4" t="s">
        <v>42</v>
      </c>
      <c r="E594" s="4" t="s">
        <v>50</v>
      </c>
      <c r="F594" s="4" t="s">
        <v>52</v>
      </c>
      <c r="G594" s="4" t="s">
        <v>25</v>
      </c>
      <c r="H594" s="4" t="s">
        <v>38</v>
      </c>
      <c r="I594" s="5">
        <v>44713</v>
      </c>
      <c r="J594" s="6">
        <v>0</v>
      </c>
      <c r="K594" s="6">
        <v>0</v>
      </c>
      <c r="L594" s="6">
        <v>2E-3</v>
      </c>
      <c r="M594" s="6">
        <v>5.9999999999999995E-4</v>
      </c>
      <c r="N594" s="6">
        <v>2E-3</v>
      </c>
      <c r="O594" s="6">
        <v>5.9999999999999995E-4</v>
      </c>
      <c r="P594" s="6">
        <v>0</v>
      </c>
      <c r="Q594" s="4" t="s">
        <v>26</v>
      </c>
      <c r="R594" s="4">
        <v>0</v>
      </c>
      <c r="S594" s="4" t="s">
        <v>197</v>
      </c>
      <c r="T594" s="4" t="s">
        <v>330</v>
      </c>
      <c r="U594" s="4">
        <v>0</v>
      </c>
      <c r="V594" s="4">
        <v>25</v>
      </c>
      <c r="W594" s="4">
        <v>59</v>
      </c>
    </row>
    <row r="595" spans="1:23" ht="11.25" customHeight="1" x14ac:dyDescent="0.25">
      <c r="A595" s="4" t="s">
        <v>21</v>
      </c>
      <c r="B595" s="4" t="s">
        <v>35</v>
      </c>
      <c r="C595" s="4" t="s">
        <v>39</v>
      </c>
      <c r="D595" s="4" t="s">
        <v>42</v>
      </c>
      <c r="E595" s="4" t="s">
        <v>50</v>
      </c>
      <c r="F595" s="4" t="s">
        <v>25</v>
      </c>
      <c r="G595" s="4" t="s">
        <v>25</v>
      </c>
      <c r="H595" s="4" t="s">
        <v>25</v>
      </c>
      <c r="I595" s="5">
        <v>44378</v>
      </c>
      <c r="J595" s="6">
        <v>5208</v>
      </c>
      <c r="K595" s="6">
        <v>4999.6799999999994</v>
      </c>
      <c r="L595" s="6">
        <v>0</v>
      </c>
      <c r="M595" s="6">
        <v>0</v>
      </c>
      <c r="N595" s="6">
        <v>0</v>
      </c>
      <c r="O595" s="6">
        <v>0</v>
      </c>
      <c r="P595" s="6">
        <v>146</v>
      </c>
      <c r="Q595" s="4" t="s">
        <v>26</v>
      </c>
      <c r="R595" s="4">
        <v>0</v>
      </c>
      <c r="S595" s="4" t="s">
        <v>198</v>
      </c>
      <c r="U595" s="4">
        <v>18</v>
      </c>
      <c r="V595" s="4">
        <v>0</v>
      </c>
      <c r="W595" s="4">
        <v>0</v>
      </c>
    </row>
    <row r="596" spans="1:23" ht="11.25" customHeight="1" x14ac:dyDescent="0.25">
      <c r="A596" s="4" t="s">
        <v>28</v>
      </c>
      <c r="B596" s="4" t="s">
        <v>35</v>
      </c>
      <c r="C596" s="4" t="s">
        <v>39</v>
      </c>
      <c r="D596" s="4" t="s">
        <v>42</v>
      </c>
      <c r="E596" s="4" t="s">
        <v>50</v>
      </c>
      <c r="F596" s="4" t="s">
        <v>25</v>
      </c>
      <c r="G596" s="4" t="s">
        <v>25</v>
      </c>
      <c r="H596" s="4" t="s">
        <v>25</v>
      </c>
      <c r="I596" s="5">
        <v>44378</v>
      </c>
      <c r="J596" s="6">
        <v>1170</v>
      </c>
      <c r="K596" s="6">
        <v>1123.2</v>
      </c>
      <c r="L596" s="6">
        <v>0</v>
      </c>
      <c r="M596" s="6">
        <v>0</v>
      </c>
      <c r="N596" s="6">
        <v>0</v>
      </c>
      <c r="O596" s="6">
        <v>0</v>
      </c>
      <c r="P596" s="6">
        <v>5</v>
      </c>
      <c r="Q596" s="4" t="s">
        <v>26</v>
      </c>
      <c r="R596" s="4">
        <v>0</v>
      </c>
      <c r="S596" s="4" t="s">
        <v>198</v>
      </c>
      <c r="U596" s="4">
        <v>18</v>
      </c>
      <c r="V596" s="4">
        <v>0</v>
      </c>
      <c r="W596" s="4">
        <v>0</v>
      </c>
    </row>
    <row r="597" spans="1:23" ht="11.25" customHeight="1" x14ac:dyDescent="0.25">
      <c r="A597" s="4" t="s">
        <v>21</v>
      </c>
      <c r="B597" s="4" t="s">
        <v>35</v>
      </c>
      <c r="C597" s="4" t="s">
        <v>39</v>
      </c>
      <c r="D597" s="4" t="s">
        <v>42</v>
      </c>
      <c r="E597" s="4" t="s">
        <v>50</v>
      </c>
      <c r="F597" s="4" t="s">
        <v>25</v>
      </c>
      <c r="G597" s="4" t="s">
        <v>25</v>
      </c>
      <c r="H597" s="4" t="s">
        <v>25</v>
      </c>
      <c r="I597" s="5">
        <v>44409</v>
      </c>
      <c r="J597" s="6">
        <v>7146</v>
      </c>
      <c r="K597" s="6">
        <v>6860.16</v>
      </c>
      <c r="L597" s="6">
        <v>0</v>
      </c>
      <c r="M597" s="6">
        <v>0</v>
      </c>
      <c r="N597" s="6">
        <v>0</v>
      </c>
      <c r="O597" s="6">
        <v>0</v>
      </c>
      <c r="P597" s="6">
        <v>151</v>
      </c>
      <c r="Q597" s="4" t="s">
        <v>26</v>
      </c>
      <c r="R597" s="4">
        <v>0</v>
      </c>
      <c r="S597" s="4" t="s">
        <v>199</v>
      </c>
      <c r="U597" s="4">
        <v>18</v>
      </c>
      <c r="V597" s="4">
        <v>0</v>
      </c>
      <c r="W597" s="4">
        <v>0</v>
      </c>
    </row>
    <row r="598" spans="1:23" ht="11.25" customHeight="1" x14ac:dyDescent="0.25">
      <c r="A598" s="4" t="s">
        <v>28</v>
      </c>
      <c r="B598" s="4" t="s">
        <v>35</v>
      </c>
      <c r="C598" s="4" t="s">
        <v>39</v>
      </c>
      <c r="D598" s="4" t="s">
        <v>42</v>
      </c>
      <c r="E598" s="4" t="s">
        <v>50</v>
      </c>
      <c r="F598" s="4" t="s">
        <v>25</v>
      </c>
      <c r="G598" s="4" t="s">
        <v>25</v>
      </c>
      <c r="H598" s="4" t="s">
        <v>25</v>
      </c>
      <c r="I598" s="5">
        <v>44409</v>
      </c>
      <c r="J598" s="6">
        <v>1170</v>
      </c>
      <c r="K598" s="6">
        <v>1123.2</v>
      </c>
      <c r="L598" s="6">
        <v>0</v>
      </c>
      <c r="M598" s="6">
        <v>0</v>
      </c>
      <c r="N598" s="6">
        <v>0</v>
      </c>
      <c r="O598" s="6">
        <v>0</v>
      </c>
      <c r="P598" s="6">
        <v>5</v>
      </c>
      <c r="Q598" s="4" t="s">
        <v>26</v>
      </c>
      <c r="R598" s="4">
        <v>0</v>
      </c>
      <c r="S598" s="4" t="s">
        <v>199</v>
      </c>
      <c r="U598" s="4">
        <v>18</v>
      </c>
      <c r="V598" s="4">
        <v>0</v>
      </c>
      <c r="W598" s="4">
        <v>0</v>
      </c>
    </row>
    <row r="599" spans="1:23" ht="11.25" customHeight="1" x14ac:dyDescent="0.25">
      <c r="A599" s="4" t="s">
        <v>21</v>
      </c>
      <c r="B599" s="4" t="s">
        <v>35</v>
      </c>
      <c r="C599" s="4" t="s">
        <v>39</v>
      </c>
      <c r="D599" s="4" t="s">
        <v>42</v>
      </c>
      <c r="E599" s="4" t="s">
        <v>50</v>
      </c>
      <c r="F599" s="4" t="s">
        <v>25</v>
      </c>
      <c r="G599" s="4" t="s">
        <v>25</v>
      </c>
      <c r="H599" s="4" t="s">
        <v>25</v>
      </c>
      <c r="I599" s="5">
        <v>44440</v>
      </c>
      <c r="J599" s="6">
        <v>15970</v>
      </c>
      <c r="K599" s="6">
        <v>15331.199999999999</v>
      </c>
      <c r="L599" s="6">
        <v>0</v>
      </c>
      <c r="M599" s="6">
        <v>0</v>
      </c>
      <c r="N599" s="6">
        <v>0</v>
      </c>
      <c r="O599" s="6">
        <v>0</v>
      </c>
      <c r="P599" s="6">
        <v>157</v>
      </c>
      <c r="Q599" s="4" t="s">
        <v>26</v>
      </c>
      <c r="R599" s="4">
        <v>0</v>
      </c>
      <c r="S599" s="4" t="s">
        <v>200</v>
      </c>
      <c r="U599" s="4">
        <v>18</v>
      </c>
      <c r="V599" s="4">
        <v>0</v>
      </c>
      <c r="W599" s="4">
        <v>0</v>
      </c>
    </row>
    <row r="600" spans="1:23" ht="11.25" customHeight="1" x14ac:dyDescent="0.25">
      <c r="A600" s="4" t="s">
        <v>28</v>
      </c>
      <c r="B600" s="4" t="s">
        <v>35</v>
      </c>
      <c r="C600" s="4" t="s">
        <v>39</v>
      </c>
      <c r="D600" s="4" t="s">
        <v>42</v>
      </c>
      <c r="E600" s="4" t="s">
        <v>50</v>
      </c>
      <c r="F600" s="4" t="s">
        <v>25</v>
      </c>
      <c r="G600" s="4" t="s">
        <v>25</v>
      </c>
      <c r="H600" s="4" t="s">
        <v>25</v>
      </c>
      <c r="I600" s="5">
        <v>44440</v>
      </c>
      <c r="J600" s="6">
        <v>1170</v>
      </c>
      <c r="K600" s="6">
        <v>1123.2</v>
      </c>
      <c r="L600" s="6">
        <v>0</v>
      </c>
      <c r="M600" s="6">
        <v>0</v>
      </c>
      <c r="N600" s="6">
        <v>0</v>
      </c>
      <c r="O600" s="6">
        <v>0</v>
      </c>
      <c r="P600" s="6">
        <v>5</v>
      </c>
      <c r="Q600" s="4" t="s">
        <v>26</v>
      </c>
      <c r="R600" s="4">
        <v>0</v>
      </c>
      <c r="S600" s="4" t="s">
        <v>200</v>
      </c>
      <c r="U600" s="4">
        <v>18</v>
      </c>
      <c r="V600" s="4">
        <v>0</v>
      </c>
      <c r="W600" s="4">
        <v>0</v>
      </c>
    </row>
    <row r="601" spans="1:23" ht="11.25" customHeight="1" x14ac:dyDescent="0.25">
      <c r="A601" s="4" t="s">
        <v>21</v>
      </c>
      <c r="B601" s="4" t="s">
        <v>35</v>
      </c>
      <c r="C601" s="4" t="s">
        <v>39</v>
      </c>
      <c r="D601" s="4" t="s">
        <v>42</v>
      </c>
      <c r="E601" s="4" t="s">
        <v>50</v>
      </c>
      <c r="F601" s="4" t="s">
        <v>25</v>
      </c>
      <c r="G601" s="4" t="s">
        <v>25</v>
      </c>
      <c r="H601" s="4" t="s">
        <v>25</v>
      </c>
      <c r="I601" s="5">
        <v>44470</v>
      </c>
      <c r="J601" s="6">
        <v>14507</v>
      </c>
      <c r="K601" s="6">
        <v>13926.72</v>
      </c>
      <c r="L601" s="6">
        <v>0</v>
      </c>
      <c r="M601" s="6">
        <v>0</v>
      </c>
      <c r="N601" s="6">
        <v>0</v>
      </c>
      <c r="O601" s="6">
        <v>0</v>
      </c>
      <c r="P601" s="6">
        <v>159</v>
      </c>
      <c r="Q601" s="4" t="s">
        <v>26</v>
      </c>
      <c r="R601" s="4">
        <v>0</v>
      </c>
      <c r="S601" s="4" t="s">
        <v>201</v>
      </c>
      <c r="U601" s="4">
        <v>18</v>
      </c>
      <c r="V601" s="4">
        <v>0</v>
      </c>
      <c r="W601" s="4">
        <v>0</v>
      </c>
    </row>
    <row r="602" spans="1:23" ht="11.25" customHeight="1" x14ac:dyDescent="0.25">
      <c r="A602" s="4" t="s">
        <v>28</v>
      </c>
      <c r="B602" s="4" t="s">
        <v>35</v>
      </c>
      <c r="C602" s="4" t="s">
        <v>39</v>
      </c>
      <c r="D602" s="4" t="s">
        <v>42</v>
      </c>
      <c r="E602" s="4" t="s">
        <v>50</v>
      </c>
      <c r="F602" s="4" t="s">
        <v>25</v>
      </c>
      <c r="G602" s="4" t="s">
        <v>25</v>
      </c>
      <c r="H602" s="4" t="s">
        <v>25</v>
      </c>
      <c r="I602" s="5">
        <v>44470</v>
      </c>
      <c r="J602" s="6">
        <v>1354</v>
      </c>
      <c r="K602" s="6">
        <v>1299.8399999999999</v>
      </c>
      <c r="L602" s="6">
        <v>0</v>
      </c>
      <c r="M602" s="6">
        <v>0</v>
      </c>
      <c r="N602" s="6">
        <v>0</v>
      </c>
      <c r="O602" s="6">
        <v>0</v>
      </c>
      <c r="P602" s="6">
        <v>5</v>
      </c>
      <c r="Q602" s="4" t="s">
        <v>26</v>
      </c>
      <c r="R602" s="4">
        <v>0</v>
      </c>
      <c r="S602" s="4" t="s">
        <v>201</v>
      </c>
      <c r="U602" s="4">
        <v>18</v>
      </c>
      <c r="V602" s="4">
        <v>0</v>
      </c>
      <c r="W602" s="4">
        <v>0</v>
      </c>
    </row>
    <row r="603" spans="1:23" ht="11.25" customHeight="1" x14ac:dyDescent="0.25">
      <c r="A603" s="4" t="s">
        <v>21</v>
      </c>
      <c r="B603" s="4" t="s">
        <v>35</v>
      </c>
      <c r="C603" s="4" t="s">
        <v>39</v>
      </c>
      <c r="D603" s="4" t="s">
        <v>42</v>
      </c>
      <c r="E603" s="4" t="s">
        <v>50</v>
      </c>
      <c r="F603" s="4" t="s">
        <v>25</v>
      </c>
      <c r="G603" s="4" t="s">
        <v>25</v>
      </c>
      <c r="H603" s="4" t="s">
        <v>25</v>
      </c>
      <c r="I603" s="5">
        <v>44501</v>
      </c>
      <c r="J603" s="6">
        <v>22271</v>
      </c>
      <c r="K603" s="6">
        <v>21380.16</v>
      </c>
      <c r="L603" s="6">
        <v>0</v>
      </c>
      <c r="M603" s="6">
        <v>0</v>
      </c>
      <c r="N603" s="6">
        <v>0</v>
      </c>
      <c r="O603" s="6">
        <v>0</v>
      </c>
      <c r="P603" s="6">
        <v>161</v>
      </c>
      <c r="Q603" s="4" t="s">
        <v>26</v>
      </c>
      <c r="R603" s="4">
        <v>0</v>
      </c>
      <c r="S603" s="4" t="s">
        <v>202</v>
      </c>
      <c r="U603" s="4">
        <v>18</v>
      </c>
      <c r="V603" s="4">
        <v>0</v>
      </c>
      <c r="W603" s="4">
        <v>0</v>
      </c>
    </row>
    <row r="604" spans="1:23" ht="11.25" customHeight="1" x14ac:dyDescent="0.25">
      <c r="A604" s="4" t="s">
        <v>27</v>
      </c>
      <c r="B604" s="4" t="s">
        <v>35</v>
      </c>
      <c r="C604" s="4" t="s">
        <v>39</v>
      </c>
      <c r="D604" s="4" t="s">
        <v>42</v>
      </c>
      <c r="E604" s="4" t="s">
        <v>50</v>
      </c>
      <c r="F604" s="4" t="s">
        <v>25</v>
      </c>
      <c r="G604" s="4" t="s">
        <v>25</v>
      </c>
      <c r="H604" s="4" t="s">
        <v>25</v>
      </c>
      <c r="I604" s="5">
        <v>44501</v>
      </c>
      <c r="J604" s="6">
        <v>-241</v>
      </c>
      <c r="K604" s="6">
        <v>-231.35999999999999</v>
      </c>
      <c r="L604" s="6">
        <v>0</v>
      </c>
      <c r="M604" s="6">
        <v>0</v>
      </c>
      <c r="N604" s="6">
        <v>0</v>
      </c>
      <c r="O604" s="6">
        <v>0</v>
      </c>
      <c r="P604" s="6">
        <v>-1</v>
      </c>
      <c r="Q604" s="4" t="s">
        <v>26</v>
      </c>
      <c r="R604" s="4">
        <v>0</v>
      </c>
      <c r="S604" s="4" t="s">
        <v>202</v>
      </c>
      <c r="U604" s="4">
        <v>18</v>
      </c>
      <c r="V604" s="4">
        <v>0</v>
      </c>
      <c r="W604" s="4">
        <v>0</v>
      </c>
    </row>
    <row r="605" spans="1:23" ht="11.25" customHeight="1" x14ac:dyDescent="0.25">
      <c r="A605" s="4" t="s">
        <v>28</v>
      </c>
      <c r="B605" s="4" t="s">
        <v>35</v>
      </c>
      <c r="C605" s="4" t="s">
        <v>39</v>
      </c>
      <c r="D605" s="4" t="s">
        <v>42</v>
      </c>
      <c r="E605" s="4" t="s">
        <v>50</v>
      </c>
      <c r="F605" s="4" t="s">
        <v>25</v>
      </c>
      <c r="G605" s="4" t="s">
        <v>25</v>
      </c>
      <c r="H605" s="4" t="s">
        <v>25</v>
      </c>
      <c r="I605" s="5">
        <v>44501</v>
      </c>
      <c r="J605" s="6">
        <v>1343</v>
      </c>
      <c r="K605" s="6">
        <v>1289.28</v>
      </c>
      <c r="L605" s="6">
        <v>0</v>
      </c>
      <c r="M605" s="6">
        <v>0</v>
      </c>
      <c r="N605" s="6">
        <v>0</v>
      </c>
      <c r="O605" s="6">
        <v>0</v>
      </c>
      <c r="P605" s="6">
        <v>5</v>
      </c>
      <c r="Q605" s="4" t="s">
        <v>26</v>
      </c>
      <c r="R605" s="4">
        <v>0</v>
      </c>
      <c r="S605" s="4" t="s">
        <v>202</v>
      </c>
      <c r="U605" s="4">
        <v>18</v>
      </c>
      <c r="V605" s="4">
        <v>0</v>
      </c>
      <c r="W605" s="4">
        <v>0</v>
      </c>
    </row>
    <row r="606" spans="1:23" ht="11.25" customHeight="1" x14ac:dyDescent="0.25">
      <c r="A606" s="4" t="s">
        <v>21</v>
      </c>
      <c r="B606" s="4" t="s">
        <v>35</v>
      </c>
      <c r="C606" s="4" t="s">
        <v>39</v>
      </c>
      <c r="D606" s="4" t="s">
        <v>42</v>
      </c>
      <c r="E606" s="4" t="s">
        <v>50</v>
      </c>
      <c r="F606" s="4" t="s">
        <v>25</v>
      </c>
      <c r="G606" s="4" t="s">
        <v>25</v>
      </c>
      <c r="H606" s="4" t="s">
        <v>25</v>
      </c>
      <c r="I606" s="5">
        <v>44531</v>
      </c>
      <c r="J606" s="6">
        <v>41191</v>
      </c>
      <c r="K606" s="6">
        <v>39543.360000000001</v>
      </c>
      <c r="L606" s="6">
        <v>0</v>
      </c>
      <c r="M606" s="6">
        <v>0</v>
      </c>
      <c r="N606" s="6">
        <v>0</v>
      </c>
      <c r="O606" s="6">
        <v>0</v>
      </c>
      <c r="P606" s="6">
        <v>160</v>
      </c>
      <c r="Q606" s="4" t="s">
        <v>26</v>
      </c>
      <c r="R606" s="4">
        <v>0</v>
      </c>
      <c r="S606" s="4" t="s">
        <v>203</v>
      </c>
      <c r="U606" s="4">
        <v>18</v>
      </c>
      <c r="V606" s="4">
        <v>0</v>
      </c>
      <c r="W606" s="4">
        <v>0</v>
      </c>
    </row>
    <row r="607" spans="1:23" ht="11.25" customHeight="1" x14ac:dyDescent="0.25">
      <c r="A607" s="4" t="s">
        <v>21</v>
      </c>
      <c r="B607" s="4" t="s">
        <v>35</v>
      </c>
      <c r="C607" s="4" t="s">
        <v>39</v>
      </c>
      <c r="D607" s="4" t="s">
        <v>42</v>
      </c>
      <c r="E607" s="4" t="s">
        <v>50</v>
      </c>
      <c r="F607" s="4" t="s">
        <v>25</v>
      </c>
      <c r="G607" s="4" t="s">
        <v>25</v>
      </c>
      <c r="H607" s="4" t="s">
        <v>25</v>
      </c>
      <c r="I607" s="5">
        <v>44562</v>
      </c>
      <c r="J607" s="6">
        <v>45076</v>
      </c>
      <c r="K607" s="6">
        <v>43272.959999999999</v>
      </c>
      <c r="L607" s="6">
        <v>0</v>
      </c>
      <c r="M607" s="6">
        <v>0</v>
      </c>
      <c r="N607" s="6">
        <v>0</v>
      </c>
      <c r="O607" s="6">
        <v>0</v>
      </c>
      <c r="P607" s="6">
        <v>162</v>
      </c>
      <c r="Q607" s="4" t="s">
        <v>26</v>
      </c>
      <c r="R607" s="4">
        <v>0</v>
      </c>
      <c r="S607" s="4" t="s">
        <v>204</v>
      </c>
      <c r="U607" s="4">
        <v>18</v>
      </c>
      <c r="V607" s="4">
        <v>0</v>
      </c>
      <c r="W607" s="4">
        <v>0</v>
      </c>
    </row>
    <row r="608" spans="1:23" ht="11.25" customHeight="1" x14ac:dyDescent="0.25">
      <c r="A608" s="4" t="s">
        <v>28</v>
      </c>
      <c r="B608" s="4" t="s">
        <v>35</v>
      </c>
      <c r="C608" s="4" t="s">
        <v>39</v>
      </c>
      <c r="D608" s="4" t="s">
        <v>42</v>
      </c>
      <c r="E608" s="4" t="s">
        <v>50</v>
      </c>
      <c r="F608" s="4" t="s">
        <v>25</v>
      </c>
      <c r="G608" s="4" t="s">
        <v>25</v>
      </c>
      <c r="H608" s="4" t="s">
        <v>25</v>
      </c>
      <c r="I608" s="5">
        <v>44562</v>
      </c>
      <c r="J608" s="6">
        <v>1394</v>
      </c>
      <c r="K608" s="6">
        <v>1338.24</v>
      </c>
      <c r="L608" s="6">
        <v>0</v>
      </c>
      <c r="M608" s="6">
        <v>0</v>
      </c>
      <c r="N608" s="6">
        <v>0</v>
      </c>
      <c r="O608" s="6">
        <v>0</v>
      </c>
      <c r="P608" s="6">
        <v>5</v>
      </c>
      <c r="Q608" s="4" t="s">
        <v>26</v>
      </c>
      <c r="R608" s="4">
        <v>0</v>
      </c>
      <c r="S608" s="4" t="s">
        <v>204</v>
      </c>
      <c r="U608" s="4">
        <v>18</v>
      </c>
      <c r="V608" s="4">
        <v>0</v>
      </c>
      <c r="W608" s="4">
        <v>0</v>
      </c>
    </row>
    <row r="609" spans="1:23" ht="11.25" customHeight="1" x14ac:dyDescent="0.25">
      <c r="A609" s="4" t="s">
        <v>21</v>
      </c>
      <c r="B609" s="4" t="s">
        <v>35</v>
      </c>
      <c r="C609" s="4" t="s">
        <v>39</v>
      </c>
      <c r="D609" s="4" t="s">
        <v>42</v>
      </c>
      <c r="E609" s="4" t="s">
        <v>50</v>
      </c>
      <c r="F609" s="4" t="s">
        <v>25</v>
      </c>
      <c r="G609" s="4" t="s">
        <v>25</v>
      </c>
      <c r="H609" s="4" t="s">
        <v>25</v>
      </c>
      <c r="I609" s="5">
        <v>44593</v>
      </c>
      <c r="J609" s="6">
        <v>44486</v>
      </c>
      <c r="K609" s="6">
        <v>42706.559999999998</v>
      </c>
      <c r="L609" s="6">
        <v>0</v>
      </c>
      <c r="M609" s="6">
        <v>0</v>
      </c>
      <c r="N609" s="6">
        <v>0</v>
      </c>
      <c r="O609" s="6">
        <v>0</v>
      </c>
      <c r="P609" s="6">
        <v>170</v>
      </c>
      <c r="Q609" s="4" t="s">
        <v>26</v>
      </c>
      <c r="R609" s="4">
        <v>0</v>
      </c>
      <c r="S609" s="4" t="s">
        <v>205</v>
      </c>
      <c r="U609" s="4">
        <v>18</v>
      </c>
      <c r="V609" s="4">
        <v>0</v>
      </c>
      <c r="W609" s="4">
        <v>0</v>
      </c>
    </row>
    <row r="610" spans="1:23" ht="11.25" customHeight="1" x14ac:dyDescent="0.25">
      <c r="A610" s="4" t="s">
        <v>27</v>
      </c>
      <c r="B610" s="4" t="s">
        <v>35</v>
      </c>
      <c r="C610" s="4" t="s">
        <v>39</v>
      </c>
      <c r="D610" s="4" t="s">
        <v>42</v>
      </c>
      <c r="E610" s="4" t="s">
        <v>50</v>
      </c>
      <c r="F610" s="4" t="s">
        <v>25</v>
      </c>
      <c r="G610" s="4" t="s">
        <v>25</v>
      </c>
      <c r="H610" s="4" t="s">
        <v>25</v>
      </c>
      <c r="I610" s="5">
        <v>44593</v>
      </c>
      <c r="J610" s="6">
        <v>-431</v>
      </c>
      <c r="K610" s="6">
        <v>-413.76</v>
      </c>
      <c r="L610" s="6">
        <v>0</v>
      </c>
      <c r="M610" s="6">
        <v>0</v>
      </c>
      <c r="N610" s="6">
        <v>0</v>
      </c>
      <c r="O610" s="6">
        <v>0</v>
      </c>
      <c r="P610" s="6">
        <v>-3</v>
      </c>
      <c r="Q610" s="4" t="s">
        <v>26</v>
      </c>
      <c r="R610" s="4">
        <v>0</v>
      </c>
      <c r="S610" s="4" t="s">
        <v>205</v>
      </c>
      <c r="U610" s="4">
        <v>18</v>
      </c>
      <c r="V610" s="4">
        <v>0</v>
      </c>
      <c r="W610" s="4">
        <v>0</v>
      </c>
    </row>
    <row r="611" spans="1:23" ht="11.25" customHeight="1" x14ac:dyDescent="0.25">
      <c r="A611" s="4" t="s">
        <v>28</v>
      </c>
      <c r="B611" s="4" t="s">
        <v>35</v>
      </c>
      <c r="C611" s="4" t="s">
        <v>39</v>
      </c>
      <c r="D611" s="4" t="s">
        <v>42</v>
      </c>
      <c r="E611" s="4" t="s">
        <v>50</v>
      </c>
      <c r="F611" s="4" t="s">
        <v>25</v>
      </c>
      <c r="G611" s="4" t="s">
        <v>25</v>
      </c>
      <c r="H611" s="4" t="s">
        <v>25</v>
      </c>
      <c r="I611" s="5">
        <v>44593</v>
      </c>
      <c r="J611" s="6">
        <v>1582</v>
      </c>
      <c r="K611" s="6">
        <v>1518.72</v>
      </c>
      <c r="L611" s="6">
        <v>0</v>
      </c>
      <c r="M611" s="6">
        <v>0</v>
      </c>
      <c r="N611" s="6">
        <v>0</v>
      </c>
      <c r="O611" s="6">
        <v>0</v>
      </c>
      <c r="P611" s="6">
        <v>6</v>
      </c>
      <c r="Q611" s="4" t="s">
        <v>26</v>
      </c>
      <c r="R611" s="4">
        <v>0</v>
      </c>
      <c r="S611" s="4" t="s">
        <v>205</v>
      </c>
      <c r="U611" s="4">
        <v>18</v>
      </c>
      <c r="V611" s="4">
        <v>0</v>
      </c>
      <c r="W611" s="4">
        <v>0</v>
      </c>
    </row>
    <row r="612" spans="1:23" ht="11.25" customHeight="1" x14ac:dyDescent="0.25">
      <c r="A612" s="4" t="s">
        <v>21</v>
      </c>
      <c r="B612" s="4" t="s">
        <v>35</v>
      </c>
      <c r="C612" s="4" t="s">
        <v>39</v>
      </c>
      <c r="D612" s="4" t="s">
        <v>42</v>
      </c>
      <c r="E612" s="4" t="s">
        <v>50</v>
      </c>
      <c r="F612" s="4" t="s">
        <v>25</v>
      </c>
      <c r="G612" s="4" t="s">
        <v>25</v>
      </c>
      <c r="H612" s="4" t="s">
        <v>25</v>
      </c>
      <c r="I612" s="5">
        <v>44621</v>
      </c>
      <c r="J612" s="6">
        <v>42453</v>
      </c>
      <c r="K612" s="6">
        <v>40754.879999999997</v>
      </c>
      <c r="L612" s="6">
        <v>0</v>
      </c>
      <c r="M612" s="6">
        <v>0</v>
      </c>
      <c r="N612" s="6">
        <v>0</v>
      </c>
      <c r="O612" s="6">
        <v>0</v>
      </c>
      <c r="P612" s="6">
        <v>171</v>
      </c>
      <c r="Q612" s="4" t="s">
        <v>26</v>
      </c>
      <c r="R612" s="4">
        <v>0</v>
      </c>
      <c r="S612" s="4" t="s">
        <v>206</v>
      </c>
      <c r="U612" s="4">
        <v>18</v>
      </c>
      <c r="V612" s="4">
        <v>0</v>
      </c>
      <c r="W612" s="4">
        <v>0</v>
      </c>
    </row>
    <row r="613" spans="1:23" ht="11.25" customHeight="1" x14ac:dyDescent="0.25">
      <c r="A613" s="4" t="s">
        <v>27</v>
      </c>
      <c r="B613" s="4" t="s">
        <v>35</v>
      </c>
      <c r="C613" s="4" t="s">
        <v>39</v>
      </c>
      <c r="D613" s="4" t="s">
        <v>42</v>
      </c>
      <c r="E613" s="4" t="s">
        <v>50</v>
      </c>
      <c r="F613" s="4" t="s">
        <v>25</v>
      </c>
      <c r="G613" s="4" t="s">
        <v>25</v>
      </c>
      <c r="H613" s="4" t="s">
        <v>25</v>
      </c>
      <c r="I613" s="5">
        <v>44621</v>
      </c>
      <c r="J613" s="6">
        <v>-1086</v>
      </c>
      <c r="K613" s="6">
        <v>-1042.56</v>
      </c>
      <c r="L613" s="6">
        <v>0</v>
      </c>
      <c r="M613" s="6">
        <v>0</v>
      </c>
      <c r="N613" s="6">
        <v>0</v>
      </c>
      <c r="O613" s="6">
        <v>0</v>
      </c>
      <c r="P613" s="6">
        <v>-4</v>
      </c>
      <c r="Q613" s="4" t="s">
        <v>26</v>
      </c>
      <c r="R613" s="4">
        <v>0</v>
      </c>
      <c r="S613" s="4" t="s">
        <v>206</v>
      </c>
      <c r="U613" s="4">
        <v>18</v>
      </c>
      <c r="V613" s="4">
        <v>0</v>
      </c>
      <c r="W613" s="4">
        <v>0</v>
      </c>
    </row>
    <row r="614" spans="1:23" ht="11.25" customHeight="1" x14ac:dyDescent="0.25">
      <c r="A614" s="4" t="s">
        <v>28</v>
      </c>
      <c r="B614" s="4" t="s">
        <v>35</v>
      </c>
      <c r="C614" s="4" t="s">
        <v>39</v>
      </c>
      <c r="D614" s="4" t="s">
        <v>42</v>
      </c>
      <c r="E614" s="4" t="s">
        <v>50</v>
      </c>
      <c r="F614" s="4" t="s">
        <v>25</v>
      </c>
      <c r="G614" s="4" t="s">
        <v>25</v>
      </c>
      <c r="H614" s="4" t="s">
        <v>25</v>
      </c>
      <c r="I614" s="5">
        <v>44621</v>
      </c>
      <c r="J614" s="6">
        <v>1803</v>
      </c>
      <c r="K614" s="6">
        <v>1730.8799999999999</v>
      </c>
      <c r="L614" s="6">
        <v>0</v>
      </c>
      <c r="M614" s="6">
        <v>0</v>
      </c>
      <c r="N614" s="6">
        <v>0</v>
      </c>
      <c r="O614" s="6">
        <v>0</v>
      </c>
      <c r="P614" s="6">
        <v>7</v>
      </c>
      <c r="Q614" s="4" t="s">
        <v>26</v>
      </c>
      <c r="R614" s="4">
        <v>0</v>
      </c>
      <c r="S614" s="4" t="s">
        <v>206</v>
      </c>
      <c r="U614" s="4">
        <v>18</v>
      </c>
      <c r="V614" s="4">
        <v>0</v>
      </c>
      <c r="W614" s="4">
        <v>0</v>
      </c>
    </row>
    <row r="615" spans="1:23" ht="11.25" customHeight="1" x14ac:dyDescent="0.25">
      <c r="A615" s="4" t="s">
        <v>21</v>
      </c>
      <c r="B615" s="4" t="s">
        <v>35</v>
      </c>
      <c r="C615" s="4" t="s">
        <v>39</v>
      </c>
      <c r="D615" s="4" t="s">
        <v>42</v>
      </c>
      <c r="E615" s="4" t="s">
        <v>50</v>
      </c>
      <c r="F615" s="4" t="s">
        <v>25</v>
      </c>
      <c r="G615" s="4" t="s">
        <v>25</v>
      </c>
      <c r="H615" s="4" t="s">
        <v>25</v>
      </c>
      <c r="I615" s="5">
        <v>44652</v>
      </c>
      <c r="J615" s="6">
        <v>28500</v>
      </c>
      <c r="K615" s="6">
        <v>27360</v>
      </c>
      <c r="L615" s="6">
        <v>0</v>
      </c>
      <c r="M615" s="6">
        <v>0</v>
      </c>
      <c r="N615" s="6">
        <v>0</v>
      </c>
      <c r="O615" s="6">
        <v>0</v>
      </c>
      <c r="P615" s="6">
        <v>171</v>
      </c>
      <c r="Q615" s="4" t="s">
        <v>26</v>
      </c>
      <c r="R615" s="4">
        <v>0</v>
      </c>
      <c r="S615" s="4" t="s">
        <v>207</v>
      </c>
      <c r="U615" s="4">
        <v>18</v>
      </c>
      <c r="V615" s="4">
        <v>0</v>
      </c>
      <c r="W615" s="4">
        <v>0</v>
      </c>
    </row>
    <row r="616" spans="1:23" ht="11.25" customHeight="1" x14ac:dyDescent="0.25">
      <c r="A616" s="4" t="s">
        <v>27</v>
      </c>
      <c r="B616" s="4" t="s">
        <v>35</v>
      </c>
      <c r="C616" s="4" t="s">
        <v>39</v>
      </c>
      <c r="D616" s="4" t="s">
        <v>42</v>
      </c>
      <c r="E616" s="4" t="s">
        <v>50</v>
      </c>
      <c r="F616" s="4" t="s">
        <v>25</v>
      </c>
      <c r="G616" s="4" t="s">
        <v>25</v>
      </c>
      <c r="H616" s="4" t="s">
        <v>25</v>
      </c>
      <c r="I616" s="5">
        <v>44652</v>
      </c>
      <c r="J616" s="6">
        <v>-1819</v>
      </c>
      <c r="K616" s="6">
        <v>-1746.24</v>
      </c>
      <c r="L616" s="6">
        <v>0</v>
      </c>
      <c r="M616" s="6">
        <v>0</v>
      </c>
      <c r="N616" s="6">
        <v>0</v>
      </c>
      <c r="O616" s="6">
        <v>0</v>
      </c>
      <c r="P616" s="6">
        <v>-2</v>
      </c>
      <c r="Q616" s="4" t="s">
        <v>26</v>
      </c>
      <c r="R616" s="4">
        <v>0</v>
      </c>
      <c r="S616" s="4" t="s">
        <v>207</v>
      </c>
      <c r="U616" s="4">
        <v>18</v>
      </c>
      <c r="V616" s="4">
        <v>0</v>
      </c>
      <c r="W616" s="4">
        <v>0</v>
      </c>
    </row>
    <row r="617" spans="1:23" ht="11.25" customHeight="1" x14ac:dyDescent="0.25">
      <c r="A617" s="4" t="s">
        <v>28</v>
      </c>
      <c r="B617" s="4" t="s">
        <v>35</v>
      </c>
      <c r="C617" s="4" t="s">
        <v>39</v>
      </c>
      <c r="D617" s="4" t="s">
        <v>42</v>
      </c>
      <c r="E617" s="4" t="s">
        <v>50</v>
      </c>
      <c r="F617" s="4" t="s">
        <v>25</v>
      </c>
      <c r="G617" s="4" t="s">
        <v>25</v>
      </c>
      <c r="H617" s="4" t="s">
        <v>25</v>
      </c>
      <c r="I617" s="5">
        <v>44652</v>
      </c>
      <c r="J617" s="6">
        <v>1711</v>
      </c>
      <c r="K617" s="6">
        <v>1642.56</v>
      </c>
      <c r="L617" s="6">
        <v>0</v>
      </c>
      <c r="M617" s="6">
        <v>0</v>
      </c>
      <c r="N617" s="6">
        <v>0</v>
      </c>
      <c r="O617" s="6">
        <v>0</v>
      </c>
      <c r="P617" s="6">
        <v>7</v>
      </c>
      <c r="Q617" s="4" t="s">
        <v>26</v>
      </c>
      <c r="R617" s="4">
        <v>0</v>
      </c>
      <c r="S617" s="4" t="s">
        <v>207</v>
      </c>
      <c r="U617" s="4">
        <v>18</v>
      </c>
      <c r="V617" s="4">
        <v>0</v>
      </c>
      <c r="W617" s="4">
        <v>0</v>
      </c>
    </row>
    <row r="618" spans="1:23" ht="11.25" customHeight="1" x14ac:dyDescent="0.25">
      <c r="A618" s="4" t="s">
        <v>21</v>
      </c>
      <c r="B618" s="4" t="s">
        <v>35</v>
      </c>
      <c r="C618" s="4" t="s">
        <v>39</v>
      </c>
      <c r="D618" s="4" t="s">
        <v>42</v>
      </c>
      <c r="E618" s="4" t="s">
        <v>50</v>
      </c>
      <c r="F618" s="4" t="s">
        <v>25</v>
      </c>
      <c r="G618" s="4" t="s">
        <v>25</v>
      </c>
      <c r="H618" s="4" t="s">
        <v>25</v>
      </c>
      <c r="I618" s="5">
        <v>44682</v>
      </c>
      <c r="J618" s="6">
        <v>11500</v>
      </c>
      <c r="K618" s="6">
        <v>11040</v>
      </c>
      <c r="L618" s="6">
        <v>0</v>
      </c>
      <c r="M618" s="6">
        <v>0</v>
      </c>
      <c r="N618" s="6">
        <v>0</v>
      </c>
      <c r="O618" s="6">
        <v>0</v>
      </c>
      <c r="P618" s="6">
        <v>172</v>
      </c>
      <c r="Q618" s="4" t="s">
        <v>26</v>
      </c>
      <c r="R618" s="4">
        <v>0</v>
      </c>
      <c r="S618" s="4" t="s">
        <v>208</v>
      </c>
      <c r="U618" s="4">
        <v>18</v>
      </c>
      <c r="V618" s="4">
        <v>0</v>
      </c>
      <c r="W618" s="4">
        <v>0</v>
      </c>
    </row>
    <row r="619" spans="1:23" ht="11.25" customHeight="1" x14ac:dyDescent="0.25">
      <c r="A619" s="4" t="s">
        <v>27</v>
      </c>
      <c r="B619" s="4" t="s">
        <v>35</v>
      </c>
      <c r="C619" s="4" t="s">
        <v>39</v>
      </c>
      <c r="D619" s="4" t="s">
        <v>42</v>
      </c>
      <c r="E619" s="4" t="s">
        <v>50</v>
      </c>
      <c r="F619" s="4" t="s">
        <v>25</v>
      </c>
      <c r="G619" s="4" t="s">
        <v>25</v>
      </c>
      <c r="H619" s="4" t="s">
        <v>25</v>
      </c>
      <c r="I619" s="5">
        <v>44682</v>
      </c>
      <c r="J619" s="6">
        <v>-803</v>
      </c>
      <c r="K619" s="6">
        <v>-770.88</v>
      </c>
      <c r="L619" s="6">
        <v>0</v>
      </c>
      <c r="M619" s="6">
        <v>0</v>
      </c>
      <c r="N619" s="6">
        <v>0</v>
      </c>
      <c r="O619" s="6">
        <v>0</v>
      </c>
      <c r="P619" s="6">
        <v>-3</v>
      </c>
      <c r="Q619" s="4" t="s">
        <v>26</v>
      </c>
      <c r="R619" s="4">
        <v>0</v>
      </c>
      <c r="S619" s="4" t="s">
        <v>208</v>
      </c>
      <c r="U619" s="4">
        <v>18</v>
      </c>
      <c r="V619" s="4">
        <v>0</v>
      </c>
      <c r="W619" s="4">
        <v>0</v>
      </c>
    </row>
    <row r="620" spans="1:23" ht="11.25" customHeight="1" x14ac:dyDescent="0.25">
      <c r="A620" s="4" t="s">
        <v>28</v>
      </c>
      <c r="B620" s="4" t="s">
        <v>35</v>
      </c>
      <c r="C620" s="4" t="s">
        <v>39</v>
      </c>
      <c r="D620" s="4" t="s">
        <v>42</v>
      </c>
      <c r="E620" s="4" t="s">
        <v>50</v>
      </c>
      <c r="F620" s="4" t="s">
        <v>25</v>
      </c>
      <c r="G620" s="4" t="s">
        <v>25</v>
      </c>
      <c r="H620" s="4" t="s">
        <v>25</v>
      </c>
      <c r="I620" s="5">
        <v>44682</v>
      </c>
      <c r="J620" s="6">
        <v>1450</v>
      </c>
      <c r="K620" s="6">
        <v>1392</v>
      </c>
      <c r="L620" s="6">
        <v>0</v>
      </c>
      <c r="M620" s="6">
        <v>0</v>
      </c>
      <c r="N620" s="6">
        <v>0</v>
      </c>
      <c r="O620" s="6">
        <v>0</v>
      </c>
      <c r="P620" s="6">
        <v>7</v>
      </c>
      <c r="Q620" s="4" t="s">
        <v>26</v>
      </c>
      <c r="R620" s="4">
        <v>0</v>
      </c>
      <c r="S620" s="4" t="s">
        <v>208</v>
      </c>
      <c r="U620" s="4">
        <v>18</v>
      </c>
      <c r="V620" s="4">
        <v>0</v>
      </c>
      <c r="W620" s="4">
        <v>0</v>
      </c>
    </row>
    <row r="621" spans="1:23" ht="11.25" customHeight="1" x14ac:dyDescent="0.25">
      <c r="A621" s="4" t="s">
        <v>21</v>
      </c>
      <c r="B621" s="4" t="s">
        <v>35</v>
      </c>
      <c r="C621" s="4" t="s">
        <v>39</v>
      </c>
      <c r="D621" s="4" t="s">
        <v>42</v>
      </c>
      <c r="E621" s="4" t="s">
        <v>50</v>
      </c>
      <c r="F621" s="4" t="s">
        <v>25</v>
      </c>
      <c r="G621" s="4" t="s">
        <v>25</v>
      </c>
      <c r="H621" s="4" t="s">
        <v>25</v>
      </c>
      <c r="I621" s="5">
        <v>44713</v>
      </c>
      <c r="J621" s="6">
        <v>6121</v>
      </c>
      <c r="K621" s="6">
        <v>5876.16</v>
      </c>
      <c r="L621" s="6">
        <v>0</v>
      </c>
      <c r="M621" s="6">
        <v>0</v>
      </c>
      <c r="N621" s="6">
        <v>0</v>
      </c>
      <c r="O621" s="6">
        <v>0</v>
      </c>
      <c r="P621" s="6">
        <v>170</v>
      </c>
      <c r="Q621" s="4" t="s">
        <v>26</v>
      </c>
      <c r="R621" s="4">
        <v>0</v>
      </c>
      <c r="S621" s="4" t="s">
        <v>209</v>
      </c>
      <c r="U621" s="4">
        <v>18</v>
      </c>
      <c r="V621" s="4">
        <v>0</v>
      </c>
      <c r="W621" s="4">
        <v>0</v>
      </c>
    </row>
    <row r="622" spans="1:23" ht="11.25" customHeight="1" x14ac:dyDescent="0.25">
      <c r="A622" s="4" t="s">
        <v>27</v>
      </c>
      <c r="B622" s="4" t="s">
        <v>35</v>
      </c>
      <c r="C622" s="4" t="s">
        <v>39</v>
      </c>
      <c r="D622" s="4" t="s">
        <v>42</v>
      </c>
      <c r="E622" s="4" t="s">
        <v>50</v>
      </c>
      <c r="F622" s="4" t="s">
        <v>25</v>
      </c>
      <c r="G622" s="4" t="s">
        <v>25</v>
      </c>
      <c r="H622" s="4" t="s">
        <v>25</v>
      </c>
      <c r="I622" s="5">
        <v>44713</v>
      </c>
      <c r="J622" s="6">
        <v>-77</v>
      </c>
      <c r="K622" s="6">
        <v>-73.92</v>
      </c>
      <c r="L622" s="6">
        <v>0</v>
      </c>
      <c r="M622" s="6">
        <v>0</v>
      </c>
      <c r="N622" s="6">
        <v>0</v>
      </c>
      <c r="O622" s="6">
        <v>0</v>
      </c>
      <c r="P622" s="6">
        <v>-1</v>
      </c>
      <c r="Q622" s="4" t="s">
        <v>26</v>
      </c>
      <c r="R622" s="4">
        <v>0</v>
      </c>
      <c r="S622" s="4" t="s">
        <v>209</v>
      </c>
      <c r="U622" s="4">
        <v>18</v>
      </c>
      <c r="V622" s="4">
        <v>0</v>
      </c>
      <c r="W622" s="4">
        <v>0</v>
      </c>
    </row>
    <row r="623" spans="1:23" ht="11.25" customHeight="1" x14ac:dyDescent="0.25">
      <c r="A623" s="4" t="s">
        <v>28</v>
      </c>
      <c r="B623" s="4" t="s">
        <v>35</v>
      </c>
      <c r="C623" s="4" t="s">
        <v>39</v>
      </c>
      <c r="D623" s="4" t="s">
        <v>42</v>
      </c>
      <c r="E623" s="4" t="s">
        <v>50</v>
      </c>
      <c r="F623" s="4" t="s">
        <v>25</v>
      </c>
      <c r="G623" s="4" t="s">
        <v>25</v>
      </c>
      <c r="H623" s="4" t="s">
        <v>25</v>
      </c>
      <c r="I623" s="5">
        <v>44713</v>
      </c>
      <c r="J623" s="6">
        <v>1265</v>
      </c>
      <c r="K623" s="6">
        <v>1214.3999999999999</v>
      </c>
      <c r="L623" s="6">
        <v>0</v>
      </c>
      <c r="M623" s="6">
        <v>0</v>
      </c>
      <c r="N623" s="6">
        <v>0</v>
      </c>
      <c r="O623" s="6">
        <v>0</v>
      </c>
      <c r="P623" s="6">
        <v>7</v>
      </c>
      <c r="Q623" s="4" t="s">
        <v>26</v>
      </c>
      <c r="R623" s="4">
        <v>0</v>
      </c>
      <c r="S623" s="4" t="s">
        <v>209</v>
      </c>
      <c r="U623" s="4">
        <v>18</v>
      </c>
      <c r="V623" s="4">
        <v>0</v>
      </c>
      <c r="W623" s="4">
        <v>0</v>
      </c>
    </row>
    <row r="624" spans="1:23" ht="11.25" customHeight="1" x14ac:dyDescent="0.25">
      <c r="A624" s="4" t="s">
        <v>21</v>
      </c>
      <c r="B624" s="4" t="s">
        <v>35</v>
      </c>
      <c r="C624" s="4" t="s">
        <v>39</v>
      </c>
      <c r="D624" s="4" t="s">
        <v>42</v>
      </c>
      <c r="E624" s="4" t="s">
        <v>25</v>
      </c>
      <c r="F624" s="4" t="s">
        <v>25</v>
      </c>
      <c r="G624" s="4" t="s">
        <v>25</v>
      </c>
      <c r="H624" s="4" t="s">
        <v>38</v>
      </c>
      <c r="I624" s="5">
        <v>44378</v>
      </c>
      <c r="J624" s="6">
        <v>0</v>
      </c>
      <c r="K624" s="6">
        <v>0</v>
      </c>
      <c r="L624" s="6">
        <v>1481.367</v>
      </c>
      <c r="M624" s="6">
        <v>1422.11232</v>
      </c>
      <c r="N624" s="6">
        <v>1481.367</v>
      </c>
      <c r="O624" s="6">
        <v>1422.11232</v>
      </c>
      <c r="P624" s="6">
        <v>0</v>
      </c>
      <c r="Q624" s="4" t="s">
        <v>26</v>
      </c>
      <c r="R624" s="4">
        <v>0</v>
      </c>
      <c r="S624" s="4" t="s">
        <v>186</v>
      </c>
      <c r="T624" s="4" t="s">
        <v>319</v>
      </c>
      <c r="U624" s="4">
        <v>0</v>
      </c>
      <c r="V624" s="4">
        <v>25</v>
      </c>
      <c r="W624" s="4">
        <v>59</v>
      </c>
    </row>
    <row r="625" spans="1:23" ht="11.25" customHeight="1" x14ac:dyDescent="0.25">
      <c r="A625" s="4" t="s">
        <v>28</v>
      </c>
      <c r="B625" s="4" t="s">
        <v>35</v>
      </c>
      <c r="C625" s="4" t="s">
        <v>39</v>
      </c>
      <c r="D625" s="4" t="s">
        <v>42</v>
      </c>
      <c r="E625" s="4" t="s">
        <v>25</v>
      </c>
      <c r="F625" s="4" t="s">
        <v>25</v>
      </c>
      <c r="G625" s="4" t="s">
        <v>25</v>
      </c>
      <c r="H625" s="4" t="s">
        <v>38</v>
      </c>
      <c r="I625" s="5">
        <v>44378</v>
      </c>
      <c r="J625" s="6">
        <v>0</v>
      </c>
      <c r="K625" s="6">
        <v>0</v>
      </c>
      <c r="L625" s="6">
        <v>46.137</v>
      </c>
      <c r="M625" s="6">
        <v>44.291519999999998</v>
      </c>
      <c r="N625" s="6">
        <v>46.137</v>
      </c>
      <c r="O625" s="6">
        <v>44.291519999999998</v>
      </c>
      <c r="P625" s="6">
        <v>0</v>
      </c>
      <c r="Q625" s="4" t="s">
        <v>26</v>
      </c>
      <c r="R625" s="4">
        <v>0</v>
      </c>
      <c r="S625" s="4" t="s">
        <v>186</v>
      </c>
      <c r="T625" s="4" t="s">
        <v>319</v>
      </c>
      <c r="U625" s="4">
        <v>0</v>
      </c>
      <c r="V625" s="4">
        <v>25</v>
      </c>
      <c r="W625" s="4">
        <v>59</v>
      </c>
    </row>
    <row r="626" spans="1:23" ht="11.25" customHeight="1" x14ac:dyDescent="0.25">
      <c r="A626" s="4" t="s">
        <v>21</v>
      </c>
      <c r="B626" s="4" t="s">
        <v>35</v>
      </c>
      <c r="C626" s="4" t="s">
        <v>39</v>
      </c>
      <c r="D626" s="4" t="s">
        <v>42</v>
      </c>
      <c r="E626" s="4" t="s">
        <v>25</v>
      </c>
      <c r="F626" s="4" t="s">
        <v>25</v>
      </c>
      <c r="G626" s="4" t="s">
        <v>25</v>
      </c>
      <c r="H626" s="4" t="s">
        <v>38</v>
      </c>
      <c r="I626" s="5">
        <v>44409</v>
      </c>
      <c r="J626" s="6">
        <v>0</v>
      </c>
      <c r="K626" s="6">
        <v>0</v>
      </c>
      <c r="L626" s="6">
        <v>1533.671</v>
      </c>
      <c r="M626" s="6">
        <v>1472.3241599999999</v>
      </c>
      <c r="N626" s="6">
        <v>1533.671</v>
      </c>
      <c r="O626" s="6">
        <v>1472.3241599999999</v>
      </c>
      <c r="P626" s="6">
        <v>0</v>
      </c>
      <c r="Q626" s="4" t="s">
        <v>26</v>
      </c>
      <c r="R626" s="4">
        <v>0</v>
      </c>
      <c r="S626" s="4" t="s">
        <v>187</v>
      </c>
      <c r="T626" s="4" t="s">
        <v>320</v>
      </c>
      <c r="U626" s="4">
        <v>0</v>
      </c>
      <c r="V626" s="4">
        <v>25</v>
      </c>
      <c r="W626" s="4">
        <v>59</v>
      </c>
    </row>
    <row r="627" spans="1:23" ht="11.25" customHeight="1" x14ac:dyDescent="0.25">
      <c r="A627" s="4" t="s">
        <v>28</v>
      </c>
      <c r="B627" s="4" t="s">
        <v>35</v>
      </c>
      <c r="C627" s="4" t="s">
        <v>39</v>
      </c>
      <c r="D627" s="4" t="s">
        <v>42</v>
      </c>
      <c r="E627" s="4" t="s">
        <v>25</v>
      </c>
      <c r="F627" s="4" t="s">
        <v>25</v>
      </c>
      <c r="G627" s="4" t="s">
        <v>25</v>
      </c>
      <c r="H627" s="4" t="s">
        <v>38</v>
      </c>
      <c r="I627" s="5">
        <v>44409</v>
      </c>
      <c r="J627" s="6">
        <v>0</v>
      </c>
      <c r="K627" s="6">
        <v>0</v>
      </c>
      <c r="L627" s="6">
        <v>32.774000000000001</v>
      </c>
      <c r="M627" s="6">
        <v>31.463039999999999</v>
      </c>
      <c r="N627" s="6">
        <v>32.774000000000001</v>
      </c>
      <c r="O627" s="6">
        <v>31.463039999999999</v>
      </c>
      <c r="P627" s="6">
        <v>0</v>
      </c>
      <c r="Q627" s="4" t="s">
        <v>26</v>
      </c>
      <c r="R627" s="4">
        <v>0</v>
      </c>
      <c r="S627" s="4" t="s">
        <v>187</v>
      </c>
      <c r="T627" s="4" t="s">
        <v>320</v>
      </c>
      <c r="U627" s="4">
        <v>0</v>
      </c>
      <c r="V627" s="4">
        <v>25</v>
      </c>
      <c r="W627" s="4">
        <v>59</v>
      </c>
    </row>
    <row r="628" spans="1:23" ht="11.25" customHeight="1" x14ac:dyDescent="0.25">
      <c r="A628" s="4" t="s">
        <v>28</v>
      </c>
      <c r="B628" s="4" t="s">
        <v>35</v>
      </c>
      <c r="C628" s="4" t="s">
        <v>39</v>
      </c>
      <c r="D628" s="4" t="s">
        <v>42</v>
      </c>
      <c r="E628" s="4" t="s">
        <v>25</v>
      </c>
      <c r="F628" s="4" t="s">
        <v>25</v>
      </c>
      <c r="G628" s="4" t="s">
        <v>25</v>
      </c>
      <c r="H628" s="4" t="s">
        <v>38</v>
      </c>
      <c r="I628" s="5">
        <v>44409</v>
      </c>
      <c r="J628" s="6">
        <v>0</v>
      </c>
      <c r="K628" s="6">
        <v>0</v>
      </c>
      <c r="L628" s="6">
        <v>-14.188000000000001</v>
      </c>
      <c r="M628" s="6">
        <v>-13.620480000000001</v>
      </c>
      <c r="N628" s="6">
        <v>-14.188000000000001</v>
      </c>
      <c r="O628" s="6">
        <v>-13.620480000000001</v>
      </c>
      <c r="P628" s="6">
        <v>0</v>
      </c>
      <c r="Q628" s="4" t="s">
        <v>26</v>
      </c>
      <c r="R628" s="4">
        <v>0</v>
      </c>
      <c r="S628" s="4" t="s">
        <v>187</v>
      </c>
      <c r="T628" s="4" t="s">
        <v>320</v>
      </c>
      <c r="U628" s="4">
        <v>0</v>
      </c>
      <c r="V628" s="4">
        <v>25</v>
      </c>
      <c r="W628" s="4">
        <v>59</v>
      </c>
    </row>
    <row r="629" spans="1:23" ht="11.25" customHeight="1" x14ac:dyDescent="0.25">
      <c r="A629" s="4" t="s">
        <v>21</v>
      </c>
      <c r="B629" s="4" t="s">
        <v>35</v>
      </c>
      <c r="C629" s="4" t="s">
        <v>39</v>
      </c>
      <c r="D629" s="4" t="s">
        <v>42</v>
      </c>
      <c r="E629" s="4" t="s">
        <v>25</v>
      </c>
      <c r="F629" s="4" t="s">
        <v>25</v>
      </c>
      <c r="G629" s="4" t="s">
        <v>25</v>
      </c>
      <c r="H629" s="4" t="s">
        <v>38</v>
      </c>
      <c r="I629" s="5">
        <v>44440</v>
      </c>
      <c r="J629" s="6">
        <v>0</v>
      </c>
      <c r="K629" s="6">
        <v>0</v>
      </c>
      <c r="L629" s="6">
        <v>1383.1130000000001</v>
      </c>
      <c r="M629" s="6">
        <v>1327.7884799999999</v>
      </c>
      <c r="N629" s="6">
        <v>1383.1130000000001</v>
      </c>
      <c r="O629" s="6">
        <v>1327.7884799999999</v>
      </c>
      <c r="P629" s="6">
        <v>0</v>
      </c>
      <c r="Q629" s="4" t="s">
        <v>26</v>
      </c>
      <c r="R629" s="4">
        <v>0</v>
      </c>
      <c r="S629" s="4" t="s">
        <v>188</v>
      </c>
      <c r="T629" s="4" t="s">
        <v>321</v>
      </c>
      <c r="U629" s="4">
        <v>0</v>
      </c>
      <c r="V629" s="4">
        <v>25</v>
      </c>
      <c r="W629" s="4">
        <v>59</v>
      </c>
    </row>
    <row r="630" spans="1:23" ht="11.25" customHeight="1" x14ac:dyDescent="0.25">
      <c r="A630" s="4" t="s">
        <v>28</v>
      </c>
      <c r="B630" s="4" t="s">
        <v>35</v>
      </c>
      <c r="C630" s="4" t="s">
        <v>39</v>
      </c>
      <c r="D630" s="4" t="s">
        <v>42</v>
      </c>
      <c r="E630" s="4" t="s">
        <v>25</v>
      </c>
      <c r="F630" s="4" t="s">
        <v>25</v>
      </c>
      <c r="G630" s="4" t="s">
        <v>25</v>
      </c>
      <c r="H630" s="4" t="s">
        <v>38</v>
      </c>
      <c r="I630" s="5">
        <v>44440</v>
      </c>
      <c r="J630" s="6">
        <v>0</v>
      </c>
      <c r="K630" s="6">
        <v>0</v>
      </c>
      <c r="L630" s="6">
        <v>9.8070000000000004</v>
      </c>
      <c r="M630" s="6">
        <v>9.4147200000000009</v>
      </c>
      <c r="N630" s="6">
        <v>9.8070000000000004</v>
      </c>
      <c r="O630" s="6">
        <v>9.4147200000000009</v>
      </c>
      <c r="P630" s="6">
        <v>0</v>
      </c>
      <c r="Q630" s="4" t="s">
        <v>26</v>
      </c>
      <c r="R630" s="4">
        <v>0</v>
      </c>
      <c r="S630" s="4" t="s">
        <v>188</v>
      </c>
      <c r="T630" s="4" t="s">
        <v>321</v>
      </c>
      <c r="U630" s="4">
        <v>0</v>
      </c>
      <c r="V630" s="4">
        <v>25</v>
      </c>
      <c r="W630" s="4">
        <v>59</v>
      </c>
    </row>
    <row r="631" spans="1:23" ht="11.25" customHeight="1" x14ac:dyDescent="0.25">
      <c r="A631" s="4" t="s">
        <v>21</v>
      </c>
      <c r="B631" s="4" t="s">
        <v>35</v>
      </c>
      <c r="C631" s="4" t="s">
        <v>39</v>
      </c>
      <c r="D631" s="4" t="s">
        <v>42</v>
      </c>
      <c r="E631" s="4" t="s">
        <v>25</v>
      </c>
      <c r="F631" s="4" t="s">
        <v>25</v>
      </c>
      <c r="G631" s="4" t="s">
        <v>25</v>
      </c>
      <c r="H631" s="4" t="s">
        <v>38</v>
      </c>
      <c r="I631" s="5">
        <v>44470</v>
      </c>
      <c r="J631" s="6">
        <v>0</v>
      </c>
      <c r="K631" s="6">
        <v>0</v>
      </c>
      <c r="L631" s="6">
        <v>1257.8399999999999</v>
      </c>
      <c r="M631" s="6">
        <v>1207.5264</v>
      </c>
      <c r="N631" s="6">
        <v>1257.8399999999999</v>
      </c>
      <c r="O631" s="6">
        <v>1207.5264</v>
      </c>
      <c r="P631" s="6">
        <v>0</v>
      </c>
      <c r="Q631" s="4" t="s">
        <v>26</v>
      </c>
      <c r="R631" s="4">
        <v>0</v>
      </c>
      <c r="S631" s="4" t="s">
        <v>189</v>
      </c>
      <c r="T631" s="4" t="s">
        <v>322</v>
      </c>
      <c r="U631" s="4">
        <v>0</v>
      </c>
      <c r="V631" s="4">
        <v>25</v>
      </c>
      <c r="W631" s="4">
        <v>59</v>
      </c>
    </row>
    <row r="632" spans="1:23" ht="11.25" customHeight="1" x14ac:dyDescent="0.25">
      <c r="A632" s="4" t="s">
        <v>28</v>
      </c>
      <c r="B632" s="4" t="s">
        <v>35</v>
      </c>
      <c r="C632" s="4" t="s">
        <v>39</v>
      </c>
      <c r="D632" s="4" t="s">
        <v>42</v>
      </c>
      <c r="E632" s="4" t="s">
        <v>25</v>
      </c>
      <c r="F632" s="4" t="s">
        <v>25</v>
      </c>
      <c r="G632" s="4" t="s">
        <v>25</v>
      </c>
      <c r="H632" s="4" t="s">
        <v>38</v>
      </c>
      <c r="I632" s="5">
        <v>44470</v>
      </c>
      <c r="J632" s="6">
        <v>0</v>
      </c>
      <c r="K632" s="6">
        <v>0</v>
      </c>
      <c r="L632" s="6">
        <v>13.04</v>
      </c>
      <c r="M632" s="6">
        <v>12.518399999999998</v>
      </c>
      <c r="N632" s="6">
        <v>13.04</v>
      </c>
      <c r="O632" s="6">
        <v>12.518399999999998</v>
      </c>
      <c r="P632" s="6">
        <v>0</v>
      </c>
      <c r="Q632" s="4" t="s">
        <v>26</v>
      </c>
      <c r="R632" s="4">
        <v>0</v>
      </c>
      <c r="S632" s="4" t="s">
        <v>189</v>
      </c>
      <c r="T632" s="4" t="s">
        <v>322</v>
      </c>
      <c r="U632" s="4">
        <v>0</v>
      </c>
      <c r="V632" s="4">
        <v>25</v>
      </c>
      <c r="W632" s="4">
        <v>59</v>
      </c>
    </row>
    <row r="633" spans="1:23" ht="11.25" customHeight="1" x14ac:dyDescent="0.25">
      <c r="A633" s="4" t="s">
        <v>21</v>
      </c>
      <c r="B633" s="4" t="s">
        <v>35</v>
      </c>
      <c r="C633" s="4" t="s">
        <v>39</v>
      </c>
      <c r="D633" s="4" t="s">
        <v>42</v>
      </c>
      <c r="E633" s="4" t="s">
        <v>25</v>
      </c>
      <c r="F633" s="4" t="s">
        <v>25</v>
      </c>
      <c r="G633" s="4" t="s">
        <v>25</v>
      </c>
      <c r="H633" s="4" t="s">
        <v>38</v>
      </c>
      <c r="I633" s="5">
        <v>44501</v>
      </c>
      <c r="J633" s="6">
        <v>0</v>
      </c>
      <c r="K633" s="6">
        <v>0</v>
      </c>
      <c r="L633" s="6">
        <v>1432.9179999999999</v>
      </c>
      <c r="M633" s="6">
        <v>1375.6012799999999</v>
      </c>
      <c r="N633" s="6">
        <v>1432.9179999999999</v>
      </c>
      <c r="O633" s="6">
        <v>1375.6012799999999</v>
      </c>
      <c r="P633" s="6">
        <v>0</v>
      </c>
      <c r="Q633" s="4" t="s">
        <v>26</v>
      </c>
      <c r="R633" s="4">
        <v>0</v>
      </c>
      <c r="S633" s="4" t="s">
        <v>190</v>
      </c>
      <c r="T633" s="4" t="s">
        <v>323</v>
      </c>
      <c r="U633" s="4">
        <v>0</v>
      </c>
      <c r="V633" s="4">
        <v>25</v>
      </c>
      <c r="W633" s="4">
        <v>59</v>
      </c>
    </row>
    <row r="634" spans="1:23" ht="11.25" customHeight="1" x14ac:dyDescent="0.25">
      <c r="A634" s="4" t="s">
        <v>28</v>
      </c>
      <c r="B634" s="4" t="s">
        <v>35</v>
      </c>
      <c r="C634" s="4" t="s">
        <v>39</v>
      </c>
      <c r="D634" s="4" t="s">
        <v>42</v>
      </c>
      <c r="E634" s="4" t="s">
        <v>25</v>
      </c>
      <c r="F634" s="4" t="s">
        <v>25</v>
      </c>
      <c r="G634" s="4" t="s">
        <v>25</v>
      </c>
      <c r="H634" s="4" t="s">
        <v>38</v>
      </c>
      <c r="I634" s="5">
        <v>44501</v>
      </c>
      <c r="J634" s="6">
        <v>0</v>
      </c>
      <c r="K634" s="6">
        <v>0</v>
      </c>
      <c r="L634" s="6">
        <v>9.89</v>
      </c>
      <c r="M634" s="6">
        <v>9.4944000000000006</v>
      </c>
      <c r="N634" s="6">
        <v>9.89</v>
      </c>
      <c r="O634" s="6">
        <v>9.4944000000000006</v>
      </c>
      <c r="P634" s="6">
        <v>0</v>
      </c>
      <c r="Q634" s="4" t="s">
        <v>26</v>
      </c>
      <c r="R634" s="4">
        <v>0</v>
      </c>
      <c r="S634" s="4" t="s">
        <v>190</v>
      </c>
      <c r="T634" s="4" t="s">
        <v>323</v>
      </c>
      <c r="U634" s="4">
        <v>0</v>
      </c>
      <c r="V634" s="4">
        <v>25</v>
      </c>
      <c r="W634" s="4">
        <v>59</v>
      </c>
    </row>
    <row r="635" spans="1:23" ht="11.25" customHeight="1" x14ac:dyDescent="0.25">
      <c r="A635" s="4" t="s">
        <v>21</v>
      </c>
      <c r="B635" s="4" t="s">
        <v>35</v>
      </c>
      <c r="C635" s="4" t="s">
        <v>39</v>
      </c>
      <c r="D635" s="4" t="s">
        <v>42</v>
      </c>
      <c r="E635" s="4" t="s">
        <v>25</v>
      </c>
      <c r="F635" s="4" t="s">
        <v>25</v>
      </c>
      <c r="G635" s="4" t="s">
        <v>25</v>
      </c>
      <c r="H635" s="4" t="s">
        <v>38</v>
      </c>
      <c r="I635" s="5">
        <v>44531</v>
      </c>
      <c r="J635" s="6">
        <v>0</v>
      </c>
      <c r="K635" s="6">
        <v>0</v>
      </c>
      <c r="L635" s="6">
        <v>1923.298</v>
      </c>
      <c r="M635" s="6">
        <v>1846.36608</v>
      </c>
      <c r="N635" s="6">
        <v>1923.298</v>
      </c>
      <c r="O635" s="6">
        <v>1846.36608</v>
      </c>
      <c r="P635" s="6">
        <v>0</v>
      </c>
      <c r="Q635" s="4" t="s">
        <v>26</v>
      </c>
      <c r="R635" s="4">
        <v>0</v>
      </c>
      <c r="S635" s="4" t="s">
        <v>191</v>
      </c>
      <c r="T635" s="4" t="s">
        <v>324</v>
      </c>
      <c r="U635" s="4">
        <v>0</v>
      </c>
      <c r="V635" s="4">
        <v>25</v>
      </c>
      <c r="W635" s="4">
        <v>59</v>
      </c>
    </row>
    <row r="636" spans="1:23" ht="11.25" customHeight="1" x14ac:dyDescent="0.25">
      <c r="A636" s="4" t="s">
        <v>21</v>
      </c>
      <c r="B636" s="4" t="s">
        <v>35</v>
      </c>
      <c r="C636" s="4" t="s">
        <v>39</v>
      </c>
      <c r="D636" s="4" t="s">
        <v>42</v>
      </c>
      <c r="E636" s="4" t="s">
        <v>25</v>
      </c>
      <c r="F636" s="4" t="s">
        <v>25</v>
      </c>
      <c r="G636" s="4" t="s">
        <v>25</v>
      </c>
      <c r="H636" s="4" t="s">
        <v>38</v>
      </c>
      <c r="I636" s="5">
        <v>44562</v>
      </c>
      <c r="J636" s="6">
        <v>0</v>
      </c>
      <c r="K636" s="6">
        <v>0</v>
      </c>
      <c r="L636" s="6">
        <v>1558.232</v>
      </c>
      <c r="M636" s="6">
        <v>1495.9027199999998</v>
      </c>
      <c r="N636" s="6">
        <v>1558.232</v>
      </c>
      <c r="O636" s="6">
        <v>1495.9027199999998</v>
      </c>
      <c r="P636" s="6">
        <v>0</v>
      </c>
      <c r="Q636" s="4" t="s">
        <v>26</v>
      </c>
      <c r="R636" s="4">
        <v>0</v>
      </c>
      <c r="S636" s="4" t="s">
        <v>192</v>
      </c>
      <c r="T636" s="4" t="s">
        <v>325</v>
      </c>
      <c r="U636" s="4">
        <v>0</v>
      </c>
      <c r="V636" s="4">
        <v>25</v>
      </c>
      <c r="W636" s="4">
        <v>59</v>
      </c>
    </row>
    <row r="637" spans="1:23" ht="11.25" customHeight="1" x14ac:dyDescent="0.25">
      <c r="A637" s="4" t="s">
        <v>27</v>
      </c>
      <c r="B637" s="4" t="s">
        <v>35</v>
      </c>
      <c r="C637" s="4" t="s">
        <v>39</v>
      </c>
      <c r="D637" s="4" t="s">
        <v>42</v>
      </c>
      <c r="E637" s="4" t="s">
        <v>25</v>
      </c>
      <c r="F637" s="4" t="s">
        <v>25</v>
      </c>
      <c r="G637" s="4" t="s">
        <v>25</v>
      </c>
      <c r="H637" s="4" t="s">
        <v>38</v>
      </c>
      <c r="I637" s="5">
        <v>44562</v>
      </c>
      <c r="J637" s="6">
        <v>0</v>
      </c>
      <c r="K637" s="6">
        <v>0</v>
      </c>
      <c r="L637" s="6">
        <v>-38.384999999999998</v>
      </c>
      <c r="M637" s="6">
        <v>-36.849599999999995</v>
      </c>
      <c r="N637" s="6">
        <v>-38.384999999999998</v>
      </c>
      <c r="O637" s="6">
        <v>-36.849599999999995</v>
      </c>
      <c r="P637" s="6">
        <v>0</v>
      </c>
      <c r="Q637" s="4" t="s">
        <v>26</v>
      </c>
      <c r="R637" s="4">
        <v>0</v>
      </c>
      <c r="S637" s="4" t="s">
        <v>192</v>
      </c>
      <c r="T637" s="4" t="s">
        <v>325</v>
      </c>
      <c r="U637" s="4">
        <v>0</v>
      </c>
      <c r="V637" s="4">
        <v>25</v>
      </c>
      <c r="W637" s="4">
        <v>59</v>
      </c>
    </row>
    <row r="638" spans="1:23" ht="11.25" customHeight="1" x14ac:dyDescent="0.25">
      <c r="A638" s="4" t="s">
        <v>28</v>
      </c>
      <c r="B638" s="4" t="s">
        <v>35</v>
      </c>
      <c r="C638" s="4" t="s">
        <v>39</v>
      </c>
      <c r="D638" s="4" t="s">
        <v>42</v>
      </c>
      <c r="E638" s="4" t="s">
        <v>25</v>
      </c>
      <c r="F638" s="4" t="s">
        <v>25</v>
      </c>
      <c r="G638" s="4" t="s">
        <v>25</v>
      </c>
      <c r="H638" s="4" t="s">
        <v>38</v>
      </c>
      <c r="I638" s="5">
        <v>44562</v>
      </c>
      <c r="J638" s="6">
        <v>0</v>
      </c>
      <c r="K638" s="6">
        <v>0</v>
      </c>
      <c r="L638" s="6">
        <v>11.084</v>
      </c>
      <c r="M638" s="6">
        <v>10.640639999999999</v>
      </c>
      <c r="N638" s="6">
        <v>11.084</v>
      </c>
      <c r="O638" s="6">
        <v>10.640639999999999</v>
      </c>
      <c r="P638" s="6">
        <v>0</v>
      </c>
      <c r="Q638" s="4" t="s">
        <v>26</v>
      </c>
      <c r="R638" s="4">
        <v>0</v>
      </c>
      <c r="S638" s="4" t="s">
        <v>192</v>
      </c>
      <c r="T638" s="4" t="s">
        <v>325</v>
      </c>
      <c r="U638" s="4">
        <v>0</v>
      </c>
      <c r="V638" s="4">
        <v>25</v>
      </c>
      <c r="W638" s="4">
        <v>59</v>
      </c>
    </row>
    <row r="639" spans="1:23" ht="11.25" customHeight="1" x14ac:dyDescent="0.25">
      <c r="A639" s="4" t="s">
        <v>21</v>
      </c>
      <c r="B639" s="4" t="s">
        <v>35</v>
      </c>
      <c r="C639" s="4" t="s">
        <v>39</v>
      </c>
      <c r="D639" s="4" t="s">
        <v>42</v>
      </c>
      <c r="E639" s="4" t="s">
        <v>25</v>
      </c>
      <c r="F639" s="4" t="s">
        <v>25</v>
      </c>
      <c r="G639" s="4" t="s">
        <v>25</v>
      </c>
      <c r="H639" s="4" t="s">
        <v>38</v>
      </c>
      <c r="I639" s="5">
        <v>44593</v>
      </c>
      <c r="J639" s="6">
        <v>0</v>
      </c>
      <c r="K639" s="6">
        <v>0</v>
      </c>
      <c r="L639" s="6">
        <v>2249.62</v>
      </c>
      <c r="M639" s="6">
        <v>2159.6351999999997</v>
      </c>
      <c r="N639" s="6">
        <v>2249.62</v>
      </c>
      <c r="O639" s="6">
        <v>2159.6351999999997</v>
      </c>
      <c r="P639" s="6">
        <v>0</v>
      </c>
      <c r="Q639" s="4" t="s">
        <v>26</v>
      </c>
      <c r="R639" s="4">
        <v>0</v>
      </c>
      <c r="S639" s="4" t="s">
        <v>193</v>
      </c>
      <c r="T639" s="4" t="s">
        <v>326</v>
      </c>
      <c r="U639" s="4">
        <v>0</v>
      </c>
      <c r="V639" s="4">
        <v>25</v>
      </c>
      <c r="W639" s="4">
        <v>59</v>
      </c>
    </row>
    <row r="640" spans="1:23" ht="11.25" customHeight="1" x14ac:dyDescent="0.25">
      <c r="A640" s="4" t="s">
        <v>27</v>
      </c>
      <c r="B640" s="4" t="s">
        <v>35</v>
      </c>
      <c r="C640" s="4" t="s">
        <v>39</v>
      </c>
      <c r="D640" s="4" t="s">
        <v>42</v>
      </c>
      <c r="E640" s="4" t="s">
        <v>25</v>
      </c>
      <c r="F640" s="4" t="s">
        <v>25</v>
      </c>
      <c r="G640" s="4" t="s">
        <v>25</v>
      </c>
      <c r="H640" s="4" t="s">
        <v>38</v>
      </c>
      <c r="I640" s="5">
        <v>44593</v>
      </c>
      <c r="J640" s="6">
        <v>0</v>
      </c>
      <c r="K640" s="6">
        <v>0</v>
      </c>
      <c r="L640" s="6">
        <v>-82.99</v>
      </c>
      <c r="M640" s="6">
        <v>-79.670399999999987</v>
      </c>
      <c r="N640" s="6">
        <v>-82.99</v>
      </c>
      <c r="O640" s="6">
        <v>-79.670399999999987</v>
      </c>
      <c r="P640" s="6">
        <v>0</v>
      </c>
      <c r="Q640" s="4" t="s">
        <v>26</v>
      </c>
      <c r="R640" s="4">
        <v>0</v>
      </c>
      <c r="S640" s="4" t="s">
        <v>193</v>
      </c>
      <c r="T640" s="4" t="s">
        <v>326</v>
      </c>
      <c r="U640" s="4">
        <v>0</v>
      </c>
      <c r="V640" s="4">
        <v>25</v>
      </c>
      <c r="W640" s="4">
        <v>59</v>
      </c>
    </row>
    <row r="641" spans="1:23" ht="11.25" customHeight="1" x14ac:dyDescent="0.25">
      <c r="A641" s="4" t="s">
        <v>28</v>
      </c>
      <c r="B641" s="4" t="s">
        <v>35</v>
      </c>
      <c r="C641" s="4" t="s">
        <v>39</v>
      </c>
      <c r="D641" s="4" t="s">
        <v>42</v>
      </c>
      <c r="E641" s="4" t="s">
        <v>25</v>
      </c>
      <c r="F641" s="4" t="s">
        <v>25</v>
      </c>
      <c r="G641" s="4" t="s">
        <v>25</v>
      </c>
      <c r="H641" s="4" t="s">
        <v>38</v>
      </c>
      <c r="I641" s="5">
        <v>44593</v>
      </c>
      <c r="J641" s="6">
        <v>0</v>
      </c>
      <c r="K641" s="6">
        <v>0</v>
      </c>
      <c r="L641" s="6">
        <v>47.274000000000001</v>
      </c>
      <c r="M641" s="6">
        <v>45.383040000000001</v>
      </c>
      <c r="N641" s="6">
        <v>47.274000000000001</v>
      </c>
      <c r="O641" s="6">
        <v>45.383040000000001</v>
      </c>
      <c r="P641" s="6">
        <v>0</v>
      </c>
      <c r="Q641" s="4" t="s">
        <v>26</v>
      </c>
      <c r="R641" s="4">
        <v>0</v>
      </c>
      <c r="S641" s="4" t="s">
        <v>193</v>
      </c>
      <c r="T641" s="4" t="s">
        <v>326</v>
      </c>
      <c r="U641" s="4">
        <v>0</v>
      </c>
      <c r="V641" s="4">
        <v>25</v>
      </c>
      <c r="W641" s="4">
        <v>59</v>
      </c>
    </row>
    <row r="642" spans="1:23" ht="11.25" customHeight="1" x14ac:dyDescent="0.25">
      <c r="A642" s="4" t="s">
        <v>21</v>
      </c>
      <c r="B642" s="4" t="s">
        <v>35</v>
      </c>
      <c r="C642" s="4" t="s">
        <v>39</v>
      </c>
      <c r="D642" s="4" t="s">
        <v>42</v>
      </c>
      <c r="E642" s="4" t="s">
        <v>25</v>
      </c>
      <c r="F642" s="4" t="s">
        <v>25</v>
      </c>
      <c r="G642" s="4" t="s">
        <v>25</v>
      </c>
      <c r="H642" s="4" t="s">
        <v>38</v>
      </c>
      <c r="I642" s="5">
        <v>44621</v>
      </c>
      <c r="J642" s="6">
        <v>0</v>
      </c>
      <c r="K642" s="6">
        <v>0</v>
      </c>
      <c r="L642" s="6">
        <v>1768.328</v>
      </c>
      <c r="M642" s="6">
        <v>1697.5948799999999</v>
      </c>
      <c r="N642" s="6">
        <v>1768.328</v>
      </c>
      <c r="O642" s="6">
        <v>1697.5948799999999</v>
      </c>
      <c r="P642" s="6">
        <v>0</v>
      </c>
      <c r="Q642" s="4" t="s">
        <v>26</v>
      </c>
      <c r="R642" s="4">
        <v>0</v>
      </c>
      <c r="S642" s="4" t="s">
        <v>194</v>
      </c>
      <c r="T642" s="4" t="s">
        <v>327</v>
      </c>
      <c r="U642" s="4">
        <v>0</v>
      </c>
      <c r="V642" s="4">
        <v>25</v>
      </c>
      <c r="W642" s="4">
        <v>59</v>
      </c>
    </row>
    <row r="643" spans="1:23" ht="11.25" customHeight="1" x14ac:dyDescent="0.25">
      <c r="A643" s="4" t="s">
        <v>27</v>
      </c>
      <c r="B643" s="4" t="s">
        <v>35</v>
      </c>
      <c r="C643" s="4" t="s">
        <v>39</v>
      </c>
      <c r="D643" s="4" t="s">
        <v>42</v>
      </c>
      <c r="E643" s="4" t="s">
        <v>25</v>
      </c>
      <c r="F643" s="4" t="s">
        <v>25</v>
      </c>
      <c r="G643" s="4" t="s">
        <v>25</v>
      </c>
      <c r="H643" s="4" t="s">
        <v>38</v>
      </c>
      <c r="I643" s="5">
        <v>44621</v>
      </c>
      <c r="J643" s="6">
        <v>0</v>
      </c>
      <c r="K643" s="6">
        <v>0</v>
      </c>
      <c r="L643" s="6">
        <v>-48.512999999999998</v>
      </c>
      <c r="M643" s="6">
        <v>-46.572479999999999</v>
      </c>
      <c r="N643" s="6">
        <v>-48.512999999999998</v>
      </c>
      <c r="O643" s="6">
        <v>-46.572479999999999</v>
      </c>
      <c r="P643" s="6">
        <v>0</v>
      </c>
      <c r="Q643" s="4" t="s">
        <v>26</v>
      </c>
      <c r="R643" s="4">
        <v>0</v>
      </c>
      <c r="S643" s="4" t="s">
        <v>194</v>
      </c>
      <c r="T643" s="4" t="s">
        <v>327</v>
      </c>
      <c r="U643" s="4">
        <v>0</v>
      </c>
      <c r="V643" s="4">
        <v>25</v>
      </c>
      <c r="W643" s="4">
        <v>59</v>
      </c>
    </row>
    <row r="644" spans="1:23" ht="11.25" customHeight="1" x14ac:dyDescent="0.25">
      <c r="A644" s="4" t="s">
        <v>28</v>
      </c>
      <c r="B644" s="4" t="s">
        <v>35</v>
      </c>
      <c r="C644" s="4" t="s">
        <v>39</v>
      </c>
      <c r="D644" s="4" t="s">
        <v>42</v>
      </c>
      <c r="E644" s="4" t="s">
        <v>25</v>
      </c>
      <c r="F644" s="4" t="s">
        <v>25</v>
      </c>
      <c r="G644" s="4" t="s">
        <v>25</v>
      </c>
      <c r="H644" s="4" t="s">
        <v>38</v>
      </c>
      <c r="I644" s="5">
        <v>44621</v>
      </c>
      <c r="J644" s="6">
        <v>0</v>
      </c>
      <c r="K644" s="6">
        <v>0</v>
      </c>
      <c r="L644" s="6">
        <v>75.542000000000002</v>
      </c>
      <c r="M644" s="6">
        <v>72.520319999999998</v>
      </c>
      <c r="N644" s="6">
        <v>75.542000000000002</v>
      </c>
      <c r="O644" s="6">
        <v>72.520319999999998</v>
      </c>
      <c r="P644" s="6">
        <v>0</v>
      </c>
      <c r="Q644" s="4" t="s">
        <v>26</v>
      </c>
      <c r="R644" s="4">
        <v>0</v>
      </c>
      <c r="S644" s="4" t="s">
        <v>194</v>
      </c>
      <c r="T644" s="4" t="s">
        <v>327</v>
      </c>
      <c r="U644" s="4">
        <v>0</v>
      </c>
      <c r="V644" s="4">
        <v>25</v>
      </c>
      <c r="W644" s="4">
        <v>59</v>
      </c>
    </row>
    <row r="645" spans="1:23" ht="11.25" customHeight="1" x14ac:dyDescent="0.25">
      <c r="A645" s="4" t="s">
        <v>21</v>
      </c>
      <c r="B645" s="4" t="s">
        <v>35</v>
      </c>
      <c r="C645" s="4" t="s">
        <v>39</v>
      </c>
      <c r="D645" s="4" t="s">
        <v>42</v>
      </c>
      <c r="E645" s="4" t="s">
        <v>25</v>
      </c>
      <c r="F645" s="4" t="s">
        <v>25</v>
      </c>
      <c r="G645" s="4" t="s">
        <v>25</v>
      </c>
      <c r="H645" s="4" t="s">
        <v>38</v>
      </c>
      <c r="I645" s="5">
        <v>44652</v>
      </c>
      <c r="J645" s="6">
        <v>0</v>
      </c>
      <c r="K645" s="6">
        <v>0</v>
      </c>
      <c r="L645" s="6">
        <v>1720.4949999999999</v>
      </c>
      <c r="M645" s="6">
        <v>1651.6751999999999</v>
      </c>
      <c r="N645" s="6">
        <v>1720.4949999999999</v>
      </c>
      <c r="O645" s="6">
        <v>1651.6751999999999</v>
      </c>
      <c r="P645" s="6">
        <v>0</v>
      </c>
      <c r="Q645" s="4" t="s">
        <v>26</v>
      </c>
      <c r="R645" s="4">
        <v>0</v>
      </c>
      <c r="S645" s="4" t="s">
        <v>195</v>
      </c>
      <c r="T645" s="4" t="s">
        <v>328</v>
      </c>
      <c r="U645" s="4">
        <v>0</v>
      </c>
      <c r="V645" s="4">
        <v>25</v>
      </c>
      <c r="W645" s="4">
        <v>59</v>
      </c>
    </row>
    <row r="646" spans="1:23" ht="11.25" customHeight="1" x14ac:dyDescent="0.25">
      <c r="A646" s="4" t="s">
        <v>28</v>
      </c>
      <c r="B646" s="4" t="s">
        <v>35</v>
      </c>
      <c r="C646" s="4" t="s">
        <v>39</v>
      </c>
      <c r="D646" s="4" t="s">
        <v>42</v>
      </c>
      <c r="E646" s="4" t="s">
        <v>25</v>
      </c>
      <c r="F646" s="4" t="s">
        <v>25</v>
      </c>
      <c r="G646" s="4" t="s">
        <v>25</v>
      </c>
      <c r="H646" s="4" t="s">
        <v>38</v>
      </c>
      <c r="I646" s="5">
        <v>44652</v>
      </c>
      <c r="J646" s="6">
        <v>0</v>
      </c>
      <c r="K646" s="6">
        <v>0</v>
      </c>
      <c r="L646" s="6">
        <v>37.835000000000001</v>
      </c>
      <c r="M646" s="6">
        <v>36.321599999999997</v>
      </c>
      <c r="N646" s="6">
        <v>37.835000000000001</v>
      </c>
      <c r="O646" s="6">
        <v>36.321599999999997</v>
      </c>
      <c r="P646" s="6">
        <v>0</v>
      </c>
      <c r="Q646" s="4" t="s">
        <v>26</v>
      </c>
      <c r="R646" s="4">
        <v>0</v>
      </c>
      <c r="S646" s="4" t="s">
        <v>195</v>
      </c>
      <c r="T646" s="4" t="s">
        <v>328</v>
      </c>
      <c r="U646" s="4">
        <v>0</v>
      </c>
      <c r="V646" s="4">
        <v>25</v>
      </c>
      <c r="W646" s="4">
        <v>59</v>
      </c>
    </row>
    <row r="647" spans="1:23" ht="11.25" customHeight="1" x14ac:dyDescent="0.25">
      <c r="A647" s="4" t="s">
        <v>21</v>
      </c>
      <c r="B647" s="4" t="s">
        <v>35</v>
      </c>
      <c r="C647" s="4" t="s">
        <v>39</v>
      </c>
      <c r="D647" s="4" t="s">
        <v>42</v>
      </c>
      <c r="E647" s="4" t="s">
        <v>25</v>
      </c>
      <c r="F647" s="4" t="s">
        <v>25</v>
      </c>
      <c r="G647" s="4" t="s">
        <v>25</v>
      </c>
      <c r="H647" s="4" t="s">
        <v>38</v>
      </c>
      <c r="I647" s="5">
        <v>44682</v>
      </c>
      <c r="J647" s="6">
        <v>0</v>
      </c>
      <c r="K647" s="6">
        <v>0</v>
      </c>
      <c r="L647" s="6">
        <v>2034.04</v>
      </c>
      <c r="M647" s="6">
        <v>1952.6783999999998</v>
      </c>
      <c r="N647" s="6">
        <v>2034.04</v>
      </c>
      <c r="O647" s="6">
        <v>1952.6783999999998</v>
      </c>
      <c r="P647" s="6">
        <v>0</v>
      </c>
      <c r="Q647" s="4" t="s">
        <v>26</v>
      </c>
      <c r="R647" s="4">
        <v>0</v>
      </c>
      <c r="S647" s="4" t="s">
        <v>196</v>
      </c>
      <c r="T647" s="4" t="s">
        <v>329</v>
      </c>
      <c r="U647" s="4">
        <v>0</v>
      </c>
      <c r="V647" s="4">
        <v>25</v>
      </c>
      <c r="W647" s="4">
        <v>59</v>
      </c>
    </row>
    <row r="648" spans="1:23" ht="11.25" customHeight="1" x14ac:dyDescent="0.25">
      <c r="A648" s="4" t="s">
        <v>27</v>
      </c>
      <c r="B648" s="4" t="s">
        <v>35</v>
      </c>
      <c r="C648" s="4" t="s">
        <v>39</v>
      </c>
      <c r="D648" s="4" t="s">
        <v>42</v>
      </c>
      <c r="E648" s="4" t="s">
        <v>25</v>
      </c>
      <c r="F648" s="4" t="s">
        <v>25</v>
      </c>
      <c r="G648" s="4" t="s">
        <v>25</v>
      </c>
      <c r="H648" s="4" t="s">
        <v>38</v>
      </c>
      <c r="I648" s="5">
        <v>44682</v>
      </c>
      <c r="J648" s="6">
        <v>0</v>
      </c>
      <c r="K648" s="6">
        <v>0</v>
      </c>
      <c r="L648" s="6">
        <v>-41.206000000000003</v>
      </c>
      <c r="M648" s="6">
        <v>-39.557760000000002</v>
      </c>
      <c r="N648" s="6">
        <v>-41.206000000000003</v>
      </c>
      <c r="O648" s="6">
        <v>-39.557760000000002</v>
      </c>
      <c r="P648" s="6">
        <v>0</v>
      </c>
      <c r="Q648" s="4" t="s">
        <v>26</v>
      </c>
      <c r="R648" s="4">
        <v>0</v>
      </c>
      <c r="S648" s="4" t="s">
        <v>196</v>
      </c>
      <c r="T648" s="4" t="s">
        <v>329</v>
      </c>
      <c r="U648" s="4">
        <v>0</v>
      </c>
      <c r="V648" s="4">
        <v>25</v>
      </c>
      <c r="W648" s="4">
        <v>59</v>
      </c>
    </row>
    <row r="649" spans="1:23" ht="11.25" customHeight="1" x14ac:dyDescent="0.25">
      <c r="A649" s="4" t="s">
        <v>28</v>
      </c>
      <c r="B649" s="4" t="s">
        <v>35</v>
      </c>
      <c r="C649" s="4" t="s">
        <v>39</v>
      </c>
      <c r="D649" s="4" t="s">
        <v>42</v>
      </c>
      <c r="E649" s="4" t="s">
        <v>25</v>
      </c>
      <c r="F649" s="4" t="s">
        <v>25</v>
      </c>
      <c r="G649" s="4" t="s">
        <v>25</v>
      </c>
      <c r="H649" s="4" t="s">
        <v>38</v>
      </c>
      <c r="I649" s="5">
        <v>44682</v>
      </c>
      <c r="J649" s="6">
        <v>0</v>
      </c>
      <c r="K649" s="6">
        <v>0</v>
      </c>
      <c r="L649" s="6">
        <v>102.774</v>
      </c>
      <c r="M649" s="6">
        <v>98.663039999999995</v>
      </c>
      <c r="N649" s="6">
        <v>102.774</v>
      </c>
      <c r="O649" s="6">
        <v>98.663039999999995</v>
      </c>
      <c r="P649" s="6">
        <v>0</v>
      </c>
      <c r="Q649" s="4" t="s">
        <v>26</v>
      </c>
      <c r="R649" s="4">
        <v>0</v>
      </c>
      <c r="S649" s="4" t="s">
        <v>196</v>
      </c>
      <c r="T649" s="4" t="s">
        <v>329</v>
      </c>
      <c r="U649" s="4">
        <v>0</v>
      </c>
      <c r="V649" s="4">
        <v>25</v>
      </c>
      <c r="W649" s="4">
        <v>59</v>
      </c>
    </row>
    <row r="650" spans="1:23" ht="11.25" customHeight="1" x14ac:dyDescent="0.25">
      <c r="A650" s="4" t="s">
        <v>28</v>
      </c>
      <c r="B650" s="4" t="s">
        <v>35</v>
      </c>
      <c r="C650" s="4" t="s">
        <v>39</v>
      </c>
      <c r="D650" s="4" t="s">
        <v>42</v>
      </c>
      <c r="E650" s="4" t="s">
        <v>25</v>
      </c>
      <c r="F650" s="4" t="s">
        <v>25</v>
      </c>
      <c r="G650" s="4" t="s">
        <v>25</v>
      </c>
      <c r="H650" s="4" t="s">
        <v>38</v>
      </c>
      <c r="I650" s="5">
        <v>44682</v>
      </c>
      <c r="J650" s="6">
        <v>0</v>
      </c>
      <c r="K650" s="6">
        <v>0</v>
      </c>
      <c r="L650" s="6">
        <v>-10.106</v>
      </c>
      <c r="M650" s="6">
        <v>-9.7017600000000002</v>
      </c>
      <c r="N650" s="6">
        <v>-10.106</v>
      </c>
      <c r="O650" s="6">
        <v>-9.7017600000000002</v>
      </c>
      <c r="P650" s="6">
        <v>0</v>
      </c>
      <c r="Q650" s="4" t="s">
        <v>26</v>
      </c>
      <c r="R650" s="4">
        <v>0</v>
      </c>
      <c r="S650" s="4" t="s">
        <v>196</v>
      </c>
      <c r="T650" s="4" t="s">
        <v>329</v>
      </c>
      <c r="U650" s="4">
        <v>0</v>
      </c>
      <c r="V650" s="4">
        <v>25</v>
      </c>
      <c r="W650" s="4">
        <v>59</v>
      </c>
    </row>
    <row r="651" spans="1:23" ht="11.25" customHeight="1" x14ac:dyDescent="0.25">
      <c r="A651" s="4" t="s">
        <v>21</v>
      </c>
      <c r="B651" s="4" t="s">
        <v>35</v>
      </c>
      <c r="C651" s="4" t="s">
        <v>39</v>
      </c>
      <c r="D651" s="4" t="s">
        <v>42</v>
      </c>
      <c r="E651" s="4" t="s">
        <v>25</v>
      </c>
      <c r="F651" s="4" t="s">
        <v>25</v>
      </c>
      <c r="G651" s="4" t="s">
        <v>25</v>
      </c>
      <c r="H651" s="4" t="s">
        <v>38</v>
      </c>
      <c r="I651" s="5">
        <v>44713</v>
      </c>
      <c r="J651" s="6">
        <v>0</v>
      </c>
      <c r="K651" s="6">
        <v>0</v>
      </c>
      <c r="L651" s="6">
        <v>1914.43</v>
      </c>
      <c r="M651" s="6">
        <v>1837.8527999999999</v>
      </c>
      <c r="N651" s="6">
        <v>1914.43</v>
      </c>
      <c r="O651" s="6">
        <v>1837.8527999999999</v>
      </c>
      <c r="P651" s="6">
        <v>0</v>
      </c>
      <c r="Q651" s="4" t="s">
        <v>26</v>
      </c>
      <c r="R651" s="4">
        <v>0</v>
      </c>
      <c r="S651" s="4" t="s">
        <v>197</v>
      </c>
      <c r="T651" s="4" t="s">
        <v>330</v>
      </c>
      <c r="U651" s="4">
        <v>0</v>
      </c>
      <c r="V651" s="4">
        <v>25</v>
      </c>
      <c r="W651" s="4">
        <v>59</v>
      </c>
    </row>
    <row r="652" spans="1:23" ht="11.25" customHeight="1" x14ac:dyDescent="0.25">
      <c r="A652" s="4" t="s">
        <v>27</v>
      </c>
      <c r="B652" s="4" t="s">
        <v>35</v>
      </c>
      <c r="C652" s="4" t="s">
        <v>39</v>
      </c>
      <c r="D652" s="4" t="s">
        <v>42</v>
      </c>
      <c r="E652" s="4" t="s">
        <v>25</v>
      </c>
      <c r="F652" s="4" t="s">
        <v>25</v>
      </c>
      <c r="G652" s="4" t="s">
        <v>25</v>
      </c>
      <c r="H652" s="4" t="s">
        <v>38</v>
      </c>
      <c r="I652" s="5">
        <v>44713</v>
      </c>
      <c r="J652" s="6">
        <v>0</v>
      </c>
      <c r="K652" s="6">
        <v>0</v>
      </c>
      <c r="L652" s="6">
        <v>-19.802</v>
      </c>
      <c r="M652" s="6">
        <v>-19.009919999999997</v>
      </c>
      <c r="N652" s="6">
        <v>-19.802</v>
      </c>
      <c r="O652" s="6">
        <v>-19.009919999999997</v>
      </c>
      <c r="P652" s="6">
        <v>0</v>
      </c>
      <c r="Q652" s="4" t="s">
        <v>26</v>
      </c>
      <c r="R652" s="4">
        <v>0</v>
      </c>
      <c r="S652" s="4" t="s">
        <v>197</v>
      </c>
      <c r="T652" s="4" t="s">
        <v>330</v>
      </c>
      <c r="U652" s="4">
        <v>0</v>
      </c>
      <c r="V652" s="4">
        <v>25</v>
      </c>
      <c r="W652" s="4">
        <v>59</v>
      </c>
    </row>
    <row r="653" spans="1:23" ht="11.25" customHeight="1" x14ac:dyDescent="0.25">
      <c r="A653" s="4" t="s">
        <v>28</v>
      </c>
      <c r="B653" s="4" t="s">
        <v>35</v>
      </c>
      <c r="C653" s="4" t="s">
        <v>39</v>
      </c>
      <c r="D653" s="4" t="s">
        <v>42</v>
      </c>
      <c r="E653" s="4" t="s">
        <v>25</v>
      </c>
      <c r="F653" s="4" t="s">
        <v>25</v>
      </c>
      <c r="G653" s="4" t="s">
        <v>25</v>
      </c>
      <c r="H653" s="4" t="s">
        <v>38</v>
      </c>
      <c r="I653" s="5">
        <v>44713</v>
      </c>
      <c r="J653" s="6">
        <v>0</v>
      </c>
      <c r="K653" s="6">
        <v>0</v>
      </c>
      <c r="L653" s="6">
        <v>191.12200000000001</v>
      </c>
      <c r="M653" s="6">
        <v>183.47712000000001</v>
      </c>
      <c r="N653" s="6">
        <v>191.12200000000001</v>
      </c>
      <c r="O653" s="6">
        <v>183.47712000000001</v>
      </c>
      <c r="P653" s="6">
        <v>0</v>
      </c>
      <c r="Q653" s="4" t="s">
        <v>26</v>
      </c>
      <c r="R653" s="4">
        <v>0</v>
      </c>
      <c r="S653" s="4" t="s">
        <v>197</v>
      </c>
      <c r="T653" s="4" t="s">
        <v>330</v>
      </c>
      <c r="U653" s="4">
        <v>0</v>
      </c>
      <c r="V653" s="4">
        <v>25</v>
      </c>
      <c r="W653" s="4">
        <v>59</v>
      </c>
    </row>
    <row r="654" spans="1:23" ht="11.25" customHeight="1" x14ac:dyDescent="0.25">
      <c r="A654" s="4" t="s">
        <v>21</v>
      </c>
      <c r="B654" s="4" t="s">
        <v>35</v>
      </c>
      <c r="C654" s="4" t="s">
        <v>39</v>
      </c>
      <c r="D654" s="4" t="s">
        <v>42</v>
      </c>
      <c r="E654" s="4" t="s">
        <v>25</v>
      </c>
      <c r="F654" s="4" t="s">
        <v>25</v>
      </c>
      <c r="G654" s="4" t="s">
        <v>25</v>
      </c>
      <c r="H654" s="4" t="s">
        <v>25</v>
      </c>
      <c r="I654" s="5">
        <v>44378</v>
      </c>
      <c r="J654" s="6">
        <v>8787</v>
      </c>
      <c r="K654" s="6">
        <v>8435.52</v>
      </c>
      <c r="L654" s="6">
        <v>0</v>
      </c>
      <c r="M654" s="6">
        <v>0</v>
      </c>
      <c r="N654" s="6">
        <v>0</v>
      </c>
      <c r="O654" s="6">
        <v>0</v>
      </c>
      <c r="P654" s="6">
        <v>106</v>
      </c>
      <c r="Q654" s="4" t="s">
        <v>26</v>
      </c>
      <c r="R654" s="4">
        <v>0</v>
      </c>
      <c r="S654" s="4" t="s">
        <v>198</v>
      </c>
      <c r="U654" s="4">
        <v>18</v>
      </c>
      <c r="V654" s="4">
        <v>0</v>
      </c>
      <c r="W654" s="4">
        <v>0</v>
      </c>
    </row>
    <row r="655" spans="1:23" ht="11.25" customHeight="1" x14ac:dyDescent="0.25">
      <c r="A655" s="4" t="s">
        <v>28</v>
      </c>
      <c r="B655" s="4" t="s">
        <v>35</v>
      </c>
      <c r="C655" s="4" t="s">
        <v>39</v>
      </c>
      <c r="D655" s="4" t="s">
        <v>42</v>
      </c>
      <c r="E655" s="4" t="s">
        <v>25</v>
      </c>
      <c r="F655" s="4" t="s">
        <v>25</v>
      </c>
      <c r="G655" s="4" t="s">
        <v>25</v>
      </c>
      <c r="H655" s="4" t="s">
        <v>25</v>
      </c>
      <c r="I655" s="5">
        <v>44378</v>
      </c>
      <c r="J655" s="6">
        <v>1106</v>
      </c>
      <c r="K655" s="6">
        <v>1061.76</v>
      </c>
      <c r="L655" s="6">
        <v>0</v>
      </c>
      <c r="M655" s="6">
        <v>0</v>
      </c>
      <c r="N655" s="6">
        <v>0</v>
      </c>
      <c r="O655" s="6">
        <v>0</v>
      </c>
      <c r="P655" s="6">
        <v>10</v>
      </c>
      <c r="Q655" s="4" t="s">
        <v>26</v>
      </c>
      <c r="R655" s="4">
        <v>0</v>
      </c>
      <c r="S655" s="4" t="s">
        <v>198</v>
      </c>
      <c r="U655" s="4">
        <v>18</v>
      </c>
      <c r="V655" s="4">
        <v>0</v>
      </c>
      <c r="W655" s="4">
        <v>0</v>
      </c>
    </row>
    <row r="656" spans="1:23" ht="11.25" customHeight="1" x14ac:dyDescent="0.25">
      <c r="A656" s="4" t="s">
        <v>21</v>
      </c>
      <c r="B656" s="4" t="s">
        <v>35</v>
      </c>
      <c r="C656" s="4" t="s">
        <v>39</v>
      </c>
      <c r="D656" s="4" t="s">
        <v>42</v>
      </c>
      <c r="E656" s="4" t="s">
        <v>25</v>
      </c>
      <c r="F656" s="4" t="s">
        <v>25</v>
      </c>
      <c r="G656" s="4" t="s">
        <v>25</v>
      </c>
      <c r="H656" s="4" t="s">
        <v>25</v>
      </c>
      <c r="I656" s="5">
        <v>44409</v>
      </c>
      <c r="J656" s="6">
        <v>8162</v>
      </c>
      <c r="K656" s="6">
        <v>7835.5199999999995</v>
      </c>
      <c r="L656" s="6">
        <v>0</v>
      </c>
      <c r="M656" s="6">
        <v>0</v>
      </c>
      <c r="N656" s="6">
        <v>0</v>
      </c>
      <c r="O656" s="6">
        <v>0</v>
      </c>
      <c r="P656" s="6">
        <v>107</v>
      </c>
      <c r="Q656" s="4" t="s">
        <v>26</v>
      </c>
      <c r="R656" s="4">
        <v>0</v>
      </c>
      <c r="S656" s="4" t="s">
        <v>199</v>
      </c>
      <c r="U656" s="4">
        <v>18</v>
      </c>
      <c r="V656" s="4">
        <v>0</v>
      </c>
      <c r="W656" s="4">
        <v>0</v>
      </c>
    </row>
    <row r="657" spans="1:23" ht="11.25" customHeight="1" x14ac:dyDescent="0.25">
      <c r="A657" s="4" t="s">
        <v>28</v>
      </c>
      <c r="B657" s="4" t="s">
        <v>35</v>
      </c>
      <c r="C657" s="4" t="s">
        <v>39</v>
      </c>
      <c r="D657" s="4" t="s">
        <v>42</v>
      </c>
      <c r="E657" s="4" t="s">
        <v>25</v>
      </c>
      <c r="F657" s="4" t="s">
        <v>25</v>
      </c>
      <c r="G657" s="4" t="s">
        <v>25</v>
      </c>
      <c r="H657" s="4" t="s">
        <v>25</v>
      </c>
      <c r="I657" s="5">
        <v>44409</v>
      </c>
      <c r="J657" s="6">
        <v>1277</v>
      </c>
      <c r="K657" s="6">
        <v>1225.9199999999998</v>
      </c>
      <c r="L657" s="6">
        <v>0</v>
      </c>
      <c r="M657" s="6">
        <v>0</v>
      </c>
      <c r="N657" s="6">
        <v>0</v>
      </c>
      <c r="O657" s="6">
        <v>0</v>
      </c>
      <c r="P657" s="6">
        <v>12</v>
      </c>
      <c r="Q657" s="4" t="s">
        <v>26</v>
      </c>
      <c r="R657" s="4">
        <v>0</v>
      </c>
      <c r="S657" s="4" t="s">
        <v>199</v>
      </c>
      <c r="U657" s="4">
        <v>18</v>
      </c>
      <c r="V657" s="4">
        <v>0</v>
      </c>
      <c r="W657" s="4">
        <v>0</v>
      </c>
    </row>
    <row r="658" spans="1:23" ht="11.25" customHeight="1" x14ac:dyDescent="0.25">
      <c r="A658" s="4" t="s">
        <v>28</v>
      </c>
      <c r="B658" s="4" t="s">
        <v>35</v>
      </c>
      <c r="C658" s="4" t="s">
        <v>39</v>
      </c>
      <c r="D658" s="4" t="s">
        <v>42</v>
      </c>
      <c r="E658" s="4" t="s">
        <v>25</v>
      </c>
      <c r="F658" s="4" t="s">
        <v>25</v>
      </c>
      <c r="G658" s="4" t="s">
        <v>25</v>
      </c>
      <c r="H658" s="4" t="s">
        <v>25</v>
      </c>
      <c r="I658" s="5">
        <v>44409</v>
      </c>
      <c r="J658" s="6">
        <v>-150</v>
      </c>
      <c r="K658" s="6">
        <v>-144</v>
      </c>
      <c r="L658" s="6">
        <v>0</v>
      </c>
      <c r="M658" s="6">
        <v>0</v>
      </c>
      <c r="N658" s="6">
        <v>0</v>
      </c>
      <c r="O658" s="6">
        <v>0</v>
      </c>
      <c r="P658" s="6">
        <v>-2</v>
      </c>
      <c r="Q658" s="4" t="s">
        <v>26</v>
      </c>
      <c r="R658" s="4">
        <v>0</v>
      </c>
      <c r="S658" s="4" t="s">
        <v>199</v>
      </c>
      <c r="U658" s="4">
        <v>18</v>
      </c>
      <c r="V658" s="4">
        <v>0</v>
      </c>
      <c r="W658" s="4">
        <v>0</v>
      </c>
    </row>
    <row r="659" spans="1:23" ht="11.25" customHeight="1" x14ac:dyDescent="0.25">
      <c r="A659" s="4" t="s">
        <v>21</v>
      </c>
      <c r="B659" s="4" t="s">
        <v>35</v>
      </c>
      <c r="C659" s="4" t="s">
        <v>39</v>
      </c>
      <c r="D659" s="4" t="s">
        <v>42</v>
      </c>
      <c r="E659" s="4" t="s">
        <v>25</v>
      </c>
      <c r="F659" s="4" t="s">
        <v>25</v>
      </c>
      <c r="G659" s="4" t="s">
        <v>25</v>
      </c>
      <c r="H659" s="4" t="s">
        <v>25</v>
      </c>
      <c r="I659" s="5">
        <v>44440</v>
      </c>
      <c r="J659" s="6">
        <v>7599</v>
      </c>
      <c r="K659" s="6">
        <v>7295.04</v>
      </c>
      <c r="L659" s="6">
        <v>0</v>
      </c>
      <c r="M659" s="6">
        <v>0</v>
      </c>
      <c r="N659" s="6">
        <v>0</v>
      </c>
      <c r="O659" s="6">
        <v>0</v>
      </c>
      <c r="P659" s="6">
        <v>107</v>
      </c>
      <c r="Q659" s="4" t="s">
        <v>26</v>
      </c>
      <c r="R659" s="4">
        <v>0</v>
      </c>
      <c r="S659" s="4" t="s">
        <v>200</v>
      </c>
      <c r="U659" s="4">
        <v>18</v>
      </c>
      <c r="V659" s="4">
        <v>0</v>
      </c>
      <c r="W659" s="4">
        <v>0</v>
      </c>
    </row>
    <row r="660" spans="1:23" ht="11.25" customHeight="1" x14ac:dyDescent="0.25">
      <c r="A660" s="4" t="s">
        <v>28</v>
      </c>
      <c r="B660" s="4" t="s">
        <v>35</v>
      </c>
      <c r="C660" s="4" t="s">
        <v>39</v>
      </c>
      <c r="D660" s="4" t="s">
        <v>42</v>
      </c>
      <c r="E660" s="4" t="s">
        <v>25</v>
      </c>
      <c r="F660" s="4" t="s">
        <v>25</v>
      </c>
      <c r="G660" s="4" t="s">
        <v>25</v>
      </c>
      <c r="H660" s="4" t="s">
        <v>25</v>
      </c>
      <c r="I660" s="5">
        <v>44440</v>
      </c>
      <c r="J660" s="6">
        <v>1110</v>
      </c>
      <c r="K660" s="6">
        <v>1065.5999999999999</v>
      </c>
      <c r="L660" s="6">
        <v>0</v>
      </c>
      <c r="M660" s="6">
        <v>0</v>
      </c>
      <c r="N660" s="6">
        <v>0</v>
      </c>
      <c r="O660" s="6">
        <v>0</v>
      </c>
      <c r="P660" s="6">
        <v>10</v>
      </c>
      <c r="Q660" s="4" t="s">
        <v>26</v>
      </c>
      <c r="R660" s="4">
        <v>0</v>
      </c>
      <c r="S660" s="4" t="s">
        <v>200</v>
      </c>
      <c r="U660" s="4">
        <v>18</v>
      </c>
      <c r="V660" s="4">
        <v>0</v>
      </c>
      <c r="W660" s="4">
        <v>0</v>
      </c>
    </row>
    <row r="661" spans="1:23" ht="11.25" customHeight="1" x14ac:dyDescent="0.25">
      <c r="A661" s="4" t="s">
        <v>21</v>
      </c>
      <c r="B661" s="4" t="s">
        <v>35</v>
      </c>
      <c r="C661" s="4" t="s">
        <v>39</v>
      </c>
      <c r="D661" s="4" t="s">
        <v>42</v>
      </c>
      <c r="E661" s="4" t="s">
        <v>25</v>
      </c>
      <c r="F661" s="4" t="s">
        <v>25</v>
      </c>
      <c r="G661" s="4" t="s">
        <v>25</v>
      </c>
      <c r="H661" s="4" t="s">
        <v>25</v>
      </c>
      <c r="I661" s="5">
        <v>44470</v>
      </c>
      <c r="J661" s="6">
        <v>7273</v>
      </c>
      <c r="K661" s="6">
        <v>6982.08</v>
      </c>
      <c r="L661" s="6">
        <v>0</v>
      </c>
      <c r="M661" s="6">
        <v>0</v>
      </c>
      <c r="N661" s="6">
        <v>0</v>
      </c>
      <c r="O661" s="6">
        <v>0</v>
      </c>
      <c r="P661" s="6">
        <v>107</v>
      </c>
      <c r="Q661" s="4" t="s">
        <v>26</v>
      </c>
      <c r="R661" s="4">
        <v>0</v>
      </c>
      <c r="S661" s="4" t="s">
        <v>201</v>
      </c>
      <c r="U661" s="4">
        <v>18</v>
      </c>
      <c r="V661" s="4">
        <v>0</v>
      </c>
      <c r="W661" s="4">
        <v>0</v>
      </c>
    </row>
    <row r="662" spans="1:23" ht="11.25" customHeight="1" x14ac:dyDescent="0.25">
      <c r="A662" s="4" t="s">
        <v>28</v>
      </c>
      <c r="B662" s="4" t="s">
        <v>35</v>
      </c>
      <c r="C662" s="4" t="s">
        <v>39</v>
      </c>
      <c r="D662" s="4" t="s">
        <v>42</v>
      </c>
      <c r="E662" s="4" t="s">
        <v>25</v>
      </c>
      <c r="F662" s="4" t="s">
        <v>25</v>
      </c>
      <c r="G662" s="4" t="s">
        <v>25</v>
      </c>
      <c r="H662" s="4" t="s">
        <v>25</v>
      </c>
      <c r="I662" s="5">
        <v>44470</v>
      </c>
      <c r="J662" s="6">
        <v>1138</v>
      </c>
      <c r="K662" s="6">
        <v>1092.48</v>
      </c>
      <c r="L662" s="6">
        <v>0</v>
      </c>
      <c r="M662" s="6">
        <v>0</v>
      </c>
      <c r="N662" s="6">
        <v>0</v>
      </c>
      <c r="O662" s="6">
        <v>0</v>
      </c>
      <c r="P662" s="6">
        <v>10</v>
      </c>
      <c r="Q662" s="4" t="s">
        <v>26</v>
      </c>
      <c r="R662" s="4">
        <v>0</v>
      </c>
      <c r="S662" s="4" t="s">
        <v>201</v>
      </c>
      <c r="U662" s="4">
        <v>18</v>
      </c>
      <c r="V662" s="4">
        <v>0</v>
      </c>
      <c r="W662" s="4">
        <v>0</v>
      </c>
    </row>
    <row r="663" spans="1:23" ht="11.25" customHeight="1" x14ac:dyDescent="0.25">
      <c r="A663" s="4" t="s">
        <v>21</v>
      </c>
      <c r="B663" s="4" t="s">
        <v>35</v>
      </c>
      <c r="C663" s="4" t="s">
        <v>39</v>
      </c>
      <c r="D663" s="4" t="s">
        <v>42</v>
      </c>
      <c r="E663" s="4" t="s">
        <v>25</v>
      </c>
      <c r="F663" s="4" t="s">
        <v>25</v>
      </c>
      <c r="G663" s="4" t="s">
        <v>25</v>
      </c>
      <c r="H663" s="4" t="s">
        <v>25</v>
      </c>
      <c r="I663" s="5">
        <v>44501</v>
      </c>
      <c r="J663" s="6">
        <v>8501</v>
      </c>
      <c r="K663" s="6">
        <v>8160.96</v>
      </c>
      <c r="L663" s="6">
        <v>0</v>
      </c>
      <c r="M663" s="6">
        <v>0</v>
      </c>
      <c r="N663" s="6">
        <v>0</v>
      </c>
      <c r="O663" s="6">
        <v>0</v>
      </c>
      <c r="P663" s="6">
        <v>107</v>
      </c>
      <c r="Q663" s="4" t="s">
        <v>26</v>
      </c>
      <c r="R663" s="4">
        <v>0</v>
      </c>
      <c r="S663" s="4" t="s">
        <v>202</v>
      </c>
      <c r="U663" s="4">
        <v>18</v>
      </c>
      <c r="V663" s="4">
        <v>0</v>
      </c>
      <c r="W663" s="4">
        <v>0</v>
      </c>
    </row>
    <row r="664" spans="1:23" ht="11.25" customHeight="1" x14ac:dyDescent="0.25">
      <c r="A664" s="4" t="s">
        <v>28</v>
      </c>
      <c r="B664" s="4" t="s">
        <v>35</v>
      </c>
      <c r="C664" s="4" t="s">
        <v>39</v>
      </c>
      <c r="D664" s="4" t="s">
        <v>42</v>
      </c>
      <c r="E664" s="4" t="s">
        <v>25</v>
      </c>
      <c r="F664" s="4" t="s">
        <v>25</v>
      </c>
      <c r="G664" s="4" t="s">
        <v>25</v>
      </c>
      <c r="H664" s="4" t="s">
        <v>25</v>
      </c>
      <c r="I664" s="5">
        <v>44501</v>
      </c>
      <c r="J664" s="6">
        <v>1298</v>
      </c>
      <c r="K664" s="6">
        <v>1246.08</v>
      </c>
      <c r="L664" s="6">
        <v>0</v>
      </c>
      <c r="M664" s="6">
        <v>0</v>
      </c>
      <c r="N664" s="6">
        <v>0</v>
      </c>
      <c r="O664" s="6">
        <v>0</v>
      </c>
      <c r="P664" s="6">
        <v>10</v>
      </c>
      <c r="Q664" s="4" t="s">
        <v>26</v>
      </c>
      <c r="R664" s="4">
        <v>0</v>
      </c>
      <c r="S664" s="4" t="s">
        <v>202</v>
      </c>
      <c r="U664" s="4">
        <v>18</v>
      </c>
      <c r="V664" s="4">
        <v>0</v>
      </c>
      <c r="W664" s="4">
        <v>0</v>
      </c>
    </row>
    <row r="665" spans="1:23" ht="11.25" customHeight="1" x14ac:dyDescent="0.25">
      <c r="A665" s="4" t="s">
        <v>21</v>
      </c>
      <c r="B665" s="4" t="s">
        <v>35</v>
      </c>
      <c r="C665" s="4" t="s">
        <v>39</v>
      </c>
      <c r="D665" s="4" t="s">
        <v>42</v>
      </c>
      <c r="E665" s="4" t="s">
        <v>25</v>
      </c>
      <c r="F665" s="4" t="s">
        <v>25</v>
      </c>
      <c r="G665" s="4" t="s">
        <v>25</v>
      </c>
      <c r="H665" s="4" t="s">
        <v>25</v>
      </c>
      <c r="I665" s="5">
        <v>44531</v>
      </c>
      <c r="J665" s="6">
        <v>10613</v>
      </c>
      <c r="K665" s="6">
        <v>10188.48</v>
      </c>
      <c r="L665" s="6">
        <v>0</v>
      </c>
      <c r="M665" s="6">
        <v>0</v>
      </c>
      <c r="N665" s="6">
        <v>0</v>
      </c>
      <c r="O665" s="6">
        <v>0</v>
      </c>
      <c r="P665" s="6">
        <v>107</v>
      </c>
      <c r="Q665" s="4" t="s">
        <v>26</v>
      </c>
      <c r="R665" s="4">
        <v>0</v>
      </c>
      <c r="S665" s="4" t="s">
        <v>203</v>
      </c>
      <c r="U665" s="4">
        <v>18</v>
      </c>
      <c r="V665" s="4">
        <v>0</v>
      </c>
      <c r="W665" s="4">
        <v>0</v>
      </c>
    </row>
    <row r="666" spans="1:23" ht="11.25" customHeight="1" x14ac:dyDescent="0.25">
      <c r="A666" s="4" t="s">
        <v>21</v>
      </c>
      <c r="B666" s="4" t="s">
        <v>35</v>
      </c>
      <c r="C666" s="4" t="s">
        <v>39</v>
      </c>
      <c r="D666" s="4" t="s">
        <v>42</v>
      </c>
      <c r="E666" s="4" t="s">
        <v>25</v>
      </c>
      <c r="F666" s="4" t="s">
        <v>25</v>
      </c>
      <c r="G666" s="4" t="s">
        <v>25</v>
      </c>
      <c r="H666" s="4" t="s">
        <v>25</v>
      </c>
      <c r="I666" s="5">
        <v>44562</v>
      </c>
      <c r="J666" s="6">
        <v>8788</v>
      </c>
      <c r="K666" s="6">
        <v>8436.48</v>
      </c>
      <c r="L666" s="6">
        <v>0</v>
      </c>
      <c r="M666" s="6">
        <v>0</v>
      </c>
      <c r="N666" s="6">
        <v>0</v>
      </c>
      <c r="O666" s="6">
        <v>0</v>
      </c>
      <c r="P666" s="6">
        <v>108</v>
      </c>
      <c r="Q666" s="4" t="s">
        <v>26</v>
      </c>
      <c r="R666" s="4">
        <v>0</v>
      </c>
      <c r="S666" s="4" t="s">
        <v>204</v>
      </c>
      <c r="U666" s="4">
        <v>18</v>
      </c>
      <c r="V666" s="4">
        <v>0</v>
      </c>
      <c r="W666" s="4">
        <v>0</v>
      </c>
    </row>
    <row r="667" spans="1:23" ht="11.25" customHeight="1" x14ac:dyDescent="0.25">
      <c r="A667" s="4" t="s">
        <v>27</v>
      </c>
      <c r="B667" s="4" t="s">
        <v>35</v>
      </c>
      <c r="C667" s="4" t="s">
        <v>39</v>
      </c>
      <c r="D667" s="4" t="s">
        <v>42</v>
      </c>
      <c r="E667" s="4" t="s">
        <v>25</v>
      </c>
      <c r="F667" s="4" t="s">
        <v>25</v>
      </c>
      <c r="G667" s="4" t="s">
        <v>25</v>
      </c>
      <c r="H667" s="4" t="s">
        <v>25</v>
      </c>
      <c r="I667" s="5">
        <v>44562</v>
      </c>
      <c r="J667" s="6">
        <v>-291</v>
      </c>
      <c r="K667" s="6">
        <v>-279.36</v>
      </c>
      <c r="L667" s="6">
        <v>0</v>
      </c>
      <c r="M667" s="6">
        <v>0</v>
      </c>
      <c r="N667" s="6">
        <v>0</v>
      </c>
      <c r="O667" s="6">
        <v>0</v>
      </c>
      <c r="P667" s="6">
        <v>-1</v>
      </c>
      <c r="Q667" s="4" t="s">
        <v>26</v>
      </c>
      <c r="R667" s="4">
        <v>0</v>
      </c>
      <c r="S667" s="4" t="s">
        <v>204</v>
      </c>
      <c r="U667" s="4">
        <v>18</v>
      </c>
      <c r="V667" s="4">
        <v>0</v>
      </c>
      <c r="W667" s="4">
        <v>0</v>
      </c>
    </row>
    <row r="668" spans="1:23" ht="11.25" customHeight="1" x14ac:dyDescent="0.25">
      <c r="A668" s="4" t="s">
        <v>28</v>
      </c>
      <c r="B668" s="4" t="s">
        <v>35</v>
      </c>
      <c r="C668" s="4" t="s">
        <v>39</v>
      </c>
      <c r="D668" s="4" t="s">
        <v>42</v>
      </c>
      <c r="E668" s="4" t="s">
        <v>25</v>
      </c>
      <c r="F668" s="4" t="s">
        <v>25</v>
      </c>
      <c r="G668" s="4" t="s">
        <v>25</v>
      </c>
      <c r="H668" s="4" t="s">
        <v>25</v>
      </c>
      <c r="I668" s="5">
        <v>44562</v>
      </c>
      <c r="J668" s="6">
        <v>1117</v>
      </c>
      <c r="K668" s="6">
        <v>1072.32</v>
      </c>
      <c r="L668" s="6">
        <v>0</v>
      </c>
      <c r="M668" s="6">
        <v>0</v>
      </c>
      <c r="N668" s="6">
        <v>0</v>
      </c>
      <c r="O668" s="6">
        <v>0</v>
      </c>
      <c r="P668" s="6">
        <v>10</v>
      </c>
      <c r="Q668" s="4" t="s">
        <v>26</v>
      </c>
      <c r="R668" s="4">
        <v>0</v>
      </c>
      <c r="S668" s="4" t="s">
        <v>204</v>
      </c>
      <c r="U668" s="4">
        <v>18</v>
      </c>
      <c r="V668" s="4">
        <v>0</v>
      </c>
      <c r="W668" s="4">
        <v>0</v>
      </c>
    </row>
    <row r="669" spans="1:23" ht="11.25" customHeight="1" x14ac:dyDescent="0.25">
      <c r="A669" s="4" t="s">
        <v>21</v>
      </c>
      <c r="B669" s="4" t="s">
        <v>35</v>
      </c>
      <c r="C669" s="4" t="s">
        <v>39</v>
      </c>
      <c r="D669" s="4" t="s">
        <v>42</v>
      </c>
      <c r="E669" s="4" t="s">
        <v>25</v>
      </c>
      <c r="F669" s="4" t="s">
        <v>25</v>
      </c>
      <c r="G669" s="4" t="s">
        <v>25</v>
      </c>
      <c r="H669" s="4" t="s">
        <v>25</v>
      </c>
      <c r="I669" s="5">
        <v>44593</v>
      </c>
      <c r="J669" s="6">
        <v>10922</v>
      </c>
      <c r="K669" s="6">
        <v>10485.119999999999</v>
      </c>
      <c r="L669" s="6">
        <v>0</v>
      </c>
      <c r="M669" s="6">
        <v>0</v>
      </c>
      <c r="N669" s="6">
        <v>0</v>
      </c>
      <c r="O669" s="6">
        <v>0</v>
      </c>
      <c r="P669" s="6">
        <v>108</v>
      </c>
      <c r="Q669" s="4" t="s">
        <v>26</v>
      </c>
      <c r="R669" s="4">
        <v>0</v>
      </c>
      <c r="S669" s="4" t="s">
        <v>205</v>
      </c>
      <c r="U669" s="4">
        <v>18</v>
      </c>
      <c r="V669" s="4">
        <v>0</v>
      </c>
      <c r="W669" s="4">
        <v>0</v>
      </c>
    </row>
    <row r="670" spans="1:23" ht="11.25" customHeight="1" x14ac:dyDescent="0.25">
      <c r="A670" s="4" t="s">
        <v>27</v>
      </c>
      <c r="B670" s="4" t="s">
        <v>35</v>
      </c>
      <c r="C670" s="4" t="s">
        <v>39</v>
      </c>
      <c r="D670" s="4" t="s">
        <v>42</v>
      </c>
      <c r="E670" s="4" t="s">
        <v>25</v>
      </c>
      <c r="F670" s="4" t="s">
        <v>25</v>
      </c>
      <c r="G670" s="4" t="s">
        <v>25</v>
      </c>
      <c r="H670" s="4" t="s">
        <v>25</v>
      </c>
      <c r="I670" s="5">
        <v>44593</v>
      </c>
      <c r="J670" s="6">
        <v>-340</v>
      </c>
      <c r="K670" s="6">
        <v>-326.39999999999998</v>
      </c>
      <c r="L670" s="6">
        <v>0</v>
      </c>
      <c r="M670" s="6">
        <v>0</v>
      </c>
      <c r="N670" s="6">
        <v>0</v>
      </c>
      <c r="O670" s="6">
        <v>0</v>
      </c>
      <c r="P670" s="6">
        <v>-1</v>
      </c>
      <c r="Q670" s="4" t="s">
        <v>26</v>
      </c>
      <c r="R670" s="4">
        <v>0</v>
      </c>
      <c r="S670" s="4" t="s">
        <v>205</v>
      </c>
      <c r="U670" s="4">
        <v>18</v>
      </c>
      <c r="V670" s="4">
        <v>0</v>
      </c>
      <c r="W670" s="4">
        <v>0</v>
      </c>
    </row>
    <row r="671" spans="1:23" ht="11.25" customHeight="1" x14ac:dyDescent="0.25">
      <c r="A671" s="4" t="s">
        <v>28</v>
      </c>
      <c r="B671" s="4" t="s">
        <v>35</v>
      </c>
      <c r="C671" s="4" t="s">
        <v>39</v>
      </c>
      <c r="D671" s="4" t="s">
        <v>42</v>
      </c>
      <c r="E671" s="4" t="s">
        <v>25</v>
      </c>
      <c r="F671" s="4" t="s">
        <v>25</v>
      </c>
      <c r="G671" s="4" t="s">
        <v>25</v>
      </c>
      <c r="H671" s="4" t="s">
        <v>25</v>
      </c>
      <c r="I671" s="5">
        <v>44593</v>
      </c>
      <c r="J671" s="6">
        <v>1569</v>
      </c>
      <c r="K671" s="6">
        <v>1506.24</v>
      </c>
      <c r="L671" s="6">
        <v>0</v>
      </c>
      <c r="M671" s="6">
        <v>0</v>
      </c>
      <c r="N671" s="6">
        <v>0</v>
      </c>
      <c r="O671" s="6">
        <v>0</v>
      </c>
      <c r="P671" s="6">
        <v>11</v>
      </c>
      <c r="Q671" s="4" t="s">
        <v>26</v>
      </c>
      <c r="R671" s="4">
        <v>0</v>
      </c>
      <c r="S671" s="4" t="s">
        <v>205</v>
      </c>
      <c r="U671" s="4">
        <v>18</v>
      </c>
      <c r="V671" s="4">
        <v>0</v>
      </c>
      <c r="W671" s="4">
        <v>0</v>
      </c>
    </row>
    <row r="672" spans="1:23" ht="11.25" customHeight="1" x14ac:dyDescent="0.25">
      <c r="A672" s="4" t="s">
        <v>21</v>
      </c>
      <c r="B672" s="4" t="s">
        <v>35</v>
      </c>
      <c r="C672" s="4" t="s">
        <v>39</v>
      </c>
      <c r="D672" s="4" t="s">
        <v>42</v>
      </c>
      <c r="E672" s="4" t="s">
        <v>25</v>
      </c>
      <c r="F672" s="4" t="s">
        <v>25</v>
      </c>
      <c r="G672" s="4" t="s">
        <v>25</v>
      </c>
      <c r="H672" s="4" t="s">
        <v>25</v>
      </c>
      <c r="I672" s="5">
        <v>44621</v>
      </c>
      <c r="J672" s="6">
        <v>10321</v>
      </c>
      <c r="K672" s="6">
        <v>9908.16</v>
      </c>
      <c r="L672" s="6">
        <v>0</v>
      </c>
      <c r="M672" s="6">
        <v>0</v>
      </c>
      <c r="N672" s="6">
        <v>0</v>
      </c>
      <c r="O672" s="6">
        <v>0</v>
      </c>
      <c r="P672" s="6">
        <v>111</v>
      </c>
      <c r="Q672" s="4" t="s">
        <v>26</v>
      </c>
      <c r="R672" s="4">
        <v>0</v>
      </c>
      <c r="S672" s="4" t="s">
        <v>206</v>
      </c>
      <c r="U672" s="4">
        <v>18</v>
      </c>
      <c r="V672" s="4">
        <v>0</v>
      </c>
      <c r="W672" s="4">
        <v>0</v>
      </c>
    </row>
    <row r="673" spans="1:23" ht="11.25" customHeight="1" x14ac:dyDescent="0.25">
      <c r="A673" s="4" t="s">
        <v>27</v>
      </c>
      <c r="B673" s="4" t="s">
        <v>35</v>
      </c>
      <c r="C673" s="4" t="s">
        <v>39</v>
      </c>
      <c r="D673" s="4" t="s">
        <v>42</v>
      </c>
      <c r="E673" s="4" t="s">
        <v>25</v>
      </c>
      <c r="F673" s="4" t="s">
        <v>25</v>
      </c>
      <c r="G673" s="4" t="s">
        <v>25</v>
      </c>
      <c r="H673" s="4" t="s">
        <v>25</v>
      </c>
      <c r="I673" s="5">
        <v>44621</v>
      </c>
      <c r="J673" s="6">
        <v>-328</v>
      </c>
      <c r="K673" s="6">
        <v>-314.88</v>
      </c>
      <c r="L673" s="6">
        <v>0</v>
      </c>
      <c r="M673" s="6">
        <v>0</v>
      </c>
      <c r="N673" s="6">
        <v>0</v>
      </c>
      <c r="O673" s="6">
        <v>0</v>
      </c>
      <c r="P673" s="6">
        <v>-5</v>
      </c>
      <c r="Q673" s="4" t="s">
        <v>26</v>
      </c>
      <c r="R673" s="4">
        <v>0</v>
      </c>
      <c r="S673" s="4" t="s">
        <v>206</v>
      </c>
      <c r="U673" s="4">
        <v>18</v>
      </c>
      <c r="V673" s="4">
        <v>0</v>
      </c>
      <c r="W673" s="4">
        <v>0</v>
      </c>
    </row>
    <row r="674" spans="1:23" ht="11.25" customHeight="1" x14ac:dyDescent="0.25">
      <c r="A674" s="4" t="s">
        <v>28</v>
      </c>
      <c r="B674" s="4" t="s">
        <v>35</v>
      </c>
      <c r="C674" s="4" t="s">
        <v>39</v>
      </c>
      <c r="D674" s="4" t="s">
        <v>42</v>
      </c>
      <c r="E674" s="4" t="s">
        <v>25</v>
      </c>
      <c r="F674" s="4" t="s">
        <v>25</v>
      </c>
      <c r="G674" s="4" t="s">
        <v>25</v>
      </c>
      <c r="H674" s="4" t="s">
        <v>25</v>
      </c>
      <c r="I674" s="5">
        <v>44621</v>
      </c>
      <c r="J674" s="6">
        <v>1903</v>
      </c>
      <c r="K674" s="6">
        <v>1826.8799999999999</v>
      </c>
      <c r="L674" s="6">
        <v>0</v>
      </c>
      <c r="M674" s="6">
        <v>0</v>
      </c>
      <c r="N674" s="6">
        <v>0</v>
      </c>
      <c r="O674" s="6">
        <v>0</v>
      </c>
      <c r="P674" s="6">
        <v>13</v>
      </c>
      <c r="Q674" s="4" t="s">
        <v>26</v>
      </c>
      <c r="R674" s="4">
        <v>0</v>
      </c>
      <c r="S674" s="4" t="s">
        <v>206</v>
      </c>
      <c r="U674" s="4">
        <v>18</v>
      </c>
      <c r="V674" s="4">
        <v>0</v>
      </c>
      <c r="W674" s="4">
        <v>0</v>
      </c>
    </row>
    <row r="675" spans="1:23" ht="11.25" customHeight="1" x14ac:dyDescent="0.25">
      <c r="A675" s="4" t="s">
        <v>21</v>
      </c>
      <c r="B675" s="4" t="s">
        <v>35</v>
      </c>
      <c r="C675" s="4" t="s">
        <v>39</v>
      </c>
      <c r="D675" s="4" t="s">
        <v>42</v>
      </c>
      <c r="E675" s="4" t="s">
        <v>25</v>
      </c>
      <c r="F675" s="4" t="s">
        <v>25</v>
      </c>
      <c r="G675" s="4" t="s">
        <v>25</v>
      </c>
      <c r="H675" s="4" t="s">
        <v>25</v>
      </c>
      <c r="I675" s="5">
        <v>44652</v>
      </c>
      <c r="J675" s="6">
        <v>10116</v>
      </c>
      <c r="K675" s="6">
        <v>9711.3599999999988</v>
      </c>
      <c r="L675" s="6">
        <v>0</v>
      </c>
      <c r="M675" s="6">
        <v>0</v>
      </c>
      <c r="N675" s="6">
        <v>0</v>
      </c>
      <c r="O675" s="6">
        <v>0</v>
      </c>
      <c r="P675" s="6">
        <v>107</v>
      </c>
      <c r="Q675" s="4" t="s">
        <v>26</v>
      </c>
      <c r="R675" s="4">
        <v>0</v>
      </c>
      <c r="S675" s="4" t="s">
        <v>207</v>
      </c>
      <c r="U675" s="4">
        <v>18</v>
      </c>
      <c r="V675" s="4">
        <v>0</v>
      </c>
      <c r="W675" s="4">
        <v>0</v>
      </c>
    </row>
    <row r="676" spans="1:23" ht="11.25" customHeight="1" x14ac:dyDescent="0.25">
      <c r="A676" s="4" t="s">
        <v>28</v>
      </c>
      <c r="B676" s="4" t="s">
        <v>35</v>
      </c>
      <c r="C676" s="4" t="s">
        <v>39</v>
      </c>
      <c r="D676" s="4" t="s">
        <v>42</v>
      </c>
      <c r="E676" s="4" t="s">
        <v>25</v>
      </c>
      <c r="F676" s="4" t="s">
        <v>25</v>
      </c>
      <c r="G676" s="4" t="s">
        <v>25</v>
      </c>
      <c r="H676" s="4" t="s">
        <v>25</v>
      </c>
      <c r="I676" s="5">
        <v>44652</v>
      </c>
      <c r="J676" s="6">
        <v>1989</v>
      </c>
      <c r="K676" s="6">
        <v>1909.4399999999998</v>
      </c>
      <c r="L676" s="6">
        <v>0</v>
      </c>
      <c r="M676" s="6">
        <v>0</v>
      </c>
      <c r="N676" s="6">
        <v>0</v>
      </c>
      <c r="O676" s="6">
        <v>0</v>
      </c>
      <c r="P676" s="6">
        <v>14</v>
      </c>
      <c r="Q676" s="4" t="s">
        <v>26</v>
      </c>
      <c r="R676" s="4">
        <v>0</v>
      </c>
      <c r="S676" s="4" t="s">
        <v>207</v>
      </c>
      <c r="U676" s="4">
        <v>18</v>
      </c>
      <c r="V676" s="4">
        <v>0</v>
      </c>
      <c r="W676" s="4">
        <v>0</v>
      </c>
    </row>
    <row r="677" spans="1:23" ht="11.25" customHeight="1" x14ac:dyDescent="0.25">
      <c r="A677" s="4" t="s">
        <v>21</v>
      </c>
      <c r="B677" s="4" t="s">
        <v>35</v>
      </c>
      <c r="C677" s="4" t="s">
        <v>39</v>
      </c>
      <c r="D677" s="4" t="s">
        <v>42</v>
      </c>
      <c r="E677" s="4" t="s">
        <v>25</v>
      </c>
      <c r="F677" s="4" t="s">
        <v>25</v>
      </c>
      <c r="G677" s="4" t="s">
        <v>25</v>
      </c>
      <c r="H677" s="4" t="s">
        <v>25</v>
      </c>
      <c r="I677" s="5">
        <v>44682</v>
      </c>
      <c r="J677" s="6">
        <v>11615</v>
      </c>
      <c r="K677" s="6">
        <v>11150.4</v>
      </c>
      <c r="L677" s="6">
        <v>0</v>
      </c>
      <c r="M677" s="6">
        <v>0</v>
      </c>
      <c r="N677" s="6">
        <v>0</v>
      </c>
      <c r="O677" s="6">
        <v>0</v>
      </c>
      <c r="P677" s="6">
        <v>110</v>
      </c>
      <c r="Q677" s="4" t="s">
        <v>26</v>
      </c>
      <c r="R677" s="4">
        <v>0</v>
      </c>
      <c r="S677" s="4" t="s">
        <v>208</v>
      </c>
      <c r="U677" s="4">
        <v>18</v>
      </c>
      <c r="V677" s="4">
        <v>0</v>
      </c>
      <c r="W677" s="4">
        <v>0</v>
      </c>
    </row>
    <row r="678" spans="1:23" ht="11.25" customHeight="1" x14ac:dyDescent="0.25">
      <c r="A678" s="4" t="s">
        <v>27</v>
      </c>
      <c r="B678" s="4" t="s">
        <v>35</v>
      </c>
      <c r="C678" s="4" t="s">
        <v>39</v>
      </c>
      <c r="D678" s="4" t="s">
        <v>42</v>
      </c>
      <c r="E678" s="4" t="s">
        <v>25</v>
      </c>
      <c r="F678" s="4" t="s">
        <v>25</v>
      </c>
      <c r="G678" s="4" t="s">
        <v>25</v>
      </c>
      <c r="H678" s="4" t="s">
        <v>25</v>
      </c>
      <c r="I678" s="5">
        <v>44682</v>
      </c>
      <c r="J678" s="6">
        <v>-304</v>
      </c>
      <c r="K678" s="6">
        <v>-291.83999999999997</v>
      </c>
      <c r="L678" s="6">
        <v>0</v>
      </c>
      <c r="M678" s="6">
        <v>0</v>
      </c>
      <c r="N678" s="6">
        <v>0</v>
      </c>
      <c r="O678" s="6">
        <v>0</v>
      </c>
      <c r="P678" s="6">
        <v>-3</v>
      </c>
      <c r="Q678" s="4" t="s">
        <v>26</v>
      </c>
      <c r="R678" s="4">
        <v>0</v>
      </c>
      <c r="S678" s="4" t="s">
        <v>208</v>
      </c>
      <c r="U678" s="4">
        <v>18</v>
      </c>
      <c r="V678" s="4">
        <v>0</v>
      </c>
      <c r="W678" s="4">
        <v>0</v>
      </c>
    </row>
    <row r="679" spans="1:23" ht="11.25" customHeight="1" x14ac:dyDescent="0.25">
      <c r="A679" s="4" t="s">
        <v>28</v>
      </c>
      <c r="B679" s="4" t="s">
        <v>35</v>
      </c>
      <c r="C679" s="4" t="s">
        <v>39</v>
      </c>
      <c r="D679" s="4" t="s">
        <v>42</v>
      </c>
      <c r="E679" s="4" t="s">
        <v>25</v>
      </c>
      <c r="F679" s="4" t="s">
        <v>25</v>
      </c>
      <c r="G679" s="4" t="s">
        <v>25</v>
      </c>
      <c r="H679" s="4" t="s">
        <v>25</v>
      </c>
      <c r="I679" s="5">
        <v>44682</v>
      </c>
      <c r="J679" s="6">
        <v>2388</v>
      </c>
      <c r="K679" s="6">
        <v>2292.48</v>
      </c>
      <c r="L679" s="6">
        <v>0</v>
      </c>
      <c r="M679" s="6">
        <v>0</v>
      </c>
      <c r="N679" s="6">
        <v>0</v>
      </c>
      <c r="O679" s="6">
        <v>0</v>
      </c>
      <c r="P679" s="6">
        <v>16</v>
      </c>
      <c r="Q679" s="4" t="s">
        <v>26</v>
      </c>
      <c r="R679" s="4">
        <v>0</v>
      </c>
      <c r="S679" s="4" t="s">
        <v>208</v>
      </c>
      <c r="U679" s="4">
        <v>18</v>
      </c>
      <c r="V679" s="4">
        <v>0</v>
      </c>
      <c r="W679" s="4">
        <v>0</v>
      </c>
    </row>
    <row r="680" spans="1:23" ht="11.25" customHeight="1" x14ac:dyDescent="0.25">
      <c r="A680" s="4" t="s">
        <v>28</v>
      </c>
      <c r="B680" s="4" t="s">
        <v>35</v>
      </c>
      <c r="C680" s="4" t="s">
        <v>39</v>
      </c>
      <c r="D680" s="4" t="s">
        <v>42</v>
      </c>
      <c r="E680" s="4" t="s">
        <v>25</v>
      </c>
      <c r="F680" s="4" t="s">
        <v>25</v>
      </c>
      <c r="G680" s="4" t="s">
        <v>25</v>
      </c>
      <c r="H680" s="4" t="s">
        <v>25</v>
      </c>
      <c r="I680" s="5">
        <v>44682</v>
      </c>
      <c r="J680" s="6">
        <v>-266</v>
      </c>
      <c r="K680" s="6">
        <v>-255.35999999999999</v>
      </c>
      <c r="L680" s="6">
        <v>0</v>
      </c>
      <c r="M680" s="6">
        <v>0</v>
      </c>
      <c r="N680" s="6">
        <v>0</v>
      </c>
      <c r="O680" s="6">
        <v>0</v>
      </c>
      <c r="P680" s="6">
        <v>-1</v>
      </c>
      <c r="Q680" s="4" t="s">
        <v>26</v>
      </c>
      <c r="R680" s="4">
        <v>0</v>
      </c>
      <c r="S680" s="4" t="s">
        <v>208</v>
      </c>
      <c r="U680" s="4">
        <v>18</v>
      </c>
      <c r="V680" s="4">
        <v>0</v>
      </c>
      <c r="W680" s="4">
        <v>0</v>
      </c>
    </row>
    <row r="681" spans="1:23" ht="11.25" customHeight="1" x14ac:dyDescent="0.25">
      <c r="A681" s="4" t="s">
        <v>21</v>
      </c>
      <c r="B681" s="4" t="s">
        <v>35</v>
      </c>
      <c r="C681" s="4" t="s">
        <v>39</v>
      </c>
      <c r="D681" s="4" t="s">
        <v>42</v>
      </c>
      <c r="E681" s="4" t="s">
        <v>25</v>
      </c>
      <c r="F681" s="4" t="s">
        <v>25</v>
      </c>
      <c r="G681" s="4" t="s">
        <v>25</v>
      </c>
      <c r="H681" s="4" t="s">
        <v>25</v>
      </c>
      <c r="I681" s="5">
        <v>44713</v>
      </c>
      <c r="J681" s="6">
        <v>11142</v>
      </c>
      <c r="K681" s="6">
        <v>10696.32</v>
      </c>
      <c r="L681" s="6">
        <v>0</v>
      </c>
      <c r="M681" s="6">
        <v>0</v>
      </c>
      <c r="N681" s="6">
        <v>0</v>
      </c>
      <c r="O681" s="6">
        <v>0</v>
      </c>
      <c r="P681" s="6">
        <v>107</v>
      </c>
      <c r="Q681" s="4" t="s">
        <v>26</v>
      </c>
      <c r="R681" s="4">
        <v>0</v>
      </c>
      <c r="S681" s="4" t="s">
        <v>209</v>
      </c>
      <c r="U681" s="4">
        <v>18</v>
      </c>
      <c r="V681" s="4">
        <v>0</v>
      </c>
      <c r="W681" s="4">
        <v>0</v>
      </c>
    </row>
    <row r="682" spans="1:23" ht="11.25" customHeight="1" x14ac:dyDescent="0.25">
      <c r="A682" s="4" t="s">
        <v>27</v>
      </c>
      <c r="B682" s="4" t="s">
        <v>35</v>
      </c>
      <c r="C682" s="4" t="s">
        <v>39</v>
      </c>
      <c r="D682" s="4" t="s">
        <v>42</v>
      </c>
      <c r="E682" s="4" t="s">
        <v>25</v>
      </c>
      <c r="F682" s="4" t="s">
        <v>25</v>
      </c>
      <c r="G682" s="4" t="s">
        <v>25</v>
      </c>
      <c r="H682" s="4" t="s">
        <v>25</v>
      </c>
      <c r="I682" s="5">
        <v>44713</v>
      </c>
      <c r="J682" s="6">
        <v>-91</v>
      </c>
      <c r="K682" s="6">
        <v>-87.36</v>
      </c>
      <c r="L682" s="6">
        <v>0</v>
      </c>
      <c r="M682" s="6">
        <v>0</v>
      </c>
      <c r="N682" s="6">
        <v>0</v>
      </c>
      <c r="O682" s="6">
        <v>0</v>
      </c>
      <c r="P682" s="6">
        <v>-1</v>
      </c>
      <c r="Q682" s="4" t="s">
        <v>26</v>
      </c>
      <c r="R682" s="4">
        <v>0</v>
      </c>
      <c r="S682" s="4" t="s">
        <v>209</v>
      </c>
      <c r="U682" s="4">
        <v>18</v>
      </c>
      <c r="V682" s="4">
        <v>0</v>
      </c>
      <c r="W682" s="4">
        <v>0</v>
      </c>
    </row>
    <row r="683" spans="1:23" ht="11.25" customHeight="1" x14ac:dyDescent="0.25">
      <c r="A683" s="4" t="s">
        <v>28</v>
      </c>
      <c r="B683" s="4" t="s">
        <v>35</v>
      </c>
      <c r="C683" s="4" t="s">
        <v>39</v>
      </c>
      <c r="D683" s="4" t="s">
        <v>42</v>
      </c>
      <c r="E683" s="4" t="s">
        <v>25</v>
      </c>
      <c r="F683" s="4" t="s">
        <v>25</v>
      </c>
      <c r="G683" s="4" t="s">
        <v>25</v>
      </c>
      <c r="H683" s="4" t="s">
        <v>25</v>
      </c>
      <c r="I683" s="5">
        <v>44713</v>
      </c>
      <c r="J683" s="6">
        <v>2531</v>
      </c>
      <c r="K683" s="6">
        <v>2429.7599999999998</v>
      </c>
      <c r="L683" s="6">
        <v>0</v>
      </c>
      <c r="M683" s="6">
        <v>0</v>
      </c>
      <c r="N683" s="6">
        <v>0</v>
      </c>
      <c r="O683" s="6">
        <v>0</v>
      </c>
      <c r="P683" s="6">
        <v>16</v>
      </c>
      <c r="Q683" s="4" t="s">
        <v>26</v>
      </c>
      <c r="R683" s="4">
        <v>0</v>
      </c>
      <c r="S683" s="4" t="s">
        <v>209</v>
      </c>
      <c r="U683" s="4">
        <v>18</v>
      </c>
      <c r="V683" s="4">
        <v>0</v>
      </c>
      <c r="W683" s="4">
        <v>0</v>
      </c>
    </row>
    <row r="684" spans="1:23" ht="11.25" customHeight="1" x14ac:dyDescent="0.25">
      <c r="A684" s="4" t="s">
        <v>21</v>
      </c>
      <c r="B684" s="4" t="s">
        <v>35</v>
      </c>
      <c r="C684" s="4" t="s">
        <v>39</v>
      </c>
      <c r="D684" s="4" t="s">
        <v>42</v>
      </c>
      <c r="E684" s="4" t="s">
        <v>25</v>
      </c>
      <c r="F684" s="4" t="s">
        <v>25</v>
      </c>
      <c r="G684" s="4" t="s">
        <v>25</v>
      </c>
      <c r="H684" s="4" t="s">
        <v>37</v>
      </c>
      <c r="I684" s="5">
        <v>44378</v>
      </c>
      <c r="J684" s="6">
        <v>0</v>
      </c>
      <c r="K684" s="6">
        <v>0</v>
      </c>
      <c r="L684" s="6">
        <v>146.107</v>
      </c>
      <c r="M684" s="6">
        <v>140.26272</v>
      </c>
      <c r="N684" s="6">
        <v>146.107</v>
      </c>
      <c r="O684" s="6">
        <v>140.26272</v>
      </c>
      <c r="P684" s="6">
        <v>0</v>
      </c>
      <c r="Q684" s="4" t="s">
        <v>26</v>
      </c>
      <c r="R684" s="4">
        <v>0</v>
      </c>
      <c r="S684" s="4" t="s">
        <v>210</v>
      </c>
      <c r="T684" s="4" t="s">
        <v>331</v>
      </c>
      <c r="U684" s="4">
        <v>0</v>
      </c>
      <c r="V684" s="4">
        <v>12</v>
      </c>
      <c r="W684" s="4">
        <v>66</v>
      </c>
    </row>
    <row r="685" spans="1:23" ht="11.25" customHeight="1" x14ac:dyDescent="0.25">
      <c r="A685" s="4" t="s">
        <v>21</v>
      </c>
      <c r="B685" s="4" t="s">
        <v>35</v>
      </c>
      <c r="C685" s="4" t="s">
        <v>39</v>
      </c>
      <c r="D685" s="4" t="s">
        <v>42</v>
      </c>
      <c r="E685" s="4" t="s">
        <v>25</v>
      </c>
      <c r="F685" s="4" t="s">
        <v>25</v>
      </c>
      <c r="G685" s="4" t="s">
        <v>25</v>
      </c>
      <c r="H685" s="4" t="s">
        <v>37</v>
      </c>
      <c r="I685" s="5">
        <v>44409</v>
      </c>
      <c r="J685" s="6">
        <v>0</v>
      </c>
      <c r="K685" s="6">
        <v>0</v>
      </c>
      <c r="L685" s="6">
        <v>155.256</v>
      </c>
      <c r="M685" s="6">
        <v>149.04576</v>
      </c>
      <c r="N685" s="6">
        <v>155.256</v>
      </c>
      <c r="O685" s="6">
        <v>149.04576</v>
      </c>
      <c r="P685" s="6">
        <v>0</v>
      </c>
      <c r="Q685" s="4" t="s">
        <v>26</v>
      </c>
      <c r="R685" s="4">
        <v>0</v>
      </c>
      <c r="S685" s="4" t="s">
        <v>211</v>
      </c>
      <c r="T685" s="4" t="s">
        <v>332</v>
      </c>
      <c r="U685" s="4">
        <v>0</v>
      </c>
      <c r="V685" s="4">
        <v>12</v>
      </c>
      <c r="W685" s="4">
        <v>66</v>
      </c>
    </row>
    <row r="686" spans="1:23" ht="11.25" customHeight="1" x14ac:dyDescent="0.25">
      <c r="A686" s="4" t="s">
        <v>28</v>
      </c>
      <c r="B686" s="4" t="s">
        <v>35</v>
      </c>
      <c r="C686" s="4" t="s">
        <v>39</v>
      </c>
      <c r="D686" s="4" t="s">
        <v>42</v>
      </c>
      <c r="E686" s="4" t="s">
        <v>25</v>
      </c>
      <c r="F686" s="4" t="s">
        <v>25</v>
      </c>
      <c r="G686" s="4" t="s">
        <v>25</v>
      </c>
      <c r="H686" s="4" t="s">
        <v>37</v>
      </c>
      <c r="I686" s="5">
        <v>44409</v>
      </c>
      <c r="J686" s="6">
        <v>0</v>
      </c>
      <c r="K686" s="6">
        <v>0</v>
      </c>
      <c r="L686" s="6">
        <v>3.5670000000000002</v>
      </c>
      <c r="M686" s="6">
        <v>3.4243200000000003</v>
      </c>
      <c r="N686" s="6">
        <v>3.5670000000000002</v>
      </c>
      <c r="O686" s="6">
        <v>3.4243200000000003</v>
      </c>
      <c r="P686" s="6">
        <v>0</v>
      </c>
      <c r="Q686" s="4" t="s">
        <v>26</v>
      </c>
      <c r="R686" s="4">
        <v>0</v>
      </c>
      <c r="S686" s="4" t="s">
        <v>211</v>
      </c>
      <c r="T686" s="4" t="s">
        <v>332</v>
      </c>
      <c r="U686" s="4">
        <v>0</v>
      </c>
      <c r="V686" s="4">
        <v>12</v>
      </c>
      <c r="W686" s="4">
        <v>66</v>
      </c>
    </row>
    <row r="687" spans="1:23" ht="11.25" customHeight="1" x14ac:dyDescent="0.25">
      <c r="A687" s="4" t="s">
        <v>28</v>
      </c>
      <c r="B687" s="4" t="s">
        <v>35</v>
      </c>
      <c r="C687" s="4" t="s">
        <v>39</v>
      </c>
      <c r="D687" s="4" t="s">
        <v>42</v>
      </c>
      <c r="E687" s="4" t="s">
        <v>25</v>
      </c>
      <c r="F687" s="4" t="s">
        <v>25</v>
      </c>
      <c r="G687" s="4" t="s">
        <v>25</v>
      </c>
      <c r="H687" s="4" t="s">
        <v>37</v>
      </c>
      <c r="I687" s="5">
        <v>44409</v>
      </c>
      <c r="J687" s="6">
        <v>0</v>
      </c>
      <c r="K687" s="6">
        <v>0</v>
      </c>
      <c r="L687" s="6">
        <v>-0.67200000000000004</v>
      </c>
      <c r="M687" s="6">
        <v>-0.64512000000000003</v>
      </c>
      <c r="N687" s="6">
        <v>-0.67200000000000004</v>
      </c>
      <c r="O687" s="6">
        <v>-0.64512000000000003</v>
      </c>
      <c r="P687" s="6">
        <v>0</v>
      </c>
      <c r="Q687" s="4" t="s">
        <v>26</v>
      </c>
      <c r="R687" s="4">
        <v>0</v>
      </c>
      <c r="S687" s="4" t="s">
        <v>211</v>
      </c>
      <c r="T687" s="4" t="s">
        <v>332</v>
      </c>
      <c r="U687" s="4">
        <v>0</v>
      </c>
      <c r="V687" s="4">
        <v>12</v>
      </c>
      <c r="W687" s="4">
        <v>66</v>
      </c>
    </row>
    <row r="688" spans="1:23" ht="11.25" customHeight="1" x14ac:dyDescent="0.25">
      <c r="A688" s="4" t="s">
        <v>21</v>
      </c>
      <c r="B688" s="4" t="s">
        <v>35</v>
      </c>
      <c r="C688" s="4" t="s">
        <v>39</v>
      </c>
      <c r="D688" s="4" t="s">
        <v>42</v>
      </c>
      <c r="E688" s="4" t="s">
        <v>25</v>
      </c>
      <c r="F688" s="4" t="s">
        <v>25</v>
      </c>
      <c r="G688" s="4" t="s">
        <v>25</v>
      </c>
      <c r="H688" s="4" t="s">
        <v>37</v>
      </c>
      <c r="I688" s="5">
        <v>44440</v>
      </c>
      <c r="J688" s="6">
        <v>0</v>
      </c>
      <c r="K688" s="6">
        <v>0</v>
      </c>
      <c r="L688" s="6">
        <v>136.102</v>
      </c>
      <c r="M688" s="6">
        <v>130.65791999999999</v>
      </c>
      <c r="N688" s="6">
        <v>136.102</v>
      </c>
      <c r="O688" s="6">
        <v>130.65791999999999</v>
      </c>
      <c r="P688" s="6">
        <v>0</v>
      </c>
      <c r="Q688" s="4" t="s">
        <v>26</v>
      </c>
      <c r="R688" s="4">
        <v>0</v>
      </c>
      <c r="S688" s="4" t="s">
        <v>212</v>
      </c>
      <c r="T688" s="4" t="s">
        <v>333</v>
      </c>
      <c r="U688" s="4">
        <v>0</v>
      </c>
      <c r="V688" s="4">
        <v>12</v>
      </c>
      <c r="W688" s="4">
        <v>66</v>
      </c>
    </row>
    <row r="689" spans="1:23" ht="11.25" customHeight="1" x14ac:dyDescent="0.25">
      <c r="A689" s="4" t="s">
        <v>28</v>
      </c>
      <c r="B689" s="4" t="s">
        <v>35</v>
      </c>
      <c r="C689" s="4" t="s">
        <v>39</v>
      </c>
      <c r="D689" s="4" t="s">
        <v>42</v>
      </c>
      <c r="E689" s="4" t="s">
        <v>25</v>
      </c>
      <c r="F689" s="4" t="s">
        <v>25</v>
      </c>
      <c r="G689" s="4" t="s">
        <v>25</v>
      </c>
      <c r="H689" s="4" t="s">
        <v>37</v>
      </c>
      <c r="I689" s="5">
        <v>44440</v>
      </c>
      <c r="J689" s="6">
        <v>0</v>
      </c>
      <c r="K689" s="6">
        <v>0</v>
      </c>
      <c r="L689" s="6">
        <v>2.2999999999999998</v>
      </c>
      <c r="M689" s="6">
        <v>2.2079999999999997</v>
      </c>
      <c r="N689" s="6">
        <v>2.2999999999999998</v>
      </c>
      <c r="O689" s="6">
        <v>2.2079999999999997</v>
      </c>
      <c r="P689" s="6">
        <v>0</v>
      </c>
      <c r="Q689" s="4" t="s">
        <v>26</v>
      </c>
      <c r="R689" s="4">
        <v>0</v>
      </c>
      <c r="S689" s="4" t="s">
        <v>212</v>
      </c>
      <c r="T689" s="4" t="s">
        <v>333</v>
      </c>
      <c r="U689" s="4">
        <v>0</v>
      </c>
      <c r="V689" s="4">
        <v>12</v>
      </c>
      <c r="W689" s="4">
        <v>66</v>
      </c>
    </row>
    <row r="690" spans="1:23" ht="11.25" customHeight="1" x14ac:dyDescent="0.25">
      <c r="A690" s="4" t="s">
        <v>21</v>
      </c>
      <c r="B690" s="4" t="s">
        <v>35</v>
      </c>
      <c r="C690" s="4" t="s">
        <v>39</v>
      </c>
      <c r="D690" s="4" t="s">
        <v>42</v>
      </c>
      <c r="E690" s="4" t="s">
        <v>25</v>
      </c>
      <c r="F690" s="4" t="s">
        <v>25</v>
      </c>
      <c r="G690" s="4" t="s">
        <v>25</v>
      </c>
      <c r="H690" s="4" t="s">
        <v>37</v>
      </c>
      <c r="I690" s="5">
        <v>44470</v>
      </c>
      <c r="J690" s="6">
        <v>0</v>
      </c>
      <c r="K690" s="6">
        <v>0</v>
      </c>
      <c r="L690" s="6">
        <v>120.999</v>
      </c>
      <c r="M690" s="6">
        <v>116.15903999999999</v>
      </c>
      <c r="N690" s="6">
        <v>120.999</v>
      </c>
      <c r="O690" s="6">
        <v>116.15903999999999</v>
      </c>
      <c r="P690" s="6">
        <v>0</v>
      </c>
      <c r="Q690" s="4" t="s">
        <v>26</v>
      </c>
      <c r="R690" s="4">
        <v>0</v>
      </c>
      <c r="S690" s="4" t="s">
        <v>213</v>
      </c>
      <c r="T690" s="4" t="s">
        <v>334</v>
      </c>
      <c r="U690" s="4">
        <v>0</v>
      </c>
      <c r="V690" s="4">
        <v>12</v>
      </c>
      <c r="W690" s="4">
        <v>66</v>
      </c>
    </row>
    <row r="691" spans="1:23" ht="11.25" customHeight="1" x14ac:dyDescent="0.25">
      <c r="A691" s="4" t="s">
        <v>28</v>
      </c>
      <c r="B691" s="4" t="s">
        <v>35</v>
      </c>
      <c r="C691" s="4" t="s">
        <v>39</v>
      </c>
      <c r="D691" s="4" t="s">
        <v>42</v>
      </c>
      <c r="E691" s="4" t="s">
        <v>25</v>
      </c>
      <c r="F691" s="4" t="s">
        <v>25</v>
      </c>
      <c r="G691" s="4" t="s">
        <v>25</v>
      </c>
      <c r="H691" s="4" t="s">
        <v>37</v>
      </c>
      <c r="I691" s="5">
        <v>44470</v>
      </c>
      <c r="J691" s="6">
        <v>0</v>
      </c>
      <c r="K691" s="6">
        <v>0</v>
      </c>
      <c r="L691" s="6">
        <v>2.38</v>
      </c>
      <c r="M691" s="6">
        <v>2.2847999999999997</v>
      </c>
      <c r="N691" s="6">
        <v>2.38</v>
      </c>
      <c r="O691" s="6">
        <v>2.2847999999999997</v>
      </c>
      <c r="P691" s="6">
        <v>0</v>
      </c>
      <c r="Q691" s="4" t="s">
        <v>26</v>
      </c>
      <c r="R691" s="4">
        <v>0</v>
      </c>
      <c r="S691" s="4" t="s">
        <v>213</v>
      </c>
      <c r="T691" s="4" t="s">
        <v>334</v>
      </c>
      <c r="U691" s="4">
        <v>0</v>
      </c>
      <c r="V691" s="4">
        <v>12</v>
      </c>
      <c r="W691" s="4">
        <v>66</v>
      </c>
    </row>
    <row r="692" spans="1:23" ht="11.25" customHeight="1" x14ac:dyDescent="0.25">
      <c r="A692" s="4" t="s">
        <v>21</v>
      </c>
      <c r="B692" s="4" t="s">
        <v>35</v>
      </c>
      <c r="C692" s="4" t="s">
        <v>39</v>
      </c>
      <c r="D692" s="4" t="s">
        <v>42</v>
      </c>
      <c r="E692" s="4" t="s">
        <v>25</v>
      </c>
      <c r="F692" s="4" t="s">
        <v>25</v>
      </c>
      <c r="G692" s="4" t="s">
        <v>25</v>
      </c>
      <c r="H692" s="4" t="s">
        <v>37</v>
      </c>
      <c r="I692" s="5">
        <v>44501</v>
      </c>
      <c r="J692" s="6">
        <v>0</v>
      </c>
      <c r="K692" s="6">
        <v>0</v>
      </c>
      <c r="L692" s="6">
        <v>132.96199999999999</v>
      </c>
      <c r="M692" s="6">
        <v>127.64351999999998</v>
      </c>
      <c r="N692" s="6">
        <v>132.96199999999999</v>
      </c>
      <c r="O692" s="6">
        <v>127.64351999999998</v>
      </c>
      <c r="P692" s="6">
        <v>0</v>
      </c>
      <c r="Q692" s="4" t="s">
        <v>26</v>
      </c>
      <c r="R692" s="4">
        <v>0</v>
      </c>
      <c r="S692" s="4" t="s">
        <v>214</v>
      </c>
      <c r="T692" s="4" t="s">
        <v>335</v>
      </c>
      <c r="U692" s="4">
        <v>0</v>
      </c>
      <c r="V692" s="4">
        <v>12</v>
      </c>
      <c r="W692" s="4">
        <v>66</v>
      </c>
    </row>
    <row r="693" spans="1:23" ht="11.25" customHeight="1" x14ac:dyDescent="0.25">
      <c r="A693" s="4" t="s">
        <v>28</v>
      </c>
      <c r="B693" s="4" t="s">
        <v>35</v>
      </c>
      <c r="C693" s="4" t="s">
        <v>39</v>
      </c>
      <c r="D693" s="4" t="s">
        <v>42</v>
      </c>
      <c r="E693" s="4" t="s">
        <v>25</v>
      </c>
      <c r="F693" s="4" t="s">
        <v>25</v>
      </c>
      <c r="G693" s="4" t="s">
        <v>25</v>
      </c>
      <c r="H693" s="4" t="s">
        <v>37</v>
      </c>
      <c r="I693" s="5">
        <v>44501</v>
      </c>
      <c r="J693" s="6">
        <v>0</v>
      </c>
      <c r="K693" s="6">
        <v>0</v>
      </c>
      <c r="L693" s="6">
        <v>1.77</v>
      </c>
      <c r="M693" s="6">
        <v>1.6992</v>
      </c>
      <c r="N693" s="6">
        <v>1.77</v>
      </c>
      <c r="O693" s="6">
        <v>1.6992</v>
      </c>
      <c r="P693" s="6">
        <v>0</v>
      </c>
      <c r="Q693" s="4" t="s">
        <v>26</v>
      </c>
      <c r="R693" s="4">
        <v>0</v>
      </c>
      <c r="S693" s="4" t="s">
        <v>214</v>
      </c>
      <c r="T693" s="4" t="s">
        <v>335</v>
      </c>
      <c r="U693" s="4">
        <v>0</v>
      </c>
      <c r="V693" s="4">
        <v>12</v>
      </c>
      <c r="W693" s="4">
        <v>66</v>
      </c>
    </row>
    <row r="694" spans="1:23" ht="11.25" customHeight="1" x14ac:dyDescent="0.25">
      <c r="A694" s="4" t="s">
        <v>21</v>
      </c>
      <c r="B694" s="4" t="s">
        <v>35</v>
      </c>
      <c r="C694" s="4" t="s">
        <v>39</v>
      </c>
      <c r="D694" s="4" t="s">
        <v>42</v>
      </c>
      <c r="E694" s="4" t="s">
        <v>25</v>
      </c>
      <c r="F694" s="4" t="s">
        <v>25</v>
      </c>
      <c r="G694" s="4" t="s">
        <v>25</v>
      </c>
      <c r="H694" s="4" t="s">
        <v>37</v>
      </c>
      <c r="I694" s="5">
        <v>44531</v>
      </c>
      <c r="J694" s="6">
        <v>0</v>
      </c>
      <c r="K694" s="6">
        <v>0</v>
      </c>
      <c r="L694" s="6">
        <v>180.17500000000001</v>
      </c>
      <c r="M694" s="6">
        <v>172.96800000000002</v>
      </c>
      <c r="N694" s="6">
        <v>180.17500000000001</v>
      </c>
      <c r="O694" s="6">
        <v>172.96800000000002</v>
      </c>
      <c r="P694" s="6">
        <v>0</v>
      </c>
      <c r="Q694" s="4" t="s">
        <v>26</v>
      </c>
      <c r="R694" s="4">
        <v>0</v>
      </c>
      <c r="S694" s="4" t="s">
        <v>215</v>
      </c>
      <c r="T694" s="4" t="s">
        <v>336</v>
      </c>
      <c r="U694" s="4">
        <v>0</v>
      </c>
      <c r="V694" s="4">
        <v>12</v>
      </c>
      <c r="W694" s="4">
        <v>66</v>
      </c>
    </row>
    <row r="695" spans="1:23" ht="11.25" customHeight="1" x14ac:dyDescent="0.25">
      <c r="A695" s="4" t="s">
        <v>21</v>
      </c>
      <c r="B695" s="4" t="s">
        <v>35</v>
      </c>
      <c r="C695" s="4" t="s">
        <v>39</v>
      </c>
      <c r="D695" s="4" t="s">
        <v>42</v>
      </c>
      <c r="E695" s="4" t="s">
        <v>25</v>
      </c>
      <c r="F695" s="4" t="s">
        <v>25</v>
      </c>
      <c r="G695" s="4" t="s">
        <v>25</v>
      </c>
      <c r="H695" s="4" t="s">
        <v>37</v>
      </c>
      <c r="I695" s="5">
        <v>44562</v>
      </c>
      <c r="J695" s="6">
        <v>0</v>
      </c>
      <c r="K695" s="6">
        <v>0</v>
      </c>
      <c r="L695" s="6">
        <v>152.501</v>
      </c>
      <c r="M695" s="6">
        <v>146.40096</v>
      </c>
      <c r="N695" s="6">
        <v>152.501</v>
      </c>
      <c r="O695" s="6">
        <v>146.40096</v>
      </c>
      <c r="P695" s="6">
        <v>0</v>
      </c>
      <c r="Q695" s="4" t="s">
        <v>26</v>
      </c>
      <c r="R695" s="4">
        <v>0</v>
      </c>
      <c r="S695" s="4" t="s">
        <v>216</v>
      </c>
      <c r="T695" s="4" t="s">
        <v>337</v>
      </c>
      <c r="U695" s="4">
        <v>0</v>
      </c>
      <c r="V695" s="4">
        <v>12</v>
      </c>
      <c r="W695" s="4">
        <v>66</v>
      </c>
    </row>
    <row r="696" spans="1:23" ht="11.25" customHeight="1" x14ac:dyDescent="0.25">
      <c r="A696" s="4" t="s">
        <v>27</v>
      </c>
      <c r="B696" s="4" t="s">
        <v>35</v>
      </c>
      <c r="C696" s="4" t="s">
        <v>39</v>
      </c>
      <c r="D696" s="4" t="s">
        <v>42</v>
      </c>
      <c r="E696" s="4" t="s">
        <v>25</v>
      </c>
      <c r="F696" s="4" t="s">
        <v>25</v>
      </c>
      <c r="G696" s="4" t="s">
        <v>25</v>
      </c>
      <c r="H696" s="4" t="s">
        <v>37</v>
      </c>
      <c r="I696" s="5">
        <v>44562</v>
      </c>
      <c r="J696" s="6">
        <v>0</v>
      </c>
      <c r="K696" s="6">
        <v>0</v>
      </c>
      <c r="L696" s="6">
        <v>-6.407</v>
      </c>
      <c r="M696" s="6">
        <v>-6.1507199999999997</v>
      </c>
      <c r="N696" s="6">
        <v>-6.407</v>
      </c>
      <c r="O696" s="6">
        <v>-6.1507199999999997</v>
      </c>
      <c r="P696" s="6">
        <v>0</v>
      </c>
      <c r="Q696" s="4" t="s">
        <v>26</v>
      </c>
      <c r="R696" s="4">
        <v>0</v>
      </c>
      <c r="S696" s="4" t="s">
        <v>216</v>
      </c>
      <c r="T696" s="4" t="s">
        <v>337</v>
      </c>
      <c r="U696" s="4">
        <v>0</v>
      </c>
      <c r="V696" s="4">
        <v>12</v>
      </c>
      <c r="W696" s="4">
        <v>66</v>
      </c>
    </row>
    <row r="697" spans="1:23" ht="11.25" customHeight="1" x14ac:dyDescent="0.25">
      <c r="A697" s="4" t="s">
        <v>28</v>
      </c>
      <c r="B697" s="4" t="s">
        <v>35</v>
      </c>
      <c r="C697" s="4" t="s">
        <v>39</v>
      </c>
      <c r="D697" s="4" t="s">
        <v>42</v>
      </c>
      <c r="E697" s="4" t="s">
        <v>25</v>
      </c>
      <c r="F697" s="4" t="s">
        <v>25</v>
      </c>
      <c r="G697" s="4" t="s">
        <v>25</v>
      </c>
      <c r="H697" s="4" t="s">
        <v>37</v>
      </c>
      <c r="I697" s="5">
        <v>44562</v>
      </c>
      <c r="J697" s="6">
        <v>0</v>
      </c>
      <c r="K697" s="6">
        <v>0</v>
      </c>
      <c r="L697" s="6">
        <v>1.26</v>
      </c>
      <c r="M697" s="6">
        <v>1.2096</v>
      </c>
      <c r="N697" s="6">
        <v>1.26</v>
      </c>
      <c r="O697" s="6">
        <v>1.2096</v>
      </c>
      <c r="P697" s="6">
        <v>0</v>
      </c>
      <c r="Q697" s="4" t="s">
        <v>26</v>
      </c>
      <c r="R697" s="4">
        <v>0</v>
      </c>
      <c r="S697" s="4" t="s">
        <v>216</v>
      </c>
      <c r="T697" s="4" t="s">
        <v>337</v>
      </c>
      <c r="U697" s="4">
        <v>0</v>
      </c>
      <c r="V697" s="4">
        <v>12</v>
      </c>
      <c r="W697" s="4">
        <v>66</v>
      </c>
    </row>
    <row r="698" spans="1:23" ht="11.25" customHeight="1" x14ac:dyDescent="0.25">
      <c r="A698" s="4" t="s">
        <v>21</v>
      </c>
      <c r="B698" s="4" t="s">
        <v>35</v>
      </c>
      <c r="C698" s="4" t="s">
        <v>39</v>
      </c>
      <c r="D698" s="4" t="s">
        <v>42</v>
      </c>
      <c r="E698" s="4" t="s">
        <v>25</v>
      </c>
      <c r="F698" s="4" t="s">
        <v>25</v>
      </c>
      <c r="G698" s="4" t="s">
        <v>25</v>
      </c>
      <c r="H698" s="4" t="s">
        <v>37</v>
      </c>
      <c r="I698" s="5">
        <v>44593</v>
      </c>
      <c r="J698" s="6">
        <v>0</v>
      </c>
      <c r="K698" s="6">
        <v>0</v>
      </c>
      <c r="L698" s="6">
        <v>221.345</v>
      </c>
      <c r="M698" s="6">
        <v>212.49119999999999</v>
      </c>
      <c r="N698" s="6">
        <v>221.345</v>
      </c>
      <c r="O698" s="6">
        <v>212.49119999999999</v>
      </c>
      <c r="P698" s="6">
        <v>0</v>
      </c>
      <c r="Q698" s="4" t="s">
        <v>26</v>
      </c>
      <c r="R698" s="4">
        <v>0</v>
      </c>
      <c r="S698" s="4" t="s">
        <v>217</v>
      </c>
      <c r="T698" s="4" t="s">
        <v>338</v>
      </c>
      <c r="U698" s="4">
        <v>0</v>
      </c>
      <c r="V698" s="4">
        <v>12</v>
      </c>
      <c r="W698" s="4">
        <v>66</v>
      </c>
    </row>
    <row r="699" spans="1:23" ht="11.25" customHeight="1" x14ac:dyDescent="0.25">
      <c r="A699" s="4" t="s">
        <v>27</v>
      </c>
      <c r="B699" s="4" t="s">
        <v>35</v>
      </c>
      <c r="C699" s="4" t="s">
        <v>39</v>
      </c>
      <c r="D699" s="4" t="s">
        <v>42</v>
      </c>
      <c r="E699" s="4" t="s">
        <v>25</v>
      </c>
      <c r="F699" s="4" t="s">
        <v>25</v>
      </c>
      <c r="G699" s="4" t="s">
        <v>25</v>
      </c>
      <c r="H699" s="4" t="s">
        <v>37</v>
      </c>
      <c r="I699" s="5">
        <v>44593</v>
      </c>
      <c r="J699" s="6">
        <v>0</v>
      </c>
      <c r="K699" s="6">
        <v>0</v>
      </c>
      <c r="L699" s="6">
        <v>-11.286</v>
      </c>
      <c r="M699" s="6">
        <v>-10.83456</v>
      </c>
      <c r="N699" s="6">
        <v>-11.286</v>
      </c>
      <c r="O699" s="6">
        <v>-10.83456</v>
      </c>
      <c r="P699" s="6">
        <v>0</v>
      </c>
      <c r="Q699" s="4" t="s">
        <v>26</v>
      </c>
      <c r="R699" s="4">
        <v>0</v>
      </c>
      <c r="S699" s="4" t="s">
        <v>217</v>
      </c>
      <c r="T699" s="4" t="s">
        <v>338</v>
      </c>
      <c r="U699" s="4">
        <v>0</v>
      </c>
      <c r="V699" s="4">
        <v>12</v>
      </c>
      <c r="W699" s="4">
        <v>66</v>
      </c>
    </row>
    <row r="700" spans="1:23" ht="11.25" customHeight="1" x14ac:dyDescent="0.25">
      <c r="A700" s="4" t="s">
        <v>28</v>
      </c>
      <c r="B700" s="4" t="s">
        <v>35</v>
      </c>
      <c r="C700" s="4" t="s">
        <v>39</v>
      </c>
      <c r="D700" s="4" t="s">
        <v>42</v>
      </c>
      <c r="E700" s="4" t="s">
        <v>25</v>
      </c>
      <c r="F700" s="4" t="s">
        <v>25</v>
      </c>
      <c r="G700" s="4" t="s">
        <v>25</v>
      </c>
      <c r="H700" s="4" t="s">
        <v>37</v>
      </c>
      <c r="I700" s="5">
        <v>44593</v>
      </c>
      <c r="J700" s="6">
        <v>0</v>
      </c>
      <c r="K700" s="6">
        <v>0</v>
      </c>
      <c r="L700" s="6">
        <v>3.6779999999999999</v>
      </c>
      <c r="M700" s="6">
        <v>3.5308799999999998</v>
      </c>
      <c r="N700" s="6">
        <v>3.6779999999999999</v>
      </c>
      <c r="O700" s="6">
        <v>3.5308799999999998</v>
      </c>
      <c r="P700" s="6">
        <v>0</v>
      </c>
      <c r="Q700" s="4" t="s">
        <v>26</v>
      </c>
      <c r="R700" s="4">
        <v>0</v>
      </c>
      <c r="S700" s="4" t="s">
        <v>217</v>
      </c>
      <c r="T700" s="4" t="s">
        <v>338</v>
      </c>
      <c r="U700" s="4">
        <v>0</v>
      </c>
      <c r="V700" s="4">
        <v>12</v>
      </c>
      <c r="W700" s="4">
        <v>66</v>
      </c>
    </row>
    <row r="701" spans="1:23" ht="11.25" customHeight="1" x14ac:dyDescent="0.25">
      <c r="A701" s="4" t="s">
        <v>21</v>
      </c>
      <c r="B701" s="4" t="s">
        <v>35</v>
      </c>
      <c r="C701" s="4" t="s">
        <v>39</v>
      </c>
      <c r="D701" s="4" t="s">
        <v>42</v>
      </c>
      <c r="E701" s="4" t="s">
        <v>25</v>
      </c>
      <c r="F701" s="4" t="s">
        <v>25</v>
      </c>
      <c r="G701" s="4" t="s">
        <v>25</v>
      </c>
      <c r="H701" s="4" t="s">
        <v>37</v>
      </c>
      <c r="I701" s="5">
        <v>44621</v>
      </c>
      <c r="J701" s="6">
        <v>0</v>
      </c>
      <c r="K701" s="6">
        <v>0</v>
      </c>
      <c r="L701" s="6">
        <v>175.97300000000001</v>
      </c>
      <c r="M701" s="6">
        <v>168.93407999999999</v>
      </c>
      <c r="N701" s="6">
        <v>175.97300000000001</v>
      </c>
      <c r="O701" s="6">
        <v>168.93407999999999</v>
      </c>
      <c r="P701" s="6">
        <v>0</v>
      </c>
      <c r="Q701" s="4" t="s">
        <v>26</v>
      </c>
      <c r="R701" s="4">
        <v>0</v>
      </c>
      <c r="S701" s="4" t="s">
        <v>218</v>
      </c>
      <c r="T701" s="4" t="s">
        <v>339</v>
      </c>
      <c r="U701" s="4">
        <v>0</v>
      </c>
      <c r="V701" s="4">
        <v>12</v>
      </c>
      <c r="W701" s="4">
        <v>66</v>
      </c>
    </row>
    <row r="702" spans="1:23" ht="11.25" customHeight="1" x14ac:dyDescent="0.25">
      <c r="A702" s="4" t="s">
        <v>27</v>
      </c>
      <c r="B702" s="4" t="s">
        <v>35</v>
      </c>
      <c r="C702" s="4" t="s">
        <v>39</v>
      </c>
      <c r="D702" s="4" t="s">
        <v>42</v>
      </c>
      <c r="E702" s="4" t="s">
        <v>25</v>
      </c>
      <c r="F702" s="4" t="s">
        <v>25</v>
      </c>
      <c r="G702" s="4" t="s">
        <v>25</v>
      </c>
      <c r="H702" s="4" t="s">
        <v>37</v>
      </c>
      <c r="I702" s="5">
        <v>44621</v>
      </c>
      <c r="J702" s="6">
        <v>0</v>
      </c>
      <c r="K702" s="6">
        <v>0</v>
      </c>
      <c r="L702" s="6">
        <v>-5.3170000000000002</v>
      </c>
      <c r="M702" s="6">
        <v>-5.1043200000000004</v>
      </c>
      <c r="N702" s="6">
        <v>-5.3170000000000002</v>
      </c>
      <c r="O702" s="6">
        <v>-5.1043200000000004</v>
      </c>
      <c r="P702" s="6">
        <v>0</v>
      </c>
      <c r="Q702" s="4" t="s">
        <v>26</v>
      </c>
      <c r="R702" s="4">
        <v>0</v>
      </c>
      <c r="S702" s="4" t="s">
        <v>218</v>
      </c>
      <c r="T702" s="4" t="s">
        <v>339</v>
      </c>
      <c r="U702" s="4">
        <v>0</v>
      </c>
      <c r="V702" s="4">
        <v>12</v>
      </c>
      <c r="W702" s="4">
        <v>66</v>
      </c>
    </row>
    <row r="703" spans="1:23" ht="11.25" customHeight="1" x14ac:dyDescent="0.25">
      <c r="A703" s="4" t="s">
        <v>28</v>
      </c>
      <c r="B703" s="4" t="s">
        <v>35</v>
      </c>
      <c r="C703" s="4" t="s">
        <v>39</v>
      </c>
      <c r="D703" s="4" t="s">
        <v>42</v>
      </c>
      <c r="E703" s="4" t="s">
        <v>25</v>
      </c>
      <c r="F703" s="4" t="s">
        <v>25</v>
      </c>
      <c r="G703" s="4" t="s">
        <v>25</v>
      </c>
      <c r="H703" s="4" t="s">
        <v>37</v>
      </c>
      <c r="I703" s="5">
        <v>44621</v>
      </c>
      <c r="J703" s="6">
        <v>0</v>
      </c>
      <c r="K703" s="6">
        <v>0</v>
      </c>
      <c r="L703" s="6">
        <v>13.201000000000001</v>
      </c>
      <c r="M703" s="6">
        <v>12.67296</v>
      </c>
      <c r="N703" s="6">
        <v>13.201000000000001</v>
      </c>
      <c r="O703" s="6">
        <v>12.67296</v>
      </c>
      <c r="P703" s="6">
        <v>0</v>
      </c>
      <c r="Q703" s="4" t="s">
        <v>26</v>
      </c>
      <c r="R703" s="4">
        <v>0</v>
      </c>
      <c r="S703" s="4" t="s">
        <v>218</v>
      </c>
      <c r="T703" s="4" t="s">
        <v>339</v>
      </c>
      <c r="U703" s="4">
        <v>0</v>
      </c>
      <c r="V703" s="4">
        <v>12</v>
      </c>
      <c r="W703" s="4">
        <v>66</v>
      </c>
    </row>
    <row r="704" spans="1:23" ht="11.25" customHeight="1" x14ac:dyDescent="0.25">
      <c r="A704" s="4" t="s">
        <v>21</v>
      </c>
      <c r="B704" s="4" t="s">
        <v>35</v>
      </c>
      <c r="C704" s="4" t="s">
        <v>39</v>
      </c>
      <c r="D704" s="4" t="s">
        <v>42</v>
      </c>
      <c r="E704" s="4" t="s">
        <v>25</v>
      </c>
      <c r="F704" s="4" t="s">
        <v>25</v>
      </c>
      <c r="G704" s="4" t="s">
        <v>25</v>
      </c>
      <c r="H704" s="4" t="s">
        <v>37</v>
      </c>
      <c r="I704" s="5">
        <v>44652</v>
      </c>
      <c r="J704" s="6">
        <v>0</v>
      </c>
      <c r="K704" s="6">
        <v>0</v>
      </c>
      <c r="L704" s="6">
        <v>176.60400000000001</v>
      </c>
      <c r="M704" s="6">
        <v>169.53984</v>
      </c>
      <c r="N704" s="6">
        <v>176.60400000000001</v>
      </c>
      <c r="O704" s="6">
        <v>169.53984</v>
      </c>
      <c r="P704" s="6">
        <v>0</v>
      </c>
      <c r="Q704" s="4" t="s">
        <v>26</v>
      </c>
      <c r="R704" s="4">
        <v>0</v>
      </c>
      <c r="S704" s="4" t="s">
        <v>219</v>
      </c>
      <c r="T704" s="4" t="s">
        <v>340</v>
      </c>
      <c r="U704" s="4">
        <v>0</v>
      </c>
      <c r="V704" s="4">
        <v>12</v>
      </c>
      <c r="W704" s="4">
        <v>66</v>
      </c>
    </row>
    <row r="705" spans="1:23" ht="11.25" customHeight="1" x14ac:dyDescent="0.25">
      <c r="A705" s="4" t="s">
        <v>28</v>
      </c>
      <c r="B705" s="4" t="s">
        <v>35</v>
      </c>
      <c r="C705" s="4" t="s">
        <v>39</v>
      </c>
      <c r="D705" s="4" t="s">
        <v>42</v>
      </c>
      <c r="E705" s="4" t="s">
        <v>25</v>
      </c>
      <c r="F705" s="4" t="s">
        <v>25</v>
      </c>
      <c r="G705" s="4" t="s">
        <v>25</v>
      </c>
      <c r="H705" s="4" t="s">
        <v>37</v>
      </c>
      <c r="I705" s="5">
        <v>44652</v>
      </c>
      <c r="J705" s="6">
        <v>0</v>
      </c>
      <c r="K705" s="6">
        <v>0</v>
      </c>
      <c r="L705" s="6">
        <v>11.069000000000001</v>
      </c>
      <c r="M705" s="6">
        <v>10.626240000000001</v>
      </c>
      <c r="N705" s="6">
        <v>11.069000000000001</v>
      </c>
      <c r="O705" s="6">
        <v>10.626240000000001</v>
      </c>
      <c r="P705" s="6">
        <v>0</v>
      </c>
      <c r="Q705" s="4" t="s">
        <v>26</v>
      </c>
      <c r="R705" s="4">
        <v>0</v>
      </c>
      <c r="S705" s="4" t="s">
        <v>219</v>
      </c>
      <c r="T705" s="4" t="s">
        <v>340</v>
      </c>
      <c r="U705" s="4">
        <v>0</v>
      </c>
      <c r="V705" s="4">
        <v>12</v>
      </c>
      <c r="W705" s="4">
        <v>66</v>
      </c>
    </row>
    <row r="706" spans="1:23" ht="11.25" customHeight="1" x14ac:dyDescent="0.25">
      <c r="A706" s="4" t="s">
        <v>21</v>
      </c>
      <c r="B706" s="4" t="s">
        <v>35</v>
      </c>
      <c r="C706" s="4" t="s">
        <v>39</v>
      </c>
      <c r="D706" s="4" t="s">
        <v>42</v>
      </c>
      <c r="E706" s="4" t="s">
        <v>25</v>
      </c>
      <c r="F706" s="4" t="s">
        <v>25</v>
      </c>
      <c r="G706" s="4" t="s">
        <v>25</v>
      </c>
      <c r="H706" s="4" t="s">
        <v>37</v>
      </c>
      <c r="I706" s="5">
        <v>44682</v>
      </c>
      <c r="J706" s="6">
        <v>0</v>
      </c>
      <c r="K706" s="6">
        <v>0</v>
      </c>
      <c r="L706" s="6">
        <v>168.136</v>
      </c>
      <c r="M706" s="6">
        <v>161.41056</v>
      </c>
      <c r="N706" s="6">
        <v>168.136</v>
      </c>
      <c r="O706" s="6">
        <v>161.41056</v>
      </c>
      <c r="P706" s="6">
        <v>0</v>
      </c>
      <c r="Q706" s="4" t="s">
        <v>26</v>
      </c>
      <c r="R706" s="4">
        <v>0</v>
      </c>
      <c r="S706" s="4" t="s">
        <v>220</v>
      </c>
      <c r="T706" s="4" t="s">
        <v>341</v>
      </c>
      <c r="U706" s="4">
        <v>0</v>
      </c>
      <c r="V706" s="4">
        <v>12</v>
      </c>
      <c r="W706" s="4">
        <v>66</v>
      </c>
    </row>
    <row r="707" spans="1:23" ht="11.25" customHeight="1" x14ac:dyDescent="0.25">
      <c r="A707" s="4" t="s">
        <v>27</v>
      </c>
      <c r="B707" s="4" t="s">
        <v>35</v>
      </c>
      <c r="C707" s="4" t="s">
        <v>39</v>
      </c>
      <c r="D707" s="4" t="s">
        <v>42</v>
      </c>
      <c r="E707" s="4" t="s">
        <v>25</v>
      </c>
      <c r="F707" s="4" t="s">
        <v>25</v>
      </c>
      <c r="G707" s="4" t="s">
        <v>25</v>
      </c>
      <c r="H707" s="4" t="s">
        <v>37</v>
      </c>
      <c r="I707" s="5">
        <v>44682</v>
      </c>
      <c r="J707" s="6">
        <v>0</v>
      </c>
      <c r="K707" s="6">
        <v>0</v>
      </c>
      <c r="L707" s="6">
        <v>-3.754</v>
      </c>
      <c r="M707" s="6">
        <v>-3.6038399999999999</v>
      </c>
      <c r="N707" s="6">
        <v>-3.754</v>
      </c>
      <c r="O707" s="6">
        <v>-3.6038399999999999</v>
      </c>
      <c r="P707" s="6">
        <v>0</v>
      </c>
      <c r="Q707" s="4" t="s">
        <v>26</v>
      </c>
      <c r="R707" s="4">
        <v>0</v>
      </c>
      <c r="S707" s="4" t="s">
        <v>220</v>
      </c>
      <c r="T707" s="4" t="s">
        <v>341</v>
      </c>
      <c r="U707" s="4">
        <v>0</v>
      </c>
      <c r="V707" s="4">
        <v>12</v>
      </c>
      <c r="W707" s="4">
        <v>66</v>
      </c>
    </row>
    <row r="708" spans="1:23" ht="11.25" customHeight="1" x14ac:dyDescent="0.25">
      <c r="A708" s="4" t="s">
        <v>28</v>
      </c>
      <c r="B708" s="4" t="s">
        <v>35</v>
      </c>
      <c r="C708" s="4" t="s">
        <v>39</v>
      </c>
      <c r="D708" s="4" t="s">
        <v>42</v>
      </c>
      <c r="E708" s="4" t="s">
        <v>25</v>
      </c>
      <c r="F708" s="4" t="s">
        <v>25</v>
      </c>
      <c r="G708" s="4" t="s">
        <v>25</v>
      </c>
      <c r="H708" s="4" t="s">
        <v>37</v>
      </c>
      <c r="I708" s="5">
        <v>44682</v>
      </c>
      <c r="J708" s="6">
        <v>0</v>
      </c>
      <c r="K708" s="6">
        <v>0</v>
      </c>
      <c r="L708" s="6">
        <v>14.712</v>
      </c>
      <c r="M708" s="6">
        <v>14.123519999999999</v>
      </c>
      <c r="N708" s="6">
        <v>14.712</v>
      </c>
      <c r="O708" s="6">
        <v>14.123519999999999</v>
      </c>
      <c r="P708" s="6">
        <v>0</v>
      </c>
      <c r="Q708" s="4" t="s">
        <v>26</v>
      </c>
      <c r="R708" s="4">
        <v>0</v>
      </c>
      <c r="S708" s="4" t="s">
        <v>220</v>
      </c>
      <c r="T708" s="4" t="s">
        <v>341</v>
      </c>
      <c r="U708" s="4">
        <v>0</v>
      </c>
      <c r="V708" s="4">
        <v>12</v>
      </c>
      <c r="W708" s="4">
        <v>66</v>
      </c>
    </row>
    <row r="709" spans="1:23" ht="11.25" customHeight="1" x14ac:dyDescent="0.25">
      <c r="A709" s="4" t="s">
        <v>28</v>
      </c>
      <c r="B709" s="4" t="s">
        <v>35</v>
      </c>
      <c r="C709" s="4" t="s">
        <v>39</v>
      </c>
      <c r="D709" s="4" t="s">
        <v>42</v>
      </c>
      <c r="E709" s="4" t="s">
        <v>25</v>
      </c>
      <c r="F709" s="4" t="s">
        <v>25</v>
      </c>
      <c r="G709" s="4" t="s">
        <v>25</v>
      </c>
      <c r="H709" s="4" t="s">
        <v>37</v>
      </c>
      <c r="I709" s="5">
        <v>44682</v>
      </c>
      <c r="J709" s="6">
        <v>0</v>
      </c>
      <c r="K709" s="6">
        <v>0</v>
      </c>
      <c r="L709" s="6">
        <v>-1.67</v>
      </c>
      <c r="M709" s="6">
        <v>-1.6032</v>
      </c>
      <c r="N709" s="6">
        <v>-1.67</v>
      </c>
      <c r="O709" s="6">
        <v>-1.6032</v>
      </c>
      <c r="P709" s="6">
        <v>0</v>
      </c>
      <c r="Q709" s="4" t="s">
        <v>26</v>
      </c>
      <c r="R709" s="4">
        <v>0</v>
      </c>
      <c r="S709" s="4" t="s">
        <v>220</v>
      </c>
      <c r="T709" s="4" t="s">
        <v>341</v>
      </c>
      <c r="U709" s="4">
        <v>0</v>
      </c>
      <c r="V709" s="4">
        <v>12</v>
      </c>
      <c r="W709" s="4">
        <v>66</v>
      </c>
    </row>
    <row r="710" spans="1:23" ht="11.25" customHeight="1" x14ac:dyDescent="0.25">
      <c r="A710" s="4" t="s">
        <v>21</v>
      </c>
      <c r="B710" s="4" t="s">
        <v>35</v>
      </c>
      <c r="C710" s="4" t="s">
        <v>39</v>
      </c>
      <c r="D710" s="4" t="s">
        <v>42</v>
      </c>
      <c r="E710" s="4" t="s">
        <v>25</v>
      </c>
      <c r="F710" s="4" t="s">
        <v>25</v>
      </c>
      <c r="G710" s="4" t="s">
        <v>25</v>
      </c>
      <c r="H710" s="4" t="s">
        <v>37</v>
      </c>
      <c r="I710" s="5">
        <v>44713</v>
      </c>
      <c r="J710" s="6">
        <v>0</v>
      </c>
      <c r="K710" s="6">
        <v>0</v>
      </c>
      <c r="L710" s="6">
        <v>177.12200000000001</v>
      </c>
      <c r="M710" s="6">
        <v>170.03712000000002</v>
      </c>
      <c r="N710" s="6">
        <v>177.12200000000001</v>
      </c>
      <c r="O710" s="6">
        <v>170.03712000000002</v>
      </c>
      <c r="P710" s="6">
        <v>0</v>
      </c>
      <c r="Q710" s="4" t="s">
        <v>26</v>
      </c>
      <c r="R710" s="4">
        <v>0</v>
      </c>
      <c r="S710" s="4" t="s">
        <v>221</v>
      </c>
      <c r="T710" s="4" t="s">
        <v>342</v>
      </c>
      <c r="U710" s="4">
        <v>0</v>
      </c>
      <c r="V710" s="4">
        <v>12</v>
      </c>
      <c r="W710" s="4">
        <v>66</v>
      </c>
    </row>
    <row r="711" spans="1:23" ht="11.25" customHeight="1" x14ac:dyDescent="0.25">
      <c r="A711" s="4" t="s">
        <v>27</v>
      </c>
      <c r="B711" s="4" t="s">
        <v>35</v>
      </c>
      <c r="C711" s="4" t="s">
        <v>39</v>
      </c>
      <c r="D711" s="4" t="s">
        <v>42</v>
      </c>
      <c r="E711" s="4" t="s">
        <v>25</v>
      </c>
      <c r="F711" s="4" t="s">
        <v>25</v>
      </c>
      <c r="G711" s="4" t="s">
        <v>25</v>
      </c>
      <c r="H711" s="4" t="s">
        <v>37</v>
      </c>
      <c r="I711" s="5">
        <v>44713</v>
      </c>
      <c r="J711" s="6">
        <v>0</v>
      </c>
      <c r="K711" s="6">
        <v>0</v>
      </c>
      <c r="L711" s="6">
        <v>-1.8089999999999999</v>
      </c>
      <c r="M711" s="6">
        <v>-1.73664</v>
      </c>
      <c r="N711" s="6">
        <v>-1.8089999999999999</v>
      </c>
      <c r="O711" s="6">
        <v>-1.73664</v>
      </c>
      <c r="P711" s="6">
        <v>0</v>
      </c>
      <c r="Q711" s="4" t="s">
        <v>26</v>
      </c>
      <c r="R711" s="4">
        <v>0</v>
      </c>
      <c r="S711" s="4" t="s">
        <v>221</v>
      </c>
      <c r="T711" s="4" t="s">
        <v>342</v>
      </c>
      <c r="U711" s="4">
        <v>0</v>
      </c>
      <c r="V711" s="4">
        <v>12</v>
      </c>
      <c r="W711" s="4">
        <v>66</v>
      </c>
    </row>
    <row r="712" spans="1:23" ht="11.25" customHeight="1" x14ac:dyDescent="0.25">
      <c r="A712" s="4" t="s">
        <v>28</v>
      </c>
      <c r="B712" s="4" t="s">
        <v>35</v>
      </c>
      <c r="C712" s="4" t="s">
        <v>39</v>
      </c>
      <c r="D712" s="4" t="s">
        <v>42</v>
      </c>
      <c r="E712" s="4" t="s">
        <v>25</v>
      </c>
      <c r="F712" s="4" t="s">
        <v>25</v>
      </c>
      <c r="G712" s="4" t="s">
        <v>25</v>
      </c>
      <c r="H712" s="4" t="s">
        <v>37</v>
      </c>
      <c r="I712" s="5">
        <v>44713</v>
      </c>
      <c r="J712" s="6">
        <v>0</v>
      </c>
      <c r="K712" s="6">
        <v>0</v>
      </c>
      <c r="L712" s="6">
        <v>25.818999999999999</v>
      </c>
      <c r="M712" s="6">
        <v>24.786239999999999</v>
      </c>
      <c r="N712" s="6">
        <v>25.818999999999999</v>
      </c>
      <c r="O712" s="6">
        <v>24.786239999999999</v>
      </c>
      <c r="P712" s="6">
        <v>0</v>
      </c>
      <c r="Q712" s="4" t="s">
        <v>26</v>
      </c>
      <c r="R712" s="4">
        <v>0</v>
      </c>
      <c r="S712" s="4" t="s">
        <v>221</v>
      </c>
      <c r="T712" s="4" t="s">
        <v>342</v>
      </c>
      <c r="U712" s="4">
        <v>0</v>
      </c>
      <c r="V712" s="4">
        <v>12</v>
      </c>
      <c r="W712" s="4">
        <v>66</v>
      </c>
    </row>
    <row r="713" spans="1:23" ht="11.25" customHeight="1" x14ac:dyDescent="0.25">
      <c r="A713" s="4" t="s">
        <v>21</v>
      </c>
      <c r="B713" s="4" t="s">
        <v>35</v>
      </c>
      <c r="C713" s="4" t="s">
        <v>39</v>
      </c>
      <c r="D713" s="4" t="s">
        <v>47</v>
      </c>
      <c r="E713" s="4" t="s">
        <v>48</v>
      </c>
      <c r="F713" s="4" t="s">
        <v>25</v>
      </c>
      <c r="G713" s="4" t="s">
        <v>25</v>
      </c>
      <c r="H713" s="4" t="s">
        <v>38</v>
      </c>
      <c r="I713" s="5">
        <v>44378</v>
      </c>
      <c r="J713" s="6">
        <v>0</v>
      </c>
      <c r="K713" s="6">
        <v>0</v>
      </c>
      <c r="L713" s="6">
        <v>80.804000000000002</v>
      </c>
      <c r="M713" s="6">
        <v>75.955759999999998</v>
      </c>
      <c r="N713" s="6">
        <v>80.804000000000002</v>
      </c>
      <c r="O713" s="6">
        <v>75.955759999999998</v>
      </c>
      <c r="P713" s="6">
        <v>0</v>
      </c>
      <c r="Q713" s="4" t="s">
        <v>26</v>
      </c>
      <c r="R713" s="4">
        <v>0</v>
      </c>
      <c r="S713" s="4" t="s">
        <v>186</v>
      </c>
      <c r="T713" s="4" t="s">
        <v>319</v>
      </c>
      <c r="U713" s="4">
        <v>0</v>
      </c>
      <c r="V713" s="4">
        <v>25</v>
      </c>
      <c r="W713" s="4">
        <v>59</v>
      </c>
    </row>
    <row r="714" spans="1:23" ht="11.25" customHeight="1" x14ac:dyDescent="0.25">
      <c r="A714" s="4" t="s">
        <v>27</v>
      </c>
      <c r="B714" s="4" t="s">
        <v>35</v>
      </c>
      <c r="C714" s="4" t="s">
        <v>39</v>
      </c>
      <c r="D714" s="4" t="s">
        <v>47</v>
      </c>
      <c r="E714" s="4" t="s">
        <v>48</v>
      </c>
      <c r="F714" s="4" t="s">
        <v>25</v>
      </c>
      <c r="G714" s="4" t="s">
        <v>25</v>
      </c>
      <c r="H714" s="4" t="s">
        <v>38</v>
      </c>
      <c r="I714" s="5">
        <v>44378</v>
      </c>
      <c r="J714" s="6">
        <v>0</v>
      </c>
      <c r="K714" s="6">
        <v>0</v>
      </c>
      <c r="L714" s="6">
        <v>-28.206</v>
      </c>
      <c r="M714" s="6">
        <v>-26.513639999999999</v>
      </c>
      <c r="N714" s="6">
        <v>-28.206</v>
      </c>
      <c r="O714" s="6">
        <v>-26.513639999999999</v>
      </c>
      <c r="P714" s="6">
        <v>0</v>
      </c>
      <c r="Q714" s="4" t="s">
        <v>26</v>
      </c>
      <c r="R714" s="4">
        <v>0</v>
      </c>
      <c r="S714" s="4" t="s">
        <v>186</v>
      </c>
      <c r="T714" s="4" t="s">
        <v>319</v>
      </c>
      <c r="U714" s="4">
        <v>0</v>
      </c>
      <c r="V714" s="4">
        <v>25</v>
      </c>
      <c r="W714" s="4">
        <v>59</v>
      </c>
    </row>
    <row r="715" spans="1:23" ht="11.25" customHeight="1" x14ac:dyDescent="0.25">
      <c r="A715" s="4" t="s">
        <v>21</v>
      </c>
      <c r="B715" s="4" t="s">
        <v>35</v>
      </c>
      <c r="C715" s="4" t="s">
        <v>39</v>
      </c>
      <c r="D715" s="4" t="s">
        <v>47</v>
      </c>
      <c r="E715" s="4" t="s">
        <v>48</v>
      </c>
      <c r="F715" s="4" t="s">
        <v>25</v>
      </c>
      <c r="G715" s="4" t="s">
        <v>25</v>
      </c>
      <c r="H715" s="4" t="s">
        <v>38</v>
      </c>
      <c r="I715" s="5">
        <v>44409</v>
      </c>
      <c r="J715" s="6">
        <v>0</v>
      </c>
      <c r="K715" s="6">
        <v>0</v>
      </c>
      <c r="L715" s="6">
        <v>59.392000000000003</v>
      </c>
      <c r="M715" s="6">
        <v>55.828479999999999</v>
      </c>
      <c r="N715" s="6">
        <v>59.392000000000003</v>
      </c>
      <c r="O715" s="6">
        <v>55.828479999999999</v>
      </c>
      <c r="P715" s="6">
        <v>0</v>
      </c>
      <c r="Q715" s="4" t="s">
        <v>26</v>
      </c>
      <c r="R715" s="4">
        <v>0</v>
      </c>
      <c r="S715" s="4" t="s">
        <v>187</v>
      </c>
      <c r="T715" s="4" t="s">
        <v>320</v>
      </c>
      <c r="U715" s="4">
        <v>0</v>
      </c>
      <c r="V715" s="4">
        <v>25</v>
      </c>
      <c r="W715" s="4">
        <v>59</v>
      </c>
    </row>
    <row r="716" spans="1:23" ht="11.25" customHeight="1" x14ac:dyDescent="0.25">
      <c r="A716" s="4" t="s">
        <v>21</v>
      </c>
      <c r="B716" s="4" t="s">
        <v>35</v>
      </c>
      <c r="C716" s="4" t="s">
        <v>39</v>
      </c>
      <c r="D716" s="4" t="s">
        <v>47</v>
      </c>
      <c r="E716" s="4" t="s">
        <v>48</v>
      </c>
      <c r="F716" s="4" t="s">
        <v>25</v>
      </c>
      <c r="G716" s="4" t="s">
        <v>25</v>
      </c>
      <c r="H716" s="4" t="s">
        <v>38</v>
      </c>
      <c r="I716" s="5">
        <v>44440</v>
      </c>
      <c r="J716" s="6">
        <v>0</v>
      </c>
      <c r="K716" s="6">
        <v>0</v>
      </c>
      <c r="L716" s="6">
        <v>66.370999999999995</v>
      </c>
      <c r="M716" s="6">
        <v>62.388739999999991</v>
      </c>
      <c r="N716" s="6">
        <v>66.370999999999995</v>
      </c>
      <c r="O716" s="6">
        <v>62.388739999999991</v>
      </c>
      <c r="P716" s="6">
        <v>0</v>
      </c>
      <c r="Q716" s="4" t="s">
        <v>26</v>
      </c>
      <c r="R716" s="4">
        <v>0</v>
      </c>
      <c r="S716" s="4" t="s">
        <v>188</v>
      </c>
      <c r="T716" s="4" t="s">
        <v>321</v>
      </c>
      <c r="U716" s="4">
        <v>0</v>
      </c>
      <c r="V716" s="4">
        <v>25</v>
      </c>
      <c r="W716" s="4">
        <v>59</v>
      </c>
    </row>
    <row r="717" spans="1:23" ht="11.25" customHeight="1" x14ac:dyDescent="0.25">
      <c r="A717" s="4" t="s">
        <v>21</v>
      </c>
      <c r="B717" s="4" t="s">
        <v>35</v>
      </c>
      <c r="C717" s="4" t="s">
        <v>39</v>
      </c>
      <c r="D717" s="4" t="s">
        <v>47</v>
      </c>
      <c r="E717" s="4" t="s">
        <v>48</v>
      </c>
      <c r="F717" s="4" t="s">
        <v>25</v>
      </c>
      <c r="G717" s="4" t="s">
        <v>25</v>
      </c>
      <c r="H717" s="4" t="s">
        <v>38</v>
      </c>
      <c r="I717" s="5">
        <v>44470</v>
      </c>
      <c r="J717" s="6">
        <v>0</v>
      </c>
      <c r="K717" s="6">
        <v>0</v>
      </c>
      <c r="L717" s="6">
        <v>66.837999999999994</v>
      </c>
      <c r="M717" s="6">
        <v>62.827719999999992</v>
      </c>
      <c r="N717" s="6">
        <v>66.837999999999994</v>
      </c>
      <c r="O717" s="6">
        <v>62.827719999999992</v>
      </c>
      <c r="P717" s="6">
        <v>0</v>
      </c>
      <c r="Q717" s="4" t="s">
        <v>26</v>
      </c>
      <c r="R717" s="4">
        <v>0</v>
      </c>
      <c r="S717" s="4" t="s">
        <v>189</v>
      </c>
      <c r="T717" s="4" t="s">
        <v>322</v>
      </c>
      <c r="U717" s="4">
        <v>0</v>
      </c>
      <c r="V717" s="4">
        <v>25</v>
      </c>
      <c r="W717" s="4">
        <v>59</v>
      </c>
    </row>
    <row r="718" spans="1:23" ht="11.25" customHeight="1" x14ac:dyDescent="0.25">
      <c r="A718" s="4" t="s">
        <v>21</v>
      </c>
      <c r="B718" s="4" t="s">
        <v>35</v>
      </c>
      <c r="C718" s="4" t="s">
        <v>39</v>
      </c>
      <c r="D718" s="4" t="s">
        <v>47</v>
      </c>
      <c r="E718" s="4" t="s">
        <v>48</v>
      </c>
      <c r="F718" s="4" t="s">
        <v>25</v>
      </c>
      <c r="G718" s="4" t="s">
        <v>25</v>
      </c>
      <c r="H718" s="4" t="s">
        <v>38</v>
      </c>
      <c r="I718" s="5">
        <v>44501</v>
      </c>
      <c r="J718" s="6">
        <v>0</v>
      </c>
      <c r="K718" s="6">
        <v>0</v>
      </c>
      <c r="L718" s="6">
        <v>70.613</v>
      </c>
      <c r="M718" s="6">
        <v>66.376219999999989</v>
      </c>
      <c r="N718" s="6">
        <v>70.613</v>
      </c>
      <c r="O718" s="6">
        <v>66.376219999999989</v>
      </c>
      <c r="P718" s="6">
        <v>0</v>
      </c>
      <c r="Q718" s="4" t="s">
        <v>26</v>
      </c>
      <c r="R718" s="4">
        <v>0</v>
      </c>
      <c r="S718" s="4" t="s">
        <v>190</v>
      </c>
      <c r="T718" s="4" t="s">
        <v>323</v>
      </c>
      <c r="U718" s="4">
        <v>0</v>
      </c>
      <c r="V718" s="4">
        <v>25</v>
      </c>
      <c r="W718" s="4">
        <v>59</v>
      </c>
    </row>
    <row r="719" spans="1:23" ht="11.25" customHeight="1" x14ac:dyDescent="0.25">
      <c r="A719" s="4" t="s">
        <v>21</v>
      </c>
      <c r="B719" s="4" t="s">
        <v>35</v>
      </c>
      <c r="C719" s="4" t="s">
        <v>39</v>
      </c>
      <c r="D719" s="4" t="s">
        <v>47</v>
      </c>
      <c r="E719" s="4" t="s">
        <v>48</v>
      </c>
      <c r="F719" s="4" t="s">
        <v>25</v>
      </c>
      <c r="G719" s="4" t="s">
        <v>25</v>
      </c>
      <c r="H719" s="4" t="s">
        <v>38</v>
      </c>
      <c r="I719" s="5">
        <v>44531</v>
      </c>
      <c r="J719" s="6">
        <v>0</v>
      </c>
      <c r="K719" s="6">
        <v>0</v>
      </c>
      <c r="L719" s="6">
        <v>64.915000000000006</v>
      </c>
      <c r="M719" s="6">
        <v>61.020099999999999</v>
      </c>
      <c r="N719" s="6">
        <v>64.915000000000006</v>
      </c>
      <c r="O719" s="6">
        <v>61.020099999999999</v>
      </c>
      <c r="P719" s="6">
        <v>0</v>
      </c>
      <c r="Q719" s="4" t="s">
        <v>26</v>
      </c>
      <c r="R719" s="4">
        <v>0</v>
      </c>
      <c r="S719" s="4" t="s">
        <v>191</v>
      </c>
      <c r="T719" s="4" t="s">
        <v>324</v>
      </c>
      <c r="U719" s="4">
        <v>0</v>
      </c>
      <c r="V719" s="4">
        <v>25</v>
      </c>
      <c r="W719" s="4">
        <v>59</v>
      </c>
    </row>
    <row r="720" spans="1:23" ht="11.25" customHeight="1" x14ac:dyDescent="0.25">
      <c r="A720" s="4" t="s">
        <v>21</v>
      </c>
      <c r="B720" s="4" t="s">
        <v>35</v>
      </c>
      <c r="C720" s="4" t="s">
        <v>39</v>
      </c>
      <c r="D720" s="4" t="s">
        <v>47</v>
      </c>
      <c r="E720" s="4" t="s">
        <v>48</v>
      </c>
      <c r="F720" s="4" t="s">
        <v>25</v>
      </c>
      <c r="G720" s="4" t="s">
        <v>25</v>
      </c>
      <c r="H720" s="4" t="s">
        <v>38</v>
      </c>
      <c r="I720" s="5">
        <v>44562</v>
      </c>
      <c r="J720" s="6">
        <v>0</v>
      </c>
      <c r="K720" s="6">
        <v>0</v>
      </c>
      <c r="L720" s="6">
        <v>72.984999999999999</v>
      </c>
      <c r="M720" s="6">
        <v>68.605899999999991</v>
      </c>
      <c r="N720" s="6">
        <v>72.984999999999999</v>
      </c>
      <c r="O720" s="6">
        <v>68.605899999999991</v>
      </c>
      <c r="P720" s="6">
        <v>0</v>
      </c>
      <c r="Q720" s="4" t="s">
        <v>26</v>
      </c>
      <c r="R720" s="4">
        <v>0</v>
      </c>
      <c r="S720" s="4" t="s">
        <v>192</v>
      </c>
      <c r="T720" s="4" t="s">
        <v>325</v>
      </c>
      <c r="U720" s="4">
        <v>0</v>
      </c>
      <c r="V720" s="4">
        <v>25</v>
      </c>
      <c r="W720" s="4">
        <v>59</v>
      </c>
    </row>
    <row r="721" spans="1:23" ht="11.25" customHeight="1" x14ac:dyDescent="0.25">
      <c r="A721" s="4" t="s">
        <v>21</v>
      </c>
      <c r="B721" s="4" t="s">
        <v>35</v>
      </c>
      <c r="C721" s="4" t="s">
        <v>39</v>
      </c>
      <c r="D721" s="4" t="s">
        <v>47</v>
      </c>
      <c r="E721" s="4" t="s">
        <v>48</v>
      </c>
      <c r="F721" s="4" t="s">
        <v>25</v>
      </c>
      <c r="G721" s="4" t="s">
        <v>25</v>
      </c>
      <c r="H721" s="4" t="s">
        <v>38</v>
      </c>
      <c r="I721" s="5">
        <v>44593</v>
      </c>
      <c r="J721" s="6">
        <v>0</v>
      </c>
      <c r="K721" s="6">
        <v>0</v>
      </c>
      <c r="L721" s="6">
        <v>64.531999999999996</v>
      </c>
      <c r="M721" s="6">
        <v>60.660079999999994</v>
      </c>
      <c r="N721" s="6">
        <v>64.531999999999996</v>
      </c>
      <c r="O721" s="6">
        <v>60.660079999999994</v>
      </c>
      <c r="P721" s="6">
        <v>0</v>
      </c>
      <c r="Q721" s="4" t="s">
        <v>26</v>
      </c>
      <c r="R721" s="4">
        <v>0</v>
      </c>
      <c r="S721" s="4" t="s">
        <v>193</v>
      </c>
      <c r="T721" s="4" t="s">
        <v>326</v>
      </c>
      <c r="U721" s="4">
        <v>0</v>
      </c>
      <c r="V721" s="4">
        <v>25</v>
      </c>
      <c r="W721" s="4">
        <v>59</v>
      </c>
    </row>
    <row r="722" spans="1:23" ht="11.25" customHeight="1" x14ac:dyDescent="0.25">
      <c r="A722" s="4" t="s">
        <v>21</v>
      </c>
      <c r="B722" s="4" t="s">
        <v>35</v>
      </c>
      <c r="C722" s="4" t="s">
        <v>39</v>
      </c>
      <c r="D722" s="4" t="s">
        <v>47</v>
      </c>
      <c r="E722" s="4" t="s">
        <v>48</v>
      </c>
      <c r="F722" s="4" t="s">
        <v>25</v>
      </c>
      <c r="G722" s="4" t="s">
        <v>25</v>
      </c>
      <c r="H722" s="4" t="s">
        <v>38</v>
      </c>
      <c r="I722" s="5">
        <v>44621</v>
      </c>
      <c r="J722" s="6">
        <v>0</v>
      </c>
      <c r="K722" s="6">
        <v>0</v>
      </c>
      <c r="L722" s="6">
        <v>54.575000000000003</v>
      </c>
      <c r="M722" s="6">
        <v>51.3005</v>
      </c>
      <c r="N722" s="6">
        <v>54.575000000000003</v>
      </c>
      <c r="O722" s="6">
        <v>51.3005</v>
      </c>
      <c r="P722" s="6">
        <v>0</v>
      </c>
      <c r="Q722" s="4" t="s">
        <v>26</v>
      </c>
      <c r="R722" s="4">
        <v>0</v>
      </c>
      <c r="S722" s="4" t="s">
        <v>194</v>
      </c>
      <c r="T722" s="4" t="s">
        <v>327</v>
      </c>
      <c r="U722" s="4">
        <v>0</v>
      </c>
      <c r="V722" s="4">
        <v>25</v>
      </c>
      <c r="W722" s="4">
        <v>59</v>
      </c>
    </row>
    <row r="723" spans="1:23" ht="11.25" customHeight="1" x14ac:dyDescent="0.25">
      <c r="A723" s="4" t="s">
        <v>21</v>
      </c>
      <c r="B723" s="4" t="s">
        <v>35</v>
      </c>
      <c r="C723" s="4" t="s">
        <v>39</v>
      </c>
      <c r="D723" s="4" t="s">
        <v>47</v>
      </c>
      <c r="E723" s="4" t="s">
        <v>48</v>
      </c>
      <c r="F723" s="4" t="s">
        <v>25</v>
      </c>
      <c r="G723" s="4" t="s">
        <v>25</v>
      </c>
      <c r="H723" s="4" t="s">
        <v>38</v>
      </c>
      <c r="I723" s="5">
        <v>44652</v>
      </c>
      <c r="J723" s="6">
        <v>0</v>
      </c>
      <c r="K723" s="6">
        <v>0</v>
      </c>
      <c r="L723" s="6">
        <v>62.256</v>
      </c>
      <c r="M723" s="6">
        <v>58.52064</v>
      </c>
      <c r="N723" s="6">
        <v>62.256</v>
      </c>
      <c r="O723" s="6">
        <v>58.52064</v>
      </c>
      <c r="P723" s="6">
        <v>0</v>
      </c>
      <c r="Q723" s="4" t="s">
        <v>26</v>
      </c>
      <c r="R723" s="4">
        <v>0</v>
      </c>
      <c r="S723" s="4" t="s">
        <v>195</v>
      </c>
      <c r="T723" s="4" t="s">
        <v>328</v>
      </c>
      <c r="U723" s="4">
        <v>0</v>
      </c>
      <c r="V723" s="4">
        <v>25</v>
      </c>
      <c r="W723" s="4">
        <v>59</v>
      </c>
    </row>
    <row r="724" spans="1:23" ht="11.25" customHeight="1" x14ac:dyDescent="0.25">
      <c r="A724" s="4" t="s">
        <v>21</v>
      </c>
      <c r="B724" s="4" t="s">
        <v>35</v>
      </c>
      <c r="C724" s="4" t="s">
        <v>39</v>
      </c>
      <c r="D724" s="4" t="s">
        <v>47</v>
      </c>
      <c r="E724" s="4" t="s">
        <v>48</v>
      </c>
      <c r="F724" s="4" t="s">
        <v>25</v>
      </c>
      <c r="G724" s="4" t="s">
        <v>25</v>
      </c>
      <c r="H724" s="4" t="s">
        <v>38</v>
      </c>
      <c r="I724" s="5">
        <v>44682</v>
      </c>
      <c r="J724" s="6">
        <v>0</v>
      </c>
      <c r="K724" s="6">
        <v>0</v>
      </c>
      <c r="L724" s="6">
        <v>57.121000000000002</v>
      </c>
      <c r="M724" s="6">
        <v>53.693739999999998</v>
      </c>
      <c r="N724" s="6">
        <v>57.121000000000002</v>
      </c>
      <c r="O724" s="6">
        <v>53.693739999999998</v>
      </c>
      <c r="P724" s="6">
        <v>0</v>
      </c>
      <c r="Q724" s="4" t="s">
        <v>26</v>
      </c>
      <c r="R724" s="4">
        <v>0</v>
      </c>
      <c r="S724" s="4" t="s">
        <v>196</v>
      </c>
      <c r="T724" s="4" t="s">
        <v>329</v>
      </c>
      <c r="U724" s="4">
        <v>0</v>
      </c>
      <c r="V724" s="4">
        <v>25</v>
      </c>
      <c r="W724" s="4">
        <v>59</v>
      </c>
    </row>
    <row r="725" spans="1:23" ht="11.25" customHeight="1" x14ac:dyDescent="0.25">
      <c r="A725" s="4" t="s">
        <v>21</v>
      </c>
      <c r="B725" s="4" t="s">
        <v>35</v>
      </c>
      <c r="C725" s="4" t="s">
        <v>39</v>
      </c>
      <c r="D725" s="4" t="s">
        <v>47</v>
      </c>
      <c r="E725" s="4" t="s">
        <v>48</v>
      </c>
      <c r="F725" s="4" t="s">
        <v>25</v>
      </c>
      <c r="G725" s="4" t="s">
        <v>25</v>
      </c>
      <c r="H725" s="4" t="s">
        <v>38</v>
      </c>
      <c r="I725" s="5">
        <v>44713</v>
      </c>
      <c r="J725" s="6">
        <v>0</v>
      </c>
      <c r="K725" s="6">
        <v>0</v>
      </c>
      <c r="L725" s="6">
        <v>62.706000000000003</v>
      </c>
      <c r="M725" s="6">
        <v>58.943640000000002</v>
      </c>
      <c r="N725" s="6">
        <v>62.706000000000003</v>
      </c>
      <c r="O725" s="6">
        <v>58.943640000000002</v>
      </c>
      <c r="P725" s="6">
        <v>0</v>
      </c>
      <c r="Q725" s="4" t="s">
        <v>26</v>
      </c>
      <c r="R725" s="4">
        <v>0</v>
      </c>
      <c r="S725" s="4" t="s">
        <v>197</v>
      </c>
      <c r="T725" s="4" t="s">
        <v>330</v>
      </c>
      <c r="U725" s="4">
        <v>0</v>
      </c>
      <c r="V725" s="4">
        <v>25</v>
      </c>
      <c r="W725" s="4">
        <v>59</v>
      </c>
    </row>
    <row r="726" spans="1:23" ht="11.25" customHeight="1" x14ac:dyDescent="0.25">
      <c r="A726" s="4" t="s">
        <v>21</v>
      </c>
      <c r="B726" s="4" t="s">
        <v>35</v>
      </c>
      <c r="C726" s="4" t="s">
        <v>39</v>
      </c>
      <c r="D726" s="4" t="s">
        <v>47</v>
      </c>
      <c r="E726" s="4" t="s">
        <v>48</v>
      </c>
      <c r="F726" s="4" t="s">
        <v>25</v>
      </c>
      <c r="G726" s="4" t="s">
        <v>25</v>
      </c>
      <c r="H726" s="4" t="s">
        <v>25</v>
      </c>
      <c r="I726" s="5">
        <v>44378</v>
      </c>
      <c r="J726" s="6">
        <v>494</v>
      </c>
      <c r="K726" s="6">
        <v>464.35999999999996</v>
      </c>
      <c r="L726" s="6">
        <v>0</v>
      </c>
      <c r="M726" s="6">
        <v>0</v>
      </c>
      <c r="N726" s="6">
        <v>0</v>
      </c>
      <c r="O726" s="6">
        <v>0</v>
      </c>
      <c r="P726" s="6">
        <v>3</v>
      </c>
      <c r="Q726" s="4" t="s">
        <v>26</v>
      </c>
      <c r="R726" s="4">
        <v>0</v>
      </c>
      <c r="S726" s="4" t="s">
        <v>198</v>
      </c>
      <c r="U726" s="4">
        <v>18</v>
      </c>
      <c r="V726" s="4">
        <v>0</v>
      </c>
      <c r="W726" s="4">
        <v>0</v>
      </c>
    </row>
    <row r="727" spans="1:23" ht="11.25" customHeight="1" x14ac:dyDescent="0.25">
      <c r="A727" s="4" t="s">
        <v>27</v>
      </c>
      <c r="B727" s="4" t="s">
        <v>35</v>
      </c>
      <c r="C727" s="4" t="s">
        <v>39</v>
      </c>
      <c r="D727" s="4" t="s">
        <v>47</v>
      </c>
      <c r="E727" s="4" t="s">
        <v>48</v>
      </c>
      <c r="F727" s="4" t="s">
        <v>25</v>
      </c>
      <c r="G727" s="4" t="s">
        <v>25</v>
      </c>
      <c r="H727" s="4" t="s">
        <v>25</v>
      </c>
      <c r="I727" s="5">
        <v>44378</v>
      </c>
      <c r="J727" s="6">
        <v>-190</v>
      </c>
      <c r="K727" s="6">
        <v>-178.6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4" t="s">
        <v>26</v>
      </c>
      <c r="R727" s="4">
        <v>0</v>
      </c>
      <c r="S727" s="4" t="s">
        <v>198</v>
      </c>
      <c r="U727" s="4">
        <v>18</v>
      </c>
      <c r="V727" s="4">
        <v>0</v>
      </c>
      <c r="W727" s="4">
        <v>0</v>
      </c>
    </row>
    <row r="728" spans="1:23" ht="11.25" customHeight="1" x14ac:dyDescent="0.25">
      <c r="A728" s="4" t="s">
        <v>21</v>
      </c>
      <c r="B728" s="4" t="s">
        <v>35</v>
      </c>
      <c r="C728" s="4" t="s">
        <v>39</v>
      </c>
      <c r="D728" s="4" t="s">
        <v>47</v>
      </c>
      <c r="E728" s="4" t="s">
        <v>48</v>
      </c>
      <c r="F728" s="4" t="s">
        <v>25</v>
      </c>
      <c r="G728" s="4" t="s">
        <v>25</v>
      </c>
      <c r="H728" s="4" t="s">
        <v>25</v>
      </c>
      <c r="I728" s="5">
        <v>44409</v>
      </c>
      <c r="J728" s="6">
        <v>307</v>
      </c>
      <c r="K728" s="6">
        <v>288.58</v>
      </c>
      <c r="L728" s="6">
        <v>0</v>
      </c>
      <c r="M728" s="6">
        <v>0</v>
      </c>
      <c r="N728" s="6">
        <v>0</v>
      </c>
      <c r="O728" s="6">
        <v>0</v>
      </c>
      <c r="P728" s="6">
        <v>3</v>
      </c>
      <c r="Q728" s="4" t="s">
        <v>26</v>
      </c>
      <c r="R728" s="4">
        <v>0</v>
      </c>
      <c r="S728" s="4" t="s">
        <v>199</v>
      </c>
      <c r="U728" s="4">
        <v>18</v>
      </c>
      <c r="V728" s="4">
        <v>0</v>
      </c>
      <c r="W728" s="4">
        <v>0</v>
      </c>
    </row>
    <row r="729" spans="1:23" ht="11.25" customHeight="1" x14ac:dyDescent="0.25">
      <c r="A729" s="4" t="s">
        <v>21</v>
      </c>
      <c r="B729" s="4" t="s">
        <v>35</v>
      </c>
      <c r="C729" s="4" t="s">
        <v>39</v>
      </c>
      <c r="D729" s="4" t="s">
        <v>47</v>
      </c>
      <c r="E729" s="4" t="s">
        <v>48</v>
      </c>
      <c r="F729" s="4" t="s">
        <v>25</v>
      </c>
      <c r="G729" s="4" t="s">
        <v>25</v>
      </c>
      <c r="H729" s="4" t="s">
        <v>25</v>
      </c>
      <c r="I729" s="5">
        <v>44440</v>
      </c>
      <c r="J729" s="6">
        <v>320</v>
      </c>
      <c r="K729" s="6">
        <v>300.79999999999995</v>
      </c>
      <c r="L729" s="6">
        <v>0</v>
      </c>
      <c r="M729" s="6">
        <v>0</v>
      </c>
      <c r="N729" s="6">
        <v>0</v>
      </c>
      <c r="O729" s="6">
        <v>0</v>
      </c>
      <c r="P729" s="6">
        <v>3</v>
      </c>
      <c r="Q729" s="4" t="s">
        <v>26</v>
      </c>
      <c r="R729" s="4">
        <v>0</v>
      </c>
      <c r="S729" s="4" t="s">
        <v>200</v>
      </c>
      <c r="U729" s="4">
        <v>18</v>
      </c>
      <c r="V729" s="4">
        <v>0</v>
      </c>
      <c r="W729" s="4">
        <v>0</v>
      </c>
    </row>
    <row r="730" spans="1:23" ht="11.25" customHeight="1" x14ac:dyDescent="0.25">
      <c r="A730" s="4" t="s">
        <v>21</v>
      </c>
      <c r="B730" s="4" t="s">
        <v>35</v>
      </c>
      <c r="C730" s="4" t="s">
        <v>39</v>
      </c>
      <c r="D730" s="4" t="s">
        <v>47</v>
      </c>
      <c r="E730" s="4" t="s">
        <v>48</v>
      </c>
      <c r="F730" s="4" t="s">
        <v>25</v>
      </c>
      <c r="G730" s="4" t="s">
        <v>25</v>
      </c>
      <c r="H730" s="4" t="s">
        <v>25</v>
      </c>
      <c r="I730" s="5">
        <v>44470</v>
      </c>
      <c r="J730" s="6">
        <v>316</v>
      </c>
      <c r="K730" s="6">
        <v>297.03999999999996</v>
      </c>
      <c r="L730" s="6">
        <v>0</v>
      </c>
      <c r="M730" s="6">
        <v>0</v>
      </c>
      <c r="N730" s="6">
        <v>0</v>
      </c>
      <c r="O730" s="6">
        <v>0</v>
      </c>
      <c r="P730" s="6">
        <v>3</v>
      </c>
      <c r="Q730" s="4" t="s">
        <v>26</v>
      </c>
      <c r="R730" s="4">
        <v>0</v>
      </c>
      <c r="S730" s="4" t="s">
        <v>201</v>
      </c>
      <c r="U730" s="4">
        <v>18</v>
      </c>
      <c r="V730" s="4">
        <v>0</v>
      </c>
      <c r="W730" s="4">
        <v>0</v>
      </c>
    </row>
    <row r="731" spans="1:23" ht="11.25" customHeight="1" x14ac:dyDescent="0.25">
      <c r="A731" s="4" t="s">
        <v>21</v>
      </c>
      <c r="B731" s="4" t="s">
        <v>35</v>
      </c>
      <c r="C731" s="4" t="s">
        <v>39</v>
      </c>
      <c r="D731" s="4" t="s">
        <v>47</v>
      </c>
      <c r="E731" s="4" t="s">
        <v>48</v>
      </c>
      <c r="F731" s="4" t="s">
        <v>25</v>
      </c>
      <c r="G731" s="4" t="s">
        <v>25</v>
      </c>
      <c r="H731" s="4" t="s">
        <v>25</v>
      </c>
      <c r="I731" s="5">
        <v>44501</v>
      </c>
      <c r="J731" s="6">
        <v>319</v>
      </c>
      <c r="K731" s="6">
        <v>299.85999999999996</v>
      </c>
      <c r="L731" s="6">
        <v>0</v>
      </c>
      <c r="M731" s="6">
        <v>0</v>
      </c>
      <c r="N731" s="6">
        <v>0</v>
      </c>
      <c r="O731" s="6">
        <v>0</v>
      </c>
      <c r="P731" s="6">
        <v>3</v>
      </c>
      <c r="Q731" s="4" t="s">
        <v>26</v>
      </c>
      <c r="R731" s="4">
        <v>0</v>
      </c>
      <c r="S731" s="4" t="s">
        <v>202</v>
      </c>
      <c r="U731" s="4">
        <v>18</v>
      </c>
      <c r="V731" s="4">
        <v>0</v>
      </c>
      <c r="W731" s="4">
        <v>0</v>
      </c>
    </row>
    <row r="732" spans="1:23" ht="11.25" customHeight="1" x14ac:dyDescent="0.25">
      <c r="A732" s="4" t="s">
        <v>21</v>
      </c>
      <c r="B732" s="4" t="s">
        <v>35</v>
      </c>
      <c r="C732" s="4" t="s">
        <v>39</v>
      </c>
      <c r="D732" s="4" t="s">
        <v>47</v>
      </c>
      <c r="E732" s="4" t="s">
        <v>48</v>
      </c>
      <c r="F732" s="4" t="s">
        <v>25</v>
      </c>
      <c r="G732" s="4" t="s">
        <v>25</v>
      </c>
      <c r="H732" s="4" t="s">
        <v>25</v>
      </c>
      <c r="I732" s="5">
        <v>44531</v>
      </c>
      <c r="J732" s="6">
        <v>312</v>
      </c>
      <c r="K732" s="6">
        <v>293.27999999999997</v>
      </c>
      <c r="L732" s="6">
        <v>0</v>
      </c>
      <c r="M732" s="6">
        <v>0</v>
      </c>
      <c r="N732" s="6">
        <v>0</v>
      </c>
      <c r="O732" s="6">
        <v>0</v>
      </c>
      <c r="P732" s="6">
        <v>3</v>
      </c>
      <c r="Q732" s="4" t="s">
        <v>26</v>
      </c>
      <c r="R732" s="4">
        <v>0</v>
      </c>
      <c r="S732" s="4" t="s">
        <v>203</v>
      </c>
      <c r="U732" s="4">
        <v>18</v>
      </c>
      <c r="V732" s="4">
        <v>0</v>
      </c>
      <c r="W732" s="4">
        <v>0</v>
      </c>
    </row>
    <row r="733" spans="1:23" ht="11.25" customHeight="1" x14ac:dyDescent="0.25">
      <c r="A733" s="4" t="s">
        <v>21</v>
      </c>
      <c r="B733" s="4" t="s">
        <v>35</v>
      </c>
      <c r="C733" s="4" t="s">
        <v>39</v>
      </c>
      <c r="D733" s="4" t="s">
        <v>47</v>
      </c>
      <c r="E733" s="4" t="s">
        <v>48</v>
      </c>
      <c r="F733" s="4" t="s">
        <v>25</v>
      </c>
      <c r="G733" s="4" t="s">
        <v>25</v>
      </c>
      <c r="H733" s="4" t="s">
        <v>25</v>
      </c>
      <c r="I733" s="5">
        <v>44562</v>
      </c>
      <c r="J733" s="6">
        <v>305</v>
      </c>
      <c r="K733" s="6">
        <v>286.7</v>
      </c>
      <c r="L733" s="6">
        <v>0</v>
      </c>
      <c r="M733" s="6">
        <v>0</v>
      </c>
      <c r="N733" s="6">
        <v>0</v>
      </c>
      <c r="O733" s="6">
        <v>0</v>
      </c>
      <c r="P733" s="6">
        <v>3</v>
      </c>
      <c r="Q733" s="4" t="s">
        <v>26</v>
      </c>
      <c r="R733" s="4">
        <v>0</v>
      </c>
      <c r="S733" s="4" t="s">
        <v>204</v>
      </c>
      <c r="U733" s="4">
        <v>18</v>
      </c>
      <c r="V733" s="4">
        <v>0</v>
      </c>
      <c r="W733" s="4">
        <v>0</v>
      </c>
    </row>
    <row r="734" spans="1:23" ht="11.25" customHeight="1" x14ac:dyDescent="0.25">
      <c r="A734" s="4" t="s">
        <v>21</v>
      </c>
      <c r="B734" s="4" t="s">
        <v>35</v>
      </c>
      <c r="C734" s="4" t="s">
        <v>39</v>
      </c>
      <c r="D734" s="4" t="s">
        <v>47</v>
      </c>
      <c r="E734" s="4" t="s">
        <v>48</v>
      </c>
      <c r="F734" s="4" t="s">
        <v>25</v>
      </c>
      <c r="G734" s="4" t="s">
        <v>25</v>
      </c>
      <c r="H734" s="4" t="s">
        <v>25</v>
      </c>
      <c r="I734" s="5">
        <v>44593</v>
      </c>
      <c r="J734" s="6">
        <v>314</v>
      </c>
      <c r="K734" s="6">
        <v>295.15999999999997</v>
      </c>
      <c r="L734" s="6">
        <v>0</v>
      </c>
      <c r="M734" s="6">
        <v>0</v>
      </c>
      <c r="N734" s="6">
        <v>0</v>
      </c>
      <c r="O734" s="6">
        <v>0</v>
      </c>
      <c r="P734" s="6">
        <v>3</v>
      </c>
      <c r="Q734" s="4" t="s">
        <v>26</v>
      </c>
      <c r="R734" s="4">
        <v>0</v>
      </c>
      <c r="S734" s="4" t="s">
        <v>205</v>
      </c>
      <c r="U734" s="4">
        <v>18</v>
      </c>
      <c r="V734" s="4">
        <v>0</v>
      </c>
      <c r="W734" s="4">
        <v>0</v>
      </c>
    </row>
    <row r="735" spans="1:23" ht="11.25" customHeight="1" x14ac:dyDescent="0.25">
      <c r="A735" s="4" t="s">
        <v>21</v>
      </c>
      <c r="B735" s="4" t="s">
        <v>35</v>
      </c>
      <c r="C735" s="4" t="s">
        <v>39</v>
      </c>
      <c r="D735" s="4" t="s">
        <v>47</v>
      </c>
      <c r="E735" s="4" t="s">
        <v>48</v>
      </c>
      <c r="F735" s="4" t="s">
        <v>25</v>
      </c>
      <c r="G735" s="4" t="s">
        <v>25</v>
      </c>
      <c r="H735" s="4" t="s">
        <v>25</v>
      </c>
      <c r="I735" s="5">
        <v>44621</v>
      </c>
      <c r="J735" s="6">
        <v>311</v>
      </c>
      <c r="K735" s="6">
        <v>292.33999999999997</v>
      </c>
      <c r="L735" s="6">
        <v>0</v>
      </c>
      <c r="M735" s="6">
        <v>0</v>
      </c>
      <c r="N735" s="6">
        <v>0</v>
      </c>
      <c r="O735" s="6">
        <v>0</v>
      </c>
      <c r="P735" s="6">
        <v>3</v>
      </c>
      <c r="Q735" s="4" t="s">
        <v>26</v>
      </c>
      <c r="R735" s="4">
        <v>0</v>
      </c>
      <c r="S735" s="4" t="s">
        <v>206</v>
      </c>
      <c r="U735" s="4">
        <v>18</v>
      </c>
      <c r="V735" s="4">
        <v>0</v>
      </c>
      <c r="W735" s="4">
        <v>0</v>
      </c>
    </row>
    <row r="736" spans="1:23" ht="11.25" customHeight="1" x14ac:dyDescent="0.25">
      <c r="A736" s="4" t="s">
        <v>21</v>
      </c>
      <c r="B736" s="4" t="s">
        <v>35</v>
      </c>
      <c r="C736" s="4" t="s">
        <v>39</v>
      </c>
      <c r="D736" s="4" t="s">
        <v>47</v>
      </c>
      <c r="E736" s="4" t="s">
        <v>48</v>
      </c>
      <c r="F736" s="4" t="s">
        <v>25</v>
      </c>
      <c r="G736" s="4" t="s">
        <v>25</v>
      </c>
      <c r="H736" s="4" t="s">
        <v>25</v>
      </c>
      <c r="I736" s="5">
        <v>44652</v>
      </c>
      <c r="J736" s="6">
        <v>315</v>
      </c>
      <c r="K736" s="6">
        <v>296.09999999999997</v>
      </c>
      <c r="L736" s="6">
        <v>0</v>
      </c>
      <c r="M736" s="6">
        <v>0</v>
      </c>
      <c r="N736" s="6">
        <v>0</v>
      </c>
      <c r="O736" s="6">
        <v>0</v>
      </c>
      <c r="P736" s="6">
        <v>3</v>
      </c>
      <c r="Q736" s="4" t="s">
        <v>26</v>
      </c>
      <c r="R736" s="4">
        <v>0</v>
      </c>
      <c r="S736" s="4" t="s">
        <v>207</v>
      </c>
      <c r="U736" s="4">
        <v>18</v>
      </c>
      <c r="V736" s="4">
        <v>0</v>
      </c>
      <c r="W736" s="4">
        <v>0</v>
      </c>
    </row>
    <row r="737" spans="1:23" ht="11.25" customHeight="1" x14ac:dyDescent="0.25">
      <c r="A737" s="4" t="s">
        <v>21</v>
      </c>
      <c r="B737" s="4" t="s">
        <v>35</v>
      </c>
      <c r="C737" s="4" t="s">
        <v>39</v>
      </c>
      <c r="D737" s="4" t="s">
        <v>47</v>
      </c>
      <c r="E737" s="4" t="s">
        <v>48</v>
      </c>
      <c r="F737" s="4" t="s">
        <v>25</v>
      </c>
      <c r="G737" s="4" t="s">
        <v>25</v>
      </c>
      <c r="H737" s="4" t="s">
        <v>25</v>
      </c>
      <c r="I737" s="5">
        <v>44682</v>
      </c>
      <c r="J737" s="6">
        <v>319</v>
      </c>
      <c r="K737" s="6">
        <v>299.85999999999996</v>
      </c>
      <c r="L737" s="6">
        <v>0</v>
      </c>
      <c r="M737" s="6">
        <v>0</v>
      </c>
      <c r="N737" s="6">
        <v>0</v>
      </c>
      <c r="O737" s="6">
        <v>0</v>
      </c>
      <c r="P737" s="6">
        <v>3</v>
      </c>
      <c r="Q737" s="4" t="s">
        <v>26</v>
      </c>
      <c r="R737" s="4">
        <v>0</v>
      </c>
      <c r="S737" s="4" t="s">
        <v>208</v>
      </c>
      <c r="U737" s="4">
        <v>18</v>
      </c>
      <c r="V737" s="4">
        <v>0</v>
      </c>
      <c r="W737" s="4">
        <v>0</v>
      </c>
    </row>
    <row r="738" spans="1:23" ht="11.25" customHeight="1" x14ac:dyDescent="0.25">
      <c r="A738" s="4" t="s">
        <v>21</v>
      </c>
      <c r="B738" s="4" t="s">
        <v>35</v>
      </c>
      <c r="C738" s="4" t="s">
        <v>39</v>
      </c>
      <c r="D738" s="4" t="s">
        <v>47</v>
      </c>
      <c r="E738" s="4" t="s">
        <v>48</v>
      </c>
      <c r="F738" s="4" t="s">
        <v>25</v>
      </c>
      <c r="G738" s="4" t="s">
        <v>25</v>
      </c>
      <c r="H738" s="4" t="s">
        <v>25</v>
      </c>
      <c r="I738" s="5">
        <v>44713</v>
      </c>
      <c r="J738" s="6">
        <v>310</v>
      </c>
      <c r="K738" s="6">
        <v>291.39999999999998</v>
      </c>
      <c r="L738" s="6">
        <v>0</v>
      </c>
      <c r="M738" s="6">
        <v>0</v>
      </c>
      <c r="N738" s="6">
        <v>0</v>
      </c>
      <c r="O738" s="6">
        <v>0</v>
      </c>
      <c r="P738" s="6">
        <v>3</v>
      </c>
      <c r="Q738" s="4" t="s">
        <v>26</v>
      </c>
      <c r="R738" s="4">
        <v>0</v>
      </c>
      <c r="S738" s="4" t="s">
        <v>209</v>
      </c>
      <c r="U738" s="4">
        <v>18</v>
      </c>
      <c r="V738" s="4">
        <v>0</v>
      </c>
      <c r="W738" s="4">
        <v>0</v>
      </c>
    </row>
    <row r="739" spans="1:23" ht="11.25" customHeight="1" x14ac:dyDescent="0.25">
      <c r="A739" s="4" t="s">
        <v>21</v>
      </c>
      <c r="B739" s="4" t="s">
        <v>35</v>
      </c>
      <c r="C739" s="4" t="s">
        <v>39</v>
      </c>
      <c r="D739" s="4" t="s">
        <v>47</v>
      </c>
      <c r="E739" s="4" t="s">
        <v>48</v>
      </c>
      <c r="F739" s="4" t="s">
        <v>25</v>
      </c>
      <c r="G739" s="4" t="s">
        <v>25</v>
      </c>
      <c r="H739" s="4" t="s">
        <v>37</v>
      </c>
      <c r="I739" s="5">
        <v>44378</v>
      </c>
      <c r="J739" s="6">
        <v>0</v>
      </c>
      <c r="K739" s="6">
        <v>0</v>
      </c>
      <c r="L739" s="6">
        <v>1.9890000000000001</v>
      </c>
      <c r="M739" s="6">
        <v>1.8696600000000001</v>
      </c>
      <c r="N739" s="6">
        <v>1.9890000000000001</v>
      </c>
      <c r="O739" s="6">
        <v>1.8696600000000001</v>
      </c>
      <c r="P739" s="6">
        <v>0</v>
      </c>
      <c r="Q739" s="4" t="s">
        <v>26</v>
      </c>
      <c r="R739" s="4">
        <v>0</v>
      </c>
      <c r="S739" s="4" t="s">
        <v>210</v>
      </c>
      <c r="T739" s="4" t="s">
        <v>331</v>
      </c>
      <c r="U739" s="4">
        <v>0</v>
      </c>
      <c r="V739" s="4">
        <v>12</v>
      </c>
      <c r="W739" s="4">
        <v>66</v>
      </c>
    </row>
    <row r="740" spans="1:23" ht="11.25" customHeight="1" x14ac:dyDescent="0.25">
      <c r="A740" s="4" t="s">
        <v>27</v>
      </c>
      <c r="B740" s="4" t="s">
        <v>35</v>
      </c>
      <c r="C740" s="4" t="s">
        <v>39</v>
      </c>
      <c r="D740" s="4" t="s">
        <v>47</v>
      </c>
      <c r="E740" s="4" t="s">
        <v>48</v>
      </c>
      <c r="F740" s="4" t="s">
        <v>25</v>
      </c>
      <c r="G740" s="4" t="s">
        <v>25</v>
      </c>
      <c r="H740" s="4" t="s">
        <v>37</v>
      </c>
      <c r="I740" s="5">
        <v>44378</v>
      </c>
      <c r="J740" s="6">
        <v>0</v>
      </c>
      <c r="K740" s="6">
        <v>0</v>
      </c>
      <c r="L740" s="6">
        <v>-1.4870000000000001</v>
      </c>
      <c r="M740" s="6">
        <v>-1.39778</v>
      </c>
      <c r="N740" s="6">
        <v>-1.4870000000000001</v>
      </c>
      <c r="O740" s="6">
        <v>-1.39778</v>
      </c>
      <c r="P740" s="6">
        <v>0</v>
      </c>
      <c r="Q740" s="4" t="s">
        <v>26</v>
      </c>
      <c r="R740" s="4">
        <v>0</v>
      </c>
      <c r="S740" s="4" t="s">
        <v>210</v>
      </c>
      <c r="T740" s="4" t="s">
        <v>331</v>
      </c>
      <c r="U740" s="4">
        <v>0</v>
      </c>
      <c r="V740" s="4">
        <v>12</v>
      </c>
      <c r="W740" s="4">
        <v>66</v>
      </c>
    </row>
    <row r="741" spans="1:23" ht="11.25" customHeight="1" x14ac:dyDescent="0.25">
      <c r="A741" s="4" t="s">
        <v>21</v>
      </c>
      <c r="B741" s="4" t="s">
        <v>35</v>
      </c>
      <c r="C741" s="4" t="s">
        <v>39</v>
      </c>
      <c r="D741" s="4" t="s">
        <v>47</v>
      </c>
      <c r="E741" s="4" t="s">
        <v>48</v>
      </c>
      <c r="F741" s="4" t="s">
        <v>25</v>
      </c>
      <c r="G741" s="4" t="s">
        <v>25</v>
      </c>
      <c r="H741" s="4" t="s">
        <v>37</v>
      </c>
      <c r="I741" s="5">
        <v>44409</v>
      </c>
      <c r="J741" s="6">
        <v>0</v>
      </c>
      <c r="K741" s="6">
        <v>0</v>
      </c>
      <c r="L741" s="6">
        <v>0.79400000000000004</v>
      </c>
      <c r="M741" s="6">
        <v>0.74636000000000002</v>
      </c>
      <c r="N741" s="6">
        <v>0.79400000000000004</v>
      </c>
      <c r="O741" s="6">
        <v>0.74636000000000002</v>
      </c>
      <c r="P741" s="6">
        <v>0</v>
      </c>
      <c r="Q741" s="4" t="s">
        <v>26</v>
      </c>
      <c r="R741" s="4">
        <v>0</v>
      </c>
      <c r="S741" s="4" t="s">
        <v>211</v>
      </c>
      <c r="T741" s="4" t="s">
        <v>332</v>
      </c>
      <c r="U741" s="4">
        <v>0</v>
      </c>
      <c r="V741" s="4">
        <v>12</v>
      </c>
      <c r="W741" s="4">
        <v>66</v>
      </c>
    </row>
    <row r="742" spans="1:23" ht="11.25" customHeight="1" x14ac:dyDescent="0.25">
      <c r="A742" s="4" t="s">
        <v>21</v>
      </c>
      <c r="B742" s="4" t="s">
        <v>35</v>
      </c>
      <c r="C742" s="4" t="s">
        <v>39</v>
      </c>
      <c r="D742" s="4" t="s">
        <v>47</v>
      </c>
      <c r="E742" s="4" t="s">
        <v>48</v>
      </c>
      <c r="F742" s="4" t="s">
        <v>25</v>
      </c>
      <c r="G742" s="4" t="s">
        <v>25</v>
      </c>
      <c r="H742" s="4" t="s">
        <v>37</v>
      </c>
      <c r="I742" s="5">
        <v>44440</v>
      </c>
      <c r="J742" s="6">
        <v>0</v>
      </c>
      <c r="K742" s="6">
        <v>0</v>
      </c>
      <c r="L742" s="6">
        <v>2.4329999999999998</v>
      </c>
      <c r="M742" s="6">
        <v>2.2870199999999996</v>
      </c>
      <c r="N742" s="6">
        <v>2.4329999999999998</v>
      </c>
      <c r="O742" s="6">
        <v>2.2870199999999996</v>
      </c>
      <c r="P742" s="6">
        <v>0</v>
      </c>
      <c r="Q742" s="4" t="s">
        <v>26</v>
      </c>
      <c r="R742" s="4">
        <v>0</v>
      </c>
      <c r="S742" s="4" t="s">
        <v>212</v>
      </c>
      <c r="T742" s="4" t="s">
        <v>333</v>
      </c>
      <c r="U742" s="4">
        <v>0</v>
      </c>
      <c r="V742" s="4">
        <v>12</v>
      </c>
      <c r="W742" s="4">
        <v>66</v>
      </c>
    </row>
    <row r="743" spans="1:23" ht="11.25" customHeight="1" x14ac:dyDescent="0.25">
      <c r="A743" s="4" t="s">
        <v>21</v>
      </c>
      <c r="B743" s="4" t="s">
        <v>35</v>
      </c>
      <c r="C743" s="4" t="s">
        <v>39</v>
      </c>
      <c r="D743" s="4" t="s">
        <v>47</v>
      </c>
      <c r="E743" s="4" t="s">
        <v>48</v>
      </c>
      <c r="F743" s="4" t="s">
        <v>25</v>
      </c>
      <c r="G743" s="4" t="s">
        <v>25</v>
      </c>
      <c r="H743" s="4" t="s">
        <v>37</v>
      </c>
      <c r="I743" s="5">
        <v>44470</v>
      </c>
      <c r="J743" s="6">
        <v>0</v>
      </c>
      <c r="K743" s="6">
        <v>0</v>
      </c>
      <c r="L743" s="6">
        <v>4.9050000000000002</v>
      </c>
      <c r="M743" s="6">
        <v>4.6106999999999996</v>
      </c>
      <c r="N743" s="6">
        <v>4.9050000000000002</v>
      </c>
      <c r="O743" s="6">
        <v>4.6106999999999996</v>
      </c>
      <c r="P743" s="6">
        <v>0</v>
      </c>
      <c r="Q743" s="4" t="s">
        <v>26</v>
      </c>
      <c r="R743" s="4">
        <v>0</v>
      </c>
      <c r="S743" s="4" t="s">
        <v>213</v>
      </c>
      <c r="T743" s="4" t="s">
        <v>334</v>
      </c>
      <c r="U743" s="4">
        <v>0</v>
      </c>
      <c r="V743" s="4">
        <v>12</v>
      </c>
      <c r="W743" s="4">
        <v>66</v>
      </c>
    </row>
    <row r="744" spans="1:23" ht="11.25" customHeight="1" x14ac:dyDescent="0.25">
      <c r="A744" s="4" t="s">
        <v>21</v>
      </c>
      <c r="B744" s="4" t="s">
        <v>35</v>
      </c>
      <c r="C744" s="4" t="s">
        <v>39</v>
      </c>
      <c r="D744" s="4" t="s">
        <v>47</v>
      </c>
      <c r="E744" s="4" t="s">
        <v>48</v>
      </c>
      <c r="F744" s="4" t="s">
        <v>25</v>
      </c>
      <c r="G744" s="4" t="s">
        <v>25</v>
      </c>
      <c r="H744" s="4" t="s">
        <v>37</v>
      </c>
      <c r="I744" s="5">
        <v>44501</v>
      </c>
      <c r="J744" s="6">
        <v>0</v>
      </c>
      <c r="K744" s="6">
        <v>0</v>
      </c>
      <c r="L744" s="6">
        <v>5.0819999999999999</v>
      </c>
      <c r="M744" s="6">
        <v>4.7770799999999998</v>
      </c>
      <c r="N744" s="6">
        <v>5.0819999999999999</v>
      </c>
      <c r="O744" s="6">
        <v>4.7770799999999998</v>
      </c>
      <c r="P744" s="6">
        <v>0</v>
      </c>
      <c r="Q744" s="4" t="s">
        <v>26</v>
      </c>
      <c r="R744" s="4">
        <v>0</v>
      </c>
      <c r="S744" s="4" t="s">
        <v>214</v>
      </c>
      <c r="T744" s="4" t="s">
        <v>335</v>
      </c>
      <c r="U744" s="4">
        <v>0</v>
      </c>
      <c r="V744" s="4">
        <v>12</v>
      </c>
      <c r="W744" s="4">
        <v>66</v>
      </c>
    </row>
    <row r="745" spans="1:23" ht="11.25" customHeight="1" x14ac:dyDescent="0.25">
      <c r="A745" s="4" t="s">
        <v>21</v>
      </c>
      <c r="B745" s="4" t="s">
        <v>35</v>
      </c>
      <c r="C745" s="4" t="s">
        <v>39</v>
      </c>
      <c r="D745" s="4" t="s">
        <v>47</v>
      </c>
      <c r="E745" s="4" t="s">
        <v>48</v>
      </c>
      <c r="F745" s="4" t="s">
        <v>25</v>
      </c>
      <c r="G745" s="4" t="s">
        <v>25</v>
      </c>
      <c r="H745" s="4" t="s">
        <v>37</v>
      </c>
      <c r="I745" s="5">
        <v>44531</v>
      </c>
      <c r="J745" s="6">
        <v>0</v>
      </c>
      <c r="K745" s="6">
        <v>0</v>
      </c>
      <c r="L745" s="6">
        <v>5.3470000000000004</v>
      </c>
      <c r="M745" s="6">
        <v>5.0261800000000001</v>
      </c>
      <c r="N745" s="6">
        <v>5.3470000000000004</v>
      </c>
      <c r="O745" s="6">
        <v>5.0261800000000001</v>
      </c>
      <c r="P745" s="6">
        <v>0</v>
      </c>
      <c r="Q745" s="4" t="s">
        <v>26</v>
      </c>
      <c r="R745" s="4">
        <v>0</v>
      </c>
      <c r="S745" s="4" t="s">
        <v>215</v>
      </c>
      <c r="T745" s="4" t="s">
        <v>336</v>
      </c>
      <c r="U745" s="4">
        <v>0</v>
      </c>
      <c r="V745" s="4">
        <v>12</v>
      </c>
      <c r="W745" s="4">
        <v>66</v>
      </c>
    </row>
    <row r="746" spans="1:23" ht="11.25" customHeight="1" x14ac:dyDescent="0.25">
      <c r="A746" s="4" t="s">
        <v>21</v>
      </c>
      <c r="B746" s="4" t="s">
        <v>35</v>
      </c>
      <c r="C746" s="4" t="s">
        <v>39</v>
      </c>
      <c r="D746" s="4" t="s">
        <v>47</v>
      </c>
      <c r="E746" s="4" t="s">
        <v>48</v>
      </c>
      <c r="F746" s="4" t="s">
        <v>25</v>
      </c>
      <c r="G746" s="4" t="s">
        <v>25</v>
      </c>
      <c r="H746" s="4" t="s">
        <v>37</v>
      </c>
      <c r="I746" s="5">
        <v>44562</v>
      </c>
      <c r="J746" s="6">
        <v>0</v>
      </c>
      <c r="K746" s="6">
        <v>0</v>
      </c>
      <c r="L746" s="6">
        <v>5.4029999999999996</v>
      </c>
      <c r="M746" s="6">
        <v>5.0788199999999994</v>
      </c>
      <c r="N746" s="6">
        <v>5.4029999999999996</v>
      </c>
      <c r="O746" s="6">
        <v>5.0788199999999994</v>
      </c>
      <c r="P746" s="6">
        <v>0</v>
      </c>
      <c r="Q746" s="4" t="s">
        <v>26</v>
      </c>
      <c r="R746" s="4">
        <v>0</v>
      </c>
      <c r="S746" s="4" t="s">
        <v>216</v>
      </c>
      <c r="T746" s="4" t="s">
        <v>337</v>
      </c>
      <c r="U746" s="4">
        <v>0</v>
      </c>
      <c r="V746" s="4">
        <v>12</v>
      </c>
      <c r="W746" s="4">
        <v>66</v>
      </c>
    </row>
    <row r="747" spans="1:23" ht="11.25" customHeight="1" x14ac:dyDescent="0.25">
      <c r="A747" s="4" t="s">
        <v>21</v>
      </c>
      <c r="B747" s="4" t="s">
        <v>35</v>
      </c>
      <c r="C747" s="4" t="s">
        <v>39</v>
      </c>
      <c r="D747" s="4" t="s">
        <v>47</v>
      </c>
      <c r="E747" s="4" t="s">
        <v>48</v>
      </c>
      <c r="F747" s="4" t="s">
        <v>25</v>
      </c>
      <c r="G747" s="4" t="s">
        <v>25</v>
      </c>
      <c r="H747" s="4" t="s">
        <v>37</v>
      </c>
      <c r="I747" s="5">
        <v>44593</v>
      </c>
      <c r="J747" s="6">
        <v>0</v>
      </c>
      <c r="K747" s="6">
        <v>0</v>
      </c>
      <c r="L747" s="6">
        <v>1.93</v>
      </c>
      <c r="M747" s="6">
        <v>1.8141999999999998</v>
      </c>
      <c r="N747" s="6">
        <v>1.93</v>
      </c>
      <c r="O747" s="6">
        <v>1.8141999999999998</v>
      </c>
      <c r="P747" s="6">
        <v>0</v>
      </c>
      <c r="Q747" s="4" t="s">
        <v>26</v>
      </c>
      <c r="R747" s="4">
        <v>0</v>
      </c>
      <c r="S747" s="4" t="s">
        <v>217</v>
      </c>
      <c r="T747" s="4" t="s">
        <v>338</v>
      </c>
      <c r="U747" s="4">
        <v>0</v>
      </c>
      <c r="V747" s="4">
        <v>12</v>
      </c>
      <c r="W747" s="4">
        <v>66</v>
      </c>
    </row>
    <row r="748" spans="1:23" ht="11.25" customHeight="1" x14ac:dyDescent="0.25">
      <c r="A748" s="4" t="s">
        <v>21</v>
      </c>
      <c r="B748" s="4" t="s">
        <v>35</v>
      </c>
      <c r="C748" s="4" t="s">
        <v>39</v>
      </c>
      <c r="D748" s="4" t="s">
        <v>47</v>
      </c>
      <c r="E748" s="4" t="s">
        <v>48</v>
      </c>
      <c r="F748" s="4" t="s">
        <v>25</v>
      </c>
      <c r="G748" s="4" t="s">
        <v>25</v>
      </c>
      <c r="H748" s="4" t="s">
        <v>37</v>
      </c>
      <c r="I748" s="5">
        <v>44621</v>
      </c>
      <c r="J748" s="6">
        <v>0</v>
      </c>
      <c r="K748" s="6">
        <v>0</v>
      </c>
      <c r="L748" s="6">
        <v>2.74</v>
      </c>
      <c r="M748" s="6">
        <v>2.5756000000000001</v>
      </c>
      <c r="N748" s="6">
        <v>2.74</v>
      </c>
      <c r="O748" s="6">
        <v>2.5756000000000001</v>
      </c>
      <c r="P748" s="6">
        <v>0</v>
      </c>
      <c r="Q748" s="4" t="s">
        <v>26</v>
      </c>
      <c r="R748" s="4">
        <v>0</v>
      </c>
      <c r="S748" s="4" t="s">
        <v>218</v>
      </c>
      <c r="T748" s="4" t="s">
        <v>339</v>
      </c>
      <c r="U748" s="4">
        <v>0</v>
      </c>
      <c r="V748" s="4">
        <v>12</v>
      </c>
      <c r="W748" s="4">
        <v>66</v>
      </c>
    </row>
    <row r="749" spans="1:23" ht="11.25" customHeight="1" x14ac:dyDescent="0.25">
      <c r="A749" s="4" t="s">
        <v>21</v>
      </c>
      <c r="B749" s="4" t="s">
        <v>35</v>
      </c>
      <c r="C749" s="4" t="s">
        <v>39</v>
      </c>
      <c r="D749" s="4" t="s">
        <v>47</v>
      </c>
      <c r="E749" s="4" t="s">
        <v>48</v>
      </c>
      <c r="F749" s="4" t="s">
        <v>25</v>
      </c>
      <c r="G749" s="4" t="s">
        <v>25</v>
      </c>
      <c r="H749" s="4" t="s">
        <v>37</v>
      </c>
      <c r="I749" s="5">
        <v>44652</v>
      </c>
      <c r="J749" s="6">
        <v>0</v>
      </c>
      <c r="K749" s="6">
        <v>0</v>
      </c>
      <c r="L749" s="6">
        <v>1.5589999999999999</v>
      </c>
      <c r="M749" s="6">
        <v>1.4654599999999998</v>
      </c>
      <c r="N749" s="6">
        <v>1.5589999999999999</v>
      </c>
      <c r="O749" s="6">
        <v>1.4654599999999998</v>
      </c>
      <c r="P749" s="6">
        <v>0</v>
      </c>
      <c r="Q749" s="4" t="s">
        <v>26</v>
      </c>
      <c r="R749" s="4">
        <v>0</v>
      </c>
      <c r="S749" s="4" t="s">
        <v>219</v>
      </c>
      <c r="T749" s="4" t="s">
        <v>340</v>
      </c>
      <c r="U749" s="4">
        <v>0</v>
      </c>
      <c r="V749" s="4">
        <v>12</v>
      </c>
      <c r="W749" s="4">
        <v>66</v>
      </c>
    </row>
    <row r="750" spans="1:23" ht="11.25" customHeight="1" x14ac:dyDescent="0.25">
      <c r="A750" s="4" t="s">
        <v>21</v>
      </c>
      <c r="B750" s="4" t="s">
        <v>35</v>
      </c>
      <c r="C750" s="4" t="s">
        <v>39</v>
      </c>
      <c r="D750" s="4" t="s">
        <v>47</v>
      </c>
      <c r="E750" s="4" t="s">
        <v>48</v>
      </c>
      <c r="F750" s="4" t="s">
        <v>25</v>
      </c>
      <c r="G750" s="4" t="s">
        <v>25</v>
      </c>
      <c r="H750" s="4" t="s">
        <v>37</v>
      </c>
      <c r="I750" s="5">
        <v>44682</v>
      </c>
      <c r="J750" s="6">
        <v>0</v>
      </c>
      <c r="K750" s="6">
        <v>0</v>
      </c>
      <c r="L750" s="6">
        <v>1.2789999999999999</v>
      </c>
      <c r="M750" s="6">
        <v>1.2022599999999999</v>
      </c>
      <c r="N750" s="6">
        <v>1.2789999999999999</v>
      </c>
      <c r="O750" s="6">
        <v>1.2022599999999999</v>
      </c>
      <c r="P750" s="6">
        <v>0</v>
      </c>
      <c r="Q750" s="4" t="s">
        <v>26</v>
      </c>
      <c r="R750" s="4">
        <v>0</v>
      </c>
      <c r="S750" s="4" t="s">
        <v>220</v>
      </c>
      <c r="T750" s="4" t="s">
        <v>341</v>
      </c>
      <c r="U750" s="4">
        <v>0</v>
      </c>
      <c r="V750" s="4">
        <v>12</v>
      </c>
      <c r="W750" s="4">
        <v>66</v>
      </c>
    </row>
    <row r="751" spans="1:23" ht="11.25" customHeight="1" x14ac:dyDescent="0.25">
      <c r="A751" s="4" t="s">
        <v>21</v>
      </c>
      <c r="B751" s="4" t="s">
        <v>35</v>
      </c>
      <c r="C751" s="4" t="s">
        <v>39</v>
      </c>
      <c r="D751" s="4" t="s">
        <v>47</v>
      </c>
      <c r="E751" s="4" t="s">
        <v>48</v>
      </c>
      <c r="F751" s="4" t="s">
        <v>25</v>
      </c>
      <c r="G751" s="4" t="s">
        <v>25</v>
      </c>
      <c r="H751" s="4" t="s">
        <v>37</v>
      </c>
      <c r="I751" s="5">
        <v>44713</v>
      </c>
      <c r="J751" s="6">
        <v>0</v>
      </c>
      <c r="K751" s="6">
        <v>0</v>
      </c>
      <c r="L751" s="6">
        <v>1.8779999999999999</v>
      </c>
      <c r="M751" s="6">
        <v>1.7653199999999998</v>
      </c>
      <c r="N751" s="6">
        <v>1.8779999999999999</v>
      </c>
      <c r="O751" s="6">
        <v>1.7653199999999998</v>
      </c>
      <c r="P751" s="6">
        <v>0</v>
      </c>
      <c r="Q751" s="4" t="s">
        <v>26</v>
      </c>
      <c r="R751" s="4">
        <v>0</v>
      </c>
      <c r="S751" s="4" t="s">
        <v>221</v>
      </c>
      <c r="T751" s="4" t="s">
        <v>342</v>
      </c>
      <c r="U751" s="4">
        <v>0</v>
      </c>
      <c r="V751" s="4">
        <v>12</v>
      </c>
      <c r="W751" s="4">
        <v>66</v>
      </c>
    </row>
    <row r="752" spans="1:23" ht="11.25" customHeight="1" x14ac:dyDescent="0.25">
      <c r="A752" s="4" t="s">
        <v>21</v>
      </c>
      <c r="B752" s="4" t="s">
        <v>22</v>
      </c>
      <c r="C752" s="4" t="s">
        <v>23</v>
      </c>
      <c r="D752" s="4" t="s">
        <v>24</v>
      </c>
      <c r="E752" s="4" t="s">
        <v>24</v>
      </c>
      <c r="F752" s="4" t="s">
        <v>25</v>
      </c>
      <c r="G752" s="4" t="s">
        <v>25</v>
      </c>
      <c r="H752" s="4" t="s">
        <v>25</v>
      </c>
      <c r="I752" s="5">
        <v>44378</v>
      </c>
      <c r="J752" s="6">
        <v>0</v>
      </c>
      <c r="K752" s="6">
        <v>0</v>
      </c>
      <c r="L752" s="6">
        <v>1945.799</v>
      </c>
      <c r="M752" s="6">
        <v>1945.799</v>
      </c>
      <c r="N752" s="6">
        <v>1945.799</v>
      </c>
      <c r="O752" s="6">
        <v>1945.799</v>
      </c>
      <c r="P752" s="6">
        <v>11707</v>
      </c>
      <c r="Q752" s="4" t="s">
        <v>26</v>
      </c>
      <c r="R752" s="4">
        <v>0</v>
      </c>
      <c r="S752" s="4" t="s">
        <v>222</v>
      </c>
      <c r="T752" s="4" t="s">
        <v>347</v>
      </c>
      <c r="U752" s="4">
        <v>0</v>
      </c>
      <c r="V752" s="4">
        <v>11</v>
      </c>
      <c r="W752" s="4">
        <v>46</v>
      </c>
    </row>
    <row r="753" spans="1:23" ht="11.25" customHeight="1" x14ac:dyDescent="0.25">
      <c r="A753" s="4" t="s">
        <v>27</v>
      </c>
      <c r="B753" s="4" t="s">
        <v>22</v>
      </c>
      <c r="C753" s="4" t="s">
        <v>23</v>
      </c>
      <c r="D753" s="4" t="s">
        <v>24</v>
      </c>
      <c r="E753" s="4" t="s">
        <v>24</v>
      </c>
      <c r="F753" s="4" t="s">
        <v>25</v>
      </c>
      <c r="G753" s="4" t="s">
        <v>25</v>
      </c>
      <c r="H753" s="4" t="s">
        <v>25</v>
      </c>
      <c r="I753" s="5">
        <v>44378</v>
      </c>
      <c r="J753" s="6">
        <v>0</v>
      </c>
      <c r="K753" s="6">
        <v>0</v>
      </c>
      <c r="L753" s="6">
        <v>-20.111000000000001</v>
      </c>
      <c r="M753" s="6">
        <v>-20.111000000000001</v>
      </c>
      <c r="N753" s="6">
        <v>-20.111000000000001</v>
      </c>
      <c r="O753" s="6">
        <v>-20.111000000000001</v>
      </c>
      <c r="P753" s="6">
        <v>-22</v>
      </c>
      <c r="Q753" s="4" t="s">
        <v>26</v>
      </c>
      <c r="R753" s="4">
        <v>0</v>
      </c>
      <c r="S753" s="4" t="s">
        <v>222</v>
      </c>
      <c r="T753" s="4" t="s">
        <v>347</v>
      </c>
      <c r="U753" s="4">
        <v>0</v>
      </c>
      <c r="V753" s="4">
        <v>11</v>
      </c>
      <c r="W753" s="4">
        <v>46</v>
      </c>
    </row>
    <row r="754" spans="1:23" ht="11.25" customHeight="1" x14ac:dyDescent="0.25">
      <c r="A754" s="4" t="s">
        <v>28</v>
      </c>
      <c r="B754" s="4" t="s">
        <v>22</v>
      </c>
      <c r="C754" s="4" t="s">
        <v>23</v>
      </c>
      <c r="D754" s="4" t="s">
        <v>24</v>
      </c>
      <c r="E754" s="4" t="s">
        <v>24</v>
      </c>
      <c r="F754" s="4" t="s">
        <v>25</v>
      </c>
      <c r="G754" s="4" t="s">
        <v>25</v>
      </c>
      <c r="H754" s="4" t="s">
        <v>25</v>
      </c>
      <c r="I754" s="5">
        <v>44378</v>
      </c>
      <c r="J754" s="6">
        <v>0</v>
      </c>
      <c r="K754" s="6">
        <v>0</v>
      </c>
      <c r="L754" s="6">
        <v>40.484000000000002</v>
      </c>
      <c r="M754" s="6">
        <v>40.484000000000002</v>
      </c>
      <c r="N754" s="6">
        <v>40.484000000000002</v>
      </c>
      <c r="O754" s="6">
        <v>40.484000000000002</v>
      </c>
      <c r="P754" s="6">
        <v>219</v>
      </c>
      <c r="Q754" s="4" t="s">
        <v>26</v>
      </c>
      <c r="R754" s="4">
        <v>0</v>
      </c>
      <c r="S754" s="4" t="s">
        <v>222</v>
      </c>
      <c r="T754" s="4" t="s">
        <v>347</v>
      </c>
      <c r="U754" s="4">
        <v>0</v>
      </c>
      <c r="V754" s="4">
        <v>11</v>
      </c>
      <c r="W754" s="4">
        <v>46</v>
      </c>
    </row>
    <row r="755" spans="1:23" ht="11.25" customHeight="1" x14ac:dyDescent="0.25">
      <c r="A755" s="4" t="s">
        <v>28</v>
      </c>
      <c r="B755" s="4" t="s">
        <v>22</v>
      </c>
      <c r="C755" s="4" t="s">
        <v>23</v>
      </c>
      <c r="D755" s="4" t="s">
        <v>24</v>
      </c>
      <c r="E755" s="4" t="s">
        <v>24</v>
      </c>
      <c r="F755" s="4" t="s">
        <v>25</v>
      </c>
      <c r="G755" s="4" t="s">
        <v>25</v>
      </c>
      <c r="H755" s="4" t="s">
        <v>25</v>
      </c>
      <c r="I755" s="5">
        <v>44378</v>
      </c>
      <c r="J755" s="6">
        <v>0</v>
      </c>
      <c r="K755" s="6">
        <v>0</v>
      </c>
      <c r="L755" s="6">
        <v>-1.849</v>
      </c>
      <c r="M755" s="6">
        <v>-1.849</v>
      </c>
      <c r="N755" s="6">
        <v>-1.849</v>
      </c>
      <c r="O755" s="6">
        <v>-1.849</v>
      </c>
      <c r="P755" s="6">
        <v>-3</v>
      </c>
      <c r="Q755" s="4" t="s">
        <v>26</v>
      </c>
      <c r="R755" s="4">
        <v>0</v>
      </c>
      <c r="S755" s="4" t="s">
        <v>222</v>
      </c>
      <c r="T755" s="4" t="s">
        <v>347</v>
      </c>
      <c r="U755" s="4">
        <v>0</v>
      </c>
      <c r="V755" s="4">
        <v>11</v>
      </c>
      <c r="W755" s="4">
        <v>46</v>
      </c>
    </row>
    <row r="756" spans="1:23" ht="11.25" customHeight="1" x14ac:dyDescent="0.25">
      <c r="A756" s="4" t="s">
        <v>21</v>
      </c>
      <c r="B756" s="4" t="s">
        <v>22</v>
      </c>
      <c r="C756" s="4" t="s">
        <v>23</v>
      </c>
      <c r="D756" s="4" t="s">
        <v>24</v>
      </c>
      <c r="E756" s="4" t="s">
        <v>24</v>
      </c>
      <c r="F756" s="4" t="s">
        <v>25</v>
      </c>
      <c r="G756" s="4" t="s">
        <v>25</v>
      </c>
      <c r="H756" s="4" t="s">
        <v>25</v>
      </c>
      <c r="I756" s="5">
        <v>44409</v>
      </c>
      <c r="J756" s="6">
        <v>0</v>
      </c>
      <c r="K756" s="6">
        <v>0</v>
      </c>
      <c r="L756" s="6">
        <v>2008.0830000000001</v>
      </c>
      <c r="M756" s="6">
        <v>2008.0830000000001</v>
      </c>
      <c r="N756" s="6">
        <v>2008.0830000000001</v>
      </c>
      <c r="O756" s="6">
        <v>2008.0830000000001</v>
      </c>
      <c r="P756" s="6">
        <v>11759</v>
      </c>
      <c r="Q756" s="4" t="s">
        <v>26</v>
      </c>
      <c r="R756" s="4">
        <v>0</v>
      </c>
      <c r="S756" s="4" t="s">
        <v>223</v>
      </c>
      <c r="T756" s="4" t="s">
        <v>348</v>
      </c>
      <c r="U756" s="4">
        <v>0</v>
      </c>
      <c r="V756" s="4">
        <v>11</v>
      </c>
      <c r="W756" s="4">
        <v>46</v>
      </c>
    </row>
    <row r="757" spans="1:23" ht="11.25" customHeight="1" x14ac:dyDescent="0.25">
      <c r="A757" s="4" t="s">
        <v>27</v>
      </c>
      <c r="B757" s="4" t="s">
        <v>22</v>
      </c>
      <c r="C757" s="4" t="s">
        <v>23</v>
      </c>
      <c r="D757" s="4" t="s">
        <v>24</v>
      </c>
      <c r="E757" s="4" t="s">
        <v>24</v>
      </c>
      <c r="F757" s="4" t="s">
        <v>25</v>
      </c>
      <c r="G757" s="4" t="s">
        <v>25</v>
      </c>
      <c r="H757" s="4" t="s">
        <v>25</v>
      </c>
      <c r="I757" s="5">
        <v>44409</v>
      </c>
      <c r="J757" s="6">
        <v>0</v>
      </c>
      <c r="K757" s="6">
        <v>0</v>
      </c>
      <c r="L757" s="6">
        <v>-2.7269999999999999</v>
      </c>
      <c r="M757" s="6">
        <v>-2.7269999999999999</v>
      </c>
      <c r="N757" s="6">
        <v>-2.7269999999999999</v>
      </c>
      <c r="O757" s="6">
        <v>-2.7269999999999999</v>
      </c>
      <c r="P757" s="6">
        <v>-23</v>
      </c>
      <c r="Q757" s="4" t="s">
        <v>26</v>
      </c>
      <c r="R757" s="4">
        <v>0</v>
      </c>
      <c r="S757" s="4" t="s">
        <v>223</v>
      </c>
      <c r="T757" s="4" t="s">
        <v>348</v>
      </c>
      <c r="U757" s="4">
        <v>0</v>
      </c>
      <c r="V757" s="4">
        <v>11</v>
      </c>
      <c r="W757" s="4">
        <v>46</v>
      </c>
    </row>
    <row r="758" spans="1:23" ht="11.25" customHeight="1" x14ac:dyDescent="0.25">
      <c r="A758" s="4" t="s">
        <v>28</v>
      </c>
      <c r="B758" s="4" t="s">
        <v>22</v>
      </c>
      <c r="C758" s="4" t="s">
        <v>23</v>
      </c>
      <c r="D758" s="4" t="s">
        <v>24</v>
      </c>
      <c r="E758" s="4" t="s">
        <v>24</v>
      </c>
      <c r="F758" s="4" t="s">
        <v>25</v>
      </c>
      <c r="G758" s="4" t="s">
        <v>25</v>
      </c>
      <c r="H758" s="4" t="s">
        <v>25</v>
      </c>
      <c r="I758" s="5">
        <v>44409</v>
      </c>
      <c r="J758" s="6">
        <v>0</v>
      </c>
      <c r="K758" s="6">
        <v>0</v>
      </c>
      <c r="L758" s="6">
        <v>32.497</v>
      </c>
      <c r="M758" s="6">
        <v>32.497</v>
      </c>
      <c r="N758" s="6">
        <v>32.497</v>
      </c>
      <c r="O758" s="6">
        <v>32.497</v>
      </c>
      <c r="P758" s="6">
        <v>223</v>
      </c>
      <c r="Q758" s="4" t="s">
        <v>26</v>
      </c>
      <c r="R758" s="4">
        <v>0</v>
      </c>
      <c r="S758" s="4" t="s">
        <v>223</v>
      </c>
      <c r="T758" s="4" t="s">
        <v>348</v>
      </c>
      <c r="U758" s="4">
        <v>0</v>
      </c>
      <c r="V758" s="4">
        <v>11</v>
      </c>
      <c r="W758" s="4">
        <v>46</v>
      </c>
    </row>
    <row r="759" spans="1:23" ht="11.25" customHeight="1" x14ac:dyDescent="0.25">
      <c r="A759" s="4" t="s">
        <v>28</v>
      </c>
      <c r="B759" s="4" t="s">
        <v>22</v>
      </c>
      <c r="C759" s="4" t="s">
        <v>23</v>
      </c>
      <c r="D759" s="4" t="s">
        <v>24</v>
      </c>
      <c r="E759" s="4" t="s">
        <v>24</v>
      </c>
      <c r="F759" s="4" t="s">
        <v>25</v>
      </c>
      <c r="G759" s="4" t="s">
        <v>25</v>
      </c>
      <c r="H759" s="4" t="s">
        <v>25</v>
      </c>
      <c r="I759" s="5">
        <v>44409</v>
      </c>
      <c r="J759" s="6">
        <v>0</v>
      </c>
      <c r="K759" s="6">
        <v>0</v>
      </c>
      <c r="L759" s="6">
        <v>-0.54500000000000004</v>
      </c>
      <c r="M759" s="6">
        <v>-0.54500000000000004</v>
      </c>
      <c r="N759" s="6">
        <v>-0.54500000000000004</v>
      </c>
      <c r="O759" s="6">
        <v>-0.54500000000000004</v>
      </c>
      <c r="P759" s="6">
        <v>-1</v>
      </c>
      <c r="Q759" s="4" t="s">
        <v>26</v>
      </c>
      <c r="R759" s="4">
        <v>0</v>
      </c>
      <c r="S759" s="4" t="s">
        <v>223</v>
      </c>
      <c r="T759" s="4" t="s">
        <v>348</v>
      </c>
      <c r="U759" s="4">
        <v>0</v>
      </c>
      <c r="V759" s="4">
        <v>11</v>
      </c>
      <c r="W759" s="4">
        <v>46</v>
      </c>
    </row>
    <row r="760" spans="1:23" ht="11.25" customHeight="1" x14ac:dyDescent="0.25">
      <c r="A760" s="4" t="s">
        <v>21</v>
      </c>
      <c r="B760" s="4" t="s">
        <v>22</v>
      </c>
      <c r="C760" s="4" t="s">
        <v>23</v>
      </c>
      <c r="D760" s="4" t="s">
        <v>24</v>
      </c>
      <c r="E760" s="4" t="s">
        <v>24</v>
      </c>
      <c r="F760" s="4" t="s">
        <v>25</v>
      </c>
      <c r="G760" s="4" t="s">
        <v>25</v>
      </c>
      <c r="H760" s="4" t="s">
        <v>25</v>
      </c>
      <c r="I760" s="5">
        <v>44440</v>
      </c>
      <c r="J760" s="6">
        <v>0</v>
      </c>
      <c r="K760" s="6">
        <v>0</v>
      </c>
      <c r="L760" s="6">
        <v>1948.9069999999999</v>
      </c>
      <c r="M760" s="6">
        <v>1948.9069999999999</v>
      </c>
      <c r="N760" s="6">
        <v>1948.9069999999999</v>
      </c>
      <c r="O760" s="6">
        <v>1948.9069999999999</v>
      </c>
      <c r="P760" s="6">
        <v>11789</v>
      </c>
      <c r="Q760" s="4" t="s">
        <v>26</v>
      </c>
      <c r="R760" s="4">
        <v>0</v>
      </c>
      <c r="S760" s="4" t="s">
        <v>224</v>
      </c>
      <c r="T760" s="4" t="s">
        <v>349</v>
      </c>
      <c r="U760" s="4">
        <v>0</v>
      </c>
      <c r="V760" s="4">
        <v>11</v>
      </c>
      <c r="W760" s="4">
        <v>46</v>
      </c>
    </row>
    <row r="761" spans="1:23" ht="11.25" customHeight="1" x14ac:dyDescent="0.25">
      <c r="A761" s="4" t="s">
        <v>27</v>
      </c>
      <c r="B761" s="4" t="s">
        <v>22</v>
      </c>
      <c r="C761" s="4" t="s">
        <v>23</v>
      </c>
      <c r="D761" s="4" t="s">
        <v>24</v>
      </c>
      <c r="E761" s="4" t="s">
        <v>24</v>
      </c>
      <c r="F761" s="4" t="s">
        <v>25</v>
      </c>
      <c r="G761" s="4" t="s">
        <v>25</v>
      </c>
      <c r="H761" s="4" t="s">
        <v>25</v>
      </c>
      <c r="I761" s="5">
        <v>44440</v>
      </c>
      <c r="J761" s="6">
        <v>0</v>
      </c>
      <c r="K761" s="6">
        <v>0</v>
      </c>
      <c r="L761" s="6">
        <v>-3.3140000000000001</v>
      </c>
      <c r="M761" s="6">
        <v>-3.3140000000000001</v>
      </c>
      <c r="N761" s="6">
        <v>-3.3140000000000001</v>
      </c>
      <c r="O761" s="6">
        <v>-3.3140000000000001</v>
      </c>
      <c r="P761" s="6">
        <v>-16</v>
      </c>
      <c r="Q761" s="4" t="s">
        <v>26</v>
      </c>
      <c r="R761" s="4">
        <v>0</v>
      </c>
      <c r="S761" s="4" t="s">
        <v>224</v>
      </c>
      <c r="T761" s="4" t="s">
        <v>349</v>
      </c>
      <c r="U761" s="4">
        <v>0</v>
      </c>
      <c r="V761" s="4">
        <v>11</v>
      </c>
      <c r="W761" s="4">
        <v>46</v>
      </c>
    </row>
    <row r="762" spans="1:23" ht="11.25" customHeight="1" x14ac:dyDescent="0.25">
      <c r="A762" s="4" t="s">
        <v>28</v>
      </c>
      <c r="B762" s="4" t="s">
        <v>22</v>
      </c>
      <c r="C762" s="4" t="s">
        <v>23</v>
      </c>
      <c r="D762" s="4" t="s">
        <v>24</v>
      </c>
      <c r="E762" s="4" t="s">
        <v>24</v>
      </c>
      <c r="F762" s="4" t="s">
        <v>25</v>
      </c>
      <c r="G762" s="4" t="s">
        <v>25</v>
      </c>
      <c r="H762" s="4" t="s">
        <v>25</v>
      </c>
      <c r="I762" s="5">
        <v>44440</v>
      </c>
      <c r="J762" s="6">
        <v>0</v>
      </c>
      <c r="K762" s="6">
        <v>0</v>
      </c>
      <c r="L762" s="6">
        <v>27.757999999999999</v>
      </c>
      <c r="M762" s="6">
        <v>27.757999999999999</v>
      </c>
      <c r="N762" s="6">
        <v>27.757999999999999</v>
      </c>
      <c r="O762" s="6">
        <v>27.757999999999999</v>
      </c>
      <c r="P762" s="6">
        <v>239</v>
      </c>
      <c r="Q762" s="4" t="s">
        <v>26</v>
      </c>
      <c r="R762" s="4">
        <v>0</v>
      </c>
      <c r="S762" s="4" t="s">
        <v>224</v>
      </c>
      <c r="T762" s="4" t="s">
        <v>349</v>
      </c>
      <c r="U762" s="4">
        <v>0</v>
      </c>
      <c r="V762" s="4">
        <v>11</v>
      </c>
      <c r="W762" s="4">
        <v>46</v>
      </c>
    </row>
    <row r="763" spans="1:23" ht="11.25" customHeight="1" x14ac:dyDescent="0.25">
      <c r="A763" s="4" t="s">
        <v>28</v>
      </c>
      <c r="B763" s="4" t="s">
        <v>22</v>
      </c>
      <c r="C763" s="4" t="s">
        <v>23</v>
      </c>
      <c r="D763" s="4" t="s">
        <v>24</v>
      </c>
      <c r="E763" s="4" t="s">
        <v>24</v>
      </c>
      <c r="F763" s="4" t="s">
        <v>25</v>
      </c>
      <c r="G763" s="4" t="s">
        <v>25</v>
      </c>
      <c r="H763" s="4" t="s">
        <v>25</v>
      </c>
      <c r="I763" s="5">
        <v>44440</v>
      </c>
      <c r="J763" s="6">
        <v>0</v>
      </c>
      <c r="K763" s="6">
        <v>0</v>
      </c>
      <c r="L763" s="6">
        <v>-6.7779999999999996</v>
      </c>
      <c r="M763" s="6">
        <v>-6.7779999999999996</v>
      </c>
      <c r="N763" s="6">
        <v>-6.7779999999999996</v>
      </c>
      <c r="O763" s="6">
        <v>-6.7779999999999996</v>
      </c>
      <c r="P763" s="6">
        <v>0</v>
      </c>
      <c r="Q763" s="4" t="s">
        <v>26</v>
      </c>
      <c r="R763" s="4">
        <v>0</v>
      </c>
      <c r="S763" s="4" t="s">
        <v>224</v>
      </c>
      <c r="T763" s="4" t="s">
        <v>349</v>
      </c>
      <c r="U763" s="4">
        <v>0</v>
      </c>
      <c r="V763" s="4">
        <v>11</v>
      </c>
      <c r="W763" s="4">
        <v>46</v>
      </c>
    </row>
    <row r="764" spans="1:23" ht="11.25" customHeight="1" x14ac:dyDescent="0.25">
      <c r="A764" s="4" t="s">
        <v>21</v>
      </c>
      <c r="B764" s="4" t="s">
        <v>22</v>
      </c>
      <c r="C764" s="4" t="s">
        <v>23</v>
      </c>
      <c r="D764" s="4" t="s">
        <v>24</v>
      </c>
      <c r="E764" s="4" t="s">
        <v>24</v>
      </c>
      <c r="F764" s="4" t="s">
        <v>25</v>
      </c>
      <c r="G764" s="4" t="s">
        <v>25</v>
      </c>
      <c r="H764" s="4" t="s">
        <v>25</v>
      </c>
      <c r="I764" s="5">
        <v>44470</v>
      </c>
      <c r="J764" s="6">
        <v>0</v>
      </c>
      <c r="K764" s="6">
        <v>0</v>
      </c>
      <c r="L764" s="6">
        <v>1869.463</v>
      </c>
      <c r="M764" s="6">
        <v>1869.463</v>
      </c>
      <c r="N764" s="6">
        <v>1869.463</v>
      </c>
      <c r="O764" s="6">
        <v>1869.463</v>
      </c>
      <c r="P764" s="6">
        <v>11866</v>
      </c>
      <c r="Q764" s="4" t="s">
        <v>26</v>
      </c>
      <c r="R764" s="4">
        <v>0</v>
      </c>
      <c r="S764" s="4" t="s">
        <v>225</v>
      </c>
      <c r="T764" s="4" t="s">
        <v>350</v>
      </c>
      <c r="U764" s="4">
        <v>0</v>
      </c>
      <c r="V764" s="4">
        <v>11</v>
      </c>
      <c r="W764" s="4">
        <v>46</v>
      </c>
    </row>
    <row r="765" spans="1:23" ht="11.25" customHeight="1" x14ac:dyDescent="0.25">
      <c r="A765" s="4" t="s">
        <v>27</v>
      </c>
      <c r="B765" s="4" t="s">
        <v>22</v>
      </c>
      <c r="C765" s="4" t="s">
        <v>23</v>
      </c>
      <c r="D765" s="4" t="s">
        <v>24</v>
      </c>
      <c r="E765" s="4" t="s">
        <v>24</v>
      </c>
      <c r="F765" s="4" t="s">
        <v>25</v>
      </c>
      <c r="G765" s="4" t="s">
        <v>25</v>
      </c>
      <c r="H765" s="4" t="s">
        <v>25</v>
      </c>
      <c r="I765" s="5">
        <v>44470</v>
      </c>
      <c r="J765" s="6">
        <v>0</v>
      </c>
      <c r="K765" s="6">
        <v>0</v>
      </c>
      <c r="L765" s="6">
        <v>-5.8220000000000001</v>
      </c>
      <c r="M765" s="6">
        <v>-5.8220000000000001</v>
      </c>
      <c r="N765" s="6">
        <v>-5.8220000000000001</v>
      </c>
      <c r="O765" s="6">
        <v>-5.8220000000000001</v>
      </c>
      <c r="P765" s="6">
        <v>-24</v>
      </c>
      <c r="Q765" s="4" t="s">
        <v>26</v>
      </c>
      <c r="R765" s="4">
        <v>0</v>
      </c>
      <c r="S765" s="4" t="s">
        <v>225</v>
      </c>
      <c r="T765" s="4" t="s">
        <v>350</v>
      </c>
      <c r="U765" s="4">
        <v>0</v>
      </c>
      <c r="V765" s="4">
        <v>11</v>
      </c>
      <c r="W765" s="4">
        <v>46</v>
      </c>
    </row>
    <row r="766" spans="1:23" ht="11.25" customHeight="1" x14ac:dyDescent="0.25">
      <c r="A766" s="4" t="s">
        <v>28</v>
      </c>
      <c r="B766" s="4" t="s">
        <v>22</v>
      </c>
      <c r="C766" s="4" t="s">
        <v>23</v>
      </c>
      <c r="D766" s="4" t="s">
        <v>24</v>
      </c>
      <c r="E766" s="4" t="s">
        <v>24</v>
      </c>
      <c r="F766" s="4" t="s">
        <v>25</v>
      </c>
      <c r="G766" s="4" t="s">
        <v>25</v>
      </c>
      <c r="H766" s="4" t="s">
        <v>25</v>
      </c>
      <c r="I766" s="5">
        <v>44470</v>
      </c>
      <c r="J766" s="6">
        <v>0</v>
      </c>
      <c r="K766" s="6">
        <v>0</v>
      </c>
      <c r="L766" s="6">
        <v>26.66</v>
      </c>
      <c r="M766" s="6">
        <v>26.66</v>
      </c>
      <c r="N766" s="6">
        <v>26.66</v>
      </c>
      <c r="O766" s="6">
        <v>26.66</v>
      </c>
      <c r="P766" s="6">
        <v>253</v>
      </c>
      <c r="Q766" s="4" t="s">
        <v>26</v>
      </c>
      <c r="R766" s="4">
        <v>0</v>
      </c>
      <c r="S766" s="4" t="s">
        <v>225</v>
      </c>
      <c r="T766" s="4" t="s">
        <v>350</v>
      </c>
      <c r="U766" s="4">
        <v>0</v>
      </c>
      <c r="V766" s="4">
        <v>11</v>
      </c>
      <c r="W766" s="4">
        <v>46</v>
      </c>
    </row>
    <row r="767" spans="1:23" ht="11.25" customHeight="1" x14ac:dyDescent="0.25">
      <c r="A767" s="4" t="s">
        <v>28</v>
      </c>
      <c r="B767" s="4" t="s">
        <v>22</v>
      </c>
      <c r="C767" s="4" t="s">
        <v>23</v>
      </c>
      <c r="D767" s="4" t="s">
        <v>24</v>
      </c>
      <c r="E767" s="4" t="s">
        <v>24</v>
      </c>
      <c r="F767" s="4" t="s">
        <v>25</v>
      </c>
      <c r="G767" s="4" t="s">
        <v>25</v>
      </c>
      <c r="H767" s="4" t="s">
        <v>25</v>
      </c>
      <c r="I767" s="5">
        <v>44470</v>
      </c>
      <c r="J767" s="6">
        <v>0</v>
      </c>
      <c r="K767" s="6">
        <v>0</v>
      </c>
      <c r="L767" s="6">
        <v>-1.484</v>
      </c>
      <c r="M767" s="6">
        <v>-1.484</v>
      </c>
      <c r="N767" s="6">
        <v>-1.484</v>
      </c>
      <c r="O767" s="6">
        <v>-1.484</v>
      </c>
      <c r="P767" s="6">
        <v>-1</v>
      </c>
      <c r="Q767" s="4" t="s">
        <v>26</v>
      </c>
      <c r="R767" s="4">
        <v>0</v>
      </c>
      <c r="S767" s="4" t="s">
        <v>225</v>
      </c>
      <c r="T767" s="4" t="s">
        <v>350</v>
      </c>
      <c r="U767" s="4">
        <v>0</v>
      </c>
      <c r="V767" s="4">
        <v>11</v>
      </c>
      <c r="W767" s="4">
        <v>46</v>
      </c>
    </row>
    <row r="768" spans="1:23" ht="11.25" customHeight="1" x14ac:dyDescent="0.25">
      <c r="A768" s="4" t="s">
        <v>21</v>
      </c>
      <c r="B768" s="4" t="s">
        <v>22</v>
      </c>
      <c r="C768" s="4" t="s">
        <v>23</v>
      </c>
      <c r="D768" s="4" t="s">
        <v>24</v>
      </c>
      <c r="E768" s="4" t="s">
        <v>24</v>
      </c>
      <c r="F768" s="4" t="s">
        <v>25</v>
      </c>
      <c r="G768" s="4" t="s">
        <v>25</v>
      </c>
      <c r="H768" s="4" t="s">
        <v>25</v>
      </c>
      <c r="I768" s="5">
        <v>44501</v>
      </c>
      <c r="J768" s="6">
        <v>0</v>
      </c>
      <c r="K768" s="6">
        <v>0</v>
      </c>
      <c r="L768" s="6">
        <v>2025.742</v>
      </c>
      <c r="M768" s="6">
        <v>2025.742</v>
      </c>
      <c r="N768" s="6">
        <v>2025.742</v>
      </c>
      <c r="O768" s="6">
        <v>2025.742</v>
      </c>
      <c r="P768" s="6">
        <v>11922</v>
      </c>
      <c r="Q768" s="4" t="s">
        <v>26</v>
      </c>
      <c r="R768" s="4">
        <v>0</v>
      </c>
      <c r="S768" s="4" t="s">
        <v>226</v>
      </c>
      <c r="T768" s="4" t="s">
        <v>351</v>
      </c>
      <c r="U768" s="4">
        <v>0</v>
      </c>
      <c r="V768" s="4">
        <v>11</v>
      </c>
      <c r="W768" s="4">
        <v>46</v>
      </c>
    </row>
    <row r="769" spans="1:23" ht="11.25" customHeight="1" x14ac:dyDescent="0.25">
      <c r="A769" s="4" t="s">
        <v>27</v>
      </c>
      <c r="B769" s="4" t="s">
        <v>22</v>
      </c>
      <c r="C769" s="4" t="s">
        <v>23</v>
      </c>
      <c r="D769" s="4" t="s">
        <v>24</v>
      </c>
      <c r="E769" s="4" t="s">
        <v>24</v>
      </c>
      <c r="F769" s="4" t="s">
        <v>25</v>
      </c>
      <c r="G769" s="4" t="s">
        <v>25</v>
      </c>
      <c r="H769" s="4" t="s">
        <v>25</v>
      </c>
      <c r="I769" s="5">
        <v>44501</v>
      </c>
      <c r="J769" s="6">
        <v>0</v>
      </c>
      <c r="K769" s="6">
        <v>0</v>
      </c>
      <c r="L769" s="6">
        <v>-6.27</v>
      </c>
      <c r="M769" s="6">
        <v>-6.27</v>
      </c>
      <c r="N769" s="6">
        <v>-6.27</v>
      </c>
      <c r="O769" s="6">
        <v>-6.27</v>
      </c>
      <c r="P769" s="6">
        <v>-29</v>
      </c>
      <c r="Q769" s="4" t="s">
        <v>26</v>
      </c>
      <c r="R769" s="4">
        <v>0</v>
      </c>
      <c r="S769" s="4" t="s">
        <v>226</v>
      </c>
      <c r="T769" s="4" t="s">
        <v>351</v>
      </c>
      <c r="U769" s="4">
        <v>0</v>
      </c>
      <c r="V769" s="4">
        <v>11</v>
      </c>
      <c r="W769" s="4">
        <v>46</v>
      </c>
    </row>
    <row r="770" spans="1:23" ht="11.25" customHeight="1" x14ac:dyDescent="0.25">
      <c r="A770" s="4" t="s">
        <v>28</v>
      </c>
      <c r="B770" s="4" t="s">
        <v>22</v>
      </c>
      <c r="C770" s="4" t="s">
        <v>23</v>
      </c>
      <c r="D770" s="4" t="s">
        <v>24</v>
      </c>
      <c r="E770" s="4" t="s">
        <v>24</v>
      </c>
      <c r="F770" s="4" t="s">
        <v>25</v>
      </c>
      <c r="G770" s="4" t="s">
        <v>25</v>
      </c>
      <c r="H770" s="4" t="s">
        <v>25</v>
      </c>
      <c r="I770" s="5">
        <v>44501</v>
      </c>
      <c r="J770" s="6">
        <v>0</v>
      </c>
      <c r="K770" s="6">
        <v>0</v>
      </c>
      <c r="L770" s="6">
        <v>21.283000000000001</v>
      </c>
      <c r="M770" s="6">
        <v>21.283000000000001</v>
      </c>
      <c r="N770" s="6">
        <v>21.283000000000001</v>
      </c>
      <c r="O770" s="6">
        <v>21.283000000000001</v>
      </c>
      <c r="P770" s="6">
        <v>265</v>
      </c>
      <c r="Q770" s="4" t="s">
        <v>26</v>
      </c>
      <c r="R770" s="4">
        <v>0</v>
      </c>
      <c r="S770" s="4" t="s">
        <v>226</v>
      </c>
      <c r="T770" s="4" t="s">
        <v>351</v>
      </c>
      <c r="U770" s="4">
        <v>0</v>
      </c>
      <c r="V770" s="4">
        <v>11</v>
      </c>
      <c r="W770" s="4">
        <v>46</v>
      </c>
    </row>
    <row r="771" spans="1:23" ht="11.25" customHeight="1" x14ac:dyDescent="0.25">
      <c r="A771" s="4" t="s">
        <v>21</v>
      </c>
      <c r="B771" s="4" t="s">
        <v>22</v>
      </c>
      <c r="C771" s="4" t="s">
        <v>23</v>
      </c>
      <c r="D771" s="4" t="s">
        <v>24</v>
      </c>
      <c r="E771" s="4" t="s">
        <v>24</v>
      </c>
      <c r="F771" s="4" t="s">
        <v>25</v>
      </c>
      <c r="G771" s="4" t="s">
        <v>25</v>
      </c>
      <c r="H771" s="4" t="s">
        <v>25</v>
      </c>
      <c r="I771" s="5">
        <v>44531</v>
      </c>
      <c r="J771" s="6">
        <v>0</v>
      </c>
      <c r="K771" s="6">
        <v>0</v>
      </c>
      <c r="L771" s="6">
        <v>1872.143</v>
      </c>
      <c r="M771" s="6">
        <v>1872.143</v>
      </c>
      <c r="N771" s="6">
        <v>1872.143</v>
      </c>
      <c r="O771" s="6">
        <v>1872.143</v>
      </c>
      <c r="P771" s="6">
        <v>11970</v>
      </c>
      <c r="Q771" s="4" t="s">
        <v>26</v>
      </c>
      <c r="R771" s="4">
        <v>0</v>
      </c>
      <c r="S771" s="4" t="s">
        <v>227</v>
      </c>
      <c r="T771" s="4" t="s">
        <v>352</v>
      </c>
      <c r="U771" s="4">
        <v>0</v>
      </c>
      <c r="V771" s="4">
        <v>11</v>
      </c>
      <c r="W771" s="4">
        <v>46</v>
      </c>
    </row>
    <row r="772" spans="1:23" ht="11.25" customHeight="1" x14ac:dyDescent="0.25">
      <c r="A772" s="4" t="s">
        <v>27</v>
      </c>
      <c r="B772" s="4" t="s">
        <v>22</v>
      </c>
      <c r="C772" s="4" t="s">
        <v>23</v>
      </c>
      <c r="D772" s="4" t="s">
        <v>24</v>
      </c>
      <c r="E772" s="4" t="s">
        <v>24</v>
      </c>
      <c r="F772" s="4" t="s">
        <v>25</v>
      </c>
      <c r="G772" s="4" t="s">
        <v>25</v>
      </c>
      <c r="H772" s="4" t="s">
        <v>25</v>
      </c>
      <c r="I772" s="5">
        <v>44531</v>
      </c>
      <c r="J772" s="6">
        <v>0</v>
      </c>
      <c r="K772" s="6">
        <v>0</v>
      </c>
      <c r="L772" s="6">
        <v>-11.680999999999999</v>
      </c>
      <c r="M772" s="6">
        <v>-11.680999999999999</v>
      </c>
      <c r="N772" s="6">
        <v>-11.680999999999999</v>
      </c>
      <c r="O772" s="6">
        <v>-11.680999999999999</v>
      </c>
      <c r="P772" s="6">
        <v>-30</v>
      </c>
      <c r="Q772" s="4" t="s">
        <v>26</v>
      </c>
      <c r="R772" s="4">
        <v>0</v>
      </c>
      <c r="S772" s="4" t="s">
        <v>227</v>
      </c>
      <c r="T772" s="4" t="s">
        <v>352</v>
      </c>
      <c r="U772" s="4">
        <v>0</v>
      </c>
      <c r="V772" s="4">
        <v>11</v>
      </c>
      <c r="W772" s="4">
        <v>46</v>
      </c>
    </row>
    <row r="773" spans="1:23" ht="11.25" customHeight="1" x14ac:dyDescent="0.25">
      <c r="A773" s="4" t="s">
        <v>21</v>
      </c>
      <c r="B773" s="4" t="s">
        <v>22</v>
      </c>
      <c r="C773" s="4" t="s">
        <v>23</v>
      </c>
      <c r="D773" s="4" t="s">
        <v>24</v>
      </c>
      <c r="E773" s="4" t="s">
        <v>24</v>
      </c>
      <c r="F773" s="4" t="s">
        <v>25</v>
      </c>
      <c r="G773" s="4" t="s">
        <v>25</v>
      </c>
      <c r="H773" s="4" t="s">
        <v>25</v>
      </c>
      <c r="I773" s="5">
        <v>44562</v>
      </c>
      <c r="J773" s="6">
        <v>0</v>
      </c>
      <c r="K773" s="6">
        <v>0</v>
      </c>
      <c r="L773" s="6">
        <v>2508.9960000000001</v>
      </c>
      <c r="M773" s="6">
        <v>2508.9960000000001</v>
      </c>
      <c r="N773" s="6">
        <v>2508.9960000000001</v>
      </c>
      <c r="O773" s="6">
        <v>2508.9960000000001</v>
      </c>
      <c r="P773" s="6">
        <v>11964</v>
      </c>
      <c r="Q773" s="4" t="s">
        <v>26</v>
      </c>
      <c r="R773" s="4">
        <v>0</v>
      </c>
      <c r="S773" s="4" t="s">
        <v>228</v>
      </c>
      <c r="T773" s="4" t="s">
        <v>353</v>
      </c>
      <c r="U773" s="4">
        <v>0</v>
      </c>
      <c r="V773" s="4">
        <v>11</v>
      </c>
      <c r="W773" s="4">
        <v>46</v>
      </c>
    </row>
    <row r="774" spans="1:23" ht="11.25" customHeight="1" x14ac:dyDescent="0.25">
      <c r="A774" s="4" t="s">
        <v>27</v>
      </c>
      <c r="B774" s="4" t="s">
        <v>22</v>
      </c>
      <c r="C774" s="4" t="s">
        <v>23</v>
      </c>
      <c r="D774" s="4" t="s">
        <v>24</v>
      </c>
      <c r="E774" s="4" t="s">
        <v>24</v>
      </c>
      <c r="F774" s="4" t="s">
        <v>25</v>
      </c>
      <c r="G774" s="4" t="s">
        <v>25</v>
      </c>
      <c r="H774" s="4" t="s">
        <v>25</v>
      </c>
      <c r="I774" s="5">
        <v>44562</v>
      </c>
      <c r="J774" s="6">
        <v>0</v>
      </c>
      <c r="K774" s="6">
        <v>0</v>
      </c>
      <c r="L774" s="6">
        <v>-6.5570000000000004</v>
      </c>
      <c r="M774" s="6">
        <v>-6.5570000000000004</v>
      </c>
      <c r="N774" s="6">
        <v>-6.5570000000000004</v>
      </c>
      <c r="O774" s="6">
        <v>-6.5570000000000004</v>
      </c>
      <c r="P774" s="6">
        <v>-19</v>
      </c>
      <c r="Q774" s="4" t="s">
        <v>26</v>
      </c>
      <c r="R774" s="4">
        <v>0</v>
      </c>
      <c r="S774" s="4" t="s">
        <v>228</v>
      </c>
      <c r="T774" s="4" t="s">
        <v>353</v>
      </c>
      <c r="U774" s="4">
        <v>0</v>
      </c>
      <c r="V774" s="4">
        <v>11</v>
      </c>
      <c r="W774" s="4">
        <v>46</v>
      </c>
    </row>
    <row r="775" spans="1:23" ht="11.25" customHeight="1" x14ac:dyDescent="0.25">
      <c r="A775" s="4" t="s">
        <v>28</v>
      </c>
      <c r="B775" s="4" t="s">
        <v>22</v>
      </c>
      <c r="C775" s="4" t="s">
        <v>23</v>
      </c>
      <c r="D775" s="4" t="s">
        <v>24</v>
      </c>
      <c r="E775" s="4" t="s">
        <v>24</v>
      </c>
      <c r="F775" s="4" t="s">
        <v>25</v>
      </c>
      <c r="G775" s="4" t="s">
        <v>25</v>
      </c>
      <c r="H775" s="4" t="s">
        <v>25</v>
      </c>
      <c r="I775" s="5">
        <v>44562</v>
      </c>
      <c r="J775" s="6">
        <v>0</v>
      </c>
      <c r="K775" s="6">
        <v>0</v>
      </c>
      <c r="L775" s="6">
        <v>39.972999999999999</v>
      </c>
      <c r="M775" s="6">
        <v>39.972999999999999</v>
      </c>
      <c r="N775" s="6">
        <v>39.972999999999999</v>
      </c>
      <c r="O775" s="6">
        <v>39.972999999999999</v>
      </c>
      <c r="P775" s="6">
        <v>313</v>
      </c>
      <c r="Q775" s="4" t="s">
        <v>26</v>
      </c>
      <c r="R775" s="4">
        <v>0</v>
      </c>
      <c r="S775" s="4" t="s">
        <v>228</v>
      </c>
      <c r="T775" s="4" t="s">
        <v>353</v>
      </c>
      <c r="U775" s="4">
        <v>0</v>
      </c>
      <c r="V775" s="4">
        <v>11</v>
      </c>
      <c r="W775" s="4">
        <v>46</v>
      </c>
    </row>
    <row r="776" spans="1:23" ht="11.25" customHeight="1" x14ac:dyDescent="0.25">
      <c r="A776" s="4" t="s">
        <v>28</v>
      </c>
      <c r="B776" s="4" t="s">
        <v>22</v>
      </c>
      <c r="C776" s="4" t="s">
        <v>23</v>
      </c>
      <c r="D776" s="4" t="s">
        <v>24</v>
      </c>
      <c r="E776" s="4" t="s">
        <v>24</v>
      </c>
      <c r="F776" s="4" t="s">
        <v>25</v>
      </c>
      <c r="G776" s="4" t="s">
        <v>25</v>
      </c>
      <c r="H776" s="4" t="s">
        <v>25</v>
      </c>
      <c r="I776" s="5">
        <v>44562</v>
      </c>
      <c r="J776" s="6">
        <v>0</v>
      </c>
      <c r="K776" s="6">
        <v>0</v>
      </c>
      <c r="L776" s="6">
        <v>-3.0430000000000001</v>
      </c>
      <c r="M776" s="6">
        <v>-3.0430000000000001</v>
      </c>
      <c r="N776" s="6">
        <v>-3.0430000000000001</v>
      </c>
      <c r="O776" s="6">
        <v>-3.0430000000000001</v>
      </c>
      <c r="P776" s="6">
        <v>-1</v>
      </c>
      <c r="Q776" s="4" t="s">
        <v>26</v>
      </c>
      <c r="R776" s="4">
        <v>0</v>
      </c>
      <c r="S776" s="4" t="s">
        <v>228</v>
      </c>
      <c r="T776" s="4" t="s">
        <v>353</v>
      </c>
      <c r="U776" s="4">
        <v>0</v>
      </c>
      <c r="V776" s="4">
        <v>11</v>
      </c>
      <c r="W776" s="4">
        <v>46</v>
      </c>
    </row>
    <row r="777" spans="1:23" ht="11.25" customHeight="1" x14ac:dyDescent="0.25">
      <c r="A777" s="4" t="s">
        <v>21</v>
      </c>
      <c r="B777" s="4" t="s">
        <v>22</v>
      </c>
      <c r="C777" s="4" t="s">
        <v>23</v>
      </c>
      <c r="D777" s="4" t="s">
        <v>24</v>
      </c>
      <c r="E777" s="4" t="s">
        <v>24</v>
      </c>
      <c r="F777" s="4" t="s">
        <v>25</v>
      </c>
      <c r="G777" s="4" t="s">
        <v>25</v>
      </c>
      <c r="H777" s="4" t="s">
        <v>25</v>
      </c>
      <c r="I777" s="5">
        <v>44593</v>
      </c>
      <c r="J777" s="6">
        <v>0</v>
      </c>
      <c r="K777" s="6">
        <v>0</v>
      </c>
      <c r="L777" s="6">
        <v>2423.3310000000001</v>
      </c>
      <c r="M777" s="6">
        <v>2423.3310000000001</v>
      </c>
      <c r="N777" s="6">
        <v>2423.3310000000001</v>
      </c>
      <c r="O777" s="6">
        <v>2423.3310000000001</v>
      </c>
      <c r="P777" s="6">
        <v>11813</v>
      </c>
      <c r="Q777" s="4" t="s">
        <v>26</v>
      </c>
      <c r="R777" s="4">
        <v>0</v>
      </c>
      <c r="S777" s="4" t="s">
        <v>229</v>
      </c>
      <c r="T777" s="4" t="s">
        <v>354</v>
      </c>
      <c r="U777" s="4">
        <v>0</v>
      </c>
      <c r="V777" s="4">
        <v>11</v>
      </c>
      <c r="W777" s="4">
        <v>46</v>
      </c>
    </row>
    <row r="778" spans="1:23" ht="11.25" customHeight="1" x14ac:dyDescent="0.25">
      <c r="A778" s="4" t="s">
        <v>27</v>
      </c>
      <c r="B778" s="4" t="s">
        <v>22</v>
      </c>
      <c r="C778" s="4" t="s">
        <v>23</v>
      </c>
      <c r="D778" s="4" t="s">
        <v>24</v>
      </c>
      <c r="E778" s="4" t="s">
        <v>24</v>
      </c>
      <c r="F778" s="4" t="s">
        <v>25</v>
      </c>
      <c r="G778" s="4" t="s">
        <v>25</v>
      </c>
      <c r="H778" s="4" t="s">
        <v>25</v>
      </c>
      <c r="I778" s="5">
        <v>44593</v>
      </c>
      <c r="J778" s="6">
        <v>0</v>
      </c>
      <c r="K778" s="6">
        <v>0</v>
      </c>
      <c r="L778" s="6">
        <v>-1.8859999999999999</v>
      </c>
      <c r="M778" s="6">
        <v>-1.8859999999999999</v>
      </c>
      <c r="N778" s="6">
        <v>-1.8859999999999999</v>
      </c>
      <c r="O778" s="6">
        <v>-1.8859999999999999</v>
      </c>
      <c r="P778" s="6">
        <v>-18</v>
      </c>
      <c r="Q778" s="4" t="s">
        <v>26</v>
      </c>
      <c r="R778" s="4">
        <v>0</v>
      </c>
      <c r="S778" s="4" t="s">
        <v>229</v>
      </c>
      <c r="T778" s="4" t="s">
        <v>354</v>
      </c>
      <c r="U778" s="4">
        <v>0</v>
      </c>
      <c r="V778" s="4">
        <v>11</v>
      </c>
      <c r="W778" s="4">
        <v>46</v>
      </c>
    </row>
    <row r="779" spans="1:23" ht="11.25" customHeight="1" x14ac:dyDescent="0.25">
      <c r="A779" s="4" t="s">
        <v>28</v>
      </c>
      <c r="B779" s="4" t="s">
        <v>22</v>
      </c>
      <c r="C779" s="4" t="s">
        <v>23</v>
      </c>
      <c r="D779" s="4" t="s">
        <v>24</v>
      </c>
      <c r="E779" s="4" t="s">
        <v>24</v>
      </c>
      <c r="F779" s="4" t="s">
        <v>25</v>
      </c>
      <c r="G779" s="4" t="s">
        <v>25</v>
      </c>
      <c r="H779" s="4" t="s">
        <v>25</v>
      </c>
      <c r="I779" s="5">
        <v>44593</v>
      </c>
      <c r="J779" s="6">
        <v>0</v>
      </c>
      <c r="K779" s="6">
        <v>0</v>
      </c>
      <c r="L779" s="6">
        <v>47.473999999999997</v>
      </c>
      <c r="M779" s="6">
        <v>47.473999999999997</v>
      </c>
      <c r="N779" s="6">
        <v>47.473999999999997</v>
      </c>
      <c r="O779" s="6">
        <v>47.473999999999997</v>
      </c>
      <c r="P779" s="6">
        <v>330</v>
      </c>
      <c r="Q779" s="4" t="s">
        <v>26</v>
      </c>
      <c r="R779" s="4">
        <v>0</v>
      </c>
      <c r="S779" s="4" t="s">
        <v>229</v>
      </c>
      <c r="T779" s="4" t="s">
        <v>354</v>
      </c>
      <c r="U779" s="4">
        <v>0</v>
      </c>
      <c r="V779" s="4">
        <v>11</v>
      </c>
      <c r="W779" s="4">
        <v>46</v>
      </c>
    </row>
    <row r="780" spans="1:23" ht="11.25" customHeight="1" x14ac:dyDescent="0.25">
      <c r="A780" s="4" t="s">
        <v>21</v>
      </c>
      <c r="B780" s="4" t="s">
        <v>22</v>
      </c>
      <c r="C780" s="4" t="s">
        <v>23</v>
      </c>
      <c r="D780" s="4" t="s">
        <v>24</v>
      </c>
      <c r="E780" s="4" t="s">
        <v>24</v>
      </c>
      <c r="F780" s="4" t="s">
        <v>25</v>
      </c>
      <c r="G780" s="4" t="s">
        <v>25</v>
      </c>
      <c r="H780" s="4" t="s">
        <v>25</v>
      </c>
      <c r="I780" s="5">
        <v>44621</v>
      </c>
      <c r="J780" s="6">
        <v>0</v>
      </c>
      <c r="K780" s="6">
        <v>0</v>
      </c>
      <c r="L780" s="6">
        <v>2159.6990000000001</v>
      </c>
      <c r="M780" s="6">
        <v>2159.6990000000001</v>
      </c>
      <c r="N780" s="6">
        <v>2159.6990000000001</v>
      </c>
      <c r="O780" s="6">
        <v>2159.6990000000001</v>
      </c>
      <c r="P780" s="6">
        <v>11765</v>
      </c>
      <c r="Q780" s="4" t="s">
        <v>26</v>
      </c>
      <c r="R780" s="4">
        <v>0</v>
      </c>
      <c r="S780" s="4" t="s">
        <v>230</v>
      </c>
      <c r="T780" s="4" t="s">
        <v>355</v>
      </c>
      <c r="U780" s="4">
        <v>0</v>
      </c>
      <c r="V780" s="4">
        <v>11</v>
      </c>
      <c r="W780" s="4">
        <v>46</v>
      </c>
    </row>
    <row r="781" spans="1:23" ht="11.25" customHeight="1" x14ac:dyDescent="0.25">
      <c r="A781" s="4" t="s">
        <v>27</v>
      </c>
      <c r="B781" s="4" t="s">
        <v>22</v>
      </c>
      <c r="C781" s="4" t="s">
        <v>23</v>
      </c>
      <c r="D781" s="4" t="s">
        <v>24</v>
      </c>
      <c r="E781" s="4" t="s">
        <v>24</v>
      </c>
      <c r="F781" s="4" t="s">
        <v>25</v>
      </c>
      <c r="G781" s="4" t="s">
        <v>25</v>
      </c>
      <c r="H781" s="4" t="s">
        <v>25</v>
      </c>
      <c r="I781" s="5">
        <v>44621</v>
      </c>
      <c r="J781" s="6">
        <v>0</v>
      </c>
      <c r="K781" s="6">
        <v>0</v>
      </c>
      <c r="L781" s="6">
        <v>-2.4089999999999998</v>
      </c>
      <c r="M781" s="6">
        <v>-2.4089999999999998</v>
      </c>
      <c r="N781" s="6">
        <v>-2.4089999999999998</v>
      </c>
      <c r="O781" s="6">
        <v>-2.4089999999999998</v>
      </c>
      <c r="P781" s="6">
        <v>-17</v>
      </c>
      <c r="Q781" s="4" t="s">
        <v>26</v>
      </c>
      <c r="R781" s="4">
        <v>0</v>
      </c>
      <c r="S781" s="4" t="s">
        <v>230</v>
      </c>
      <c r="T781" s="4" t="s">
        <v>355</v>
      </c>
      <c r="U781" s="4">
        <v>0</v>
      </c>
      <c r="V781" s="4">
        <v>11</v>
      </c>
      <c r="W781" s="4">
        <v>46</v>
      </c>
    </row>
    <row r="782" spans="1:23" ht="11.25" customHeight="1" x14ac:dyDescent="0.25">
      <c r="A782" s="4" t="s">
        <v>28</v>
      </c>
      <c r="B782" s="4" t="s">
        <v>22</v>
      </c>
      <c r="C782" s="4" t="s">
        <v>23</v>
      </c>
      <c r="D782" s="4" t="s">
        <v>24</v>
      </c>
      <c r="E782" s="4" t="s">
        <v>24</v>
      </c>
      <c r="F782" s="4" t="s">
        <v>25</v>
      </c>
      <c r="G782" s="4" t="s">
        <v>25</v>
      </c>
      <c r="H782" s="4" t="s">
        <v>25</v>
      </c>
      <c r="I782" s="5">
        <v>44621</v>
      </c>
      <c r="J782" s="6">
        <v>0</v>
      </c>
      <c r="K782" s="6">
        <v>0</v>
      </c>
      <c r="L782" s="6">
        <v>48.741999999999997</v>
      </c>
      <c r="M782" s="6">
        <v>48.741999999999997</v>
      </c>
      <c r="N782" s="6">
        <v>48.741999999999997</v>
      </c>
      <c r="O782" s="6">
        <v>48.741999999999997</v>
      </c>
      <c r="P782" s="6">
        <v>362</v>
      </c>
      <c r="Q782" s="4" t="s">
        <v>26</v>
      </c>
      <c r="R782" s="4">
        <v>0</v>
      </c>
      <c r="S782" s="4" t="s">
        <v>230</v>
      </c>
      <c r="T782" s="4" t="s">
        <v>355</v>
      </c>
      <c r="U782" s="4">
        <v>0</v>
      </c>
      <c r="V782" s="4">
        <v>11</v>
      </c>
      <c r="W782" s="4">
        <v>46</v>
      </c>
    </row>
    <row r="783" spans="1:23" ht="11.25" customHeight="1" x14ac:dyDescent="0.25">
      <c r="A783" s="4" t="s">
        <v>28</v>
      </c>
      <c r="B783" s="4" t="s">
        <v>22</v>
      </c>
      <c r="C783" s="4" t="s">
        <v>23</v>
      </c>
      <c r="D783" s="4" t="s">
        <v>24</v>
      </c>
      <c r="E783" s="4" t="s">
        <v>24</v>
      </c>
      <c r="F783" s="4" t="s">
        <v>25</v>
      </c>
      <c r="G783" s="4" t="s">
        <v>25</v>
      </c>
      <c r="H783" s="4" t="s">
        <v>25</v>
      </c>
      <c r="I783" s="5">
        <v>44621</v>
      </c>
      <c r="J783" s="6">
        <v>0</v>
      </c>
      <c r="K783" s="6">
        <v>0</v>
      </c>
      <c r="L783" s="6">
        <v>-1.952</v>
      </c>
      <c r="M783" s="6">
        <v>-1.952</v>
      </c>
      <c r="N783" s="6">
        <v>-1.952</v>
      </c>
      <c r="O783" s="6">
        <v>-1.952</v>
      </c>
      <c r="P783" s="6">
        <v>-1</v>
      </c>
      <c r="Q783" s="4" t="s">
        <v>26</v>
      </c>
      <c r="R783" s="4">
        <v>0</v>
      </c>
      <c r="S783" s="4" t="s">
        <v>230</v>
      </c>
      <c r="T783" s="4" t="s">
        <v>355</v>
      </c>
      <c r="U783" s="4">
        <v>0</v>
      </c>
      <c r="V783" s="4">
        <v>11</v>
      </c>
      <c r="W783" s="4">
        <v>46</v>
      </c>
    </row>
    <row r="784" spans="1:23" ht="11.25" customHeight="1" x14ac:dyDescent="0.25">
      <c r="A784" s="4" t="s">
        <v>21</v>
      </c>
      <c r="B784" s="4" t="s">
        <v>22</v>
      </c>
      <c r="C784" s="4" t="s">
        <v>23</v>
      </c>
      <c r="D784" s="4" t="s">
        <v>24</v>
      </c>
      <c r="E784" s="4" t="s">
        <v>24</v>
      </c>
      <c r="F784" s="4" t="s">
        <v>25</v>
      </c>
      <c r="G784" s="4" t="s">
        <v>25</v>
      </c>
      <c r="H784" s="4" t="s">
        <v>25</v>
      </c>
      <c r="I784" s="5">
        <v>44652</v>
      </c>
      <c r="J784" s="6">
        <v>0</v>
      </c>
      <c r="K784" s="6">
        <v>0</v>
      </c>
      <c r="L784" s="6">
        <v>1869.0219999999999</v>
      </c>
      <c r="M784" s="6">
        <v>1869.0219999999999</v>
      </c>
      <c r="N784" s="6">
        <v>1869.0219999999999</v>
      </c>
      <c r="O784" s="6">
        <v>1869.0219999999999</v>
      </c>
      <c r="P784" s="6">
        <v>11387</v>
      </c>
      <c r="Q784" s="4" t="s">
        <v>26</v>
      </c>
      <c r="R784" s="4">
        <v>0</v>
      </c>
      <c r="S784" s="4" t="s">
        <v>231</v>
      </c>
      <c r="T784" s="4" t="s">
        <v>356</v>
      </c>
      <c r="U784" s="4">
        <v>0</v>
      </c>
      <c r="V784" s="4">
        <v>11</v>
      </c>
      <c r="W784" s="4">
        <v>46</v>
      </c>
    </row>
    <row r="785" spans="1:23" ht="11.25" customHeight="1" x14ac:dyDescent="0.25">
      <c r="A785" s="4" t="s">
        <v>27</v>
      </c>
      <c r="B785" s="4" t="s">
        <v>22</v>
      </c>
      <c r="C785" s="4" t="s">
        <v>23</v>
      </c>
      <c r="D785" s="4" t="s">
        <v>24</v>
      </c>
      <c r="E785" s="4" t="s">
        <v>24</v>
      </c>
      <c r="F785" s="4" t="s">
        <v>25</v>
      </c>
      <c r="G785" s="4" t="s">
        <v>25</v>
      </c>
      <c r="H785" s="4" t="s">
        <v>25</v>
      </c>
      <c r="I785" s="5">
        <v>44652</v>
      </c>
      <c r="J785" s="6">
        <v>0</v>
      </c>
      <c r="K785" s="6">
        <v>0</v>
      </c>
      <c r="L785" s="6">
        <v>-5.2</v>
      </c>
      <c r="M785" s="6">
        <v>-5.2</v>
      </c>
      <c r="N785" s="6">
        <v>-5.2</v>
      </c>
      <c r="O785" s="6">
        <v>-5.2</v>
      </c>
      <c r="P785" s="6">
        <v>-36</v>
      </c>
      <c r="Q785" s="4" t="s">
        <v>26</v>
      </c>
      <c r="R785" s="4">
        <v>0</v>
      </c>
      <c r="S785" s="4" t="s">
        <v>231</v>
      </c>
      <c r="T785" s="4" t="s">
        <v>356</v>
      </c>
      <c r="U785" s="4">
        <v>0</v>
      </c>
      <c r="V785" s="4">
        <v>11</v>
      </c>
      <c r="W785" s="4">
        <v>46</v>
      </c>
    </row>
    <row r="786" spans="1:23" ht="11.25" customHeight="1" x14ac:dyDescent="0.25">
      <c r="A786" s="4" t="s">
        <v>28</v>
      </c>
      <c r="B786" s="4" t="s">
        <v>22</v>
      </c>
      <c r="C786" s="4" t="s">
        <v>23</v>
      </c>
      <c r="D786" s="4" t="s">
        <v>24</v>
      </c>
      <c r="E786" s="4" t="s">
        <v>24</v>
      </c>
      <c r="F786" s="4" t="s">
        <v>25</v>
      </c>
      <c r="G786" s="4" t="s">
        <v>25</v>
      </c>
      <c r="H786" s="4" t="s">
        <v>25</v>
      </c>
      <c r="I786" s="5">
        <v>44652</v>
      </c>
      <c r="J786" s="6">
        <v>0</v>
      </c>
      <c r="K786" s="6">
        <v>0</v>
      </c>
      <c r="L786" s="6">
        <v>74.456999999999994</v>
      </c>
      <c r="M786" s="6">
        <v>74.456999999999994</v>
      </c>
      <c r="N786" s="6">
        <v>74.456999999999994</v>
      </c>
      <c r="O786" s="6">
        <v>74.456999999999994</v>
      </c>
      <c r="P786" s="6">
        <v>390</v>
      </c>
      <c r="Q786" s="4" t="s">
        <v>26</v>
      </c>
      <c r="R786" s="4">
        <v>0</v>
      </c>
      <c r="S786" s="4" t="s">
        <v>231</v>
      </c>
      <c r="T786" s="4" t="s">
        <v>356</v>
      </c>
      <c r="U786" s="4">
        <v>0</v>
      </c>
      <c r="V786" s="4">
        <v>11</v>
      </c>
      <c r="W786" s="4">
        <v>46</v>
      </c>
    </row>
    <row r="787" spans="1:23" ht="11.25" customHeight="1" x14ac:dyDescent="0.25">
      <c r="A787" s="4" t="s">
        <v>28</v>
      </c>
      <c r="B787" s="4" t="s">
        <v>22</v>
      </c>
      <c r="C787" s="4" t="s">
        <v>23</v>
      </c>
      <c r="D787" s="4" t="s">
        <v>24</v>
      </c>
      <c r="E787" s="4" t="s">
        <v>24</v>
      </c>
      <c r="F787" s="4" t="s">
        <v>25</v>
      </c>
      <c r="G787" s="4" t="s">
        <v>25</v>
      </c>
      <c r="H787" s="4" t="s">
        <v>25</v>
      </c>
      <c r="I787" s="5">
        <v>44652</v>
      </c>
      <c r="J787" s="6">
        <v>0</v>
      </c>
      <c r="K787" s="6">
        <v>0</v>
      </c>
      <c r="L787" s="6">
        <v>-3.3929999999999998</v>
      </c>
      <c r="M787" s="6">
        <v>-3.3929999999999998</v>
      </c>
      <c r="N787" s="6">
        <v>-3.3929999999999998</v>
      </c>
      <c r="O787" s="6">
        <v>-3.3929999999999998</v>
      </c>
      <c r="P787" s="6">
        <v>-1</v>
      </c>
      <c r="Q787" s="4" t="s">
        <v>26</v>
      </c>
      <c r="R787" s="4">
        <v>0</v>
      </c>
      <c r="S787" s="4" t="s">
        <v>231</v>
      </c>
      <c r="T787" s="4" t="s">
        <v>356</v>
      </c>
      <c r="U787" s="4">
        <v>0</v>
      </c>
      <c r="V787" s="4">
        <v>11</v>
      </c>
      <c r="W787" s="4">
        <v>46</v>
      </c>
    </row>
    <row r="788" spans="1:23" ht="11.25" customHeight="1" x14ac:dyDescent="0.25">
      <c r="A788" s="4" t="s">
        <v>21</v>
      </c>
      <c r="B788" s="4" t="s">
        <v>22</v>
      </c>
      <c r="C788" s="4" t="s">
        <v>23</v>
      </c>
      <c r="D788" s="4" t="s">
        <v>24</v>
      </c>
      <c r="E788" s="4" t="s">
        <v>24</v>
      </c>
      <c r="F788" s="4" t="s">
        <v>25</v>
      </c>
      <c r="G788" s="4" t="s">
        <v>25</v>
      </c>
      <c r="H788" s="4" t="s">
        <v>25</v>
      </c>
      <c r="I788" s="5">
        <v>44682</v>
      </c>
      <c r="J788" s="6">
        <v>0</v>
      </c>
      <c r="K788" s="6">
        <v>0</v>
      </c>
      <c r="L788" s="6">
        <v>1699.2270000000001</v>
      </c>
      <c r="M788" s="6">
        <v>1699.2270000000001</v>
      </c>
      <c r="N788" s="6">
        <v>1699.2270000000001</v>
      </c>
      <c r="O788" s="6">
        <v>1699.2270000000001</v>
      </c>
      <c r="P788" s="6">
        <v>38136</v>
      </c>
      <c r="Q788" s="4" t="s">
        <v>26</v>
      </c>
      <c r="R788" s="4">
        <v>0</v>
      </c>
      <c r="S788" s="4" t="s">
        <v>232</v>
      </c>
      <c r="T788" s="4" t="s">
        <v>357</v>
      </c>
      <c r="U788" s="4">
        <v>0</v>
      </c>
      <c r="V788" s="4">
        <v>11</v>
      </c>
      <c r="W788" s="4">
        <v>46</v>
      </c>
    </row>
    <row r="789" spans="1:23" ht="11.25" customHeight="1" x14ac:dyDescent="0.25">
      <c r="A789" s="4" t="s">
        <v>27</v>
      </c>
      <c r="B789" s="4" t="s">
        <v>22</v>
      </c>
      <c r="C789" s="4" t="s">
        <v>23</v>
      </c>
      <c r="D789" s="4" t="s">
        <v>24</v>
      </c>
      <c r="E789" s="4" t="s">
        <v>24</v>
      </c>
      <c r="F789" s="4" t="s">
        <v>25</v>
      </c>
      <c r="G789" s="4" t="s">
        <v>25</v>
      </c>
      <c r="H789" s="4" t="s">
        <v>25</v>
      </c>
      <c r="I789" s="5">
        <v>44682</v>
      </c>
      <c r="J789" s="6">
        <v>0</v>
      </c>
      <c r="K789" s="6">
        <v>0</v>
      </c>
      <c r="L789" s="6">
        <v>-5.6769999999999996</v>
      </c>
      <c r="M789" s="6">
        <v>-5.6769999999999996</v>
      </c>
      <c r="N789" s="6">
        <v>-5.6769999999999996</v>
      </c>
      <c r="O789" s="6">
        <v>-5.6769999999999996</v>
      </c>
      <c r="P789" s="6">
        <v>-26832</v>
      </c>
      <c r="Q789" s="4" t="s">
        <v>26</v>
      </c>
      <c r="R789" s="4">
        <v>0</v>
      </c>
      <c r="S789" s="4" t="s">
        <v>232</v>
      </c>
      <c r="T789" s="4" t="s">
        <v>357</v>
      </c>
      <c r="U789" s="4">
        <v>0</v>
      </c>
      <c r="V789" s="4">
        <v>11</v>
      </c>
      <c r="W789" s="4">
        <v>46</v>
      </c>
    </row>
    <row r="790" spans="1:23" ht="11.25" customHeight="1" x14ac:dyDescent="0.25">
      <c r="A790" s="4" t="s">
        <v>28</v>
      </c>
      <c r="B790" s="4" t="s">
        <v>22</v>
      </c>
      <c r="C790" s="4" t="s">
        <v>23</v>
      </c>
      <c r="D790" s="4" t="s">
        <v>24</v>
      </c>
      <c r="E790" s="4" t="s">
        <v>24</v>
      </c>
      <c r="F790" s="4" t="s">
        <v>25</v>
      </c>
      <c r="G790" s="4" t="s">
        <v>25</v>
      </c>
      <c r="H790" s="4" t="s">
        <v>25</v>
      </c>
      <c r="I790" s="5">
        <v>44682</v>
      </c>
      <c r="J790" s="6">
        <v>0</v>
      </c>
      <c r="K790" s="6">
        <v>0</v>
      </c>
      <c r="L790" s="6">
        <v>53.591999999999999</v>
      </c>
      <c r="M790" s="6">
        <v>53.591999999999999</v>
      </c>
      <c r="N790" s="6">
        <v>53.591999999999999</v>
      </c>
      <c r="O790" s="6">
        <v>53.591999999999999</v>
      </c>
      <c r="P790" s="6">
        <v>407</v>
      </c>
      <c r="Q790" s="4" t="s">
        <v>26</v>
      </c>
      <c r="R790" s="4">
        <v>0</v>
      </c>
      <c r="S790" s="4" t="s">
        <v>232</v>
      </c>
      <c r="T790" s="4" t="s">
        <v>357</v>
      </c>
      <c r="U790" s="4">
        <v>0</v>
      </c>
      <c r="V790" s="4">
        <v>11</v>
      </c>
      <c r="W790" s="4">
        <v>46</v>
      </c>
    </row>
    <row r="791" spans="1:23" ht="11.25" customHeight="1" x14ac:dyDescent="0.25">
      <c r="A791" s="4" t="s">
        <v>28</v>
      </c>
      <c r="B791" s="4" t="s">
        <v>22</v>
      </c>
      <c r="C791" s="4" t="s">
        <v>23</v>
      </c>
      <c r="D791" s="4" t="s">
        <v>24</v>
      </c>
      <c r="E791" s="4" t="s">
        <v>24</v>
      </c>
      <c r="F791" s="4" t="s">
        <v>25</v>
      </c>
      <c r="G791" s="4" t="s">
        <v>25</v>
      </c>
      <c r="H791" s="4" t="s">
        <v>25</v>
      </c>
      <c r="I791" s="5">
        <v>44682</v>
      </c>
      <c r="J791" s="6">
        <v>0</v>
      </c>
      <c r="K791" s="6">
        <v>0</v>
      </c>
      <c r="L791" s="6">
        <v>-35.850999999999999</v>
      </c>
      <c r="M791" s="6">
        <v>-35.850999999999999</v>
      </c>
      <c r="N791" s="6">
        <v>-35.850999999999999</v>
      </c>
      <c r="O791" s="6">
        <v>-35.850999999999999</v>
      </c>
      <c r="P791" s="6">
        <v>-2</v>
      </c>
      <c r="Q791" s="4" t="s">
        <v>26</v>
      </c>
      <c r="R791" s="4">
        <v>0</v>
      </c>
      <c r="S791" s="4" t="s">
        <v>232</v>
      </c>
      <c r="T791" s="4" t="s">
        <v>357</v>
      </c>
      <c r="U791" s="4">
        <v>0</v>
      </c>
      <c r="V791" s="4">
        <v>11</v>
      </c>
      <c r="W791" s="4">
        <v>46</v>
      </c>
    </row>
    <row r="792" spans="1:23" ht="11.25" customHeight="1" x14ac:dyDescent="0.25">
      <c r="A792" s="4" t="s">
        <v>21</v>
      </c>
      <c r="B792" s="4" t="s">
        <v>22</v>
      </c>
      <c r="C792" s="4" t="s">
        <v>23</v>
      </c>
      <c r="D792" s="4" t="s">
        <v>24</v>
      </c>
      <c r="E792" s="4" t="s">
        <v>24</v>
      </c>
      <c r="F792" s="4" t="s">
        <v>25</v>
      </c>
      <c r="G792" s="4" t="s">
        <v>25</v>
      </c>
      <c r="H792" s="4" t="s">
        <v>25</v>
      </c>
      <c r="I792" s="5">
        <v>44713</v>
      </c>
      <c r="J792" s="6">
        <v>0</v>
      </c>
      <c r="K792" s="6">
        <v>0</v>
      </c>
      <c r="L792" s="6">
        <v>1891.549</v>
      </c>
      <c r="M792" s="6">
        <v>1891.549</v>
      </c>
      <c r="N792" s="6">
        <v>1891.549</v>
      </c>
      <c r="O792" s="6">
        <v>1891.549</v>
      </c>
      <c r="P792" s="6">
        <v>11356</v>
      </c>
      <c r="Q792" s="4" t="s">
        <v>26</v>
      </c>
      <c r="R792" s="4">
        <v>0</v>
      </c>
      <c r="S792" s="4" t="s">
        <v>233</v>
      </c>
      <c r="T792" s="4" t="s">
        <v>358</v>
      </c>
      <c r="U792" s="4">
        <v>0</v>
      </c>
      <c r="V792" s="4">
        <v>11</v>
      </c>
      <c r="W792" s="4">
        <v>46</v>
      </c>
    </row>
    <row r="793" spans="1:23" ht="11.25" customHeight="1" x14ac:dyDescent="0.25">
      <c r="A793" s="4" t="s">
        <v>27</v>
      </c>
      <c r="B793" s="4" t="s">
        <v>22</v>
      </c>
      <c r="C793" s="4" t="s">
        <v>23</v>
      </c>
      <c r="D793" s="4" t="s">
        <v>24</v>
      </c>
      <c r="E793" s="4" t="s">
        <v>24</v>
      </c>
      <c r="F793" s="4" t="s">
        <v>25</v>
      </c>
      <c r="G793" s="4" t="s">
        <v>25</v>
      </c>
      <c r="H793" s="4" t="s">
        <v>25</v>
      </c>
      <c r="I793" s="5">
        <v>44713</v>
      </c>
      <c r="J793" s="6">
        <v>0</v>
      </c>
      <c r="K793" s="6">
        <v>0</v>
      </c>
      <c r="L793" s="6">
        <v>-10.9</v>
      </c>
      <c r="M793" s="6">
        <v>-10.9</v>
      </c>
      <c r="N793" s="6">
        <v>-10.9</v>
      </c>
      <c r="O793" s="6">
        <v>-10.9</v>
      </c>
      <c r="P793" s="6">
        <v>-42</v>
      </c>
      <c r="Q793" s="4" t="s">
        <v>26</v>
      </c>
      <c r="R793" s="4">
        <v>0</v>
      </c>
      <c r="S793" s="4" t="s">
        <v>233</v>
      </c>
      <c r="T793" s="4" t="s">
        <v>358</v>
      </c>
      <c r="U793" s="4">
        <v>0</v>
      </c>
      <c r="V793" s="4">
        <v>11</v>
      </c>
      <c r="W793" s="4">
        <v>46</v>
      </c>
    </row>
    <row r="794" spans="1:23" ht="11.25" customHeight="1" x14ac:dyDescent="0.25">
      <c r="A794" s="4" t="s">
        <v>28</v>
      </c>
      <c r="B794" s="4" t="s">
        <v>22</v>
      </c>
      <c r="C794" s="4" t="s">
        <v>23</v>
      </c>
      <c r="D794" s="4" t="s">
        <v>24</v>
      </c>
      <c r="E794" s="4" t="s">
        <v>24</v>
      </c>
      <c r="F794" s="4" t="s">
        <v>25</v>
      </c>
      <c r="G794" s="4" t="s">
        <v>25</v>
      </c>
      <c r="H794" s="4" t="s">
        <v>25</v>
      </c>
      <c r="I794" s="5">
        <v>44713</v>
      </c>
      <c r="J794" s="6">
        <v>0</v>
      </c>
      <c r="K794" s="6">
        <v>0</v>
      </c>
      <c r="L794" s="6">
        <v>77.406000000000006</v>
      </c>
      <c r="M794" s="6">
        <v>77.406000000000006</v>
      </c>
      <c r="N794" s="6">
        <v>77.406000000000006</v>
      </c>
      <c r="O794" s="6">
        <v>77.406000000000006</v>
      </c>
      <c r="P794" s="6">
        <v>450</v>
      </c>
      <c r="Q794" s="4" t="s">
        <v>26</v>
      </c>
      <c r="R794" s="4">
        <v>0</v>
      </c>
      <c r="S794" s="4" t="s">
        <v>233</v>
      </c>
      <c r="T794" s="4" t="s">
        <v>358</v>
      </c>
      <c r="U794" s="4">
        <v>0</v>
      </c>
      <c r="V794" s="4">
        <v>11</v>
      </c>
      <c r="W794" s="4">
        <v>46</v>
      </c>
    </row>
    <row r="795" spans="1:23" ht="11.25" customHeight="1" x14ac:dyDescent="0.25">
      <c r="A795" s="4" t="s">
        <v>28</v>
      </c>
      <c r="B795" s="4" t="s">
        <v>22</v>
      </c>
      <c r="C795" s="4" t="s">
        <v>23</v>
      </c>
      <c r="D795" s="4" t="s">
        <v>24</v>
      </c>
      <c r="E795" s="4" t="s">
        <v>24</v>
      </c>
      <c r="F795" s="4" t="s">
        <v>25</v>
      </c>
      <c r="G795" s="4" t="s">
        <v>25</v>
      </c>
      <c r="H795" s="4" t="s">
        <v>25</v>
      </c>
      <c r="I795" s="5">
        <v>44713</v>
      </c>
      <c r="J795" s="6">
        <v>0</v>
      </c>
      <c r="K795" s="6">
        <v>0</v>
      </c>
      <c r="L795" s="6">
        <v>-1.7909999999999999</v>
      </c>
      <c r="M795" s="6">
        <v>-1.7909999999999999</v>
      </c>
      <c r="N795" s="6">
        <v>-1.7909999999999999</v>
      </c>
      <c r="O795" s="6">
        <v>-1.7909999999999999</v>
      </c>
      <c r="P795" s="6">
        <v>-2</v>
      </c>
      <c r="Q795" s="4" t="s">
        <v>26</v>
      </c>
      <c r="R795" s="4">
        <v>0</v>
      </c>
      <c r="S795" s="4" t="s">
        <v>233</v>
      </c>
      <c r="T795" s="4" t="s">
        <v>358</v>
      </c>
      <c r="U795" s="4">
        <v>0</v>
      </c>
      <c r="V795" s="4">
        <v>11</v>
      </c>
      <c r="W795" s="4">
        <v>46</v>
      </c>
    </row>
    <row r="796" spans="1:23" ht="11.25" customHeight="1" x14ac:dyDescent="0.25">
      <c r="A796" s="4" t="s">
        <v>21</v>
      </c>
      <c r="B796" s="4" t="s">
        <v>22</v>
      </c>
      <c r="C796" s="4" t="s">
        <v>23</v>
      </c>
      <c r="D796" s="4" t="s">
        <v>24</v>
      </c>
      <c r="E796" s="4" t="s">
        <v>29</v>
      </c>
      <c r="F796" s="4" t="s">
        <v>25</v>
      </c>
      <c r="G796" s="4" t="s">
        <v>25</v>
      </c>
      <c r="H796" s="4" t="s">
        <v>25</v>
      </c>
      <c r="I796" s="5">
        <v>44378</v>
      </c>
      <c r="J796" s="6">
        <v>0</v>
      </c>
      <c r="K796" s="6">
        <v>0</v>
      </c>
      <c r="L796" s="6">
        <v>7.14</v>
      </c>
      <c r="M796" s="6">
        <v>7.14</v>
      </c>
      <c r="N796" s="6">
        <v>7.14</v>
      </c>
      <c r="O796" s="6">
        <v>7.14</v>
      </c>
      <c r="P796" s="6">
        <v>12</v>
      </c>
      <c r="Q796" s="4" t="s">
        <v>26</v>
      </c>
      <c r="R796" s="4">
        <v>0</v>
      </c>
      <c r="S796" s="4" t="s">
        <v>234</v>
      </c>
      <c r="T796" s="4" t="s">
        <v>359</v>
      </c>
      <c r="U796" s="4">
        <v>0</v>
      </c>
      <c r="V796" s="4">
        <v>10</v>
      </c>
      <c r="W796" s="4">
        <v>57</v>
      </c>
    </row>
    <row r="797" spans="1:23" ht="11.25" customHeight="1" x14ac:dyDescent="0.25">
      <c r="A797" s="4" t="s">
        <v>21</v>
      </c>
      <c r="B797" s="4" t="s">
        <v>22</v>
      </c>
      <c r="C797" s="4" t="s">
        <v>23</v>
      </c>
      <c r="D797" s="4" t="s">
        <v>24</v>
      </c>
      <c r="E797" s="4" t="s">
        <v>29</v>
      </c>
      <c r="F797" s="4" t="s">
        <v>25</v>
      </c>
      <c r="G797" s="4" t="s">
        <v>25</v>
      </c>
      <c r="H797" s="4" t="s">
        <v>25</v>
      </c>
      <c r="I797" s="5">
        <v>44409</v>
      </c>
      <c r="J797" s="6">
        <v>0</v>
      </c>
      <c r="K797" s="6">
        <v>0</v>
      </c>
      <c r="L797" s="6">
        <v>7.2</v>
      </c>
      <c r="M797" s="6">
        <v>7.2</v>
      </c>
      <c r="N797" s="6">
        <v>7.2</v>
      </c>
      <c r="O797" s="6">
        <v>7.2</v>
      </c>
      <c r="P797" s="6">
        <v>8</v>
      </c>
      <c r="Q797" s="4" t="s">
        <v>26</v>
      </c>
      <c r="R797" s="4">
        <v>0</v>
      </c>
      <c r="S797" s="4" t="s">
        <v>235</v>
      </c>
      <c r="T797" s="4" t="s">
        <v>360</v>
      </c>
      <c r="U797" s="4">
        <v>0</v>
      </c>
      <c r="V797" s="4">
        <v>10</v>
      </c>
      <c r="W797" s="4">
        <v>57</v>
      </c>
    </row>
    <row r="798" spans="1:23" ht="11.25" customHeight="1" x14ac:dyDescent="0.25">
      <c r="A798" s="4" t="s">
        <v>21</v>
      </c>
      <c r="B798" s="4" t="s">
        <v>22</v>
      </c>
      <c r="C798" s="4" t="s">
        <v>23</v>
      </c>
      <c r="D798" s="4" t="s">
        <v>24</v>
      </c>
      <c r="E798" s="4" t="s">
        <v>29</v>
      </c>
      <c r="F798" s="4" t="s">
        <v>25</v>
      </c>
      <c r="G798" s="4" t="s">
        <v>25</v>
      </c>
      <c r="H798" s="4" t="s">
        <v>25</v>
      </c>
      <c r="I798" s="5">
        <v>44440</v>
      </c>
      <c r="J798" s="6">
        <v>0</v>
      </c>
      <c r="K798" s="6">
        <v>0</v>
      </c>
      <c r="L798" s="6">
        <v>7.29</v>
      </c>
      <c r="M798" s="6">
        <v>7.29</v>
      </c>
      <c r="N798" s="6">
        <v>7.29</v>
      </c>
      <c r="O798" s="6">
        <v>7.29</v>
      </c>
      <c r="P798" s="6">
        <v>9</v>
      </c>
      <c r="Q798" s="4" t="s">
        <v>26</v>
      </c>
      <c r="R798" s="4">
        <v>0</v>
      </c>
      <c r="S798" s="4" t="s">
        <v>236</v>
      </c>
      <c r="T798" s="4" t="s">
        <v>361</v>
      </c>
      <c r="U798" s="4">
        <v>0</v>
      </c>
      <c r="V798" s="4">
        <v>10</v>
      </c>
      <c r="W798" s="4">
        <v>57</v>
      </c>
    </row>
    <row r="799" spans="1:23" ht="11.25" customHeight="1" x14ac:dyDescent="0.25">
      <c r="A799" s="4" t="s">
        <v>21</v>
      </c>
      <c r="B799" s="4" t="s">
        <v>22</v>
      </c>
      <c r="C799" s="4" t="s">
        <v>23</v>
      </c>
      <c r="D799" s="4" t="s">
        <v>24</v>
      </c>
      <c r="E799" s="4" t="s">
        <v>29</v>
      </c>
      <c r="F799" s="4" t="s">
        <v>25</v>
      </c>
      <c r="G799" s="4" t="s">
        <v>25</v>
      </c>
      <c r="H799" s="4" t="s">
        <v>25</v>
      </c>
      <c r="I799" s="5">
        <v>44470</v>
      </c>
      <c r="J799" s="6">
        <v>0</v>
      </c>
      <c r="K799" s="6">
        <v>0</v>
      </c>
      <c r="L799" s="6">
        <v>7.38</v>
      </c>
      <c r="M799" s="6">
        <v>7.38</v>
      </c>
      <c r="N799" s="6">
        <v>7.38</v>
      </c>
      <c r="O799" s="6">
        <v>7.38</v>
      </c>
      <c r="P799" s="6">
        <v>10</v>
      </c>
      <c r="Q799" s="4" t="s">
        <v>26</v>
      </c>
      <c r="R799" s="4">
        <v>0</v>
      </c>
      <c r="S799" s="4" t="s">
        <v>237</v>
      </c>
      <c r="T799" s="4" t="s">
        <v>362</v>
      </c>
      <c r="U799" s="4">
        <v>0</v>
      </c>
      <c r="V799" s="4">
        <v>10</v>
      </c>
      <c r="W799" s="4">
        <v>57</v>
      </c>
    </row>
    <row r="800" spans="1:23" ht="11.25" customHeight="1" x14ac:dyDescent="0.25">
      <c r="A800" s="4" t="s">
        <v>21</v>
      </c>
      <c r="B800" s="4" t="s">
        <v>22</v>
      </c>
      <c r="C800" s="4" t="s">
        <v>23</v>
      </c>
      <c r="D800" s="4" t="s">
        <v>24</v>
      </c>
      <c r="E800" s="4" t="s">
        <v>29</v>
      </c>
      <c r="F800" s="4" t="s">
        <v>25</v>
      </c>
      <c r="G800" s="4" t="s">
        <v>25</v>
      </c>
      <c r="H800" s="4" t="s">
        <v>25</v>
      </c>
      <c r="I800" s="5">
        <v>44501</v>
      </c>
      <c r="J800" s="6">
        <v>0</v>
      </c>
      <c r="K800" s="6">
        <v>0</v>
      </c>
      <c r="L800" s="6">
        <v>7.98</v>
      </c>
      <c r="M800" s="6">
        <v>7.98</v>
      </c>
      <c r="N800" s="6">
        <v>7.98</v>
      </c>
      <c r="O800" s="6">
        <v>7.98</v>
      </c>
      <c r="P800" s="6">
        <v>14</v>
      </c>
      <c r="Q800" s="4" t="s">
        <v>26</v>
      </c>
      <c r="R800" s="4">
        <v>0</v>
      </c>
      <c r="S800" s="4" t="s">
        <v>238</v>
      </c>
      <c r="T800" s="4" t="s">
        <v>363</v>
      </c>
      <c r="U800" s="4">
        <v>0</v>
      </c>
      <c r="V800" s="4">
        <v>10</v>
      </c>
      <c r="W800" s="4">
        <v>57</v>
      </c>
    </row>
    <row r="801" spans="1:23" ht="11.25" customHeight="1" x14ac:dyDescent="0.25">
      <c r="A801" s="4" t="s">
        <v>27</v>
      </c>
      <c r="B801" s="4" t="s">
        <v>22</v>
      </c>
      <c r="C801" s="4" t="s">
        <v>23</v>
      </c>
      <c r="D801" s="4" t="s">
        <v>24</v>
      </c>
      <c r="E801" s="4" t="s">
        <v>29</v>
      </c>
      <c r="F801" s="4" t="s">
        <v>25</v>
      </c>
      <c r="G801" s="4" t="s">
        <v>25</v>
      </c>
      <c r="H801" s="4" t="s">
        <v>25</v>
      </c>
      <c r="I801" s="5">
        <v>44501</v>
      </c>
      <c r="J801" s="6">
        <v>0</v>
      </c>
      <c r="K801" s="6">
        <v>0</v>
      </c>
      <c r="L801" s="6">
        <v>-0.21</v>
      </c>
      <c r="M801" s="6">
        <v>-0.21</v>
      </c>
      <c r="N801" s="6">
        <v>-0.21</v>
      </c>
      <c r="O801" s="6">
        <v>-0.21</v>
      </c>
      <c r="P801" s="6">
        <v>-1</v>
      </c>
      <c r="Q801" s="4" t="s">
        <v>26</v>
      </c>
      <c r="R801" s="4">
        <v>0</v>
      </c>
      <c r="S801" s="4" t="s">
        <v>238</v>
      </c>
      <c r="T801" s="4" t="s">
        <v>363</v>
      </c>
      <c r="U801" s="4">
        <v>0</v>
      </c>
      <c r="V801" s="4">
        <v>10</v>
      </c>
      <c r="W801" s="4">
        <v>57</v>
      </c>
    </row>
    <row r="802" spans="1:23" ht="11.25" customHeight="1" x14ac:dyDescent="0.25">
      <c r="A802" s="4" t="s">
        <v>21</v>
      </c>
      <c r="B802" s="4" t="s">
        <v>22</v>
      </c>
      <c r="C802" s="4" t="s">
        <v>23</v>
      </c>
      <c r="D802" s="4" t="s">
        <v>24</v>
      </c>
      <c r="E802" s="4" t="s">
        <v>29</v>
      </c>
      <c r="F802" s="4" t="s">
        <v>25</v>
      </c>
      <c r="G802" s="4" t="s">
        <v>25</v>
      </c>
      <c r="H802" s="4" t="s">
        <v>25</v>
      </c>
      <c r="I802" s="5">
        <v>44531</v>
      </c>
      <c r="J802" s="6">
        <v>0</v>
      </c>
      <c r="K802" s="6">
        <v>0</v>
      </c>
      <c r="L802" s="6">
        <v>7.83</v>
      </c>
      <c r="M802" s="6">
        <v>7.83</v>
      </c>
      <c r="N802" s="6">
        <v>7.83</v>
      </c>
      <c r="O802" s="6">
        <v>7.83</v>
      </c>
      <c r="P802" s="6">
        <v>9</v>
      </c>
      <c r="Q802" s="4" t="s">
        <v>26</v>
      </c>
      <c r="R802" s="4">
        <v>0</v>
      </c>
      <c r="S802" s="4" t="s">
        <v>239</v>
      </c>
      <c r="T802" s="4" t="s">
        <v>364</v>
      </c>
      <c r="U802" s="4">
        <v>0</v>
      </c>
      <c r="V802" s="4">
        <v>10</v>
      </c>
      <c r="W802" s="4">
        <v>57</v>
      </c>
    </row>
    <row r="803" spans="1:23" ht="11.25" customHeight="1" x14ac:dyDescent="0.25">
      <c r="A803" s="4" t="s">
        <v>21</v>
      </c>
      <c r="B803" s="4" t="s">
        <v>22</v>
      </c>
      <c r="C803" s="4" t="s">
        <v>23</v>
      </c>
      <c r="D803" s="4" t="s">
        <v>24</v>
      </c>
      <c r="E803" s="4" t="s">
        <v>29</v>
      </c>
      <c r="F803" s="4" t="s">
        <v>25</v>
      </c>
      <c r="G803" s="4" t="s">
        <v>25</v>
      </c>
      <c r="H803" s="4" t="s">
        <v>25</v>
      </c>
      <c r="I803" s="5">
        <v>44562</v>
      </c>
      <c r="J803" s="6">
        <v>0</v>
      </c>
      <c r="K803" s="6">
        <v>0</v>
      </c>
      <c r="L803" s="6">
        <v>7.95</v>
      </c>
      <c r="M803" s="6">
        <v>7.95</v>
      </c>
      <c r="N803" s="6">
        <v>7.95</v>
      </c>
      <c r="O803" s="6">
        <v>7.95</v>
      </c>
      <c r="P803" s="6">
        <v>8</v>
      </c>
      <c r="Q803" s="4" t="s">
        <v>26</v>
      </c>
      <c r="R803" s="4">
        <v>0</v>
      </c>
      <c r="S803" s="4" t="s">
        <v>240</v>
      </c>
      <c r="T803" s="4" t="s">
        <v>365</v>
      </c>
      <c r="U803" s="4">
        <v>0</v>
      </c>
      <c r="V803" s="4">
        <v>10</v>
      </c>
      <c r="W803" s="4">
        <v>57</v>
      </c>
    </row>
    <row r="804" spans="1:23" ht="11.25" customHeight="1" x14ac:dyDescent="0.25">
      <c r="A804" s="4" t="s">
        <v>21</v>
      </c>
      <c r="B804" s="4" t="s">
        <v>22</v>
      </c>
      <c r="C804" s="4" t="s">
        <v>23</v>
      </c>
      <c r="D804" s="4" t="s">
        <v>24</v>
      </c>
      <c r="E804" s="4" t="s">
        <v>29</v>
      </c>
      <c r="F804" s="4" t="s">
        <v>25</v>
      </c>
      <c r="G804" s="4" t="s">
        <v>25</v>
      </c>
      <c r="H804" s="4" t="s">
        <v>25</v>
      </c>
      <c r="I804" s="5">
        <v>44593</v>
      </c>
      <c r="J804" s="6">
        <v>0</v>
      </c>
      <c r="K804" s="6">
        <v>0</v>
      </c>
      <c r="L804" s="6">
        <v>13.92</v>
      </c>
      <c r="M804" s="6">
        <v>13.92</v>
      </c>
      <c r="N804" s="6">
        <v>13.92</v>
      </c>
      <c r="O804" s="6">
        <v>13.92</v>
      </c>
      <c r="P804" s="6">
        <v>36</v>
      </c>
      <c r="Q804" s="4" t="s">
        <v>26</v>
      </c>
      <c r="R804" s="4">
        <v>0</v>
      </c>
      <c r="S804" s="4" t="s">
        <v>241</v>
      </c>
      <c r="T804" s="4" t="s">
        <v>366</v>
      </c>
      <c r="U804" s="4">
        <v>0</v>
      </c>
      <c r="V804" s="4">
        <v>10</v>
      </c>
      <c r="W804" s="4">
        <v>57</v>
      </c>
    </row>
    <row r="805" spans="1:23" ht="11.25" customHeight="1" x14ac:dyDescent="0.25">
      <c r="A805" s="4" t="s">
        <v>21</v>
      </c>
      <c r="B805" s="4" t="s">
        <v>22</v>
      </c>
      <c r="C805" s="4" t="s">
        <v>23</v>
      </c>
      <c r="D805" s="4" t="s">
        <v>24</v>
      </c>
      <c r="E805" s="4" t="s">
        <v>29</v>
      </c>
      <c r="F805" s="4" t="s">
        <v>25</v>
      </c>
      <c r="G805" s="4" t="s">
        <v>25</v>
      </c>
      <c r="H805" s="4" t="s">
        <v>25</v>
      </c>
      <c r="I805" s="5">
        <v>44621</v>
      </c>
      <c r="J805" s="6">
        <v>0</v>
      </c>
      <c r="K805" s="6">
        <v>0</v>
      </c>
      <c r="L805" s="6">
        <v>17.373000000000001</v>
      </c>
      <c r="M805" s="6">
        <v>17.373000000000001</v>
      </c>
      <c r="N805" s="6">
        <v>17.373000000000001</v>
      </c>
      <c r="O805" s="6">
        <v>17.373000000000001</v>
      </c>
      <c r="P805" s="6">
        <v>43</v>
      </c>
      <c r="Q805" s="4" t="s">
        <v>26</v>
      </c>
      <c r="R805" s="4">
        <v>0</v>
      </c>
      <c r="S805" s="4" t="s">
        <v>242</v>
      </c>
      <c r="T805" s="4" t="s">
        <v>367</v>
      </c>
      <c r="U805" s="4">
        <v>0</v>
      </c>
      <c r="V805" s="4">
        <v>10</v>
      </c>
      <c r="W805" s="4">
        <v>57</v>
      </c>
    </row>
    <row r="806" spans="1:23" ht="11.25" customHeight="1" x14ac:dyDescent="0.25">
      <c r="A806" s="4" t="s">
        <v>27</v>
      </c>
      <c r="B806" s="4" t="s">
        <v>22</v>
      </c>
      <c r="C806" s="4" t="s">
        <v>23</v>
      </c>
      <c r="D806" s="4" t="s">
        <v>24</v>
      </c>
      <c r="E806" s="4" t="s">
        <v>29</v>
      </c>
      <c r="F806" s="4" t="s">
        <v>25</v>
      </c>
      <c r="G806" s="4" t="s">
        <v>25</v>
      </c>
      <c r="H806" s="4" t="s">
        <v>25</v>
      </c>
      <c r="I806" s="5">
        <v>44621</v>
      </c>
      <c r="J806" s="6">
        <v>0</v>
      </c>
      <c r="K806" s="6">
        <v>0</v>
      </c>
      <c r="L806" s="6">
        <v>-0.03</v>
      </c>
      <c r="M806" s="6">
        <v>-0.03</v>
      </c>
      <c r="N806" s="6">
        <v>-0.03</v>
      </c>
      <c r="O806" s="6">
        <v>-0.03</v>
      </c>
      <c r="P806" s="6">
        <v>0</v>
      </c>
      <c r="Q806" s="4" t="s">
        <v>26</v>
      </c>
      <c r="R806" s="4">
        <v>0</v>
      </c>
      <c r="S806" s="4" t="s">
        <v>242</v>
      </c>
      <c r="T806" s="4" t="s">
        <v>367</v>
      </c>
      <c r="U806" s="4">
        <v>0</v>
      </c>
      <c r="V806" s="4">
        <v>10</v>
      </c>
      <c r="W806" s="4">
        <v>57</v>
      </c>
    </row>
    <row r="807" spans="1:23" ht="11.25" customHeight="1" x14ac:dyDescent="0.25">
      <c r="A807" s="4" t="s">
        <v>21</v>
      </c>
      <c r="B807" s="4" t="s">
        <v>22</v>
      </c>
      <c r="C807" s="4" t="s">
        <v>23</v>
      </c>
      <c r="D807" s="4" t="s">
        <v>24</v>
      </c>
      <c r="E807" s="4" t="s">
        <v>29</v>
      </c>
      <c r="F807" s="4" t="s">
        <v>25</v>
      </c>
      <c r="G807" s="4" t="s">
        <v>25</v>
      </c>
      <c r="H807" s="4" t="s">
        <v>25</v>
      </c>
      <c r="I807" s="5">
        <v>44652</v>
      </c>
      <c r="J807" s="6">
        <v>0</v>
      </c>
      <c r="K807" s="6">
        <v>0</v>
      </c>
      <c r="L807" s="6">
        <v>29.131</v>
      </c>
      <c r="M807" s="6">
        <v>29.131</v>
      </c>
      <c r="N807" s="6">
        <v>29.131</v>
      </c>
      <c r="O807" s="6">
        <v>29.131</v>
      </c>
      <c r="P807" s="6">
        <v>73</v>
      </c>
      <c r="Q807" s="4" t="s">
        <v>26</v>
      </c>
      <c r="R807" s="4">
        <v>0</v>
      </c>
      <c r="S807" s="4" t="s">
        <v>243</v>
      </c>
      <c r="T807" s="4" t="s">
        <v>368</v>
      </c>
      <c r="U807" s="4">
        <v>0</v>
      </c>
      <c r="V807" s="4">
        <v>10</v>
      </c>
      <c r="W807" s="4">
        <v>57</v>
      </c>
    </row>
    <row r="808" spans="1:23" ht="11.25" customHeight="1" x14ac:dyDescent="0.25">
      <c r="A808" s="4" t="s">
        <v>21</v>
      </c>
      <c r="B808" s="4" t="s">
        <v>22</v>
      </c>
      <c r="C808" s="4" t="s">
        <v>23</v>
      </c>
      <c r="D808" s="4" t="s">
        <v>24</v>
      </c>
      <c r="E808" s="4" t="s">
        <v>29</v>
      </c>
      <c r="F808" s="4" t="s">
        <v>25</v>
      </c>
      <c r="G808" s="4" t="s">
        <v>25</v>
      </c>
      <c r="H808" s="4" t="s">
        <v>25</v>
      </c>
      <c r="I808" s="5">
        <v>44682</v>
      </c>
      <c r="J808" s="6">
        <v>0</v>
      </c>
      <c r="K808" s="6">
        <v>0</v>
      </c>
      <c r="L808" s="6">
        <v>31.393000000000001</v>
      </c>
      <c r="M808" s="6">
        <v>31.393000000000001</v>
      </c>
      <c r="N808" s="6">
        <v>31.393000000000001</v>
      </c>
      <c r="O808" s="6">
        <v>31.393000000000001</v>
      </c>
      <c r="P808" s="6">
        <v>84</v>
      </c>
      <c r="Q808" s="4" t="s">
        <v>26</v>
      </c>
      <c r="R808" s="4">
        <v>0</v>
      </c>
      <c r="S808" s="4" t="s">
        <v>244</v>
      </c>
      <c r="T808" s="4" t="s">
        <v>369</v>
      </c>
      <c r="U808" s="4">
        <v>0</v>
      </c>
      <c r="V808" s="4">
        <v>10</v>
      </c>
      <c r="W808" s="4">
        <v>57</v>
      </c>
    </row>
    <row r="809" spans="1:23" ht="11.25" customHeight="1" x14ac:dyDescent="0.25">
      <c r="A809" s="4" t="s">
        <v>21</v>
      </c>
      <c r="B809" s="4" t="s">
        <v>22</v>
      </c>
      <c r="C809" s="4" t="s">
        <v>23</v>
      </c>
      <c r="D809" s="4" t="s">
        <v>24</v>
      </c>
      <c r="E809" s="4" t="s">
        <v>29</v>
      </c>
      <c r="F809" s="4" t="s">
        <v>25</v>
      </c>
      <c r="G809" s="4" t="s">
        <v>25</v>
      </c>
      <c r="H809" s="4" t="s">
        <v>25</v>
      </c>
      <c r="I809" s="5">
        <v>44713</v>
      </c>
      <c r="J809" s="6">
        <v>0</v>
      </c>
      <c r="K809" s="6">
        <v>0</v>
      </c>
      <c r="L809" s="6">
        <v>31.45</v>
      </c>
      <c r="M809" s="6">
        <v>31.45</v>
      </c>
      <c r="N809" s="6">
        <v>31.45</v>
      </c>
      <c r="O809" s="6">
        <v>31.45</v>
      </c>
      <c r="P809" s="6">
        <v>103</v>
      </c>
      <c r="Q809" s="4" t="s">
        <v>26</v>
      </c>
      <c r="R809" s="4">
        <v>0</v>
      </c>
      <c r="S809" s="4" t="s">
        <v>245</v>
      </c>
      <c r="T809" s="4" t="s">
        <v>370</v>
      </c>
      <c r="U809" s="4">
        <v>0</v>
      </c>
      <c r="V809" s="4">
        <v>10</v>
      </c>
      <c r="W809" s="4">
        <v>57</v>
      </c>
    </row>
    <row r="810" spans="1:23" ht="11.25" customHeight="1" x14ac:dyDescent="0.25">
      <c r="A810" s="4" t="s">
        <v>27</v>
      </c>
      <c r="B810" s="4" t="s">
        <v>22</v>
      </c>
      <c r="C810" s="4" t="s">
        <v>23</v>
      </c>
      <c r="D810" s="4" t="s">
        <v>24</v>
      </c>
      <c r="E810" s="4" t="s">
        <v>29</v>
      </c>
      <c r="F810" s="4" t="s">
        <v>25</v>
      </c>
      <c r="G810" s="4" t="s">
        <v>25</v>
      </c>
      <c r="H810" s="4" t="s">
        <v>25</v>
      </c>
      <c r="I810" s="5">
        <v>44713</v>
      </c>
      <c r="J810" s="6">
        <v>0</v>
      </c>
      <c r="K810" s="6">
        <v>0</v>
      </c>
      <c r="L810" s="6">
        <v>-0.06</v>
      </c>
      <c r="M810" s="6">
        <v>-0.06</v>
      </c>
      <c r="N810" s="6">
        <v>-0.06</v>
      </c>
      <c r="O810" s="6">
        <v>-0.06</v>
      </c>
      <c r="P810" s="6">
        <v>-2</v>
      </c>
      <c r="Q810" s="4" t="s">
        <v>26</v>
      </c>
      <c r="R810" s="4">
        <v>0</v>
      </c>
      <c r="S810" s="4" t="s">
        <v>245</v>
      </c>
      <c r="T810" s="4" t="s">
        <v>370</v>
      </c>
      <c r="U810" s="4">
        <v>0</v>
      </c>
      <c r="V810" s="4">
        <v>10</v>
      </c>
      <c r="W810" s="4">
        <v>57</v>
      </c>
    </row>
    <row r="811" spans="1:23" ht="11.25" customHeight="1" x14ac:dyDescent="0.25">
      <c r="A811" s="4" t="s">
        <v>21</v>
      </c>
      <c r="B811" s="4" t="s">
        <v>22</v>
      </c>
      <c r="C811" s="4" t="s">
        <v>23</v>
      </c>
      <c r="D811" s="4" t="s">
        <v>24</v>
      </c>
      <c r="E811" s="4" t="s">
        <v>30</v>
      </c>
      <c r="F811" s="4" t="s">
        <v>25</v>
      </c>
      <c r="G811" s="4" t="s">
        <v>25</v>
      </c>
      <c r="H811" s="4" t="s">
        <v>25</v>
      </c>
      <c r="I811" s="5">
        <v>44378</v>
      </c>
      <c r="J811" s="6">
        <v>0</v>
      </c>
      <c r="K811" s="6">
        <v>0</v>
      </c>
      <c r="L811" s="6">
        <v>1.8169999999999999</v>
      </c>
      <c r="M811" s="6">
        <v>1.8169999999999999</v>
      </c>
      <c r="N811" s="6">
        <v>1.8169999999999999</v>
      </c>
      <c r="O811" s="6">
        <v>1.8169999999999999</v>
      </c>
      <c r="P811" s="6">
        <v>43</v>
      </c>
      <c r="Q811" s="4" t="s">
        <v>26</v>
      </c>
      <c r="R811" s="4">
        <v>0</v>
      </c>
      <c r="S811" s="4" t="s">
        <v>246</v>
      </c>
      <c r="T811" s="4" t="s">
        <v>371</v>
      </c>
      <c r="U811" s="4">
        <v>0</v>
      </c>
      <c r="V811" s="4">
        <v>6</v>
      </c>
      <c r="W811" s="4">
        <v>55</v>
      </c>
    </row>
    <row r="812" spans="1:23" ht="11.25" customHeight="1" x14ac:dyDescent="0.25">
      <c r="A812" s="4" t="s">
        <v>21</v>
      </c>
      <c r="B812" s="4" t="s">
        <v>22</v>
      </c>
      <c r="C812" s="4" t="s">
        <v>23</v>
      </c>
      <c r="D812" s="4" t="s">
        <v>24</v>
      </c>
      <c r="E812" s="4" t="s">
        <v>30</v>
      </c>
      <c r="F812" s="4" t="s">
        <v>25</v>
      </c>
      <c r="G812" s="4" t="s">
        <v>25</v>
      </c>
      <c r="H812" s="4" t="s">
        <v>25</v>
      </c>
      <c r="I812" s="5">
        <v>44409</v>
      </c>
      <c r="J812" s="6">
        <v>0</v>
      </c>
      <c r="K812" s="6">
        <v>0</v>
      </c>
      <c r="L812" s="6">
        <v>1.9450000000000001</v>
      </c>
      <c r="M812" s="6">
        <v>1.9450000000000001</v>
      </c>
      <c r="N812" s="6">
        <v>1.9450000000000001</v>
      </c>
      <c r="O812" s="6">
        <v>1.9450000000000001</v>
      </c>
      <c r="P812" s="6">
        <v>43</v>
      </c>
      <c r="Q812" s="4" t="s">
        <v>26</v>
      </c>
      <c r="R812" s="4">
        <v>0</v>
      </c>
      <c r="S812" s="4" t="s">
        <v>247</v>
      </c>
      <c r="T812" s="4" t="s">
        <v>372</v>
      </c>
      <c r="U812" s="4">
        <v>0</v>
      </c>
      <c r="V812" s="4">
        <v>6</v>
      </c>
      <c r="W812" s="4">
        <v>55</v>
      </c>
    </row>
    <row r="813" spans="1:23" ht="11.25" customHeight="1" x14ac:dyDescent="0.25">
      <c r="A813" s="4" t="s">
        <v>21</v>
      </c>
      <c r="B813" s="4" t="s">
        <v>22</v>
      </c>
      <c r="C813" s="4" t="s">
        <v>23</v>
      </c>
      <c r="D813" s="4" t="s">
        <v>24</v>
      </c>
      <c r="E813" s="4" t="s">
        <v>30</v>
      </c>
      <c r="F813" s="4" t="s">
        <v>25</v>
      </c>
      <c r="G813" s="4" t="s">
        <v>25</v>
      </c>
      <c r="H813" s="4" t="s">
        <v>25</v>
      </c>
      <c r="I813" s="5">
        <v>44440</v>
      </c>
      <c r="J813" s="6">
        <v>0</v>
      </c>
      <c r="K813" s="6">
        <v>0</v>
      </c>
      <c r="L813" s="6">
        <v>1.7030000000000001</v>
      </c>
      <c r="M813" s="6">
        <v>1.7030000000000001</v>
      </c>
      <c r="N813" s="6">
        <v>1.7030000000000001</v>
      </c>
      <c r="O813" s="6">
        <v>1.7030000000000001</v>
      </c>
      <c r="P813" s="6">
        <v>32</v>
      </c>
      <c r="Q813" s="4" t="s">
        <v>26</v>
      </c>
      <c r="R813" s="4">
        <v>0</v>
      </c>
      <c r="S813" s="4" t="s">
        <v>248</v>
      </c>
      <c r="T813" s="4" t="s">
        <v>373</v>
      </c>
      <c r="U813" s="4">
        <v>0</v>
      </c>
      <c r="V813" s="4">
        <v>6</v>
      </c>
      <c r="W813" s="4">
        <v>55</v>
      </c>
    </row>
    <row r="814" spans="1:23" ht="11.25" customHeight="1" x14ac:dyDescent="0.25">
      <c r="A814" s="4" t="s">
        <v>21</v>
      </c>
      <c r="B814" s="4" t="s">
        <v>22</v>
      </c>
      <c r="C814" s="4" t="s">
        <v>23</v>
      </c>
      <c r="D814" s="4" t="s">
        <v>24</v>
      </c>
      <c r="E814" s="4" t="s">
        <v>30</v>
      </c>
      <c r="F814" s="4" t="s">
        <v>25</v>
      </c>
      <c r="G814" s="4" t="s">
        <v>25</v>
      </c>
      <c r="H814" s="4" t="s">
        <v>25</v>
      </c>
      <c r="I814" s="5">
        <v>44470</v>
      </c>
      <c r="J814" s="6">
        <v>0</v>
      </c>
      <c r="K814" s="6">
        <v>0</v>
      </c>
      <c r="L814" s="6">
        <v>1.8560000000000001</v>
      </c>
      <c r="M814" s="6">
        <v>1.8560000000000001</v>
      </c>
      <c r="N814" s="6">
        <v>1.8560000000000001</v>
      </c>
      <c r="O814" s="6">
        <v>1.8560000000000001</v>
      </c>
      <c r="P814" s="6">
        <v>41</v>
      </c>
      <c r="Q814" s="4" t="s">
        <v>26</v>
      </c>
      <c r="R814" s="4">
        <v>0</v>
      </c>
      <c r="S814" s="4" t="s">
        <v>249</v>
      </c>
      <c r="T814" s="4" t="s">
        <v>374</v>
      </c>
      <c r="U814" s="4">
        <v>0</v>
      </c>
      <c r="V814" s="4">
        <v>6</v>
      </c>
      <c r="W814" s="4">
        <v>55</v>
      </c>
    </row>
    <row r="815" spans="1:23" ht="11.25" customHeight="1" x14ac:dyDescent="0.25">
      <c r="A815" s="4" t="s">
        <v>21</v>
      </c>
      <c r="B815" s="4" t="s">
        <v>22</v>
      </c>
      <c r="C815" s="4" t="s">
        <v>23</v>
      </c>
      <c r="D815" s="4" t="s">
        <v>24</v>
      </c>
      <c r="E815" s="4" t="s">
        <v>30</v>
      </c>
      <c r="F815" s="4" t="s">
        <v>25</v>
      </c>
      <c r="G815" s="4" t="s">
        <v>25</v>
      </c>
      <c r="H815" s="4" t="s">
        <v>25</v>
      </c>
      <c r="I815" s="5">
        <v>44501</v>
      </c>
      <c r="J815" s="6">
        <v>0</v>
      </c>
      <c r="K815" s="6">
        <v>0</v>
      </c>
      <c r="L815" s="6">
        <v>1.742</v>
      </c>
      <c r="M815" s="6">
        <v>1.742</v>
      </c>
      <c r="N815" s="6">
        <v>1.742</v>
      </c>
      <c r="O815" s="6">
        <v>1.742</v>
      </c>
      <c r="P815" s="6">
        <v>35</v>
      </c>
      <c r="Q815" s="4" t="s">
        <v>26</v>
      </c>
      <c r="R815" s="4">
        <v>0</v>
      </c>
      <c r="S815" s="4" t="s">
        <v>250</v>
      </c>
      <c r="T815" s="4" t="s">
        <v>375</v>
      </c>
      <c r="U815" s="4">
        <v>0</v>
      </c>
      <c r="V815" s="4">
        <v>6</v>
      </c>
      <c r="W815" s="4">
        <v>55</v>
      </c>
    </row>
    <row r="816" spans="1:23" ht="11.25" customHeight="1" x14ac:dyDescent="0.25">
      <c r="A816" s="4" t="s">
        <v>27</v>
      </c>
      <c r="B816" s="4" t="s">
        <v>22</v>
      </c>
      <c r="C816" s="4" t="s">
        <v>23</v>
      </c>
      <c r="D816" s="4" t="s">
        <v>24</v>
      </c>
      <c r="E816" s="4" t="s">
        <v>30</v>
      </c>
      <c r="F816" s="4" t="s">
        <v>25</v>
      </c>
      <c r="G816" s="4" t="s">
        <v>25</v>
      </c>
      <c r="H816" s="4" t="s">
        <v>25</v>
      </c>
      <c r="I816" s="5">
        <v>44501</v>
      </c>
      <c r="J816" s="6">
        <v>0</v>
      </c>
      <c r="K816" s="6">
        <v>0</v>
      </c>
      <c r="L816" s="6">
        <v>-0.16600000000000001</v>
      </c>
      <c r="M816" s="6">
        <v>-0.16600000000000001</v>
      </c>
      <c r="N816" s="6">
        <v>-0.16600000000000001</v>
      </c>
      <c r="O816" s="6">
        <v>-0.16600000000000001</v>
      </c>
      <c r="P816" s="6">
        <v>-1</v>
      </c>
      <c r="Q816" s="4" t="s">
        <v>26</v>
      </c>
      <c r="R816" s="4">
        <v>0</v>
      </c>
      <c r="S816" s="4" t="s">
        <v>250</v>
      </c>
      <c r="T816" s="4" t="s">
        <v>375</v>
      </c>
      <c r="U816" s="4">
        <v>0</v>
      </c>
      <c r="V816" s="4">
        <v>6</v>
      </c>
      <c r="W816" s="4">
        <v>55</v>
      </c>
    </row>
    <row r="817" spans="1:23" ht="11.25" customHeight="1" x14ac:dyDescent="0.25">
      <c r="A817" s="4" t="s">
        <v>21</v>
      </c>
      <c r="B817" s="4" t="s">
        <v>22</v>
      </c>
      <c r="C817" s="4" t="s">
        <v>23</v>
      </c>
      <c r="D817" s="4" t="s">
        <v>24</v>
      </c>
      <c r="E817" s="4" t="s">
        <v>30</v>
      </c>
      <c r="F817" s="4" t="s">
        <v>25</v>
      </c>
      <c r="G817" s="4" t="s">
        <v>25</v>
      </c>
      <c r="H817" s="4" t="s">
        <v>25</v>
      </c>
      <c r="I817" s="5">
        <v>44531</v>
      </c>
      <c r="J817" s="6">
        <v>0</v>
      </c>
      <c r="K817" s="6">
        <v>0</v>
      </c>
      <c r="L817" s="6">
        <v>2.04</v>
      </c>
      <c r="M817" s="6">
        <v>2.04</v>
      </c>
      <c r="N817" s="6">
        <v>2.04</v>
      </c>
      <c r="O817" s="6">
        <v>2.04</v>
      </c>
      <c r="P817" s="6">
        <v>43</v>
      </c>
      <c r="Q817" s="4" t="s">
        <v>26</v>
      </c>
      <c r="R817" s="4">
        <v>0</v>
      </c>
      <c r="S817" s="4" t="s">
        <v>251</v>
      </c>
      <c r="T817" s="4" t="s">
        <v>376</v>
      </c>
      <c r="U817" s="4">
        <v>0</v>
      </c>
      <c r="V817" s="4">
        <v>6</v>
      </c>
      <c r="W817" s="4">
        <v>55</v>
      </c>
    </row>
    <row r="818" spans="1:23" ht="11.25" customHeight="1" x14ac:dyDescent="0.25">
      <c r="A818" s="4" t="s">
        <v>21</v>
      </c>
      <c r="B818" s="4" t="s">
        <v>22</v>
      </c>
      <c r="C818" s="4" t="s">
        <v>23</v>
      </c>
      <c r="D818" s="4" t="s">
        <v>24</v>
      </c>
      <c r="E818" s="4" t="s">
        <v>30</v>
      </c>
      <c r="F818" s="4" t="s">
        <v>25</v>
      </c>
      <c r="G818" s="4" t="s">
        <v>25</v>
      </c>
      <c r="H818" s="4" t="s">
        <v>25</v>
      </c>
      <c r="I818" s="5">
        <v>44562</v>
      </c>
      <c r="J818" s="6">
        <v>0</v>
      </c>
      <c r="K818" s="6">
        <v>0</v>
      </c>
      <c r="L818" s="6">
        <v>11.269</v>
      </c>
      <c r="M818" s="6">
        <v>11.269</v>
      </c>
      <c r="N818" s="6">
        <v>11.269</v>
      </c>
      <c r="O818" s="6">
        <v>11.269</v>
      </c>
      <c r="P818" s="6">
        <v>28</v>
      </c>
      <c r="Q818" s="4" t="s">
        <v>26</v>
      </c>
      <c r="R818" s="4">
        <v>0</v>
      </c>
      <c r="S818" s="4" t="s">
        <v>252</v>
      </c>
      <c r="T818" s="4" t="s">
        <v>377</v>
      </c>
      <c r="U818" s="4">
        <v>0</v>
      </c>
      <c r="V818" s="4">
        <v>6</v>
      </c>
      <c r="W818" s="4">
        <v>55</v>
      </c>
    </row>
    <row r="819" spans="1:23" ht="11.25" customHeight="1" x14ac:dyDescent="0.25">
      <c r="A819" s="4" t="s">
        <v>21</v>
      </c>
      <c r="B819" s="4" t="s">
        <v>22</v>
      </c>
      <c r="C819" s="4" t="s">
        <v>23</v>
      </c>
      <c r="D819" s="4" t="s">
        <v>24</v>
      </c>
      <c r="E819" s="4" t="s">
        <v>30</v>
      </c>
      <c r="F819" s="4" t="s">
        <v>25</v>
      </c>
      <c r="G819" s="4" t="s">
        <v>25</v>
      </c>
      <c r="H819" s="4" t="s">
        <v>25</v>
      </c>
      <c r="I819" s="5">
        <v>44593</v>
      </c>
      <c r="J819" s="6">
        <v>0</v>
      </c>
      <c r="K819" s="6">
        <v>0</v>
      </c>
      <c r="L819" s="6">
        <v>3.0270000000000001</v>
      </c>
      <c r="M819" s="6">
        <v>3.0270000000000001</v>
      </c>
      <c r="N819" s="6">
        <v>3.0270000000000001</v>
      </c>
      <c r="O819" s="6">
        <v>3.0270000000000001</v>
      </c>
      <c r="P819" s="6">
        <v>69</v>
      </c>
      <c r="Q819" s="4" t="s">
        <v>26</v>
      </c>
      <c r="R819" s="4">
        <v>0</v>
      </c>
      <c r="S819" s="4" t="s">
        <v>253</v>
      </c>
      <c r="T819" s="4" t="s">
        <v>378</v>
      </c>
      <c r="U819" s="4">
        <v>0</v>
      </c>
      <c r="V819" s="4">
        <v>6</v>
      </c>
      <c r="W819" s="4">
        <v>55</v>
      </c>
    </row>
    <row r="820" spans="1:23" ht="11.25" customHeight="1" x14ac:dyDescent="0.25">
      <c r="A820" s="4" t="s">
        <v>21</v>
      </c>
      <c r="B820" s="4" t="s">
        <v>22</v>
      </c>
      <c r="C820" s="4" t="s">
        <v>23</v>
      </c>
      <c r="D820" s="4" t="s">
        <v>24</v>
      </c>
      <c r="E820" s="4" t="s">
        <v>30</v>
      </c>
      <c r="F820" s="4" t="s">
        <v>25</v>
      </c>
      <c r="G820" s="4" t="s">
        <v>25</v>
      </c>
      <c r="H820" s="4" t="s">
        <v>25</v>
      </c>
      <c r="I820" s="5">
        <v>44621</v>
      </c>
      <c r="J820" s="6">
        <v>0</v>
      </c>
      <c r="K820" s="6">
        <v>0</v>
      </c>
      <c r="L820" s="6">
        <v>4.7270000000000003</v>
      </c>
      <c r="M820" s="6">
        <v>4.7270000000000003</v>
      </c>
      <c r="N820" s="6">
        <v>4.7270000000000003</v>
      </c>
      <c r="O820" s="6">
        <v>4.7270000000000003</v>
      </c>
      <c r="P820" s="6">
        <v>112</v>
      </c>
      <c r="Q820" s="4" t="s">
        <v>26</v>
      </c>
      <c r="R820" s="4">
        <v>0</v>
      </c>
      <c r="S820" s="4" t="s">
        <v>254</v>
      </c>
      <c r="T820" s="4" t="s">
        <v>379</v>
      </c>
      <c r="U820" s="4">
        <v>0</v>
      </c>
      <c r="V820" s="4">
        <v>6</v>
      </c>
      <c r="W820" s="4">
        <v>55</v>
      </c>
    </row>
    <row r="821" spans="1:23" ht="11.25" customHeight="1" x14ac:dyDescent="0.25">
      <c r="A821" s="4" t="s">
        <v>28</v>
      </c>
      <c r="B821" s="4" t="s">
        <v>22</v>
      </c>
      <c r="C821" s="4" t="s">
        <v>23</v>
      </c>
      <c r="D821" s="4" t="s">
        <v>24</v>
      </c>
      <c r="E821" s="4" t="s">
        <v>30</v>
      </c>
      <c r="F821" s="4" t="s">
        <v>25</v>
      </c>
      <c r="G821" s="4" t="s">
        <v>25</v>
      </c>
      <c r="H821" s="4" t="s">
        <v>25</v>
      </c>
      <c r="I821" s="5">
        <v>44621</v>
      </c>
      <c r="J821" s="6">
        <v>0</v>
      </c>
      <c r="K821" s="6">
        <v>0</v>
      </c>
      <c r="L821" s="6">
        <v>0.03</v>
      </c>
      <c r="M821" s="6">
        <v>0.03</v>
      </c>
      <c r="N821" s="6">
        <v>0.03</v>
      </c>
      <c r="O821" s="6">
        <v>0.03</v>
      </c>
      <c r="P821" s="6">
        <v>1</v>
      </c>
      <c r="Q821" s="4" t="s">
        <v>26</v>
      </c>
      <c r="R821" s="4">
        <v>0</v>
      </c>
      <c r="S821" s="4" t="s">
        <v>254</v>
      </c>
      <c r="T821" s="4" t="s">
        <v>379</v>
      </c>
      <c r="U821" s="4">
        <v>0</v>
      </c>
      <c r="V821" s="4">
        <v>6</v>
      </c>
      <c r="W821" s="4">
        <v>55</v>
      </c>
    </row>
    <row r="822" spans="1:23" ht="11.25" customHeight="1" x14ac:dyDescent="0.25">
      <c r="A822" s="4" t="s">
        <v>21</v>
      </c>
      <c r="B822" s="4" t="s">
        <v>22</v>
      </c>
      <c r="C822" s="4" t="s">
        <v>23</v>
      </c>
      <c r="D822" s="4" t="s">
        <v>24</v>
      </c>
      <c r="E822" s="4" t="s">
        <v>30</v>
      </c>
      <c r="F822" s="4" t="s">
        <v>25</v>
      </c>
      <c r="G822" s="4" t="s">
        <v>25</v>
      </c>
      <c r="H822" s="4" t="s">
        <v>25</v>
      </c>
      <c r="I822" s="5">
        <v>44652</v>
      </c>
      <c r="J822" s="6">
        <v>0</v>
      </c>
      <c r="K822" s="6">
        <v>0</v>
      </c>
      <c r="L822" s="6">
        <v>9.3559999999999999</v>
      </c>
      <c r="M822" s="6">
        <v>9.3559999999999999</v>
      </c>
      <c r="N822" s="6">
        <v>9.3559999999999999</v>
      </c>
      <c r="O822" s="6">
        <v>9.3559999999999999</v>
      </c>
      <c r="P822" s="6">
        <v>216</v>
      </c>
      <c r="Q822" s="4" t="s">
        <v>26</v>
      </c>
      <c r="R822" s="4">
        <v>0</v>
      </c>
      <c r="S822" s="4" t="s">
        <v>255</v>
      </c>
      <c r="T822" s="4" t="s">
        <v>380</v>
      </c>
      <c r="U822" s="4">
        <v>0</v>
      </c>
      <c r="V822" s="4">
        <v>6</v>
      </c>
      <c r="W822" s="4">
        <v>55</v>
      </c>
    </row>
    <row r="823" spans="1:23" ht="11.25" customHeight="1" x14ac:dyDescent="0.25">
      <c r="A823" s="4" t="s">
        <v>21</v>
      </c>
      <c r="B823" s="4" t="s">
        <v>22</v>
      </c>
      <c r="C823" s="4" t="s">
        <v>23</v>
      </c>
      <c r="D823" s="4" t="s">
        <v>24</v>
      </c>
      <c r="E823" s="4" t="s">
        <v>30</v>
      </c>
      <c r="F823" s="4" t="s">
        <v>25</v>
      </c>
      <c r="G823" s="4" t="s">
        <v>25</v>
      </c>
      <c r="H823" s="4" t="s">
        <v>25</v>
      </c>
      <c r="I823" s="5">
        <v>44682</v>
      </c>
      <c r="J823" s="6">
        <v>0</v>
      </c>
      <c r="K823" s="6">
        <v>0</v>
      </c>
      <c r="L823" s="6">
        <v>10.936</v>
      </c>
      <c r="M823" s="6">
        <v>10.936</v>
      </c>
      <c r="N823" s="6">
        <v>10.936</v>
      </c>
      <c r="O823" s="6">
        <v>10.936</v>
      </c>
      <c r="P823" s="6">
        <v>266</v>
      </c>
      <c r="Q823" s="4" t="s">
        <v>26</v>
      </c>
      <c r="R823" s="4">
        <v>0</v>
      </c>
      <c r="S823" s="4" t="s">
        <v>256</v>
      </c>
      <c r="T823" s="4" t="s">
        <v>381</v>
      </c>
      <c r="U823" s="4">
        <v>0</v>
      </c>
      <c r="V823" s="4">
        <v>6</v>
      </c>
      <c r="W823" s="4">
        <v>55</v>
      </c>
    </row>
    <row r="824" spans="1:23" ht="11.25" customHeight="1" x14ac:dyDescent="0.25">
      <c r="A824" s="4" t="s">
        <v>21</v>
      </c>
      <c r="B824" s="4" t="s">
        <v>22</v>
      </c>
      <c r="C824" s="4" t="s">
        <v>23</v>
      </c>
      <c r="D824" s="4" t="s">
        <v>24</v>
      </c>
      <c r="E824" s="4" t="s">
        <v>30</v>
      </c>
      <c r="F824" s="4" t="s">
        <v>25</v>
      </c>
      <c r="G824" s="4" t="s">
        <v>25</v>
      </c>
      <c r="H824" s="4" t="s">
        <v>25</v>
      </c>
      <c r="I824" s="5">
        <v>44713</v>
      </c>
      <c r="J824" s="6">
        <v>0</v>
      </c>
      <c r="K824" s="6">
        <v>0</v>
      </c>
      <c r="L824" s="6">
        <v>9.8409999999999993</v>
      </c>
      <c r="M824" s="6">
        <v>9.8409999999999993</v>
      </c>
      <c r="N824" s="6">
        <v>9.8409999999999993</v>
      </c>
      <c r="O824" s="6">
        <v>9.8409999999999993</v>
      </c>
      <c r="P824" s="6">
        <v>229</v>
      </c>
      <c r="Q824" s="4" t="s">
        <v>26</v>
      </c>
      <c r="R824" s="4">
        <v>0</v>
      </c>
      <c r="S824" s="4" t="s">
        <v>257</v>
      </c>
      <c r="T824" s="4" t="s">
        <v>382</v>
      </c>
      <c r="U824" s="4">
        <v>0</v>
      </c>
      <c r="V824" s="4">
        <v>6</v>
      </c>
      <c r="W824" s="4">
        <v>55</v>
      </c>
    </row>
    <row r="825" spans="1:23" ht="11.25" customHeight="1" x14ac:dyDescent="0.25">
      <c r="A825" s="4" t="s">
        <v>21</v>
      </c>
      <c r="B825" s="4" t="s">
        <v>22</v>
      </c>
      <c r="C825" s="4" t="s">
        <v>23</v>
      </c>
      <c r="D825" s="4" t="s">
        <v>24</v>
      </c>
      <c r="E825" s="4" t="s">
        <v>31</v>
      </c>
      <c r="F825" s="4" t="s">
        <v>25</v>
      </c>
      <c r="G825" s="4" t="s">
        <v>25</v>
      </c>
      <c r="H825" s="4" t="s">
        <v>25</v>
      </c>
      <c r="I825" s="5">
        <v>44378</v>
      </c>
      <c r="J825" s="6">
        <v>0</v>
      </c>
      <c r="K825" s="6">
        <v>0</v>
      </c>
      <c r="L825" s="6">
        <v>20.117999999999999</v>
      </c>
      <c r="M825" s="6">
        <v>20.117999999999999</v>
      </c>
      <c r="N825" s="6">
        <v>20.117999999999999</v>
      </c>
      <c r="O825" s="6">
        <v>20.117999999999999</v>
      </c>
      <c r="P825" s="6">
        <v>130</v>
      </c>
      <c r="Q825" s="4" t="s">
        <v>26</v>
      </c>
      <c r="R825" s="4">
        <v>0</v>
      </c>
      <c r="S825" s="4" t="s">
        <v>258</v>
      </c>
      <c r="T825" s="4" t="s">
        <v>383</v>
      </c>
      <c r="U825" s="4">
        <v>0</v>
      </c>
      <c r="V825" s="4">
        <v>15</v>
      </c>
      <c r="W825" s="4">
        <v>86</v>
      </c>
    </row>
    <row r="826" spans="1:23" ht="11.25" customHeight="1" x14ac:dyDescent="0.25">
      <c r="A826" s="4" t="s">
        <v>21</v>
      </c>
      <c r="B826" s="4" t="s">
        <v>22</v>
      </c>
      <c r="C826" s="4" t="s">
        <v>23</v>
      </c>
      <c r="D826" s="4" t="s">
        <v>24</v>
      </c>
      <c r="E826" s="4" t="s">
        <v>31</v>
      </c>
      <c r="F826" s="4" t="s">
        <v>25</v>
      </c>
      <c r="G826" s="4" t="s">
        <v>25</v>
      </c>
      <c r="H826" s="4" t="s">
        <v>25</v>
      </c>
      <c r="I826" s="5">
        <v>44409</v>
      </c>
      <c r="J826" s="6">
        <v>0</v>
      </c>
      <c r="K826" s="6">
        <v>0</v>
      </c>
      <c r="L826" s="6">
        <v>21.292999999999999</v>
      </c>
      <c r="M826" s="6">
        <v>21.292999999999999</v>
      </c>
      <c r="N826" s="6">
        <v>21.292999999999999</v>
      </c>
      <c r="O826" s="6">
        <v>21.292999999999999</v>
      </c>
      <c r="P826" s="6">
        <v>132</v>
      </c>
      <c r="Q826" s="4" t="s">
        <v>26</v>
      </c>
      <c r="R826" s="4">
        <v>0</v>
      </c>
      <c r="S826" s="4" t="s">
        <v>259</v>
      </c>
      <c r="T826" s="4" t="s">
        <v>384</v>
      </c>
      <c r="U826" s="4">
        <v>0</v>
      </c>
      <c r="V826" s="4">
        <v>15</v>
      </c>
      <c r="W826" s="4">
        <v>86</v>
      </c>
    </row>
    <row r="827" spans="1:23" ht="11.25" customHeight="1" x14ac:dyDescent="0.25">
      <c r="A827" s="4" t="s">
        <v>21</v>
      </c>
      <c r="B827" s="4" t="s">
        <v>22</v>
      </c>
      <c r="C827" s="4" t="s">
        <v>23</v>
      </c>
      <c r="D827" s="4" t="s">
        <v>24</v>
      </c>
      <c r="E827" s="4" t="s">
        <v>31</v>
      </c>
      <c r="F827" s="4" t="s">
        <v>25</v>
      </c>
      <c r="G827" s="4" t="s">
        <v>25</v>
      </c>
      <c r="H827" s="4" t="s">
        <v>25</v>
      </c>
      <c r="I827" s="5">
        <v>44440</v>
      </c>
      <c r="J827" s="6">
        <v>0</v>
      </c>
      <c r="K827" s="6">
        <v>0</v>
      </c>
      <c r="L827" s="6">
        <v>22.510999999999999</v>
      </c>
      <c r="M827" s="6">
        <v>22.510999999999999</v>
      </c>
      <c r="N827" s="6">
        <v>22.510999999999999</v>
      </c>
      <c r="O827" s="6">
        <v>22.510999999999999</v>
      </c>
      <c r="P827" s="6">
        <v>141</v>
      </c>
      <c r="Q827" s="4" t="s">
        <v>26</v>
      </c>
      <c r="R827" s="4">
        <v>0</v>
      </c>
      <c r="S827" s="4" t="s">
        <v>260</v>
      </c>
      <c r="T827" s="4" t="s">
        <v>385</v>
      </c>
      <c r="U827" s="4">
        <v>0</v>
      </c>
      <c r="V827" s="4">
        <v>15</v>
      </c>
      <c r="W827" s="4">
        <v>86</v>
      </c>
    </row>
    <row r="828" spans="1:23" ht="11.25" customHeight="1" x14ac:dyDescent="0.25">
      <c r="A828" s="4" t="s">
        <v>21</v>
      </c>
      <c r="B828" s="4" t="s">
        <v>22</v>
      </c>
      <c r="C828" s="4" t="s">
        <v>23</v>
      </c>
      <c r="D828" s="4" t="s">
        <v>24</v>
      </c>
      <c r="E828" s="4" t="s">
        <v>31</v>
      </c>
      <c r="F828" s="4" t="s">
        <v>25</v>
      </c>
      <c r="G828" s="4" t="s">
        <v>25</v>
      </c>
      <c r="H828" s="4" t="s">
        <v>25</v>
      </c>
      <c r="I828" s="5">
        <v>44470</v>
      </c>
      <c r="J828" s="6">
        <v>0</v>
      </c>
      <c r="K828" s="6">
        <v>0</v>
      </c>
      <c r="L828" s="6">
        <v>22.129000000000001</v>
      </c>
      <c r="M828" s="6">
        <v>22.129000000000001</v>
      </c>
      <c r="N828" s="6">
        <v>22.129000000000001</v>
      </c>
      <c r="O828" s="6">
        <v>22.129000000000001</v>
      </c>
      <c r="P828" s="6">
        <v>143</v>
      </c>
      <c r="Q828" s="4" t="s">
        <v>26</v>
      </c>
      <c r="R828" s="4">
        <v>0</v>
      </c>
      <c r="S828" s="4" t="s">
        <v>261</v>
      </c>
      <c r="T828" s="4" t="s">
        <v>386</v>
      </c>
      <c r="U828" s="4">
        <v>0</v>
      </c>
      <c r="V828" s="4">
        <v>15</v>
      </c>
      <c r="W828" s="4">
        <v>86</v>
      </c>
    </row>
    <row r="829" spans="1:23" ht="11.25" customHeight="1" x14ac:dyDescent="0.25">
      <c r="A829" s="4" t="s">
        <v>21</v>
      </c>
      <c r="B829" s="4" t="s">
        <v>22</v>
      </c>
      <c r="C829" s="4" t="s">
        <v>23</v>
      </c>
      <c r="D829" s="4" t="s">
        <v>24</v>
      </c>
      <c r="E829" s="4" t="s">
        <v>31</v>
      </c>
      <c r="F829" s="4" t="s">
        <v>25</v>
      </c>
      <c r="G829" s="4" t="s">
        <v>25</v>
      </c>
      <c r="H829" s="4" t="s">
        <v>25</v>
      </c>
      <c r="I829" s="5">
        <v>44501</v>
      </c>
      <c r="J829" s="6">
        <v>0</v>
      </c>
      <c r="K829" s="6">
        <v>0</v>
      </c>
      <c r="L829" s="6">
        <v>23.164999999999999</v>
      </c>
      <c r="M829" s="6">
        <v>23.164999999999999</v>
      </c>
      <c r="N829" s="6">
        <v>23.164999999999999</v>
      </c>
      <c r="O829" s="6">
        <v>23.164999999999999</v>
      </c>
      <c r="P829" s="6">
        <v>142</v>
      </c>
      <c r="Q829" s="4" t="s">
        <v>26</v>
      </c>
      <c r="R829" s="4">
        <v>0</v>
      </c>
      <c r="S829" s="4" t="s">
        <v>262</v>
      </c>
      <c r="T829" s="4" t="s">
        <v>387</v>
      </c>
      <c r="U829" s="4">
        <v>0</v>
      </c>
      <c r="V829" s="4">
        <v>15</v>
      </c>
      <c r="W829" s="4">
        <v>86</v>
      </c>
    </row>
    <row r="830" spans="1:23" ht="11.25" customHeight="1" x14ac:dyDescent="0.25">
      <c r="A830" s="4" t="s">
        <v>27</v>
      </c>
      <c r="B830" s="4" t="s">
        <v>22</v>
      </c>
      <c r="C830" s="4" t="s">
        <v>23</v>
      </c>
      <c r="D830" s="4" t="s">
        <v>24</v>
      </c>
      <c r="E830" s="4" t="s">
        <v>31</v>
      </c>
      <c r="F830" s="4" t="s">
        <v>25</v>
      </c>
      <c r="G830" s="4" t="s">
        <v>25</v>
      </c>
      <c r="H830" s="4" t="s">
        <v>25</v>
      </c>
      <c r="I830" s="5">
        <v>44501</v>
      </c>
      <c r="J830" s="6">
        <v>0</v>
      </c>
      <c r="K830" s="6">
        <v>0</v>
      </c>
      <c r="L830" s="6">
        <v>-0.68700000000000006</v>
      </c>
      <c r="M830" s="6">
        <v>-0.68700000000000006</v>
      </c>
      <c r="N830" s="6">
        <v>-0.68700000000000006</v>
      </c>
      <c r="O830" s="6">
        <v>-0.68700000000000006</v>
      </c>
      <c r="P830" s="6">
        <v>-6</v>
      </c>
      <c r="Q830" s="4" t="s">
        <v>26</v>
      </c>
      <c r="R830" s="4">
        <v>0</v>
      </c>
      <c r="S830" s="4" t="s">
        <v>262</v>
      </c>
      <c r="T830" s="4" t="s">
        <v>387</v>
      </c>
      <c r="U830" s="4">
        <v>0</v>
      </c>
      <c r="V830" s="4">
        <v>15</v>
      </c>
      <c r="W830" s="4">
        <v>86</v>
      </c>
    </row>
    <row r="831" spans="1:23" ht="11.25" customHeight="1" x14ac:dyDescent="0.25">
      <c r="A831" s="4" t="s">
        <v>28</v>
      </c>
      <c r="B831" s="4" t="s">
        <v>22</v>
      </c>
      <c r="C831" s="4" t="s">
        <v>23</v>
      </c>
      <c r="D831" s="4" t="s">
        <v>24</v>
      </c>
      <c r="E831" s="4" t="s">
        <v>31</v>
      </c>
      <c r="F831" s="4" t="s">
        <v>25</v>
      </c>
      <c r="G831" s="4" t="s">
        <v>25</v>
      </c>
      <c r="H831" s="4" t="s">
        <v>25</v>
      </c>
      <c r="I831" s="5">
        <v>44501</v>
      </c>
      <c r="J831" s="6">
        <v>0</v>
      </c>
      <c r="K831" s="6">
        <v>0</v>
      </c>
      <c r="L831" s="6">
        <v>0.03</v>
      </c>
      <c r="M831" s="6">
        <v>0.03</v>
      </c>
      <c r="N831" s="6">
        <v>0.03</v>
      </c>
      <c r="O831" s="6">
        <v>0.03</v>
      </c>
      <c r="P831" s="6">
        <v>1</v>
      </c>
      <c r="Q831" s="4" t="s">
        <v>26</v>
      </c>
      <c r="R831" s="4">
        <v>0</v>
      </c>
      <c r="S831" s="4" t="s">
        <v>262</v>
      </c>
      <c r="T831" s="4" t="s">
        <v>387</v>
      </c>
      <c r="U831" s="4">
        <v>0</v>
      </c>
      <c r="V831" s="4">
        <v>15</v>
      </c>
      <c r="W831" s="4">
        <v>86</v>
      </c>
    </row>
    <row r="832" spans="1:23" ht="11.25" customHeight="1" x14ac:dyDescent="0.25">
      <c r="A832" s="4" t="s">
        <v>21</v>
      </c>
      <c r="B832" s="4" t="s">
        <v>22</v>
      </c>
      <c r="C832" s="4" t="s">
        <v>23</v>
      </c>
      <c r="D832" s="4" t="s">
        <v>24</v>
      </c>
      <c r="E832" s="4" t="s">
        <v>31</v>
      </c>
      <c r="F832" s="4" t="s">
        <v>25</v>
      </c>
      <c r="G832" s="4" t="s">
        <v>25</v>
      </c>
      <c r="H832" s="4" t="s">
        <v>25</v>
      </c>
      <c r="I832" s="5">
        <v>44531</v>
      </c>
      <c r="J832" s="6">
        <v>0</v>
      </c>
      <c r="K832" s="6">
        <v>0</v>
      </c>
      <c r="L832" s="6">
        <v>22.89</v>
      </c>
      <c r="M832" s="6">
        <v>22.89</v>
      </c>
      <c r="N832" s="6">
        <v>22.89</v>
      </c>
      <c r="O832" s="6">
        <v>22.89</v>
      </c>
      <c r="P832" s="6">
        <v>144</v>
      </c>
      <c r="Q832" s="4" t="s">
        <v>26</v>
      </c>
      <c r="R832" s="4">
        <v>0</v>
      </c>
      <c r="S832" s="4" t="s">
        <v>263</v>
      </c>
      <c r="T832" s="4" t="s">
        <v>388</v>
      </c>
      <c r="U832" s="4">
        <v>0</v>
      </c>
      <c r="V832" s="4">
        <v>15</v>
      </c>
      <c r="W832" s="4">
        <v>86</v>
      </c>
    </row>
    <row r="833" spans="1:23" ht="11.25" customHeight="1" x14ac:dyDescent="0.25">
      <c r="A833" s="4" t="s">
        <v>21</v>
      </c>
      <c r="B833" s="4" t="s">
        <v>22</v>
      </c>
      <c r="C833" s="4" t="s">
        <v>23</v>
      </c>
      <c r="D833" s="4" t="s">
        <v>24</v>
      </c>
      <c r="E833" s="4" t="s">
        <v>31</v>
      </c>
      <c r="F833" s="4" t="s">
        <v>25</v>
      </c>
      <c r="G833" s="4" t="s">
        <v>25</v>
      </c>
      <c r="H833" s="4" t="s">
        <v>25</v>
      </c>
      <c r="I833" s="5">
        <v>44562</v>
      </c>
      <c r="J833" s="6">
        <v>0</v>
      </c>
      <c r="K833" s="6">
        <v>0</v>
      </c>
      <c r="L833" s="6">
        <v>21.231999999999999</v>
      </c>
      <c r="M833" s="6">
        <v>21.231999999999999</v>
      </c>
      <c r="N833" s="6">
        <v>21.231999999999999</v>
      </c>
      <c r="O833" s="6">
        <v>21.231999999999999</v>
      </c>
      <c r="P833" s="6">
        <v>123</v>
      </c>
      <c r="Q833" s="4" t="s">
        <v>26</v>
      </c>
      <c r="R833" s="4">
        <v>0</v>
      </c>
      <c r="S833" s="4" t="s">
        <v>264</v>
      </c>
      <c r="T833" s="4" t="s">
        <v>389</v>
      </c>
      <c r="U833" s="4">
        <v>0</v>
      </c>
      <c r="V833" s="4">
        <v>15</v>
      </c>
      <c r="W833" s="4">
        <v>86</v>
      </c>
    </row>
    <row r="834" spans="1:23" ht="11.25" customHeight="1" x14ac:dyDescent="0.25">
      <c r="A834" s="4" t="s">
        <v>28</v>
      </c>
      <c r="B834" s="4" t="s">
        <v>22</v>
      </c>
      <c r="C834" s="4" t="s">
        <v>23</v>
      </c>
      <c r="D834" s="4" t="s">
        <v>24</v>
      </c>
      <c r="E834" s="4" t="s">
        <v>31</v>
      </c>
      <c r="F834" s="4" t="s">
        <v>25</v>
      </c>
      <c r="G834" s="4" t="s">
        <v>25</v>
      </c>
      <c r="H834" s="4" t="s">
        <v>25</v>
      </c>
      <c r="I834" s="5">
        <v>44562</v>
      </c>
      <c r="J834" s="6">
        <v>0</v>
      </c>
      <c r="K834" s="6">
        <v>0</v>
      </c>
      <c r="L834" s="6">
        <v>0.03</v>
      </c>
      <c r="M834" s="6">
        <v>0.03</v>
      </c>
      <c r="N834" s="6">
        <v>0.03</v>
      </c>
      <c r="O834" s="6">
        <v>0.03</v>
      </c>
      <c r="P834" s="6">
        <v>1</v>
      </c>
      <c r="Q834" s="4" t="s">
        <v>26</v>
      </c>
      <c r="R834" s="4">
        <v>0</v>
      </c>
      <c r="S834" s="4" t="s">
        <v>264</v>
      </c>
      <c r="T834" s="4" t="s">
        <v>389</v>
      </c>
      <c r="U834" s="4">
        <v>0</v>
      </c>
      <c r="V834" s="4">
        <v>15</v>
      </c>
      <c r="W834" s="4">
        <v>86</v>
      </c>
    </row>
    <row r="835" spans="1:23" ht="11.25" customHeight="1" x14ac:dyDescent="0.25">
      <c r="A835" s="4" t="s">
        <v>21</v>
      </c>
      <c r="B835" s="4" t="s">
        <v>22</v>
      </c>
      <c r="C835" s="4" t="s">
        <v>23</v>
      </c>
      <c r="D835" s="4" t="s">
        <v>24</v>
      </c>
      <c r="E835" s="4" t="s">
        <v>31</v>
      </c>
      <c r="F835" s="4" t="s">
        <v>25</v>
      </c>
      <c r="G835" s="4" t="s">
        <v>25</v>
      </c>
      <c r="H835" s="4" t="s">
        <v>25</v>
      </c>
      <c r="I835" s="5">
        <v>44593</v>
      </c>
      <c r="J835" s="6">
        <v>0</v>
      </c>
      <c r="K835" s="6">
        <v>0</v>
      </c>
      <c r="L835" s="6">
        <v>37.284999999999997</v>
      </c>
      <c r="M835" s="6">
        <v>37.284999999999997</v>
      </c>
      <c r="N835" s="6">
        <v>37.284999999999997</v>
      </c>
      <c r="O835" s="6">
        <v>37.284999999999997</v>
      </c>
      <c r="P835" s="6">
        <v>213</v>
      </c>
      <c r="Q835" s="4" t="s">
        <v>26</v>
      </c>
      <c r="R835" s="4">
        <v>0</v>
      </c>
      <c r="S835" s="4" t="s">
        <v>265</v>
      </c>
      <c r="T835" s="4" t="s">
        <v>390</v>
      </c>
      <c r="U835" s="4">
        <v>0</v>
      </c>
      <c r="V835" s="4">
        <v>15</v>
      </c>
      <c r="W835" s="4">
        <v>86</v>
      </c>
    </row>
    <row r="836" spans="1:23" ht="11.25" customHeight="1" x14ac:dyDescent="0.25">
      <c r="A836" s="4" t="s">
        <v>28</v>
      </c>
      <c r="B836" s="4" t="s">
        <v>22</v>
      </c>
      <c r="C836" s="4" t="s">
        <v>23</v>
      </c>
      <c r="D836" s="4" t="s">
        <v>24</v>
      </c>
      <c r="E836" s="4" t="s">
        <v>31</v>
      </c>
      <c r="F836" s="4" t="s">
        <v>25</v>
      </c>
      <c r="G836" s="4" t="s">
        <v>25</v>
      </c>
      <c r="H836" s="4" t="s">
        <v>25</v>
      </c>
      <c r="I836" s="5">
        <v>44593</v>
      </c>
      <c r="J836" s="6">
        <v>0</v>
      </c>
      <c r="K836" s="6">
        <v>0</v>
      </c>
      <c r="L836" s="6">
        <v>0.03</v>
      </c>
      <c r="M836" s="6">
        <v>0.03</v>
      </c>
      <c r="N836" s="6">
        <v>0.03</v>
      </c>
      <c r="O836" s="6">
        <v>0.03</v>
      </c>
      <c r="P836" s="6">
        <v>1</v>
      </c>
      <c r="Q836" s="4" t="s">
        <v>26</v>
      </c>
      <c r="R836" s="4">
        <v>0</v>
      </c>
      <c r="S836" s="4" t="s">
        <v>265</v>
      </c>
      <c r="T836" s="4" t="s">
        <v>390</v>
      </c>
      <c r="U836" s="4">
        <v>0</v>
      </c>
      <c r="V836" s="4">
        <v>15</v>
      </c>
      <c r="W836" s="4">
        <v>86</v>
      </c>
    </row>
    <row r="837" spans="1:23" ht="11.25" customHeight="1" x14ac:dyDescent="0.25">
      <c r="A837" s="4" t="s">
        <v>21</v>
      </c>
      <c r="B837" s="4" t="s">
        <v>22</v>
      </c>
      <c r="C837" s="4" t="s">
        <v>23</v>
      </c>
      <c r="D837" s="4" t="s">
        <v>24</v>
      </c>
      <c r="E837" s="4" t="s">
        <v>31</v>
      </c>
      <c r="F837" s="4" t="s">
        <v>25</v>
      </c>
      <c r="G837" s="4" t="s">
        <v>25</v>
      </c>
      <c r="H837" s="4" t="s">
        <v>25</v>
      </c>
      <c r="I837" s="5">
        <v>44621</v>
      </c>
      <c r="J837" s="6">
        <v>0</v>
      </c>
      <c r="K837" s="6">
        <v>0</v>
      </c>
      <c r="L837" s="6">
        <v>46.143000000000001</v>
      </c>
      <c r="M837" s="6">
        <v>46.143000000000001</v>
      </c>
      <c r="N837" s="6">
        <v>46.143000000000001</v>
      </c>
      <c r="O837" s="6">
        <v>46.143000000000001</v>
      </c>
      <c r="P837" s="6">
        <v>282</v>
      </c>
      <c r="Q837" s="4" t="s">
        <v>26</v>
      </c>
      <c r="R837" s="4">
        <v>0</v>
      </c>
      <c r="S837" s="4" t="s">
        <v>266</v>
      </c>
      <c r="T837" s="4" t="s">
        <v>391</v>
      </c>
      <c r="U837" s="4">
        <v>0</v>
      </c>
      <c r="V837" s="4">
        <v>15</v>
      </c>
      <c r="W837" s="4">
        <v>86</v>
      </c>
    </row>
    <row r="838" spans="1:23" ht="11.25" customHeight="1" x14ac:dyDescent="0.25">
      <c r="A838" s="4" t="s">
        <v>27</v>
      </c>
      <c r="B838" s="4" t="s">
        <v>22</v>
      </c>
      <c r="C838" s="4" t="s">
        <v>23</v>
      </c>
      <c r="D838" s="4" t="s">
        <v>24</v>
      </c>
      <c r="E838" s="4" t="s">
        <v>31</v>
      </c>
      <c r="F838" s="4" t="s">
        <v>25</v>
      </c>
      <c r="G838" s="4" t="s">
        <v>25</v>
      </c>
      <c r="H838" s="4" t="s">
        <v>25</v>
      </c>
      <c r="I838" s="5">
        <v>44621</v>
      </c>
      <c r="J838" s="6">
        <v>0</v>
      </c>
      <c r="K838" s="6">
        <v>0</v>
      </c>
      <c r="L838" s="6">
        <v>-8.1000000000000003E-2</v>
      </c>
      <c r="M838" s="6">
        <v>-8.1000000000000003E-2</v>
      </c>
      <c r="N838" s="6">
        <v>-8.1000000000000003E-2</v>
      </c>
      <c r="O838" s="6">
        <v>-8.1000000000000003E-2</v>
      </c>
      <c r="P838" s="6">
        <v>-1</v>
      </c>
      <c r="Q838" s="4" t="s">
        <v>26</v>
      </c>
      <c r="R838" s="4">
        <v>0</v>
      </c>
      <c r="S838" s="4" t="s">
        <v>266</v>
      </c>
      <c r="T838" s="4" t="s">
        <v>391</v>
      </c>
      <c r="U838" s="4">
        <v>0</v>
      </c>
      <c r="V838" s="4">
        <v>15</v>
      </c>
      <c r="W838" s="4">
        <v>86</v>
      </c>
    </row>
    <row r="839" spans="1:23" ht="11.25" customHeight="1" x14ac:dyDescent="0.25">
      <c r="A839" s="4" t="s">
        <v>21</v>
      </c>
      <c r="B839" s="4" t="s">
        <v>22</v>
      </c>
      <c r="C839" s="4" t="s">
        <v>23</v>
      </c>
      <c r="D839" s="4" t="s">
        <v>24</v>
      </c>
      <c r="E839" s="4" t="s">
        <v>31</v>
      </c>
      <c r="F839" s="4" t="s">
        <v>25</v>
      </c>
      <c r="G839" s="4" t="s">
        <v>25</v>
      </c>
      <c r="H839" s="4" t="s">
        <v>25</v>
      </c>
      <c r="I839" s="5">
        <v>44652</v>
      </c>
      <c r="J839" s="6">
        <v>0</v>
      </c>
      <c r="K839" s="6">
        <v>0</v>
      </c>
      <c r="L839" s="6">
        <v>74.665999999999997</v>
      </c>
      <c r="M839" s="6">
        <v>74.665999999999997</v>
      </c>
      <c r="N839" s="6">
        <v>74.665999999999997</v>
      </c>
      <c r="O839" s="6">
        <v>74.665999999999997</v>
      </c>
      <c r="P839" s="6">
        <v>476</v>
      </c>
      <c r="Q839" s="4" t="s">
        <v>26</v>
      </c>
      <c r="R839" s="4">
        <v>0</v>
      </c>
      <c r="S839" s="4" t="s">
        <v>267</v>
      </c>
      <c r="T839" s="4" t="s">
        <v>392</v>
      </c>
      <c r="U839" s="4">
        <v>0</v>
      </c>
      <c r="V839" s="4">
        <v>15</v>
      </c>
      <c r="W839" s="4">
        <v>86</v>
      </c>
    </row>
    <row r="840" spans="1:23" ht="11.25" customHeight="1" x14ac:dyDescent="0.25">
      <c r="A840" s="4" t="s">
        <v>28</v>
      </c>
      <c r="B840" s="4" t="s">
        <v>22</v>
      </c>
      <c r="C840" s="4" t="s">
        <v>23</v>
      </c>
      <c r="D840" s="4" t="s">
        <v>24</v>
      </c>
      <c r="E840" s="4" t="s">
        <v>31</v>
      </c>
      <c r="F840" s="4" t="s">
        <v>25</v>
      </c>
      <c r="G840" s="4" t="s">
        <v>25</v>
      </c>
      <c r="H840" s="4" t="s">
        <v>25</v>
      </c>
      <c r="I840" s="5">
        <v>44652</v>
      </c>
      <c r="J840" s="6">
        <v>0</v>
      </c>
      <c r="K840" s="6">
        <v>0</v>
      </c>
      <c r="L840" s="6">
        <v>0.03</v>
      </c>
      <c r="M840" s="6">
        <v>0.03</v>
      </c>
      <c r="N840" s="6">
        <v>0.03</v>
      </c>
      <c r="O840" s="6">
        <v>0.03</v>
      </c>
      <c r="P840" s="6">
        <v>1</v>
      </c>
      <c r="Q840" s="4" t="s">
        <v>26</v>
      </c>
      <c r="R840" s="4">
        <v>0</v>
      </c>
      <c r="S840" s="4" t="s">
        <v>267</v>
      </c>
      <c r="T840" s="4" t="s">
        <v>392</v>
      </c>
      <c r="U840" s="4">
        <v>0</v>
      </c>
      <c r="V840" s="4">
        <v>15</v>
      </c>
      <c r="W840" s="4">
        <v>86</v>
      </c>
    </row>
    <row r="841" spans="1:23" ht="11.25" customHeight="1" x14ac:dyDescent="0.25">
      <c r="A841" s="4" t="s">
        <v>21</v>
      </c>
      <c r="B841" s="4" t="s">
        <v>22</v>
      </c>
      <c r="C841" s="4" t="s">
        <v>23</v>
      </c>
      <c r="D841" s="4" t="s">
        <v>24</v>
      </c>
      <c r="E841" s="4" t="s">
        <v>31</v>
      </c>
      <c r="F841" s="4" t="s">
        <v>25</v>
      </c>
      <c r="G841" s="4" t="s">
        <v>25</v>
      </c>
      <c r="H841" s="4" t="s">
        <v>25</v>
      </c>
      <c r="I841" s="5">
        <v>44682</v>
      </c>
      <c r="J841" s="6">
        <v>0</v>
      </c>
      <c r="K841" s="6">
        <v>0</v>
      </c>
      <c r="L841" s="6">
        <v>76.320999999999998</v>
      </c>
      <c r="M841" s="6">
        <v>76.320999999999998</v>
      </c>
      <c r="N841" s="6">
        <v>76.320999999999998</v>
      </c>
      <c r="O841" s="6">
        <v>76.320999999999998</v>
      </c>
      <c r="P841" s="6">
        <v>514</v>
      </c>
      <c r="Q841" s="4" t="s">
        <v>26</v>
      </c>
      <c r="R841" s="4">
        <v>0</v>
      </c>
      <c r="S841" s="4" t="s">
        <v>268</v>
      </c>
      <c r="T841" s="4" t="s">
        <v>393</v>
      </c>
      <c r="U841" s="4">
        <v>0</v>
      </c>
      <c r="V841" s="4">
        <v>15</v>
      </c>
      <c r="W841" s="4">
        <v>86</v>
      </c>
    </row>
    <row r="842" spans="1:23" ht="11.25" customHeight="1" x14ac:dyDescent="0.25">
      <c r="A842" s="4" t="s">
        <v>28</v>
      </c>
      <c r="B842" s="4" t="s">
        <v>22</v>
      </c>
      <c r="C842" s="4" t="s">
        <v>23</v>
      </c>
      <c r="D842" s="4" t="s">
        <v>24</v>
      </c>
      <c r="E842" s="4" t="s">
        <v>31</v>
      </c>
      <c r="F842" s="4" t="s">
        <v>25</v>
      </c>
      <c r="G842" s="4" t="s">
        <v>25</v>
      </c>
      <c r="H842" s="4" t="s">
        <v>25</v>
      </c>
      <c r="I842" s="5">
        <v>44682</v>
      </c>
      <c r="J842" s="6">
        <v>0</v>
      </c>
      <c r="K842" s="6">
        <v>0</v>
      </c>
      <c r="L842" s="6">
        <v>0.03</v>
      </c>
      <c r="M842" s="6">
        <v>0.03</v>
      </c>
      <c r="N842" s="6">
        <v>0.03</v>
      </c>
      <c r="O842" s="6">
        <v>0.03</v>
      </c>
      <c r="P842" s="6">
        <v>1</v>
      </c>
      <c r="Q842" s="4" t="s">
        <v>26</v>
      </c>
      <c r="R842" s="4">
        <v>0</v>
      </c>
      <c r="S842" s="4" t="s">
        <v>268</v>
      </c>
      <c r="T842" s="4" t="s">
        <v>393</v>
      </c>
      <c r="U842" s="4">
        <v>0</v>
      </c>
      <c r="V842" s="4">
        <v>15</v>
      </c>
      <c r="W842" s="4">
        <v>86</v>
      </c>
    </row>
    <row r="843" spans="1:23" ht="11.25" customHeight="1" x14ac:dyDescent="0.25">
      <c r="A843" s="4" t="s">
        <v>21</v>
      </c>
      <c r="B843" s="4" t="s">
        <v>22</v>
      </c>
      <c r="C843" s="4" t="s">
        <v>23</v>
      </c>
      <c r="D843" s="4" t="s">
        <v>24</v>
      </c>
      <c r="E843" s="4" t="s">
        <v>31</v>
      </c>
      <c r="F843" s="4" t="s">
        <v>25</v>
      </c>
      <c r="G843" s="4" t="s">
        <v>25</v>
      </c>
      <c r="H843" s="4" t="s">
        <v>25</v>
      </c>
      <c r="I843" s="5">
        <v>44713</v>
      </c>
      <c r="J843" s="6">
        <v>0</v>
      </c>
      <c r="K843" s="6">
        <v>0</v>
      </c>
      <c r="L843" s="6">
        <v>76.268000000000001</v>
      </c>
      <c r="M843" s="6">
        <v>76.268000000000001</v>
      </c>
      <c r="N843" s="6">
        <v>76.268000000000001</v>
      </c>
      <c r="O843" s="6">
        <v>76.268000000000001</v>
      </c>
      <c r="P843" s="6">
        <v>501</v>
      </c>
      <c r="Q843" s="4" t="s">
        <v>26</v>
      </c>
      <c r="R843" s="4">
        <v>0</v>
      </c>
      <c r="S843" s="4" t="s">
        <v>269</v>
      </c>
      <c r="T843" s="4" t="s">
        <v>394</v>
      </c>
      <c r="U843" s="4">
        <v>0</v>
      </c>
      <c r="V843" s="4">
        <v>15</v>
      </c>
      <c r="W843" s="4">
        <v>86</v>
      </c>
    </row>
    <row r="844" spans="1:23" ht="11.25" customHeight="1" x14ac:dyDescent="0.25">
      <c r="A844" s="4" t="s">
        <v>28</v>
      </c>
      <c r="B844" s="4" t="s">
        <v>22</v>
      </c>
      <c r="C844" s="4" t="s">
        <v>23</v>
      </c>
      <c r="D844" s="4" t="s">
        <v>24</v>
      </c>
      <c r="E844" s="4" t="s">
        <v>31</v>
      </c>
      <c r="F844" s="4" t="s">
        <v>25</v>
      </c>
      <c r="G844" s="4" t="s">
        <v>25</v>
      </c>
      <c r="H844" s="4" t="s">
        <v>25</v>
      </c>
      <c r="I844" s="5">
        <v>44713</v>
      </c>
      <c r="J844" s="6">
        <v>0</v>
      </c>
      <c r="K844" s="6">
        <v>0</v>
      </c>
      <c r="L844" s="6">
        <v>0.03</v>
      </c>
      <c r="M844" s="6">
        <v>0.03</v>
      </c>
      <c r="N844" s="6">
        <v>0.03</v>
      </c>
      <c r="O844" s="6">
        <v>0.03</v>
      </c>
      <c r="P844" s="6">
        <v>1</v>
      </c>
      <c r="Q844" s="4" t="s">
        <v>26</v>
      </c>
      <c r="R844" s="4">
        <v>0</v>
      </c>
      <c r="S844" s="4" t="s">
        <v>269</v>
      </c>
      <c r="T844" s="4" t="s">
        <v>394</v>
      </c>
      <c r="U844" s="4">
        <v>0</v>
      </c>
      <c r="V844" s="4">
        <v>15</v>
      </c>
      <c r="W844" s="4">
        <v>86</v>
      </c>
    </row>
    <row r="845" spans="1:23" ht="11.25" customHeight="1" x14ac:dyDescent="0.25">
      <c r="A845" s="4" t="s">
        <v>21</v>
      </c>
      <c r="B845" s="4" t="s">
        <v>22</v>
      </c>
      <c r="C845" s="4" t="s">
        <v>23</v>
      </c>
      <c r="D845" s="4" t="s">
        <v>24</v>
      </c>
      <c r="E845" s="4" t="s">
        <v>32</v>
      </c>
      <c r="F845" s="4" t="s">
        <v>25</v>
      </c>
      <c r="G845" s="4" t="s">
        <v>25</v>
      </c>
      <c r="H845" s="4" t="s">
        <v>25</v>
      </c>
      <c r="I845" s="5">
        <v>44378</v>
      </c>
      <c r="J845" s="6">
        <v>0</v>
      </c>
      <c r="K845" s="6">
        <v>0</v>
      </c>
      <c r="L845" s="6">
        <v>11.138</v>
      </c>
      <c r="M845" s="6">
        <v>11.138</v>
      </c>
      <c r="N845" s="6">
        <v>11.138</v>
      </c>
      <c r="O845" s="6">
        <v>11.138</v>
      </c>
      <c r="P845" s="6">
        <v>53</v>
      </c>
      <c r="Q845" s="4" t="s">
        <v>26</v>
      </c>
      <c r="R845" s="4">
        <v>0</v>
      </c>
      <c r="S845" s="4" t="s">
        <v>270</v>
      </c>
      <c r="T845" s="4" t="s">
        <v>395</v>
      </c>
      <c r="U845" s="4">
        <v>0</v>
      </c>
      <c r="V845" s="4">
        <v>13</v>
      </c>
      <c r="W845" s="4">
        <v>71</v>
      </c>
    </row>
    <row r="846" spans="1:23" ht="11.25" customHeight="1" x14ac:dyDescent="0.25">
      <c r="A846" s="4" t="s">
        <v>28</v>
      </c>
      <c r="B846" s="4" t="s">
        <v>22</v>
      </c>
      <c r="C846" s="4" t="s">
        <v>23</v>
      </c>
      <c r="D846" s="4" t="s">
        <v>24</v>
      </c>
      <c r="E846" s="4" t="s">
        <v>32</v>
      </c>
      <c r="F846" s="4" t="s">
        <v>25</v>
      </c>
      <c r="G846" s="4" t="s">
        <v>25</v>
      </c>
      <c r="H846" s="4" t="s">
        <v>25</v>
      </c>
      <c r="I846" s="5">
        <v>44378</v>
      </c>
      <c r="J846" s="6">
        <v>0</v>
      </c>
      <c r="K846" s="6">
        <v>0</v>
      </c>
      <c r="L846" s="6">
        <v>0.35099999999999998</v>
      </c>
      <c r="M846" s="6">
        <v>0.35099999999999998</v>
      </c>
      <c r="N846" s="6">
        <v>0.35099999999999998</v>
      </c>
      <c r="O846" s="6">
        <v>0.35099999999999998</v>
      </c>
      <c r="P846" s="6">
        <v>1</v>
      </c>
      <c r="Q846" s="4" t="s">
        <v>26</v>
      </c>
      <c r="R846" s="4">
        <v>0</v>
      </c>
      <c r="S846" s="4" t="s">
        <v>270</v>
      </c>
      <c r="T846" s="4" t="s">
        <v>395</v>
      </c>
      <c r="U846" s="4">
        <v>0</v>
      </c>
      <c r="V846" s="4">
        <v>13</v>
      </c>
      <c r="W846" s="4">
        <v>71</v>
      </c>
    </row>
    <row r="847" spans="1:23" ht="11.25" customHeight="1" x14ac:dyDescent="0.25">
      <c r="A847" s="4" t="s">
        <v>21</v>
      </c>
      <c r="B847" s="4" t="s">
        <v>22</v>
      </c>
      <c r="C847" s="4" t="s">
        <v>23</v>
      </c>
      <c r="D847" s="4" t="s">
        <v>24</v>
      </c>
      <c r="E847" s="4" t="s">
        <v>32</v>
      </c>
      <c r="F847" s="4" t="s">
        <v>25</v>
      </c>
      <c r="G847" s="4" t="s">
        <v>25</v>
      </c>
      <c r="H847" s="4" t="s">
        <v>25</v>
      </c>
      <c r="I847" s="5">
        <v>44409</v>
      </c>
      <c r="J847" s="6">
        <v>0</v>
      </c>
      <c r="K847" s="6">
        <v>0</v>
      </c>
      <c r="L847" s="6">
        <v>11.95</v>
      </c>
      <c r="M847" s="6">
        <v>11.95</v>
      </c>
      <c r="N847" s="6">
        <v>11.95</v>
      </c>
      <c r="O847" s="6">
        <v>11.95</v>
      </c>
      <c r="P847" s="6">
        <v>57</v>
      </c>
      <c r="Q847" s="4" t="s">
        <v>26</v>
      </c>
      <c r="R847" s="4">
        <v>0</v>
      </c>
      <c r="S847" s="4" t="s">
        <v>271</v>
      </c>
      <c r="T847" s="4" t="s">
        <v>396</v>
      </c>
      <c r="U847" s="4">
        <v>0</v>
      </c>
      <c r="V847" s="4">
        <v>13</v>
      </c>
      <c r="W847" s="4">
        <v>71</v>
      </c>
    </row>
    <row r="848" spans="1:23" ht="11.25" customHeight="1" x14ac:dyDescent="0.25">
      <c r="A848" s="4" t="s">
        <v>28</v>
      </c>
      <c r="B848" s="4" t="s">
        <v>22</v>
      </c>
      <c r="C848" s="4" t="s">
        <v>23</v>
      </c>
      <c r="D848" s="4" t="s">
        <v>24</v>
      </c>
      <c r="E848" s="4" t="s">
        <v>32</v>
      </c>
      <c r="F848" s="4" t="s">
        <v>25</v>
      </c>
      <c r="G848" s="4" t="s">
        <v>25</v>
      </c>
      <c r="H848" s="4" t="s">
        <v>25</v>
      </c>
      <c r="I848" s="5">
        <v>44409</v>
      </c>
      <c r="J848" s="6">
        <v>0</v>
      </c>
      <c r="K848" s="6">
        <v>0</v>
      </c>
      <c r="L848" s="6">
        <v>0.12</v>
      </c>
      <c r="M848" s="6">
        <v>0.12</v>
      </c>
      <c r="N848" s="6">
        <v>0.12</v>
      </c>
      <c r="O848" s="6">
        <v>0.12</v>
      </c>
      <c r="P848" s="6">
        <v>1</v>
      </c>
      <c r="Q848" s="4" t="s">
        <v>26</v>
      </c>
      <c r="R848" s="4">
        <v>0</v>
      </c>
      <c r="S848" s="4" t="s">
        <v>271</v>
      </c>
      <c r="T848" s="4" t="s">
        <v>396</v>
      </c>
      <c r="U848" s="4">
        <v>0</v>
      </c>
      <c r="V848" s="4">
        <v>13</v>
      </c>
      <c r="W848" s="4">
        <v>71</v>
      </c>
    </row>
    <row r="849" spans="1:23" ht="11.25" customHeight="1" x14ac:dyDescent="0.25">
      <c r="A849" s="4" t="s">
        <v>21</v>
      </c>
      <c r="B849" s="4" t="s">
        <v>22</v>
      </c>
      <c r="C849" s="4" t="s">
        <v>23</v>
      </c>
      <c r="D849" s="4" t="s">
        <v>24</v>
      </c>
      <c r="E849" s="4" t="s">
        <v>32</v>
      </c>
      <c r="F849" s="4" t="s">
        <v>25</v>
      </c>
      <c r="G849" s="4" t="s">
        <v>25</v>
      </c>
      <c r="H849" s="4" t="s">
        <v>25</v>
      </c>
      <c r="I849" s="5">
        <v>44440</v>
      </c>
      <c r="J849" s="6">
        <v>0</v>
      </c>
      <c r="K849" s="6">
        <v>0</v>
      </c>
      <c r="L849" s="6">
        <v>12.823</v>
      </c>
      <c r="M849" s="6">
        <v>12.823</v>
      </c>
      <c r="N849" s="6">
        <v>12.823</v>
      </c>
      <c r="O849" s="6">
        <v>12.823</v>
      </c>
      <c r="P849" s="6">
        <v>62</v>
      </c>
      <c r="Q849" s="4" t="s">
        <v>26</v>
      </c>
      <c r="R849" s="4">
        <v>0</v>
      </c>
      <c r="S849" s="4" t="s">
        <v>272</v>
      </c>
      <c r="T849" s="4" t="s">
        <v>397</v>
      </c>
      <c r="U849" s="4">
        <v>0</v>
      </c>
      <c r="V849" s="4">
        <v>13</v>
      </c>
      <c r="W849" s="4">
        <v>71</v>
      </c>
    </row>
    <row r="850" spans="1:23" ht="11.25" customHeight="1" x14ac:dyDescent="0.25">
      <c r="A850" s="4" t="s">
        <v>28</v>
      </c>
      <c r="B850" s="4" t="s">
        <v>22</v>
      </c>
      <c r="C850" s="4" t="s">
        <v>23</v>
      </c>
      <c r="D850" s="4" t="s">
        <v>24</v>
      </c>
      <c r="E850" s="4" t="s">
        <v>32</v>
      </c>
      <c r="F850" s="4" t="s">
        <v>25</v>
      </c>
      <c r="G850" s="4" t="s">
        <v>25</v>
      </c>
      <c r="H850" s="4" t="s">
        <v>25</v>
      </c>
      <c r="I850" s="5">
        <v>44440</v>
      </c>
      <c r="J850" s="6">
        <v>0</v>
      </c>
      <c r="K850" s="6">
        <v>0</v>
      </c>
      <c r="L850" s="6">
        <v>7.0999999999999994E-2</v>
      </c>
      <c r="M850" s="6">
        <v>7.0999999999999994E-2</v>
      </c>
      <c r="N850" s="6">
        <v>7.0999999999999994E-2</v>
      </c>
      <c r="O850" s="6">
        <v>7.0999999999999994E-2</v>
      </c>
      <c r="P850" s="6">
        <v>1</v>
      </c>
      <c r="Q850" s="4" t="s">
        <v>26</v>
      </c>
      <c r="R850" s="4">
        <v>0</v>
      </c>
      <c r="S850" s="4" t="s">
        <v>272</v>
      </c>
      <c r="T850" s="4" t="s">
        <v>397</v>
      </c>
      <c r="U850" s="4">
        <v>0</v>
      </c>
      <c r="V850" s="4">
        <v>13</v>
      </c>
      <c r="W850" s="4">
        <v>71</v>
      </c>
    </row>
    <row r="851" spans="1:23" ht="11.25" customHeight="1" x14ac:dyDescent="0.25">
      <c r="A851" s="4" t="s">
        <v>21</v>
      </c>
      <c r="B851" s="4" t="s">
        <v>22</v>
      </c>
      <c r="C851" s="4" t="s">
        <v>23</v>
      </c>
      <c r="D851" s="4" t="s">
        <v>24</v>
      </c>
      <c r="E851" s="4" t="s">
        <v>32</v>
      </c>
      <c r="F851" s="4" t="s">
        <v>25</v>
      </c>
      <c r="G851" s="4" t="s">
        <v>25</v>
      </c>
      <c r="H851" s="4" t="s">
        <v>25</v>
      </c>
      <c r="I851" s="5">
        <v>44470</v>
      </c>
      <c r="J851" s="6">
        <v>0</v>
      </c>
      <c r="K851" s="6">
        <v>0</v>
      </c>
      <c r="L851" s="6">
        <v>11.367000000000001</v>
      </c>
      <c r="M851" s="6">
        <v>11.367000000000001</v>
      </c>
      <c r="N851" s="6">
        <v>11.367000000000001</v>
      </c>
      <c r="O851" s="6">
        <v>11.367000000000001</v>
      </c>
      <c r="P851" s="6">
        <v>52</v>
      </c>
      <c r="Q851" s="4" t="s">
        <v>26</v>
      </c>
      <c r="R851" s="4">
        <v>0</v>
      </c>
      <c r="S851" s="4" t="s">
        <v>273</v>
      </c>
      <c r="T851" s="4" t="s">
        <v>398</v>
      </c>
      <c r="U851" s="4">
        <v>0</v>
      </c>
      <c r="V851" s="4">
        <v>13</v>
      </c>
      <c r="W851" s="4">
        <v>71</v>
      </c>
    </row>
    <row r="852" spans="1:23" ht="11.25" customHeight="1" x14ac:dyDescent="0.25">
      <c r="A852" s="4" t="s">
        <v>28</v>
      </c>
      <c r="B852" s="4" t="s">
        <v>22</v>
      </c>
      <c r="C852" s="4" t="s">
        <v>23</v>
      </c>
      <c r="D852" s="4" t="s">
        <v>24</v>
      </c>
      <c r="E852" s="4" t="s">
        <v>32</v>
      </c>
      <c r="F852" s="4" t="s">
        <v>25</v>
      </c>
      <c r="G852" s="4" t="s">
        <v>25</v>
      </c>
      <c r="H852" s="4" t="s">
        <v>25</v>
      </c>
      <c r="I852" s="5">
        <v>44470</v>
      </c>
      <c r="J852" s="6">
        <v>0</v>
      </c>
      <c r="K852" s="6">
        <v>0</v>
      </c>
      <c r="L852" s="6">
        <v>0.03</v>
      </c>
      <c r="M852" s="6">
        <v>0.03</v>
      </c>
      <c r="N852" s="6">
        <v>0.03</v>
      </c>
      <c r="O852" s="6">
        <v>0.03</v>
      </c>
      <c r="P852" s="6">
        <v>1</v>
      </c>
      <c r="Q852" s="4" t="s">
        <v>26</v>
      </c>
      <c r="R852" s="4">
        <v>0</v>
      </c>
      <c r="S852" s="4" t="s">
        <v>273</v>
      </c>
      <c r="T852" s="4" t="s">
        <v>398</v>
      </c>
      <c r="U852" s="4">
        <v>0</v>
      </c>
      <c r="V852" s="4">
        <v>13</v>
      </c>
      <c r="W852" s="4">
        <v>71</v>
      </c>
    </row>
    <row r="853" spans="1:23" ht="11.25" customHeight="1" x14ac:dyDescent="0.25">
      <c r="A853" s="4" t="s">
        <v>21</v>
      </c>
      <c r="B853" s="4" t="s">
        <v>22</v>
      </c>
      <c r="C853" s="4" t="s">
        <v>23</v>
      </c>
      <c r="D853" s="4" t="s">
        <v>24</v>
      </c>
      <c r="E853" s="4" t="s">
        <v>32</v>
      </c>
      <c r="F853" s="4" t="s">
        <v>25</v>
      </c>
      <c r="G853" s="4" t="s">
        <v>25</v>
      </c>
      <c r="H853" s="4" t="s">
        <v>25</v>
      </c>
      <c r="I853" s="5">
        <v>44501</v>
      </c>
      <c r="J853" s="6">
        <v>0</v>
      </c>
      <c r="K853" s="6">
        <v>0</v>
      </c>
      <c r="L853" s="6">
        <v>16.094000000000001</v>
      </c>
      <c r="M853" s="6">
        <v>16.094000000000001</v>
      </c>
      <c r="N853" s="6">
        <v>16.094000000000001</v>
      </c>
      <c r="O853" s="6">
        <v>16.094000000000001</v>
      </c>
      <c r="P853" s="6">
        <v>70</v>
      </c>
      <c r="Q853" s="4" t="s">
        <v>26</v>
      </c>
      <c r="R853" s="4">
        <v>0</v>
      </c>
      <c r="S853" s="4" t="s">
        <v>274</v>
      </c>
      <c r="T853" s="4" t="s">
        <v>399</v>
      </c>
      <c r="U853" s="4">
        <v>0</v>
      </c>
      <c r="V853" s="4">
        <v>13</v>
      </c>
      <c r="W853" s="4">
        <v>71</v>
      </c>
    </row>
    <row r="854" spans="1:23" ht="11.25" customHeight="1" x14ac:dyDescent="0.25">
      <c r="A854" s="4" t="s">
        <v>27</v>
      </c>
      <c r="B854" s="4" t="s">
        <v>22</v>
      </c>
      <c r="C854" s="4" t="s">
        <v>23</v>
      </c>
      <c r="D854" s="4" t="s">
        <v>24</v>
      </c>
      <c r="E854" s="4" t="s">
        <v>32</v>
      </c>
      <c r="F854" s="4" t="s">
        <v>25</v>
      </c>
      <c r="G854" s="4" t="s">
        <v>25</v>
      </c>
      <c r="H854" s="4" t="s">
        <v>25</v>
      </c>
      <c r="I854" s="5">
        <v>44501</v>
      </c>
      <c r="J854" s="6">
        <v>0</v>
      </c>
      <c r="K854" s="6">
        <v>0</v>
      </c>
      <c r="L854" s="6">
        <v>-1.292</v>
      </c>
      <c r="M854" s="6">
        <v>-1.292</v>
      </c>
      <c r="N854" s="6">
        <v>-1.292</v>
      </c>
      <c r="O854" s="6">
        <v>-1.292</v>
      </c>
      <c r="P854" s="6">
        <v>-1</v>
      </c>
      <c r="Q854" s="4" t="s">
        <v>26</v>
      </c>
      <c r="R854" s="4">
        <v>0</v>
      </c>
      <c r="S854" s="4" t="s">
        <v>274</v>
      </c>
      <c r="T854" s="4" t="s">
        <v>399</v>
      </c>
      <c r="U854" s="4">
        <v>0</v>
      </c>
      <c r="V854" s="4">
        <v>13</v>
      </c>
      <c r="W854" s="4">
        <v>71</v>
      </c>
    </row>
    <row r="855" spans="1:23" ht="11.25" customHeight="1" x14ac:dyDescent="0.25">
      <c r="A855" s="4" t="s">
        <v>21</v>
      </c>
      <c r="B855" s="4" t="s">
        <v>22</v>
      </c>
      <c r="C855" s="4" t="s">
        <v>23</v>
      </c>
      <c r="D855" s="4" t="s">
        <v>24</v>
      </c>
      <c r="E855" s="4" t="s">
        <v>32</v>
      </c>
      <c r="F855" s="4" t="s">
        <v>25</v>
      </c>
      <c r="G855" s="4" t="s">
        <v>25</v>
      </c>
      <c r="H855" s="4" t="s">
        <v>25</v>
      </c>
      <c r="I855" s="5">
        <v>44531</v>
      </c>
      <c r="J855" s="6">
        <v>0</v>
      </c>
      <c r="K855" s="6">
        <v>0</v>
      </c>
      <c r="L855" s="6">
        <v>13.026</v>
      </c>
      <c r="M855" s="6">
        <v>13.026</v>
      </c>
      <c r="N855" s="6">
        <v>13.026</v>
      </c>
      <c r="O855" s="6">
        <v>13.026</v>
      </c>
      <c r="P855" s="6">
        <v>65</v>
      </c>
      <c r="Q855" s="4" t="s">
        <v>26</v>
      </c>
      <c r="R855" s="4">
        <v>0</v>
      </c>
      <c r="S855" s="4" t="s">
        <v>275</v>
      </c>
      <c r="T855" s="4" t="s">
        <v>400</v>
      </c>
      <c r="U855" s="4">
        <v>0</v>
      </c>
      <c r="V855" s="4">
        <v>13</v>
      </c>
      <c r="W855" s="4">
        <v>71</v>
      </c>
    </row>
    <row r="856" spans="1:23" ht="11.25" customHeight="1" x14ac:dyDescent="0.25">
      <c r="A856" s="4" t="s">
        <v>21</v>
      </c>
      <c r="B856" s="4" t="s">
        <v>22</v>
      </c>
      <c r="C856" s="4" t="s">
        <v>23</v>
      </c>
      <c r="D856" s="4" t="s">
        <v>24</v>
      </c>
      <c r="E856" s="4" t="s">
        <v>32</v>
      </c>
      <c r="F856" s="4" t="s">
        <v>25</v>
      </c>
      <c r="G856" s="4" t="s">
        <v>25</v>
      </c>
      <c r="H856" s="4" t="s">
        <v>25</v>
      </c>
      <c r="I856" s="5">
        <v>44562</v>
      </c>
      <c r="J856" s="6">
        <v>0</v>
      </c>
      <c r="K856" s="6">
        <v>0</v>
      </c>
      <c r="L856" s="6">
        <v>15.836</v>
      </c>
      <c r="M856" s="6">
        <v>15.836</v>
      </c>
      <c r="N856" s="6">
        <v>15.836</v>
      </c>
      <c r="O856" s="6">
        <v>15.836</v>
      </c>
      <c r="P856" s="6">
        <v>106</v>
      </c>
      <c r="Q856" s="4" t="s">
        <v>26</v>
      </c>
      <c r="R856" s="4">
        <v>0</v>
      </c>
      <c r="S856" s="4" t="s">
        <v>276</v>
      </c>
      <c r="T856" s="4" t="s">
        <v>401</v>
      </c>
      <c r="U856" s="4">
        <v>0</v>
      </c>
      <c r="V856" s="4">
        <v>13</v>
      </c>
      <c r="W856" s="4">
        <v>71</v>
      </c>
    </row>
    <row r="857" spans="1:23" ht="11.25" customHeight="1" x14ac:dyDescent="0.25">
      <c r="A857" s="4" t="s">
        <v>21</v>
      </c>
      <c r="B857" s="4" t="s">
        <v>22</v>
      </c>
      <c r="C857" s="4" t="s">
        <v>23</v>
      </c>
      <c r="D857" s="4" t="s">
        <v>24</v>
      </c>
      <c r="E857" s="4" t="s">
        <v>32</v>
      </c>
      <c r="F857" s="4" t="s">
        <v>25</v>
      </c>
      <c r="G857" s="4" t="s">
        <v>25</v>
      </c>
      <c r="H857" s="4" t="s">
        <v>25</v>
      </c>
      <c r="I857" s="5">
        <v>44593</v>
      </c>
      <c r="J857" s="6">
        <v>0</v>
      </c>
      <c r="K857" s="6">
        <v>0</v>
      </c>
      <c r="L857" s="6">
        <v>39.064</v>
      </c>
      <c r="M857" s="6">
        <v>39.064</v>
      </c>
      <c r="N857" s="6">
        <v>39.064</v>
      </c>
      <c r="O857" s="6">
        <v>39.064</v>
      </c>
      <c r="P857" s="6">
        <v>147</v>
      </c>
      <c r="Q857" s="4" t="s">
        <v>26</v>
      </c>
      <c r="R857" s="4">
        <v>0</v>
      </c>
      <c r="S857" s="4" t="s">
        <v>277</v>
      </c>
      <c r="T857" s="4" t="s">
        <v>402</v>
      </c>
      <c r="U857" s="4">
        <v>0</v>
      </c>
      <c r="V857" s="4">
        <v>13</v>
      </c>
      <c r="W857" s="4">
        <v>71</v>
      </c>
    </row>
    <row r="858" spans="1:23" ht="11.25" customHeight="1" x14ac:dyDescent="0.25">
      <c r="A858" s="4" t="s">
        <v>21</v>
      </c>
      <c r="B858" s="4" t="s">
        <v>22</v>
      </c>
      <c r="C858" s="4" t="s">
        <v>23</v>
      </c>
      <c r="D858" s="4" t="s">
        <v>24</v>
      </c>
      <c r="E858" s="4" t="s">
        <v>32</v>
      </c>
      <c r="F858" s="4" t="s">
        <v>25</v>
      </c>
      <c r="G858" s="4" t="s">
        <v>25</v>
      </c>
      <c r="H858" s="4" t="s">
        <v>25</v>
      </c>
      <c r="I858" s="5">
        <v>44621</v>
      </c>
      <c r="J858" s="6">
        <v>0</v>
      </c>
      <c r="K858" s="6">
        <v>0</v>
      </c>
      <c r="L858" s="6">
        <v>35.491999999999997</v>
      </c>
      <c r="M858" s="6">
        <v>35.491999999999997</v>
      </c>
      <c r="N858" s="6">
        <v>35.491999999999997</v>
      </c>
      <c r="O858" s="6">
        <v>35.491999999999997</v>
      </c>
      <c r="P858" s="6">
        <v>144</v>
      </c>
      <c r="Q858" s="4" t="s">
        <v>26</v>
      </c>
      <c r="R858" s="4">
        <v>0</v>
      </c>
      <c r="S858" s="4" t="s">
        <v>278</v>
      </c>
      <c r="T858" s="4" t="s">
        <v>403</v>
      </c>
      <c r="U858" s="4">
        <v>0</v>
      </c>
      <c r="V858" s="4">
        <v>13</v>
      </c>
      <c r="W858" s="4">
        <v>71</v>
      </c>
    </row>
    <row r="859" spans="1:23" ht="11.25" customHeight="1" x14ac:dyDescent="0.25">
      <c r="A859" s="4" t="s">
        <v>21</v>
      </c>
      <c r="B859" s="4" t="s">
        <v>22</v>
      </c>
      <c r="C859" s="4" t="s">
        <v>23</v>
      </c>
      <c r="D859" s="4" t="s">
        <v>24</v>
      </c>
      <c r="E859" s="4" t="s">
        <v>32</v>
      </c>
      <c r="F859" s="4" t="s">
        <v>25</v>
      </c>
      <c r="G859" s="4" t="s">
        <v>25</v>
      </c>
      <c r="H859" s="4" t="s">
        <v>25</v>
      </c>
      <c r="I859" s="5">
        <v>44652</v>
      </c>
      <c r="J859" s="6">
        <v>0</v>
      </c>
      <c r="K859" s="6">
        <v>0</v>
      </c>
      <c r="L859" s="6">
        <v>45.762999999999998</v>
      </c>
      <c r="M859" s="6">
        <v>45.762999999999998</v>
      </c>
      <c r="N859" s="6">
        <v>45.762999999999998</v>
      </c>
      <c r="O859" s="6">
        <v>45.762999999999998</v>
      </c>
      <c r="P859" s="6">
        <v>207</v>
      </c>
      <c r="Q859" s="4" t="s">
        <v>26</v>
      </c>
      <c r="R859" s="4">
        <v>0</v>
      </c>
      <c r="S859" s="4" t="s">
        <v>279</v>
      </c>
      <c r="T859" s="4" t="s">
        <v>404</v>
      </c>
      <c r="U859" s="4">
        <v>0</v>
      </c>
      <c r="V859" s="4">
        <v>13</v>
      </c>
      <c r="W859" s="4">
        <v>71</v>
      </c>
    </row>
    <row r="860" spans="1:23" ht="11.25" customHeight="1" x14ac:dyDescent="0.25">
      <c r="A860" s="4" t="s">
        <v>21</v>
      </c>
      <c r="B860" s="4" t="s">
        <v>22</v>
      </c>
      <c r="C860" s="4" t="s">
        <v>23</v>
      </c>
      <c r="D860" s="4" t="s">
        <v>24</v>
      </c>
      <c r="E860" s="4" t="s">
        <v>32</v>
      </c>
      <c r="F860" s="4" t="s">
        <v>25</v>
      </c>
      <c r="G860" s="4" t="s">
        <v>25</v>
      </c>
      <c r="H860" s="4" t="s">
        <v>25</v>
      </c>
      <c r="I860" s="5">
        <v>44682</v>
      </c>
      <c r="J860" s="6">
        <v>0</v>
      </c>
      <c r="K860" s="6">
        <v>0</v>
      </c>
      <c r="L860" s="6">
        <v>42.765999999999998</v>
      </c>
      <c r="M860" s="6">
        <v>42.765999999999998</v>
      </c>
      <c r="N860" s="6">
        <v>42.765999999999998</v>
      </c>
      <c r="O860" s="6">
        <v>42.765999999999998</v>
      </c>
      <c r="P860" s="6">
        <v>187</v>
      </c>
      <c r="Q860" s="4" t="s">
        <v>26</v>
      </c>
      <c r="R860" s="4">
        <v>0</v>
      </c>
      <c r="S860" s="4" t="s">
        <v>280</v>
      </c>
      <c r="T860" s="4" t="s">
        <v>405</v>
      </c>
      <c r="U860" s="4">
        <v>0</v>
      </c>
      <c r="V860" s="4">
        <v>13</v>
      </c>
      <c r="W860" s="4">
        <v>71</v>
      </c>
    </row>
    <row r="861" spans="1:23" ht="11.25" customHeight="1" x14ac:dyDescent="0.25">
      <c r="A861" s="4" t="s">
        <v>28</v>
      </c>
      <c r="B861" s="4" t="s">
        <v>22</v>
      </c>
      <c r="C861" s="4" t="s">
        <v>23</v>
      </c>
      <c r="D861" s="4" t="s">
        <v>24</v>
      </c>
      <c r="E861" s="4" t="s">
        <v>32</v>
      </c>
      <c r="F861" s="4" t="s">
        <v>25</v>
      </c>
      <c r="G861" s="4" t="s">
        <v>25</v>
      </c>
      <c r="H861" s="4" t="s">
        <v>25</v>
      </c>
      <c r="I861" s="5">
        <v>44682</v>
      </c>
      <c r="J861" s="6">
        <v>0</v>
      </c>
      <c r="K861" s="6">
        <v>0</v>
      </c>
      <c r="L861" s="6">
        <v>0.05</v>
      </c>
      <c r="M861" s="6">
        <v>0.05</v>
      </c>
      <c r="N861" s="6">
        <v>0.05</v>
      </c>
      <c r="O861" s="6">
        <v>0.05</v>
      </c>
      <c r="P861" s="6">
        <v>1</v>
      </c>
      <c r="Q861" s="4" t="s">
        <v>26</v>
      </c>
      <c r="R861" s="4">
        <v>0</v>
      </c>
      <c r="S861" s="4" t="s">
        <v>280</v>
      </c>
      <c r="T861" s="4" t="s">
        <v>405</v>
      </c>
      <c r="U861" s="4">
        <v>0</v>
      </c>
      <c r="V861" s="4">
        <v>13</v>
      </c>
      <c r="W861" s="4">
        <v>71</v>
      </c>
    </row>
    <row r="862" spans="1:23" ht="11.25" customHeight="1" x14ac:dyDescent="0.25">
      <c r="A862" s="4" t="s">
        <v>21</v>
      </c>
      <c r="B862" s="4" t="s">
        <v>22</v>
      </c>
      <c r="C862" s="4" t="s">
        <v>23</v>
      </c>
      <c r="D862" s="4" t="s">
        <v>24</v>
      </c>
      <c r="E862" s="4" t="s">
        <v>32</v>
      </c>
      <c r="F862" s="4" t="s">
        <v>25</v>
      </c>
      <c r="G862" s="4" t="s">
        <v>25</v>
      </c>
      <c r="H862" s="4" t="s">
        <v>25</v>
      </c>
      <c r="I862" s="5">
        <v>44713</v>
      </c>
      <c r="J862" s="6">
        <v>0</v>
      </c>
      <c r="K862" s="6">
        <v>0</v>
      </c>
      <c r="L862" s="6">
        <v>48.942</v>
      </c>
      <c r="M862" s="6">
        <v>48.942</v>
      </c>
      <c r="N862" s="6">
        <v>48.942</v>
      </c>
      <c r="O862" s="6">
        <v>48.942</v>
      </c>
      <c r="P862" s="6">
        <v>217</v>
      </c>
      <c r="Q862" s="4" t="s">
        <v>26</v>
      </c>
      <c r="R862" s="4">
        <v>0</v>
      </c>
      <c r="S862" s="4" t="s">
        <v>281</v>
      </c>
      <c r="T862" s="4" t="s">
        <v>406</v>
      </c>
      <c r="U862" s="4">
        <v>0</v>
      </c>
      <c r="V862" s="4">
        <v>13</v>
      </c>
      <c r="W862" s="4">
        <v>71</v>
      </c>
    </row>
    <row r="863" spans="1:23" ht="11.25" customHeight="1" x14ac:dyDescent="0.25">
      <c r="A863" s="4" t="s">
        <v>28</v>
      </c>
      <c r="B863" s="4" t="s">
        <v>22</v>
      </c>
      <c r="C863" s="4" t="s">
        <v>23</v>
      </c>
      <c r="D863" s="4" t="s">
        <v>24</v>
      </c>
      <c r="E863" s="4" t="s">
        <v>32</v>
      </c>
      <c r="F863" s="4" t="s">
        <v>25</v>
      </c>
      <c r="G863" s="4" t="s">
        <v>25</v>
      </c>
      <c r="H863" s="4" t="s">
        <v>25</v>
      </c>
      <c r="I863" s="5">
        <v>44713</v>
      </c>
      <c r="J863" s="6">
        <v>0</v>
      </c>
      <c r="K863" s="6">
        <v>0</v>
      </c>
      <c r="L863" s="6">
        <v>0.05</v>
      </c>
      <c r="M863" s="6">
        <v>0.05</v>
      </c>
      <c r="N863" s="6">
        <v>0.05</v>
      </c>
      <c r="O863" s="6">
        <v>0.05</v>
      </c>
      <c r="P863" s="6">
        <v>1</v>
      </c>
      <c r="Q863" s="4" t="s">
        <v>26</v>
      </c>
      <c r="R863" s="4">
        <v>0</v>
      </c>
      <c r="S863" s="4" t="s">
        <v>281</v>
      </c>
      <c r="T863" s="4" t="s">
        <v>406</v>
      </c>
      <c r="U863" s="4">
        <v>0</v>
      </c>
      <c r="V863" s="4">
        <v>13</v>
      </c>
      <c r="W863" s="4">
        <v>71</v>
      </c>
    </row>
    <row r="864" spans="1:23" ht="11.25" customHeight="1" x14ac:dyDescent="0.25">
      <c r="A864" s="4" t="s">
        <v>21</v>
      </c>
      <c r="B864" s="4" t="s">
        <v>41</v>
      </c>
      <c r="C864" s="4" t="s">
        <v>23</v>
      </c>
      <c r="D864" s="4" t="s">
        <v>42</v>
      </c>
      <c r="E864" s="4" t="s">
        <v>50</v>
      </c>
      <c r="F864" s="4" t="s">
        <v>51</v>
      </c>
      <c r="G864" s="4" t="s">
        <v>25</v>
      </c>
      <c r="H864" s="4" t="s">
        <v>25</v>
      </c>
      <c r="I864" s="5">
        <v>44378</v>
      </c>
      <c r="J864" s="6">
        <v>0</v>
      </c>
      <c r="K864" s="6">
        <v>0</v>
      </c>
      <c r="L864" s="6">
        <v>64.334999999999994</v>
      </c>
      <c r="M864" s="6">
        <v>25.734000000000002</v>
      </c>
      <c r="N864" s="6">
        <v>64.334999999999994</v>
      </c>
      <c r="O864" s="6">
        <v>25.734000000000002</v>
      </c>
      <c r="P864" s="6">
        <v>0</v>
      </c>
      <c r="Q864" s="4" t="s">
        <v>26</v>
      </c>
      <c r="R864" s="4">
        <v>0</v>
      </c>
      <c r="S864" s="4" t="s">
        <v>282</v>
      </c>
      <c r="T864" s="4" t="s">
        <v>407</v>
      </c>
      <c r="U864" s="4">
        <v>0</v>
      </c>
      <c r="V864" s="4">
        <v>40</v>
      </c>
      <c r="W864" s="4">
        <v>78</v>
      </c>
    </row>
    <row r="865" spans="1:23" ht="11.25" customHeight="1" x14ac:dyDescent="0.25">
      <c r="A865" s="4" t="s">
        <v>27</v>
      </c>
      <c r="B865" s="4" t="s">
        <v>41</v>
      </c>
      <c r="C865" s="4" t="s">
        <v>23</v>
      </c>
      <c r="D865" s="4" t="s">
        <v>42</v>
      </c>
      <c r="E865" s="4" t="s">
        <v>50</v>
      </c>
      <c r="F865" s="4" t="s">
        <v>51</v>
      </c>
      <c r="G865" s="4" t="s">
        <v>25</v>
      </c>
      <c r="H865" s="4" t="s">
        <v>25</v>
      </c>
      <c r="I865" s="5">
        <v>44378</v>
      </c>
      <c r="J865" s="6">
        <v>0</v>
      </c>
      <c r="K865" s="6">
        <v>0</v>
      </c>
      <c r="L865" s="6">
        <v>-1.1140000000000001</v>
      </c>
      <c r="M865" s="6">
        <v>-0.4456</v>
      </c>
      <c r="N865" s="6">
        <v>-1.1140000000000001</v>
      </c>
      <c r="O865" s="6">
        <v>-0.4456</v>
      </c>
      <c r="P865" s="6">
        <v>0</v>
      </c>
      <c r="Q865" s="4" t="s">
        <v>26</v>
      </c>
      <c r="R865" s="4">
        <v>0</v>
      </c>
      <c r="S865" s="4" t="s">
        <v>282</v>
      </c>
      <c r="T865" s="4" t="s">
        <v>407</v>
      </c>
      <c r="U865" s="4">
        <v>0</v>
      </c>
      <c r="V865" s="4">
        <v>40</v>
      </c>
      <c r="W865" s="4">
        <v>78</v>
      </c>
    </row>
    <row r="866" spans="1:23" ht="11.25" customHeight="1" x14ac:dyDescent="0.25">
      <c r="A866" s="4" t="s">
        <v>28</v>
      </c>
      <c r="B866" s="4" t="s">
        <v>41</v>
      </c>
      <c r="C866" s="4" t="s">
        <v>23</v>
      </c>
      <c r="D866" s="4" t="s">
        <v>42</v>
      </c>
      <c r="E866" s="4" t="s">
        <v>50</v>
      </c>
      <c r="F866" s="4" t="s">
        <v>51</v>
      </c>
      <c r="G866" s="4" t="s">
        <v>25</v>
      </c>
      <c r="H866" s="4" t="s">
        <v>25</v>
      </c>
      <c r="I866" s="5">
        <v>44378</v>
      </c>
      <c r="J866" s="6">
        <v>0</v>
      </c>
      <c r="K866" s="6">
        <v>0</v>
      </c>
      <c r="L866" s="6">
        <v>0.437</v>
      </c>
      <c r="M866" s="6">
        <v>0.17480000000000001</v>
      </c>
      <c r="N866" s="6">
        <v>0.437</v>
      </c>
      <c r="O866" s="6">
        <v>0.17480000000000001</v>
      </c>
      <c r="P866" s="6">
        <v>0</v>
      </c>
      <c r="Q866" s="4" t="s">
        <v>26</v>
      </c>
      <c r="R866" s="4">
        <v>0</v>
      </c>
      <c r="S866" s="4" t="s">
        <v>282</v>
      </c>
      <c r="T866" s="4" t="s">
        <v>407</v>
      </c>
      <c r="U866" s="4">
        <v>0</v>
      </c>
      <c r="V866" s="4">
        <v>40</v>
      </c>
      <c r="W866" s="4">
        <v>78</v>
      </c>
    </row>
    <row r="867" spans="1:23" ht="11.25" customHeight="1" x14ac:dyDescent="0.25">
      <c r="A867" s="4" t="s">
        <v>21</v>
      </c>
      <c r="B867" s="4" t="s">
        <v>41</v>
      </c>
      <c r="C867" s="4" t="s">
        <v>23</v>
      </c>
      <c r="D867" s="4" t="s">
        <v>42</v>
      </c>
      <c r="E867" s="4" t="s">
        <v>50</v>
      </c>
      <c r="F867" s="4" t="s">
        <v>51</v>
      </c>
      <c r="G867" s="4" t="s">
        <v>25</v>
      </c>
      <c r="H867" s="4" t="s">
        <v>25</v>
      </c>
      <c r="I867" s="5">
        <v>44409</v>
      </c>
      <c r="J867" s="6">
        <v>0</v>
      </c>
      <c r="K867" s="6">
        <v>0</v>
      </c>
      <c r="L867" s="6">
        <v>89.831999999999994</v>
      </c>
      <c r="M867" s="6">
        <v>35.9328</v>
      </c>
      <c r="N867" s="6">
        <v>89.831999999999994</v>
      </c>
      <c r="O867" s="6">
        <v>35.9328</v>
      </c>
      <c r="P867" s="6">
        <v>0</v>
      </c>
      <c r="Q867" s="4" t="s">
        <v>26</v>
      </c>
      <c r="R867" s="4">
        <v>0</v>
      </c>
      <c r="S867" s="4" t="s">
        <v>283</v>
      </c>
      <c r="T867" s="4" t="s">
        <v>408</v>
      </c>
      <c r="U867" s="4">
        <v>0</v>
      </c>
      <c r="V867" s="4">
        <v>40</v>
      </c>
      <c r="W867" s="4">
        <v>78</v>
      </c>
    </row>
    <row r="868" spans="1:23" ht="11.25" customHeight="1" x14ac:dyDescent="0.25">
      <c r="A868" s="4" t="s">
        <v>27</v>
      </c>
      <c r="B868" s="4" t="s">
        <v>41</v>
      </c>
      <c r="C868" s="4" t="s">
        <v>23</v>
      </c>
      <c r="D868" s="4" t="s">
        <v>42</v>
      </c>
      <c r="E868" s="4" t="s">
        <v>50</v>
      </c>
      <c r="F868" s="4" t="s">
        <v>51</v>
      </c>
      <c r="G868" s="4" t="s">
        <v>25</v>
      </c>
      <c r="H868" s="4" t="s">
        <v>25</v>
      </c>
      <c r="I868" s="5">
        <v>44409</v>
      </c>
      <c r="J868" s="6">
        <v>0</v>
      </c>
      <c r="K868" s="6">
        <v>0</v>
      </c>
      <c r="L868" s="6">
        <v>-9.1999999999999998E-2</v>
      </c>
      <c r="M868" s="6">
        <v>-3.6799999999999999E-2</v>
      </c>
      <c r="N868" s="6">
        <v>-9.1999999999999998E-2</v>
      </c>
      <c r="O868" s="6">
        <v>-3.6799999999999999E-2</v>
      </c>
      <c r="P868" s="6">
        <v>0</v>
      </c>
      <c r="Q868" s="4" t="s">
        <v>26</v>
      </c>
      <c r="R868" s="4">
        <v>0</v>
      </c>
      <c r="S868" s="4" t="s">
        <v>283</v>
      </c>
      <c r="T868" s="4" t="s">
        <v>408</v>
      </c>
      <c r="U868" s="4">
        <v>0</v>
      </c>
      <c r="V868" s="4">
        <v>40</v>
      </c>
      <c r="W868" s="4">
        <v>78</v>
      </c>
    </row>
    <row r="869" spans="1:23" ht="11.25" customHeight="1" x14ac:dyDescent="0.25">
      <c r="A869" s="4" t="s">
        <v>28</v>
      </c>
      <c r="B869" s="4" t="s">
        <v>41</v>
      </c>
      <c r="C869" s="4" t="s">
        <v>23</v>
      </c>
      <c r="D869" s="4" t="s">
        <v>42</v>
      </c>
      <c r="E869" s="4" t="s">
        <v>50</v>
      </c>
      <c r="F869" s="4" t="s">
        <v>51</v>
      </c>
      <c r="G869" s="4" t="s">
        <v>25</v>
      </c>
      <c r="H869" s="4" t="s">
        <v>25</v>
      </c>
      <c r="I869" s="5">
        <v>44409</v>
      </c>
      <c r="J869" s="6">
        <v>0</v>
      </c>
      <c r="K869" s="6">
        <v>0</v>
      </c>
      <c r="L869" s="6">
        <v>0.52100000000000002</v>
      </c>
      <c r="M869" s="6">
        <v>0.2084</v>
      </c>
      <c r="N869" s="6">
        <v>0.52100000000000002</v>
      </c>
      <c r="O869" s="6">
        <v>0.2084</v>
      </c>
      <c r="P869" s="6">
        <v>0</v>
      </c>
      <c r="Q869" s="4" t="s">
        <v>26</v>
      </c>
      <c r="R869" s="4">
        <v>0</v>
      </c>
      <c r="S869" s="4" t="s">
        <v>283</v>
      </c>
      <c r="T869" s="4" t="s">
        <v>408</v>
      </c>
      <c r="U869" s="4">
        <v>0</v>
      </c>
      <c r="V869" s="4">
        <v>40</v>
      </c>
      <c r="W869" s="4">
        <v>78</v>
      </c>
    </row>
    <row r="870" spans="1:23" ht="11.25" customHeight="1" x14ac:dyDescent="0.25">
      <c r="A870" s="4" t="s">
        <v>21</v>
      </c>
      <c r="B870" s="4" t="s">
        <v>41</v>
      </c>
      <c r="C870" s="4" t="s">
        <v>23</v>
      </c>
      <c r="D870" s="4" t="s">
        <v>42</v>
      </c>
      <c r="E870" s="4" t="s">
        <v>50</v>
      </c>
      <c r="F870" s="4" t="s">
        <v>51</v>
      </c>
      <c r="G870" s="4" t="s">
        <v>25</v>
      </c>
      <c r="H870" s="4" t="s">
        <v>25</v>
      </c>
      <c r="I870" s="5">
        <v>44440</v>
      </c>
      <c r="J870" s="6">
        <v>0</v>
      </c>
      <c r="K870" s="6">
        <v>0</v>
      </c>
      <c r="L870" s="6">
        <v>126.84</v>
      </c>
      <c r="M870" s="6">
        <v>50.735999999999997</v>
      </c>
      <c r="N870" s="6">
        <v>126.84</v>
      </c>
      <c r="O870" s="6">
        <v>50.735999999999997</v>
      </c>
      <c r="P870" s="6">
        <v>0</v>
      </c>
      <c r="Q870" s="4" t="s">
        <v>26</v>
      </c>
      <c r="R870" s="4">
        <v>0</v>
      </c>
      <c r="S870" s="4" t="s">
        <v>284</v>
      </c>
      <c r="T870" s="4" t="s">
        <v>409</v>
      </c>
      <c r="U870" s="4">
        <v>0</v>
      </c>
      <c r="V870" s="4">
        <v>40</v>
      </c>
      <c r="W870" s="4">
        <v>78</v>
      </c>
    </row>
    <row r="871" spans="1:23" ht="11.25" customHeight="1" x14ac:dyDescent="0.25">
      <c r="A871" s="4" t="s">
        <v>27</v>
      </c>
      <c r="B871" s="4" t="s">
        <v>41</v>
      </c>
      <c r="C871" s="4" t="s">
        <v>23</v>
      </c>
      <c r="D871" s="4" t="s">
        <v>42</v>
      </c>
      <c r="E871" s="4" t="s">
        <v>50</v>
      </c>
      <c r="F871" s="4" t="s">
        <v>51</v>
      </c>
      <c r="G871" s="4" t="s">
        <v>25</v>
      </c>
      <c r="H871" s="4" t="s">
        <v>25</v>
      </c>
      <c r="I871" s="5">
        <v>44440</v>
      </c>
      <c r="J871" s="6">
        <v>0</v>
      </c>
      <c r="K871" s="6">
        <v>0</v>
      </c>
      <c r="L871" s="6">
        <v>-2.19</v>
      </c>
      <c r="M871" s="6">
        <v>-0.876</v>
      </c>
      <c r="N871" s="6">
        <v>-2.19</v>
      </c>
      <c r="O871" s="6">
        <v>-0.876</v>
      </c>
      <c r="P871" s="6">
        <v>0</v>
      </c>
      <c r="Q871" s="4" t="s">
        <v>26</v>
      </c>
      <c r="R871" s="4">
        <v>0</v>
      </c>
      <c r="S871" s="4" t="s">
        <v>284</v>
      </c>
      <c r="T871" s="4" t="s">
        <v>409</v>
      </c>
      <c r="U871" s="4">
        <v>0</v>
      </c>
      <c r="V871" s="4">
        <v>40</v>
      </c>
      <c r="W871" s="4">
        <v>78</v>
      </c>
    </row>
    <row r="872" spans="1:23" ht="11.25" customHeight="1" x14ac:dyDescent="0.25">
      <c r="A872" s="4" t="s">
        <v>28</v>
      </c>
      <c r="B872" s="4" t="s">
        <v>41</v>
      </c>
      <c r="C872" s="4" t="s">
        <v>23</v>
      </c>
      <c r="D872" s="4" t="s">
        <v>42</v>
      </c>
      <c r="E872" s="4" t="s">
        <v>50</v>
      </c>
      <c r="F872" s="4" t="s">
        <v>51</v>
      </c>
      <c r="G872" s="4" t="s">
        <v>25</v>
      </c>
      <c r="H872" s="4" t="s">
        <v>25</v>
      </c>
      <c r="I872" s="5">
        <v>44440</v>
      </c>
      <c r="J872" s="6">
        <v>0</v>
      </c>
      <c r="K872" s="6">
        <v>0</v>
      </c>
      <c r="L872" s="6">
        <v>1.6890000000000001</v>
      </c>
      <c r="M872" s="6">
        <v>0.67559999999999998</v>
      </c>
      <c r="N872" s="6">
        <v>1.6890000000000001</v>
      </c>
      <c r="O872" s="6">
        <v>0.67559999999999998</v>
      </c>
      <c r="P872" s="6">
        <v>0</v>
      </c>
      <c r="Q872" s="4" t="s">
        <v>26</v>
      </c>
      <c r="R872" s="4">
        <v>0</v>
      </c>
      <c r="S872" s="4" t="s">
        <v>284</v>
      </c>
      <c r="T872" s="4" t="s">
        <v>409</v>
      </c>
      <c r="U872" s="4">
        <v>0</v>
      </c>
      <c r="V872" s="4">
        <v>40</v>
      </c>
      <c r="W872" s="4">
        <v>78</v>
      </c>
    </row>
    <row r="873" spans="1:23" ht="11.25" customHeight="1" x14ac:dyDescent="0.25">
      <c r="A873" s="4" t="s">
        <v>21</v>
      </c>
      <c r="B873" s="4" t="s">
        <v>41</v>
      </c>
      <c r="C873" s="4" t="s">
        <v>23</v>
      </c>
      <c r="D873" s="4" t="s">
        <v>42</v>
      </c>
      <c r="E873" s="4" t="s">
        <v>50</v>
      </c>
      <c r="F873" s="4" t="s">
        <v>51</v>
      </c>
      <c r="G873" s="4" t="s">
        <v>25</v>
      </c>
      <c r="H873" s="4" t="s">
        <v>25</v>
      </c>
      <c r="I873" s="5">
        <v>44470</v>
      </c>
      <c r="J873" s="6">
        <v>0</v>
      </c>
      <c r="K873" s="6">
        <v>0</v>
      </c>
      <c r="L873" s="6">
        <v>84.653000000000006</v>
      </c>
      <c r="M873" s="6">
        <v>33.861199999999997</v>
      </c>
      <c r="N873" s="6">
        <v>84.653000000000006</v>
      </c>
      <c r="O873" s="6">
        <v>33.861199999999997</v>
      </c>
      <c r="P873" s="6">
        <v>0</v>
      </c>
      <c r="Q873" s="4" t="s">
        <v>26</v>
      </c>
      <c r="R873" s="4">
        <v>0</v>
      </c>
      <c r="S873" s="4" t="s">
        <v>285</v>
      </c>
      <c r="T873" s="4" t="s">
        <v>410</v>
      </c>
      <c r="U873" s="4">
        <v>0</v>
      </c>
      <c r="V873" s="4">
        <v>40</v>
      </c>
      <c r="W873" s="4">
        <v>78</v>
      </c>
    </row>
    <row r="874" spans="1:23" ht="11.25" customHeight="1" x14ac:dyDescent="0.25">
      <c r="A874" s="4" t="s">
        <v>27</v>
      </c>
      <c r="B874" s="4" t="s">
        <v>41</v>
      </c>
      <c r="C874" s="4" t="s">
        <v>23</v>
      </c>
      <c r="D874" s="4" t="s">
        <v>42</v>
      </c>
      <c r="E874" s="4" t="s">
        <v>50</v>
      </c>
      <c r="F874" s="4" t="s">
        <v>51</v>
      </c>
      <c r="G874" s="4" t="s">
        <v>25</v>
      </c>
      <c r="H874" s="4" t="s">
        <v>25</v>
      </c>
      <c r="I874" s="5">
        <v>44470</v>
      </c>
      <c r="J874" s="6">
        <v>0</v>
      </c>
      <c r="K874" s="6">
        <v>0</v>
      </c>
      <c r="L874" s="6">
        <v>-5.9939999999999998</v>
      </c>
      <c r="M874" s="6">
        <v>-2.3976000000000002</v>
      </c>
      <c r="N874" s="6">
        <v>-5.9939999999999998</v>
      </c>
      <c r="O874" s="6">
        <v>-2.3976000000000002</v>
      </c>
      <c r="P874" s="6">
        <v>0</v>
      </c>
      <c r="Q874" s="4" t="s">
        <v>26</v>
      </c>
      <c r="R874" s="4">
        <v>0</v>
      </c>
      <c r="S874" s="4" t="s">
        <v>285</v>
      </c>
      <c r="T874" s="4" t="s">
        <v>410</v>
      </c>
      <c r="U874" s="4">
        <v>0</v>
      </c>
      <c r="V874" s="4">
        <v>40</v>
      </c>
      <c r="W874" s="4">
        <v>78</v>
      </c>
    </row>
    <row r="875" spans="1:23" ht="11.25" customHeight="1" x14ac:dyDescent="0.25">
      <c r="A875" s="4" t="s">
        <v>28</v>
      </c>
      <c r="B875" s="4" t="s">
        <v>41</v>
      </c>
      <c r="C875" s="4" t="s">
        <v>23</v>
      </c>
      <c r="D875" s="4" t="s">
        <v>42</v>
      </c>
      <c r="E875" s="4" t="s">
        <v>50</v>
      </c>
      <c r="F875" s="4" t="s">
        <v>51</v>
      </c>
      <c r="G875" s="4" t="s">
        <v>25</v>
      </c>
      <c r="H875" s="4" t="s">
        <v>25</v>
      </c>
      <c r="I875" s="5">
        <v>44470</v>
      </c>
      <c r="J875" s="6">
        <v>0</v>
      </c>
      <c r="K875" s="6">
        <v>0</v>
      </c>
      <c r="L875" s="6">
        <v>4.5019999999999998</v>
      </c>
      <c r="M875" s="6">
        <v>1.8008</v>
      </c>
      <c r="N875" s="6">
        <v>4.5019999999999998</v>
      </c>
      <c r="O875" s="6">
        <v>1.8008</v>
      </c>
      <c r="P875" s="6">
        <v>0</v>
      </c>
      <c r="Q875" s="4" t="s">
        <v>26</v>
      </c>
      <c r="R875" s="4">
        <v>0</v>
      </c>
      <c r="S875" s="4" t="s">
        <v>285</v>
      </c>
      <c r="T875" s="4" t="s">
        <v>410</v>
      </c>
      <c r="U875" s="4">
        <v>0</v>
      </c>
      <c r="V875" s="4">
        <v>40</v>
      </c>
      <c r="W875" s="4">
        <v>78</v>
      </c>
    </row>
    <row r="876" spans="1:23" ht="11.25" customHeight="1" x14ac:dyDescent="0.25">
      <c r="A876" s="4" t="s">
        <v>21</v>
      </c>
      <c r="B876" s="4" t="s">
        <v>41</v>
      </c>
      <c r="C876" s="4" t="s">
        <v>23</v>
      </c>
      <c r="D876" s="4" t="s">
        <v>42</v>
      </c>
      <c r="E876" s="4" t="s">
        <v>50</v>
      </c>
      <c r="F876" s="4" t="s">
        <v>51</v>
      </c>
      <c r="G876" s="4" t="s">
        <v>25</v>
      </c>
      <c r="H876" s="4" t="s">
        <v>25</v>
      </c>
      <c r="I876" s="5">
        <v>44501</v>
      </c>
      <c r="J876" s="6">
        <v>0</v>
      </c>
      <c r="K876" s="6">
        <v>0</v>
      </c>
      <c r="L876" s="6">
        <v>183.863</v>
      </c>
      <c r="M876" s="6">
        <v>73.545199999999994</v>
      </c>
      <c r="N876" s="6">
        <v>183.863</v>
      </c>
      <c r="O876" s="6">
        <v>73.545199999999994</v>
      </c>
      <c r="P876" s="6">
        <v>0</v>
      </c>
      <c r="Q876" s="4" t="s">
        <v>26</v>
      </c>
      <c r="R876" s="4">
        <v>0</v>
      </c>
      <c r="S876" s="4" t="s">
        <v>286</v>
      </c>
      <c r="T876" s="4" t="s">
        <v>411</v>
      </c>
      <c r="U876" s="4">
        <v>0</v>
      </c>
      <c r="V876" s="4">
        <v>40</v>
      </c>
      <c r="W876" s="4">
        <v>78</v>
      </c>
    </row>
    <row r="877" spans="1:23" ht="11.25" customHeight="1" x14ac:dyDescent="0.25">
      <c r="A877" s="4" t="s">
        <v>28</v>
      </c>
      <c r="B877" s="4" t="s">
        <v>41</v>
      </c>
      <c r="C877" s="4" t="s">
        <v>23</v>
      </c>
      <c r="D877" s="4" t="s">
        <v>42</v>
      </c>
      <c r="E877" s="4" t="s">
        <v>50</v>
      </c>
      <c r="F877" s="4" t="s">
        <v>51</v>
      </c>
      <c r="G877" s="4" t="s">
        <v>25</v>
      </c>
      <c r="H877" s="4" t="s">
        <v>25</v>
      </c>
      <c r="I877" s="5">
        <v>44501</v>
      </c>
      <c r="J877" s="6">
        <v>0</v>
      </c>
      <c r="K877" s="6">
        <v>0</v>
      </c>
      <c r="L877" s="6">
        <v>4.9530000000000003</v>
      </c>
      <c r="M877" s="6">
        <v>1.9812000000000001</v>
      </c>
      <c r="N877" s="6">
        <v>4.9530000000000003</v>
      </c>
      <c r="O877" s="6">
        <v>1.9812000000000001</v>
      </c>
      <c r="P877" s="6">
        <v>0</v>
      </c>
      <c r="Q877" s="4" t="s">
        <v>26</v>
      </c>
      <c r="R877" s="4">
        <v>0</v>
      </c>
      <c r="S877" s="4" t="s">
        <v>286</v>
      </c>
      <c r="T877" s="4" t="s">
        <v>411</v>
      </c>
      <c r="U877" s="4">
        <v>0</v>
      </c>
      <c r="V877" s="4">
        <v>40</v>
      </c>
      <c r="W877" s="4">
        <v>78</v>
      </c>
    </row>
    <row r="878" spans="1:23" ht="11.25" customHeight="1" x14ac:dyDescent="0.25">
      <c r="A878" s="4" t="s">
        <v>21</v>
      </c>
      <c r="B878" s="4" t="s">
        <v>41</v>
      </c>
      <c r="C878" s="4" t="s">
        <v>23</v>
      </c>
      <c r="D878" s="4" t="s">
        <v>42</v>
      </c>
      <c r="E878" s="4" t="s">
        <v>50</v>
      </c>
      <c r="F878" s="4" t="s">
        <v>51</v>
      </c>
      <c r="G878" s="4" t="s">
        <v>25</v>
      </c>
      <c r="H878" s="4" t="s">
        <v>25</v>
      </c>
      <c r="I878" s="5">
        <v>44531</v>
      </c>
      <c r="J878" s="6">
        <v>0</v>
      </c>
      <c r="K878" s="6">
        <v>0</v>
      </c>
      <c r="L878" s="6">
        <v>957.06500000000005</v>
      </c>
      <c r="M878" s="6">
        <v>382.82600000000002</v>
      </c>
      <c r="N878" s="6">
        <v>957.06500000000005</v>
      </c>
      <c r="O878" s="6">
        <v>382.82600000000002</v>
      </c>
      <c r="P878" s="6">
        <v>0</v>
      </c>
      <c r="Q878" s="4" t="s">
        <v>26</v>
      </c>
      <c r="R878" s="4">
        <v>0</v>
      </c>
      <c r="S878" s="4" t="s">
        <v>287</v>
      </c>
      <c r="T878" s="4" t="s">
        <v>412</v>
      </c>
      <c r="U878" s="4">
        <v>0</v>
      </c>
      <c r="V878" s="4">
        <v>40</v>
      </c>
      <c r="W878" s="4">
        <v>78</v>
      </c>
    </row>
    <row r="879" spans="1:23" ht="11.25" customHeight="1" x14ac:dyDescent="0.25">
      <c r="A879" s="4" t="s">
        <v>27</v>
      </c>
      <c r="B879" s="4" t="s">
        <v>41</v>
      </c>
      <c r="C879" s="4" t="s">
        <v>23</v>
      </c>
      <c r="D879" s="4" t="s">
        <v>42</v>
      </c>
      <c r="E879" s="4" t="s">
        <v>50</v>
      </c>
      <c r="F879" s="4" t="s">
        <v>51</v>
      </c>
      <c r="G879" s="4" t="s">
        <v>25</v>
      </c>
      <c r="H879" s="4" t="s">
        <v>25</v>
      </c>
      <c r="I879" s="5">
        <v>44531</v>
      </c>
      <c r="J879" s="6">
        <v>0</v>
      </c>
      <c r="K879" s="6">
        <v>0</v>
      </c>
      <c r="L879" s="6">
        <v>-75.600999999999999</v>
      </c>
      <c r="M879" s="6">
        <v>-30.240400000000001</v>
      </c>
      <c r="N879" s="6">
        <v>-75.600999999999999</v>
      </c>
      <c r="O879" s="6">
        <v>-30.240400000000001</v>
      </c>
      <c r="P879" s="6">
        <v>0</v>
      </c>
      <c r="Q879" s="4" t="s">
        <v>26</v>
      </c>
      <c r="R879" s="4">
        <v>0</v>
      </c>
      <c r="S879" s="4" t="s">
        <v>287</v>
      </c>
      <c r="T879" s="4" t="s">
        <v>412</v>
      </c>
      <c r="U879" s="4">
        <v>0</v>
      </c>
      <c r="V879" s="4">
        <v>40</v>
      </c>
      <c r="W879" s="4">
        <v>78</v>
      </c>
    </row>
    <row r="880" spans="1:23" ht="11.25" customHeight="1" x14ac:dyDescent="0.25">
      <c r="A880" s="4" t="s">
        <v>21</v>
      </c>
      <c r="B880" s="4" t="s">
        <v>41</v>
      </c>
      <c r="C880" s="4" t="s">
        <v>23</v>
      </c>
      <c r="D880" s="4" t="s">
        <v>42</v>
      </c>
      <c r="E880" s="4" t="s">
        <v>50</v>
      </c>
      <c r="F880" s="4" t="s">
        <v>51</v>
      </c>
      <c r="G880" s="4" t="s">
        <v>25</v>
      </c>
      <c r="H880" s="4" t="s">
        <v>25</v>
      </c>
      <c r="I880" s="5">
        <v>44562</v>
      </c>
      <c r="J880" s="6">
        <v>0</v>
      </c>
      <c r="K880" s="6">
        <v>0</v>
      </c>
      <c r="L880" s="6">
        <v>1113.9190000000001</v>
      </c>
      <c r="M880" s="6">
        <v>445.56760000000003</v>
      </c>
      <c r="N880" s="6">
        <v>1113.9190000000001</v>
      </c>
      <c r="O880" s="6">
        <v>445.56760000000003</v>
      </c>
      <c r="P880" s="6">
        <v>0</v>
      </c>
      <c r="Q880" s="4" t="s">
        <v>26</v>
      </c>
      <c r="R880" s="4">
        <v>0</v>
      </c>
      <c r="S880" s="4" t="s">
        <v>288</v>
      </c>
      <c r="T880" s="4" t="s">
        <v>413</v>
      </c>
      <c r="U880" s="4">
        <v>0</v>
      </c>
      <c r="V880" s="4">
        <v>40</v>
      </c>
      <c r="W880" s="4">
        <v>78</v>
      </c>
    </row>
    <row r="881" spans="1:23" ht="11.25" customHeight="1" x14ac:dyDescent="0.25">
      <c r="A881" s="4" t="s">
        <v>27</v>
      </c>
      <c r="B881" s="4" t="s">
        <v>41</v>
      </c>
      <c r="C881" s="4" t="s">
        <v>23</v>
      </c>
      <c r="D881" s="4" t="s">
        <v>42</v>
      </c>
      <c r="E881" s="4" t="s">
        <v>50</v>
      </c>
      <c r="F881" s="4" t="s">
        <v>51</v>
      </c>
      <c r="G881" s="4" t="s">
        <v>25</v>
      </c>
      <c r="H881" s="4" t="s">
        <v>25</v>
      </c>
      <c r="I881" s="5">
        <v>44562</v>
      </c>
      <c r="J881" s="6">
        <v>0</v>
      </c>
      <c r="K881" s="6">
        <v>0</v>
      </c>
      <c r="L881" s="6">
        <v>-8.4</v>
      </c>
      <c r="M881" s="6">
        <v>-3.36</v>
      </c>
      <c r="N881" s="6">
        <v>-8.4</v>
      </c>
      <c r="O881" s="6">
        <v>-3.36</v>
      </c>
      <c r="P881" s="6">
        <v>0</v>
      </c>
      <c r="Q881" s="4" t="s">
        <v>26</v>
      </c>
      <c r="R881" s="4">
        <v>0</v>
      </c>
      <c r="S881" s="4" t="s">
        <v>288</v>
      </c>
      <c r="T881" s="4" t="s">
        <v>413</v>
      </c>
      <c r="U881" s="4">
        <v>0</v>
      </c>
      <c r="V881" s="4">
        <v>40</v>
      </c>
      <c r="W881" s="4">
        <v>78</v>
      </c>
    </row>
    <row r="882" spans="1:23" ht="11.25" customHeight="1" x14ac:dyDescent="0.25">
      <c r="A882" s="4" t="s">
        <v>28</v>
      </c>
      <c r="B882" s="4" t="s">
        <v>41</v>
      </c>
      <c r="C882" s="4" t="s">
        <v>23</v>
      </c>
      <c r="D882" s="4" t="s">
        <v>42</v>
      </c>
      <c r="E882" s="4" t="s">
        <v>50</v>
      </c>
      <c r="F882" s="4" t="s">
        <v>51</v>
      </c>
      <c r="G882" s="4" t="s">
        <v>25</v>
      </c>
      <c r="H882" s="4" t="s">
        <v>25</v>
      </c>
      <c r="I882" s="5">
        <v>44562</v>
      </c>
      <c r="J882" s="6">
        <v>0</v>
      </c>
      <c r="K882" s="6">
        <v>0</v>
      </c>
      <c r="L882" s="6">
        <v>59.715000000000003</v>
      </c>
      <c r="M882" s="6">
        <v>23.885999999999999</v>
      </c>
      <c r="N882" s="6">
        <v>59.715000000000003</v>
      </c>
      <c r="O882" s="6">
        <v>23.885999999999999</v>
      </c>
      <c r="P882" s="6">
        <v>0</v>
      </c>
      <c r="Q882" s="4" t="s">
        <v>26</v>
      </c>
      <c r="R882" s="4">
        <v>0</v>
      </c>
      <c r="S882" s="4" t="s">
        <v>288</v>
      </c>
      <c r="T882" s="4" t="s">
        <v>413</v>
      </c>
      <c r="U882" s="4">
        <v>0</v>
      </c>
      <c r="V882" s="4">
        <v>40</v>
      </c>
      <c r="W882" s="4">
        <v>78</v>
      </c>
    </row>
    <row r="883" spans="1:23" ht="11.25" customHeight="1" x14ac:dyDescent="0.25">
      <c r="A883" s="4" t="s">
        <v>21</v>
      </c>
      <c r="B883" s="4" t="s">
        <v>41</v>
      </c>
      <c r="C883" s="4" t="s">
        <v>23</v>
      </c>
      <c r="D883" s="4" t="s">
        <v>42</v>
      </c>
      <c r="E883" s="4" t="s">
        <v>50</v>
      </c>
      <c r="F883" s="4" t="s">
        <v>51</v>
      </c>
      <c r="G883" s="4" t="s">
        <v>25</v>
      </c>
      <c r="H883" s="4" t="s">
        <v>25</v>
      </c>
      <c r="I883" s="5">
        <v>44593</v>
      </c>
      <c r="J883" s="6">
        <v>0</v>
      </c>
      <c r="K883" s="6">
        <v>0</v>
      </c>
      <c r="L883" s="6">
        <v>797.46600000000001</v>
      </c>
      <c r="M883" s="6">
        <v>318.9864</v>
      </c>
      <c r="N883" s="6">
        <v>797.46600000000001</v>
      </c>
      <c r="O883" s="6">
        <v>318.9864</v>
      </c>
      <c r="P883" s="6">
        <v>0</v>
      </c>
      <c r="Q883" s="4" t="s">
        <v>26</v>
      </c>
      <c r="R883" s="4">
        <v>0</v>
      </c>
      <c r="S883" s="4" t="s">
        <v>289</v>
      </c>
      <c r="T883" s="4" t="s">
        <v>414</v>
      </c>
      <c r="U883" s="4">
        <v>0</v>
      </c>
      <c r="V883" s="4">
        <v>40</v>
      </c>
      <c r="W883" s="4">
        <v>78</v>
      </c>
    </row>
    <row r="884" spans="1:23" ht="11.25" customHeight="1" x14ac:dyDescent="0.25">
      <c r="A884" s="4" t="s">
        <v>27</v>
      </c>
      <c r="B884" s="4" t="s">
        <v>41</v>
      </c>
      <c r="C884" s="4" t="s">
        <v>23</v>
      </c>
      <c r="D884" s="4" t="s">
        <v>42</v>
      </c>
      <c r="E884" s="4" t="s">
        <v>50</v>
      </c>
      <c r="F884" s="4" t="s">
        <v>51</v>
      </c>
      <c r="G884" s="4" t="s">
        <v>25</v>
      </c>
      <c r="H884" s="4" t="s">
        <v>25</v>
      </c>
      <c r="I884" s="5">
        <v>44593</v>
      </c>
      <c r="J884" s="6">
        <v>0</v>
      </c>
      <c r="K884" s="6">
        <v>0</v>
      </c>
      <c r="L884" s="6">
        <v>-16.84</v>
      </c>
      <c r="M884" s="6">
        <v>-6.7359999999999998</v>
      </c>
      <c r="N884" s="6">
        <v>-16.84</v>
      </c>
      <c r="O884" s="6">
        <v>-6.7359999999999998</v>
      </c>
      <c r="P884" s="6">
        <v>0</v>
      </c>
      <c r="Q884" s="4" t="s">
        <v>26</v>
      </c>
      <c r="R884" s="4">
        <v>0</v>
      </c>
      <c r="S884" s="4" t="s">
        <v>289</v>
      </c>
      <c r="T884" s="4" t="s">
        <v>414</v>
      </c>
      <c r="U884" s="4">
        <v>0</v>
      </c>
      <c r="V884" s="4">
        <v>40</v>
      </c>
      <c r="W884" s="4">
        <v>78</v>
      </c>
    </row>
    <row r="885" spans="1:23" ht="11.25" customHeight="1" x14ac:dyDescent="0.25">
      <c r="A885" s="4" t="s">
        <v>28</v>
      </c>
      <c r="B885" s="4" t="s">
        <v>41</v>
      </c>
      <c r="C885" s="4" t="s">
        <v>23</v>
      </c>
      <c r="D885" s="4" t="s">
        <v>42</v>
      </c>
      <c r="E885" s="4" t="s">
        <v>50</v>
      </c>
      <c r="F885" s="4" t="s">
        <v>51</v>
      </c>
      <c r="G885" s="4" t="s">
        <v>25</v>
      </c>
      <c r="H885" s="4" t="s">
        <v>25</v>
      </c>
      <c r="I885" s="5">
        <v>44593</v>
      </c>
      <c r="J885" s="6">
        <v>0</v>
      </c>
      <c r="K885" s="6">
        <v>0</v>
      </c>
      <c r="L885" s="6">
        <v>40.540999999999997</v>
      </c>
      <c r="M885" s="6">
        <v>16.2164</v>
      </c>
      <c r="N885" s="6">
        <v>40.540999999999997</v>
      </c>
      <c r="O885" s="6">
        <v>16.2164</v>
      </c>
      <c r="P885" s="6">
        <v>0</v>
      </c>
      <c r="Q885" s="4" t="s">
        <v>26</v>
      </c>
      <c r="R885" s="4">
        <v>0</v>
      </c>
      <c r="S885" s="4" t="s">
        <v>289</v>
      </c>
      <c r="T885" s="4" t="s">
        <v>414</v>
      </c>
      <c r="U885" s="4">
        <v>0</v>
      </c>
      <c r="V885" s="4">
        <v>40</v>
      </c>
      <c r="W885" s="4">
        <v>78</v>
      </c>
    </row>
    <row r="886" spans="1:23" ht="11.25" customHeight="1" x14ac:dyDescent="0.25">
      <c r="A886" s="4" t="s">
        <v>21</v>
      </c>
      <c r="B886" s="4" t="s">
        <v>41</v>
      </c>
      <c r="C886" s="4" t="s">
        <v>23</v>
      </c>
      <c r="D886" s="4" t="s">
        <v>42</v>
      </c>
      <c r="E886" s="4" t="s">
        <v>50</v>
      </c>
      <c r="F886" s="4" t="s">
        <v>51</v>
      </c>
      <c r="G886" s="4" t="s">
        <v>25</v>
      </c>
      <c r="H886" s="4" t="s">
        <v>25</v>
      </c>
      <c r="I886" s="5">
        <v>44621</v>
      </c>
      <c r="J886" s="6">
        <v>0</v>
      </c>
      <c r="K886" s="6">
        <v>0</v>
      </c>
      <c r="L886" s="6">
        <v>557.976</v>
      </c>
      <c r="M886" s="6">
        <v>223.19040000000001</v>
      </c>
      <c r="N886" s="6">
        <v>557.976</v>
      </c>
      <c r="O886" s="6">
        <v>223.19040000000001</v>
      </c>
      <c r="P886" s="6">
        <v>0</v>
      </c>
      <c r="Q886" s="4" t="s">
        <v>26</v>
      </c>
      <c r="R886" s="4">
        <v>0</v>
      </c>
      <c r="S886" s="4" t="s">
        <v>290</v>
      </c>
      <c r="T886" s="4" t="s">
        <v>415</v>
      </c>
      <c r="U886" s="4">
        <v>0</v>
      </c>
      <c r="V886" s="4">
        <v>40</v>
      </c>
      <c r="W886" s="4">
        <v>78</v>
      </c>
    </row>
    <row r="887" spans="1:23" ht="11.25" customHeight="1" x14ac:dyDescent="0.25">
      <c r="A887" s="4" t="s">
        <v>27</v>
      </c>
      <c r="B887" s="4" t="s">
        <v>41</v>
      </c>
      <c r="C887" s="4" t="s">
        <v>23</v>
      </c>
      <c r="D887" s="4" t="s">
        <v>42</v>
      </c>
      <c r="E887" s="4" t="s">
        <v>50</v>
      </c>
      <c r="F887" s="4" t="s">
        <v>51</v>
      </c>
      <c r="G887" s="4" t="s">
        <v>25</v>
      </c>
      <c r="H887" s="4" t="s">
        <v>25</v>
      </c>
      <c r="I887" s="5">
        <v>44621</v>
      </c>
      <c r="J887" s="6">
        <v>0</v>
      </c>
      <c r="K887" s="6">
        <v>0</v>
      </c>
      <c r="L887" s="6">
        <v>-8.3610000000000007</v>
      </c>
      <c r="M887" s="6">
        <v>-3.3443999999999998</v>
      </c>
      <c r="N887" s="6">
        <v>-8.3610000000000007</v>
      </c>
      <c r="O887" s="6">
        <v>-3.3443999999999998</v>
      </c>
      <c r="P887" s="6">
        <v>0</v>
      </c>
      <c r="Q887" s="4" t="s">
        <v>26</v>
      </c>
      <c r="R887" s="4">
        <v>0</v>
      </c>
      <c r="S887" s="4" t="s">
        <v>290</v>
      </c>
      <c r="T887" s="4" t="s">
        <v>415</v>
      </c>
      <c r="U887" s="4">
        <v>0</v>
      </c>
      <c r="V887" s="4">
        <v>40</v>
      </c>
      <c r="W887" s="4">
        <v>78</v>
      </c>
    </row>
    <row r="888" spans="1:23" ht="11.25" customHeight="1" x14ac:dyDescent="0.25">
      <c r="A888" s="4" t="s">
        <v>28</v>
      </c>
      <c r="B888" s="4" t="s">
        <v>41</v>
      </c>
      <c r="C888" s="4" t="s">
        <v>23</v>
      </c>
      <c r="D888" s="4" t="s">
        <v>42</v>
      </c>
      <c r="E888" s="4" t="s">
        <v>50</v>
      </c>
      <c r="F888" s="4" t="s">
        <v>51</v>
      </c>
      <c r="G888" s="4" t="s">
        <v>25</v>
      </c>
      <c r="H888" s="4" t="s">
        <v>25</v>
      </c>
      <c r="I888" s="5">
        <v>44621</v>
      </c>
      <c r="J888" s="6">
        <v>0</v>
      </c>
      <c r="K888" s="6">
        <v>0</v>
      </c>
      <c r="L888" s="6">
        <v>38.441000000000003</v>
      </c>
      <c r="M888" s="6">
        <v>15.3764</v>
      </c>
      <c r="N888" s="6">
        <v>38.441000000000003</v>
      </c>
      <c r="O888" s="6">
        <v>15.3764</v>
      </c>
      <c r="P888" s="6">
        <v>0</v>
      </c>
      <c r="Q888" s="4" t="s">
        <v>26</v>
      </c>
      <c r="R888" s="4">
        <v>0</v>
      </c>
      <c r="S888" s="4" t="s">
        <v>290</v>
      </c>
      <c r="T888" s="4" t="s">
        <v>415</v>
      </c>
      <c r="U888" s="4">
        <v>0</v>
      </c>
      <c r="V888" s="4">
        <v>40</v>
      </c>
      <c r="W888" s="4">
        <v>78</v>
      </c>
    </row>
    <row r="889" spans="1:23" ht="11.25" customHeight="1" x14ac:dyDescent="0.25">
      <c r="A889" s="4" t="s">
        <v>28</v>
      </c>
      <c r="B889" s="4" t="s">
        <v>41</v>
      </c>
      <c r="C889" s="4" t="s">
        <v>23</v>
      </c>
      <c r="D889" s="4" t="s">
        <v>42</v>
      </c>
      <c r="E889" s="4" t="s">
        <v>50</v>
      </c>
      <c r="F889" s="4" t="s">
        <v>51</v>
      </c>
      <c r="G889" s="4" t="s">
        <v>25</v>
      </c>
      <c r="H889" s="4" t="s">
        <v>25</v>
      </c>
      <c r="I889" s="5">
        <v>44621</v>
      </c>
      <c r="J889" s="6">
        <v>0</v>
      </c>
      <c r="K889" s="6">
        <v>0</v>
      </c>
      <c r="L889" s="6">
        <v>-17.835000000000001</v>
      </c>
      <c r="M889" s="6">
        <v>-7.1340000000000003</v>
      </c>
      <c r="N889" s="6">
        <v>-17.835000000000001</v>
      </c>
      <c r="O889" s="6">
        <v>-7.1340000000000003</v>
      </c>
      <c r="P889" s="6">
        <v>0</v>
      </c>
      <c r="Q889" s="4" t="s">
        <v>26</v>
      </c>
      <c r="R889" s="4">
        <v>0</v>
      </c>
      <c r="S889" s="4" t="s">
        <v>290</v>
      </c>
      <c r="T889" s="4" t="s">
        <v>415</v>
      </c>
      <c r="U889" s="4">
        <v>0</v>
      </c>
      <c r="V889" s="4">
        <v>40</v>
      </c>
      <c r="W889" s="4">
        <v>78</v>
      </c>
    </row>
    <row r="890" spans="1:23" ht="11.25" customHeight="1" x14ac:dyDescent="0.25">
      <c r="A890" s="4" t="s">
        <v>21</v>
      </c>
      <c r="B890" s="4" t="s">
        <v>41</v>
      </c>
      <c r="C890" s="4" t="s">
        <v>23</v>
      </c>
      <c r="D890" s="4" t="s">
        <v>42</v>
      </c>
      <c r="E890" s="4" t="s">
        <v>50</v>
      </c>
      <c r="F890" s="4" t="s">
        <v>51</v>
      </c>
      <c r="G890" s="4" t="s">
        <v>25</v>
      </c>
      <c r="H890" s="4" t="s">
        <v>25</v>
      </c>
      <c r="I890" s="5">
        <v>44652</v>
      </c>
      <c r="J890" s="6">
        <v>0</v>
      </c>
      <c r="K890" s="6">
        <v>0</v>
      </c>
      <c r="L890" s="6">
        <v>209.69399999999999</v>
      </c>
      <c r="M890" s="6">
        <v>83.877600000000001</v>
      </c>
      <c r="N890" s="6">
        <v>209.69399999999999</v>
      </c>
      <c r="O890" s="6">
        <v>83.877600000000001</v>
      </c>
      <c r="P890" s="6">
        <v>0</v>
      </c>
      <c r="Q890" s="4" t="s">
        <v>26</v>
      </c>
      <c r="R890" s="4">
        <v>0</v>
      </c>
      <c r="S890" s="4" t="s">
        <v>291</v>
      </c>
      <c r="T890" s="4" t="s">
        <v>416</v>
      </c>
      <c r="U890" s="4">
        <v>0</v>
      </c>
      <c r="V890" s="4">
        <v>40</v>
      </c>
      <c r="W890" s="4">
        <v>78</v>
      </c>
    </row>
    <row r="891" spans="1:23" ht="11.25" customHeight="1" x14ac:dyDescent="0.25">
      <c r="A891" s="4" t="s">
        <v>28</v>
      </c>
      <c r="B891" s="4" t="s">
        <v>41</v>
      </c>
      <c r="C891" s="4" t="s">
        <v>23</v>
      </c>
      <c r="D891" s="4" t="s">
        <v>42</v>
      </c>
      <c r="E891" s="4" t="s">
        <v>50</v>
      </c>
      <c r="F891" s="4" t="s">
        <v>51</v>
      </c>
      <c r="G891" s="4" t="s">
        <v>25</v>
      </c>
      <c r="H891" s="4" t="s">
        <v>25</v>
      </c>
      <c r="I891" s="5">
        <v>44652</v>
      </c>
      <c r="J891" s="6">
        <v>0</v>
      </c>
      <c r="K891" s="6">
        <v>0</v>
      </c>
      <c r="L891" s="6">
        <v>15.032</v>
      </c>
      <c r="M891" s="6">
        <v>6.0128000000000004</v>
      </c>
      <c r="N891" s="6">
        <v>15.032</v>
      </c>
      <c r="O891" s="6">
        <v>6.0128000000000004</v>
      </c>
      <c r="P891" s="6">
        <v>0</v>
      </c>
      <c r="Q891" s="4" t="s">
        <v>26</v>
      </c>
      <c r="R891" s="4">
        <v>0</v>
      </c>
      <c r="S891" s="4" t="s">
        <v>291</v>
      </c>
      <c r="T891" s="4" t="s">
        <v>416</v>
      </c>
      <c r="U891" s="4">
        <v>0</v>
      </c>
      <c r="V891" s="4">
        <v>40</v>
      </c>
      <c r="W891" s="4">
        <v>78</v>
      </c>
    </row>
    <row r="892" spans="1:23" ht="11.25" customHeight="1" x14ac:dyDescent="0.25">
      <c r="A892" s="4" t="s">
        <v>21</v>
      </c>
      <c r="B892" s="4" t="s">
        <v>41</v>
      </c>
      <c r="C892" s="4" t="s">
        <v>23</v>
      </c>
      <c r="D892" s="4" t="s">
        <v>42</v>
      </c>
      <c r="E892" s="4" t="s">
        <v>50</v>
      </c>
      <c r="F892" s="4" t="s">
        <v>51</v>
      </c>
      <c r="G892" s="4" t="s">
        <v>25</v>
      </c>
      <c r="H892" s="4" t="s">
        <v>25</v>
      </c>
      <c r="I892" s="5">
        <v>44682</v>
      </c>
      <c r="J892" s="6">
        <v>0</v>
      </c>
      <c r="K892" s="6">
        <v>0</v>
      </c>
      <c r="L892" s="6">
        <v>151.33600000000001</v>
      </c>
      <c r="M892" s="6">
        <v>60.534399999999998</v>
      </c>
      <c r="N892" s="6">
        <v>151.33600000000001</v>
      </c>
      <c r="O892" s="6">
        <v>60.534399999999998</v>
      </c>
      <c r="P892" s="6">
        <v>0</v>
      </c>
      <c r="Q892" s="4" t="s">
        <v>26</v>
      </c>
      <c r="R892" s="4">
        <v>0</v>
      </c>
      <c r="S892" s="4" t="s">
        <v>292</v>
      </c>
      <c r="T892" s="4" t="s">
        <v>417</v>
      </c>
      <c r="U892" s="4">
        <v>0</v>
      </c>
      <c r="V892" s="4">
        <v>40</v>
      </c>
      <c r="W892" s="4">
        <v>78</v>
      </c>
    </row>
    <row r="893" spans="1:23" ht="11.25" customHeight="1" x14ac:dyDescent="0.25">
      <c r="A893" s="4" t="s">
        <v>27</v>
      </c>
      <c r="B893" s="4" t="s">
        <v>41</v>
      </c>
      <c r="C893" s="4" t="s">
        <v>23</v>
      </c>
      <c r="D893" s="4" t="s">
        <v>42</v>
      </c>
      <c r="E893" s="4" t="s">
        <v>50</v>
      </c>
      <c r="F893" s="4" t="s">
        <v>51</v>
      </c>
      <c r="G893" s="4" t="s">
        <v>25</v>
      </c>
      <c r="H893" s="4" t="s">
        <v>25</v>
      </c>
      <c r="I893" s="5">
        <v>44682</v>
      </c>
      <c r="J893" s="6">
        <v>0</v>
      </c>
      <c r="K893" s="6">
        <v>0</v>
      </c>
      <c r="L893" s="6">
        <v>-25.431999999999999</v>
      </c>
      <c r="M893" s="6">
        <v>-10.172800000000001</v>
      </c>
      <c r="N893" s="6">
        <v>-25.431999999999999</v>
      </c>
      <c r="O893" s="6">
        <v>-10.172800000000001</v>
      </c>
      <c r="P893" s="6">
        <v>0</v>
      </c>
      <c r="Q893" s="4" t="s">
        <v>26</v>
      </c>
      <c r="R893" s="4">
        <v>0</v>
      </c>
      <c r="S893" s="4" t="s">
        <v>292</v>
      </c>
      <c r="T893" s="4" t="s">
        <v>417</v>
      </c>
      <c r="U893" s="4">
        <v>0</v>
      </c>
      <c r="V893" s="4">
        <v>40</v>
      </c>
      <c r="W893" s="4">
        <v>78</v>
      </c>
    </row>
    <row r="894" spans="1:23" ht="11.25" customHeight="1" x14ac:dyDescent="0.25">
      <c r="A894" s="4" t="s">
        <v>28</v>
      </c>
      <c r="B894" s="4" t="s">
        <v>41</v>
      </c>
      <c r="C894" s="4" t="s">
        <v>23</v>
      </c>
      <c r="D894" s="4" t="s">
        <v>42</v>
      </c>
      <c r="E894" s="4" t="s">
        <v>50</v>
      </c>
      <c r="F894" s="4" t="s">
        <v>51</v>
      </c>
      <c r="G894" s="4" t="s">
        <v>25</v>
      </c>
      <c r="H894" s="4" t="s">
        <v>25</v>
      </c>
      <c r="I894" s="5">
        <v>44682</v>
      </c>
      <c r="J894" s="6">
        <v>0</v>
      </c>
      <c r="K894" s="6">
        <v>0</v>
      </c>
      <c r="L894" s="6">
        <v>5.3159999999999998</v>
      </c>
      <c r="M894" s="6">
        <v>2.1263999999999998</v>
      </c>
      <c r="N894" s="6">
        <v>5.3159999999999998</v>
      </c>
      <c r="O894" s="6">
        <v>2.1263999999999998</v>
      </c>
      <c r="P894" s="6">
        <v>0</v>
      </c>
      <c r="Q894" s="4" t="s">
        <v>26</v>
      </c>
      <c r="R894" s="4">
        <v>0</v>
      </c>
      <c r="S894" s="4" t="s">
        <v>292</v>
      </c>
      <c r="T894" s="4" t="s">
        <v>417</v>
      </c>
      <c r="U894" s="4">
        <v>0</v>
      </c>
      <c r="V894" s="4">
        <v>40</v>
      </c>
      <c r="W894" s="4">
        <v>78</v>
      </c>
    </row>
    <row r="895" spans="1:23" ht="11.25" customHeight="1" x14ac:dyDescent="0.25">
      <c r="A895" s="4" t="s">
        <v>21</v>
      </c>
      <c r="B895" s="4" t="s">
        <v>41</v>
      </c>
      <c r="C895" s="4" t="s">
        <v>23</v>
      </c>
      <c r="D895" s="4" t="s">
        <v>42</v>
      </c>
      <c r="E895" s="4" t="s">
        <v>50</v>
      </c>
      <c r="F895" s="4" t="s">
        <v>51</v>
      </c>
      <c r="G895" s="4" t="s">
        <v>25</v>
      </c>
      <c r="H895" s="4" t="s">
        <v>25</v>
      </c>
      <c r="I895" s="5">
        <v>44713</v>
      </c>
      <c r="J895" s="6">
        <v>0</v>
      </c>
      <c r="K895" s="6">
        <v>0</v>
      </c>
      <c r="L895" s="6">
        <v>141.572</v>
      </c>
      <c r="M895" s="6">
        <v>56.628799999999998</v>
      </c>
      <c r="N895" s="6">
        <v>141.572</v>
      </c>
      <c r="O895" s="6">
        <v>56.628799999999998</v>
      </c>
      <c r="P895" s="6">
        <v>0</v>
      </c>
      <c r="Q895" s="4" t="s">
        <v>26</v>
      </c>
      <c r="R895" s="4">
        <v>0</v>
      </c>
      <c r="S895" s="4" t="s">
        <v>293</v>
      </c>
      <c r="T895" s="4" t="s">
        <v>418</v>
      </c>
      <c r="U895" s="4">
        <v>0</v>
      </c>
      <c r="V895" s="4">
        <v>40</v>
      </c>
      <c r="W895" s="4">
        <v>78</v>
      </c>
    </row>
    <row r="896" spans="1:23" ht="11.25" customHeight="1" x14ac:dyDescent="0.25">
      <c r="A896" s="4" t="s">
        <v>27</v>
      </c>
      <c r="B896" s="4" t="s">
        <v>41</v>
      </c>
      <c r="C896" s="4" t="s">
        <v>23</v>
      </c>
      <c r="D896" s="4" t="s">
        <v>42</v>
      </c>
      <c r="E896" s="4" t="s">
        <v>50</v>
      </c>
      <c r="F896" s="4" t="s">
        <v>51</v>
      </c>
      <c r="G896" s="4" t="s">
        <v>25</v>
      </c>
      <c r="H896" s="4" t="s">
        <v>25</v>
      </c>
      <c r="I896" s="5">
        <v>44713</v>
      </c>
      <c r="J896" s="6">
        <v>0</v>
      </c>
      <c r="K896" s="6">
        <v>0</v>
      </c>
      <c r="L896" s="6">
        <v>-0.52</v>
      </c>
      <c r="M896" s="6">
        <v>-0.20799999999999999</v>
      </c>
      <c r="N896" s="6">
        <v>-0.52</v>
      </c>
      <c r="O896" s="6">
        <v>-0.20799999999999999</v>
      </c>
      <c r="P896" s="6">
        <v>0</v>
      </c>
      <c r="Q896" s="4" t="s">
        <v>26</v>
      </c>
      <c r="R896" s="4">
        <v>0</v>
      </c>
      <c r="S896" s="4" t="s">
        <v>293</v>
      </c>
      <c r="T896" s="4" t="s">
        <v>418</v>
      </c>
      <c r="U896" s="4">
        <v>0</v>
      </c>
      <c r="V896" s="4">
        <v>40</v>
      </c>
      <c r="W896" s="4">
        <v>78</v>
      </c>
    </row>
    <row r="897" spans="1:23" ht="11.25" customHeight="1" x14ac:dyDescent="0.25">
      <c r="A897" s="4" t="s">
        <v>28</v>
      </c>
      <c r="B897" s="4" t="s">
        <v>41</v>
      </c>
      <c r="C897" s="4" t="s">
        <v>23</v>
      </c>
      <c r="D897" s="4" t="s">
        <v>42</v>
      </c>
      <c r="E897" s="4" t="s">
        <v>50</v>
      </c>
      <c r="F897" s="4" t="s">
        <v>51</v>
      </c>
      <c r="G897" s="4" t="s">
        <v>25</v>
      </c>
      <c r="H897" s="4" t="s">
        <v>25</v>
      </c>
      <c r="I897" s="5">
        <v>44713</v>
      </c>
      <c r="J897" s="6">
        <v>0</v>
      </c>
      <c r="K897" s="6">
        <v>0</v>
      </c>
      <c r="L897" s="6">
        <v>1.079</v>
      </c>
      <c r="M897" s="6">
        <v>0.43159999999999998</v>
      </c>
      <c r="N897" s="6">
        <v>1.079</v>
      </c>
      <c r="O897" s="6">
        <v>0.43159999999999998</v>
      </c>
      <c r="P897" s="6">
        <v>0</v>
      </c>
      <c r="Q897" s="4" t="s">
        <v>26</v>
      </c>
      <c r="R897" s="4">
        <v>0</v>
      </c>
      <c r="S897" s="4" t="s">
        <v>293</v>
      </c>
      <c r="T897" s="4" t="s">
        <v>418</v>
      </c>
      <c r="U897" s="4">
        <v>0</v>
      </c>
      <c r="V897" s="4">
        <v>40</v>
      </c>
      <c r="W897" s="4">
        <v>78</v>
      </c>
    </row>
    <row r="898" spans="1:23" ht="11.25" customHeight="1" x14ac:dyDescent="0.25">
      <c r="A898" s="4" t="s">
        <v>21</v>
      </c>
      <c r="B898" s="4" t="s">
        <v>41</v>
      </c>
      <c r="C898" s="4" t="s">
        <v>23</v>
      </c>
      <c r="D898" s="4" t="s">
        <v>42</v>
      </c>
      <c r="E898" s="4" t="s">
        <v>50</v>
      </c>
      <c r="F898" s="4" t="s">
        <v>52</v>
      </c>
      <c r="G898" s="4" t="s">
        <v>25</v>
      </c>
      <c r="H898" s="4" t="s">
        <v>25</v>
      </c>
      <c r="I898" s="5">
        <v>44378</v>
      </c>
      <c r="J898" s="6">
        <v>0</v>
      </c>
      <c r="K898" s="6">
        <v>0</v>
      </c>
      <c r="L898" s="6">
        <v>39.204000000000001</v>
      </c>
      <c r="M898" s="6">
        <v>15.6816</v>
      </c>
      <c r="N898" s="6">
        <v>39.204000000000001</v>
      </c>
      <c r="O898" s="6">
        <v>15.6816</v>
      </c>
      <c r="P898" s="6">
        <v>0</v>
      </c>
      <c r="Q898" s="4" t="s">
        <v>26</v>
      </c>
      <c r="R898" s="4">
        <v>0</v>
      </c>
      <c r="S898" s="4" t="s">
        <v>282</v>
      </c>
      <c r="T898" s="4" t="s">
        <v>407</v>
      </c>
      <c r="U898" s="4">
        <v>0</v>
      </c>
      <c r="V898" s="4">
        <v>40</v>
      </c>
      <c r="W898" s="4">
        <v>78</v>
      </c>
    </row>
    <row r="899" spans="1:23" ht="11.25" customHeight="1" x14ac:dyDescent="0.25">
      <c r="A899" s="4" t="s">
        <v>27</v>
      </c>
      <c r="B899" s="4" t="s">
        <v>41</v>
      </c>
      <c r="C899" s="4" t="s">
        <v>23</v>
      </c>
      <c r="D899" s="4" t="s">
        <v>42</v>
      </c>
      <c r="E899" s="4" t="s">
        <v>50</v>
      </c>
      <c r="F899" s="4" t="s">
        <v>52</v>
      </c>
      <c r="G899" s="4" t="s">
        <v>25</v>
      </c>
      <c r="H899" s="4" t="s">
        <v>25</v>
      </c>
      <c r="I899" s="5">
        <v>44378</v>
      </c>
      <c r="J899" s="6">
        <v>0</v>
      </c>
      <c r="K899" s="6">
        <v>0</v>
      </c>
      <c r="L899" s="6">
        <v>-0.501</v>
      </c>
      <c r="M899" s="6">
        <v>-0.20039999999999999</v>
      </c>
      <c r="N899" s="6">
        <v>-0.501</v>
      </c>
      <c r="O899" s="6">
        <v>-0.20039999999999999</v>
      </c>
      <c r="P899" s="6">
        <v>0</v>
      </c>
      <c r="Q899" s="4" t="s">
        <v>26</v>
      </c>
      <c r="R899" s="4">
        <v>0</v>
      </c>
      <c r="S899" s="4" t="s">
        <v>282</v>
      </c>
      <c r="T899" s="4" t="s">
        <v>407</v>
      </c>
      <c r="U899" s="4">
        <v>0</v>
      </c>
      <c r="V899" s="4">
        <v>40</v>
      </c>
      <c r="W899" s="4">
        <v>78</v>
      </c>
    </row>
    <row r="900" spans="1:23" ht="11.25" customHeight="1" x14ac:dyDescent="0.25">
      <c r="A900" s="4" t="s">
        <v>21</v>
      </c>
      <c r="B900" s="4" t="s">
        <v>41</v>
      </c>
      <c r="C900" s="4" t="s">
        <v>23</v>
      </c>
      <c r="D900" s="4" t="s">
        <v>42</v>
      </c>
      <c r="E900" s="4" t="s">
        <v>50</v>
      </c>
      <c r="F900" s="4" t="s">
        <v>52</v>
      </c>
      <c r="G900" s="4" t="s">
        <v>25</v>
      </c>
      <c r="H900" s="4" t="s">
        <v>25</v>
      </c>
      <c r="I900" s="5">
        <v>44409</v>
      </c>
      <c r="J900" s="6">
        <v>0</v>
      </c>
      <c r="K900" s="6">
        <v>0</v>
      </c>
      <c r="L900" s="6">
        <v>62.941000000000003</v>
      </c>
      <c r="M900" s="6">
        <v>25.176400000000001</v>
      </c>
      <c r="N900" s="6">
        <v>62.941000000000003</v>
      </c>
      <c r="O900" s="6">
        <v>25.176400000000001</v>
      </c>
      <c r="P900" s="6">
        <v>0</v>
      </c>
      <c r="Q900" s="4" t="s">
        <v>26</v>
      </c>
      <c r="R900" s="4">
        <v>0</v>
      </c>
      <c r="S900" s="4" t="s">
        <v>283</v>
      </c>
      <c r="T900" s="4" t="s">
        <v>408</v>
      </c>
      <c r="U900" s="4">
        <v>0</v>
      </c>
      <c r="V900" s="4">
        <v>40</v>
      </c>
      <c r="W900" s="4">
        <v>78</v>
      </c>
    </row>
    <row r="901" spans="1:23" ht="11.25" customHeight="1" x14ac:dyDescent="0.25">
      <c r="A901" s="4" t="s">
        <v>27</v>
      </c>
      <c r="B901" s="4" t="s">
        <v>41</v>
      </c>
      <c r="C901" s="4" t="s">
        <v>23</v>
      </c>
      <c r="D901" s="4" t="s">
        <v>42</v>
      </c>
      <c r="E901" s="4" t="s">
        <v>50</v>
      </c>
      <c r="F901" s="4" t="s">
        <v>52</v>
      </c>
      <c r="G901" s="4" t="s">
        <v>25</v>
      </c>
      <c r="H901" s="4" t="s">
        <v>25</v>
      </c>
      <c r="I901" s="5">
        <v>44409</v>
      </c>
      <c r="J901" s="6">
        <v>0</v>
      </c>
      <c r="K901" s="6">
        <v>0</v>
      </c>
      <c r="L901" s="6">
        <v>-8.0000000000000002E-3</v>
      </c>
      <c r="M901" s="6">
        <v>-3.2000000000000002E-3</v>
      </c>
      <c r="N901" s="6">
        <v>-8.0000000000000002E-3</v>
      </c>
      <c r="O901" s="6">
        <v>-3.2000000000000002E-3</v>
      </c>
      <c r="P901" s="6">
        <v>0</v>
      </c>
      <c r="Q901" s="4" t="s">
        <v>26</v>
      </c>
      <c r="R901" s="4">
        <v>0</v>
      </c>
      <c r="S901" s="4" t="s">
        <v>283</v>
      </c>
      <c r="T901" s="4" t="s">
        <v>408</v>
      </c>
      <c r="U901" s="4">
        <v>0</v>
      </c>
      <c r="V901" s="4">
        <v>40</v>
      </c>
      <c r="W901" s="4">
        <v>78</v>
      </c>
    </row>
    <row r="902" spans="1:23" ht="11.25" customHeight="1" x14ac:dyDescent="0.25">
      <c r="A902" s="4" t="s">
        <v>21</v>
      </c>
      <c r="B902" s="4" t="s">
        <v>41</v>
      </c>
      <c r="C902" s="4" t="s">
        <v>23</v>
      </c>
      <c r="D902" s="4" t="s">
        <v>42</v>
      </c>
      <c r="E902" s="4" t="s">
        <v>50</v>
      </c>
      <c r="F902" s="4" t="s">
        <v>52</v>
      </c>
      <c r="G902" s="4" t="s">
        <v>25</v>
      </c>
      <c r="H902" s="4" t="s">
        <v>25</v>
      </c>
      <c r="I902" s="5">
        <v>44440</v>
      </c>
      <c r="J902" s="6">
        <v>0</v>
      </c>
      <c r="K902" s="6">
        <v>0</v>
      </c>
      <c r="L902" s="6">
        <v>101.327</v>
      </c>
      <c r="M902" s="6">
        <v>40.530799999999999</v>
      </c>
      <c r="N902" s="6">
        <v>101.327</v>
      </c>
      <c r="O902" s="6">
        <v>40.530799999999999</v>
      </c>
      <c r="P902" s="6">
        <v>0</v>
      </c>
      <c r="Q902" s="4" t="s">
        <v>26</v>
      </c>
      <c r="R902" s="4">
        <v>0</v>
      </c>
      <c r="S902" s="4" t="s">
        <v>284</v>
      </c>
      <c r="T902" s="4" t="s">
        <v>409</v>
      </c>
      <c r="U902" s="4">
        <v>0</v>
      </c>
      <c r="V902" s="4">
        <v>40</v>
      </c>
      <c r="W902" s="4">
        <v>78</v>
      </c>
    </row>
    <row r="903" spans="1:23" ht="11.25" customHeight="1" x14ac:dyDescent="0.25">
      <c r="A903" s="4" t="s">
        <v>27</v>
      </c>
      <c r="B903" s="4" t="s">
        <v>41</v>
      </c>
      <c r="C903" s="4" t="s">
        <v>23</v>
      </c>
      <c r="D903" s="4" t="s">
        <v>42</v>
      </c>
      <c r="E903" s="4" t="s">
        <v>50</v>
      </c>
      <c r="F903" s="4" t="s">
        <v>52</v>
      </c>
      <c r="G903" s="4" t="s">
        <v>25</v>
      </c>
      <c r="H903" s="4" t="s">
        <v>25</v>
      </c>
      <c r="I903" s="5">
        <v>44440</v>
      </c>
      <c r="J903" s="6">
        <v>0</v>
      </c>
      <c r="K903" s="6">
        <v>0</v>
      </c>
      <c r="L903" s="6">
        <v>-0.69</v>
      </c>
      <c r="M903" s="6">
        <v>-0.27600000000000002</v>
      </c>
      <c r="N903" s="6">
        <v>-0.69</v>
      </c>
      <c r="O903" s="6">
        <v>-0.27600000000000002</v>
      </c>
      <c r="P903" s="6">
        <v>0</v>
      </c>
      <c r="Q903" s="4" t="s">
        <v>26</v>
      </c>
      <c r="R903" s="4">
        <v>0</v>
      </c>
      <c r="S903" s="4" t="s">
        <v>284</v>
      </c>
      <c r="T903" s="4" t="s">
        <v>409</v>
      </c>
      <c r="U903" s="4">
        <v>0</v>
      </c>
      <c r="V903" s="4">
        <v>40</v>
      </c>
      <c r="W903" s="4">
        <v>78</v>
      </c>
    </row>
    <row r="904" spans="1:23" ht="11.25" customHeight="1" x14ac:dyDescent="0.25">
      <c r="A904" s="4" t="s">
        <v>28</v>
      </c>
      <c r="B904" s="4" t="s">
        <v>41</v>
      </c>
      <c r="C904" s="4" t="s">
        <v>23</v>
      </c>
      <c r="D904" s="4" t="s">
        <v>42</v>
      </c>
      <c r="E904" s="4" t="s">
        <v>50</v>
      </c>
      <c r="F904" s="4" t="s">
        <v>52</v>
      </c>
      <c r="G904" s="4" t="s">
        <v>25</v>
      </c>
      <c r="H904" s="4" t="s">
        <v>25</v>
      </c>
      <c r="I904" s="5">
        <v>44440</v>
      </c>
      <c r="J904" s="6">
        <v>0</v>
      </c>
      <c r="K904" s="6">
        <v>0</v>
      </c>
      <c r="L904" s="6">
        <v>0.1</v>
      </c>
      <c r="M904" s="6">
        <v>0.04</v>
      </c>
      <c r="N904" s="6">
        <v>0.1</v>
      </c>
      <c r="O904" s="6">
        <v>0.04</v>
      </c>
      <c r="P904" s="6">
        <v>0</v>
      </c>
      <c r="Q904" s="4" t="s">
        <v>26</v>
      </c>
      <c r="R904" s="4">
        <v>0</v>
      </c>
      <c r="S904" s="4" t="s">
        <v>284</v>
      </c>
      <c r="T904" s="4" t="s">
        <v>409</v>
      </c>
      <c r="U904" s="4">
        <v>0</v>
      </c>
      <c r="V904" s="4">
        <v>40</v>
      </c>
      <c r="W904" s="4">
        <v>78</v>
      </c>
    </row>
    <row r="905" spans="1:23" ht="11.25" customHeight="1" x14ac:dyDescent="0.25">
      <c r="A905" s="4" t="s">
        <v>21</v>
      </c>
      <c r="B905" s="4" t="s">
        <v>41</v>
      </c>
      <c r="C905" s="4" t="s">
        <v>23</v>
      </c>
      <c r="D905" s="4" t="s">
        <v>42</v>
      </c>
      <c r="E905" s="4" t="s">
        <v>50</v>
      </c>
      <c r="F905" s="4" t="s">
        <v>52</v>
      </c>
      <c r="G905" s="4" t="s">
        <v>25</v>
      </c>
      <c r="H905" s="4" t="s">
        <v>25</v>
      </c>
      <c r="I905" s="5">
        <v>44470</v>
      </c>
      <c r="J905" s="6">
        <v>0</v>
      </c>
      <c r="K905" s="6">
        <v>0</v>
      </c>
      <c r="L905" s="6">
        <v>49.481999999999999</v>
      </c>
      <c r="M905" s="6">
        <v>19.7928</v>
      </c>
      <c r="N905" s="6">
        <v>49.481999999999999</v>
      </c>
      <c r="O905" s="6">
        <v>19.7928</v>
      </c>
      <c r="P905" s="6">
        <v>0</v>
      </c>
      <c r="Q905" s="4" t="s">
        <v>26</v>
      </c>
      <c r="R905" s="4">
        <v>0</v>
      </c>
      <c r="S905" s="4" t="s">
        <v>285</v>
      </c>
      <c r="T905" s="4" t="s">
        <v>410</v>
      </c>
      <c r="U905" s="4">
        <v>0</v>
      </c>
      <c r="V905" s="4">
        <v>40</v>
      </c>
      <c r="W905" s="4">
        <v>78</v>
      </c>
    </row>
    <row r="906" spans="1:23" ht="11.25" customHeight="1" x14ac:dyDescent="0.25">
      <c r="A906" s="4" t="s">
        <v>27</v>
      </c>
      <c r="B906" s="4" t="s">
        <v>41</v>
      </c>
      <c r="C906" s="4" t="s">
        <v>23</v>
      </c>
      <c r="D906" s="4" t="s">
        <v>42</v>
      </c>
      <c r="E906" s="4" t="s">
        <v>50</v>
      </c>
      <c r="F906" s="4" t="s">
        <v>52</v>
      </c>
      <c r="G906" s="4" t="s">
        <v>25</v>
      </c>
      <c r="H906" s="4" t="s">
        <v>25</v>
      </c>
      <c r="I906" s="5">
        <v>44470</v>
      </c>
      <c r="J906" s="6">
        <v>0</v>
      </c>
      <c r="K906" s="6">
        <v>0</v>
      </c>
      <c r="L906" s="6">
        <v>-1.534</v>
      </c>
      <c r="M906" s="6">
        <v>-0.61360000000000003</v>
      </c>
      <c r="N906" s="6">
        <v>-1.534</v>
      </c>
      <c r="O906" s="6">
        <v>-0.61360000000000003</v>
      </c>
      <c r="P906" s="6">
        <v>0</v>
      </c>
      <c r="Q906" s="4" t="s">
        <v>26</v>
      </c>
      <c r="R906" s="4">
        <v>0</v>
      </c>
      <c r="S906" s="4" t="s">
        <v>285</v>
      </c>
      <c r="T906" s="4" t="s">
        <v>410</v>
      </c>
      <c r="U906" s="4">
        <v>0</v>
      </c>
      <c r="V906" s="4">
        <v>40</v>
      </c>
      <c r="W906" s="4">
        <v>78</v>
      </c>
    </row>
    <row r="907" spans="1:23" ht="11.25" customHeight="1" x14ac:dyDescent="0.25">
      <c r="A907" s="4" t="s">
        <v>21</v>
      </c>
      <c r="B907" s="4" t="s">
        <v>41</v>
      </c>
      <c r="C907" s="4" t="s">
        <v>23</v>
      </c>
      <c r="D907" s="4" t="s">
        <v>42</v>
      </c>
      <c r="E907" s="4" t="s">
        <v>50</v>
      </c>
      <c r="F907" s="4" t="s">
        <v>52</v>
      </c>
      <c r="G907" s="4" t="s">
        <v>25</v>
      </c>
      <c r="H907" s="4" t="s">
        <v>25</v>
      </c>
      <c r="I907" s="5">
        <v>44501</v>
      </c>
      <c r="J907" s="6">
        <v>0</v>
      </c>
      <c r="K907" s="6">
        <v>0</v>
      </c>
      <c r="L907" s="6">
        <v>131.38300000000001</v>
      </c>
      <c r="M907" s="6">
        <v>52.553199999999997</v>
      </c>
      <c r="N907" s="6">
        <v>131.38300000000001</v>
      </c>
      <c r="O907" s="6">
        <v>52.553199999999997</v>
      </c>
      <c r="P907" s="6">
        <v>0</v>
      </c>
      <c r="Q907" s="4" t="s">
        <v>26</v>
      </c>
      <c r="R907" s="4">
        <v>0</v>
      </c>
      <c r="S907" s="4" t="s">
        <v>286</v>
      </c>
      <c r="T907" s="4" t="s">
        <v>411</v>
      </c>
      <c r="U907" s="4">
        <v>0</v>
      </c>
      <c r="V907" s="4">
        <v>40</v>
      </c>
      <c r="W907" s="4">
        <v>78</v>
      </c>
    </row>
    <row r="908" spans="1:23" ht="11.25" customHeight="1" x14ac:dyDescent="0.25">
      <c r="A908" s="4" t="s">
        <v>21</v>
      </c>
      <c r="B908" s="4" t="s">
        <v>41</v>
      </c>
      <c r="C908" s="4" t="s">
        <v>23</v>
      </c>
      <c r="D908" s="4" t="s">
        <v>42</v>
      </c>
      <c r="E908" s="4" t="s">
        <v>50</v>
      </c>
      <c r="F908" s="4" t="s">
        <v>52</v>
      </c>
      <c r="G908" s="4" t="s">
        <v>25</v>
      </c>
      <c r="H908" s="4" t="s">
        <v>25</v>
      </c>
      <c r="I908" s="5">
        <v>44531</v>
      </c>
      <c r="J908" s="6">
        <v>0</v>
      </c>
      <c r="K908" s="6">
        <v>0</v>
      </c>
      <c r="L908" s="6">
        <v>812.57</v>
      </c>
      <c r="M908" s="6">
        <v>325.02800000000002</v>
      </c>
      <c r="N908" s="6">
        <v>812.57</v>
      </c>
      <c r="O908" s="6">
        <v>325.02800000000002</v>
      </c>
      <c r="P908" s="6">
        <v>0</v>
      </c>
      <c r="Q908" s="4" t="s">
        <v>26</v>
      </c>
      <c r="R908" s="4">
        <v>0</v>
      </c>
      <c r="S908" s="4" t="s">
        <v>287</v>
      </c>
      <c r="T908" s="4" t="s">
        <v>412</v>
      </c>
      <c r="U908" s="4">
        <v>0</v>
      </c>
      <c r="V908" s="4">
        <v>40</v>
      </c>
      <c r="W908" s="4">
        <v>78</v>
      </c>
    </row>
    <row r="909" spans="1:23" ht="11.25" customHeight="1" x14ac:dyDescent="0.25">
      <c r="A909" s="4" t="s">
        <v>27</v>
      </c>
      <c r="B909" s="4" t="s">
        <v>41</v>
      </c>
      <c r="C909" s="4" t="s">
        <v>23</v>
      </c>
      <c r="D909" s="4" t="s">
        <v>42</v>
      </c>
      <c r="E909" s="4" t="s">
        <v>50</v>
      </c>
      <c r="F909" s="4" t="s">
        <v>52</v>
      </c>
      <c r="G909" s="4" t="s">
        <v>25</v>
      </c>
      <c r="H909" s="4" t="s">
        <v>25</v>
      </c>
      <c r="I909" s="5">
        <v>44531</v>
      </c>
      <c r="J909" s="6">
        <v>0</v>
      </c>
      <c r="K909" s="6">
        <v>0</v>
      </c>
      <c r="L909" s="6">
        <v>-44.145000000000003</v>
      </c>
      <c r="M909" s="6">
        <v>-17.658000000000001</v>
      </c>
      <c r="N909" s="6">
        <v>-44.145000000000003</v>
      </c>
      <c r="O909" s="6">
        <v>-17.658000000000001</v>
      </c>
      <c r="P909" s="6">
        <v>0</v>
      </c>
      <c r="Q909" s="4" t="s">
        <v>26</v>
      </c>
      <c r="R909" s="4">
        <v>0</v>
      </c>
      <c r="S909" s="4" t="s">
        <v>287</v>
      </c>
      <c r="T909" s="4" t="s">
        <v>412</v>
      </c>
      <c r="U909" s="4">
        <v>0</v>
      </c>
      <c r="V909" s="4">
        <v>40</v>
      </c>
      <c r="W909" s="4">
        <v>78</v>
      </c>
    </row>
    <row r="910" spans="1:23" ht="11.25" customHeight="1" x14ac:dyDescent="0.25">
      <c r="A910" s="4" t="s">
        <v>21</v>
      </c>
      <c r="B910" s="4" t="s">
        <v>41</v>
      </c>
      <c r="C910" s="4" t="s">
        <v>23</v>
      </c>
      <c r="D910" s="4" t="s">
        <v>42</v>
      </c>
      <c r="E910" s="4" t="s">
        <v>50</v>
      </c>
      <c r="F910" s="4" t="s">
        <v>52</v>
      </c>
      <c r="G910" s="4" t="s">
        <v>25</v>
      </c>
      <c r="H910" s="4" t="s">
        <v>25</v>
      </c>
      <c r="I910" s="5">
        <v>44562</v>
      </c>
      <c r="J910" s="6">
        <v>0</v>
      </c>
      <c r="K910" s="6">
        <v>0</v>
      </c>
      <c r="L910" s="6">
        <v>1028.1130000000001</v>
      </c>
      <c r="M910" s="6">
        <v>411.24520000000001</v>
      </c>
      <c r="N910" s="6">
        <v>1028.1130000000001</v>
      </c>
      <c r="O910" s="6">
        <v>411.24520000000001</v>
      </c>
      <c r="P910" s="6">
        <v>0</v>
      </c>
      <c r="Q910" s="4" t="s">
        <v>26</v>
      </c>
      <c r="R910" s="4">
        <v>0</v>
      </c>
      <c r="S910" s="4" t="s">
        <v>288</v>
      </c>
      <c r="T910" s="4" t="s">
        <v>413</v>
      </c>
      <c r="U910" s="4">
        <v>0</v>
      </c>
      <c r="V910" s="4">
        <v>40</v>
      </c>
      <c r="W910" s="4">
        <v>78</v>
      </c>
    </row>
    <row r="911" spans="1:23" ht="11.25" customHeight="1" x14ac:dyDescent="0.25">
      <c r="A911" s="4" t="s">
        <v>28</v>
      </c>
      <c r="B911" s="4" t="s">
        <v>41</v>
      </c>
      <c r="C911" s="4" t="s">
        <v>23</v>
      </c>
      <c r="D911" s="4" t="s">
        <v>42</v>
      </c>
      <c r="E911" s="4" t="s">
        <v>50</v>
      </c>
      <c r="F911" s="4" t="s">
        <v>52</v>
      </c>
      <c r="G911" s="4" t="s">
        <v>25</v>
      </c>
      <c r="H911" s="4" t="s">
        <v>25</v>
      </c>
      <c r="I911" s="5">
        <v>44562</v>
      </c>
      <c r="J911" s="6">
        <v>0</v>
      </c>
      <c r="K911" s="6">
        <v>0</v>
      </c>
      <c r="L911" s="6">
        <v>17.23</v>
      </c>
      <c r="M911" s="6">
        <v>6.8920000000000003</v>
      </c>
      <c r="N911" s="6">
        <v>17.23</v>
      </c>
      <c r="O911" s="6">
        <v>6.8920000000000003</v>
      </c>
      <c r="P911" s="6">
        <v>0</v>
      </c>
      <c r="Q911" s="4" t="s">
        <v>26</v>
      </c>
      <c r="R911" s="4">
        <v>0</v>
      </c>
      <c r="S911" s="4" t="s">
        <v>288</v>
      </c>
      <c r="T911" s="4" t="s">
        <v>413</v>
      </c>
      <c r="U911" s="4">
        <v>0</v>
      </c>
      <c r="V911" s="4">
        <v>40</v>
      </c>
      <c r="W911" s="4">
        <v>78</v>
      </c>
    </row>
    <row r="912" spans="1:23" ht="11.25" customHeight="1" x14ac:dyDescent="0.25">
      <c r="A912" s="4" t="s">
        <v>21</v>
      </c>
      <c r="B912" s="4" t="s">
        <v>41</v>
      </c>
      <c r="C912" s="4" t="s">
        <v>23</v>
      </c>
      <c r="D912" s="4" t="s">
        <v>42</v>
      </c>
      <c r="E912" s="4" t="s">
        <v>50</v>
      </c>
      <c r="F912" s="4" t="s">
        <v>52</v>
      </c>
      <c r="G912" s="4" t="s">
        <v>25</v>
      </c>
      <c r="H912" s="4" t="s">
        <v>25</v>
      </c>
      <c r="I912" s="5">
        <v>44593</v>
      </c>
      <c r="J912" s="6">
        <v>0</v>
      </c>
      <c r="K912" s="6">
        <v>0</v>
      </c>
      <c r="L912" s="6">
        <v>742.851</v>
      </c>
      <c r="M912" s="6">
        <v>297.1404</v>
      </c>
      <c r="N912" s="6">
        <v>742.851</v>
      </c>
      <c r="O912" s="6">
        <v>297.1404</v>
      </c>
      <c r="P912" s="6">
        <v>0</v>
      </c>
      <c r="Q912" s="4" t="s">
        <v>26</v>
      </c>
      <c r="R912" s="4">
        <v>0</v>
      </c>
      <c r="S912" s="4" t="s">
        <v>289</v>
      </c>
      <c r="T912" s="4" t="s">
        <v>414</v>
      </c>
      <c r="U912" s="4">
        <v>0</v>
      </c>
      <c r="V912" s="4">
        <v>40</v>
      </c>
      <c r="W912" s="4">
        <v>78</v>
      </c>
    </row>
    <row r="913" spans="1:23" ht="11.25" customHeight="1" x14ac:dyDescent="0.25">
      <c r="A913" s="4" t="s">
        <v>27</v>
      </c>
      <c r="B913" s="4" t="s">
        <v>41</v>
      </c>
      <c r="C913" s="4" t="s">
        <v>23</v>
      </c>
      <c r="D913" s="4" t="s">
        <v>42</v>
      </c>
      <c r="E913" s="4" t="s">
        <v>50</v>
      </c>
      <c r="F913" s="4" t="s">
        <v>52</v>
      </c>
      <c r="G913" s="4" t="s">
        <v>25</v>
      </c>
      <c r="H913" s="4" t="s">
        <v>25</v>
      </c>
      <c r="I913" s="5">
        <v>44593</v>
      </c>
      <c r="J913" s="6">
        <v>0</v>
      </c>
      <c r="K913" s="6">
        <v>0</v>
      </c>
      <c r="L913" s="6">
        <v>-25.92</v>
      </c>
      <c r="M913" s="6">
        <v>-10.368</v>
      </c>
      <c r="N913" s="6">
        <v>-25.92</v>
      </c>
      <c r="O913" s="6">
        <v>-10.368</v>
      </c>
      <c r="P913" s="6">
        <v>0</v>
      </c>
      <c r="Q913" s="4" t="s">
        <v>26</v>
      </c>
      <c r="R913" s="4">
        <v>0</v>
      </c>
      <c r="S913" s="4" t="s">
        <v>289</v>
      </c>
      <c r="T913" s="4" t="s">
        <v>414</v>
      </c>
      <c r="U913" s="4">
        <v>0</v>
      </c>
      <c r="V913" s="4">
        <v>40</v>
      </c>
      <c r="W913" s="4">
        <v>78</v>
      </c>
    </row>
    <row r="914" spans="1:23" ht="11.25" customHeight="1" x14ac:dyDescent="0.25">
      <c r="A914" s="4" t="s">
        <v>28</v>
      </c>
      <c r="B914" s="4" t="s">
        <v>41</v>
      </c>
      <c r="C914" s="4" t="s">
        <v>23</v>
      </c>
      <c r="D914" s="4" t="s">
        <v>42</v>
      </c>
      <c r="E914" s="4" t="s">
        <v>50</v>
      </c>
      <c r="F914" s="4" t="s">
        <v>52</v>
      </c>
      <c r="G914" s="4" t="s">
        <v>25</v>
      </c>
      <c r="H914" s="4" t="s">
        <v>25</v>
      </c>
      <c r="I914" s="5">
        <v>44593</v>
      </c>
      <c r="J914" s="6">
        <v>0</v>
      </c>
      <c r="K914" s="6">
        <v>0</v>
      </c>
      <c r="L914" s="6">
        <v>16.576000000000001</v>
      </c>
      <c r="M914" s="6">
        <v>6.6303999999999998</v>
      </c>
      <c r="N914" s="6">
        <v>16.576000000000001</v>
      </c>
      <c r="O914" s="6">
        <v>6.6303999999999998</v>
      </c>
      <c r="P914" s="6">
        <v>0</v>
      </c>
      <c r="Q914" s="4" t="s">
        <v>26</v>
      </c>
      <c r="R914" s="4">
        <v>0</v>
      </c>
      <c r="S914" s="4" t="s">
        <v>289</v>
      </c>
      <c r="T914" s="4" t="s">
        <v>414</v>
      </c>
      <c r="U914" s="4">
        <v>0</v>
      </c>
      <c r="V914" s="4">
        <v>40</v>
      </c>
      <c r="W914" s="4">
        <v>78</v>
      </c>
    </row>
    <row r="915" spans="1:23" ht="11.25" customHeight="1" x14ac:dyDescent="0.25">
      <c r="A915" s="4" t="s">
        <v>21</v>
      </c>
      <c r="B915" s="4" t="s">
        <v>41</v>
      </c>
      <c r="C915" s="4" t="s">
        <v>23</v>
      </c>
      <c r="D915" s="4" t="s">
        <v>42</v>
      </c>
      <c r="E915" s="4" t="s">
        <v>50</v>
      </c>
      <c r="F915" s="4" t="s">
        <v>52</v>
      </c>
      <c r="G915" s="4" t="s">
        <v>25</v>
      </c>
      <c r="H915" s="4" t="s">
        <v>25</v>
      </c>
      <c r="I915" s="5">
        <v>44621</v>
      </c>
      <c r="J915" s="6">
        <v>0</v>
      </c>
      <c r="K915" s="6">
        <v>0</v>
      </c>
      <c r="L915" s="6">
        <v>580.45299999999997</v>
      </c>
      <c r="M915" s="6">
        <v>232.18119999999999</v>
      </c>
      <c r="N915" s="6">
        <v>580.45299999999997</v>
      </c>
      <c r="O915" s="6">
        <v>232.18119999999999</v>
      </c>
      <c r="P915" s="6">
        <v>0</v>
      </c>
      <c r="Q915" s="4" t="s">
        <v>26</v>
      </c>
      <c r="R915" s="4">
        <v>0</v>
      </c>
      <c r="S915" s="4" t="s">
        <v>290</v>
      </c>
      <c r="T915" s="4" t="s">
        <v>415</v>
      </c>
      <c r="U915" s="4">
        <v>0</v>
      </c>
      <c r="V915" s="4">
        <v>40</v>
      </c>
      <c r="W915" s="4">
        <v>78</v>
      </c>
    </row>
    <row r="916" spans="1:23" ht="11.25" customHeight="1" x14ac:dyDescent="0.25">
      <c r="A916" s="4" t="s">
        <v>27</v>
      </c>
      <c r="B916" s="4" t="s">
        <v>41</v>
      </c>
      <c r="C916" s="4" t="s">
        <v>23</v>
      </c>
      <c r="D916" s="4" t="s">
        <v>42</v>
      </c>
      <c r="E916" s="4" t="s">
        <v>50</v>
      </c>
      <c r="F916" s="4" t="s">
        <v>52</v>
      </c>
      <c r="G916" s="4" t="s">
        <v>25</v>
      </c>
      <c r="H916" s="4" t="s">
        <v>25</v>
      </c>
      <c r="I916" s="5">
        <v>44621</v>
      </c>
      <c r="J916" s="6">
        <v>0</v>
      </c>
      <c r="K916" s="6">
        <v>0</v>
      </c>
      <c r="L916" s="6">
        <v>-10.492000000000001</v>
      </c>
      <c r="M916" s="6">
        <v>-4.1967999999999996</v>
      </c>
      <c r="N916" s="6">
        <v>-10.492000000000001</v>
      </c>
      <c r="O916" s="6">
        <v>-4.1967999999999996</v>
      </c>
      <c r="P916" s="6">
        <v>0</v>
      </c>
      <c r="Q916" s="4" t="s">
        <v>26</v>
      </c>
      <c r="R916" s="4">
        <v>0</v>
      </c>
      <c r="S916" s="4" t="s">
        <v>290</v>
      </c>
      <c r="T916" s="4" t="s">
        <v>415</v>
      </c>
      <c r="U916" s="4">
        <v>0</v>
      </c>
      <c r="V916" s="4">
        <v>40</v>
      </c>
      <c r="W916" s="4">
        <v>78</v>
      </c>
    </row>
    <row r="917" spans="1:23" ht="11.25" customHeight="1" x14ac:dyDescent="0.25">
      <c r="A917" s="4" t="s">
        <v>28</v>
      </c>
      <c r="B917" s="4" t="s">
        <v>41</v>
      </c>
      <c r="C917" s="4" t="s">
        <v>23</v>
      </c>
      <c r="D917" s="4" t="s">
        <v>42</v>
      </c>
      <c r="E917" s="4" t="s">
        <v>50</v>
      </c>
      <c r="F917" s="4" t="s">
        <v>52</v>
      </c>
      <c r="G917" s="4" t="s">
        <v>25</v>
      </c>
      <c r="H917" s="4" t="s">
        <v>25</v>
      </c>
      <c r="I917" s="5">
        <v>44621</v>
      </c>
      <c r="J917" s="6">
        <v>0</v>
      </c>
      <c r="K917" s="6">
        <v>0</v>
      </c>
      <c r="L917" s="6">
        <v>1.9239999999999999</v>
      </c>
      <c r="M917" s="6">
        <v>0.76959999999999995</v>
      </c>
      <c r="N917" s="6">
        <v>1.9239999999999999</v>
      </c>
      <c r="O917" s="6">
        <v>0.76959999999999995</v>
      </c>
      <c r="P917" s="6">
        <v>0</v>
      </c>
      <c r="Q917" s="4" t="s">
        <v>26</v>
      </c>
      <c r="R917" s="4">
        <v>0</v>
      </c>
      <c r="S917" s="4" t="s">
        <v>290</v>
      </c>
      <c r="T917" s="4" t="s">
        <v>415</v>
      </c>
      <c r="U917" s="4">
        <v>0</v>
      </c>
      <c r="V917" s="4">
        <v>40</v>
      </c>
      <c r="W917" s="4">
        <v>78</v>
      </c>
    </row>
    <row r="918" spans="1:23" ht="11.25" customHeight="1" x14ac:dyDescent="0.25">
      <c r="A918" s="4" t="s">
        <v>21</v>
      </c>
      <c r="B918" s="4" t="s">
        <v>41</v>
      </c>
      <c r="C918" s="4" t="s">
        <v>23</v>
      </c>
      <c r="D918" s="4" t="s">
        <v>42</v>
      </c>
      <c r="E918" s="4" t="s">
        <v>50</v>
      </c>
      <c r="F918" s="4" t="s">
        <v>52</v>
      </c>
      <c r="G918" s="4" t="s">
        <v>25</v>
      </c>
      <c r="H918" s="4" t="s">
        <v>25</v>
      </c>
      <c r="I918" s="5">
        <v>44652</v>
      </c>
      <c r="J918" s="6">
        <v>0</v>
      </c>
      <c r="K918" s="6">
        <v>0</v>
      </c>
      <c r="L918" s="6">
        <v>174.64699999999999</v>
      </c>
      <c r="M918" s="6">
        <v>69.858800000000002</v>
      </c>
      <c r="N918" s="6">
        <v>174.64699999999999</v>
      </c>
      <c r="O918" s="6">
        <v>69.858800000000002</v>
      </c>
      <c r="P918" s="6">
        <v>0</v>
      </c>
      <c r="Q918" s="4" t="s">
        <v>26</v>
      </c>
      <c r="R918" s="4">
        <v>0</v>
      </c>
      <c r="S918" s="4" t="s">
        <v>291</v>
      </c>
      <c r="T918" s="4" t="s">
        <v>416</v>
      </c>
      <c r="U918" s="4">
        <v>0</v>
      </c>
      <c r="V918" s="4">
        <v>40</v>
      </c>
      <c r="W918" s="4">
        <v>78</v>
      </c>
    </row>
    <row r="919" spans="1:23" ht="11.25" customHeight="1" x14ac:dyDescent="0.25">
      <c r="A919" s="4" t="s">
        <v>28</v>
      </c>
      <c r="B919" s="4" t="s">
        <v>41</v>
      </c>
      <c r="C919" s="4" t="s">
        <v>23</v>
      </c>
      <c r="D919" s="4" t="s">
        <v>42</v>
      </c>
      <c r="E919" s="4" t="s">
        <v>50</v>
      </c>
      <c r="F919" s="4" t="s">
        <v>52</v>
      </c>
      <c r="G919" s="4" t="s">
        <v>25</v>
      </c>
      <c r="H919" s="4" t="s">
        <v>25</v>
      </c>
      <c r="I919" s="5">
        <v>44652</v>
      </c>
      <c r="J919" s="6">
        <v>0</v>
      </c>
      <c r="K919" s="6">
        <v>0</v>
      </c>
      <c r="L919" s="6">
        <v>1.6060000000000001</v>
      </c>
      <c r="M919" s="6">
        <v>0.64239999999999997</v>
      </c>
      <c r="N919" s="6">
        <v>1.6060000000000001</v>
      </c>
      <c r="O919" s="6">
        <v>0.64239999999999997</v>
      </c>
      <c r="P919" s="6">
        <v>0</v>
      </c>
      <c r="Q919" s="4" t="s">
        <v>26</v>
      </c>
      <c r="R919" s="4">
        <v>0</v>
      </c>
      <c r="S919" s="4" t="s">
        <v>291</v>
      </c>
      <c r="T919" s="4" t="s">
        <v>416</v>
      </c>
      <c r="U919" s="4">
        <v>0</v>
      </c>
      <c r="V919" s="4">
        <v>40</v>
      </c>
      <c r="W919" s="4">
        <v>78</v>
      </c>
    </row>
    <row r="920" spans="1:23" ht="11.25" customHeight="1" x14ac:dyDescent="0.25">
      <c r="A920" s="4" t="s">
        <v>21</v>
      </c>
      <c r="B920" s="4" t="s">
        <v>41</v>
      </c>
      <c r="C920" s="4" t="s">
        <v>23</v>
      </c>
      <c r="D920" s="4" t="s">
        <v>42</v>
      </c>
      <c r="E920" s="4" t="s">
        <v>50</v>
      </c>
      <c r="F920" s="4" t="s">
        <v>52</v>
      </c>
      <c r="G920" s="4" t="s">
        <v>25</v>
      </c>
      <c r="H920" s="4" t="s">
        <v>25</v>
      </c>
      <c r="I920" s="5">
        <v>44682</v>
      </c>
      <c r="J920" s="6">
        <v>0</v>
      </c>
      <c r="K920" s="6">
        <v>0</v>
      </c>
      <c r="L920" s="6">
        <v>93.233999999999995</v>
      </c>
      <c r="M920" s="6">
        <v>37.293599999999998</v>
      </c>
      <c r="N920" s="6">
        <v>93.233999999999995</v>
      </c>
      <c r="O920" s="6">
        <v>37.293599999999998</v>
      </c>
      <c r="P920" s="6">
        <v>0</v>
      </c>
      <c r="Q920" s="4" t="s">
        <v>26</v>
      </c>
      <c r="R920" s="4">
        <v>0</v>
      </c>
      <c r="S920" s="4" t="s">
        <v>292</v>
      </c>
      <c r="T920" s="4" t="s">
        <v>417</v>
      </c>
      <c r="U920" s="4">
        <v>0</v>
      </c>
      <c r="V920" s="4">
        <v>40</v>
      </c>
      <c r="W920" s="4">
        <v>78</v>
      </c>
    </row>
    <row r="921" spans="1:23" ht="11.25" customHeight="1" x14ac:dyDescent="0.25">
      <c r="A921" s="4" t="s">
        <v>27</v>
      </c>
      <c r="B921" s="4" t="s">
        <v>41</v>
      </c>
      <c r="C921" s="4" t="s">
        <v>23</v>
      </c>
      <c r="D921" s="4" t="s">
        <v>42</v>
      </c>
      <c r="E921" s="4" t="s">
        <v>50</v>
      </c>
      <c r="F921" s="4" t="s">
        <v>52</v>
      </c>
      <c r="G921" s="4" t="s">
        <v>25</v>
      </c>
      <c r="H921" s="4" t="s">
        <v>25</v>
      </c>
      <c r="I921" s="5">
        <v>44682</v>
      </c>
      <c r="J921" s="6">
        <v>0</v>
      </c>
      <c r="K921" s="6">
        <v>0</v>
      </c>
      <c r="L921" s="6">
        <v>-7.5999999999999998E-2</v>
      </c>
      <c r="M921" s="6">
        <v>-3.04E-2</v>
      </c>
      <c r="N921" s="6">
        <v>-7.5999999999999998E-2</v>
      </c>
      <c r="O921" s="6">
        <v>-3.04E-2</v>
      </c>
      <c r="P921" s="6">
        <v>0</v>
      </c>
      <c r="Q921" s="4" t="s">
        <v>26</v>
      </c>
      <c r="R921" s="4">
        <v>0</v>
      </c>
      <c r="S921" s="4" t="s">
        <v>292</v>
      </c>
      <c r="T921" s="4" t="s">
        <v>417</v>
      </c>
      <c r="U921" s="4">
        <v>0</v>
      </c>
      <c r="V921" s="4">
        <v>40</v>
      </c>
      <c r="W921" s="4">
        <v>78</v>
      </c>
    </row>
    <row r="922" spans="1:23" ht="11.25" customHeight="1" x14ac:dyDescent="0.25">
      <c r="A922" s="4" t="s">
        <v>21</v>
      </c>
      <c r="B922" s="4" t="s">
        <v>41</v>
      </c>
      <c r="C922" s="4" t="s">
        <v>23</v>
      </c>
      <c r="D922" s="4" t="s">
        <v>42</v>
      </c>
      <c r="E922" s="4" t="s">
        <v>50</v>
      </c>
      <c r="F922" s="4" t="s">
        <v>52</v>
      </c>
      <c r="G922" s="4" t="s">
        <v>25</v>
      </c>
      <c r="H922" s="4" t="s">
        <v>25</v>
      </c>
      <c r="I922" s="5">
        <v>44713</v>
      </c>
      <c r="J922" s="6">
        <v>0</v>
      </c>
      <c r="K922" s="6">
        <v>0</v>
      </c>
      <c r="L922" s="6">
        <v>77.635999999999996</v>
      </c>
      <c r="M922" s="6">
        <v>31.054400000000001</v>
      </c>
      <c r="N922" s="6">
        <v>77.635999999999996</v>
      </c>
      <c r="O922" s="6">
        <v>31.054400000000001</v>
      </c>
      <c r="P922" s="6">
        <v>0</v>
      </c>
      <c r="Q922" s="4" t="s">
        <v>26</v>
      </c>
      <c r="R922" s="4">
        <v>0</v>
      </c>
      <c r="S922" s="4" t="s">
        <v>293</v>
      </c>
      <c r="T922" s="4" t="s">
        <v>418</v>
      </c>
      <c r="U922" s="4">
        <v>0</v>
      </c>
      <c r="V922" s="4">
        <v>40</v>
      </c>
      <c r="W922" s="4">
        <v>78</v>
      </c>
    </row>
    <row r="923" spans="1:23" ht="11.25" customHeight="1" x14ac:dyDescent="0.25">
      <c r="A923" s="4" t="s">
        <v>27</v>
      </c>
      <c r="B923" s="4" t="s">
        <v>41</v>
      </c>
      <c r="C923" s="4" t="s">
        <v>23</v>
      </c>
      <c r="D923" s="4" t="s">
        <v>42</v>
      </c>
      <c r="E923" s="4" t="s">
        <v>50</v>
      </c>
      <c r="F923" s="4" t="s">
        <v>52</v>
      </c>
      <c r="G923" s="4" t="s">
        <v>25</v>
      </c>
      <c r="H923" s="4" t="s">
        <v>25</v>
      </c>
      <c r="I923" s="5">
        <v>44713</v>
      </c>
      <c r="J923" s="6">
        <v>0</v>
      </c>
      <c r="K923" s="6">
        <v>0</v>
      </c>
      <c r="L923" s="6">
        <v>-0.222</v>
      </c>
      <c r="M923" s="6">
        <v>-8.8800000000000004E-2</v>
      </c>
      <c r="N923" s="6">
        <v>-0.222</v>
      </c>
      <c r="O923" s="6">
        <v>-8.8800000000000004E-2</v>
      </c>
      <c r="P923" s="6">
        <v>0</v>
      </c>
      <c r="Q923" s="4" t="s">
        <v>26</v>
      </c>
      <c r="R923" s="4">
        <v>0</v>
      </c>
      <c r="S923" s="4" t="s">
        <v>293</v>
      </c>
      <c r="T923" s="4" t="s">
        <v>418</v>
      </c>
      <c r="U923" s="4">
        <v>0</v>
      </c>
      <c r="V923" s="4">
        <v>40</v>
      </c>
      <c r="W923" s="4">
        <v>78</v>
      </c>
    </row>
    <row r="924" spans="1:23" ht="11.25" customHeight="1" x14ac:dyDescent="0.25">
      <c r="A924" s="4" t="s">
        <v>28</v>
      </c>
      <c r="B924" s="4" t="s">
        <v>41</v>
      </c>
      <c r="C924" s="4" t="s">
        <v>23</v>
      </c>
      <c r="D924" s="4" t="s">
        <v>42</v>
      </c>
      <c r="E924" s="4" t="s">
        <v>50</v>
      </c>
      <c r="F924" s="4" t="s">
        <v>52</v>
      </c>
      <c r="G924" s="4" t="s">
        <v>25</v>
      </c>
      <c r="H924" s="4" t="s">
        <v>25</v>
      </c>
      <c r="I924" s="5">
        <v>44713</v>
      </c>
      <c r="J924" s="6">
        <v>0</v>
      </c>
      <c r="K924" s="6">
        <v>0</v>
      </c>
      <c r="L924" s="6">
        <v>0.106</v>
      </c>
      <c r="M924" s="6">
        <v>4.24E-2</v>
      </c>
      <c r="N924" s="6">
        <v>0.106</v>
      </c>
      <c r="O924" s="6">
        <v>4.24E-2</v>
      </c>
      <c r="P924" s="6">
        <v>0</v>
      </c>
      <c r="Q924" s="4" t="s">
        <v>26</v>
      </c>
      <c r="R924" s="4">
        <v>0</v>
      </c>
      <c r="S924" s="4" t="s">
        <v>293</v>
      </c>
      <c r="T924" s="4" t="s">
        <v>418</v>
      </c>
      <c r="U924" s="4">
        <v>0</v>
      </c>
      <c r="V924" s="4">
        <v>40</v>
      </c>
      <c r="W924" s="4">
        <v>78</v>
      </c>
    </row>
    <row r="925" spans="1:23" ht="11.25" customHeight="1" x14ac:dyDescent="0.25">
      <c r="A925" s="4" t="s">
        <v>21</v>
      </c>
      <c r="B925" s="4" t="s">
        <v>41</v>
      </c>
      <c r="C925" s="4" t="s">
        <v>23</v>
      </c>
      <c r="D925" s="4" t="s">
        <v>42</v>
      </c>
      <c r="E925" s="4" t="s">
        <v>25</v>
      </c>
      <c r="F925" s="4" t="s">
        <v>25</v>
      </c>
      <c r="G925" s="4" t="s">
        <v>25</v>
      </c>
      <c r="H925" s="4" t="s">
        <v>25</v>
      </c>
      <c r="I925" s="5">
        <v>44378</v>
      </c>
      <c r="J925" s="6">
        <v>0</v>
      </c>
      <c r="K925" s="6">
        <v>0</v>
      </c>
      <c r="L925" s="6">
        <v>13253.995000000001</v>
      </c>
      <c r="M925" s="6">
        <v>13253.995000000001</v>
      </c>
      <c r="N925" s="6">
        <v>13253.995000000001</v>
      </c>
      <c r="O925" s="6">
        <v>13253.995000000001</v>
      </c>
      <c r="P925" s="6">
        <v>38346</v>
      </c>
      <c r="Q925" s="4" t="s">
        <v>26</v>
      </c>
      <c r="R925" s="4">
        <v>0</v>
      </c>
      <c r="S925" s="4" t="s">
        <v>282</v>
      </c>
      <c r="T925" s="4" t="s">
        <v>407</v>
      </c>
      <c r="U925" s="4">
        <v>0</v>
      </c>
      <c r="V925" s="4">
        <v>40</v>
      </c>
      <c r="W925" s="4">
        <v>78</v>
      </c>
    </row>
    <row r="926" spans="1:23" ht="11.25" customHeight="1" x14ac:dyDescent="0.25">
      <c r="A926" s="4" t="s">
        <v>27</v>
      </c>
      <c r="B926" s="4" t="s">
        <v>41</v>
      </c>
      <c r="C926" s="4" t="s">
        <v>23</v>
      </c>
      <c r="D926" s="4" t="s">
        <v>42</v>
      </c>
      <c r="E926" s="4" t="s">
        <v>25</v>
      </c>
      <c r="F926" s="4" t="s">
        <v>25</v>
      </c>
      <c r="G926" s="4" t="s">
        <v>25</v>
      </c>
      <c r="H926" s="4" t="s">
        <v>25</v>
      </c>
      <c r="I926" s="5">
        <v>44378</v>
      </c>
      <c r="J926" s="6">
        <v>0</v>
      </c>
      <c r="K926" s="6">
        <v>0</v>
      </c>
      <c r="L926" s="6">
        <v>-51.018000000000001</v>
      </c>
      <c r="M926" s="6">
        <v>-51.018000000000001</v>
      </c>
      <c r="N926" s="6">
        <v>-51.018000000000001</v>
      </c>
      <c r="O926" s="6">
        <v>-51.018000000000001</v>
      </c>
      <c r="P926" s="6">
        <v>-34</v>
      </c>
      <c r="Q926" s="4" t="s">
        <v>26</v>
      </c>
      <c r="R926" s="4">
        <v>0</v>
      </c>
      <c r="S926" s="4" t="s">
        <v>282</v>
      </c>
      <c r="T926" s="4" t="s">
        <v>407</v>
      </c>
      <c r="U926" s="4">
        <v>0</v>
      </c>
      <c r="V926" s="4">
        <v>40</v>
      </c>
      <c r="W926" s="4">
        <v>78</v>
      </c>
    </row>
    <row r="927" spans="1:23" ht="11.25" customHeight="1" x14ac:dyDescent="0.25">
      <c r="A927" s="4" t="s">
        <v>28</v>
      </c>
      <c r="B927" s="4" t="s">
        <v>41</v>
      </c>
      <c r="C927" s="4" t="s">
        <v>23</v>
      </c>
      <c r="D927" s="4" t="s">
        <v>42</v>
      </c>
      <c r="E927" s="4" t="s">
        <v>25</v>
      </c>
      <c r="F927" s="4" t="s">
        <v>25</v>
      </c>
      <c r="G927" s="4" t="s">
        <v>25</v>
      </c>
      <c r="H927" s="4" t="s">
        <v>25</v>
      </c>
      <c r="I927" s="5">
        <v>44378</v>
      </c>
      <c r="J927" s="6">
        <v>0</v>
      </c>
      <c r="K927" s="6">
        <v>0</v>
      </c>
      <c r="L927" s="6">
        <v>293.98700000000002</v>
      </c>
      <c r="M927" s="6">
        <v>293.98700000000002</v>
      </c>
      <c r="N927" s="6">
        <v>293.98700000000002</v>
      </c>
      <c r="O927" s="6">
        <v>293.98700000000002</v>
      </c>
      <c r="P927" s="6">
        <v>585</v>
      </c>
      <c r="Q927" s="4" t="s">
        <v>26</v>
      </c>
      <c r="R927" s="4">
        <v>0</v>
      </c>
      <c r="S927" s="4" t="s">
        <v>282</v>
      </c>
      <c r="T927" s="4" t="s">
        <v>407</v>
      </c>
      <c r="U927" s="4">
        <v>0</v>
      </c>
      <c r="V927" s="4">
        <v>40</v>
      </c>
      <c r="W927" s="4">
        <v>78</v>
      </c>
    </row>
    <row r="928" spans="1:23" ht="11.25" customHeight="1" x14ac:dyDescent="0.25">
      <c r="A928" s="4" t="s">
        <v>28</v>
      </c>
      <c r="B928" s="4" t="s">
        <v>41</v>
      </c>
      <c r="C928" s="4" t="s">
        <v>23</v>
      </c>
      <c r="D928" s="4" t="s">
        <v>42</v>
      </c>
      <c r="E928" s="4" t="s">
        <v>25</v>
      </c>
      <c r="F928" s="4" t="s">
        <v>25</v>
      </c>
      <c r="G928" s="4" t="s">
        <v>25</v>
      </c>
      <c r="H928" s="4" t="s">
        <v>25</v>
      </c>
      <c r="I928" s="5">
        <v>44378</v>
      </c>
      <c r="J928" s="6">
        <v>0</v>
      </c>
      <c r="K928" s="6">
        <v>0</v>
      </c>
      <c r="L928" s="6">
        <v>-235.166</v>
      </c>
      <c r="M928" s="6">
        <v>-235.166</v>
      </c>
      <c r="N928" s="6">
        <v>-235.166</v>
      </c>
      <c r="O928" s="6">
        <v>-235.166</v>
      </c>
      <c r="P928" s="6">
        <v>-1</v>
      </c>
      <c r="Q928" s="4" t="s">
        <v>26</v>
      </c>
      <c r="R928" s="4">
        <v>0</v>
      </c>
      <c r="S928" s="4" t="s">
        <v>282</v>
      </c>
      <c r="T928" s="4" t="s">
        <v>407</v>
      </c>
      <c r="U928" s="4">
        <v>0</v>
      </c>
      <c r="V928" s="4">
        <v>40</v>
      </c>
      <c r="W928" s="4">
        <v>78</v>
      </c>
    </row>
    <row r="929" spans="1:23" ht="11.25" customHeight="1" x14ac:dyDescent="0.25">
      <c r="A929" s="4" t="s">
        <v>21</v>
      </c>
      <c r="B929" s="4" t="s">
        <v>41</v>
      </c>
      <c r="C929" s="4" t="s">
        <v>23</v>
      </c>
      <c r="D929" s="4" t="s">
        <v>42</v>
      </c>
      <c r="E929" s="4" t="s">
        <v>25</v>
      </c>
      <c r="F929" s="4" t="s">
        <v>25</v>
      </c>
      <c r="G929" s="4" t="s">
        <v>25</v>
      </c>
      <c r="H929" s="4" t="s">
        <v>25</v>
      </c>
      <c r="I929" s="5">
        <v>44409</v>
      </c>
      <c r="J929" s="6">
        <v>0</v>
      </c>
      <c r="K929" s="6">
        <v>0</v>
      </c>
      <c r="L929" s="6">
        <v>14833.175999999999</v>
      </c>
      <c r="M929" s="6">
        <v>14833.175999999999</v>
      </c>
      <c r="N929" s="6">
        <v>14833.175999999999</v>
      </c>
      <c r="O929" s="6">
        <v>14833.175999999999</v>
      </c>
      <c r="P929" s="6">
        <v>38377</v>
      </c>
      <c r="Q929" s="4" t="s">
        <v>26</v>
      </c>
      <c r="R929" s="4">
        <v>0</v>
      </c>
      <c r="S929" s="4" t="s">
        <v>283</v>
      </c>
      <c r="T929" s="4" t="s">
        <v>408</v>
      </c>
      <c r="U929" s="4">
        <v>0</v>
      </c>
      <c r="V929" s="4">
        <v>40</v>
      </c>
      <c r="W929" s="4">
        <v>78</v>
      </c>
    </row>
    <row r="930" spans="1:23" ht="11.25" customHeight="1" x14ac:dyDescent="0.25">
      <c r="A930" s="4" t="s">
        <v>27</v>
      </c>
      <c r="B930" s="4" t="s">
        <v>41</v>
      </c>
      <c r="C930" s="4" t="s">
        <v>23</v>
      </c>
      <c r="D930" s="4" t="s">
        <v>42</v>
      </c>
      <c r="E930" s="4" t="s">
        <v>25</v>
      </c>
      <c r="F930" s="4" t="s">
        <v>25</v>
      </c>
      <c r="G930" s="4" t="s">
        <v>25</v>
      </c>
      <c r="H930" s="4" t="s">
        <v>25</v>
      </c>
      <c r="I930" s="5">
        <v>44409</v>
      </c>
      <c r="J930" s="6">
        <v>0</v>
      </c>
      <c r="K930" s="6">
        <v>0</v>
      </c>
      <c r="L930" s="6">
        <v>-967.94100000000003</v>
      </c>
      <c r="M930" s="6">
        <v>-967.94100000000003</v>
      </c>
      <c r="N930" s="6">
        <v>-967.94100000000003</v>
      </c>
      <c r="O930" s="6">
        <v>-967.94100000000003</v>
      </c>
      <c r="P930" s="6">
        <v>-40</v>
      </c>
      <c r="Q930" s="4" t="s">
        <v>26</v>
      </c>
      <c r="R930" s="4">
        <v>0</v>
      </c>
      <c r="S930" s="4" t="s">
        <v>283</v>
      </c>
      <c r="T930" s="4" t="s">
        <v>408</v>
      </c>
      <c r="U930" s="4">
        <v>0</v>
      </c>
      <c r="V930" s="4">
        <v>40</v>
      </c>
      <c r="W930" s="4">
        <v>78</v>
      </c>
    </row>
    <row r="931" spans="1:23" ht="11.25" customHeight="1" x14ac:dyDescent="0.25">
      <c r="A931" s="4" t="s">
        <v>28</v>
      </c>
      <c r="B931" s="4" t="s">
        <v>41</v>
      </c>
      <c r="C931" s="4" t="s">
        <v>23</v>
      </c>
      <c r="D931" s="4" t="s">
        <v>42</v>
      </c>
      <c r="E931" s="4" t="s">
        <v>25</v>
      </c>
      <c r="F931" s="4" t="s">
        <v>25</v>
      </c>
      <c r="G931" s="4" t="s">
        <v>25</v>
      </c>
      <c r="H931" s="4" t="s">
        <v>25</v>
      </c>
      <c r="I931" s="5">
        <v>44409</v>
      </c>
      <c r="J931" s="6">
        <v>0</v>
      </c>
      <c r="K931" s="6">
        <v>0</v>
      </c>
      <c r="L931" s="6">
        <v>228.06700000000001</v>
      </c>
      <c r="M931" s="6">
        <v>228.06700000000001</v>
      </c>
      <c r="N931" s="6">
        <v>228.06700000000001</v>
      </c>
      <c r="O931" s="6">
        <v>228.06700000000001</v>
      </c>
      <c r="P931" s="6">
        <v>605</v>
      </c>
      <c r="Q931" s="4" t="s">
        <v>26</v>
      </c>
      <c r="R931" s="4">
        <v>0</v>
      </c>
      <c r="S931" s="4" t="s">
        <v>283</v>
      </c>
      <c r="T931" s="4" t="s">
        <v>408</v>
      </c>
      <c r="U931" s="4">
        <v>0</v>
      </c>
      <c r="V931" s="4">
        <v>40</v>
      </c>
      <c r="W931" s="4">
        <v>78</v>
      </c>
    </row>
    <row r="932" spans="1:23" ht="11.25" customHeight="1" x14ac:dyDescent="0.25">
      <c r="A932" s="4" t="s">
        <v>28</v>
      </c>
      <c r="B932" s="4" t="s">
        <v>41</v>
      </c>
      <c r="C932" s="4" t="s">
        <v>23</v>
      </c>
      <c r="D932" s="4" t="s">
        <v>42</v>
      </c>
      <c r="E932" s="4" t="s">
        <v>25</v>
      </c>
      <c r="F932" s="4" t="s">
        <v>25</v>
      </c>
      <c r="G932" s="4" t="s">
        <v>25</v>
      </c>
      <c r="H932" s="4" t="s">
        <v>25</v>
      </c>
      <c r="I932" s="5">
        <v>44409</v>
      </c>
      <c r="J932" s="6">
        <v>0</v>
      </c>
      <c r="K932" s="6">
        <v>0</v>
      </c>
      <c r="L932" s="6">
        <v>-2.5059999999999998</v>
      </c>
      <c r="M932" s="6">
        <v>-2.5059999999999998</v>
      </c>
      <c r="N932" s="6">
        <v>-2.5059999999999998</v>
      </c>
      <c r="O932" s="6">
        <v>-2.5059999999999998</v>
      </c>
      <c r="P932" s="6">
        <v>-1</v>
      </c>
      <c r="Q932" s="4" t="s">
        <v>26</v>
      </c>
      <c r="R932" s="4">
        <v>0</v>
      </c>
      <c r="S932" s="4" t="s">
        <v>283</v>
      </c>
      <c r="T932" s="4" t="s">
        <v>408</v>
      </c>
      <c r="U932" s="4">
        <v>0</v>
      </c>
      <c r="V932" s="4">
        <v>40</v>
      </c>
      <c r="W932" s="4">
        <v>78</v>
      </c>
    </row>
    <row r="933" spans="1:23" ht="11.25" customHeight="1" x14ac:dyDescent="0.25">
      <c r="A933" s="4" t="s">
        <v>21</v>
      </c>
      <c r="B933" s="4" t="s">
        <v>41</v>
      </c>
      <c r="C933" s="4" t="s">
        <v>23</v>
      </c>
      <c r="D933" s="4" t="s">
        <v>42</v>
      </c>
      <c r="E933" s="4" t="s">
        <v>25</v>
      </c>
      <c r="F933" s="4" t="s">
        <v>25</v>
      </c>
      <c r="G933" s="4" t="s">
        <v>25</v>
      </c>
      <c r="H933" s="4" t="s">
        <v>25</v>
      </c>
      <c r="I933" s="5">
        <v>44440</v>
      </c>
      <c r="J933" s="6">
        <v>0</v>
      </c>
      <c r="K933" s="6">
        <v>0</v>
      </c>
      <c r="L933" s="6">
        <v>14070.333000000001</v>
      </c>
      <c r="M933" s="6">
        <v>14070.333000000001</v>
      </c>
      <c r="N933" s="6">
        <v>14070.333000000001</v>
      </c>
      <c r="O933" s="6">
        <v>14070.333000000001</v>
      </c>
      <c r="P933" s="6">
        <v>38401</v>
      </c>
      <c r="Q933" s="4" t="s">
        <v>26</v>
      </c>
      <c r="R933" s="4">
        <v>0</v>
      </c>
      <c r="S933" s="4" t="s">
        <v>284</v>
      </c>
      <c r="T933" s="4" t="s">
        <v>409</v>
      </c>
      <c r="U933" s="4">
        <v>0</v>
      </c>
      <c r="V933" s="4">
        <v>40</v>
      </c>
      <c r="W933" s="4">
        <v>78</v>
      </c>
    </row>
    <row r="934" spans="1:23" ht="11.25" customHeight="1" x14ac:dyDescent="0.25">
      <c r="A934" s="4" t="s">
        <v>27</v>
      </c>
      <c r="B934" s="4" t="s">
        <v>41</v>
      </c>
      <c r="C934" s="4" t="s">
        <v>23</v>
      </c>
      <c r="D934" s="4" t="s">
        <v>42</v>
      </c>
      <c r="E934" s="4" t="s">
        <v>25</v>
      </c>
      <c r="F934" s="4" t="s">
        <v>25</v>
      </c>
      <c r="G934" s="4" t="s">
        <v>25</v>
      </c>
      <c r="H934" s="4" t="s">
        <v>25</v>
      </c>
      <c r="I934" s="5">
        <v>44440</v>
      </c>
      <c r="J934" s="6">
        <v>0</v>
      </c>
      <c r="K934" s="6">
        <v>0</v>
      </c>
      <c r="L934" s="6">
        <v>-58.732999999999997</v>
      </c>
      <c r="M934" s="6">
        <v>-58.732999999999997</v>
      </c>
      <c r="N934" s="6">
        <v>-58.732999999999997</v>
      </c>
      <c r="O934" s="6">
        <v>-58.732999999999997</v>
      </c>
      <c r="P934" s="6">
        <v>-34</v>
      </c>
      <c r="Q934" s="4" t="s">
        <v>26</v>
      </c>
      <c r="R934" s="4">
        <v>0</v>
      </c>
      <c r="S934" s="4" t="s">
        <v>284</v>
      </c>
      <c r="T934" s="4" t="s">
        <v>409</v>
      </c>
      <c r="U934" s="4">
        <v>0</v>
      </c>
      <c r="V934" s="4">
        <v>40</v>
      </c>
      <c r="W934" s="4">
        <v>78</v>
      </c>
    </row>
    <row r="935" spans="1:23" ht="11.25" customHeight="1" x14ac:dyDescent="0.25">
      <c r="A935" s="4" t="s">
        <v>28</v>
      </c>
      <c r="B935" s="4" t="s">
        <v>41</v>
      </c>
      <c r="C935" s="4" t="s">
        <v>23</v>
      </c>
      <c r="D935" s="4" t="s">
        <v>42</v>
      </c>
      <c r="E935" s="4" t="s">
        <v>25</v>
      </c>
      <c r="F935" s="4" t="s">
        <v>25</v>
      </c>
      <c r="G935" s="4" t="s">
        <v>25</v>
      </c>
      <c r="H935" s="4" t="s">
        <v>25</v>
      </c>
      <c r="I935" s="5">
        <v>44440</v>
      </c>
      <c r="J935" s="6">
        <v>0</v>
      </c>
      <c r="K935" s="6">
        <v>0</v>
      </c>
      <c r="L935" s="6">
        <v>258.58300000000003</v>
      </c>
      <c r="M935" s="6">
        <v>258.58300000000003</v>
      </c>
      <c r="N935" s="6">
        <v>258.58300000000003</v>
      </c>
      <c r="O935" s="6">
        <v>258.58300000000003</v>
      </c>
      <c r="P935" s="6">
        <v>644</v>
      </c>
      <c r="Q935" s="4" t="s">
        <v>26</v>
      </c>
      <c r="R935" s="4">
        <v>0</v>
      </c>
      <c r="S935" s="4" t="s">
        <v>284</v>
      </c>
      <c r="T935" s="4" t="s">
        <v>409</v>
      </c>
      <c r="U935" s="4">
        <v>0</v>
      </c>
      <c r="V935" s="4">
        <v>40</v>
      </c>
      <c r="W935" s="4">
        <v>78</v>
      </c>
    </row>
    <row r="936" spans="1:23" ht="11.25" customHeight="1" x14ac:dyDescent="0.25">
      <c r="A936" s="4" t="s">
        <v>21</v>
      </c>
      <c r="B936" s="4" t="s">
        <v>41</v>
      </c>
      <c r="C936" s="4" t="s">
        <v>23</v>
      </c>
      <c r="D936" s="4" t="s">
        <v>42</v>
      </c>
      <c r="E936" s="4" t="s">
        <v>25</v>
      </c>
      <c r="F936" s="4" t="s">
        <v>25</v>
      </c>
      <c r="G936" s="4" t="s">
        <v>25</v>
      </c>
      <c r="H936" s="4" t="s">
        <v>25</v>
      </c>
      <c r="I936" s="5">
        <v>44470</v>
      </c>
      <c r="J936" s="6">
        <v>0</v>
      </c>
      <c r="K936" s="6">
        <v>0</v>
      </c>
      <c r="L936" s="6">
        <v>13768.293</v>
      </c>
      <c r="M936" s="6">
        <v>13768.293</v>
      </c>
      <c r="N936" s="6">
        <v>13768.293</v>
      </c>
      <c r="O936" s="6">
        <v>13768.293</v>
      </c>
      <c r="P936" s="6">
        <v>38395</v>
      </c>
      <c r="Q936" s="4" t="s">
        <v>26</v>
      </c>
      <c r="R936" s="4">
        <v>0</v>
      </c>
      <c r="S936" s="4" t="s">
        <v>285</v>
      </c>
      <c r="T936" s="4" t="s">
        <v>410</v>
      </c>
      <c r="U936" s="4">
        <v>0</v>
      </c>
      <c r="V936" s="4">
        <v>40</v>
      </c>
      <c r="W936" s="4">
        <v>78</v>
      </c>
    </row>
    <row r="937" spans="1:23" ht="11.25" customHeight="1" x14ac:dyDescent="0.25">
      <c r="A937" s="4" t="s">
        <v>27</v>
      </c>
      <c r="B937" s="4" t="s">
        <v>41</v>
      </c>
      <c r="C937" s="4" t="s">
        <v>23</v>
      </c>
      <c r="D937" s="4" t="s">
        <v>42</v>
      </c>
      <c r="E937" s="4" t="s">
        <v>25</v>
      </c>
      <c r="F937" s="4" t="s">
        <v>25</v>
      </c>
      <c r="G937" s="4" t="s">
        <v>25</v>
      </c>
      <c r="H937" s="4" t="s">
        <v>25</v>
      </c>
      <c r="I937" s="5">
        <v>44470</v>
      </c>
      <c r="J937" s="6">
        <v>0</v>
      </c>
      <c r="K937" s="6">
        <v>0</v>
      </c>
      <c r="L937" s="6">
        <v>-65.221000000000004</v>
      </c>
      <c r="M937" s="6">
        <v>-65.221000000000004</v>
      </c>
      <c r="N937" s="6">
        <v>-65.221000000000004</v>
      </c>
      <c r="O937" s="6">
        <v>-65.221000000000004</v>
      </c>
      <c r="P937" s="6">
        <v>-25</v>
      </c>
      <c r="Q937" s="4" t="s">
        <v>26</v>
      </c>
      <c r="R937" s="4">
        <v>0</v>
      </c>
      <c r="S937" s="4" t="s">
        <v>285</v>
      </c>
      <c r="T937" s="4" t="s">
        <v>410</v>
      </c>
      <c r="U937" s="4">
        <v>0</v>
      </c>
      <c r="V937" s="4">
        <v>40</v>
      </c>
      <c r="W937" s="4">
        <v>78</v>
      </c>
    </row>
    <row r="938" spans="1:23" ht="11.25" customHeight="1" x14ac:dyDescent="0.25">
      <c r="A938" s="4" t="s">
        <v>28</v>
      </c>
      <c r="B938" s="4" t="s">
        <v>41</v>
      </c>
      <c r="C938" s="4" t="s">
        <v>23</v>
      </c>
      <c r="D938" s="4" t="s">
        <v>42</v>
      </c>
      <c r="E938" s="4" t="s">
        <v>25</v>
      </c>
      <c r="F938" s="4" t="s">
        <v>25</v>
      </c>
      <c r="G938" s="4" t="s">
        <v>25</v>
      </c>
      <c r="H938" s="4" t="s">
        <v>25</v>
      </c>
      <c r="I938" s="5">
        <v>44470</v>
      </c>
      <c r="J938" s="6">
        <v>0</v>
      </c>
      <c r="K938" s="6">
        <v>0</v>
      </c>
      <c r="L938" s="6">
        <v>274.07600000000002</v>
      </c>
      <c r="M938" s="6">
        <v>274.07600000000002</v>
      </c>
      <c r="N938" s="6">
        <v>274.07600000000002</v>
      </c>
      <c r="O938" s="6">
        <v>274.07600000000002</v>
      </c>
      <c r="P938" s="6">
        <v>689</v>
      </c>
      <c r="Q938" s="4" t="s">
        <v>26</v>
      </c>
      <c r="R938" s="4">
        <v>0</v>
      </c>
      <c r="S938" s="4" t="s">
        <v>285</v>
      </c>
      <c r="T938" s="4" t="s">
        <v>410</v>
      </c>
      <c r="U938" s="4">
        <v>0</v>
      </c>
      <c r="V938" s="4">
        <v>40</v>
      </c>
      <c r="W938" s="4">
        <v>78</v>
      </c>
    </row>
    <row r="939" spans="1:23" ht="11.25" customHeight="1" x14ac:dyDescent="0.25">
      <c r="A939" s="4" t="s">
        <v>28</v>
      </c>
      <c r="B939" s="4" t="s">
        <v>41</v>
      </c>
      <c r="C939" s="4" t="s">
        <v>23</v>
      </c>
      <c r="D939" s="4" t="s">
        <v>42</v>
      </c>
      <c r="E939" s="4" t="s">
        <v>25</v>
      </c>
      <c r="F939" s="4" t="s">
        <v>25</v>
      </c>
      <c r="G939" s="4" t="s">
        <v>25</v>
      </c>
      <c r="H939" s="4" t="s">
        <v>25</v>
      </c>
      <c r="I939" s="5">
        <v>44470</v>
      </c>
      <c r="J939" s="6">
        <v>0</v>
      </c>
      <c r="K939" s="6">
        <v>0</v>
      </c>
      <c r="L939" s="6">
        <v>-1.3</v>
      </c>
      <c r="M939" s="6">
        <v>-1.3</v>
      </c>
      <c r="N939" s="6">
        <v>-1.3</v>
      </c>
      <c r="O939" s="6">
        <v>-1.3</v>
      </c>
      <c r="P939" s="6">
        <v>-3</v>
      </c>
      <c r="Q939" s="4" t="s">
        <v>26</v>
      </c>
      <c r="R939" s="4">
        <v>0</v>
      </c>
      <c r="S939" s="4" t="s">
        <v>285</v>
      </c>
      <c r="T939" s="4" t="s">
        <v>410</v>
      </c>
      <c r="U939" s="4">
        <v>0</v>
      </c>
      <c r="V939" s="4">
        <v>40</v>
      </c>
      <c r="W939" s="4">
        <v>78</v>
      </c>
    </row>
    <row r="940" spans="1:23" ht="11.25" customHeight="1" x14ac:dyDescent="0.25">
      <c r="A940" s="4" t="s">
        <v>21</v>
      </c>
      <c r="B940" s="4" t="s">
        <v>41</v>
      </c>
      <c r="C940" s="4" t="s">
        <v>23</v>
      </c>
      <c r="D940" s="4" t="s">
        <v>42</v>
      </c>
      <c r="E940" s="4" t="s">
        <v>25</v>
      </c>
      <c r="F940" s="4" t="s">
        <v>25</v>
      </c>
      <c r="G940" s="4" t="s">
        <v>25</v>
      </c>
      <c r="H940" s="4" t="s">
        <v>25</v>
      </c>
      <c r="I940" s="5">
        <v>44501</v>
      </c>
      <c r="J940" s="6">
        <v>0</v>
      </c>
      <c r="K940" s="6">
        <v>0</v>
      </c>
      <c r="L940" s="6">
        <v>14379.513999999999</v>
      </c>
      <c r="M940" s="6">
        <v>14379.513999999999</v>
      </c>
      <c r="N940" s="6">
        <v>14379.513999999999</v>
      </c>
      <c r="O940" s="6">
        <v>14379.513999999999</v>
      </c>
      <c r="P940" s="6">
        <v>38395</v>
      </c>
      <c r="Q940" s="4" t="s">
        <v>26</v>
      </c>
      <c r="R940" s="4">
        <v>0</v>
      </c>
      <c r="S940" s="4" t="s">
        <v>286</v>
      </c>
      <c r="T940" s="4" t="s">
        <v>411</v>
      </c>
      <c r="U940" s="4">
        <v>0</v>
      </c>
      <c r="V940" s="4">
        <v>40</v>
      </c>
      <c r="W940" s="4">
        <v>78</v>
      </c>
    </row>
    <row r="941" spans="1:23" ht="11.25" customHeight="1" x14ac:dyDescent="0.25">
      <c r="A941" s="4" t="s">
        <v>27</v>
      </c>
      <c r="B941" s="4" t="s">
        <v>41</v>
      </c>
      <c r="C941" s="4" t="s">
        <v>23</v>
      </c>
      <c r="D941" s="4" t="s">
        <v>42</v>
      </c>
      <c r="E941" s="4" t="s">
        <v>25</v>
      </c>
      <c r="F941" s="4" t="s">
        <v>25</v>
      </c>
      <c r="G941" s="4" t="s">
        <v>25</v>
      </c>
      <c r="H941" s="4" t="s">
        <v>25</v>
      </c>
      <c r="I941" s="5">
        <v>44501</v>
      </c>
      <c r="J941" s="6">
        <v>0</v>
      </c>
      <c r="K941" s="6">
        <v>0</v>
      </c>
      <c r="L941" s="6">
        <v>-87.367999999999995</v>
      </c>
      <c r="M941" s="6">
        <v>-87.367999999999995</v>
      </c>
      <c r="N941" s="6">
        <v>-87.367999999999995</v>
      </c>
      <c r="O941" s="6">
        <v>-87.367999999999995</v>
      </c>
      <c r="P941" s="6">
        <v>-41</v>
      </c>
      <c r="Q941" s="4" t="s">
        <v>26</v>
      </c>
      <c r="R941" s="4">
        <v>0</v>
      </c>
      <c r="S941" s="4" t="s">
        <v>286</v>
      </c>
      <c r="T941" s="4" t="s">
        <v>411</v>
      </c>
      <c r="U941" s="4">
        <v>0</v>
      </c>
      <c r="V941" s="4">
        <v>40</v>
      </c>
      <c r="W941" s="4">
        <v>78</v>
      </c>
    </row>
    <row r="942" spans="1:23" ht="11.25" customHeight="1" x14ac:dyDescent="0.25">
      <c r="A942" s="4" t="s">
        <v>28</v>
      </c>
      <c r="B942" s="4" t="s">
        <v>41</v>
      </c>
      <c r="C942" s="4" t="s">
        <v>23</v>
      </c>
      <c r="D942" s="4" t="s">
        <v>42</v>
      </c>
      <c r="E942" s="4" t="s">
        <v>25</v>
      </c>
      <c r="F942" s="4" t="s">
        <v>25</v>
      </c>
      <c r="G942" s="4" t="s">
        <v>25</v>
      </c>
      <c r="H942" s="4" t="s">
        <v>25</v>
      </c>
      <c r="I942" s="5">
        <v>44501</v>
      </c>
      <c r="J942" s="6">
        <v>0</v>
      </c>
      <c r="K942" s="6">
        <v>0</v>
      </c>
      <c r="L942" s="6">
        <v>262.69299999999998</v>
      </c>
      <c r="M942" s="6">
        <v>262.69299999999998</v>
      </c>
      <c r="N942" s="6">
        <v>262.69299999999998</v>
      </c>
      <c r="O942" s="6">
        <v>262.69299999999998</v>
      </c>
      <c r="P942" s="6">
        <v>736</v>
      </c>
      <c r="Q942" s="4" t="s">
        <v>26</v>
      </c>
      <c r="R942" s="4">
        <v>0</v>
      </c>
      <c r="S942" s="4" t="s">
        <v>286</v>
      </c>
      <c r="T942" s="4" t="s">
        <v>411</v>
      </c>
      <c r="U942" s="4">
        <v>0</v>
      </c>
      <c r="V942" s="4">
        <v>40</v>
      </c>
      <c r="W942" s="4">
        <v>78</v>
      </c>
    </row>
    <row r="943" spans="1:23" ht="11.25" customHeight="1" x14ac:dyDescent="0.25">
      <c r="A943" s="4" t="s">
        <v>28</v>
      </c>
      <c r="B943" s="4" t="s">
        <v>41</v>
      </c>
      <c r="C943" s="4" t="s">
        <v>23</v>
      </c>
      <c r="D943" s="4" t="s">
        <v>42</v>
      </c>
      <c r="E943" s="4" t="s">
        <v>25</v>
      </c>
      <c r="F943" s="4" t="s">
        <v>25</v>
      </c>
      <c r="G943" s="4" t="s">
        <v>25</v>
      </c>
      <c r="H943" s="4" t="s">
        <v>25</v>
      </c>
      <c r="I943" s="5">
        <v>44501</v>
      </c>
      <c r="J943" s="6">
        <v>0</v>
      </c>
      <c r="K943" s="6">
        <v>0</v>
      </c>
      <c r="L943" s="6">
        <v>-0.72599999999999998</v>
      </c>
      <c r="M943" s="6">
        <v>-0.72599999999999998</v>
      </c>
      <c r="N943" s="6">
        <v>-0.72599999999999998</v>
      </c>
      <c r="O943" s="6">
        <v>-0.72599999999999998</v>
      </c>
      <c r="P943" s="6">
        <v>-2</v>
      </c>
      <c r="Q943" s="4" t="s">
        <v>26</v>
      </c>
      <c r="R943" s="4">
        <v>0</v>
      </c>
      <c r="S943" s="4" t="s">
        <v>286</v>
      </c>
      <c r="T943" s="4" t="s">
        <v>411</v>
      </c>
      <c r="U943" s="4">
        <v>0</v>
      </c>
      <c r="V943" s="4">
        <v>40</v>
      </c>
      <c r="W943" s="4">
        <v>78</v>
      </c>
    </row>
    <row r="944" spans="1:23" ht="11.25" customHeight="1" x14ac:dyDescent="0.25">
      <c r="A944" s="4" t="s">
        <v>21</v>
      </c>
      <c r="B944" s="4" t="s">
        <v>41</v>
      </c>
      <c r="C944" s="4" t="s">
        <v>23</v>
      </c>
      <c r="D944" s="4" t="s">
        <v>42</v>
      </c>
      <c r="E944" s="4" t="s">
        <v>25</v>
      </c>
      <c r="F944" s="4" t="s">
        <v>25</v>
      </c>
      <c r="G944" s="4" t="s">
        <v>25</v>
      </c>
      <c r="H944" s="4" t="s">
        <v>25</v>
      </c>
      <c r="I944" s="5">
        <v>44531</v>
      </c>
      <c r="J944" s="6">
        <v>0</v>
      </c>
      <c r="K944" s="6">
        <v>0</v>
      </c>
      <c r="L944" s="6">
        <v>15397.703</v>
      </c>
      <c r="M944" s="6">
        <v>15397.703</v>
      </c>
      <c r="N944" s="6">
        <v>15397.703</v>
      </c>
      <c r="O944" s="6">
        <v>15397.703</v>
      </c>
      <c r="P944" s="6">
        <v>38410</v>
      </c>
      <c r="Q944" s="4" t="s">
        <v>26</v>
      </c>
      <c r="R944" s="4">
        <v>0</v>
      </c>
      <c r="S944" s="4" t="s">
        <v>287</v>
      </c>
      <c r="T944" s="4" t="s">
        <v>412</v>
      </c>
      <c r="U944" s="4">
        <v>0</v>
      </c>
      <c r="V944" s="4">
        <v>40</v>
      </c>
      <c r="W944" s="4">
        <v>78</v>
      </c>
    </row>
    <row r="945" spans="1:23" ht="11.25" customHeight="1" x14ac:dyDescent="0.25">
      <c r="A945" s="4" t="s">
        <v>27</v>
      </c>
      <c r="B945" s="4" t="s">
        <v>41</v>
      </c>
      <c r="C945" s="4" t="s">
        <v>23</v>
      </c>
      <c r="D945" s="4" t="s">
        <v>42</v>
      </c>
      <c r="E945" s="4" t="s">
        <v>25</v>
      </c>
      <c r="F945" s="4" t="s">
        <v>25</v>
      </c>
      <c r="G945" s="4" t="s">
        <v>25</v>
      </c>
      <c r="H945" s="4" t="s">
        <v>25</v>
      </c>
      <c r="I945" s="5">
        <v>44531</v>
      </c>
      <c r="J945" s="6">
        <v>0</v>
      </c>
      <c r="K945" s="6">
        <v>0</v>
      </c>
      <c r="L945" s="6">
        <v>-1027.2639999999999</v>
      </c>
      <c r="M945" s="6">
        <v>-1027.2639999999999</v>
      </c>
      <c r="N945" s="6">
        <v>-1027.2639999999999</v>
      </c>
      <c r="O945" s="6">
        <v>-1027.2639999999999</v>
      </c>
      <c r="P945" s="6">
        <v>-39</v>
      </c>
      <c r="Q945" s="4" t="s">
        <v>26</v>
      </c>
      <c r="R945" s="4">
        <v>0</v>
      </c>
      <c r="S945" s="4" t="s">
        <v>287</v>
      </c>
      <c r="T945" s="4" t="s">
        <v>412</v>
      </c>
      <c r="U945" s="4">
        <v>0</v>
      </c>
      <c r="V945" s="4">
        <v>40</v>
      </c>
      <c r="W945" s="4">
        <v>78</v>
      </c>
    </row>
    <row r="946" spans="1:23" ht="11.25" customHeight="1" x14ac:dyDescent="0.25">
      <c r="A946" s="4" t="s">
        <v>28</v>
      </c>
      <c r="B946" s="4" t="s">
        <v>41</v>
      </c>
      <c r="C946" s="4" t="s">
        <v>23</v>
      </c>
      <c r="D946" s="4" t="s">
        <v>42</v>
      </c>
      <c r="E946" s="4" t="s">
        <v>25</v>
      </c>
      <c r="F946" s="4" t="s">
        <v>25</v>
      </c>
      <c r="G946" s="4" t="s">
        <v>25</v>
      </c>
      <c r="H946" s="4" t="s">
        <v>25</v>
      </c>
      <c r="I946" s="5">
        <v>44531</v>
      </c>
      <c r="J946" s="6">
        <v>0</v>
      </c>
      <c r="K946" s="6">
        <v>0</v>
      </c>
      <c r="L946" s="6">
        <v>-0.309</v>
      </c>
      <c r="M946" s="6">
        <v>-0.309</v>
      </c>
      <c r="N946" s="6">
        <v>-0.309</v>
      </c>
      <c r="O946" s="6">
        <v>-0.309</v>
      </c>
      <c r="P946" s="6">
        <v>-2</v>
      </c>
      <c r="Q946" s="4" t="s">
        <v>26</v>
      </c>
      <c r="R946" s="4">
        <v>0</v>
      </c>
      <c r="S946" s="4" t="s">
        <v>287</v>
      </c>
      <c r="T946" s="4" t="s">
        <v>412</v>
      </c>
      <c r="U946" s="4">
        <v>0</v>
      </c>
      <c r="V946" s="4">
        <v>40</v>
      </c>
      <c r="W946" s="4">
        <v>78</v>
      </c>
    </row>
    <row r="947" spans="1:23" ht="11.25" customHeight="1" x14ac:dyDescent="0.25">
      <c r="A947" s="4" t="s">
        <v>21</v>
      </c>
      <c r="B947" s="4" t="s">
        <v>41</v>
      </c>
      <c r="C947" s="4" t="s">
        <v>23</v>
      </c>
      <c r="D947" s="4" t="s">
        <v>42</v>
      </c>
      <c r="E947" s="4" t="s">
        <v>25</v>
      </c>
      <c r="F947" s="4" t="s">
        <v>25</v>
      </c>
      <c r="G947" s="4" t="s">
        <v>25</v>
      </c>
      <c r="H947" s="4" t="s">
        <v>25</v>
      </c>
      <c r="I947" s="5">
        <v>44562</v>
      </c>
      <c r="J947" s="6">
        <v>0</v>
      </c>
      <c r="K947" s="6">
        <v>0</v>
      </c>
      <c r="L947" s="6">
        <v>17247.62</v>
      </c>
      <c r="M947" s="6">
        <v>17247.62</v>
      </c>
      <c r="N947" s="6">
        <v>17247.62</v>
      </c>
      <c r="O947" s="6">
        <v>17247.62</v>
      </c>
      <c r="P947" s="6">
        <v>38314</v>
      </c>
      <c r="Q947" s="4" t="s">
        <v>26</v>
      </c>
      <c r="R947" s="4">
        <v>0</v>
      </c>
      <c r="S947" s="4" t="s">
        <v>288</v>
      </c>
      <c r="T947" s="4" t="s">
        <v>413</v>
      </c>
      <c r="U947" s="4">
        <v>0</v>
      </c>
      <c r="V947" s="4">
        <v>40</v>
      </c>
      <c r="W947" s="4">
        <v>78</v>
      </c>
    </row>
    <row r="948" spans="1:23" ht="11.25" customHeight="1" x14ac:dyDescent="0.25">
      <c r="A948" s="4" t="s">
        <v>27</v>
      </c>
      <c r="B948" s="4" t="s">
        <v>41</v>
      </c>
      <c r="C948" s="4" t="s">
        <v>23</v>
      </c>
      <c r="D948" s="4" t="s">
        <v>42</v>
      </c>
      <c r="E948" s="4" t="s">
        <v>25</v>
      </c>
      <c r="F948" s="4" t="s">
        <v>25</v>
      </c>
      <c r="G948" s="4" t="s">
        <v>25</v>
      </c>
      <c r="H948" s="4" t="s">
        <v>25</v>
      </c>
      <c r="I948" s="5">
        <v>44562</v>
      </c>
      <c r="J948" s="6">
        <v>0</v>
      </c>
      <c r="K948" s="6">
        <v>0</v>
      </c>
      <c r="L948" s="6">
        <v>-29.346</v>
      </c>
      <c r="M948" s="6">
        <v>-29.346</v>
      </c>
      <c r="N948" s="6">
        <v>-29.346</v>
      </c>
      <c r="O948" s="6">
        <v>-29.346</v>
      </c>
      <c r="P948" s="6">
        <v>-36</v>
      </c>
      <c r="Q948" s="4" t="s">
        <v>26</v>
      </c>
      <c r="R948" s="4">
        <v>0</v>
      </c>
      <c r="S948" s="4" t="s">
        <v>288</v>
      </c>
      <c r="T948" s="4" t="s">
        <v>413</v>
      </c>
      <c r="U948" s="4">
        <v>0</v>
      </c>
      <c r="V948" s="4">
        <v>40</v>
      </c>
      <c r="W948" s="4">
        <v>78</v>
      </c>
    </row>
    <row r="949" spans="1:23" ht="11.25" customHeight="1" x14ac:dyDescent="0.25">
      <c r="A949" s="4" t="s">
        <v>28</v>
      </c>
      <c r="B949" s="4" t="s">
        <v>41</v>
      </c>
      <c r="C949" s="4" t="s">
        <v>23</v>
      </c>
      <c r="D949" s="4" t="s">
        <v>42</v>
      </c>
      <c r="E949" s="4" t="s">
        <v>25</v>
      </c>
      <c r="F949" s="4" t="s">
        <v>25</v>
      </c>
      <c r="G949" s="4" t="s">
        <v>25</v>
      </c>
      <c r="H949" s="4" t="s">
        <v>25</v>
      </c>
      <c r="I949" s="5">
        <v>44562</v>
      </c>
      <c r="J949" s="6">
        <v>0</v>
      </c>
      <c r="K949" s="6">
        <v>0</v>
      </c>
      <c r="L949" s="6">
        <v>324.33800000000002</v>
      </c>
      <c r="M949" s="6">
        <v>324.33800000000002</v>
      </c>
      <c r="N949" s="6">
        <v>324.33800000000002</v>
      </c>
      <c r="O949" s="6">
        <v>324.33800000000002</v>
      </c>
      <c r="P949" s="6">
        <v>858</v>
      </c>
      <c r="Q949" s="4" t="s">
        <v>26</v>
      </c>
      <c r="R949" s="4">
        <v>0</v>
      </c>
      <c r="S949" s="4" t="s">
        <v>288</v>
      </c>
      <c r="T949" s="4" t="s">
        <v>413</v>
      </c>
      <c r="U949" s="4">
        <v>0</v>
      </c>
      <c r="V949" s="4">
        <v>40</v>
      </c>
      <c r="W949" s="4">
        <v>78</v>
      </c>
    </row>
    <row r="950" spans="1:23" ht="11.25" customHeight="1" x14ac:dyDescent="0.25">
      <c r="A950" s="4" t="s">
        <v>28</v>
      </c>
      <c r="B950" s="4" t="s">
        <v>41</v>
      </c>
      <c r="C950" s="4" t="s">
        <v>23</v>
      </c>
      <c r="D950" s="4" t="s">
        <v>42</v>
      </c>
      <c r="E950" s="4" t="s">
        <v>25</v>
      </c>
      <c r="F950" s="4" t="s">
        <v>25</v>
      </c>
      <c r="G950" s="4" t="s">
        <v>25</v>
      </c>
      <c r="H950" s="4" t="s">
        <v>25</v>
      </c>
      <c r="I950" s="5">
        <v>44562</v>
      </c>
      <c r="J950" s="6">
        <v>0</v>
      </c>
      <c r="K950" s="6">
        <v>0</v>
      </c>
      <c r="L950" s="6">
        <v>-0.47799999999999998</v>
      </c>
      <c r="M950" s="6">
        <v>-0.47799999999999998</v>
      </c>
      <c r="N950" s="6">
        <v>-0.47799999999999998</v>
      </c>
      <c r="O950" s="6">
        <v>-0.47799999999999998</v>
      </c>
      <c r="P950" s="6">
        <v>-2</v>
      </c>
      <c r="Q950" s="4" t="s">
        <v>26</v>
      </c>
      <c r="R950" s="4">
        <v>0</v>
      </c>
      <c r="S950" s="4" t="s">
        <v>288</v>
      </c>
      <c r="T950" s="4" t="s">
        <v>413</v>
      </c>
      <c r="U950" s="4">
        <v>0</v>
      </c>
      <c r="V950" s="4">
        <v>40</v>
      </c>
      <c r="W950" s="4">
        <v>78</v>
      </c>
    </row>
    <row r="951" spans="1:23" ht="11.25" customHeight="1" x14ac:dyDescent="0.25">
      <c r="A951" s="4" t="s">
        <v>21</v>
      </c>
      <c r="B951" s="4" t="s">
        <v>41</v>
      </c>
      <c r="C951" s="4" t="s">
        <v>23</v>
      </c>
      <c r="D951" s="4" t="s">
        <v>42</v>
      </c>
      <c r="E951" s="4" t="s">
        <v>25</v>
      </c>
      <c r="F951" s="4" t="s">
        <v>25</v>
      </c>
      <c r="G951" s="4" t="s">
        <v>25</v>
      </c>
      <c r="H951" s="4" t="s">
        <v>25</v>
      </c>
      <c r="I951" s="5">
        <v>44593</v>
      </c>
      <c r="J951" s="6">
        <v>0</v>
      </c>
      <c r="K951" s="6">
        <v>0</v>
      </c>
      <c r="L951" s="6">
        <v>17167.484</v>
      </c>
      <c r="M951" s="6">
        <v>17167.484</v>
      </c>
      <c r="N951" s="6">
        <v>17167.484</v>
      </c>
      <c r="O951" s="6">
        <v>17167.484</v>
      </c>
      <c r="P951" s="6">
        <v>38240</v>
      </c>
      <c r="Q951" s="4" t="s">
        <v>26</v>
      </c>
      <c r="R951" s="4">
        <v>0</v>
      </c>
      <c r="S951" s="4" t="s">
        <v>289</v>
      </c>
      <c r="T951" s="4" t="s">
        <v>414</v>
      </c>
      <c r="U951" s="4">
        <v>0</v>
      </c>
      <c r="V951" s="4">
        <v>40</v>
      </c>
      <c r="W951" s="4">
        <v>78</v>
      </c>
    </row>
    <row r="952" spans="1:23" ht="11.25" customHeight="1" x14ac:dyDescent="0.25">
      <c r="A952" s="4" t="s">
        <v>27</v>
      </c>
      <c r="B952" s="4" t="s">
        <v>41</v>
      </c>
      <c r="C952" s="4" t="s">
        <v>23</v>
      </c>
      <c r="D952" s="4" t="s">
        <v>42</v>
      </c>
      <c r="E952" s="4" t="s">
        <v>25</v>
      </c>
      <c r="F952" s="4" t="s">
        <v>25</v>
      </c>
      <c r="G952" s="4" t="s">
        <v>25</v>
      </c>
      <c r="H952" s="4" t="s">
        <v>25</v>
      </c>
      <c r="I952" s="5">
        <v>44593</v>
      </c>
      <c r="J952" s="6">
        <v>0</v>
      </c>
      <c r="K952" s="6">
        <v>0</v>
      </c>
      <c r="L952" s="6">
        <v>-233.511</v>
      </c>
      <c r="M952" s="6">
        <v>-233.511</v>
      </c>
      <c r="N952" s="6">
        <v>-233.511</v>
      </c>
      <c r="O952" s="6">
        <v>-233.511</v>
      </c>
      <c r="P952" s="6">
        <v>-31</v>
      </c>
      <c r="Q952" s="4" t="s">
        <v>26</v>
      </c>
      <c r="R952" s="4">
        <v>0</v>
      </c>
      <c r="S952" s="4" t="s">
        <v>289</v>
      </c>
      <c r="T952" s="4" t="s">
        <v>414</v>
      </c>
      <c r="U952" s="4">
        <v>0</v>
      </c>
      <c r="V952" s="4">
        <v>40</v>
      </c>
      <c r="W952" s="4">
        <v>78</v>
      </c>
    </row>
    <row r="953" spans="1:23" ht="11.25" customHeight="1" x14ac:dyDescent="0.25">
      <c r="A953" s="4" t="s">
        <v>28</v>
      </c>
      <c r="B953" s="4" t="s">
        <v>41</v>
      </c>
      <c r="C953" s="4" t="s">
        <v>23</v>
      </c>
      <c r="D953" s="4" t="s">
        <v>42</v>
      </c>
      <c r="E953" s="4" t="s">
        <v>25</v>
      </c>
      <c r="F953" s="4" t="s">
        <v>25</v>
      </c>
      <c r="G953" s="4" t="s">
        <v>25</v>
      </c>
      <c r="H953" s="4" t="s">
        <v>25</v>
      </c>
      <c r="I953" s="5">
        <v>44593</v>
      </c>
      <c r="J953" s="6">
        <v>0</v>
      </c>
      <c r="K953" s="6">
        <v>0</v>
      </c>
      <c r="L953" s="6">
        <v>378.44400000000002</v>
      </c>
      <c r="M953" s="6">
        <v>378.44400000000002</v>
      </c>
      <c r="N953" s="6">
        <v>378.44400000000002</v>
      </c>
      <c r="O953" s="6">
        <v>378.44400000000002</v>
      </c>
      <c r="P953" s="6">
        <v>920</v>
      </c>
      <c r="Q953" s="4" t="s">
        <v>26</v>
      </c>
      <c r="R953" s="4">
        <v>0</v>
      </c>
      <c r="S953" s="4" t="s">
        <v>289</v>
      </c>
      <c r="T953" s="4" t="s">
        <v>414</v>
      </c>
      <c r="U953" s="4">
        <v>0</v>
      </c>
      <c r="V953" s="4">
        <v>40</v>
      </c>
      <c r="W953" s="4">
        <v>78</v>
      </c>
    </row>
    <row r="954" spans="1:23" ht="11.25" customHeight="1" x14ac:dyDescent="0.25">
      <c r="A954" s="4" t="s">
        <v>28</v>
      </c>
      <c r="B954" s="4" t="s">
        <v>41</v>
      </c>
      <c r="C954" s="4" t="s">
        <v>23</v>
      </c>
      <c r="D954" s="4" t="s">
        <v>42</v>
      </c>
      <c r="E954" s="4" t="s">
        <v>25</v>
      </c>
      <c r="F954" s="4" t="s">
        <v>25</v>
      </c>
      <c r="G954" s="4" t="s">
        <v>25</v>
      </c>
      <c r="H954" s="4" t="s">
        <v>25</v>
      </c>
      <c r="I954" s="5">
        <v>44593</v>
      </c>
      <c r="J954" s="6">
        <v>0</v>
      </c>
      <c r="K954" s="6">
        <v>0</v>
      </c>
      <c r="L954" s="6">
        <v>-19.927</v>
      </c>
      <c r="M954" s="6">
        <v>-19.927</v>
      </c>
      <c r="N954" s="6">
        <v>-19.927</v>
      </c>
      <c r="O954" s="6">
        <v>-19.927</v>
      </c>
      <c r="P954" s="6">
        <v>-6</v>
      </c>
      <c r="Q954" s="4" t="s">
        <v>26</v>
      </c>
      <c r="R954" s="4">
        <v>0</v>
      </c>
      <c r="S954" s="4" t="s">
        <v>289</v>
      </c>
      <c r="T954" s="4" t="s">
        <v>414</v>
      </c>
      <c r="U954" s="4">
        <v>0</v>
      </c>
      <c r="V954" s="4">
        <v>40</v>
      </c>
      <c r="W954" s="4">
        <v>78</v>
      </c>
    </row>
    <row r="955" spans="1:23" ht="11.25" customHeight="1" x14ac:dyDescent="0.25">
      <c r="A955" s="4" t="s">
        <v>21</v>
      </c>
      <c r="B955" s="4" t="s">
        <v>41</v>
      </c>
      <c r="C955" s="4" t="s">
        <v>23</v>
      </c>
      <c r="D955" s="4" t="s">
        <v>42</v>
      </c>
      <c r="E955" s="4" t="s">
        <v>25</v>
      </c>
      <c r="F955" s="4" t="s">
        <v>25</v>
      </c>
      <c r="G955" s="4" t="s">
        <v>25</v>
      </c>
      <c r="H955" s="4" t="s">
        <v>25</v>
      </c>
      <c r="I955" s="5">
        <v>44621</v>
      </c>
      <c r="J955" s="6">
        <v>0</v>
      </c>
      <c r="K955" s="6">
        <v>0</v>
      </c>
      <c r="L955" s="6">
        <v>15254.337</v>
      </c>
      <c r="M955" s="6">
        <v>15254.337</v>
      </c>
      <c r="N955" s="6">
        <v>15254.337</v>
      </c>
      <c r="O955" s="6">
        <v>15254.337</v>
      </c>
      <c r="P955" s="6">
        <v>38227</v>
      </c>
      <c r="Q955" s="4" t="s">
        <v>26</v>
      </c>
      <c r="R955" s="4">
        <v>0</v>
      </c>
      <c r="S955" s="4" t="s">
        <v>290</v>
      </c>
      <c r="T955" s="4" t="s">
        <v>415</v>
      </c>
      <c r="U955" s="4">
        <v>0</v>
      </c>
      <c r="V955" s="4">
        <v>40</v>
      </c>
      <c r="W955" s="4">
        <v>78</v>
      </c>
    </row>
    <row r="956" spans="1:23" ht="11.25" customHeight="1" x14ac:dyDescent="0.25">
      <c r="A956" s="4" t="s">
        <v>27</v>
      </c>
      <c r="B956" s="4" t="s">
        <v>41</v>
      </c>
      <c r="C956" s="4" t="s">
        <v>23</v>
      </c>
      <c r="D956" s="4" t="s">
        <v>42</v>
      </c>
      <c r="E956" s="4" t="s">
        <v>25</v>
      </c>
      <c r="F956" s="4" t="s">
        <v>25</v>
      </c>
      <c r="G956" s="4" t="s">
        <v>25</v>
      </c>
      <c r="H956" s="4" t="s">
        <v>25</v>
      </c>
      <c r="I956" s="5">
        <v>44621</v>
      </c>
      <c r="J956" s="6">
        <v>0</v>
      </c>
      <c r="K956" s="6">
        <v>0</v>
      </c>
      <c r="L956" s="6">
        <v>-19.346</v>
      </c>
      <c r="M956" s="6">
        <v>-19.346</v>
      </c>
      <c r="N956" s="6">
        <v>-19.346</v>
      </c>
      <c r="O956" s="6">
        <v>-19.346</v>
      </c>
      <c r="P956" s="6">
        <v>-33</v>
      </c>
      <c r="Q956" s="4" t="s">
        <v>26</v>
      </c>
      <c r="R956" s="4">
        <v>0</v>
      </c>
      <c r="S956" s="4" t="s">
        <v>290</v>
      </c>
      <c r="T956" s="4" t="s">
        <v>415</v>
      </c>
      <c r="U956" s="4">
        <v>0</v>
      </c>
      <c r="V956" s="4">
        <v>40</v>
      </c>
      <c r="W956" s="4">
        <v>78</v>
      </c>
    </row>
    <row r="957" spans="1:23" ht="11.25" customHeight="1" x14ac:dyDescent="0.25">
      <c r="A957" s="4" t="s">
        <v>28</v>
      </c>
      <c r="B957" s="4" t="s">
        <v>41</v>
      </c>
      <c r="C957" s="4" t="s">
        <v>23</v>
      </c>
      <c r="D957" s="4" t="s">
        <v>42</v>
      </c>
      <c r="E957" s="4" t="s">
        <v>25</v>
      </c>
      <c r="F957" s="4" t="s">
        <v>25</v>
      </c>
      <c r="G957" s="4" t="s">
        <v>25</v>
      </c>
      <c r="H957" s="4" t="s">
        <v>25</v>
      </c>
      <c r="I957" s="5">
        <v>44621</v>
      </c>
      <c r="J957" s="6">
        <v>0</v>
      </c>
      <c r="K957" s="6">
        <v>0</v>
      </c>
      <c r="L957" s="6">
        <v>363.209</v>
      </c>
      <c r="M957" s="6">
        <v>363.209</v>
      </c>
      <c r="N957" s="6">
        <v>363.209</v>
      </c>
      <c r="O957" s="6">
        <v>363.209</v>
      </c>
      <c r="P957" s="6">
        <v>991</v>
      </c>
      <c r="Q957" s="4" t="s">
        <v>26</v>
      </c>
      <c r="R957" s="4">
        <v>0</v>
      </c>
      <c r="S957" s="4" t="s">
        <v>290</v>
      </c>
      <c r="T957" s="4" t="s">
        <v>415</v>
      </c>
      <c r="U957" s="4">
        <v>0</v>
      </c>
      <c r="V957" s="4">
        <v>40</v>
      </c>
      <c r="W957" s="4">
        <v>78</v>
      </c>
    </row>
    <row r="958" spans="1:23" ht="11.25" customHeight="1" x14ac:dyDescent="0.25">
      <c r="A958" s="4" t="s">
        <v>28</v>
      </c>
      <c r="B958" s="4" t="s">
        <v>41</v>
      </c>
      <c r="C958" s="4" t="s">
        <v>23</v>
      </c>
      <c r="D958" s="4" t="s">
        <v>42</v>
      </c>
      <c r="E958" s="4" t="s">
        <v>25</v>
      </c>
      <c r="F958" s="4" t="s">
        <v>25</v>
      </c>
      <c r="G958" s="4" t="s">
        <v>25</v>
      </c>
      <c r="H958" s="4" t="s">
        <v>25</v>
      </c>
      <c r="I958" s="5">
        <v>44621</v>
      </c>
      <c r="J958" s="6">
        <v>0</v>
      </c>
      <c r="K958" s="6">
        <v>0</v>
      </c>
      <c r="L958" s="6">
        <v>-2.9689999999999999</v>
      </c>
      <c r="M958" s="6">
        <v>-2.9689999999999999</v>
      </c>
      <c r="N958" s="6">
        <v>-2.9689999999999999</v>
      </c>
      <c r="O958" s="6">
        <v>-2.9689999999999999</v>
      </c>
      <c r="P958" s="6">
        <v>-3</v>
      </c>
      <c r="Q958" s="4" t="s">
        <v>26</v>
      </c>
      <c r="R958" s="4">
        <v>0</v>
      </c>
      <c r="S958" s="4" t="s">
        <v>290</v>
      </c>
      <c r="T958" s="4" t="s">
        <v>415</v>
      </c>
      <c r="U958" s="4">
        <v>0</v>
      </c>
      <c r="V958" s="4">
        <v>40</v>
      </c>
      <c r="W958" s="4">
        <v>78</v>
      </c>
    </row>
    <row r="959" spans="1:23" ht="11.25" customHeight="1" x14ac:dyDescent="0.25">
      <c r="A959" s="4" t="s">
        <v>21</v>
      </c>
      <c r="B959" s="4" t="s">
        <v>41</v>
      </c>
      <c r="C959" s="4" t="s">
        <v>23</v>
      </c>
      <c r="D959" s="4" t="s">
        <v>42</v>
      </c>
      <c r="E959" s="4" t="s">
        <v>25</v>
      </c>
      <c r="F959" s="4" t="s">
        <v>25</v>
      </c>
      <c r="G959" s="4" t="s">
        <v>25</v>
      </c>
      <c r="H959" s="4" t="s">
        <v>25</v>
      </c>
      <c r="I959" s="5">
        <v>44652</v>
      </c>
      <c r="J959" s="6">
        <v>0</v>
      </c>
      <c r="K959" s="6">
        <v>0</v>
      </c>
      <c r="L959" s="6">
        <v>14589.105</v>
      </c>
      <c r="M959" s="6">
        <v>14589.105</v>
      </c>
      <c r="N959" s="6">
        <v>14589.105</v>
      </c>
      <c r="O959" s="6">
        <v>14589.105</v>
      </c>
      <c r="P959" s="6">
        <v>38180</v>
      </c>
      <c r="Q959" s="4" t="s">
        <v>26</v>
      </c>
      <c r="R959" s="4">
        <v>0</v>
      </c>
      <c r="S959" s="4" t="s">
        <v>291</v>
      </c>
      <c r="T959" s="4" t="s">
        <v>416</v>
      </c>
      <c r="U959" s="4">
        <v>0</v>
      </c>
      <c r="V959" s="4">
        <v>40</v>
      </c>
      <c r="W959" s="4">
        <v>78</v>
      </c>
    </row>
    <row r="960" spans="1:23" ht="11.25" customHeight="1" x14ac:dyDescent="0.25">
      <c r="A960" s="4" t="s">
        <v>27</v>
      </c>
      <c r="B960" s="4" t="s">
        <v>41</v>
      </c>
      <c r="C960" s="4" t="s">
        <v>23</v>
      </c>
      <c r="D960" s="4" t="s">
        <v>42</v>
      </c>
      <c r="E960" s="4" t="s">
        <v>25</v>
      </c>
      <c r="F960" s="4" t="s">
        <v>25</v>
      </c>
      <c r="G960" s="4" t="s">
        <v>25</v>
      </c>
      <c r="H960" s="4" t="s">
        <v>25</v>
      </c>
      <c r="I960" s="5">
        <v>44652</v>
      </c>
      <c r="J960" s="6">
        <v>0</v>
      </c>
      <c r="K960" s="6">
        <v>0</v>
      </c>
      <c r="L960" s="6">
        <v>-113.94499999999999</v>
      </c>
      <c r="M960" s="6">
        <v>-113.94499999999999</v>
      </c>
      <c r="N960" s="6">
        <v>-113.94499999999999</v>
      </c>
      <c r="O960" s="6">
        <v>-113.94499999999999</v>
      </c>
      <c r="P960" s="6">
        <v>-58</v>
      </c>
      <c r="Q960" s="4" t="s">
        <v>26</v>
      </c>
      <c r="R960" s="4">
        <v>0</v>
      </c>
      <c r="S960" s="4" t="s">
        <v>291</v>
      </c>
      <c r="T960" s="4" t="s">
        <v>416</v>
      </c>
      <c r="U960" s="4">
        <v>0</v>
      </c>
      <c r="V960" s="4">
        <v>40</v>
      </c>
      <c r="W960" s="4">
        <v>78</v>
      </c>
    </row>
    <row r="961" spans="1:23" ht="11.25" customHeight="1" x14ac:dyDescent="0.25">
      <c r="A961" s="4" t="s">
        <v>28</v>
      </c>
      <c r="B961" s="4" t="s">
        <v>41</v>
      </c>
      <c r="C961" s="4" t="s">
        <v>23</v>
      </c>
      <c r="D961" s="4" t="s">
        <v>42</v>
      </c>
      <c r="E961" s="4" t="s">
        <v>25</v>
      </c>
      <c r="F961" s="4" t="s">
        <v>25</v>
      </c>
      <c r="G961" s="4" t="s">
        <v>25</v>
      </c>
      <c r="H961" s="4" t="s">
        <v>25</v>
      </c>
      <c r="I961" s="5">
        <v>44652</v>
      </c>
      <c r="J961" s="6">
        <v>0</v>
      </c>
      <c r="K961" s="6">
        <v>0</v>
      </c>
      <c r="L961" s="6">
        <v>415.89499999999998</v>
      </c>
      <c r="M961" s="6">
        <v>415.89499999999998</v>
      </c>
      <c r="N961" s="6">
        <v>415.89499999999998</v>
      </c>
      <c r="O961" s="6">
        <v>415.89499999999998</v>
      </c>
      <c r="P961" s="6">
        <v>1083</v>
      </c>
      <c r="Q961" s="4" t="s">
        <v>26</v>
      </c>
      <c r="R961" s="4">
        <v>0</v>
      </c>
      <c r="S961" s="4" t="s">
        <v>291</v>
      </c>
      <c r="T961" s="4" t="s">
        <v>416</v>
      </c>
      <c r="U961" s="4">
        <v>0</v>
      </c>
      <c r="V961" s="4">
        <v>40</v>
      </c>
      <c r="W961" s="4">
        <v>78</v>
      </c>
    </row>
    <row r="962" spans="1:23" ht="11.25" customHeight="1" x14ac:dyDescent="0.25">
      <c r="A962" s="4" t="s">
        <v>28</v>
      </c>
      <c r="B962" s="4" t="s">
        <v>41</v>
      </c>
      <c r="C962" s="4" t="s">
        <v>23</v>
      </c>
      <c r="D962" s="4" t="s">
        <v>42</v>
      </c>
      <c r="E962" s="4" t="s">
        <v>25</v>
      </c>
      <c r="F962" s="4" t="s">
        <v>25</v>
      </c>
      <c r="G962" s="4" t="s">
        <v>25</v>
      </c>
      <c r="H962" s="4" t="s">
        <v>25</v>
      </c>
      <c r="I962" s="5">
        <v>44652</v>
      </c>
      <c r="J962" s="6">
        <v>0</v>
      </c>
      <c r="K962" s="6">
        <v>0</v>
      </c>
      <c r="L962" s="6">
        <v>-141.548</v>
      </c>
      <c r="M962" s="6">
        <v>-141.548</v>
      </c>
      <c r="N962" s="6">
        <v>-141.548</v>
      </c>
      <c r="O962" s="6">
        <v>-141.548</v>
      </c>
      <c r="P962" s="6">
        <v>0</v>
      </c>
      <c r="Q962" s="4" t="s">
        <v>26</v>
      </c>
      <c r="R962" s="4">
        <v>0</v>
      </c>
      <c r="S962" s="4" t="s">
        <v>291</v>
      </c>
      <c r="T962" s="4" t="s">
        <v>416</v>
      </c>
      <c r="U962" s="4">
        <v>0</v>
      </c>
      <c r="V962" s="4">
        <v>40</v>
      </c>
      <c r="W962" s="4">
        <v>78</v>
      </c>
    </row>
    <row r="963" spans="1:23" ht="11.25" customHeight="1" x14ac:dyDescent="0.25">
      <c r="A963" s="4" t="s">
        <v>21</v>
      </c>
      <c r="B963" s="4" t="s">
        <v>41</v>
      </c>
      <c r="C963" s="4" t="s">
        <v>23</v>
      </c>
      <c r="D963" s="4" t="s">
        <v>42</v>
      </c>
      <c r="E963" s="4" t="s">
        <v>25</v>
      </c>
      <c r="F963" s="4" t="s">
        <v>25</v>
      </c>
      <c r="G963" s="4" t="s">
        <v>25</v>
      </c>
      <c r="H963" s="4" t="s">
        <v>25</v>
      </c>
      <c r="I963" s="5">
        <v>44682</v>
      </c>
      <c r="J963" s="6">
        <v>0</v>
      </c>
      <c r="K963" s="6">
        <v>0</v>
      </c>
      <c r="L963" s="6">
        <v>13509.707</v>
      </c>
      <c r="M963" s="6">
        <v>13509.707</v>
      </c>
      <c r="N963" s="6">
        <v>13509.707</v>
      </c>
      <c r="O963" s="6">
        <v>13509.707</v>
      </c>
      <c r="P963" s="6">
        <v>38176</v>
      </c>
      <c r="Q963" s="4" t="s">
        <v>26</v>
      </c>
      <c r="R963" s="4">
        <v>0</v>
      </c>
      <c r="S963" s="4" t="s">
        <v>292</v>
      </c>
      <c r="T963" s="4" t="s">
        <v>417</v>
      </c>
      <c r="U963" s="4">
        <v>0</v>
      </c>
      <c r="V963" s="4">
        <v>40</v>
      </c>
      <c r="W963" s="4">
        <v>78</v>
      </c>
    </row>
    <row r="964" spans="1:23" ht="11.25" customHeight="1" x14ac:dyDescent="0.25">
      <c r="A964" s="4" t="s">
        <v>27</v>
      </c>
      <c r="B964" s="4" t="s">
        <v>41</v>
      </c>
      <c r="C964" s="4" t="s">
        <v>23</v>
      </c>
      <c r="D964" s="4" t="s">
        <v>42</v>
      </c>
      <c r="E964" s="4" t="s">
        <v>25</v>
      </c>
      <c r="F964" s="4" t="s">
        <v>25</v>
      </c>
      <c r="G964" s="4" t="s">
        <v>25</v>
      </c>
      <c r="H964" s="4" t="s">
        <v>25</v>
      </c>
      <c r="I964" s="5">
        <v>44682</v>
      </c>
      <c r="J964" s="6">
        <v>0</v>
      </c>
      <c r="K964" s="6">
        <v>0</v>
      </c>
      <c r="L964" s="6">
        <v>-26.937999999999999</v>
      </c>
      <c r="M964" s="6">
        <v>-26.937999999999999</v>
      </c>
      <c r="N964" s="6">
        <v>-26.937999999999999</v>
      </c>
      <c r="O964" s="6">
        <v>-26.937999999999999</v>
      </c>
      <c r="P964" s="6">
        <v>-80</v>
      </c>
      <c r="Q964" s="4" t="s">
        <v>26</v>
      </c>
      <c r="R964" s="4">
        <v>0</v>
      </c>
      <c r="S964" s="4" t="s">
        <v>292</v>
      </c>
      <c r="T964" s="4" t="s">
        <v>417</v>
      </c>
      <c r="U964" s="4">
        <v>0</v>
      </c>
      <c r="V964" s="4">
        <v>40</v>
      </c>
      <c r="W964" s="4">
        <v>78</v>
      </c>
    </row>
    <row r="965" spans="1:23" ht="11.25" customHeight="1" x14ac:dyDescent="0.25">
      <c r="A965" s="4" t="s">
        <v>28</v>
      </c>
      <c r="B965" s="4" t="s">
        <v>41</v>
      </c>
      <c r="C965" s="4" t="s">
        <v>23</v>
      </c>
      <c r="D965" s="4" t="s">
        <v>42</v>
      </c>
      <c r="E965" s="4" t="s">
        <v>25</v>
      </c>
      <c r="F965" s="4" t="s">
        <v>25</v>
      </c>
      <c r="G965" s="4" t="s">
        <v>25</v>
      </c>
      <c r="H965" s="4" t="s">
        <v>25</v>
      </c>
      <c r="I965" s="5">
        <v>44682</v>
      </c>
      <c r="J965" s="6">
        <v>0</v>
      </c>
      <c r="K965" s="6">
        <v>0</v>
      </c>
      <c r="L965" s="6">
        <v>484.18</v>
      </c>
      <c r="M965" s="6">
        <v>484.18</v>
      </c>
      <c r="N965" s="6">
        <v>484.18</v>
      </c>
      <c r="O965" s="6">
        <v>484.18</v>
      </c>
      <c r="P965" s="6">
        <v>1167</v>
      </c>
      <c r="Q965" s="4" t="s">
        <v>26</v>
      </c>
      <c r="R965" s="4">
        <v>0</v>
      </c>
      <c r="S965" s="4" t="s">
        <v>292</v>
      </c>
      <c r="T965" s="4" t="s">
        <v>417</v>
      </c>
      <c r="U965" s="4">
        <v>0</v>
      </c>
      <c r="V965" s="4">
        <v>40</v>
      </c>
      <c r="W965" s="4">
        <v>78</v>
      </c>
    </row>
    <row r="966" spans="1:23" ht="11.25" customHeight="1" x14ac:dyDescent="0.25">
      <c r="A966" s="4" t="s">
        <v>28</v>
      </c>
      <c r="B966" s="4" t="s">
        <v>41</v>
      </c>
      <c r="C966" s="4" t="s">
        <v>23</v>
      </c>
      <c r="D966" s="4" t="s">
        <v>42</v>
      </c>
      <c r="E966" s="4" t="s">
        <v>25</v>
      </c>
      <c r="F966" s="4" t="s">
        <v>25</v>
      </c>
      <c r="G966" s="4" t="s">
        <v>25</v>
      </c>
      <c r="H966" s="4" t="s">
        <v>25</v>
      </c>
      <c r="I966" s="5">
        <v>44682</v>
      </c>
      <c r="J966" s="6">
        <v>0</v>
      </c>
      <c r="K966" s="6">
        <v>0</v>
      </c>
      <c r="L966" s="6">
        <v>-1.546</v>
      </c>
      <c r="M966" s="6">
        <v>-1.546</v>
      </c>
      <c r="N966" s="6">
        <v>-1.546</v>
      </c>
      <c r="O966" s="6">
        <v>-1.546</v>
      </c>
      <c r="P966" s="6">
        <v>-3</v>
      </c>
      <c r="Q966" s="4" t="s">
        <v>26</v>
      </c>
      <c r="R966" s="4">
        <v>0</v>
      </c>
      <c r="S966" s="4" t="s">
        <v>292</v>
      </c>
      <c r="T966" s="4" t="s">
        <v>417</v>
      </c>
      <c r="U966" s="4">
        <v>0</v>
      </c>
      <c r="V966" s="4">
        <v>40</v>
      </c>
      <c r="W966" s="4">
        <v>78</v>
      </c>
    </row>
    <row r="967" spans="1:23" ht="11.25" customHeight="1" x14ac:dyDescent="0.25">
      <c r="A967" s="4" t="s">
        <v>21</v>
      </c>
      <c r="B967" s="4" t="s">
        <v>41</v>
      </c>
      <c r="C967" s="4" t="s">
        <v>23</v>
      </c>
      <c r="D967" s="4" t="s">
        <v>42</v>
      </c>
      <c r="E967" s="4" t="s">
        <v>25</v>
      </c>
      <c r="F967" s="4" t="s">
        <v>25</v>
      </c>
      <c r="G967" s="4" t="s">
        <v>25</v>
      </c>
      <c r="H967" s="4" t="s">
        <v>25</v>
      </c>
      <c r="I967" s="5">
        <v>44713</v>
      </c>
      <c r="J967" s="6">
        <v>0</v>
      </c>
      <c r="K967" s="6">
        <v>0</v>
      </c>
      <c r="L967" s="6">
        <v>13373.441999999999</v>
      </c>
      <c r="M967" s="6">
        <v>13373.441999999999</v>
      </c>
      <c r="N967" s="6">
        <v>13373.441999999999</v>
      </c>
      <c r="O967" s="6">
        <v>13373.441999999999</v>
      </c>
      <c r="P967" s="6">
        <v>38093</v>
      </c>
      <c r="Q967" s="4" t="s">
        <v>26</v>
      </c>
      <c r="R967" s="4">
        <v>0</v>
      </c>
      <c r="S967" s="4" t="s">
        <v>293</v>
      </c>
      <c r="T967" s="4" t="s">
        <v>418</v>
      </c>
      <c r="U967" s="4">
        <v>0</v>
      </c>
      <c r="V967" s="4">
        <v>40</v>
      </c>
      <c r="W967" s="4">
        <v>78</v>
      </c>
    </row>
    <row r="968" spans="1:23" ht="11.25" customHeight="1" x14ac:dyDescent="0.25">
      <c r="A968" s="4" t="s">
        <v>27</v>
      </c>
      <c r="B968" s="4" t="s">
        <v>41</v>
      </c>
      <c r="C968" s="4" t="s">
        <v>23</v>
      </c>
      <c r="D968" s="4" t="s">
        <v>42</v>
      </c>
      <c r="E968" s="4" t="s">
        <v>25</v>
      </c>
      <c r="F968" s="4" t="s">
        <v>25</v>
      </c>
      <c r="G968" s="4" t="s">
        <v>25</v>
      </c>
      <c r="H968" s="4" t="s">
        <v>25</v>
      </c>
      <c r="I968" s="5">
        <v>44713</v>
      </c>
      <c r="J968" s="6">
        <v>0</v>
      </c>
      <c r="K968" s="6">
        <v>0</v>
      </c>
      <c r="L968" s="6">
        <v>-42.703000000000003</v>
      </c>
      <c r="M968" s="6">
        <v>-42.703000000000003</v>
      </c>
      <c r="N968" s="6">
        <v>-42.703000000000003</v>
      </c>
      <c r="O968" s="6">
        <v>-42.703000000000003</v>
      </c>
      <c r="P968" s="6">
        <v>-56</v>
      </c>
      <c r="Q968" s="4" t="s">
        <v>26</v>
      </c>
      <c r="R968" s="4">
        <v>0</v>
      </c>
      <c r="S968" s="4" t="s">
        <v>293</v>
      </c>
      <c r="T968" s="4" t="s">
        <v>418</v>
      </c>
      <c r="U968" s="4">
        <v>0</v>
      </c>
      <c r="V968" s="4">
        <v>40</v>
      </c>
      <c r="W968" s="4">
        <v>78</v>
      </c>
    </row>
    <row r="969" spans="1:23" ht="11.25" customHeight="1" x14ac:dyDescent="0.25">
      <c r="A969" s="4" t="s">
        <v>28</v>
      </c>
      <c r="B969" s="4" t="s">
        <v>41</v>
      </c>
      <c r="C969" s="4" t="s">
        <v>23</v>
      </c>
      <c r="D969" s="4" t="s">
        <v>42</v>
      </c>
      <c r="E969" s="4" t="s">
        <v>25</v>
      </c>
      <c r="F969" s="4" t="s">
        <v>25</v>
      </c>
      <c r="G969" s="4" t="s">
        <v>25</v>
      </c>
      <c r="H969" s="4" t="s">
        <v>25</v>
      </c>
      <c r="I969" s="5">
        <v>44713</v>
      </c>
      <c r="J969" s="6">
        <v>0</v>
      </c>
      <c r="K969" s="6">
        <v>0</v>
      </c>
      <c r="L969" s="6">
        <v>691.78</v>
      </c>
      <c r="M969" s="6">
        <v>691.78</v>
      </c>
      <c r="N969" s="6">
        <v>691.78</v>
      </c>
      <c r="O969" s="6">
        <v>691.78</v>
      </c>
      <c r="P969" s="6">
        <v>1257</v>
      </c>
      <c r="Q969" s="4" t="s">
        <v>26</v>
      </c>
      <c r="R969" s="4">
        <v>0</v>
      </c>
      <c r="S969" s="4" t="s">
        <v>293</v>
      </c>
      <c r="T969" s="4" t="s">
        <v>418</v>
      </c>
      <c r="U969" s="4">
        <v>0</v>
      </c>
      <c r="V969" s="4">
        <v>40</v>
      </c>
      <c r="W969" s="4">
        <v>78</v>
      </c>
    </row>
    <row r="970" spans="1:23" ht="11.25" customHeight="1" x14ac:dyDescent="0.25">
      <c r="A970" s="4" t="s">
        <v>28</v>
      </c>
      <c r="B970" s="4" t="s">
        <v>41</v>
      </c>
      <c r="C970" s="4" t="s">
        <v>23</v>
      </c>
      <c r="D970" s="4" t="s">
        <v>42</v>
      </c>
      <c r="E970" s="4" t="s">
        <v>25</v>
      </c>
      <c r="F970" s="4" t="s">
        <v>25</v>
      </c>
      <c r="G970" s="4" t="s">
        <v>25</v>
      </c>
      <c r="H970" s="4" t="s">
        <v>25</v>
      </c>
      <c r="I970" s="5">
        <v>44713</v>
      </c>
      <c r="J970" s="6">
        <v>0</v>
      </c>
      <c r="K970" s="6">
        <v>0</v>
      </c>
      <c r="L970" s="6">
        <v>-43.121000000000002</v>
      </c>
      <c r="M970" s="6">
        <v>-43.121000000000002</v>
      </c>
      <c r="N970" s="6">
        <v>-43.121000000000002</v>
      </c>
      <c r="O970" s="6">
        <v>-43.121000000000002</v>
      </c>
      <c r="P970" s="6">
        <v>-3</v>
      </c>
      <c r="Q970" s="4" t="s">
        <v>26</v>
      </c>
      <c r="R970" s="4">
        <v>0</v>
      </c>
      <c r="S970" s="4" t="s">
        <v>293</v>
      </c>
      <c r="T970" s="4" t="s">
        <v>418</v>
      </c>
      <c r="U970" s="4">
        <v>0</v>
      </c>
      <c r="V970" s="4">
        <v>40</v>
      </c>
      <c r="W970" s="4">
        <v>78</v>
      </c>
    </row>
    <row r="971" spans="1:23" ht="11.25" customHeight="1" x14ac:dyDescent="0.25">
      <c r="A971" s="4" t="s">
        <v>21</v>
      </c>
      <c r="B971" s="4" t="s">
        <v>33</v>
      </c>
      <c r="C971" s="4" t="s">
        <v>23</v>
      </c>
      <c r="D971" s="4" t="s">
        <v>40</v>
      </c>
      <c r="E971" s="4" t="s">
        <v>25</v>
      </c>
      <c r="F971" s="4" t="s">
        <v>25</v>
      </c>
      <c r="G971" s="4" t="s">
        <v>25</v>
      </c>
      <c r="H971" s="4" t="s">
        <v>25</v>
      </c>
      <c r="I971" s="5">
        <v>44378</v>
      </c>
      <c r="J971" s="6">
        <v>0</v>
      </c>
      <c r="K971" s="6">
        <v>0</v>
      </c>
      <c r="L971" s="6">
        <v>977.89</v>
      </c>
      <c r="M971" s="6">
        <v>977.89</v>
      </c>
      <c r="N971" s="6">
        <v>977.89</v>
      </c>
      <c r="O971" s="6">
        <v>977.89</v>
      </c>
      <c r="P971" s="6">
        <v>2189</v>
      </c>
      <c r="Q971" s="4" t="s">
        <v>26</v>
      </c>
      <c r="R971" s="4">
        <v>0</v>
      </c>
      <c r="S971" s="4" t="s">
        <v>294</v>
      </c>
      <c r="T971" s="4" t="s">
        <v>419</v>
      </c>
      <c r="U971" s="4">
        <v>0</v>
      </c>
      <c r="V971" s="4">
        <v>17</v>
      </c>
      <c r="W971" s="4">
        <v>89</v>
      </c>
    </row>
    <row r="972" spans="1:23" ht="11.25" customHeight="1" x14ac:dyDescent="0.25">
      <c r="A972" s="4" t="s">
        <v>27</v>
      </c>
      <c r="B972" s="4" t="s">
        <v>33</v>
      </c>
      <c r="C972" s="4" t="s">
        <v>23</v>
      </c>
      <c r="D972" s="4" t="s">
        <v>40</v>
      </c>
      <c r="E972" s="4" t="s">
        <v>25</v>
      </c>
      <c r="F972" s="4" t="s">
        <v>25</v>
      </c>
      <c r="G972" s="4" t="s">
        <v>25</v>
      </c>
      <c r="H972" s="4" t="s">
        <v>25</v>
      </c>
      <c r="I972" s="5">
        <v>44378</v>
      </c>
      <c r="J972" s="6">
        <v>0</v>
      </c>
      <c r="K972" s="6">
        <v>0</v>
      </c>
      <c r="L972" s="6">
        <v>-2.94</v>
      </c>
      <c r="M972" s="6">
        <v>-2.94</v>
      </c>
      <c r="N972" s="6">
        <v>-2.94</v>
      </c>
      <c r="O972" s="6">
        <v>-2.94</v>
      </c>
      <c r="P972" s="6">
        <v>-1</v>
      </c>
      <c r="Q972" s="4" t="s">
        <v>26</v>
      </c>
      <c r="R972" s="4">
        <v>0</v>
      </c>
      <c r="S972" s="4" t="s">
        <v>294</v>
      </c>
      <c r="T972" s="4" t="s">
        <v>419</v>
      </c>
      <c r="U972" s="4">
        <v>0</v>
      </c>
      <c r="V972" s="4">
        <v>17</v>
      </c>
      <c r="W972" s="4">
        <v>89</v>
      </c>
    </row>
    <row r="973" spans="1:23" ht="11.25" customHeight="1" x14ac:dyDescent="0.25">
      <c r="A973" s="4" t="s">
        <v>28</v>
      </c>
      <c r="B973" s="4" t="s">
        <v>33</v>
      </c>
      <c r="C973" s="4" t="s">
        <v>23</v>
      </c>
      <c r="D973" s="4" t="s">
        <v>40</v>
      </c>
      <c r="E973" s="4" t="s">
        <v>25</v>
      </c>
      <c r="F973" s="4" t="s">
        <v>25</v>
      </c>
      <c r="G973" s="4" t="s">
        <v>25</v>
      </c>
      <c r="H973" s="4" t="s">
        <v>25</v>
      </c>
      <c r="I973" s="5">
        <v>44378</v>
      </c>
      <c r="J973" s="6">
        <v>0</v>
      </c>
      <c r="K973" s="6">
        <v>0</v>
      </c>
      <c r="L973" s="6">
        <v>58.000999999999998</v>
      </c>
      <c r="M973" s="6">
        <v>58.000999999999998</v>
      </c>
      <c r="N973" s="6">
        <v>58.000999999999998</v>
      </c>
      <c r="O973" s="6">
        <v>58.000999999999998</v>
      </c>
      <c r="P973" s="6">
        <v>120</v>
      </c>
      <c r="Q973" s="4" t="s">
        <v>26</v>
      </c>
      <c r="R973" s="4">
        <v>0</v>
      </c>
      <c r="S973" s="4" t="s">
        <v>294</v>
      </c>
      <c r="T973" s="4" t="s">
        <v>419</v>
      </c>
      <c r="U973" s="4">
        <v>0</v>
      </c>
      <c r="V973" s="4">
        <v>17</v>
      </c>
      <c r="W973" s="4">
        <v>89</v>
      </c>
    </row>
    <row r="974" spans="1:23" ht="11.25" customHeight="1" x14ac:dyDescent="0.25">
      <c r="A974" s="4" t="s">
        <v>21</v>
      </c>
      <c r="B974" s="4" t="s">
        <v>33</v>
      </c>
      <c r="C974" s="4" t="s">
        <v>23</v>
      </c>
      <c r="D974" s="4" t="s">
        <v>40</v>
      </c>
      <c r="E974" s="4" t="s">
        <v>25</v>
      </c>
      <c r="F974" s="4" t="s">
        <v>25</v>
      </c>
      <c r="G974" s="4" t="s">
        <v>25</v>
      </c>
      <c r="H974" s="4" t="s">
        <v>25</v>
      </c>
      <c r="I974" s="5">
        <v>44409</v>
      </c>
      <c r="J974" s="6">
        <v>0</v>
      </c>
      <c r="K974" s="6">
        <v>0</v>
      </c>
      <c r="L974" s="6">
        <v>1032.7139999999999</v>
      </c>
      <c r="M974" s="6">
        <v>1032.7139999999999</v>
      </c>
      <c r="N974" s="6">
        <v>1032.7139999999999</v>
      </c>
      <c r="O974" s="6">
        <v>1032.7139999999999</v>
      </c>
      <c r="P974" s="6">
        <v>2179</v>
      </c>
      <c r="Q974" s="4" t="s">
        <v>26</v>
      </c>
      <c r="R974" s="4">
        <v>0</v>
      </c>
      <c r="S974" s="4" t="s">
        <v>295</v>
      </c>
      <c r="T974" s="4" t="s">
        <v>420</v>
      </c>
      <c r="U974" s="4">
        <v>0</v>
      </c>
      <c r="V974" s="4">
        <v>17</v>
      </c>
      <c r="W974" s="4">
        <v>89</v>
      </c>
    </row>
    <row r="975" spans="1:23" ht="11.25" customHeight="1" x14ac:dyDescent="0.25">
      <c r="A975" s="4" t="s">
        <v>27</v>
      </c>
      <c r="B975" s="4" t="s">
        <v>33</v>
      </c>
      <c r="C975" s="4" t="s">
        <v>23</v>
      </c>
      <c r="D975" s="4" t="s">
        <v>40</v>
      </c>
      <c r="E975" s="4" t="s">
        <v>25</v>
      </c>
      <c r="F975" s="4" t="s">
        <v>25</v>
      </c>
      <c r="G975" s="4" t="s">
        <v>25</v>
      </c>
      <c r="H975" s="4" t="s">
        <v>25</v>
      </c>
      <c r="I975" s="5">
        <v>44409</v>
      </c>
      <c r="J975" s="6">
        <v>0</v>
      </c>
      <c r="K975" s="6">
        <v>0</v>
      </c>
      <c r="L975" s="6">
        <v>-0.2</v>
      </c>
      <c r="M975" s="6">
        <v>-0.2</v>
      </c>
      <c r="N975" s="6">
        <v>-0.2</v>
      </c>
      <c r="O975" s="6">
        <v>-0.2</v>
      </c>
      <c r="P975" s="6">
        <v>-2</v>
      </c>
      <c r="Q975" s="4" t="s">
        <v>26</v>
      </c>
      <c r="R975" s="4">
        <v>0</v>
      </c>
      <c r="S975" s="4" t="s">
        <v>295</v>
      </c>
      <c r="T975" s="4" t="s">
        <v>420</v>
      </c>
      <c r="U975" s="4">
        <v>0</v>
      </c>
      <c r="V975" s="4">
        <v>17</v>
      </c>
      <c r="W975" s="4">
        <v>89</v>
      </c>
    </row>
    <row r="976" spans="1:23" ht="11.25" customHeight="1" x14ac:dyDescent="0.25">
      <c r="A976" s="4" t="s">
        <v>28</v>
      </c>
      <c r="B976" s="4" t="s">
        <v>33</v>
      </c>
      <c r="C976" s="4" t="s">
        <v>23</v>
      </c>
      <c r="D976" s="4" t="s">
        <v>40</v>
      </c>
      <c r="E976" s="4" t="s">
        <v>25</v>
      </c>
      <c r="F976" s="4" t="s">
        <v>25</v>
      </c>
      <c r="G976" s="4" t="s">
        <v>25</v>
      </c>
      <c r="H976" s="4" t="s">
        <v>25</v>
      </c>
      <c r="I976" s="5">
        <v>44409</v>
      </c>
      <c r="J976" s="6">
        <v>0</v>
      </c>
      <c r="K976" s="6">
        <v>0</v>
      </c>
      <c r="L976" s="6">
        <v>56.6</v>
      </c>
      <c r="M976" s="6">
        <v>56.6</v>
      </c>
      <c r="N976" s="6">
        <v>56.6</v>
      </c>
      <c r="O976" s="6">
        <v>56.6</v>
      </c>
      <c r="P976" s="6">
        <v>130</v>
      </c>
      <c r="Q976" s="4" t="s">
        <v>26</v>
      </c>
      <c r="R976" s="4">
        <v>0</v>
      </c>
      <c r="S976" s="4" t="s">
        <v>295</v>
      </c>
      <c r="T976" s="4" t="s">
        <v>420</v>
      </c>
      <c r="U976" s="4">
        <v>0</v>
      </c>
      <c r="V976" s="4">
        <v>17</v>
      </c>
      <c r="W976" s="4">
        <v>89</v>
      </c>
    </row>
    <row r="977" spans="1:23" ht="11.25" customHeight="1" x14ac:dyDescent="0.25">
      <c r="A977" s="4" t="s">
        <v>21</v>
      </c>
      <c r="B977" s="4" t="s">
        <v>33</v>
      </c>
      <c r="C977" s="4" t="s">
        <v>23</v>
      </c>
      <c r="D977" s="4" t="s">
        <v>40</v>
      </c>
      <c r="E977" s="4" t="s">
        <v>25</v>
      </c>
      <c r="F977" s="4" t="s">
        <v>25</v>
      </c>
      <c r="G977" s="4" t="s">
        <v>25</v>
      </c>
      <c r="H977" s="4" t="s">
        <v>25</v>
      </c>
      <c r="I977" s="5">
        <v>44440</v>
      </c>
      <c r="J977" s="6">
        <v>0</v>
      </c>
      <c r="K977" s="6">
        <v>0</v>
      </c>
      <c r="L977" s="6">
        <v>1077.2850000000001</v>
      </c>
      <c r="M977" s="6">
        <v>1077.2850000000001</v>
      </c>
      <c r="N977" s="6">
        <v>1077.2850000000001</v>
      </c>
      <c r="O977" s="6">
        <v>1077.2850000000001</v>
      </c>
      <c r="P977" s="6">
        <v>2197</v>
      </c>
      <c r="Q977" s="4" t="s">
        <v>26</v>
      </c>
      <c r="R977" s="4">
        <v>0</v>
      </c>
      <c r="S977" s="4" t="s">
        <v>296</v>
      </c>
      <c r="T977" s="4" t="s">
        <v>421</v>
      </c>
      <c r="U977" s="4">
        <v>0</v>
      </c>
      <c r="V977" s="4">
        <v>17</v>
      </c>
      <c r="W977" s="4">
        <v>89</v>
      </c>
    </row>
    <row r="978" spans="1:23" ht="11.25" customHeight="1" x14ac:dyDescent="0.25">
      <c r="A978" s="4" t="s">
        <v>27</v>
      </c>
      <c r="B978" s="4" t="s">
        <v>33</v>
      </c>
      <c r="C978" s="4" t="s">
        <v>23</v>
      </c>
      <c r="D978" s="4" t="s">
        <v>40</v>
      </c>
      <c r="E978" s="4" t="s">
        <v>25</v>
      </c>
      <c r="F978" s="4" t="s">
        <v>25</v>
      </c>
      <c r="G978" s="4" t="s">
        <v>25</v>
      </c>
      <c r="H978" s="4" t="s">
        <v>25</v>
      </c>
      <c r="I978" s="5">
        <v>44440</v>
      </c>
      <c r="J978" s="6">
        <v>0</v>
      </c>
      <c r="K978" s="6">
        <v>0</v>
      </c>
      <c r="L978" s="6">
        <v>-1.911</v>
      </c>
      <c r="M978" s="6">
        <v>-1.911</v>
      </c>
      <c r="N978" s="6">
        <v>-1.911</v>
      </c>
      <c r="O978" s="6">
        <v>-1.911</v>
      </c>
      <c r="P978" s="6">
        <v>-5</v>
      </c>
      <c r="Q978" s="4" t="s">
        <v>26</v>
      </c>
      <c r="R978" s="4">
        <v>0</v>
      </c>
      <c r="S978" s="4" t="s">
        <v>296</v>
      </c>
      <c r="T978" s="4" t="s">
        <v>421</v>
      </c>
      <c r="U978" s="4">
        <v>0</v>
      </c>
      <c r="V978" s="4">
        <v>17</v>
      </c>
      <c r="W978" s="4">
        <v>89</v>
      </c>
    </row>
    <row r="979" spans="1:23" ht="11.25" customHeight="1" x14ac:dyDescent="0.25">
      <c r="A979" s="4" t="s">
        <v>28</v>
      </c>
      <c r="B979" s="4" t="s">
        <v>33</v>
      </c>
      <c r="C979" s="4" t="s">
        <v>23</v>
      </c>
      <c r="D979" s="4" t="s">
        <v>40</v>
      </c>
      <c r="E979" s="4" t="s">
        <v>25</v>
      </c>
      <c r="F979" s="4" t="s">
        <v>25</v>
      </c>
      <c r="G979" s="4" t="s">
        <v>25</v>
      </c>
      <c r="H979" s="4" t="s">
        <v>25</v>
      </c>
      <c r="I979" s="5">
        <v>44440</v>
      </c>
      <c r="J979" s="6">
        <v>0</v>
      </c>
      <c r="K979" s="6">
        <v>0</v>
      </c>
      <c r="L979" s="6">
        <v>53.055</v>
      </c>
      <c r="M979" s="6">
        <v>53.055</v>
      </c>
      <c r="N979" s="6">
        <v>53.055</v>
      </c>
      <c r="O979" s="6">
        <v>53.055</v>
      </c>
      <c r="P979" s="6">
        <v>132</v>
      </c>
      <c r="Q979" s="4" t="s">
        <v>26</v>
      </c>
      <c r="R979" s="4">
        <v>0</v>
      </c>
      <c r="S979" s="4" t="s">
        <v>296</v>
      </c>
      <c r="T979" s="4" t="s">
        <v>421</v>
      </c>
      <c r="U979" s="4">
        <v>0</v>
      </c>
      <c r="V979" s="4">
        <v>17</v>
      </c>
      <c r="W979" s="4">
        <v>89</v>
      </c>
    </row>
    <row r="980" spans="1:23" ht="11.25" customHeight="1" x14ac:dyDescent="0.25">
      <c r="A980" s="4" t="s">
        <v>21</v>
      </c>
      <c r="B980" s="4" t="s">
        <v>33</v>
      </c>
      <c r="C980" s="4" t="s">
        <v>23</v>
      </c>
      <c r="D980" s="4" t="s">
        <v>40</v>
      </c>
      <c r="E980" s="4" t="s">
        <v>25</v>
      </c>
      <c r="F980" s="4" t="s">
        <v>25</v>
      </c>
      <c r="G980" s="4" t="s">
        <v>25</v>
      </c>
      <c r="H980" s="4" t="s">
        <v>25</v>
      </c>
      <c r="I980" s="5">
        <v>44470</v>
      </c>
      <c r="J980" s="6">
        <v>0</v>
      </c>
      <c r="K980" s="6">
        <v>0</v>
      </c>
      <c r="L980" s="6">
        <v>1003.989</v>
      </c>
      <c r="M980" s="6">
        <v>1003.989</v>
      </c>
      <c r="N980" s="6">
        <v>1003.989</v>
      </c>
      <c r="O980" s="6">
        <v>1003.989</v>
      </c>
      <c r="P980" s="6">
        <v>2201</v>
      </c>
      <c r="Q980" s="4" t="s">
        <v>26</v>
      </c>
      <c r="R980" s="4">
        <v>0</v>
      </c>
      <c r="S980" s="4" t="s">
        <v>297</v>
      </c>
      <c r="T980" s="4" t="s">
        <v>422</v>
      </c>
      <c r="U980" s="4">
        <v>0</v>
      </c>
      <c r="V980" s="4">
        <v>17</v>
      </c>
      <c r="W980" s="4">
        <v>89</v>
      </c>
    </row>
    <row r="981" spans="1:23" ht="11.25" customHeight="1" x14ac:dyDescent="0.25">
      <c r="A981" s="4" t="s">
        <v>27</v>
      </c>
      <c r="B981" s="4" t="s">
        <v>33</v>
      </c>
      <c r="C981" s="4" t="s">
        <v>23</v>
      </c>
      <c r="D981" s="4" t="s">
        <v>40</v>
      </c>
      <c r="E981" s="4" t="s">
        <v>25</v>
      </c>
      <c r="F981" s="4" t="s">
        <v>25</v>
      </c>
      <c r="G981" s="4" t="s">
        <v>25</v>
      </c>
      <c r="H981" s="4" t="s">
        <v>25</v>
      </c>
      <c r="I981" s="5">
        <v>44470</v>
      </c>
      <c r="J981" s="6">
        <v>0</v>
      </c>
      <c r="K981" s="6">
        <v>0</v>
      </c>
      <c r="L981" s="6">
        <v>-3.92</v>
      </c>
      <c r="M981" s="6">
        <v>-3.92</v>
      </c>
      <c r="N981" s="6">
        <v>-3.92</v>
      </c>
      <c r="O981" s="6">
        <v>-3.92</v>
      </c>
      <c r="P981" s="6">
        <v>-1</v>
      </c>
      <c r="Q981" s="4" t="s">
        <v>26</v>
      </c>
      <c r="R981" s="4">
        <v>0</v>
      </c>
      <c r="S981" s="4" t="s">
        <v>297</v>
      </c>
      <c r="T981" s="4" t="s">
        <v>422</v>
      </c>
      <c r="U981" s="4">
        <v>0</v>
      </c>
      <c r="V981" s="4">
        <v>17</v>
      </c>
      <c r="W981" s="4">
        <v>89</v>
      </c>
    </row>
    <row r="982" spans="1:23" ht="11.25" customHeight="1" x14ac:dyDescent="0.25">
      <c r="A982" s="4" t="s">
        <v>28</v>
      </c>
      <c r="B982" s="4" t="s">
        <v>33</v>
      </c>
      <c r="C982" s="4" t="s">
        <v>23</v>
      </c>
      <c r="D982" s="4" t="s">
        <v>40</v>
      </c>
      <c r="E982" s="4" t="s">
        <v>25</v>
      </c>
      <c r="F982" s="4" t="s">
        <v>25</v>
      </c>
      <c r="G982" s="4" t="s">
        <v>25</v>
      </c>
      <c r="H982" s="4" t="s">
        <v>25</v>
      </c>
      <c r="I982" s="5">
        <v>44470</v>
      </c>
      <c r="J982" s="6">
        <v>0</v>
      </c>
      <c r="K982" s="6">
        <v>0</v>
      </c>
      <c r="L982" s="6">
        <v>53.357999999999997</v>
      </c>
      <c r="M982" s="6">
        <v>53.357999999999997</v>
      </c>
      <c r="N982" s="6">
        <v>53.357999999999997</v>
      </c>
      <c r="O982" s="6">
        <v>53.357999999999997</v>
      </c>
      <c r="P982" s="6">
        <v>141</v>
      </c>
      <c r="Q982" s="4" t="s">
        <v>26</v>
      </c>
      <c r="R982" s="4">
        <v>0</v>
      </c>
      <c r="S982" s="4" t="s">
        <v>297</v>
      </c>
      <c r="T982" s="4" t="s">
        <v>422</v>
      </c>
      <c r="U982" s="4">
        <v>0</v>
      </c>
      <c r="V982" s="4">
        <v>17</v>
      </c>
      <c r="W982" s="4">
        <v>89</v>
      </c>
    </row>
    <row r="983" spans="1:23" ht="11.25" customHeight="1" x14ac:dyDescent="0.25">
      <c r="A983" s="4" t="s">
        <v>28</v>
      </c>
      <c r="B983" s="4" t="s">
        <v>33</v>
      </c>
      <c r="C983" s="4" t="s">
        <v>23</v>
      </c>
      <c r="D983" s="4" t="s">
        <v>40</v>
      </c>
      <c r="E983" s="4" t="s">
        <v>25</v>
      </c>
      <c r="F983" s="4" t="s">
        <v>25</v>
      </c>
      <c r="G983" s="4" t="s">
        <v>25</v>
      </c>
      <c r="H983" s="4" t="s">
        <v>25</v>
      </c>
      <c r="I983" s="5">
        <v>44470</v>
      </c>
      <c r="J983" s="6">
        <v>0</v>
      </c>
      <c r="K983" s="6">
        <v>0</v>
      </c>
      <c r="L983" s="6">
        <v>-0.98299999999999998</v>
      </c>
      <c r="M983" s="6">
        <v>-0.98299999999999998</v>
      </c>
      <c r="N983" s="6">
        <v>-0.98299999999999998</v>
      </c>
      <c r="O983" s="6">
        <v>-0.98299999999999998</v>
      </c>
      <c r="P983" s="6">
        <v>-1</v>
      </c>
      <c r="Q983" s="4" t="s">
        <v>26</v>
      </c>
      <c r="R983" s="4">
        <v>0</v>
      </c>
      <c r="S983" s="4" t="s">
        <v>297</v>
      </c>
      <c r="T983" s="4" t="s">
        <v>422</v>
      </c>
      <c r="U983" s="4">
        <v>0</v>
      </c>
      <c r="V983" s="4">
        <v>17</v>
      </c>
      <c r="W983" s="4">
        <v>89</v>
      </c>
    </row>
    <row r="984" spans="1:23" ht="11.25" customHeight="1" x14ac:dyDescent="0.25">
      <c r="A984" s="4" t="s">
        <v>21</v>
      </c>
      <c r="B984" s="4" t="s">
        <v>33</v>
      </c>
      <c r="C984" s="4" t="s">
        <v>23</v>
      </c>
      <c r="D984" s="4" t="s">
        <v>40</v>
      </c>
      <c r="E984" s="4" t="s">
        <v>25</v>
      </c>
      <c r="F984" s="4" t="s">
        <v>25</v>
      </c>
      <c r="G984" s="4" t="s">
        <v>25</v>
      </c>
      <c r="H984" s="4" t="s">
        <v>25</v>
      </c>
      <c r="I984" s="5">
        <v>44501</v>
      </c>
      <c r="J984" s="6">
        <v>0</v>
      </c>
      <c r="K984" s="6">
        <v>0</v>
      </c>
      <c r="L984" s="6">
        <v>1066.8679999999999</v>
      </c>
      <c r="M984" s="6">
        <v>1066.8679999999999</v>
      </c>
      <c r="N984" s="6">
        <v>1066.8679999999999</v>
      </c>
      <c r="O984" s="6">
        <v>1066.8679999999999</v>
      </c>
      <c r="P984" s="6">
        <v>2212</v>
      </c>
      <c r="Q984" s="4" t="s">
        <v>26</v>
      </c>
      <c r="R984" s="4">
        <v>0</v>
      </c>
      <c r="S984" s="4" t="s">
        <v>298</v>
      </c>
      <c r="T984" s="4" t="s">
        <v>423</v>
      </c>
      <c r="U984" s="4">
        <v>0</v>
      </c>
      <c r="V984" s="4">
        <v>17</v>
      </c>
      <c r="W984" s="4">
        <v>89</v>
      </c>
    </row>
    <row r="985" spans="1:23" ht="11.25" customHeight="1" x14ac:dyDescent="0.25">
      <c r="A985" s="4" t="s">
        <v>27</v>
      </c>
      <c r="B985" s="4" t="s">
        <v>33</v>
      </c>
      <c r="C985" s="4" t="s">
        <v>23</v>
      </c>
      <c r="D985" s="4" t="s">
        <v>40</v>
      </c>
      <c r="E985" s="4" t="s">
        <v>25</v>
      </c>
      <c r="F985" s="4" t="s">
        <v>25</v>
      </c>
      <c r="G985" s="4" t="s">
        <v>25</v>
      </c>
      <c r="H985" s="4" t="s">
        <v>25</v>
      </c>
      <c r="I985" s="5">
        <v>44501</v>
      </c>
      <c r="J985" s="6">
        <v>0</v>
      </c>
      <c r="K985" s="6">
        <v>0</v>
      </c>
      <c r="L985" s="6">
        <v>-3.661</v>
      </c>
      <c r="M985" s="6">
        <v>-3.661</v>
      </c>
      <c r="N985" s="6">
        <v>-3.661</v>
      </c>
      <c r="O985" s="6">
        <v>-3.661</v>
      </c>
      <c r="P985" s="6">
        <v>-3</v>
      </c>
      <c r="Q985" s="4" t="s">
        <v>26</v>
      </c>
      <c r="R985" s="4">
        <v>0</v>
      </c>
      <c r="S985" s="4" t="s">
        <v>298</v>
      </c>
      <c r="T985" s="4" t="s">
        <v>423</v>
      </c>
      <c r="U985" s="4">
        <v>0</v>
      </c>
      <c r="V985" s="4">
        <v>17</v>
      </c>
      <c r="W985" s="4">
        <v>89</v>
      </c>
    </row>
    <row r="986" spans="1:23" ht="11.25" customHeight="1" x14ac:dyDescent="0.25">
      <c r="A986" s="4" t="s">
        <v>28</v>
      </c>
      <c r="B986" s="4" t="s">
        <v>33</v>
      </c>
      <c r="C986" s="4" t="s">
        <v>23</v>
      </c>
      <c r="D986" s="4" t="s">
        <v>40</v>
      </c>
      <c r="E986" s="4" t="s">
        <v>25</v>
      </c>
      <c r="F986" s="4" t="s">
        <v>25</v>
      </c>
      <c r="G986" s="4" t="s">
        <v>25</v>
      </c>
      <c r="H986" s="4" t="s">
        <v>25</v>
      </c>
      <c r="I986" s="5">
        <v>44501</v>
      </c>
      <c r="J986" s="6">
        <v>0</v>
      </c>
      <c r="K986" s="6">
        <v>0</v>
      </c>
      <c r="L986" s="6">
        <v>41.097000000000001</v>
      </c>
      <c r="M986" s="6">
        <v>41.097000000000001</v>
      </c>
      <c r="N986" s="6">
        <v>41.097000000000001</v>
      </c>
      <c r="O986" s="6">
        <v>41.097000000000001</v>
      </c>
      <c r="P986" s="6">
        <v>145</v>
      </c>
      <c r="Q986" s="4" t="s">
        <v>26</v>
      </c>
      <c r="R986" s="4">
        <v>0</v>
      </c>
      <c r="S986" s="4" t="s">
        <v>298</v>
      </c>
      <c r="T986" s="4" t="s">
        <v>423</v>
      </c>
      <c r="U986" s="4">
        <v>0</v>
      </c>
      <c r="V986" s="4">
        <v>17</v>
      </c>
      <c r="W986" s="4">
        <v>89</v>
      </c>
    </row>
    <row r="987" spans="1:23" ht="11.25" customHeight="1" x14ac:dyDescent="0.25">
      <c r="A987" s="4" t="s">
        <v>21</v>
      </c>
      <c r="B987" s="4" t="s">
        <v>33</v>
      </c>
      <c r="C987" s="4" t="s">
        <v>23</v>
      </c>
      <c r="D987" s="4" t="s">
        <v>40</v>
      </c>
      <c r="E987" s="4" t="s">
        <v>25</v>
      </c>
      <c r="F987" s="4" t="s">
        <v>25</v>
      </c>
      <c r="G987" s="4" t="s">
        <v>25</v>
      </c>
      <c r="H987" s="4" t="s">
        <v>25</v>
      </c>
      <c r="I987" s="5">
        <v>44531</v>
      </c>
      <c r="J987" s="6">
        <v>0</v>
      </c>
      <c r="K987" s="6">
        <v>0</v>
      </c>
      <c r="L987" s="6">
        <v>1080.982</v>
      </c>
      <c r="M987" s="6">
        <v>1080.982</v>
      </c>
      <c r="N987" s="6">
        <v>1080.982</v>
      </c>
      <c r="O987" s="6">
        <v>1080.982</v>
      </c>
      <c r="P987" s="6">
        <v>2215</v>
      </c>
      <c r="Q987" s="4" t="s">
        <v>26</v>
      </c>
      <c r="R987" s="4">
        <v>0</v>
      </c>
      <c r="S987" s="4" t="s">
        <v>299</v>
      </c>
      <c r="T987" s="4" t="s">
        <v>424</v>
      </c>
      <c r="U987" s="4">
        <v>0</v>
      </c>
      <c r="V987" s="4">
        <v>17</v>
      </c>
      <c r="W987" s="4">
        <v>89</v>
      </c>
    </row>
    <row r="988" spans="1:23" ht="11.25" customHeight="1" x14ac:dyDescent="0.25">
      <c r="A988" s="4" t="s">
        <v>27</v>
      </c>
      <c r="B988" s="4" t="s">
        <v>33</v>
      </c>
      <c r="C988" s="4" t="s">
        <v>23</v>
      </c>
      <c r="D988" s="4" t="s">
        <v>40</v>
      </c>
      <c r="E988" s="4" t="s">
        <v>25</v>
      </c>
      <c r="F988" s="4" t="s">
        <v>25</v>
      </c>
      <c r="G988" s="4" t="s">
        <v>25</v>
      </c>
      <c r="H988" s="4" t="s">
        <v>25</v>
      </c>
      <c r="I988" s="5">
        <v>44531</v>
      </c>
      <c r="J988" s="6">
        <v>0</v>
      </c>
      <c r="K988" s="6">
        <v>0</v>
      </c>
      <c r="L988" s="6">
        <v>-5.9909999999999997</v>
      </c>
      <c r="M988" s="6">
        <v>-5.9909999999999997</v>
      </c>
      <c r="N988" s="6">
        <v>-5.9909999999999997</v>
      </c>
      <c r="O988" s="6">
        <v>-5.9909999999999997</v>
      </c>
      <c r="P988" s="6">
        <v>-2</v>
      </c>
      <c r="Q988" s="4" t="s">
        <v>26</v>
      </c>
      <c r="R988" s="4">
        <v>0</v>
      </c>
      <c r="S988" s="4" t="s">
        <v>299</v>
      </c>
      <c r="T988" s="4" t="s">
        <v>424</v>
      </c>
      <c r="U988" s="4">
        <v>0</v>
      </c>
      <c r="V988" s="4">
        <v>17</v>
      </c>
      <c r="W988" s="4">
        <v>89</v>
      </c>
    </row>
    <row r="989" spans="1:23" ht="11.25" customHeight="1" x14ac:dyDescent="0.25">
      <c r="A989" s="4" t="s">
        <v>21</v>
      </c>
      <c r="B989" s="4" t="s">
        <v>33</v>
      </c>
      <c r="C989" s="4" t="s">
        <v>23</v>
      </c>
      <c r="D989" s="4" t="s">
        <v>40</v>
      </c>
      <c r="E989" s="4" t="s">
        <v>25</v>
      </c>
      <c r="F989" s="4" t="s">
        <v>25</v>
      </c>
      <c r="G989" s="4" t="s">
        <v>25</v>
      </c>
      <c r="H989" s="4" t="s">
        <v>25</v>
      </c>
      <c r="I989" s="5">
        <v>44562</v>
      </c>
      <c r="J989" s="6">
        <v>0</v>
      </c>
      <c r="K989" s="6">
        <v>0</v>
      </c>
      <c r="L989" s="6">
        <v>1296.5409999999999</v>
      </c>
      <c r="M989" s="6">
        <v>1296.5409999999999</v>
      </c>
      <c r="N989" s="6">
        <v>1296.5409999999999</v>
      </c>
      <c r="O989" s="6">
        <v>1296.5409999999999</v>
      </c>
      <c r="P989" s="6">
        <v>2213</v>
      </c>
      <c r="Q989" s="4" t="s">
        <v>26</v>
      </c>
      <c r="R989" s="4">
        <v>0</v>
      </c>
      <c r="S989" s="4" t="s">
        <v>300</v>
      </c>
      <c r="T989" s="4" t="s">
        <v>425</v>
      </c>
      <c r="U989" s="4">
        <v>0</v>
      </c>
      <c r="V989" s="4">
        <v>17</v>
      </c>
      <c r="W989" s="4">
        <v>89</v>
      </c>
    </row>
    <row r="990" spans="1:23" ht="11.25" customHeight="1" x14ac:dyDescent="0.25">
      <c r="A990" s="4" t="s">
        <v>27</v>
      </c>
      <c r="B990" s="4" t="s">
        <v>33</v>
      </c>
      <c r="C990" s="4" t="s">
        <v>23</v>
      </c>
      <c r="D990" s="4" t="s">
        <v>40</v>
      </c>
      <c r="E990" s="4" t="s">
        <v>25</v>
      </c>
      <c r="F990" s="4" t="s">
        <v>25</v>
      </c>
      <c r="G990" s="4" t="s">
        <v>25</v>
      </c>
      <c r="H990" s="4" t="s">
        <v>25</v>
      </c>
      <c r="I990" s="5">
        <v>44562</v>
      </c>
      <c r="J990" s="6">
        <v>0</v>
      </c>
      <c r="K990" s="6">
        <v>0</v>
      </c>
      <c r="L990" s="6">
        <v>-0.69299999999999995</v>
      </c>
      <c r="M990" s="6">
        <v>-0.69299999999999995</v>
      </c>
      <c r="N990" s="6">
        <v>-0.69299999999999995</v>
      </c>
      <c r="O990" s="6">
        <v>-0.69299999999999995</v>
      </c>
      <c r="P990" s="6">
        <v>-1</v>
      </c>
      <c r="Q990" s="4" t="s">
        <v>26</v>
      </c>
      <c r="R990" s="4">
        <v>0</v>
      </c>
      <c r="S990" s="4" t="s">
        <v>300</v>
      </c>
      <c r="T990" s="4" t="s">
        <v>425</v>
      </c>
      <c r="U990" s="4">
        <v>0</v>
      </c>
      <c r="V990" s="4">
        <v>17</v>
      </c>
      <c r="W990" s="4">
        <v>89</v>
      </c>
    </row>
    <row r="991" spans="1:23" ht="11.25" customHeight="1" x14ac:dyDescent="0.25">
      <c r="A991" s="4" t="s">
        <v>28</v>
      </c>
      <c r="B991" s="4" t="s">
        <v>33</v>
      </c>
      <c r="C991" s="4" t="s">
        <v>23</v>
      </c>
      <c r="D991" s="4" t="s">
        <v>40</v>
      </c>
      <c r="E991" s="4" t="s">
        <v>25</v>
      </c>
      <c r="F991" s="4" t="s">
        <v>25</v>
      </c>
      <c r="G991" s="4" t="s">
        <v>25</v>
      </c>
      <c r="H991" s="4" t="s">
        <v>25</v>
      </c>
      <c r="I991" s="5">
        <v>44562</v>
      </c>
      <c r="J991" s="6">
        <v>0</v>
      </c>
      <c r="K991" s="6">
        <v>0</v>
      </c>
      <c r="L991" s="6">
        <v>60.875</v>
      </c>
      <c r="M991" s="6">
        <v>60.875</v>
      </c>
      <c r="N991" s="6">
        <v>60.875</v>
      </c>
      <c r="O991" s="6">
        <v>60.875</v>
      </c>
      <c r="P991" s="6">
        <v>159</v>
      </c>
      <c r="Q991" s="4" t="s">
        <v>26</v>
      </c>
      <c r="R991" s="4">
        <v>0</v>
      </c>
      <c r="S991" s="4" t="s">
        <v>300</v>
      </c>
      <c r="T991" s="4" t="s">
        <v>425</v>
      </c>
      <c r="U991" s="4">
        <v>0</v>
      </c>
      <c r="V991" s="4">
        <v>17</v>
      </c>
      <c r="W991" s="4">
        <v>89</v>
      </c>
    </row>
    <row r="992" spans="1:23" ht="11.25" customHeight="1" x14ac:dyDescent="0.25">
      <c r="A992" s="4" t="s">
        <v>21</v>
      </c>
      <c r="B992" s="4" t="s">
        <v>33</v>
      </c>
      <c r="C992" s="4" t="s">
        <v>23</v>
      </c>
      <c r="D992" s="4" t="s">
        <v>40</v>
      </c>
      <c r="E992" s="4" t="s">
        <v>25</v>
      </c>
      <c r="F992" s="4" t="s">
        <v>25</v>
      </c>
      <c r="G992" s="4" t="s">
        <v>25</v>
      </c>
      <c r="H992" s="4" t="s">
        <v>25</v>
      </c>
      <c r="I992" s="5">
        <v>44593</v>
      </c>
      <c r="J992" s="6">
        <v>0</v>
      </c>
      <c r="K992" s="6">
        <v>0</v>
      </c>
      <c r="L992" s="6">
        <v>1223.2349999999999</v>
      </c>
      <c r="M992" s="6">
        <v>1223.2349999999999</v>
      </c>
      <c r="N992" s="6">
        <v>1223.2349999999999</v>
      </c>
      <c r="O992" s="6">
        <v>1223.2349999999999</v>
      </c>
      <c r="P992" s="6">
        <v>2220</v>
      </c>
      <c r="Q992" s="4" t="s">
        <v>26</v>
      </c>
      <c r="R992" s="4">
        <v>0</v>
      </c>
      <c r="S992" s="4" t="s">
        <v>301</v>
      </c>
      <c r="T992" s="4" t="s">
        <v>426</v>
      </c>
      <c r="U992" s="4">
        <v>0</v>
      </c>
      <c r="V992" s="4">
        <v>17</v>
      </c>
      <c r="W992" s="4">
        <v>89</v>
      </c>
    </row>
    <row r="993" spans="1:23" ht="11.25" customHeight="1" x14ac:dyDescent="0.25">
      <c r="A993" s="4" t="s">
        <v>27</v>
      </c>
      <c r="B993" s="4" t="s">
        <v>33</v>
      </c>
      <c r="C993" s="4" t="s">
        <v>23</v>
      </c>
      <c r="D993" s="4" t="s">
        <v>40</v>
      </c>
      <c r="E993" s="4" t="s">
        <v>25</v>
      </c>
      <c r="F993" s="4" t="s">
        <v>25</v>
      </c>
      <c r="G993" s="4" t="s">
        <v>25</v>
      </c>
      <c r="H993" s="4" t="s">
        <v>25</v>
      </c>
      <c r="I993" s="5">
        <v>44593</v>
      </c>
      <c r="J993" s="6">
        <v>0</v>
      </c>
      <c r="K993" s="6">
        <v>0</v>
      </c>
      <c r="L993" s="6">
        <v>-2.3679999999999999</v>
      </c>
      <c r="M993" s="6">
        <v>-2.3679999999999999</v>
      </c>
      <c r="N993" s="6">
        <v>-2.3679999999999999</v>
      </c>
      <c r="O993" s="6">
        <v>-2.3679999999999999</v>
      </c>
      <c r="P993" s="6">
        <v>-1</v>
      </c>
      <c r="Q993" s="4" t="s">
        <v>26</v>
      </c>
      <c r="R993" s="4">
        <v>0</v>
      </c>
      <c r="S993" s="4" t="s">
        <v>301</v>
      </c>
      <c r="T993" s="4" t="s">
        <v>426</v>
      </c>
      <c r="U993" s="4">
        <v>0</v>
      </c>
      <c r="V993" s="4">
        <v>17</v>
      </c>
      <c r="W993" s="4">
        <v>89</v>
      </c>
    </row>
    <row r="994" spans="1:23" ht="11.25" customHeight="1" x14ac:dyDescent="0.25">
      <c r="A994" s="4" t="s">
        <v>28</v>
      </c>
      <c r="B994" s="4" t="s">
        <v>33</v>
      </c>
      <c r="C994" s="4" t="s">
        <v>23</v>
      </c>
      <c r="D994" s="4" t="s">
        <v>40</v>
      </c>
      <c r="E994" s="4" t="s">
        <v>25</v>
      </c>
      <c r="F994" s="4" t="s">
        <v>25</v>
      </c>
      <c r="G994" s="4" t="s">
        <v>25</v>
      </c>
      <c r="H994" s="4" t="s">
        <v>25</v>
      </c>
      <c r="I994" s="5">
        <v>44593</v>
      </c>
      <c r="J994" s="6">
        <v>0</v>
      </c>
      <c r="K994" s="6">
        <v>0</v>
      </c>
      <c r="L994" s="6">
        <v>69.141000000000005</v>
      </c>
      <c r="M994" s="6">
        <v>69.141000000000005</v>
      </c>
      <c r="N994" s="6">
        <v>69.141000000000005</v>
      </c>
      <c r="O994" s="6">
        <v>69.141000000000005</v>
      </c>
      <c r="P994" s="6">
        <v>164</v>
      </c>
      <c r="Q994" s="4" t="s">
        <v>26</v>
      </c>
      <c r="R994" s="4">
        <v>0</v>
      </c>
      <c r="S994" s="4" t="s">
        <v>301</v>
      </c>
      <c r="T994" s="4" t="s">
        <v>426</v>
      </c>
      <c r="U994" s="4">
        <v>0</v>
      </c>
      <c r="V994" s="4">
        <v>17</v>
      </c>
      <c r="W994" s="4">
        <v>89</v>
      </c>
    </row>
    <row r="995" spans="1:23" ht="11.25" customHeight="1" x14ac:dyDescent="0.25">
      <c r="A995" s="4" t="s">
        <v>21</v>
      </c>
      <c r="B995" s="4" t="s">
        <v>33</v>
      </c>
      <c r="C995" s="4" t="s">
        <v>23</v>
      </c>
      <c r="D995" s="4" t="s">
        <v>40</v>
      </c>
      <c r="E995" s="4" t="s">
        <v>25</v>
      </c>
      <c r="F995" s="4" t="s">
        <v>25</v>
      </c>
      <c r="G995" s="4" t="s">
        <v>25</v>
      </c>
      <c r="H995" s="4" t="s">
        <v>25</v>
      </c>
      <c r="I995" s="5">
        <v>44621</v>
      </c>
      <c r="J995" s="6">
        <v>0</v>
      </c>
      <c r="K995" s="6">
        <v>0</v>
      </c>
      <c r="L995" s="6">
        <v>1206.835</v>
      </c>
      <c r="M995" s="6">
        <v>1206.835</v>
      </c>
      <c r="N995" s="6">
        <v>1206.835</v>
      </c>
      <c r="O995" s="6">
        <v>1206.835</v>
      </c>
      <c r="P995" s="6">
        <v>2222</v>
      </c>
      <c r="Q995" s="4" t="s">
        <v>26</v>
      </c>
      <c r="R995" s="4">
        <v>0</v>
      </c>
      <c r="S995" s="4" t="s">
        <v>302</v>
      </c>
      <c r="T995" s="4" t="s">
        <v>427</v>
      </c>
      <c r="U995" s="4">
        <v>0</v>
      </c>
      <c r="V995" s="4">
        <v>17</v>
      </c>
      <c r="W995" s="4">
        <v>89</v>
      </c>
    </row>
    <row r="996" spans="1:23" ht="11.25" customHeight="1" x14ac:dyDescent="0.25">
      <c r="A996" s="4" t="s">
        <v>27</v>
      </c>
      <c r="B996" s="4" t="s">
        <v>33</v>
      </c>
      <c r="C996" s="4" t="s">
        <v>23</v>
      </c>
      <c r="D996" s="4" t="s">
        <v>40</v>
      </c>
      <c r="E996" s="4" t="s">
        <v>25</v>
      </c>
      <c r="F996" s="4" t="s">
        <v>25</v>
      </c>
      <c r="G996" s="4" t="s">
        <v>25</v>
      </c>
      <c r="H996" s="4" t="s">
        <v>25</v>
      </c>
      <c r="I996" s="5">
        <v>44621</v>
      </c>
      <c r="J996" s="6">
        <v>0</v>
      </c>
      <c r="K996" s="6">
        <v>0</v>
      </c>
      <c r="L996" s="6">
        <v>-0.67700000000000005</v>
      </c>
      <c r="M996" s="6">
        <v>-0.67700000000000005</v>
      </c>
      <c r="N996" s="6">
        <v>-0.67700000000000005</v>
      </c>
      <c r="O996" s="6">
        <v>-0.67700000000000005</v>
      </c>
      <c r="P996" s="6">
        <v>-3</v>
      </c>
      <c r="Q996" s="4" t="s">
        <v>26</v>
      </c>
      <c r="R996" s="4">
        <v>0</v>
      </c>
      <c r="S996" s="4" t="s">
        <v>302</v>
      </c>
      <c r="T996" s="4" t="s">
        <v>427</v>
      </c>
      <c r="U996" s="4">
        <v>0</v>
      </c>
      <c r="V996" s="4">
        <v>17</v>
      </c>
      <c r="W996" s="4">
        <v>89</v>
      </c>
    </row>
    <row r="997" spans="1:23" ht="11.25" customHeight="1" x14ac:dyDescent="0.25">
      <c r="A997" s="4" t="s">
        <v>28</v>
      </c>
      <c r="B997" s="4" t="s">
        <v>33</v>
      </c>
      <c r="C997" s="4" t="s">
        <v>23</v>
      </c>
      <c r="D997" s="4" t="s">
        <v>40</v>
      </c>
      <c r="E997" s="4" t="s">
        <v>25</v>
      </c>
      <c r="F997" s="4" t="s">
        <v>25</v>
      </c>
      <c r="G997" s="4" t="s">
        <v>25</v>
      </c>
      <c r="H997" s="4" t="s">
        <v>25</v>
      </c>
      <c r="I997" s="5">
        <v>44621</v>
      </c>
      <c r="J997" s="6">
        <v>0</v>
      </c>
      <c r="K997" s="6">
        <v>0</v>
      </c>
      <c r="L997" s="6">
        <v>72.168000000000006</v>
      </c>
      <c r="M997" s="6">
        <v>72.168000000000006</v>
      </c>
      <c r="N997" s="6">
        <v>72.168000000000006</v>
      </c>
      <c r="O997" s="6">
        <v>72.168000000000006</v>
      </c>
      <c r="P997" s="6">
        <v>168</v>
      </c>
      <c r="Q997" s="4" t="s">
        <v>26</v>
      </c>
      <c r="R997" s="4">
        <v>0</v>
      </c>
      <c r="S997" s="4" t="s">
        <v>302</v>
      </c>
      <c r="T997" s="4" t="s">
        <v>427</v>
      </c>
      <c r="U997" s="4">
        <v>0</v>
      </c>
      <c r="V997" s="4">
        <v>17</v>
      </c>
      <c r="W997" s="4">
        <v>89</v>
      </c>
    </row>
    <row r="998" spans="1:23" ht="11.25" customHeight="1" x14ac:dyDescent="0.25">
      <c r="A998" s="4" t="s">
        <v>21</v>
      </c>
      <c r="B998" s="4" t="s">
        <v>33</v>
      </c>
      <c r="C998" s="4" t="s">
        <v>23</v>
      </c>
      <c r="D998" s="4" t="s">
        <v>40</v>
      </c>
      <c r="E998" s="4" t="s">
        <v>25</v>
      </c>
      <c r="F998" s="4" t="s">
        <v>25</v>
      </c>
      <c r="G998" s="4" t="s">
        <v>25</v>
      </c>
      <c r="H998" s="4" t="s">
        <v>25</v>
      </c>
      <c r="I998" s="5">
        <v>44652</v>
      </c>
      <c r="J998" s="6">
        <v>0</v>
      </c>
      <c r="K998" s="6">
        <v>0</v>
      </c>
      <c r="L998" s="6">
        <v>1147.348</v>
      </c>
      <c r="M998" s="6">
        <v>1147.348</v>
      </c>
      <c r="N998" s="6">
        <v>1147.348</v>
      </c>
      <c r="O998" s="6">
        <v>1147.348</v>
      </c>
      <c r="P998" s="6">
        <v>2217</v>
      </c>
      <c r="Q998" s="4" t="s">
        <v>26</v>
      </c>
      <c r="R998" s="4">
        <v>0</v>
      </c>
      <c r="S998" s="4" t="s">
        <v>303</v>
      </c>
      <c r="T998" s="4" t="s">
        <v>428</v>
      </c>
      <c r="U998" s="4">
        <v>0</v>
      </c>
      <c r="V998" s="4">
        <v>17</v>
      </c>
      <c r="W998" s="4">
        <v>89</v>
      </c>
    </row>
    <row r="999" spans="1:23" ht="11.25" customHeight="1" x14ac:dyDescent="0.25">
      <c r="A999" s="4" t="s">
        <v>27</v>
      </c>
      <c r="B999" s="4" t="s">
        <v>33</v>
      </c>
      <c r="C999" s="4" t="s">
        <v>23</v>
      </c>
      <c r="D999" s="4" t="s">
        <v>40</v>
      </c>
      <c r="E999" s="4" t="s">
        <v>25</v>
      </c>
      <c r="F999" s="4" t="s">
        <v>25</v>
      </c>
      <c r="G999" s="4" t="s">
        <v>25</v>
      </c>
      <c r="H999" s="4" t="s">
        <v>25</v>
      </c>
      <c r="I999" s="5">
        <v>44652</v>
      </c>
      <c r="J999" s="6">
        <v>0</v>
      </c>
      <c r="K999" s="6">
        <v>0</v>
      </c>
      <c r="L999" s="6">
        <v>-40.024000000000001</v>
      </c>
      <c r="M999" s="6">
        <v>-40.024000000000001</v>
      </c>
      <c r="N999" s="6">
        <v>-40.024000000000001</v>
      </c>
      <c r="O999" s="6">
        <v>-40.024000000000001</v>
      </c>
      <c r="P999" s="6">
        <v>-2</v>
      </c>
      <c r="Q999" s="4" t="s">
        <v>26</v>
      </c>
      <c r="R999" s="4">
        <v>0</v>
      </c>
      <c r="S999" s="4" t="s">
        <v>303</v>
      </c>
      <c r="T999" s="4" t="s">
        <v>428</v>
      </c>
      <c r="U999" s="4">
        <v>0</v>
      </c>
      <c r="V999" s="4">
        <v>17</v>
      </c>
      <c r="W999" s="4">
        <v>89</v>
      </c>
    </row>
    <row r="1000" spans="1:23" ht="11.25" customHeight="1" x14ac:dyDescent="0.25">
      <c r="A1000" s="4" t="s">
        <v>28</v>
      </c>
      <c r="B1000" s="4" t="s">
        <v>33</v>
      </c>
      <c r="C1000" s="4" t="s">
        <v>23</v>
      </c>
      <c r="D1000" s="4" t="s">
        <v>40</v>
      </c>
      <c r="E1000" s="4" t="s">
        <v>25</v>
      </c>
      <c r="F1000" s="4" t="s">
        <v>25</v>
      </c>
      <c r="G1000" s="4" t="s">
        <v>25</v>
      </c>
      <c r="H1000" s="4" t="s">
        <v>25</v>
      </c>
      <c r="I1000" s="5">
        <v>44652</v>
      </c>
      <c r="J1000" s="6">
        <v>0</v>
      </c>
      <c r="K1000" s="6">
        <v>0</v>
      </c>
      <c r="L1000" s="6">
        <v>96.531000000000006</v>
      </c>
      <c r="M1000" s="6">
        <v>96.531000000000006</v>
      </c>
      <c r="N1000" s="6">
        <v>96.531000000000006</v>
      </c>
      <c r="O1000" s="6">
        <v>96.531000000000006</v>
      </c>
      <c r="P1000" s="6">
        <v>175</v>
      </c>
      <c r="Q1000" s="4" t="s">
        <v>26</v>
      </c>
      <c r="R1000" s="4">
        <v>0</v>
      </c>
      <c r="S1000" s="4" t="s">
        <v>303</v>
      </c>
      <c r="T1000" s="4" t="s">
        <v>428</v>
      </c>
      <c r="U1000" s="4">
        <v>0</v>
      </c>
      <c r="V1000" s="4">
        <v>17</v>
      </c>
      <c r="W1000" s="4">
        <v>89</v>
      </c>
    </row>
    <row r="1001" spans="1:23" ht="11.25" customHeight="1" x14ac:dyDescent="0.25">
      <c r="A1001" s="4" t="s">
        <v>21</v>
      </c>
      <c r="B1001" s="4" t="s">
        <v>33</v>
      </c>
      <c r="C1001" s="4" t="s">
        <v>23</v>
      </c>
      <c r="D1001" s="4" t="s">
        <v>40</v>
      </c>
      <c r="E1001" s="4" t="s">
        <v>25</v>
      </c>
      <c r="F1001" s="4" t="s">
        <v>25</v>
      </c>
      <c r="G1001" s="4" t="s">
        <v>25</v>
      </c>
      <c r="H1001" s="4" t="s">
        <v>25</v>
      </c>
      <c r="I1001" s="5">
        <v>44682</v>
      </c>
      <c r="J1001" s="6">
        <v>0</v>
      </c>
      <c r="K1001" s="6">
        <v>0</v>
      </c>
      <c r="L1001" s="6">
        <v>1131.5830000000001</v>
      </c>
      <c r="M1001" s="6">
        <v>1131.5830000000001</v>
      </c>
      <c r="N1001" s="6">
        <v>1131.5830000000001</v>
      </c>
      <c r="O1001" s="6">
        <v>1131.5830000000001</v>
      </c>
      <c r="P1001" s="6">
        <v>2224</v>
      </c>
      <c r="Q1001" s="4" t="s">
        <v>26</v>
      </c>
      <c r="R1001" s="4">
        <v>0</v>
      </c>
      <c r="S1001" s="4" t="s">
        <v>304</v>
      </c>
      <c r="T1001" s="4" t="s">
        <v>429</v>
      </c>
      <c r="U1001" s="4">
        <v>0</v>
      </c>
      <c r="V1001" s="4">
        <v>17</v>
      </c>
      <c r="W1001" s="4">
        <v>89</v>
      </c>
    </row>
    <row r="1002" spans="1:23" ht="11.25" customHeight="1" x14ac:dyDescent="0.25">
      <c r="A1002" s="4" t="s">
        <v>27</v>
      </c>
      <c r="B1002" s="4" t="s">
        <v>33</v>
      </c>
      <c r="C1002" s="4" t="s">
        <v>23</v>
      </c>
      <c r="D1002" s="4" t="s">
        <v>40</v>
      </c>
      <c r="E1002" s="4" t="s">
        <v>25</v>
      </c>
      <c r="F1002" s="4" t="s">
        <v>25</v>
      </c>
      <c r="G1002" s="4" t="s">
        <v>25</v>
      </c>
      <c r="H1002" s="4" t="s">
        <v>25</v>
      </c>
      <c r="I1002" s="5">
        <v>44682</v>
      </c>
      <c r="J1002" s="6">
        <v>0</v>
      </c>
      <c r="K1002" s="6">
        <v>0</v>
      </c>
      <c r="L1002" s="6">
        <v>-12.000999999999999</v>
      </c>
      <c r="M1002" s="6">
        <v>-12.000999999999999</v>
      </c>
      <c r="N1002" s="6">
        <v>-12.000999999999999</v>
      </c>
      <c r="O1002" s="6">
        <v>-12.000999999999999</v>
      </c>
      <c r="P1002" s="6">
        <v>-5</v>
      </c>
      <c r="Q1002" s="4" t="s">
        <v>26</v>
      </c>
      <c r="R1002" s="4">
        <v>0</v>
      </c>
      <c r="S1002" s="4" t="s">
        <v>304</v>
      </c>
      <c r="T1002" s="4" t="s">
        <v>429</v>
      </c>
      <c r="U1002" s="4">
        <v>0</v>
      </c>
      <c r="V1002" s="4">
        <v>17</v>
      </c>
      <c r="W1002" s="4">
        <v>89</v>
      </c>
    </row>
    <row r="1003" spans="1:23" ht="11.25" customHeight="1" x14ac:dyDescent="0.25">
      <c r="A1003" s="4" t="s">
        <v>28</v>
      </c>
      <c r="B1003" s="4" t="s">
        <v>33</v>
      </c>
      <c r="C1003" s="4" t="s">
        <v>23</v>
      </c>
      <c r="D1003" s="4" t="s">
        <v>40</v>
      </c>
      <c r="E1003" s="4" t="s">
        <v>25</v>
      </c>
      <c r="F1003" s="4" t="s">
        <v>25</v>
      </c>
      <c r="G1003" s="4" t="s">
        <v>25</v>
      </c>
      <c r="H1003" s="4" t="s">
        <v>25</v>
      </c>
      <c r="I1003" s="5">
        <v>44682</v>
      </c>
      <c r="J1003" s="6">
        <v>0</v>
      </c>
      <c r="K1003" s="6">
        <v>0</v>
      </c>
      <c r="L1003" s="6">
        <v>93.521000000000001</v>
      </c>
      <c r="M1003" s="6">
        <v>93.521000000000001</v>
      </c>
      <c r="N1003" s="6">
        <v>93.521000000000001</v>
      </c>
      <c r="O1003" s="6">
        <v>93.521000000000001</v>
      </c>
      <c r="P1003" s="6">
        <v>181</v>
      </c>
      <c r="Q1003" s="4" t="s">
        <v>26</v>
      </c>
      <c r="R1003" s="4">
        <v>0</v>
      </c>
      <c r="S1003" s="4" t="s">
        <v>304</v>
      </c>
      <c r="T1003" s="4" t="s">
        <v>429</v>
      </c>
      <c r="U1003" s="4">
        <v>0</v>
      </c>
      <c r="V1003" s="4">
        <v>17</v>
      </c>
      <c r="W1003" s="4">
        <v>89</v>
      </c>
    </row>
    <row r="1004" spans="1:23" ht="11.25" customHeight="1" x14ac:dyDescent="0.25">
      <c r="A1004" s="4" t="s">
        <v>21</v>
      </c>
      <c r="B1004" s="4" t="s">
        <v>33</v>
      </c>
      <c r="C1004" s="4" t="s">
        <v>23</v>
      </c>
      <c r="D1004" s="4" t="s">
        <v>40</v>
      </c>
      <c r="E1004" s="4" t="s">
        <v>25</v>
      </c>
      <c r="F1004" s="4" t="s">
        <v>25</v>
      </c>
      <c r="G1004" s="4" t="s">
        <v>25</v>
      </c>
      <c r="H1004" s="4" t="s">
        <v>25</v>
      </c>
      <c r="I1004" s="5">
        <v>44713</v>
      </c>
      <c r="J1004" s="6">
        <v>0</v>
      </c>
      <c r="K1004" s="6">
        <v>0</v>
      </c>
      <c r="L1004" s="6">
        <v>1098.05</v>
      </c>
      <c r="M1004" s="6">
        <v>1098.05</v>
      </c>
      <c r="N1004" s="6">
        <v>1098.05</v>
      </c>
      <c r="O1004" s="6">
        <v>1098.05</v>
      </c>
      <c r="P1004" s="6">
        <v>2233</v>
      </c>
      <c r="Q1004" s="4" t="s">
        <v>26</v>
      </c>
      <c r="R1004" s="4">
        <v>0</v>
      </c>
      <c r="S1004" s="4" t="s">
        <v>305</v>
      </c>
      <c r="T1004" s="4" t="s">
        <v>430</v>
      </c>
      <c r="U1004" s="4">
        <v>0</v>
      </c>
      <c r="V1004" s="4">
        <v>17</v>
      </c>
      <c r="W1004" s="4">
        <v>89</v>
      </c>
    </row>
    <row r="1005" spans="1:23" ht="11.25" customHeight="1" x14ac:dyDescent="0.25">
      <c r="A1005" s="4" t="s">
        <v>27</v>
      </c>
      <c r="B1005" s="4" t="s">
        <v>33</v>
      </c>
      <c r="C1005" s="4" t="s">
        <v>23</v>
      </c>
      <c r="D1005" s="4" t="s">
        <v>40</v>
      </c>
      <c r="E1005" s="4" t="s">
        <v>25</v>
      </c>
      <c r="F1005" s="4" t="s">
        <v>25</v>
      </c>
      <c r="G1005" s="4" t="s">
        <v>25</v>
      </c>
      <c r="H1005" s="4" t="s">
        <v>25</v>
      </c>
      <c r="I1005" s="5">
        <v>44713</v>
      </c>
      <c r="J1005" s="6">
        <v>0</v>
      </c>
      <c r="K1005" s="6">
        <v>0</v>
      </c>
      <c r="L1005" s="6">
        <v>-2.597</v>
      </c>
      <c r="M1005" s="6">
        <v>-2.597</v>
      </c>
      <c r="N1005" s="6">
        <v>-2.597</v>
      </c>
      <c r="O1005" s="6">
        <v>-2.597</v>
      </c>
      <c r="P1005" s="6">
        <v>-5</v>
      </c>
      <c r="Q1005" s="4" t="s">
        <v>26</v>
      </c>
      <c r="R1005" s="4">
        <v>0</v>
      </c>
      <c r="S1005" s="4" t="s">
        <v>305</v>
      </c>
      <c r="T1005" s="4" t="s">
        <v>430</v>
      </c>
      <c r="U1005" s="4">
        <v>0</v>
      </c>
      <c r="V1005" s="4">
        <v>17</v>
      </c>
      <c r="W1005" s="4">
        <v>89</v>
      </c>
    </row>
    <row r="1006" spans="1:23" ht="11.25" customHeight="1" x14ac:dyDescent="0.25">
      <c r="A1006" s="4" t="s">
        <v>28</v>
      </c>
      <c r="B1006" s="4" t="s">
        <v>33</v>
      </c>
      <c r="C1006" s="4" t="s">
        <v>23</v>
      </c>
      <c r="D1006" s="4" t="s">
        <v>40</v>
      </c>
      <c r="E1006" s="4" t="s">
        <v>25</v>
      </c>
      <c r="F1006" s="4" t="s">
        <v>25</v>
      </c>
      <c r="G1006" s="4" t="s">
        <v>25</v>
      </c>
      <c r="H1006" s="4" t="s">
        <v>25</v>
      </c>
      <c r="I1006" s="5">
        <v>44713</v>
      </c>
      <c r="J1006" s="6">
        <v>0</v>
      </c>
      <c r="K1006" s="6">
        <v>0</v>
      </c>
      <c r="L1006" s="6">
        <v>105.077</v>
      </c>
      <c r="M1006" s="6">
        <v>105.077</v>
      </c>
      <c r="N1006" s="6">
        <v>105.077</v>
      </c>
      <c r="O1006" s="6">
        <v>105.077</v>
      </c>
      <c r="P1006" s="6">
        <v>185</v>
      </c>
      <c r="Q1006" s="4" t="s">
        <v>26</v>
      </c>
      <c r="R1006" s="4">
        <v>0</v>
      </c>
      <c r="S1006" s="4" t="s">
        <v>305</v>
      </c>
      <c r="T1006" s="4" t="s">
        <v>430</v>
      </c>
      <c r="U1006" s="4">
        <v>0</v>
      </c>
      <c r="V1006" s="4">
        <v>17</v>
      </c>
      <c r="W1006" s="4">
        <v>89</v>
      </c>
    </row>
    <row r="1007" spans="1:23" ht="11.25" customHeight="1" x14ac:dyDescent="0.25">
      <c r="A1007" s="4" t="s">
        <v>21</v>
      </c>
      <c r="B1007" s="4" t="s">
        <v>33</v>
      </c>
      <c r="C1007" s="4" t="s">
        <v>23</v>
      </c>
      <c r="D1007" s="4" t="s">
        <v>49</v>
      </c>
      <c r="E1007" s="4" t="s">
        <v>25</v>
      </c>
      <c r="F1007" s="4" t="s">
        <v>25</v>
      </c>
      <c r="G1007" s="4" t="s">
        <v>25</v>
      </c>
      <c r="H1007" s="4" t="s">
        <v>25</v>
      </c>
      <c r="I1007" s="5">
        <v>44378</v>
      </c>
      <c r="J1007" s="6">
        <v>0</v>
      </c>
      <c r="K1007" s="6">
        <v>0</v>
      </c>
      <c r="L1007" s="6">
        <v>16.654</v>
      </c>
      <c r="M1007" s="6">
        <v>16.654</v>
      </c>
      <c r="N1007" s="6">
        <v>16.654</v>
      </c>
      <c r="O1007" s="6">
        <v>16.654</v>
      </c>
      <c r="P1007" s="6">
        <v>13</v>
      </c>
      <c r="Q1007" s="4" t="s">
        <v>26</v>
      </c>
      <c r="R1007" s="4">
        <v>0</v>
      </c>
      <c r="S1007" s="4" t="s">
        <v>294</v>
      </c>
      <c r="T1007" s="4" t="s">
        <v>419</v>
      </c>
      <c r="U1007" s="4">
        <v>0</v>
      </c>
      <c r="V1007" s="4">
        <v>17</v>
      </c>
      <c r="W1007" s="4">
        <v>89</v>
      </c>
    </row>
    <row r="1008" spans="1:23" ht="11.25" customHeight="1" x14ac:dyDescent="0.25">
      <c r="A1008" s="4" t="s">
        <v>21</v>
      </c>
      <c r="B1008" s="4" t="s">
        <v>33</v>
      </c>
      <c r="C1008" s="4" t="s">
        <v>23</v>
      </c>
      <c r="D1008" s="4" t="s">
        <v>49</v>
      </c>
      <c r="E1008" s="4" t="s">
        <v>25</v>
      </c>
      <c r="F1008" s="4" t="s">
        <v>25</v>
      </c>
      <c r="G1008" s="4" t="s">
        <v>25</v>
      </c>
      <c r="H1008" s="4" t="s">
        <v>25</v>
      </c>
      <c r="I1008" s="5">
        <v>44409</v>
      </c>
      <c r="J1008" s="6">
        <v>0</v>
      </c>
      <c r="K1008" s="6">
        <v>0</v>
      </c>
      <c r="L1008" s="6">
        <v>17.527999999999999</v>
      </c>
      <c r="M1008" s="6">
        <v>17.527999999999999</v>
      </c>
      <c r="N1008" s="6">
        <v>17.527999999999999</v>
      </c>
      <c r="O1008" s="6">
        <v>17.527999999999999</v>
      </c>
      <c r="P1008" s="6">
        <v>13</v>
      </c>
      <c r="Q1008" s="4" t="s">
        <v>26</v>
      </c>
      <c r="R1008" s="4">
        <v>0</v>
      </c>
      <c r="S1008" s="4" t="s">
        <v>295</v>
      </c>
      <c r="T1008" s="4" t="s">
        <v>420</v>
      </c>
      <c r="U1008" s="4">
        <v>0</v>
      </c>
      <c r="V1008" s="4">
        <v>17</v>
      </c>
      <c r="W1008" s="4">
        <v>89</v>
      </c>
    </row>
    <row r="1009" spans="1:23" ht="11.25" customHeight="1" x14ac:dyDescent="0.25">
      <c r="A1009" s="4" t="s">
        <v>21</v>
      </c>
      <c r="B1009" s="4" t="s">
        <v>33</v>
      </c>
      <c r="C1009" s="4" t="s">
        <v>23</v>
      </c>
      <c r="D1009" s="4" t="s">
        <v>49</v>
      </c>
      <c r="E1009" s="4" t="s">
        <v>25</v>
      </c>
      <c r="F1009" s="4" t="s">
        <v>25</v>
      </c>
      <c r="G1009" s="4" t="s">
        <v>25</v>
      </c>
      <c r="H1009" s="4" t="s">
        <v>25</v>
      </c>
      <c r="I1009" s="5">
        <v>44440</v>
      </c>
      <c r="J1009" s="6">
        <v>0</v>
      </c>
      <c r="K1009" s="6">
        <v>0</v>
      </c>
      <c r="L1009" s="6">
        <v>18.817</v>
      </c>
      <c r="M1009" s="6">
        <v>18.817</v>
      </c>
      <c r="N1009" s="6">
        <v>18.817</v>
      </c>
      <c r="O1009" s="6">
        <v>18.817</v>
      </c>
      <c r="P1009" s="6">
        <v>13</v>
      </c>
      <c r="Q1009" s="4" t="s">
        <v>26</v>
      </c>
      <c r="R1009" s="4">
        <v>0</v>
      </c>
      <c r="S1009" s="4" t="s">
        <v>296</v>
      </c>
      <c r="T1009" s="4" t="s">
        <v>421</v>
      </c>
      <c r="U1009" s="4">
        <v>0</v>
      </c>
      <c r="V1009" s="4">
        <v>17</v>
      </c>
      <c r="W1009" s="4">
        <v>89</v>
      </c>
    </row>
    <row r="1010" spans="1:23" ht="11.25" customHeight="1" x14ac:dyDescent="0.25">
      <c r="A1010" s="4" t="s">
        <v>21</v>
      </c>
      <c r="B1010" s="4" t="s">
        <v>33</v>
      </c>
      <c r="C1010" s="4" t="s">
        <v>23</v>
      </c>
      <c r="D1010" s="4" t="s">
        <v>49</v>
      </c>
      <c r="E1010" s="4" t="s">
        <v>25</v>
      </c>
      <c r="F1010" s="4" t="s">
        <v>25</v>
      </c>
      <c r="G1010" s="4" t="s">
        <v>25</v>
      </c>
      <c r="H1010" s="4" t="s">
        <v>25</v>
      </c>
      <c r="I1010" s="5">
        <v>44470</v>
      </c>
      <c r="J1010" s="6">
        <v>0</v>
      </c>
      <c r="K1010" s="6">
        <v>0</v>
      </c>
      <c r="L1010" s="6">
        <v>18.372</v>
      </c>
      <c r="M1010" s="6">
        <v>18.372</v>
      </c>
      <c r="N1010" s="6">
        <v>18.372</v>
      </c>
      <c r="O1010" s="6">
        <v>18.372</v>
      </c>
      <c r="P1010" s="6">
        <v>13</v>
      </c>
      <c r="Q1010" s="4" t="s">
        <v>26</v>
      </c>
      <c r="R1010" s="4">
        <v>0</v>
      </c>
      <c r="S1010" s="4" t="s">
        <v>297</v>
      </c>
      <c r="T1010" s="4" t="s">
        <v>422</v>
      </c>
      <c r="U1010" s="4">
        <v>0</v>
      </c>
      <c r="V1010" s="4">
        <v>17</v>
      </c>
      <c r="W1010" s="4">
        <v>89</v>
      </c>
    </row>
    <row r="1011" spans="1:23" ht="11.25" customHeight="1" x14ac:dyDescent="0.25">
      <c r="A1011" s="4" t="s">
        <v>21</v>
      </c>
      <c r="B1011" s="4" t="s">
        <v>33</v>
      </c>
      <c r="C1011" s="4" t="s">
        <v>23</v>
      </c>
      <c r="D1011" s="4" t="s">
        <v>49</v>
      </c>
      <c r="E1011" s="4" t="s">
        <v>25</v>
      </c>
      <c r="F1011" s="4" t="s">
        <v>25</v>
      </c>
      <c r="G1011" s="4" t="s">
        <v>25</v>
      </c>
      <c r="H1011" s="4" t="s">
        <v>25</v>
      </c>
      <c r="I1011" s="5">
        <v>44501</v>
      </c>
      <c r="J1011" s="6">
        <v>0</v>
      </c>
      <c r="K1011" s="6">
        <v>0</v>
      </c>
      <c r="L1011" s="6">
        <v>19.646000000000001</v>
      </c>
      <c r="M1011" s="6">
        <v>19.646000000000001</v>
      </c>
      <c r="N1011" s="6">
        <v>19.646000000000001</v>
      </c>
      <c r="O1011" s="6">
        <v>19.646000000000001</v>
      </c>
      <c r="P1011" s="6">
        <v>13</v>
      </c>
      <c r="Q1011" s="4" t="s">
        <v>26</v>
      </c>
      <c r="R1011" s="4">
        <v>0</v>
      </c>
      <c r="S1011" s="4" t="s">
        <v>298</v>
      </c>
      <c r="T1011" s="4" t="s">
        <v>423</v>
      </c>
      <c r="U1011" s="4">
        <v>0</v>
      </c>
      <c r="V1011" s="4">
        <v>17</v>
      </c>
      <c r="W1011" s="4">
        <v>89</v>
      </c>
    </row>
    <row r="1012" spans="1:23" ht="11.25" customHeight="1" x14ac:dyDescent="0.25">
      <c r="A1012" s="4" t="s">
        <v>21</v>
      </c>
      <c r="B1012" s="4" t="s">
        <v>33</v>
      </c>
      <c r="C1012" s="4" t="s">
        <v>23</v>
      </c>
      <c r="D1012" s="4" t="s">
        <v>49</v>
      </c>
      <c r="E1012" s="4" t="s">
        <v>25</v>
      </c>
      <c r="F1012" s="4" t="s">
        <v>25</v>
      </c>
      <c r="G1012" s="4" t="s">
        <v>25</v>
      </c>
      <c r="H1012" s="4" t="s">
        <v>25</v>
      </c>
      <c r="I1012" s="5">
        <v>44531</v>
      </c>
      <c r="J1012" s="6">
        <v>0</v>
      </c>
      <c r="K1012" s="6">
        <v>0</v>
      </c>
      <c r="L1012" s="6">
        <v>19.978000000000002</v>
      </c>
      <c r="M1012" s="6">
        <v>19.978000000000002</v>
      </c>
      <c r="N1012" s="6">
        <v>19.978000000000002</v>
      </c>
      <c r="O1012" s="6">
        <v>19.978000000000002</v>
      </c>
      <c r="P1012" s="6">
        <v>14</v>
      </c>
      <c r="Q1012" s="4" t="s">
        <v>26</v>
      </c>
      <c r="R1012" s="4">
        <v>0</v>
      </c>
      <c r="S1012" s="4" t="s">
        <v>299</v>
      </c>
      <c r="T1012" s="4" t="s">
        <v>424</v>
      </c>
      <c r="U1012" s="4">
        <v>0</v>
      </c>
      <c r="V1012" s="4">
        <v>17</v>
      </c>
      <c r="W1012" s="4">
        <v>89</v>
      </c>
    </row>
    <row r="1013" spans="1:23" ht="11.25" customHeight="1" x14ac:dyDescent="0.25">
      <c r="A1013" s="4" t="s">
        <v>21</v>
      </c>
      <c r="B1013" s="4" t="s">
        <v>33</v>
      </c>
      <c r="C1013" s="4" t="s">
        <v>23</v>
      </c>
      <c r="D1013" s="4" t="s">
        <v>49</v>
      </c>
      <c r="E1013" s="4" t="s">
        <v>25</v>
      </c>
      <c r="F1013" s="4" t="s">
        <v>25</v>
      </c>
      <c r="G1013" s="4" t="s">
        <v>25</v>
      </c>
      <c r="H1013" s="4" t="s">
        <v>25</v>
      </c>
      <c r="I1013" s="5">
        <v>44562</v>
      </c>
      <c r="J1013" s="6">
        <v>0</v>
      </c>
      <c r="K1013" s="6">
        <v>0</v>
      </c>
      <c r="L1013" s="6">
        <v>24.887</v>
      </c>
      <c r="M1013" s="6">
        <v>24.887</v>
      </c>
      <c r="N1013" s="6">
        <v>24.887</v>
      </c>
      <c r="O1013" s="6">
        <v>24.887</v>
      </c>
      <c r="P1013" s="6">
        <v>14</v>
      </c>
      <c r="Q1013" s="4" t="s">
        <v>26</v>
      </c>
      <c r="R1013" s="4">
        <v>0</v>
      </c>
      <c r="S1013" s="4" t="s">
        <v>300</v>
      </c>
      <c r="T1013" s="4" t="s">
        <v>425</v>
      </c>
      <c r="U1013" s="4">
        <v>0</v>
      </c>
      <c r="V1013" s="4">
        <v>17</v>
      </c>
      <c r="W1013" s="4">
        <v>89</v>
      </c>
    </row>
    <row r="1014" spans="1:23" ht="11.25" customHeight="1" x14ac:dyDescent="0.25">
      <c r="A1014" s="4" t="s">
        <v>21</v>
      </c>
      <c r="B1014" s="4" t="s">
        <v>33</v>
      </c>
      <c r="C1014" s="4" t="s">
        <v>23</v>
      </c>
      <c r="D1014" s="4" t="s">
        <v>49</v>
      </c>
      <c r="E1014" s="4" t="s">
        <v>25</v>
      </c>
      <c r="F1014" s="4" t="s">
        <v>25</v>
      </c>
      <c r="G1014" s="4" t="s">
        <v>25</v>
      </c>
      <c r="H1014" s="4" t="s">
        <v>25</v>
      </c>
      <c r="I1014" s="5">
        <v>44593</v>
      </c>
      <c r="J1014" s="6">
        <v>0</v>
      </c>
      <c r="K1014" s="6">
        <v>0</v>
      </c>
      <c r="L1014" s="6">
        <v>24.308</v>
      </c>
      <c r="M1014" s="6">
        <v>24.308</v>
      </c>
      <c r="N1014" s="6">
        <v>24.308</v>
      </c>
      <c r="O1014" s="6">
        <v>24.308</v>
      </c>
      <c r="P1014" s="6">
        <v>14</v>
      </c>
      <c r="Q1014" s="4" t="s">
        <v>26</v>
      </c>
      <c r="R1014" s="4">
        <v>0</v>
      </c>
      <c r="S1014" s="4" t="s">
        <v>301</v>
      </c>
      <c r="T1014" s="4" t="s">
        <v>426</v>
      </c>
      <c r="U1014" s="4">
        <v>0</v>
      </c>
      <c r="V1014" s="4">
        <v>17</v>
      </c>
      <c r="W1014" s="4">
        <v>89</v>
      </c>
    </row>
    <row r="1015" spans="1:23" ht="11.25" customHeight="1" x14ac:dyDescent="0.25">
      <c r="A1015" s="4" t="s">
        <v>21</v>
      </c>
      <c r="B1015" s="4" t="s">
        <v>33</v>
      </c>
      <c r="C1015" s="4" t="s">
        <v>23</v>
      </c>
      <c r="D1015" s="4" t="s">
        <v>49</v>
      </c>
      <c r="E1015" s="4" t="s">
        <v>25</v>
      </c>
      <c r="F1015" s="4" t="s">
        <v>25</v>
      </c>
      <c r="G1015" s="4" t="s">
        <v>25</v>
      </c>
      <c r="H1015" s="4" t="s">
        <v>25</v>
      </c>
      <c r="I1015" s="5">
        <v>44621</v>
      </c>
      <c r="J1015" s="6">
        <v>0</v>
      </c>
      <c r="K1015" s="6">
        <v>0</v>
      </c>
      <c r="L1015" s="6">
        <v>19.253</v>
      </c>
      <c r="M1015" s="6">
        <v>19.253</v>
      </c>
      <c r="N1015" s="6">
        <v>19.253</v>
      </c>
      <c r="O1015" s="6">
        <v>19.253</v>
      </c>
      <c r="P1015" s="6">
        <v>14</v>
      </c>
      <c r="Q1015" s="4" t="s">
        <v>26</v>
      </c>
      <c r="R1015" s="4">
        <v>0</v>
      </c>
      <c r="S1015" s="4" t="s">
        <v>302</v>
      </c>
      <c r="T1015" s="4" t="s">
        <v>427</v>
      </c>
      <c r="U1015" s="4">
        <v>0</v>
      </c>
      <c r="V1015" s="4">
        <v>17</v>
      </c>
      <c r="W1015" s="4">
        <v>89</v>
      </c>
    </row>
    <row r="1016" spans="1:23" ht="11.25" customHeight="1" x14ac:dyDescent="0.25">
      <c r="A1016" s="4" t="s">
        <v>21</v>
      </c>
      <c r="B1016" s="4" t="s">
        <v>33</v>
      </c>
      <c r="C1016" s="4" t="s">
        <v>23</v>
      </c>
      <c r="D1016" s="4" t="s">
        <v>49</v>
      </c>
      <c r="E1016" s="4" t="s">
        <v>25</v>
      </c>
      <c r="F1016" s="4" t="s">
        <v>25</v>
      </c>
      <c r="G1016" s="4" t="s">
        <v>25</v>
      </c>
      <c r="H1016" s="4" t="s">
        <v>25</v>
      </c>
      <c r="I1016" s="5">
        <v>44652</v>
      </c>
      <c r="J1016" s="6">
        <v>0</v>
      </c>
      <c r="K1016" s="6">
        <v>0</v>
      </c>
      <c r="L1016" s="6">
        <v>20.044</v>
      </c>
      <c r="M1016" s="6">
        <v>20.044</v>
      </c>
      <c r="N1016" s="6">
        <v>20.044</v>
      </c>
      <c r="O1016" s="6">
        <v>20.044</v>
      </c>
      <c r="P1016" s="6">
        <v>14</v>
      </c>
      <c r="Q1016" s="4" t="s">
        <v>26</v>
      </c>
      <c r="R1016" s="4">
        <v>0</v>
      </c>
      <c r="S1016" s="4" t="s">
        <v>303</v>
      </c>
      <c r="T1016" s="4" t="s">
        <v>428</v>
      </c>
      <c r="U1016" s="4">
        <v>0</v>
      </c>
      <c r="V1016" s="4">
        <v>17</v>
      </c>
      <c r="W1016" s="4">
        <v>89</v>
      </c>
    </row>
    <row r="1017" spans="1:23" ht="11.25" customHeight="1" x14ac:dyDescent="0.25">
      <c r="A1017" s="4" t="s">
        <v>21</v>
      </c>
      <c r="B1017" s="4" t="s">
        <v>33</v>
      </c>
      <c r="C1017" s="4" t="s">
        <v>23</v>
      </c>
      <c r="D1017" s="4" t="s">
        <v>49</v>
      </c>
      <c r="E1017" s="4" t="s">
        <v>25</v>
      </c>
      <c r="F1017" s="4" t="s">
        <v>25</v>
      </c>
      <c r="G1017" s="4" t="s">
        <v>25</v>
      </c>
      <c r="H1017" s="4" t="s">
        <v>25</v>
      </c>
      <c r="I1017" s="5">
        <v>44682</v>
      </c>
      <c r="J1017" s="6">
        <v>0</v>
      </c>
      <c r="K1017" s="6">
        <v>0</v>
      </c>
      <c r="L1017" s="6">
        <v>17.527000000000001</v>
      </c>
      <c r="M1017" s="6">
        <v>17.527000000000001</v>
      </c>
      <c r="N1017" s="6">
        <v>17.527000000000001</v>
      </c>
      <c r="O1017" s="6">
        <v>17.527000000000001</v>
      </c>
      <c r="P1017" s="6">
        <v>14</v>
      </c>
      <c r="Q1017" s="4" t="s">
        <v>26</v>
      </c>
      <c r="R1017" s="4">
        <v>0</v>
      </c>
      <c r="S1017" s="4" t="s">
        <v>304</v>
      </c>
      <c r="T1017" s="4" t="s">
        <v>429</v>
      </c>
      <c r="U1017" s="4">
        <v>0</v>
      </c>
      <c r="V1017" s="4">
        <v>17</v>
      </c>
      <c r="W1017" s="4">
        <v>89</v>
      </c>
    </row>
    <row r="1018" spans="1:23" ht="11.25" customHeight="1" x14ac:dyDescent="0.25">
      <c r="A1018" s="4" t="s">
        <v>21</v>
      </c>
      <c r="B1018" s="4" t="s">
        <v>33</v>
      </c>
      <c r="C1018" s="4" t="s">
        <v>23</v>
      </c>
      <c r="D1018" s="4" t="s">
        <v>49</v>
      </c>
      <c r="E1018" s="4" t="s">
        <v>25</v>
      </c>
      <c r="F1018" s="4" t="s">
        <v>25</v>
      </c>
      <c r="G1018" s="4" t="s">
        <v>25</v>
      </c>
      <c r="H1018" s="4" t="s">
        <v>25</v>
      </c>
      <c r="I1018" s="5">
        <v>44713</v>
      </c>
      <c r="J1018" s="6">
        <v>0</v>
      </c>
      <c r="K1018" s="6">
        <v>0</v>
      </c>
      <c r="L1018" s="6">
        <v>19.677</v>
      </c>
      <c r="M1018" s="6">
        <v>19.677</v>
      </c>
      <c r="N1018" s="6">
        <v>19.677</v>
      </c>
      <c r="O1018" s="6">
        <v>19.677</v>
      </c>
      <c r="P1018" s="6">
        <v>14</v>
      </c>
      <c r="Q1018" s="4" t="s">
        <v>26</v>
      </c>
      <c r="R1018" s="4">
        <v>0</v>
      </c>
      <c r="S1018" s="4" t="s">
        <v>305</v>
      </c>
      <c r="T1018" s="4" t="s">
        <v>430</v>
      </c>
      <c r="U1018" s="4">
        <v>0</v>
      </c>
      <c r="V1018" s="4">
        <v>17</v>
      </c>
      <c r="W1018" s="4">
        <v>89</v>
      </c>
    </row>
    <row r="1019" spans="1:23" ht="11.25" customHeight="1" x14ac:dyDescent="0.25">
      <c r="A1019" s="4" t="s">
        <v>21</v>
      </c>
      <c r="B1019" s="4" t="s">
        <v>33</v>
      </c>
      <c r="C1019" s="4" t="s">
        <v>23</v>
      </c>
      <c r="D1019" s="4" t="s">
        <v>34</v>
      </c>
      <c r="E1019" s="4" t="s">
        <v>25</v>
      </c>
      <c r="F1019" s="4" t="s">
        <v>25</v>
      </c>
      <c r="G1019" s="4" t="s">
        <v>25</v>
      </c>
      <c r="H1019" s="4" t="s">
        <v>25</v>
      </c>
      <c r="I1019" s="5">
        <v>44378</v>
      </c>
      <c r="J1019" s="6">
        <v>0</v>
      </c>
      <c r="K1019" s="6">
        <v>0</v>
      </c>
      <c r="L1019" s="6">
        <v>331.35599999999999</v>
      </c>
      <c r="M1019" s="6">
        <v>331.35599999999999</v>
      </c>
      <c r="N1019" s="6">
        <v>331.35599999999999</v>
      </c>
      <c r="O1019" s="6">
        <v>331.35599999999999</v>
      </c>
      <c r="P1019" s="6">
        <v>328</v>
      </c>
      <c r="Q1019" s="4" t="s">
        <v>26</v>
      </c>
      <c r="R1019" s="4">
        <v>0</v>
      </c>
      <c r="S1019" s="4" t="s">
        <v>294</v>
      </c>
      <c r="T1019" s="4" t="s">
        <v>419</v>
      </c>
      <c r="U1019" s="4">
        <v>0</v>
      </c>
      <c r="V1019" s="4">
        <v>17</v>
      </c>
      <c r="W1019" s="4">
        <v>89</v>
      </c>
    </row>
    <row r="1020" spans="1:23" ht="11.25" customHeight="1" x14ac:dyDescent="0.25">
      <c r="A1020" s="4" t="s">
        <v>27</v>
      </c>
      <c r="B1020" s="4" t="s">
        <v>33</v>
      </c>
      <c r="C1020" s="4" t="s">
        <v>23</v>
      </c>
      <c r="D1020" s="4" t="s">
        <v>34</v>
      </c>
      <c r="E1020" s="4" t="s">
        <v>25</v>
      </c>
      <c r="F1020" s="4" t="s">
        <v>25</v>
      </c>
      <c r="G1020" s="4" t="s">
        <v>25</v>
      </c>
      <c r="H1020" s="4" t="s">
        <v>25</v>
      </c>
      <c r="I1020" s="5">
        <v>44378</v>
      </c>
      <c r="J1020" s="6">
        <v>0</v>
      </c>
      <c r="K1020" s="6">
        <v>0</v>
      </c>
      <c r="L1020" s="6">
        <v>-0.89200000000000002</v>
      </c>
      <c r="M1020" s="6">
        <v>-0.89200000000000002</v>
      </c>
      <c r="N1020" s="6">
        <v>-0.89200000000000002</v>
      </c>
      <c r="O1020" s="6">
        <v>-0.89200000000000002</v>
      </c>
      <c r="P1020" s="6">
        <v>-3</v>
      </c>
      <c r="Q1020" s="4" t="s">
        <v>26</v>
      </c>
      <c r="R1020" s="4">
        <v>0</v>
      </c>
      <c r="S1020" s="4" t="s">
        <v>294</v>
      </c>
      <c r="T1020" s="4" t="s">
        <v>419</v>
      </c>
      <c r="U1020" s="4">
        <v>0</v>
      </c>
      <c r="V1020" s="4">
        <v>17</v>
      </c>
      <c r="W1020" s="4">
        <v>89</v>
      </c>
    </row>
    <row r="1021" spans="1:23" ht="11.25" customHeight="1" x14ac:dyDescent="0.25">
      <c r="A1021" s="4" t="s">
        <v>28</v>
      </c>
      <c r="B1021" s="4" t="s">
        <v>33</v>
      </c>
      <c r="C1021" s="4" t="s">
        <v>23</v>
      </c>
      <c r="D1021" s="4" t="s">
        <v>34</v>
      </c>
      <c r="E1021" s="4" t="s">
        <v>25</v>
      </c>
      <c r="F1021" s="4" t="s">
        <v>25</v>
      </c>
      <c r="G1021" s="4" t="s">
        <v>25</v>
      </c>
      <c r="H1021" s="4" t="s">
        <v>25</v>
      </c>
      <c r="I1021" s="5">
        <v>44378</v>
      </c>
      <c r="J1021" s="6">
        <v>0</v>
      </c>
      <c r="K1021" s="6">
        <v>0</v>
      </c>
      <c r="L1021" s="6">
        <v>63.741999999999997</v>
      </c>
      <c r="M1021" s="6">
        <v>63.741999999999997</v>
      </c>
      <c r="N1021" s="6">
        <v>63.741999999999997</v>
      </c>
      <c r="O1021" s="6">
        <v>63.741999999999997</v>
      </c>
      <c r="P1021" s="6">
        <v>30</v>
      </c>
      <c r="Q1021" s="4" t="s">
        <v>26</v>
      </c>
      <c r="R1021" s="4">
        <v>0</v>
      </c>
      <c r="S1021" s="4" t="s">
        <v>294</v>
      </c>
      <c r="T1021" s="4" t="s">
        <v>419</v>
      </c>
      <c r="U1021" s="4">
        <v>0</v>
      </c>
      <c r="V1021" s="4">
        <v>17</v>
      </c>
      <c r="W1021" s="4">
        <v>89</v>
      </c>
    </row>
    <row r="1022" spans="1:23" ht="11.25" customHeight="1" x14ac:dyDescent="0.25">
      <c r="A1022" s="4" t="s">
        <v>21</v>
      </c>
      <c r="B1022" s="4" t="s">
        <v>33</v>
      </c>
      <c r="C1022" s="4" t="s">
        <v>23</v>
      </c>
      <c r="D1022" s="4" t="s">
        <v>34</v>
      </c>
      <c r="E1022" s="4" t="s">
        <v>25</v>
      </c>
      <c r="F1022" s="4" t="s">
        <v>25</v>
      </c>
      <c r="G1022" s="4" t="s">
        <v>25</v>
      </c>
      <c r="H1022" s="4" t="s">
        <v>25</v>
      </c>
      <c r="I1022" s="5">
        <v>44409</v>
      </c>
      <c r="J1022" s="6">
        <v>0</v>
      </c>
      <c r="K1022" s="6">
        <v>0</v>
      </c>
      <c r="L1022" s="6">
        <v>374.75</v>
      </c>
      <c r="M1022" s="6">
        <v>374.75</v>
      </c>
      <c r="N1022" s="6">
        <v>374.75</v>
      </c>
      <c r="O1022" s="6">
        <v>374.75</v>
      </c>
      <c r="P1022" s="6">
        <v>331</v>
      </c>
      <c r="Q1022" s="4" t="s">
        <v>26</v>
      </c>
      <c r="R1022" s="4">
        <v>0</v>
      </c>
      <c r="S1022" s="4" t="s">
        <v>295</v>
      </c>
      <c r="T1022" s="4" t="s">
        <v>420</v>
      </c>
      <c r="U1022" s="4">
        <v>0</v>
      </c>
      <c r="V1022" s="4">
        <v>17</v>
      </c>
      <c r="W1022" s="4">
        <v>89</v>
      </c>
    </row>
    <row r="1023" spans="1:23" ht="11.25" customHeight="1" x14ac:dyDescent="0.25">
      <c r="A1023" s="4" t="s">
        <v>27</v>
      </c>
      <c r="B1023" s="4" t="s">
        <v>33</v>
      </c>
      <c r="C1023" s="4" t="s">
        <v>23</v>
      </c>
      <c r="D1023" s="4" t="s">
        <v>34</v>
      </c>
      <c r="E1023" s="4" t="s">
        <v>25</v>
      </c>
      <c r="F1023" s="4" t="s">
        <v>25</v>
      </c>
      <c r="G1023" s="4" t="s">
        <v>25</v>
      </c>
      <c r="H1023" s="4" t="s">
        <v>25</v>
      </c>
      <c r="I1023" s="5">
        <v>44409</v>
      </c>
      <c r="J1023" s="6">
        <v>0</v>
      </c>
      <c r="K1023" s="6">
        <v>0</v>
      </c>
      <c r="L1023" s="6">
        <v>-0.03</v>
      </c>
      <c r="M1023" s="6">
        <v>-0.03</v>
      </c>
      <c r="N1023" s="6">
        <v>-0.03</v>
      </c>
      <c r="O1023" s="6">
        <v>-0.03</v>
      </c>
      <c r="P1023" s="6">
        <v>-1</v>
      </c>
      <c r="Q1023" s="4" t="s">
        <v>26</v>
      </c>
      <c r="R1023" s="4">
        <v>0</v>
      </c>
      <c r="S1023" s="4" t="s">
        <v>295</v>
      </c>
      <c r="T1023" s="4" t="s">
        <v>420</v>
      </c>
      <c r="U1023" s="4">
        <v>0</v>
      </c>
      <c r="V1023" s="4">
        <v>17</v>
      </c>
      <c r="W1023" s="4">
        <v>89</v>
      </c>
    </row>
    <row r="1024" spans="1:23" ht="11.25" customHeight="1" x14ac:dyDescent="0.25">
      <c r="A1024" s="4" t="s">
        <v>28</v>
      </c>
      <c r="B1024" s="4" t="s">
        <v>33</v>
      </c>
      <c r="C1024" s="4" t="s">
        <v>23</v>
      </c>
      <c r="D1024" s="4" t="s">
        <v>34</v>
      </c>
      <c r="E1024" s="4" t="s">
        <v>25</v>
      </c>
      <c r="F1024" s="4" t="s">
        <v>25</v>
      </c>
      <c r="G1024" s="4" t="s">
        <v>25</v>
      </c>
      <c r="H1024" s="4" t="s">
        <v>25</v>
      </c>
      <c r="I1024" s="5">
        <v>44409</v>
      </c>
      <c r="J1024" s="6">
        <v>0</v>
      </c>
      <c r="K1024" s="6">
        <v>0</v>
      </c>
      <c r="L1024" s="6">
        <v>61.542000000000002</v>
      </c>
      <c r="M1024" s="6">
        <v>61.542000000000002</v>
      </c>
      <c r="N1024" s="6">
        <v>61.542000000000002</v>
      </c>
      <c r="O1024" s="6">
        <v>61.542000000000002</v>
      </c>
      <c r="P1024" s="6">
        <v>32</v>
      </c>
      <c r="Q1024" s="4" t="s">
        <v>26</v>
      </c>
      <c r="R1024" s="4">
        <v>0</v>
      </c>
      <c r="S1024" s="4" t="s">
        <v>295</v>
      </c>
      <c r="T1024" s="4" t="s">
        <v>420</v>
      </c>
      <c r="U1024" s="4">
        <v>0</v>
      </c>
      <c r="V1024" s="4">
        <v>17</v>
      </c>
      <c r="W1024" s="4">
        <v>89</v>
      </c>
    </row>
    <row r="1025" spans="1:23" ht="11.25" customHeight="1" x14ac:dyDescent="0.25">
      <c r="A1025" s="4" t="s">
        <v>21</v>
      </c>
      <c r="B1025" s="4" t="s">
        <v>33</v>
      </c>
      <c r="C1025" s="4" t="s">
        <v>23</v>
      </c>
      <c r="D1025" s="4" t="s">
        <v>34</v>
      </c>
      <c r="E1025" s="4" t="s">
        <v>25</v>
      </c>
      <c r="F1025" s="4" t="s">
        <v>25</v>
      </c>
      <c r="G1025" s="4" t="s">
        <v>25</v>
      </c>
      <c r="H1025" s="4" t="s">
        <v>25</v>
      </c>
      <c r="I1025" s="5">
        <v>44440</v>
      </c>
      <c r="J1025" s="6">
        <v>0</v>
      </c>
      <c r="K1025" s="6">
        <v>0</v>
      </c>
      <c r="L1025" s="6">
        <v>379.935</v>
      </c>
      <c r="M1025" s="6">
        <v>379.935</v>
      </c>
      <c r="N1025" s="6">
        <v>379.935</v>
      </c>
      <c r="O1025" s="6">
        <v>379.935</v>
      </c>
      <c r="P1025" s="6">
        <v>323</v>
      </c>
      <c r="Q1025" s="4" t="s">
        <v>26</v>
      </c>
      <c r="R1025" s="4">
        <v>0</v>
      </c>
      <c r="S1025" s="4" t="s">
        <v>296</v>
      </c>
      <c r="T1025" s="4" t="s">
        <v>421</v>
      </c>
      <c r="U1025" s="4">
        <v>0</v>
      </c>
      <c r="V1025" s="4">
        <v>17</v>
      </c>
      <c r="W1025" s="4">
        <v>89</v>
      </c>
    </row>
    <row r="1026" spans="1:23" ht="11.25" customHeight="1" x14ac:dyDescent="0.25">
      <c r="A1026" s="4" t="s">
        <v>27</v>
      </c>
      <c r="B1026" s="4" t="s">
        <v>33</v>
      </c>
      <c r="C1026" s="4" t="s">
        <v>23</v>
      </c>
      <c r="D1026" s="4" t="s">
        <v>34</v>
      </c>
      <c r="E1026" s="4" t="s">
        <v>25</v>
      </c>
      <c r="F1026" s="4" t="s">
        <v>25</v>
      </c>
      <c r="G1026" s="4" t="s">
        <v>25</v>
      </c>
      <c r="H1026" s="4" t="s">
        <v>25</v>
      </c>
      <c r="I1026" s="5">
        <v>44440</v>
      </c>
      <c r="J1026" s="6">
        <v>0</v>
      </c>
      <c r="K1026" s="6">
        <v>0</v>
      </c>
      <c r="L1026" s="6">
        <v>-0.2</v>
      </c>
      <c r="M1026" s="6">
        <v>-0.2</v>
      </c>
      <c r="N1026" s="6">
        <v>-0.2</v>
      </c>
      <c r="O1026" s="6">
        <v>-0.2</v>
      </c>
      <c r="P1026" s="6">
        <v>-1</v>
      </c>
      <c r="Q1026" s="4" t="s">
        <v>26</v>
      </c>
      <c r="R1026" s="4">
        <v>0</v>
      </c>
      <c r="S1026" s="4" t="s">
        <v>296</v>
      </c>
      <c r="T1026" s="4" t="s">
        <v>421</v>
      </c>
      <c r="U1026" s="4">
        <v>0</v>
      </c>
      <c r="V1026" s="4">
        <v>17</v>
      </c>
      <c r="W1026" s="4">
        <v>89</v>
      </c>
    </row>
    <row r="1027" spans="1:23" ht="11.25" customHeight="1" x14ac:dyDescent="0.25">
      <c r="A1027" s="4" t="s">
        <v>28</v>
      </c>
      <c r="B1027" s="4" t="s">
        <v>33</v>
      </c>
      <c r="C1027" s="4" t="s">
        <v>23</v>
      </c>
      <c r="D1027" s="4" t="s">
        <v>34</v>
      </c>
      <c r="E1027" s="4" t="s">
        <v>25</v>
      </c>
      <c r="F1027" s="4" t="s">
        <v>25</v>
      </c>
      <c r="G1027" s="4" t="s">
        <v>25</v>
      </c>
      <c r="H1027" s="4" t="s">
        <v>25</v>
      </c>
      <c r="I1027" s="5">
        <v>44440</v>
      </c>
      <c r="J1027" s="6">
        <v>0</v>
      </c>
      <c r="K1027" s="6">
        <v>0</v>
      </c>
      <c r="L1027" s="6">
        <v>61.863999999999997</v>
      </c>
      <c r="M1027" s="6">
        <v>61.863999999999997</v>
      </c>
      <c r="N1027" s="6">
        <v>61.863999999999997</v>
      </c>
      <c r="O1027" s="6">
        <v>61.863999999999997</v>
      </c>
      <c r="P1027" s="6">
        <v>33</v>
      </c>
      <c r="Q1027" s="4" t="s">
        <v>26</v>
      </c>
      <c r="R1027" s="4">
        <v>0</v>
      </c>
      <c r="S1027" s="4" t="s">
        <v>296</v>
      </c>
      <c r="T1027" s="4" t="s">
        <v>421</v>
      </c>
      <c r="U1027" s="4">
        <v>0</v>
      </c>
      <c r="V1027" s="4">
        <v>17</v>
      </c>
      <c r="W1027" s="4">
        <v>89</v>
      </c>
    </row>
    <row r="1028" spans="1:23" ht="11.25" customHeight="1" x14ac:dyDescent="0.25">
      <c r="A1028" s="4" t="s">
        <v>21</v>
      </c>
      <c r="B1028" s="4" t="s">
        <v>33</v>
      </c>
      <c r="C1028" s="4" t="s">
        <v>23</v>
      </c>
      <c r="D1028" s="4" t="s">
        <v>34</v>
      </c>
      <c r="E1028" s="4" t="s">
        <v>25</v>
      </c>
      <c r="F1028" s="4" t="s">
        <v>25</v>
      </c>
      <c r="G1028" s="4" t="s">
        <v>25</v>
      </c>
      <c r="H1028" s="4" t="s">
        <v>25</v>
      </c>
      <c r="I1028" s="5">
        <v>44470</v>
      </c>
      <c r="J1028" s="6">
        <v>0</v>
      </c>
      <c r="K1028" s="6">
        <v>0</v>
      </c>
      <c r="L1028" s="6">
        <v>384.80700000000002</v>
      </c>
      <c r="M1028" s="6">
        <v>384.80700000000002</v>
      </c>
      <c r="N1028" s="6">
        <v>384.80700000000002</v>
      </c>
      <c r="O1028" s="6">
        <v>384.80700000000002</v>
      </c>
      <c r="P1028" s="6">
        <v>323</v>
      </c>
      <c r="Q1028" s="4" t="s">
        <v>26</v>
      </c>
      <c r="R1028" s="4">
        <v>0</v>
      </c>
      <c r="S1028" s="4" t="s">
        <v>297</v>
      </c>
      <c r="T1028" s="4" t="s">
        <v>422</v>
      </c>
      <c r="U1028" s="4">
        <v>0</v>
      </c>
      <c r="V1028" s="4">
        <v>17</v>
      </c>
      <c r="W1028" s="4">
        <v>89</v>
      </c>
    </row>
    <row r="1029" spans="1:23" ht="11.25" customHeight="1" x14ac:dyDescent="0.25">
      <c r="A1029" s="4" t="s">
        <v>27</v>
      </c>
      <c r="B1029" s="4" t="s">
        <v>33</v>
      </c>
      <c r="C1029" s="4" t="s">
        <v>23</v>
      </c>
      <c r="D1029" s="4" t="s">
        <v>34</v>
      </c>
      <c r="E1029" s="4" t="s">
        <v>25</v>
      </c>
      <c r="F1029" s="4" t="s">
        <v>25</v>
      </c>
      <c r="G1029" s="4" t="s">
        <v>25</v>
      </c>
      <c r="H1029" s="4" t="s">
        <v>25</v>
      </c>
      <c r="I1029" s="5">
        <v>44470</v>
      </c>
      <c r="J1029" s="6">
        <v>0</v>
      </c>
      <c r="K1029" s="6">
        <v>0</v>
      </c>
      <c r="L1029" s="6">
        <v>-0.58099999999999996</v>
      </c>
      <c r="M1029" s="6">
        <v>-0.58099999999999996</v>
      </c>
      <c r="N1029" s="6">
        <v>-0.58099999999999996</v>
      </c>
      <c r="O1029" s="6">
        <v>-0.58099999999999996</v>
      </c>
      <c r="P1029" s="6">
        <v>-2</v>
      </c>
      <c r="Q1029" s="4" t="s">
        <v>26</v>
      </c>
      <c r="R1029" s="4">
        <v>0</v>
      </c>
      <c r="S1029" s="4" t="s">
        <v>297</v>
      </c>
      <c r="T1029" s="4" t="s">
        <v>422</v>
      </c>
      <c r="U1029" s="4">
        <v>0</v>
      </c>
      <c r="V1029" s="4">
        <v>17</v>
      </c>
      <c r="W1029" s="4">
        <v>89</v>
      </c>
    </row>
    <row r="1030" spans="1:23" ht="11.25" customHeight="1" x14ac:dyDescent="0.25">
      <c r="A1030" s="4" t="s">
        <v>28</v>
      </c>
      <c r="B1030" s="4" t="s">
        <v>33</v>
      </c>
      <c r="C1030" s="4" t="s">
        <v>23</v>
      </c>
      <c r="D1030" s="4" t="s">
        <v>34</v>
      </c>
      <c r="E1030" s="4" t="s">
        <v>25</v>
      </c>
      <c r="F1030" s="4" t="s">
        <v>25</v>
      </c>
      <c r="G1030" s="4" t="s">
        <v>25</v>
      </c>
      <c r="H1030" s="4" t="s">
        <v>25</v>
      </c>
      <c r="I1030" s="5">
        <v>44470</v>
      </c>
      <c r="J1030" s="6">
        <v>0</v>
      </c>
      <c r="K1030" s="6">
        <v>0</v>
      </c>
      <c r="L1030" s="6">
        <v>62.674999999999997</v>
      </c>
      <c r="M1030" s="6">
        <v>62.674999999999997</v>
      </c>
      <c r="N1030" s="6">
        <v>62.674999999999997</v>
      </c>
      <c r="O1030" s="6">
        <v>62.674999999999997</v>
      </c>
      <c r="P1030" s="6">
        <v>33</v>
      </c>
      <c r="Q1030" s="4" t="s">
        <v>26</v>
      </c>
      <c r="R1030" s="4">
        <v>0</v>
      </c>
      <c r="S1030" s="4" t="s">
        <v>297</v>
      </c>
      <c r="T1030" s="4" t="s">
        <v>422</v>
      </c>
      <c r="U1030" s="4">
        <v>0</v>
      </c>
      <c r="V1030" s="4">
        <v>17</v>
      </c>
      <c r="W1030" s="4">
        <v>89</v>
      </c>
    </row>
    <row r="1031" spans="1:23" ht="11.25" customHeight="1" x14ac:dyDescent="0.25">
      <c r="A1031" s="4" t="s">
        <v>21</v>
      </c>
      <c r="B1031" s="4" t="s">
        <v>33</v>
      </c>
      <c r="C1031" s="4" t="s">
        <v>23</v>
      </c>
      <c r="D1031" s="4" t="s">
        <v>34</v>
      </c>
      <c r="E1031" s="4" t="s">
        <v>25</v>
      </c>
      <c r="F1031" s="4" t="s">
        <v>25</v>
      </c>
      <c r="G1031" s="4" t="s">
        <v>25</v>
      </c>
      <c r="H1031" s="4" t="s">
        <v>25</v>
      </c>
      <c r="I1031" s="5">
        <v>44501</v>
      </c>
      <c r="J1031" s="6">
        <v>0</v>
      </c>
      <c r="K1031" s="6">
        <v>0</v>
      </c>
      <c r="L1031" s="6">
        <v>383.32400000000001</v>
      </c>
      <c r="M1031" s="6">
        <v>383.32400000000001</v>
      </c>
      <c r="N1031" s="6">
        <v>383.32400000000001</v>
      </c>
      <c r="O1031" s="6">
        <v>383.32400000000001</v>
      </c>
      <c r="P1031" s="6">
        <v>322</v>
      </c>
      <c r="Q1031" s="4" t="s">
        <v>26</v>
      </c>
      <c r="R1031" s="4">
        <v>0</v>
      </c>
      <c r="S1031" s="4" t="s">
        <v>298</v>
      </c>
      <c r="T1031" s="4" t="s">
        <v>423</v>
      </c>
      <c r="U1031" s="4">
        <v>0</v>
      </c>
      <c r="V1031" s="4">
        <v>17</v>
      </c>
      <c r="W1031" s="4">
        <v>89</v>
      </c>
    </row>
    <row r="1032" spans="1:23" ht="11.25" customHeight="1" x14ac:dyDescent="0.25">
      <c r="A1032" s="4" t="s">
        <v>28</v>
      </c>
      <c r="B1032" s="4" t="s">
        <v>33</v>
      </c>
      <c r="C1032" s="4" t="s">
        <v>23</v>
      </c>
      <c r="D1032" s="4" t="s">
        <v>34</v>
      </c>
      <c r="E1032" s="4" t="s">
        <v>25</v>
      </c>
      <c r="F1032" s="4" t="s">
        <v>25</v>
      </c>
      <c r="G1032" s="4" t="s">
        <v>25</v>
      </c>
      <c r="H1032" s="4" t="s">
        <v>25</v>
      </c>
      <c r="I1032" s="5">
        <v>44501</v>
      </c>
      <c r="J1032" s="6">
        <v>0</v>
      </c>
      <c r="K1032" s="6">
        <v>0</v>
      </c>
      <c r="L1032" s="6">
        <v>41.142000000000003</v>
      </c>
      <c r="M1032" s="6">
        <v>41.142000000000003</v>
      </c>
      <c r="N1032" s="6">
        <v>41.142000000000003</v>
      </c>
      <c r="O1032" s="6">
        <v>41.142000000000003</v>
      </c>
      <c r="P1032" s="6">
        <v>37</v>
      </c>
      <c r="Q1032" s="4" t="s">
        <v>26</v>
      </c>
      <c r="R1032" s="4">
        <v>0</v>
      </c>
      <c r="S1032" s="4" t="s">
        <v>298</v>
      </c>
      <c r="T1032" s="4" t="s">
        <v>423</v>
      </c>
      <c r="U1032" s="4">
        <v>0</v>
      </c>
      <c r="V1032" s="4">
        <v>17</v>
      </c>
      <c r="W1032" s="4">
        <v>89</v>
      </c>
    </row>
    <row r="1033" spans="1:23" ht="11.25" customHeight="1" x14ac:dyDescent="0.25">
      <c r="A1033" s="4" t="s">
        <v>21</v>
      </c>
      <c r="B1033" s="4" t="s">
        <v>33</v>
      </c>
      <c r="C1033" s="4" t="s">
        <v>23</v>
      </c>
      <c r="D1033" s="4" t="s">
        <v>34</v>
      </c>
      <c r="E1033" s="4" t="s">
        <v>25</v>
      </c>
      <c r="F1033" s="4" t="s">
        <v>25</v>
      </c>
      <c r="G1033" s="4" t="s">
        <v>25</v>
      </c>
      <c r="H1033" s="4" t="s">
        <v>25</v>
      </c>
      <c r="I1033" s="5">
        <v>44531</v>
      </c>
      <c r="J1033" s="6">
        <v>0</v>
      </c>
      <c r="K1033" s="6">
        <v>0</v>
      </c>
      <c r="L1033" s="6">
        <v>384.40499999999997</v>
      </c>
      <c r="M1033" s="6">
        <v>384.40499999999997</v>
      </c>
      <c r="N1033" s="6">
        <v>384.40499999999997</v>
      </c>
      <c r="O1033" s="6">
        <v>384.40499999999997</v>
      </c>
      <c r="P1033" s="6">
        <v>328</v>
      </c>
      <c r="Q1033" s="4" t="s">
        <v>26</v>
      </c>
      <c r="R1033" s="4">
        <v>0</v>
      </c>
      <c r="S1033" s="4" t="s">
        <v>299</v>
      </c>
      <c r="T1033" s="4" t="s">
        <v>424</v>
      </c>
      <c r="U1033" s="4">
        <v>0</v>
      </c>
      <c r="V1033" s="4">
        <v>17</v>
      </c>
      <c r="W1033" s="4">
        <v>89</v>
      </c>
    </row>
    <row r="1034" spans="1:23" ht="11.25" customHeight="1" x14ac:dyDescent="0.25">
      <c r="A1034" s="4" t="s">
        <v>27</v>
      </c>
      <c r="B1034" s="4" t="s">
        <v>33</v>
      </c>
      <c r="C1034" s="4" t="s">
        <v>23</v>
      </c>
      <c r="D1034" s="4" t="s">
        <v>34</v>
      </c>
      <c r="E1034" s="4" t="s">
        <v>25</v>
      </c>
      <c r="F1034" s="4" t="s">
        <v>25</v>
      </c>
      <c r="G1034" s="4" t="s">
        <v>25</v>
      </c>
      <c r="H1034" s="4" t="s">
        <v>25</v>
      </c>
      <c r="I1034" s="5">
        <v>44531</v>
      </c>
      <c r="J1034" s="6">
        <v>0</v>
      </c>
      <c r="K1034" s="6">
        <v>0</v>
      </c>
      <c r="L1034" s="6">
        <v>-0.66</v>
      </c>
      <c r="M1034" s="6">
        <v>-0.66</v>
      </c>
      <c r="N1034" s="6">
        <v>-0.66</v>
      </c>
      <c r="O1034" s="6">
        <v>-0.66</v>
      </c>
      <c r="P1034" s="6">
        <v>-2</v>
      </c>
      <c r="Q1034" s="4" t="s">
        <v>26</v>
      </c>
      <c r="R1034" s="4">
        <v>0</v>
      </c>
      <c r="S1034" s="4" t="s">
        <v>299</v>
      </c>
      <c r="T1034" s="4" t="s">
        <v>424</v>
      </c>
      <c r="U1034" s="4">
        <v>0</v>
      </c>
      <c r="V1034" s="4">
        <v>17</v>
      </c>
      <c r="W1034" s="4">
        <v>89</v>
      </c>
    </row>
    <row r="1035" spans="1:23" ht="11.25" customHeight="1" x14ac:dyDescent="0.25">
      <c r="A1035" s="4" t="s">
        <v>21</v>
      </c>
      <c r="B1035" s="4" t="s">
        <v>33</v>
      </c>
      <c r="C1035" s="4" t="s">
        <v>23</v>
      </c>
      <c r="D1035" s="4" t="s">
        <v>34</v>
      </c>
      <c r="E1035" s="4" t="s">
        <v>25</v>
      </c>
      <c r="F1035" s="4" t="s">
        <v>25</v>
      </c>
      <c r="G1035" s="4" t="s">
        <v>25</v>
      </c>
      <c r="H1035" s="4" t="s">
        <v>25</v>
      </c>
      <c r="I1035" s="5">
        <v>44562</v>
      </c>
      <c r="J1035" s="6">
        <v>0</v>
      </c>
      <c r="K1035" s="6">
        <v>0</v>
      </c>
      <c r="L1035" s="6">
        <v>390.27600000000001</v>
      </c>
      <c r="M1035" s="6">
        <v>390.27600000000001</v>
      </c>
      <c r="N1035" s="6">
        <v>390.27600000000001</v>
      </c>
      <c r="O1035" s="6">
        <v>390.27600000000001</v>
      </c>
      <c r="P1035" s="6">
        <v>323</v>
      </c>
      <c r="Q1035" s="4" t="s">
        <v>26</v>
      </c>
      <c r="R1035" s="4">
        <v>0</v>
      </c>
      <c r="S1035" s="4" t="s">
        <v>300</v>
      </c>
      <c r="T1035" s="4" t="s">
        <v>425</v>
      </c>
      <c r="U1035" s="4">
        <v>0</v>
      </c>
      <c r="V1035" s="4">
        <v>17</v>
      </c>
      <c r="W1035" s="4">
        <v>89</v>
      </c>
    </row>
    <row r="1036" spans="1:23" ht="11.25" customHeight="1" x14ac:dyDescent="0.25">
      <c r="A1036" s="4" t="s">
        <v>27</v>
      </c>
      <c r="B1036" s="4" t="s">
        <v>33</v>
      </c>
      <c r="C1036" s="4" t="s">
        <v>23</v>
      </c>
      <c r="D1036" s="4" t="s">
        <v>34</v>
      </c>
      <c r="E1036" s="4" t="s">
        <v>25</v>
      </c>
      <c r="F1036" s="4" t="s">
        <v>25</v>
      </c>
      <c r="G1036" s="4" t="s">
        <v>25</v>
      </c>
      <c r="H1036" s="4" t="s">
        <v>25</v>
      </c>
      <c r="I1036" s="5">
        <v>44562</v>
      </c>
      <c r="J1036" s="6">
        <v>0</v>
      </c>
      <c r="K1036" s="6">
        <v>0</v>
      </c>
      <c r="L1036" s="6">
        <v>-0.49299999999999999</v>
      </c>
      <c r="M1036" s="6">
        <v>-0.49299999999999999</v>
      </c>
      <c r="N1036" s="6">
        <v>-0.49299999999999999</v>
      </c>
      <c r="O1036" s="6">
        <v>-0.49299999999999999</v>
      </c>
      <c r="P1036" s="6">
        <v>-1</v>
      </c>
      <c r="Q1036" s="4" t="s">
        <v>26</v>
      </c>
      <c r="R1036" s="4">
        <v>0</v>
      </c>
      <c r="S1036" s="4" t="s">
        <v>300</v>
      </c>
      <c r="T1036" s="4" t="s">
        <v>425</v>
      </c>
      <c r="U1036" s="4">
        <v>0</v>
      </c>
      <c r="V1036" s="4">
        <v>17</v>
      </c>
      <c r="W1036" s="4">
        <v>89</v>
      </c>
    </row>
    <row r="1037" spans="1:23" ht="11.25" customHeight="1" x14ac:dyDescent="0.25">
      <c r="A1037" s="4" t="s">
        <v>28</v>
      </c>
      <c r="B1037" s="4" t="s">
        <v>33</v>
      </c>
      <c r="C1037" s="4" t="s">
        <v>23</v>
      </c>
      <c r="D1037" s="4" t="s">
        <v>34</v>
      </c>
      <c r="E1037" s="4" t="s">
        <v>25</v>
      </c>
      <c r="F1037" s="4" t="s">
        <v>25</v>
      </c>
      <c r="G1037" s="4" t="s">
        <v>25</v>
      </c>
      <c r="H1037" s="4" t="s">
        <v>25</v>
      </c>
      <c r="I1037" s="5">
        <v>44562</v>
      </c>
      <c r="J1037" s="6">
        <v>0</v>
      </c>
      <c r="K1037" s="6">
        <v>0</v>
      </c>
      <c r="L1037" s="6">
        <v>39.645000000000003</v>
      </c>
      <c r="M1037" s="6">
        <v>39.645000000000003</v>
      </c>
      <c r="N1037" s="6">
        <v>39.645000000000003</v>
      </c>
      <c r="O1037" s="6">
        <v>39.645000000000003</v>
      </c>
      <c r="P1037" s="6">
        <v>42</v>
      </c>
      <c r="Q1037" s="4" t="s">
        <v>26</v>
      </c>
      <c r="R1037" s="4">
        <v>0</v>
      </c>
      <c r="S1037" s="4" t="s">
        <v>300</v>
      </c>
      <c r="T1037" s="4" t="s">
        <v>425</v>
      </c>
      <c r="U1037" s="4">
        <v>0</v>
      </c>
      <c r="V1037" s="4">
        <v>17</v>
      </c>
      <c r="W1037" s="4">
        <v>89</v>
      </c>
    </row>
    <row r="1038" spans="1:23" ht="11.25" customHeight="1" x14ac:dyDescent="0.25">
      <c r="A1038" s="4" t="s">
        <v>21</v>
      </c>
      <c r="B1038" s="4" t="s">
        <v>33</v>
      </c>
      <c r="C1038" s="4" t="s">
        <v>23</v>
      </c>
      <c r="D1038" s="4" t="s">
        <v>34</v>
      </c>
      <c r="E1038" s="4" t="s">
        <v>25</v>
      </c>
      <c r="F1038" s="4" t="s">
        <v>25</v>
      </c>
      <c r="G1038" s="4" t="s">
        <v>25</v>
      </c>
      <c r="H1038" s="4" t="s">
        <v>25</v>
      </c>
      <c r="I1038" s="5">
        <v>44593</v>
      </c>
      <c r="J1038" s="6">
        <v>0</v>
      </c>
      <c r="K1038" s="6">
        <v>0</v>
      </c>
      <c r="L1038" s="6">
        <v>384.39699999999999</v>
      </c>
      <c r="M1038" s="6">
        <v>384.39699999999999</v>
      </c>
      <c r="N1038" s="6">
        <v>384.39699999999999</v>
      </c>
      <c r="O1038" s="6">
        <v>384.39699999999999</v>
      </c>
      <c r="P1038" s="6">
        <v>321</v>
      </c>
      <c r="Q1038" s="4" t="s">
        <v>26</v>
      </c>
      <c r="R1038" s="4">
        <v>0</v>
      </c>
      <c r="S1038" s="4" t="s">
        <v>301</v>
      </c>
      <c r="T1038" s="4" t="s">
        <v>426</v>
      </c>
      <c r="U1038" s="4">
        <v>0</v>
      </c>
      <c r="V1038" s="4">
        <v>17</v>
      </c>
      <c r="W1038" s="4">
        <v>89</v>
      </c>
    </row>
    <row r="1039" spans="1:23" ht="11.25" customHeight="1" x14ac:dyDescent="0.25">
      <c r="A1039" s="4" t="s">
        <v>28</v>
      </c>
      <c r="B1039" s="4" t="s">
        <v>33</v>
      </c>
      <c r="C1039" s="4" t="s">
        <v>23</v>
      </c>
      <c r="D1039" s="4" t="s">
        <v>34</v>
      </c>
      <c r="E1039" s="4" t="s">
        <v>25</v>
      </c>
      <c r="F1039" s="4" t="s">
        <v>25</v>
      </c>
      <c r="G1039" s="4" t="s">
        <v>25</v>
      </c>
      <c r="H1039" s="4" t="s">
        <v>25</v>
      </c>
      <c r="I1039" s="5">
        <v>44593</v>
      </c>
      <c r="J1039" s="6">
        <v>0</v>
      </c>
      <c r="K1039" s="6">
        <v>0</v>
      </c>
      <c r="L1039" s="6">
        <v>46.658000000000001</v>
      </c>
      <c r="M1039" s="6">
        <v>46.658000000000001</v>
      </c>
      <c r="N1039" s="6">
        <v>46.658000000000001</v>
      </c>
      <c r="O1039" s="6">
        <v>46.658000000000001</v>
      </c>
      <c r="P1039" s="6">
        <v>42</v>
      </c>
      <c r="Q1039" s="4" t="s">
        <v>26</v>
      </c>
      <c r="R1039" s="4">
        <v>0</v>
      </c>
      <c r="S1039" s="4" t="s">
        <v>301</v>
      </c>
      <c r="T1039" s="4" t="s">
        <v>426</v>
      </c>
      <c r="U1039" s="4">
        <v>0</v>
      </c>
      <c r="V1039" s="4">
        <v>17</v>
      </c>
      <c r="W1039" s="4">
        <v>89</v>
      </c>
    </row>
    <row r="1040" spans="1:23" ht="11.25" customHeight="1" x14ac:dyDescent="0.25">
      <c r="A1040" s="4" t="s">
        <v>21</v>
      </c>
      <c r="B1040" s="4" t="s">
        <v>33</v>
      </c>
      <c r="C1040" s="4" t="s">
        <v>23</v>
      </c>
      <c r="D1040" s="4" t="s">
        <v>34</v>
      </c>
      <c r="E1040" s="4" t="s">
        <v>25</v>
      </c>
      <c r="F1040" s="4" t="s">
        <v>25</v>
      </c>
      <c r="G1040" s="4" t="s">
        <v>25</v>
      </c>
      <c r="H1040" s="4" t="s">
        <v>25</v>
      </c>
      <c r="I1040" s="5">
        <v>44621</v>
      </c>
      <c r="J1040" s="6">
        <v>0</v>
      </c>
      <c r="K1040" s="6">
        <v>0</v>
      </c>
      <c r="L1040" s="6">
        <v>397.18299999999999</v>
      </c>
      <c r="M1040" s="6">
        <v>397.18299999999999</v>
      </c>
      <c r="N1040" s="6">
        <v>397.18299999999999</v>
      </c>
      <c r="O1040" s="6">
        <v>397.18299999999999</v>
      </c>
      <c r="P1040" s="6">
        <v>320</v>
      </c>
      <c r="Q1040" s="4" t="s">
        <v>26</v>
      </c>
      <c r="R1040" s="4">
        <v>0</v>
      </c>
      <c r="S1040" s="4" t="s">
        <v>302</v>
      </c>
      <c r="T1040" s="4" t="s">
        <v>427</v>
      </c>
      <c r="U1040" s="4">
        <v>0</v>
      </c>
      <c r="V1040" s="4">
        <v>17</v>
      </c>
      <c r="W1040" s="4">
        <v>89</v>
      </c>
    </row>
    <row r="1041" spans="1:23" ht="11.25" customHeight="1" x14ac:dyDescent="0.25">
      <c r="A1041" s="4" t="s">
        <v>28</v>
      </c>
      <c r="B1041" s="4" t="s">
        <v>33</v>
      </c>
      <c r="C1041" s="4" t="s">
        <v>23</v>
      </c>
      <c r="D1041" s="4" t="s">
        <v>34</v>
      </c>
      <c r="E1041" s="4" t="s">
        <v>25</v>
      </c>
      <c r="F1041" s="4" t="s">
        <v>25</v>
      </c>
      <c r="G1041" s="4" t="s">
        <v>25</v>
      </c>
      <c r="H1041" s="4" t="s">
        <v>25</v>
      </c>
      <c r="I1041" s="5">
        <v>44621</v>
      </c>
      <c r="J1041" s="6">
        <v>0</v>
      </c>
      <c r="K1041" s="6">
        <v>0</v>
      </c>
      <c r="L1041" s="6">
        <v>50.447000000000003</v>
      </c>
      <c r="M1041" s="6">
        <v>50.447000000000003</v>
      </c>
      <c r="N1041" s="6">
        <v>50.447000000000003</v>
      </c>
      <c r="O1041" s="6">
        <v>50.447000000000003</v>
      </c>
      <c r="P1041" s="6">
        <v>44</v>
      </c>
      <c r="Q1041" s="4" t="s">
        <v>26</v>
      </c>
      <c r="R1041" s="4">
        <v>0</v>
      </c>
      <c r="S1041" s="4" t="s">
        <v>302</v>
      </c>
      <c r="T1041" s="4" t="s">
        <v>427</v>
      </c>
      <c r="U1041" s="4">
        <v>0</v>
      </c>
      <c r="V1041" s="4">
        <v>17</v>
      </c>
      <c r="W1041" s="4">
        <v>89</v>
      </c>
    </row>
    <row r="1042" spans="1:23" ht="11.25" customHeight="1" x14ac:dyDescent="0.25">
      <c r="A1042" s="4" t="s">
        <v>21</v>
      </c>
      <c r="B1042" s="4" t="s">
        <v>33</v>
      </c>
      <c r="C1042" s="4" t="s">
        <v>23</v>
      </c>
      <c r="D1042" s="4" t="s">
        <v>34</v>
      </c>
      <c r="E1042" s="4" t="s">
        <v>25</v>
      </c>
      <c r="F1042" s="4" t="s">
        <v>25</v>
      </c>
      <c r="G1042" s="4" t="s">
        <v>25</v>
      </c>
      <c r="H1042" s="4" t="s">
        <v>25</v>
      </c>
      <c r="I1042" s="5">
        <v>44652</v>
      </c>
      <c r="J1042" s="6">
        <v>0</v>
      </c>
      <c r="K1042" s="6">
        <v>0</v>
      </c>
      <c r="L1042" s="6">
        <v>423.62799999999999</v>
      </c>
      <c r="M1042" s="6">
        <v>423.62799999999999</v>
      </c>
      <c r="N1042" s="6">
        <v>423.62799999999999</v>
      </c>
      <c r="O1042" s="6">
        <v>423.62799999999999</v>
      </c>
      <c r="P1042" s="6">
        <v>319</v>
      </c>
      <c r="Q1042" s="4" t="s">
        <v>26</v>
      </c>
      <c r="R1042" s="4">
        <v>0</v>
      </c>
      <c r="S1042" s="4" t="s">
        <v>303</v>
      </c>
      <c r="T1042" s="4" t="s">
        <v>428</v>
      </c>
      <c r="U1042" s="4">
        <v>0</v>
      </c>
      <c r="V1042" s="4">
        <v>17</v>
      </c>
      <c r="W1042" s="4">
        <v>89</v>
      </c>
    </row>
    <row r="1043" spans="1:23" ht="11.25" customHeight="1" x14ac:dyDescent="0.25">
      <c r="A1043" s="4" t="s">
        <v>27</v>
      </c>
      <c r="B1043" s="4" t="s">
        <v>33</v>
      </c>
      <c r="C1043" s="4" t="s">
        <v>23</v>
      </c>
      <c r="D1043" s="4" t="s">
        <v>34</v>
      </c>
      <c r="E1043" s="4" t="s">
        <v>25</v>
      </c>
      <c r="F1043" s="4" t="s">
        <v>25</v>
      </c>
      <c r="G1043" s="4" t="s">
        <v>25</v>
      </c>
      <c r="H1043" s="4" t="s">
        <v>25</v>
      </c>
      <c r="I1043" s="5">
        <v>44652</v>
      </c>
      <c r="J1043" s="6">
        <v>0</v>
      </c>
      <c r="K1043" s="6">
        <v>0</v>
      </c>
      <c r="L1043" s="6">
        <v>-22.446999999999999</v>
      </c>
      <c r="M1043" s="6">
        <v>-22.446999999999999</v>
      </c>
      <c r="N1043" s="6">
        <v>-22.446999999999999</v>
      </c>
      <c r="O1043" s="6">
        <v>-22.446999999999999</v>
      </c>
      <c r="P1043" s="6">
        <v>-1</v>
      </c>
      <c r="Q1043" s="4" t="s">
        <v>26</v>
      </c>
      <c r="R1043" s="4">
        <v>0</v>
      </c>
      <c r="S1043" s="4" t="s">
        <v>303</v>
      </c>
      <c r="T1043" s="4" t="s">
        <v>428</v>
      </c>
      <c r="U1043" s="4">
        <v>0</v>
      </c>
      <c r="V1043" s="4">
        <v>17</v>
      </c>
      <c r="W1043" s="4">
        <v>89</v>
      </c>
    </row>
    <row r="1044" spans="1:23" ht="11.25" customHeight="1" x14ac:dyDescent="0.25">
      <c r="A1044" s="4" t="s">
        <v>28</v>
      </c>
      <c r="B1044" s="4" t="s">
        <v>33</v>
      </c>
      <c r="C1044" s="4" t="s">
        <v>23</v>
      </c>
      <c r="D1044" s="4" t="s">
        <v>34</v>
      </c>
      <c r="E1044" s="4" t="s">
        <v>25</v>
      </c>
      <c r="F1044" s="4" t="s">
        <v>25</v>
      </c>
      <c r="G1044" s="4" t="s">
        <v>25</v>
      </c>
      <c r="H1044" s="4" t="s">
        <v>25</v>
      </c>
      <c r="I1044" s="5">
        <v>44652</v>
      </c>
      <c r="J1044" s="6">
        <v>0</v>
      </c>
      <c r="K1044" s="6">
        <v>0</v>
      </c>
      <c r="L1044" s="6">
        <v>144.24799999999999</v>
      </c>
      <c r="M1044" s="6">
        <v>144.24799999999999</v>
      </c>
      <c r="N1044" s="6">
        <v>144.24799999999999</v>
      </c>
      <c r="O1044" s="6">
        <v>144.24799999999999</v>
      </c>
      <c r="P1044" s="6">
        <v>48</v>
      </c>
      <c r="Q1044" s="4" t="s">
        <v>26</v>
      </c>
      <c r="R1044" s="4">
        <v>0</v>
      </c>
      <c r="S1044" s="4" t="s">
        <v>303</v>
      </c>
      <c r="T1044" s="4" t="s">
        <v>428</v>
      </c>
      <c r="U1044" s="4">
        <v>0</v>
      </c>
      <c r="V1044" s="4">
        <v>17</v>
      </c>
      <c r="W1044" s="4">
        <v>89</v>
      </c>
    </row>
    <row r="1045" spans="1:23" ht="11.25" customHeight="1" x14ac:dyDescent="0.25">
      <c r="A1045" s="4" t="s">
        <v>21</v>
      </c>
      <c r="B1045" s="4" t="s">
        <v>33</v>
      </c>
      <c r="C1045" s="4" t="s">
        <v>23</v>
      </c>
      <c r="D1045" s="4" t="s">
        <v>34</v>
      </c>
      <c r="E1045" s="4" t="s">
        <v>25</v>
      </c>
      <c r="F1045" s="4" t="s">
        <v>25</v>
      </c>
      <c r="G1045" s="4" t="s">
        <v>25</v>
      </c>
      <c r="H1045" s="4" t="s">
        <v>25</v>
      </c>
      <c r="I1045" s="5">
        <v>44682</v>
      </c>
      <c r="J1045" s="6">
        <v>0</v>
      </c>
      <c r="K1045" s="6">
        <v>0</v>
      </c>
      <c r="L1045" s="6">
        <v>338.00099999999998</v>
      </c>
      <c r="M1045" s="6">
        <v>338.00099999999998</v>
      </c>
      <c r="N1045" s="6">
        <v>338.00099999999998</v>
      </c>
      <c r="O1045" s="6">
        <v>338.00099999999998</v>
      </c>
      <c r="P1045" s="6">
        <v>325</v>
      </c>
      <c r="Q1045" s="4" t="s">
        <v>26</v>
      </c>
      <c r="R1045" s="4">
        <v>0</v>
      </c>
      <c r="S1045" s="4" t="s">
        <v>304</v>
      </c>
      <c r="T1045" s="4" t="s">
        <v>429</v>
      </c>
      <c r="U1045" s="4">
        <v>0</v>
      </c>
      <c r="V1045" s="4">
        <v>17</v>
      </c>
      <c r="W1045" s="4">
        <v>89</v>
      </c>
    </row>
    <row r="1046" spans="1:23" ht="11.25" customHeight="1" x14ac:dyDescent="0.25">
      <c r="A1046" s="4" t="s">
        <v>27</v>
      </c>
      <c r="B1046" s="4" t="s">
        <v>33</v>
      </c>
      <c r="C1046" s="4" t="s">
        <v>23</v>
      </c>
      <c r="D1046" s="4" t="s">
        <v>34</v>
      </c>
      <c r="E1046" s="4" t="s">
        <v>25</v>
      </c>
      <c r="F1046" s="4" t="s">
        <v>25</v>
      </c>
      <c r="G1046" s="4" t="s">
        <v>25</v>
      </c>
      <c r="H1046" s="4" t="s">
        <v>25</v>
      </c>
      <c r="I1046" s="5">
        <v>44682</v>
      </c>
      <c r="J1046" s="6">
        <v>0</v>
      </c>
      <c r="K1046" s="6">
        <v>0</v>
      </c>
      <c r="L1046" s="6">
        <v>-2.02</v>
      </c>
      <c r="M1046" s="6">
        <v>-2.02</v>
      </c>
      <c r="N1046" s="6">
        <v>-2.02</v>
      </c>
      <c r="O1046" s="6">
        <v>-2.02</v>
      </c>
      <c r="P1046" s="6">
        <v>-2</v>
      </c>
      <c r="Q1046" s="4" t="s">
        <v>26</v>
      </c>
      <c r="R1046" s="4">
        <v>0</v>
      </c>
      <c r="S1046" s="4" t="s">
        <v>304</v>
      </c>
      <c r="T1046" s="4" t="s">
        <v>429</v>
      </c>
      <c r="U1046" s="4">
        <v>0</v>
      </c>
      <c r="V1046" s="4">
        <v>17</v>
      </c>
      <c r="W1046" s="4">
        <v>89</v>
      </c>
    </row>
    <row r="1047" spans="1:23" ht="11.25" customHeight="1" x14ac:dyDescent="0.25">
      <c r="A1047" s="4" t="s">
        <v>28</v>
      </c>
      <c r="B1047" s="4" t="s">
        <v>33</v>
      </c>
      <c r="C1047" s="4" t="s">
        <v>23</v>
      </c>
      <c r="D1047" s="4" t="s">
        <v>34</v>
      </c>
      <c r="E1047" s="4" t="s">
        <v>25</v>
      </c>
      <c r="F1047" s="4" t="s">
        <v>25</v>
      </c>
      <c r="G1047" s="4" t="s">
        <v>25</v>
      </c>
      <c r="H1047" s="4" t="s">
        <v>25</v>
      </c>
      <c r="I1047" s="5">
        <v>44682</v>
      </c>
      <c r="J1047" s="6">
        <v>0</v>
      </c>
      <c r="K1047" s="6">
        <v>0</v>
      </c>
      <c r="L1047" s="6">
        <v>66.900000000000006</v>
      </c>
      <c r="M1047" s="6">
        <v>66.900000000000006</v>
      </c>
      <c r="N1047" s="6">
        <v>66.900000000000006</v>
      </c>
      <c r="O1047" s="6">
        <v>66.900000000000006</v>
      </c>
      <c r="P1047" s="6">
        <v>48</v>
      </c>
      <c r="Q1047" s="4" t="s">
        <v>26</v>
      </c>
      <c r="R1047" s="4">
        <v>0</v>
      </c>
      <c r="S1047" s="4" t="s">
        <v>304</v>
      </c>
      <c r="T1047" s="4" t="s">
        <v>429</v>
      </c>
      <c r="U1047" s="4">
        <v>0</v>
      </c>
      <c r="V1047" s="4">
        <v>17</v>
      </c>
      <c r="W1047" s="4">
        <v>89</v>
      </c>
    </row>
    <row r="1048" spans="1:23" ht="11.25" customHeight="1" x14ac:dyDescent="0.25">
      <c r="A1048" s="4" t="s">
        <v>21</v>
      </c>
      <c r="B1048" s="4" t="s">
        <v>33</v>
      </c>
      <c r="C1048" s="4" t="s">
        <v>23</v>
      </c>
      <c r="D1048" s="4" t="s">
        <v>34</v>
      </c>
      <c r="E1048" s="4" t="s">
        <v>25</v>
      </c>
      <c r="F1048" s="4" t="s">
        <v>25</v>
      </c>
      <c r="G1048" s="4" t="s">
        <v>25</v>
      </c>
      <c r="H1048" s="4" t="s">
        <v>25</v>
      </c>
      <c r="I1048" s="5">
        <v>44713</v>
      </c>
      <c r="J1048" s="6">
        <v>0</v>
      </c>
      <c r="K1048" s="6">
        <v>0</v>
      </c>
      <c r="L1048" s="6">
        <v>349.49</v>
      </c>
      <c r="M1048" s="6">
        <v>349.49</v>
      </c>
      <c r="N1048" s="6">
        <v>349.49</v>
      </c>
      <c r="O1048" s="6">
        <v>349.49</v>
      </c>
      <c r="P1048" s="6">
        <v>327</v>
      </c>
      <c r="Q1048" s="4" t="s">
        <v>26</v>
      </c>
      <c r="R1048" s="4">
        <v>0</v>
      </c>
      <c r="S1048" s="4" t="s">
        <v>305</v>
      </c>
      <c r="T1048" s="4" t="s">
        <v>430</v>
      </c>
      <c r="U1048" s="4">
        <v>0</v>
      </c>
      <c r="V1048" s="4">
        <v>17</v>
      </c>
      <c r="W1048" s="4">
        <v>89</v>
      </c>
    </row>
    <row r="1049" spans="1:23" ht="11.25" customHeight="1" x14ac:dyDescent="0.25">
      <c r="A1049" s="4" t="s">
        <v>27</v>
      </c>
      <c r="B1049" s="4" t="s">
        <v>33</v>
      </c>
      <c r="C1049" s="4" t="s">
        <v>23</v>
      </c>
      <c r="D1049" s="4" t="s">
        <v>34</v>
      </c>
      <c r="E1049" s="4" t="s">
        <v>25</v>
      </c>
      <c r="F1049" s="4" t="s">
        <v>25</v>
      </c>
      <c r="G1049" s="4" t="s">
        <v>25</v>
      </c>
      <c r="H1049" s="4" t="s">
        <v>25</v>
      </c>
      <c r="I1049" s="5">
        <v>44713</v>
      </c>
      <c r="J1049" s="6">
        <v>0</v>
      </c>
      <c r="K1049" s="6">
        <v>0</v>
      </c>
      <c r="L1049" s="6">
        <v>-76.959000000000003</v>
      </c>
      <c r="M1049" s="6">
        <v>-76.959000000000003</v>
      </c>
      <c r="N1049" s="6">
        <v>-76.959000000000003</v>
      </c>
      <c r="O1049" s="6">
        <v>-76.959000000000003</v>
      </c>
      <c r="P1049" s="6">
        <v>-2</v>
      </c>
      <c r="Q1049" s="4" t="s">
        <v>26</v>
      </c>
      <c r="R1049" s="4">
        <v>0</v>
      </c>
      <c r="S1049" s="4" t="s">
        <v>305</v>
      </c>
      <c r="T1049" s="4" t="s">
        <v>430</v>
      </c>
      <c r="U1049" s="4">
        <v>0</v>
      </c>
      <c r="V1049" s="4">
        <v>17</v>
      </c>
      <c r="W1049" s="4">
        <v>89</v>
      </c>
    </row>
    <row r="1050" spans="1:23" ht="11.25" customHeight="1" x14ac:dyDescent="0.25">
      <c r="A1050" s="4" t="s">
        <v>28</v>
      </c>
      <c r="B1050" s="4" t="s">
        <v>33</v>
      </c>
      <c r="C1050" s="4" t="s">
        <v>23</v>
      </c>
      <c r="D1050" s="4" t="s">
        <v>34</v>
      </c>
      <c r="E1050" s="4" t="s">
        <v>25</v>
      </c>
      <c r="F1050" s="4" t="s">
        <v>25</v>
      </c>
      <c r="G1050" s="4" t="s">
        <v>25</v>
      </c>
      <c r="H1050" s="4" t="s">
        <v>25</v>
      </c>
      <c r="I1050" s="5">
        <v>44713</v>
      </c>
      <c r="J1050" s="6">
        <v>0</v>
      </c>
      <c r="K1050" s="6">
        <v>0</v>
      </c>
      <c r="L1050" s="6">
        <v>86.507999999999996</v>
      </c>
      <c r="M1050" s="6">
        <v>86.507999999999996</v>
      </c>
      <c r="N1050" s="6">
        <v>86.507999999999996</v>
      </c>
      <c r="O1050" s="6">
        <v>86.507999999999996</v>
      </c>
      <c r="P1050" s="6">
        <v>50</v>
      </c>
      <c r="Q1050" s="4" t="s">
        <v>26</v>
      </c>
      <c r="R1050" s="4">
        <v>0</v>
      </c>
      <c r="S1050" s="4" t="s">
        <v>305</v>
      </c>
      <c r="T1050" s="4" t="s">
        <v>430</v>
      </c>
      <c r="U1050" s="4">
        <v>0</v>
      </c>
      <c r="V1050" s="4">
        <v>17</v>
      </c>
      <c r="W1050" s="4">
        <v>89</v>
      </c>
    </row>
    <row r="1051" spans="1:23" ht="11.25" customHeight="1" x14ac:dyDescent="0.25">
      <c r="A1051" s="4" t="s">
        <v>28</v>
      </c>
      <c r="B1051" s="4" t="s">
        <v>33</v>
      </c>
      <c r="C1051" s="4" t="s">
        <v>23</v>
      </c>
      <c r="D1051" s="4" t="s">
        <v>34</v>
      </c>
      <c r="E1051" s="4" t="s">
        <v>25</v>
      </c>
      <c r="F1051" s="4" t="s">
        <v>25</v>
      </c>
      <c r="G1051" s="4" t="s">
        <v>25</v>
      </c>
      <c r="H1051" s="4" t="s">
        <v>25</v>
      </c>
      <c r="I1051" s="5">
        <v>44713</v>
      </c>
      <c r="J1051" s="6">
        <v>0</v>
      </c>
      <c r="K1051" s="6">
        <v>0</v>
      </c>
      <c r="L1051" s="6">
        <v>-141.63</v>
      </c>
      <c r="M1051" s="6">
        <v>-141.63</v>
      </c>
      <c r="N1051" s="6">
        <v>-141.63</v>
      </c>
      <c r="O1051" s="6">
        <v>-141.63</v>
      </c>
      <c r="P1051" s="6">
        <v>0</v>
      </c>
      <c r="Q1051" s="4" t="s">
        <v>26</v>
      </c>
      <c r="R1051" s="4">
        <v>0</v>
      </c>
      <c r="S1051" s="4" t="s">
        <v>305</v>
      </c>
      <c r="T1051" s="4" t="s">
        <v>430</v>
      </c>
      <c r="U1051" s="4">
        <v>0</v>
      </c>
      <c r="V1051" s="4">
        <v>17</v>
      </c>
      <c r="W1051" s="4">
        <v>89</v>
      </c>
    </row>
    <row r="1052" spans="1:23" ht="11.25" customHeight="1" x14ac:dyDescent="0.25">
      <c r="A1052" s="4" t="s">
        <v>21</v>
      </c>
      <c r="B1052" s="4" t="s">
        <v>33</v>
      </c>
      <c r="C1052" s="4" t="s">
        <v>23</v>
      </c>
      <c r="D1052" s="4" t="s">
        <v>43</v>
      </c>
      <c r="E1052" s="4" t="s">
        <v>25</v>
      </c>
      <c r="F1052" s="4" t="s">
        <v>25</v>
      </c>
      <c r="G1052" s="4" t="s">
        <v>25</v>
      </c>
      <c r="H1052" s="4" t="s">
        <v>25</v>
      </c>
      <c r="I1052" s="5">
        <v>44378</v>
      </c>
      <c r="J1052" s="6">
        <v>0</v>
      </c>
      <c r="K1052" s="6">
        <v>0</v>
      </c>
      <c r="L1052" s="6">
        <v>672.27700000000004</v>
      </c>
      <c r="M1052" s="6">
        <v>672.27700000000004</v>
      </c>
      <c r="N1052" s="6">
        <v>672.27700000000004</v>
      </c>
      <c r="O1052" s="6">
        <v>672.27700000000004</v>
      </c>
      <c r="P1052" s="6">
        <v>1071</v>
      </c>
      <c r="Q1052" s="4" t="s">
        <v>26</v>
      </c>
      <c r="R1052" s="4">
        <v>0</v>
      </c>
      <c r="S1052" s="4" t="s">
        <v>294</v>
      </c>
      <c r="T1052" s="4" t="s">
        <v>419</v>
      </c>
      <c r="U1052" s="4">
        <v>0</v>
      </c>
      <c r="V1052" s="4">
        <v>17</v>
      </c>
      <c r="W1052" s="4">
        <v>89</v>
      </c>
    </row>
    <row r="1053" spans="1:23" ht="11.25" customHeight="1" x14ac:dyDescent="0.25">
      <c r="A1053" s="4" t="s">
        <v>21</v>
      </c>
      <c r="B1053" s="4" t="s">
        <v>33</v>
      </c>
      <c r="C1053" s="4" t="s">
        <v>23</v>
      </c>
      <c r="D1053" s="4" t="s">
        <v>43</v>
      </c>
      <c r="E1053" s="4" t="s">
        <v>25</v>
      </c>
      <c r="F1053" s="4" t="s">
        <v>25</v>
      </c>
      <c r="G1053" s="4" t="s">
        <v>25</v>
      </c>
      <c r="H1053" s="4" t="s">
        <v>25</v>
      </c>
      <c r="I1053" s="5">
        <v>44409</v>
      </c>
      <c r="J1053" s="6">
        <v>0</v>
      </c>
      <c r="K1053" s="6">
        <v>0</v>
      </c>
      <c r="L1053" s="6">
        <v>691.822</v>
      </c>
      <c r="M1053" s="6">
        <v>691.822</v>
      </c>
      <c r="N1053" s="6">
        <v>691.822</v>
      </c>
      <c r="O1053" s="6">
        <v>691.822</v>
      </c>
      <c r="P1053" s="6">
        <v>1075</v>
      </c>
      <c r="Q1053" s="4" t="s">
        <v>26</v>
      </c>
      <c r="R1053" s="4">
        <v>0</v>
      </c>
      <c r="S1053" s="4" t="s">
        <v>295</v>
      </c>
      <c r="T1053" s="4" t="s">
        <v>420</v>
      </c>
      <c r="U1053" s="4">
        <v>0</v>
      </c>
      <c r="V1053" s="4">
        <v>17</v>
      </c>
      <c r="W1053" s="4">
        <v>89</v>
      </c>
    </row>
    <row r="1054" spans="1:23" ht="11.25" customHeight="1" x14ac:dyDescent="0.25">
      <c r="A1054" s="4" t="s">
        <v>21</v>
      </c>
      <c r="B1054" s="4" t="s">
        <v>33</v>
      </c>
      <c r="C1054" s="4" t="s">
        <v>23</v>
      </c>
      <c r="D1054" s="4" t="s">
        <v>43</v>
      </c>
      <c r="E1054" s="4" t="s">
        <v>25</v>
      </c>
      <c r="F1054" s="4" t="s">
        <v>25</v>
      </c>
      <c r="G1054" s="4" t="s">
        <v>25</v>
      </c>
      <c r="H1054" s="4" t="s">
        <v>25</v>
      </c>
      <c r="I1054" s="5">
        <v>44440</v>
      </c>
      <c r="J1054" s="6">
        <v>0</v>
      </c>
      <c r="K1054" s="6">
        <v>0</v>
      </c>
      <c r="L1054" s="6">
        <v>683.83399999999995</v>
      </c>
      <c r="M1054" s="6">
        <v>683.83399999999995</v>
      </c>
      <c r="N1054" s="6">
        <v>683.83399999999995</v>
      </c>
      <c r="O1054" s="6">
        <v>683.83399999999995</v>
      </c>
      <c r="P1054" s="6">
        <v>1075</v>
      </c>
      <c r="Q1054" s="4" t="s">
        <v>26</v>
      </c>
      <c r="R1054" s="4">
        <v>0</v>
      </c>
      <c r="S1054" s="4" t="s">
        <v>296</v>
      </c>
      <c r="T1054" s="4" t="s">
        <v>421</v>
      </c>
      <c r="U1054" s="4">
        <v>0</v>
      </c>
      <c r="V1054" s="4">
        <v>17</v>
      </c>
      <c r="W1054" s="4">
        <v>89</v>
      </c>
    </row>
    <row r="1055" spans="1:23" ht="11.25" customHeight="1" x14ac:dyDescent="0.25">
      <c r="A1055" s="4" t="s">
        <v>21</v>
      </c>
      <c r="B1055" s="4" t="s">
        <v>33</v>
      </c>
      <c r="C1055" s="4" t="s">
        <v>23</v>
      </c>
      <c r="D1055" s="4" t="s">
        <v>43</v>
      </c>
      <c r="E1055" s="4" t="s">
        <v>25</v>
      </c>
      <c r="F1055" s="4" t="s">
        <v>25</v>
      </c>
      <c r="G1055" s="4" t="s">
        <v>25</v>
      </c>
      <c r="H1055" s="4" t="s">
        <v>25</v>
      </c>
      <c r="I1055" s="5">
        <v>44470</v>
      </c>
      <c r="J1055" s="6">
        <v>0</v>
      </c>
      <c r="K1055" s="6">
        <v>0</v>
      </c>
      <c r="L1055" s="6">
        <v>634.58399999999995</v>
      </c>
      <c r="M1055" s="6">
        <v>634.58399999999995</v>
      </c>
      <c r="N1055" s="6">
        <v>634.58399999999995</v>
      </c>
      <c r="O1055" s="6">
        <v>634.58399999999995</v>
      </c>
      <c r="P1055" s="6">
        <v>1081</v>
      </c>
      <c r="Q1055" s="4" t="s">
        <v>26</v>
      </c>
      <c r="R1055" s="4">
        <v>0</v>
      </c>
      <c r="S1055" s="4" t="s">
        <v>297</v>
      </c>
      <c r="T1055" s="4" t="s">
        <v>422</v>
      </c>
      <c r="U1055" s="4">
        <v>0</v>
      </c>
      <c r="V1055" s="4">
        <v>17</v>
      </c>
      <c r="W1055" s="4">
        <v>89</v>
      </c>
    </row>
    <row r="1056" spans="1:23" ht="11.25" customHeight="1" x14ac:dyDescent="0.25">
      <c r="A1056" s="4" t="s">
        <v>21</v>
      </c>
      <c r="B1056" s="4" t="s">
        <v>33</v>
      </c>
      <c r="C1056" s="4" t="s">
        <v>23</v>
      </c>
      <c r="D1056" s="4" t="s">
        <v>43</v>
      </c>
      <c r="E1056" s="4" t="s">
        <v>25</v>
      </c>
      <c r="F1056" s="4" t="s">
        <v>25</v>
      </c>
      <c r="G1056" s="4" t="s">
        <v>25</v>
      </c>
      <c r="H1056" s="4" t="s">
        <v>25</v>
      </c>
      <c r="I1056" s="5">
        <v>44501</v>
      </c>
      <c r="J1056" s="6">
        <v>0</v>
      </c>
      <c r="K1056" s="6">
        <v>0</v>
      </c>
      <c r="L1056" s="6">
        <v>674.41800000000001</v>
      </c>
      <c r="M1056" s="6">
        <v>674.41800000000001</v>
      </c>
      <c r="N1056" s="6">
        <v>674.41800000000001</v>
      </c>
      <c r="O1056" s="6">
        <v>674.41800000000001</v>
      </c>
      <c r="P1056" s="6">
        <v>1080</v>
      </c>
      <c r="Q1056" s="4" t="s">
        <v>26</v>
      </c>
      <c r="R1056" s="4">
        <v>0</v>
      </c>
      <c r="S1056" s="4" t="s">
        <v>298</v>
      </c>
      <c r="T1056" s="4" t="s">
        <v>423</v>
      </c>
      <c r="U1056" s="4">
        <v>0</v>
      </c>
      <c r="V1056" s="4">
        <v>17</v>
      </c>
      <c r="W1056" s="4">
        <v>89</v>
      </c>
    </row>
    <row r="1057" spans="1:23" ht="11.25" customHeight="1" x14ac:dyDescent="0.25">
      <c r="A1057" s="4" t="s">
        <v>21</v>
      </c>
      <c r="B1057" s="4" t="s">
        <v>33</v>
      </c>
      <c r="C1057" s="4" t="s">
        <v>23</v>
      </c>
      <c r="D1057" s="4" t="s">
        <v>43</v>
      </c>
      <c r="E1057" s="4" t="s">
        <v>25</v>
      </c>
      <c r="F1057" s="4" t="s">
        <v>25</v>
      </c>
      <c r="G1057" s="4" t="s">
        <v>25</v>
      </c>
      <c r="H1057" s="4" t="s">
        <v>25</v>
      </c>
      <c r="I1057" s="5">
        <v>44531</v>
      </c>
      <c r="J1057" s="6">
        <v>0</v>
      </c>
      <c r="K1057" s="6">
        <v>0</v>
      </c>
      <c r="L1057" s="6">
        <v>681.82799999999997</v>
      </c>
      <c r="M1057" s="6">
        <v>681.82799999999997</v>
      </c>
      <c r="N1057" s="6">
        <v>681.82799999999997</v>
      </c>
      <c r="O1057" s="6">
        <v>681.82799999999997</v>
      </c>
      <c r="P1057" s="6">
        <v>1083</v>
      </c>
      <c r="Q1057" s="4" t="s">
        <v>26</v>
      </c>
      <c r="R1057" s="4">
        <v>0</v>
      </c>
      <c r="S1057" s="4" t="s">
        <v>299</v>
      </c>
      <c r="T1057" s="4" t="s">
        <v>424</v>
      </c>
      <c r="U1057" s="4">
        <v>0</v>
      </c>
      <c r="V1057" s="4">
        <v>17</v>
      </c>
      <c r="W1057" s="4">
        <v>89</v>
      </c>
    </row>
    <row r="1058" spans="1:23" ht="11.25" customHeight="1" x14ac:dyDescent="0.25">
      <c r="A1058" s="4" t="s">
        <v>27</v>
      </c>
      <c r="B1058" s="4" t="s">
        <v>33</v>
      </c>
      <c r="C1058" s="4" t="s">
        <v>23</v>
      </c>
      <c r="D1058" s="4" t="s">
        <v>43</v>
      </c>
      <c r="E1058" s="4" t="s">
        <v>25</v>
      </c>
      <c r="F1058" s="4" t="s">
        <v>25</v>
      </c>
      <c r="G1058" s="4" t="s">
        <v>25</v>
      </c>
      <c r="H1058" s="4" t="s">
        <v>25</v>
      </c>
      <c r="I1058" s="5">
        <v>44531</v>
      </c>
      <c r="J1058" s="6">
        <v>0</v>
      </c>
      <c r="K1058" s="6">
        <v>0</v>
      </c>
      <c r="L1058" s="6">
        <v>-0.52900000000000003</v>
      </c>
      <c r="M1058" s="6">
        <v>-0.52900000000000003</v>
      </c>
      <c r="N1058" s="6">
        <v>-0.52900000000000003</v>
      </c>
      <c r="O1058" s="6">
        <v>-0.52900000000000003</v>
      </c>
      <c r="P1058" s="6">
        <v>-1</v>
      </c>
      <c r="Q1058" s="4" t="s">
        <v>26</v>
      </c>
      <c r="R1058" s="4">
        <v>0</v>
      </c>
      <c r="S1058" s="4" t="s">
        <v>299</v>
      </c>
      <c r="T1058" s="4" t="s">
        <v>424</v>
      </c>
      <c r="U1058" s="4">
        <v>0</v>
      </c>
      <c r="V1058" s="4">
        <v>17</v>
      </c>
      <c r="W1058" s="4">
        <v>89</v>
      </c>
    </row>
    <row r="1059" spans="1:23" ht="11.25" customHeight="1" x14ac:dyDescent="0.25">
      <c r="A1059" s="4" t="s">
        <v>21</v>
      </c>
      <c r="B1059" s="4" t="s">
        <v>33</v>
      </c>
      <c r="C1059" s="4" t="s">
        <v>23</v>
      </c>
      <c r="D1059" s="4" t="s">
        <v>43</v>
      </c>
      <c r="E1059" s="4" t="s">
        <v>25</v>
      </c>
      <c r="F1059" s="4" t="s">
        <v>25</v>
      </c>
      <c r="G1059" s="4" t="s">
        <v>25</v>
      </c>
      <c r="H1059" s="4" t="s">
        <v>25</v>
      </c>
      <c r="I1059" s="5">
        <v>44562</v>
      </c>
      <c r="J1059" s="6">
        <v>0</v>
      </c>
      <c r="K1059" s="6">
        <v>0</v>
      </c>
      <c r="L1059" s="6">
        <v>884.58799999999997</v>
      </c>
      <c r="M1059" s="6">
        <v>884.58799999999997</v>
      </c>
      <c r="N1059" s="6">
        <v>884.58799999999997</v>
      </c>
      <c r="O1059" s="6">
        <v>884.58799999999997</v>
      </c>
      <c r="P1059" s="6">
        <v>1085</v>
      </c>
      <c r="Q1059" s="4" t="s">
        <v>26</v>
      </c>
      <c r="R1059" s="4">
        <v>0</v>
      </c>
      <c r="S1059" s="4" t="s">
        <v>300</v>
      </c>
      <c r="T1059" s="4" t="s">
        <v>425</v>
      </c>
      <c r="U1059" s="4">
        <v>0</v>
      </c>
      <c r="V1059" s="4">
        <v>17</v>
      </c>
      <c r="W1059" s="4">
        <v>89</v>
      </c>
    </row>
    <row r="1060" spans="1:23" ht="11.25" customHeight="1" x14ac:dyDescent="0.25">
      <c r="A1060" s="4" t="s">
        <v>21</v>
      </c>
      <c r="B1060" s="4" t="s">
        <v>33</v>
      </c>
      <c r="C1060" s="4" t="s">
        <v>23</v>
      </c>
      <c r="D1060" s="4" t="s">
        <v>43</v>
      </c>
      <c r="E1060" s="4" t="s">
        <v>25</v>
      </c>
      <c r="F1060" s="4" t="s">
        <v>25</v>
      </c>
      <c r="G1060" s="4" t="s">
        <v>25</v>
      </c>
      <c r="H1060" s="4" t="s">
        <v>25</v>
      </c>
      <c r="I1060" s="5">
        <v>44593</v>
      </c>
      <c r="J1060" s="6">
        <v>0</v>
      </c>
      <c r="K1060" s="6">
        <v>0</v>
      </c>
      <c r="L1060" s="6">
        <v>766.33500000000004</v>
      </c>
      <c r="M1060" s="6">
        <v>766.33500000000004</v>
      </c>
      <c r="N1060" s="6">
        <v>766.33500000000004</v>
      </c>
      <c r="O1060" s="6">
        <v>766.33500000000004</v>
      </c>
      <c r="P1060" s="6">
        <v>1085</v>
      </c>
      <c r="Q1060" s="4" t="s">
        <v>26</v>
      </c>
      <c r="R1060" s="4">
        <v>0</v>
      </c>
      <c r="S1060" s="4" t="s">
        <v>301</v>
      </c>
      <c r="T1060" s="4" t="s">
        <v>426</v>
      </c>
      <c r="U1060" s="4">
        <v>0</v>
      </c>
      <c r="V1060" s="4">
        <v>17</v>
      </c>
      <c r="W1060" s="4">
        <v>89</v>
      </c>
    </row>
    <row r="1061" spans="1:23" ht="11.25" customHeight="1" x14ac:dyDescent="0.25">
      <c r="A1061" s="4" t="s">
        <v>21</v>
      </c>
      <c r="B1061" s="4" t="s">
        <v>33</v>
      </c>
      <c r="C1061" s="4" t="s">
        <v>23</v>
      </c>
      <c r="D1061" s="4" t="s">
        <v>43</v>
      </c>
      <c r="E1061" s="4" t="s">
        <v>25</v>
      </c>
      <c r="F1061" s="4" t="s">
        <v>25</v>
      </c>
      <c r="G1061" s="4" t="s">
        <v>25</v>
      </c>
      <c r="H1061" s="4" t="s">
        <v>25</v>
      </c>
      <c r="I1061" s="5">
        <v>44621</v>
      </c>
      <c r="J1061" s="6">
        <v>0</v>
      </c>
      <c r="K1061" s="6">
        <v>0</v>
      </c>
      <c r="L1061" s="6">
        <v>748.68399999999997</v>
      </c>
      <c r="M1061" s="6">
        <v>748.68399999999997</v>
      </c>
      <c r="N1061" s="6">
        <v>748.68399999999997</v>
      </c>
      <c r="O1061" s="6">
        <v>748.68399999999997</v>
      </c>
      <c r="P1061" s="6">
        <v>1112</v>
      </c>
      <c r="Q1061" s="4" t="s">
        <v>26</v>
      </c>
      <c r="R1061" s="4">
        <v>0</v>
      </c>
      <c r="S1061" s="4" t="s">
        <v>302</v>
      </c>
      <c r="T1061" s="4" t="s">
        <v>427</v>
      </c>
      <c r="U1061" s="4">
        <v>0</v>
      </c>
      <c r="V1061" s="4">
        <v>17</v>
      </c>
      <c r="W1061" s="4">
        <v>89</v>
      </c>
    </row>
    <row r="1062" spans="1:23" ht="11.25" customHeight="1" x14ac:dyDescent="0.25">
      <c r="A1062" s="4" t="s">
        <v>27</v>
      </c>
      <c r="B1062" s="4" t="s">
        <v>33</v>
      </c>
      <c r="C1062" s="4" t="s">
        <v>23</v>
      </c>
      <c r="D1062" s="4" t="s">
        <v>43</v>
      </c>
      <c r="E1062" s="4" t="s">
        <v>25</v>
      </c>
      <c r="F1062" s="4" t="s">
        <v>25</v>
      </c>
      <c r="G1062" s="4" t="s">
        <v>25</v>
      </c>
      <c r="H1062" s="4" t="s">
        <v>25</v>
      </c>
      <c r="I1062" s="5">
        <v>44621</v>
      </c>
      <c r="J1062" s="6">
        <v>0</v>
      </c>
      <c r="K1062" s="6">
        <v>0</v>
      </c>
      <c r="L1062" s="6">
        <v>-15.083</v>
      </c>
      <c r="M1062" s="6">
        <v>-15.083</v>
      </c>
      <c r="N1062" s="6">
        <v>-15.083</v>
      </c>
      <c r="O1062" s="6">
        <v>-15.083</v>
      </c>
      <c r="P1062" s="6">
        <v>-22</v>
      </c>
      <c r="Q1062" s="4" t="s">
        <v>26</v>
      </c>
      <c r="R1062" s="4">
        <v>0</v>
      </c>
      <c r="S1062" s="4" t="s">
        <v>302</v>
      </c>
      <c r="T1062" s="4" t="s">
        <v>427</v>
      </c>
      <c r="U1062" s="4">
        <v>0</v>
      </c>
      <c r="V1062" s="4">
        <v>17</v>
      </c>
      <c r="W1062" s="4">
        <v>89</v>
      </c>
    </row>
    <row r="1063" spans="1:23" ht="11.25" customHeight="1" x14ac:dyDescent="0.25">
      <c r="A1063" s="4" t="s">
        <v>21</v>
      </c>
      <c r="B1063" s="4" t="s">
        <v>33</v>
      </c>
      <c r="C1063" s="4" t="s">
        <v>23</v>
      </c>
      <c r="D1063" s="4" t="s">
        <v>43</v>
      </c>
      <c r="E1063" s="4" t="s">
        <v>25</v>
      </c>
      <c r="F1063" s="4" t="s">
        <v>25</v>
      </c>
      <c r="G1063" s="4" t="s">
        <v>25</v>
      </c>
      <c r="H1063" s="4" t="s">
        <v>25</v>
      </c>
      <c r="I1063" s="5">
        <v>44652</v>
      </c>
      <c r="J1063" s="6">
        <v>0</v>
      </c>
      <c r="K1063" s="6">
        <v>0</v>
      </c>
      <c r="L1063" s="6">
        <v>759.303</v>
      </c>
      <c r="M1063" s="6">
        <v>759.303</v>
      </c>
      <c r="N1063" s="6">
        <v>759.303</v>
      </c>
      <c r="O1063" s="6">
        <v>759.303</v>
      </c>
      <c r="P1063" s="6">
        <v>1119</v>
      </c>
      <c r="Q1063" s="4" t="s">
        <v>26</v>
      </c>
      <c r="R1063" s="4">
        <v>0</v>
      </c>
      <c r="S1063" s="4" t="s">
        <v>303</v>
      </c>
      <c r="T1063" s="4" t="s">
        <v>428</v>
      </c>
      <c r="U1063" s="4">
        <v>0</v>
      </c>
      <c r="V1063" s="4">
        <v>17</v>
      </c>
      <c r="W1063" s="4">
        <v>89</v>
      </c>
    </row>
    <row r="1064" spans="1:23" ht="11.25" customHeight="1" x14ac:dyDescent="0.25">
      <c r="A1064" s="4" t="s">
        <v>27</v>
      </c>
      <c r="B1064" s="4" t="s">
        <v>33</v>
      </c>
      <c r="C1064" s="4" t="s">
        <v>23</v>
      </c>
      <c r="D1064" s="4" t="s">
        <v>43</v>
      </c>
      <c r="E1064" s="4" t="s">
        <v>25</v>
      </c>
      <c r="F1064" s="4" t="s">
        <v>25</v>
      </c>
      <c r="G1064" s="4" t="s">
        <v>25</v>
      </c>
      <c r="H1064" s="4" t="s">
        <v>25</v>
      </c>
      <c r="I1064" s="5">
        <v>44652</v>
      </c>
      <c r="J1064" s="6">
        <v>0</v>
      </c>
      <c r="K1064" s="6">
        <v>0</v>
      </c>
      <c r="L1064" s="6">
        <v>-18.253</v>
      </c>
      <c r="M1064" s="6">
        <v>-18.253</v>
      </c>
      <c r="N1064" s="6">
        <v>-18.253</v>
      </c>
      <c r="O1064" s="6">
        <v>-18.253</v>
      </c>
      <c r="P1064" s="6">
        <v>-28</v>
      </c>
      <c r="Q1064" s="4" t="s">
        <v>26</v>
      </c>
      <c r="R1064" s="4">
        <v>0</v>
      </c>
      <c r="S1064" s="4" t="s">
        <v>303</v>
      </c>
      <c r="T1064" s="4" t="s">
        <v>428</v>
      </c>
      <c r="U1064" s="4">
        <v>0</v>
      </c>
      <c r="V1064" s="4">
        <v>17</v>
      </c>
      <c r="W1064" s="4">
        <v>89</v>
      </c>
    </row>
    <row r="1065" spans="1:23" ht="11.25" customHeight="1" x14ac:dyDescent="0.25">
      <c r="A1065" s="4" t="s">
        <v>21</v>
      </c>
      <c r="B1065" s="4" t="s">
        <v>33</v>
      </c>
      <c r="C1065" s="4" t="s">
        <v>23</v>
      </c>
      <c r="D1065" s="4" t="s">
        <v>43</v>
      </c>
      <c r="E1065" s="4" t="s">
        <v>25</v>
      </c>
      <c r="F1065" s="4" t="s">
        <v>25</v>
      </c>
      <c r="G1065" s="4" t="s">
        <v>25</v>
      </c>
      <c r="H1065" s="4" t="s">
        <v>25</v>
      </c>
      <c r="I1065" s="5">
        <v>44682</v>
      </c>
      <c r="J1065" s="6">
        <v>0</v>
      </c>
      <c r="K1065" s="6">
        <v>0</v>
      </c>
      <c r="L1065" s="6">
        <v>658.45799999999997</v>
      </c>
      <c r="M1065" s="6">
        <v>658.45799999999997</v>
      </c>
      <c r="N1065" s="6">
        <v>658.45799999999997</v>
      </c>
      <c r="O1065" s="6">
        <v>658.45799999999997</v>
      </c>
      <c r="P1065" s="6">
        <v>1097</v>
      </c>
      <c r="Q1065" s="4" t="s">
        <v>26</v>
      </c>
      <c r="R1065" s="4">
        <v>0</v>
      </c>
      <c r="S1065" s="4" t="s">
        <v>304</v>
      </c>
      <c r="T1065" s="4" t="s">
        <v>429</v>
      </c>
      <c r="U1065" s="4">
        <v>0</v>
      </c>
      <c r="V1065" s="4">
        <v>17</v>
      </c>
      <c r="W1065" s="4">
        <v>89</v>
      </c>
    </row>
    <row r="1066" spans="1:23" ht="11.25" customHeight="1" x14ac:dyDescent="0.25">
      <c r="A1066" s="4" t="s">
        <v>27</v>
      </c>
      <c r="B1066" s="4" t="s">
        <v>33</v>
      </c>
      <c r="C1066" s="4" t="s">
        <v>23</v>
      </c>
      <c r="D1066" s="4" t="s">
        <v>43</v>
      </c>
      <c r="E1066" s="4" t="s">
        <v>25</v>
      </c>
      <c r="F1066" s="4" t="s">
        <v>25</v>
      </c>
      <c r="G1066" s="4" t="s">
        <v>25</v>
      </c>
      <c r="H1066" s="4" t="s">
        <v>25</v>
      </c>
      <c r="I1066" s="5">
        <v>44682</v>
      </c>
      <c r="J1066" s="6">
        <v>0</v>
      </c>
      <c r="K1066" s="6">
        <v>0</v>
      </c>
      <c r="L1066" s="6">
        <v>-2.157</v>
      </c>
      <c r="M1066" s="6">
        <v>-2.157</v>
      </c>
      <c r="N1066" s="6">
        <v>-2.157</v>
      </c>
      <c r="O1066" s="6">
        <v>-2.157</v>
      </c>
      <c r="P1066" s="6">
        <v>-6</v>
      </c>
      <c r="Q1066" s="4" t="s">
        <v>26</v>
      </c>
      <c r="R1066" s="4">
        <v>0</v>
      </c>
      <c r="S1066" s="4" t="s">
        <v>304</v>
      </c>
      <c r="T1066" s="4" t="s">
        <v>429</v>
      </c>
      <c r="U1066" s="4">
        <v>0</v>
      </c>
      <c r="V1066" s="4">
        <v>17</v>
      </c>
      <c r="W1066" s="4">
        <v>89</v>
      </c>
    </row>
    <row r="1067" spans="1:23" ht="11.25" customHeight="1" x14ac:dyDescent="0.25">
      <c r="A1067" s="4" t="s">
        <v>21</v>
      </c>
      <c r="B1067" s="4" t="s">
        <v>33</v>
      </c>
      <c r="C1067" s="4" t="s">
        <v>23</v>
      </c>
      <c r="D1067" s="4" t="s">
        <v>43</v>
      </c>
      <c r="E1067" s="4" t="s">
        <v>25</v>
      </c>
      <c r="F1067" s="4" t="s">
        <v>25</v>
      </c>
      <c r="G1067" s="4" t="s">
        <v>25</v>
      </c>
      <c r="H1067" s="4" t="s">
        <v>25</v>
      </c>
      <c r="I1067" s="5">
        <v>44713</v>
      </c>
      <c r="J1067" s="6">
        <v>0</v>
      </c>
      <c r="K1067" s="6">
        <v>0</v>
      </c>
      <c r="L1067" s="6">
        <v>764.03899999999999</v>
      </c>
      <c r="M1067" s="6">
        <v>764.03899999999999</v>
      </c>
      <c r="N1067" s="6">
        <v>764.03899999999999</v>
      </c>
      <c r="O1067" s="6">
        <v>764.03899999999999</v>
      </c>
      <c r="P1067" s="6">
        <v>1127</v>
      </c>
      <c r="Q1067" s="4" t="s">
        <v>26</v>
      </c>
      <c r="R1067" s="4">
        <v>0</v>
      </c>
      <c r="S1067" s="4" t="s">
        <v>305</v>
      </c>
      <c r="T1067" s="4" t="s">
        <v>430</v>
      </c>
      <c r="U1067" s="4">
        <v>0</v>
      </c>
      <c r="V1067" s="4">
        <v>17</v>
      </c>
      <c r="W1067" s="4">
        <v>89</v>
      </c>
    </row>
    <row r="1068" spans="1:23" ht="11.25" customHeight="1" x14ac:dyDescent="0.25">
      <c r="A1068" s="4" t="s">
        <v>27</v>
      </c>
      <c r="B1068" s="4" t="s">
        <v>33</v>
      </c>
      <c r="C1068" s="4" t="s">
        <v>23</v>
      </c>
      <c r="D1068" s="4" t="s">
        <v>43</v>
      </c>
      <c r="E1068" s="4" t="s">
        <v>25</v>
      </c>
      <c r="F1068" s="4" t="s">
        <v>25</v>
      </c>
      <c r="G1068" s="4" t="s">
        <v>25</v>
      </c>
      <c r="H1068" s="4" t="s">
        <v>25</v>
      </c>
      <c r="I1068" s="5">
        <v>44713</v>
      </c>
      <c r="J1068" s="6">
        <v>0</v>
      </c>
      <c r="K1068" s="6">
        <v>0</v>
      </c>
      <c r="L1068" s="6">
        <v>-10.265000000000001</v>
      </c>
      <c r="M1068" s="6">
        <v>-10.265000000000001</v>
      </c>
      <c r="N1068" s="6">
        <v>-10.265000000000001</v>
      </c>
      <c r="O1068" s="6">
        <v>-10.265000000000001</v>
      </c>
      <c r="P1068" s="6">
        <v>-33</v>
      </c>
      <c r="Q1068" s="4" t="s">
        <v>26</v>
      </c>
      <c r="R1068" s="4">
        <v>0</v>
      </c>
      <c r="S1068" s="4" t="s">
        <v>305</v>
      </c>
      <c r="T1068" s="4" t="s">
        <v>430</v>
      </c>
      <c r="U1068" s="4">
        <v>0</v>
      </c>
      <c r="V1068" s="4">
        <v>17</v>
      </c>
      <c r="W1068" s="4">
        <v>89</v>
      </c>
    </row>
    <row r="1069" spans="1:23" ht="11.25" customHeight="1" x14ac:dyDescent="0.25">
      <c r="A1069" s="4" t="s">
        <v>21</v>
      </c>
      <c r="B1069" s="4" t="s">
        <v>33</v>
      </c>
      <c r="C1069" s="4" t="s">
        <v>23</v>
      </c>
      <c r="D1069" s="4" t="s">
        <v>47</v>
      </c>
      <c r="E1069" s="4" t="s">
        <v>48</v>
      </c>
      <c r="F1069" s="4" t="s">
        <v>25</v>
      </c>
      <c r="G1069" s="4" t="s">
        <v>25</v>
      </c>
      <c r="H1069" s="4" t="s">
        <v>25</v>
      </c>
      <c r="I1069" s="5">
        <v>44378</v>
      </c>
      <c r="J1069" s="6">
        <v>0</v>
      </c>
      <c r="K1069" s="6">
        <v>0</v>
      </c>
      <c r="L1069" s="6">
        <v>65.478999999999999</v>
      </c>
      <c r="M1069" s="6">
        <v>61.550259999999994</v>
      </c>
      <c r="N1069" s="6">
        <v>65.478999999999999</v>
      </c>
      <c r="O1069" s="6">
        <v>61.550259999999994</v>
      </c>
      <c r="P1069" s="6">
        <v>34</v>
      </c>
      <c r="Q1069" s="4" t="s">
        <v>26</v>
      </c>
      <c r="R1069" s="4">
        <v>0</v>
      </c>
      <c r="S1069" s="4" t="s">
        <v>294</v>
      </c>
      <c r="T1069" s="4" t="s">
        <v>419</v>
      </c>
      <c r="U1069" s="4">
        <v>0</v>
      </c>
      <c r="V1069" s="4">
        <v>17</v>
      </c>
      <c r="W1069" s="4">
        <v>89</v>
      </c>
    </row>
    <row r="1070" spans="1:23" ht="11.25" customHeight="1" x14ac:dyDescent="0.25">
      <c r="A1070" s="4" t="s">
        <v>21</v>
      </c>
      <c r="B1070" s="4" t="s">
        <v>33</v>
      </c>
      <c r="C1070" s="4" t="s">
        <v>23</v>
      </c>
      <c r="D1070" s="4" t="s">
        <v>47</v>
      </c>
      <c r="E1070" s="4" t="s">
        <v>48</v>
      </c>
      <c r="F1070" s="4" t="s">
        <v>25</v>
      </c>
      <c r="G1070" s="4" t="s">
        <v>25</v>
      </c>
      <c r="H1070" s="4" t="s">
        <v>25</v>
      </c>
      <c r="I1070" s="5">
        <v>44409</v>
      </c>
      <c r="J1070" s="6">
        <v>0</v>
      </c>
      <c r="K1070" s="6">
        <v>0</v>
      </c>
      <c r="L1070" s="6">
        <v>66.245000000000005</v>
      </c>
      <c r="M1070" s="6">
        <v>62.270299999999999</v>
      </c>
      <c r="N1070" s="6">
        <v>66.245000000000005</v>
      </c>
      <c r="O1070" s="6">
        <v>62.270299999999999</v>
      </c>
      <c r="P1070" s="6">
        <v>34</v>
      </c>
      <c r="Q1070" s="4" t="s">
        <v>26</v>
      </c>
      <c r="R1070" s="4">
        <v>0</v>
      </c>
      <c r="S1070" s="4" t="s">
        <v>295</v>
      </c>
      <c r="T1070" s="4" t="s">
        <v>420</v>
      </c>
      <c r="U1070" s="4">
        <v>0</v>
      </c>
      <c r="V1070" s="4">
        <v>17</v>
      </c>
      <c r="W1070" s="4">
        <v>89</v>
      </c>
    </row>
    <row r="1071" spans="1:23" ht="11.25" customHeight="1" x14ac:dyDescent="0.25">
      <c r="A1071" s="4" t="s">
        <v>21</v>
      </c>
      <c r="B1071" s="4" t="s">
        <v>33</v>
      </c>
      <c r="C1071" s="4" t="s">
        <v>23</v>
      </c>
      <c r="D1071" s="4" t="s">
        <v>47</v>
      </c>
      <c r="E1071" s="4" t="s">
        <v>48</v>
      </c>
      <c r="F1071" s="4" t="s">
        <v>25</v>
      </c>
      <c r="G1071" s="4" t="s">
        <v>25</v>
      </c>
      <c r="H1071" s="4" t="s">
        <v>25</v>
      </c>
      <c r="I1071" s="5">
        <v>44440</v>
      </c>
      <c r="J1071" s="6">
        <v>0</v>
      </c>
      <c r="K1071" s="6">
        <v>0</v>
      </c>
      <c r="L1071" s="6">
        <v>67.733999999999995</v>
      </c>
      <c r="M1071" s="6">
        <v>63.669959999999989</v>
      </c>
      <c r="N1071" s="6">
        <v>67.733999999999995</v>
      </c>
      <c r="O1071" s="6">
        <v>63.669959999999989</v>
      </c>
      <c r="P1071" s="6">
        <v>34</v>
      </c>
      <c r="Q1071" s="4" t="s">
        <v>26</v>
      </c>
      <c r="R1071" s="4">
        <v>0</v>
      </c>
      <c r="S1071" s="4" t="s">
        <v>296</v>
      </c>
      <c r="T1071" s="4" t="s">
        <v>421</v>
      </c>
      <c r="U1071" s="4">
        <v>0</v>
      </c>
      <c r="V1071" s="4">
        <v>17</v>
      </c>
      <c r="W1071" s="4">
        <v>89</v>
      </c>
    </row>
    <row r="1072" spans="1:23" ht="11.25" customHeight="1" x14ac:dyDescent="0.25">
      <c r="A1072" s="4" t="s">
        <v>21</v>
      </c>
      <c r="B1072" s="4" t="s">
        <v>33</v>
      </c>
      <c r="C1072" s="4" t="s">
        <v>23</v>
      </c>
      <c r="D1072" s="4" t="s">
        <v>47</v>
      </c>
      <c r="E1072" s="4" t="s">
        <v>48</v>
      </c>
      <c r="F1072" s="4" t="s">
        <v>25</v>
      </c>
      <c r="G1072" s="4" t="s">
        <v>25</v>
      </c>
      <c r="H1072" s="4" t="s">
        <v>25</v>
      </c>
      <c r="I1072" s="5">
        <v>44470</v>
      </c>
      <c r="J1072" s="6">
        <v>0</v>
      </c>
      <c r="K1072" s="6">
        <v>0</v>
      </c>
      <c r="L1072" s="6">
        <v>67.430999999999997</v>
      </c>
      <c r="M1072" s="6">
        <v>63.385139999999993</v>
      </c>
      <c r="N1072" s="6">
        <v>67.430999999999997</v>
      </c>
      <c r="O1072" s="6">
        <v>63.385139999999993</v>
      </c>
      <c r="P1072" s="6">
        <v>34</v>
      </c>
      <c r="Q1072" s="4" t="s">
        <v>26</v>
      </c>
      <c r="R1072" s="4">
        <v>0</v>
      </c>
      <c r="S1072" s="4" t="s">
        <v>297</v>
      </c>
      <c r="T1072" s="4" t="s">
        <v>422</v>
      </c>
      <c r="U1072" s="4">
        <v>0</v>
      </c>
      <c r="V1072" s="4">
        <v>17</v>
      </c>
      <c r="W1072" s="4">
        <v>89</v>
      </c>
    </row>
    <row r="1073" spans="1:23" ht="11.25" customHeight="1" x14ac:dyDescent="0.25">
      <c r="A1073" s="4" t="s">
        <v>21</v>
      </c>
      <c r="B1073" s="4" t="s">
        <v>33</v>
      </c>
      <c r="C1073" s="4" t="s">
        <v>23</v>
      </c>
      <c r="D1073" s="4" t="s">
        <v>47</v>
      </c>
      <c r="E1073" s="4" t="s">
        <v>48</v>
      </c>
      <c r="F1073" s="4" t="s">
        <v>25</v>
      </c>
      <c r="G1073" s="4" t="s">
        <v>25</v>
      </c>
      <c r="H1073" s="4" t="s">
        <v>25</v>
      </c>
      <c r="I1073" s="5">
        <v>44501</v>
      </c>
      <c r="J1073" s="6">
        <v>0</v>
      </c>
      <c r="K1073" s="6">
        <v>0</v>
      </c>
      <c r="L1073" s="6">
        <v>68.873000000000005</v>
      </c>
      <c r="M1073" s="6">
        <v>64.740620000000007</v>
      </c>
      <c r="N1073" s="6">
        <v>68.873000000000005</v>
      </c>
      <c r="O1073" s="6">
        <v>64.740620000000007</v>
      </c>
      <c r="P1073" s="6">
        <v>35</v>
      </c>
      <c r="Q1073" s="4" t="s">
        <v>26</v>
      </c>
      <c r="R1073" s="4">
        <v>0</v>
      </c>
      <c r="S1073" s="4" t="s">
        <v>298</v>
      </c>
      <c r="T1073" s="4" t="s">
        <v>423</v>
      </c>
      <c r="U1073" s="4">
        <v>0</v>
      </c>
      <c r="V1073" s="4">
        <v>17</v>
      </c>
      <c r="W1073" s="4">
        <v>89</v>
      </c>
    </row>
    <row r="1074" spans="1:23" ht="11.25" customHeight="1" x14ac:dyDescent="0.25">
      <c r="A1074" s="4" t="s">
        <v>21</v>
      </c>
      <c r="B1074" s="4" t="s">
        <v>33</v>
      </c>
      <c r="C1074" s="4" t="s">
        <v>23</v>
      </c>
      <c r="D1074" s="4" t="s">
        <v>47</v>
      </c>
      <c r="E1074" s="4" t="s">
        <v>48</v>
      </c>
      <c r="F1074" s="4" t="s">
        <v>25</v>
      </c>
      <c r="G1074" s="4" t="s">
        <v>25</v>
      </c>
      <c r="H1074" s="4" t="s">
        <v>25</v>
      </c>
      <c r="I1074" s="5">
        <v>44531</v>
      </c>
      <c r="J1074" s="6">
        <v>0</v>
      </c>
      <c r="K1074" s="6">
        <v>0</v>
      </c>
      <c r="L1074" s="6">
        <v>55.689</v>
      </c>
      <c r="M1074" s="6">
        <v>52.347659999999998</v>
      </c>
      <c r="N1074" s="6">
        <v>55.689</v>
      </c>
      <c r="O1074" s="6">
        <v>52.347659999999998</v>
      </c>
      <c r="P1074" s="6">
        <v>36</v>
      </c>
      <c r="Q1074" s="4" t="s">
        <v>26</v>
      </c>
      <c r="R1074" s="4">
        <v>0</v>
      </c>
      <c r="S1074" s="4" t="s">
        <v>299</v>
      </c>
      <c r="T1074" s="4" t="s">
        <v>424</v>
      </c>
      <c r="U1074" s="4">
        <v>0</v>
      </c>
      <c r="V1074" s="4">
        <v>17</v>
      </c>
      <c r="W1074" s="4">
        <v>89</v>
      </c>
    </row>
    <row r="1075" spans="1:23" ht="11.25" customHeight="1" x14ac:dyDescent="0.25">
      <c r="A1075" s="4" t="s">
        <v>27</v>
      </c>
      <c r="B1075" s="4" t="s">
        <v>33</v>
      </c>
      <c r="C1075" s="4" t="s">
        <v>23</v>
      </c>
      <c r="D1075" s="4" t="s">
        <v>47</v>
      </c>
      <c r="E1075" s="4" t="s">
        <v>48</v>
      </c>
      <c r="F1075" s="4" t="s">
        <v>25</v>
      </c>
      <c r="G1075" s="4" t="s">
        <v>25</v>
      </c>
      <c r="H1075" s="4" t="s">
        <v>25</v>
      </c>
      <c r="I1075" s="5">
        <v>44531</v>
      </c>
      <c r="J1075" s="6">
        <v>0</v>
      </c>
      <c r="K1075" s="6">
        <v>0</v>
      </c>
      <c r="L1075" s="6">
        <v>-0.03</v>
      </c>
      <c r="M1075" s="6">
        <v>-2.8199999999999996E-2</v>
      </c>
      <c r="N1075" s="6">
        <v>-0.03</v>
      </c>
      <c r="O1075" s="6">
        <v>-2.8199999999999996E-2</v>
      </c>
      <c r="P1075" s="6">
        <v>-1</v>
      </c>
      <c r="Q1075" s="4" t="s">
        <v>26</v>
      </c>
      <c r="R1075" s="4">
        <v>0</v>
      </c>
      <c r="S1075" s="4" t="s">
        <v>299</v>
      </c>
      <c r="T1075" s="4" t="s">
        <v>424</v>
      </c>
      <c r="U1075" s="4">
        <v>0</v>
      </c>
      <c r="V1075" s="4">
        <v>17</v>
      </c>
      <c r="W1075" s="4">
        <v>89</v>
      </c>
    </row>
    <row r="1076" spans="1:23" ht="11.25" customHeight="1" x14ac:dyDescent="0.25">
      <c r="A1076" s="4" t="s">
        <v>21</v>
      </c>
      <c r="B1076" s="4" t="s">
        <v>33</v>
      </c>
      <c r="C1076" s="4" t="s">
        <v>23</v>
      </c>
      <c r="D1076" s="4" t="s">
        <v>47</v>
      </c>
      <c r="E1076" s="4" t="s">
        <v>48</v>
      </c>
      <c r="F1076" s="4" t="s">
        <v>25</v>
      </c>
      <c r="G1076" s="4" t="s">
        <v>25</v>
      </c>
      <c r="H1076" s="4" t="s">
        <v>25</v>
      </c>
      <c r="I1076" s="5">
        <v>44562</v>
      </c>
      <c r="J1076" s="6">
        <v>0</v>
      </c>
      <c r="K1076" s="6">
        <v>0</v>
      </c>
      <c r="L1076" s="6">
        <v>76.168999999999997</v>
      </c>
      <c r="M1076" s="6">
        <v>71.598859999999988</v>
      </c>
      <c r="N1076" s="6">
        <v>76.168999999999997</v>
      </c>
      <c r="O1076" s="6">
        <v>71.598859999999988</v>
      </c>
      <c r="P1076" s="6">
        <v>36</v>
      </c>
      <c r="Q1076" s="4" t="s">
        <v>26</v>
      </c>
      <c r="R1076" s="4">
        <v>0</v>
      </c>
      <c r="S1076" s="4" t="s">
        <v>300</v>
      </c>
      <c r="T1076" s="4" t="s">
        <v>425</v>
      </c>
      <c r="U1076" s="4">
        <v>0</v>
      </c>
      <c r="V1076" s="4">
        <v>17</v>
      </c>
      <c r="W1076" s="4">
        <v>89</v>
      </c>
    </row>
    <row r="1077" spans="1:23" ht="11.25" customHeight="1" x14ac:dyDescent="0.25">
      <c r="A1077" s="4" t="s">
        <v>21</v>
      </c>
      <c r="B1077" s="4" t="s">
        <v>33</v>
      </c>
      <c r="C1077" s="4" t="s">
        <v>23</v>
      </c>
      <c r="D1077" s="4" t="s">
        <v>47</v>
      </c>
      <c r="E1077" s="4" t="s">
        <v>48</v>
      </c>
      <c r="F1077" s="4" t="s">
        <v>25</v>
      </c>
      <c r="G1077" s="4" t="s">
        <v>25</v>
      </c>
      <c r="H1077" s="4" t="s">
        <v>25</v>
      </c>
      <c r="I1077" s="5">
        <v>44593</v>
      </c>
      <c r="J1077" s="6">
        <v>0</v>
      </c>
      <c r="K1077" s="6">
        <v>0</v>
      </c>
      <c r="L1077" s="6">
        <v>66.954999999999998</v>
      </c>
      <c r="M1077" s="6">
        <v>62.937699999999992</v>
      </c>
      <c r="N1077" s="6">
        <v>66.954999999999998</v>
      </c>
      <c r="O1077" s="6">
        <v>62.937699999999992</v>
      </c>
      <c r="P1077" s="6">
        <v>36</v>
      </c>
      <c r="Q1077" s="4" t="s">
        <v>26</v>
      </c>
      <c r="R1077" s="4">
        <v>0</v>
      </c>
      <c r="S1077" s="4" t="s">
        <v>301</v>
      </c>
      <c r="T1077" s="4" t="s">
        <v>426</v>
      </c>
      <c r="U1077" s="4">
        <v>0</v>
      </c>
      <c r="V1077" s="4">
        <v>17</v>
      </c>
      <c r="W1077" s="4">
        <v>89</v>
      </c>
    </row>
    <row r="1078" spans="1:23" ht="11.25" customHeight="1" x14ac:dyDescent="0.25">
      <c r="A1078" s="4" t="s">
        <v>21</v>
      </c>
      <c r="B1078" s="4" t="s">
        <v>33</v>
      </c>
      <c r="C1078" s="4" t="s">
        <v>23</v>
      </c>
      <c r="D1078" s="4" t="s">
        <v>47</v>
      </c>
      <c r="E1078" s="4" t="s">
        <v>48</v>
      </c>
      <c r="F1078" s="4" t="s">
        <v>25</v>
      </c>
      <c r="G1078" s="4" t="s">
        <v>25</v>
      </c>
      <c r="H1078" s="4" t="s">
        <v>25</v>
      </c>
      <c r="I1078" s="5">
        <v>44621</v>
      </c>
      <c r="J1078" s="6">
        <v>0</v>
      </c>
      <c r="K1078" s="6">
        <v>0</v>
      </c>
      <c r="L1078" s="6">
        <v>65.552000000000007</v>
      </c>
      <c r="M1078" s="6">
        <v>61.618880000000004</v>
      </c>
      <c r="N1078" s="6">
        <v>65.552000000000007</v>
      </c>
      <c r="O1078" s="6">
        <v>61.618880000000004</v>
      </c>
      <c r="P1078" s="6">
        <v>36</v>
      </c>
      <c r="Q1078" s="4" t="s">
        <v>26</v>
      </c>
      <c r="R1078" s="4">
        <v>0</v>
      </c>
      <c r="S1078" s="4" t="s">
        <v>302</v>
      </c>
      <c r="T1078" s="4" t="s">
        <v>427</v>
      </c>
      <c r="U1078" s="4">
        <v>0</v>
      </c>
      <c r="V1078" s="4">
        <v>17</v>
      </c>
      <c r="W1078" s="4">
        <v>89</v>
      </c>
    </row>
    <row r="1079" spans="1:23" ht="11.25" customHeight="1" x14ac:dyDescent="0.25">
      <c r="A1079" s="4" t="s">
        <v>21</v>
      </c>
      <c r="B1079" s="4" t="s">
        <v>33</v>
      </c>
      <c r="C1079" s="4" t="s">
        <v>23</v>
      </c>
      <c r="D1079" s="4" t="s">
        <v>47</v>
      </c>
      <c r="E1079" s="4" t="s">
        <v>48</v>
      </c>
      <c r="F1079" s="4" t="s">
        <v>25</v>
      </c>
      <c r="G1079" s="4" t="s">
        <v>25</v>
      </c>
      <c r="H1079" s="4" t="s">
        <v>25</v>
      </c>
      <c r="I1079" s="5">
        <v>44652</v>
      </c>
      <c r="J1079" s="6">
        <v>0</v>
      </c>
      <c r="K1079" s="6">
        <v>0</v>
      </c>
      <c r="L1079" s="6">
        <v>69.268000000000001</v>
      </c>
      <c r="M1079" s="6">
        <v>65.111919999999998</v>
      </c>
      <c r="N1079" s="6">
        <v>69.268000000000001</v>
      </c>
      <c r="O1079" s="6">
        <v>65.111919999999998</v>
      </c>
      <c r="P1079" s="6">
        <v>38</v>
      </c>
      <c r="Q1079" s="4" t="s">
        <v>26</v>
      </c>
      <c r="R1079" s="4">
        <v>0</v>
      </c>
      <c r="S1079" s="4" t="s">
        <v>303</v>
      </c>
      <c r="T1079" s="4" t="s">
        <v>428</v>
      </c>
      <c r="U1079" s="4">
        <v>0</v>
      </c>
      <c r="V1079" s="4">
        <v>17</v>
      </c>
      <c r="W1079" s="4">
        <v>89</v>
      </c>
    </row>
    <row r="1080" spans="1:23" ht="11.25" customHeight="1" x14ac:dyDescent="0.25">
      <c r="A1080" s="4" t="s">
        <v>21</v>
      </c>
      <c r="B1080" s="4" t="s">
        <v>33</v>
      </c>
      <c r="C1080" s="4" t="s">
        <v>23</v>
      </c>
      <c r="D1080" s="4" t="s">
        <v>47</v>
      </c>
      <c r="E1080" s="4" t="s">
        <v>48</v>
      </c>
      <c r="F1080" s="4" t="s">
        <v>25</v>
      </c>
      <c r="G1080" s="4" t="s">
        <v>25</v>
      </c>
      <c r="H1080" s="4" t="s">
        <v>25</v>
      </c>
      <c r="I1080" s="5">
        <v>44682</v>
      </c>
      <c r="J1080" s="6">
        <v>0</v>
      </c>
      <c r="K1080" s="6">
        <v>0</v>
      </c>
      <c r="L1080" s="6">
        <v>72.277000000000001</v>
      </c>
      <c r="M1080" s="6">
        <v>67.94037999999999</v>
      </c>
      <c r="N1080" s="6">
        <v>72.277000000000001</v>
      </c>
      <c r="O1080" s="6">
        <v>67.94037999999999</v>
      </c>
      <c r="P1080" s="6">
        <v>39</v>
      </c>
      <c r="Q1080" s="4" t="s">
        <v>26</v>
      </c>
      <c r="R1080" s="4">
        <v>0</v>
      </c>
      <c r="S1080" s="4" t="s">
        <v>304</v>
      </c>
      <c r="T1080" s="4" t="s">
        <v>429</v>
      </c>
      <c r="U1080" s="4">
        <v>0</v>
      </c>
      <c r="V1080" s="4">
        <v>17</v>
      </c>
      <c r="W1080" s="4">
        <v>89</v>
      </c>
    </row>
    <row r="1081" spans="1:23" ht="11.25" customHeight="1" x14ac:dyDescent="0.25">
      <c r="A1081" s="4" t="s">
        <v>27</v>
      </c>
      <c r="B1081" s="4" t="s">
        <v>33</v>
      </c>
      <c r="C1081" s="4" t="s">
        <v>23</v>
      </c>
      <c r="D1081" s="4" t="s">
        <v>47</v>
      </c>
      <c r="E1081" s="4" t="s">
        <v>48</v>
      </c>
      <c r="F1081" s="4" t="s">
        <v>25</v>
      </c>
      <c r="G1081" s="4" t="s">
        <v>25</v>
      </c>
      <c r="H1081" s="4" t="s">
        <v>25</v>
      </c>
      <c r="I1081" s="5">
        <v>44682</v>
      </c>
      <c r="J1081" s="6">
        <v>0</v>
      </c>
      <c r="K1081" s="6">
        <v>0</v>
      </c>
      <c r="L1081" s="6">
        <v>-0.19800000000000001</v>
      </c>
      <c r="M1081" s="6">
        <v>-0.18612000000000001</v>
      </c>
      <c r="N1081" s="6">
        <v>-0.19800000000000001</v>
      </c>
      <c r="O1081" s="6">
        <v>-0.18612000000000001</v>
      </c>
      <c r="P1081" s="6">
        <v>-1</v>
      </c>
      <c r="Q1081" s="4" t="s">
        <v>26</v>
      </c>
      <c r="R1081" s="4">
        <v>0</v>
      </c>
      <c r="S1081" s="4" t="s">
        <v>304</v>
      </c>
      <c r="T1081" s="4" t="s">
        <v>429</v>
      </c>
      <c r="U1081" s="4">
        <v>0</v>
      </c>
      <c r="V1081" s="4">
        <v>17</v>
      </c>
      <c r="W1081" s="4">
        <v>89</v>
      </c>
    </row>
    <row r="1082" spans="1:23" ht="11.25" customHeight="1" x14ac:dyDescent="0.25">
      <c r="A1082" s="4" t="s">
        <v>21</v>
      </c>
      <c r="B1082" s="4" t="s">
        <v>33</v>
      </c>
      <c r="C1082" s="4" t="s">
        <v>23</v>
      </c>
      <c r="D1082" s="4" t="s">
        <v>47</v>
      </c>
      <c r="E1082" s="4" t="s">
        <v>48</v>
      </c>
      <c r="F1082" s="4" t="s">
        <v>25</v>
      </c>
      <c r="G1082" s="4" t="s">
        <v>25</v>
      </c>
      <c r="H1082" s="4" t="s">
        <v>25</v>
      </c>
      <c r="I1082" s="5">
        <v>44713</v>
      </c>
      <c r="J1082" s="6">
        <v>0</v>
      </c>
      <c r="K1082" s="6">
        <v>0</v>
      </c>
      <c r="L1082" s="6">
        <v>68.784999999999997</v>
      </c>
      <c r="M1082" s="6">
        <v>64.657899999999998</v>
      </c>
      <c r="N1082" s="6">
        <v>68.784999999999997</v>
      </c>
      <c r="O1082" s="6">
        <v>64.657899999999998</v>
      </c>
      <c r="P1082" s="6">
        <v>38</v>
      </c>
      <c r="Q1082" s="4" t="s">
        <v>26</v>
      </c>
      <c r="R1082" s="4">
        <v>0</v>
      </c>
      <c r="S1082" s="4" t="s">
        <v>305</v>
      </c>
      <c r="T1082" s="4" t="s">
        <v>430</v>
      </c>
      <c r="U1082" s="4">
        <v>0</v>
      </c>
      <c r="V1082" s="4">
        <v>17</v>
      </c>
      <c r="W1082" s="4">
        <v>89</v>
      </c>
    </row>
    <row r="1083" spans="1:23" ht="11.25" customHeight="1" x14ac:dyDescent="0.25">
      <c r="A1083" s="4" t="s">
        <v>21</v>
      </c>
      <c r="B1083" s="4" t="s">
        <v>44</v>
      </c>
      <c r="C1083" s="4" t="s">
        <v>23</v>
      </c>
      <c r="D1083" s="4" t="s">
        <v>45</v>
      </c>
      <c r="E1083" s="4" t="s">
        <v>46</v>
      </c>
      <c r="F1083" s="4" t="s">
        <v>25</v>
      </c>
      <c r="G1083" s="4" t="s">
        <v>25</v>
      </c>
      <c r="H1083" s="4" t="s">
        <v>25</v>
      </c>
      <c r="I1083" s="5">
        <v>44378</v>
      </c>
      <c r="J1083" s="6">
        <v>0</v>
      </c>
      <c r="K1083" s="6">
        <v>0</v>
      </c>
      <c r="L1083" s="6">
        <v>608.56500000000005</v>
      </c>
      <c r="M1083" s="6">
        <v>608.56500000000005</v>
      </c>
      <c r="N1083" s="6">
        <v>608.56500000000005</v>
      </c>
      <c r="O1083" s="6">
        <v>608.56500000000005</v>
      </c>
      <c r="P1083" s="6">
        <v>59</v>
      </c>
      <c r="Q1083" s="4" t="s">
        <v>26</v>
      </c>
      <c r="R1083" s="4">
        <v>0</v>
      </c>
      <c r="S1083" s="4" t="s">
        <v>306</v>
      </c>
      <c r="T1083" s="4" t="s">
        <v>431</v>
      </c>
      <c r="U1083" s="4">
        <v>0</v>
      </c>
      <c r="V1083" s="4">
        <v>54</v>
      </c>
      <c r="W1083" s="4">
        <v>92</v>
      </c>
    </row>
    <row r="1084" spans="1:23" ht="11.25" customHeight="1" x14ac:dyDescent="0.25">
      <c r="A1084" s="4" t="s">
        <v>21</v>
      </c>
      <c r="B1084" s="4" t="s">
        <v>44</v>
      </c>
      <c r="C1084" s="4" t="s">
        <v>23</v>
      </c>
      <c r="D1084" s="4" t="s">
        <v>45</v>
      </c>
      <c r="E1084" s="4" t="s">
        <v>46</v>
      </c>
      <c r="F1084" s="4" t="s">
        <v>25</v>
      </c>
      <c r="G1084" s="4" t="s">
        <v>25</v>
      </c>
      <c r="H1084" s="4" t="s">
        <v>25</v>
      </c>
      <c r="I1084" s="5">
        <v>44409</v>
      </c>
      <c r="J1084" s="6">
        <v>0</v>
      </c>
      <c r="K1084" s="6">
        <v>0</v>
      </c>
      <c r="L1084" s="6">
        <v>204.94200000000001</v>
      </c>
      <c r="M1084" s="6">
        <v>204.94200000000001</v>
      </c>
      <c r="N1084" s="6">
        <v>204.94200000000001</v>
      </c>
      <c r="O1084" s="6">
        <v>204.94200000000001</v>
      </c>
      <c r="P1084" s="6">
        <v>59</v>
      </c>
      <c r="Q1084" s="4" t="s">
        <v>26</v>
      </c>
      <c r="R1084" s="4">
        <v>0</v>
      </c>
      <c r="S1084" s="4" t="s">
        <v>307</v>
      </c>
      <c r="T1084" s="4" t="s">
        <v>432</v>
      </c>
      <c r="U1084" s="4">
        <v>0</v>
      </c>
      <c r="V1084" s="4">
        <v>54</v>
      </c>
      <c r="W1084" s="4">
        <v>92</v>
      </c>
    </row>
    <row r="1085" spans="1:23" ht="11.25" customHeight="1" x14ac:dyDescent="0.25">
      <c r="A1085" s="4" t="s">
        <v>21</v>
      </c>
      <c r="B1085" s="4" t="s">
        <v>44</v>
      </c>
      <c r="C1085" s="4" t="s">
        <v>23</v>
      </c>
      <c r="D1085" s="4" t="s">
        <v>45</v>
      </c>
      <c r="E1085" s="4" t="s">
        <v>46</v>
      </c>
      <c r="F1085" s="4" t="s">
        <v>25</v>
      </c>
      <c r="G1085" s="4" t="s">
        <v>25</v>
      </c>
      <c r="H1085" s="4" t="s">
        <v>25</v>
      </c>
      <c r="I1085" s="5">
        <v>44440</v>
      </c>
      <c r="J1085" s="6">
        <v>0</v>
      </c>
      <c r="K1085" s="6">
        <v>0</v>
      </c>
      <c r="L1085" s="6">
        <v>618.27200000000005</v>
      </c>
      <c r="M1085" s="6">
        <v>618.27200000000005</v>
      </c>
      <c r="N1085" s="6">
        <v>618.27200000000005</v>
      </c>
      <c r="O1085" s="6">
        <v>618.27200000000005</v>
      </c>
      <c r="P1085" s="6">
        <v>59</v>
      </c>
      <c r="Q1085" s="4" t="s">
        <v>26</v>
      </c>
      <c r="R1085" s="4">
        <v>0</v>
      </c>
      <c r="S1085" s="4" t="s">
        <v>308</v>
      </c>
      <c r="T1085" s="4" t="s">
        <v>433</v>
      </c>
      <c r="U1085" s="4">
        <v>0</v>
      </c>
      <c r="V1085" s="4">
        <v>54</v>
      </c>
      <c r="W1085" s="4">
        <v>92</v>
      </c>
    </row>
    <row r="1086" spans="1:23" ht="11.25" customHeight="1" x14ac:dyDescent="0.25">
      <c r="A1086" s="4" t="s">
        <v>21</v>
      </c>
      <c r="B1086" s="4" t="s">
        <v>44</v>
      </c>
      <c r="C1086" s="4" t="s">
        <v>23</v>
      </c>
      <c r="D1086" s="4" t="s">
        <v>45</v>
      </c>
      <c r="E1086" s="4" t="s">
        <v>46</v>
      </c>
      <c r="F1086" s="4" t="s">
        <v>25</v>
      </c>
      <c r="G1086" s="4" t="s">
        <v>25</v>
      </c>
      <c r="H1086" s="4" t="s">
        <v>25</v>
      </c>
      <c r="I1086" s="5">
        <v>44470</v>
      </c>
      <c r="J1086" s="6">
        <v>0</v>
      </c>
      <c r="K1086" s="6">
        <v>0</v>
      </c>
      <c r="L1086" s="6">
        <v>600.58299999999997</v>
      </c>
      <c r="M1086" s="6">
        <v>600.58299999999997</v>
      </c>
      <c r="N1086" s="6">
        <v>600.58299999999997</v>
      </c>
      <c r="O1086" s="6">
        <v>600.58299999999997</v>
      </c>
      <c r="P1086" s="6">
        <v>57</v>
      </c>
      <c r="Q1086" s="4" t="s">
        <v>26</v>
      </c>
      <c r="R1086" s="4">
        <v>0</v>
      </c>
      <c r="S1086" s="4" t="s">
        <v>309</v>
      </c>
      <c r="T1086" s="4" t="s">
        <v>434</v>
      </c>
      <c r="U1086" s="4">
        <v>0</v>
      </c>
      <c r="V1086" s="4">
        <v>54</v>
      </c>
      <c r="W1086" s="4">
        <v>92</v>
      </c>
    </row>
    <row r="1087" spans="1:23" ht="11.25" customHeight="1" x14ac:dyDescent="0.25">
      <c r="A1087" s="4" t="s">
        <v>21</v>
      </c>
      <c r="B1087" s="4" t="s">
        <v>44</v>
      </c>
      <c r="C1087" s="4" t="s">
        <v>23</v>
      </c>
      <c r="D1087" s="4" t="s">
        <v>45</v>
      </c>
      <c r="E1087" s="4" t="s">
        <v>46</v>
      </c>
      <c r="F1087" s="4" t="s">
        <v>25</v>
      </c>
      <c r="G1087" s="4" t="s">
        <v>25</v>
      </c>
      <c r="H1087" s="4" t="s">
        <v>25</v>
      </c>
      <c r="I1087" s="5">
        <v>44501</v>
      </c>
      <c r="J1087" s="6">
        <v>0</v>
      </c>
      <c r="K1087" s="6">
        <v>0</v>
      </c>
      <c r="L1087" s="6">
        <v>617.64400000000001</v>
      </c>
      <c r="M1087" s="6">
        <v>617.64400000000001</v>
      </c>
      <c r="N1087" s="6">
        <v>617.64400000000001</v>
      </c>
      <c r="O1087" s="6">
        <v>617.64400000000001</v>
      </c>
      <c r="P1087" s="6">
        <v>58</v>
      </c>
      <c r="Q1087" s="4" t="s">
        <v>26</v>
      </c>
      <c r="R1087" s="4">
        <v>0</v>
      </c>
      <c r="S1087" s="4" t="s">
        <v>310</v>
      </c>
      <c r="T1087" s="4" t="s">
        <v>435</v>
      </c>
      <c r="U1087" s="4">
        <v>0</v>
      </c>
      <c r="V1087" s="4">
        <v>54</v>
      </c>
      <c r="W1087" s="4">
        <v>92</v>
      </c>
    </row>
    <row r="1088" spans="1:23" ht="11.25" customHeight="1" x14ac:dyDescent="0.25">
      <c r="A1088" s="4" t="s">
        <v>27</v>
      </c>
      <c r="B1088" s="4" t="s">
        <v>44</v>
      </c>
      <c r="C1088" s="4" t="s">
        <v>23</v>
      </c>
      <c r="D1088" s="4" t="s">
        <v>45</v>
      </c>
      <c r="E1088" s="4" t="s">
        <v>46</v>
      </c>
      <c r="F1088" s="4" t="s">
        <v>25</v>
      </c>
      <c r="G1088" s="4" t="s">
        <v>25</v>
      </c>
      <c r="H1088" s="4" t="s">
        <v>25</v>
      </c>
      <c r="I1088" s="5">
        <v>44501</v>
      </c>
      <c r="J1088" s="6">
        <v>0</v>
      </c>
      <c r="K1088" s="6">
        <v>0</v>
      </c>
      <c r="L1088" s="6">
        <v>-0.03</v>
      </c>
      <c r="M1088" s="6">
        <v>-0.03</v>
      </c>
      <c r="N1088" s="6">
        <v>-0.03</v>
      </c>
      <c r="O1088" s="6">
        <v>-0.03</v>
      </c>
      <c r="P1088" s="6">
        <v>-1</v>
      </c>
      <c r="Q1088" s="4" t="s">
        <v>26</v>
      </c>
      <c r="R1088" s="4">
        <v>0</v>
      </c>
      <c r="S1088" s="4" t="s">
        <v>310</v>
      </c>
      <c r="T1088" s="4" t="s">
        <v>435</v>
      </c>
      <c r="U1088" s="4">
        <v>0</v>
      </c>
      <c r="V1088" s="4">
        <v>54</v>
      </c>
      <c r="W1088" s="4">
        <v>92</v>
      </c>
    </row>
    <row r="1089" spans="1:23" ht="11.25" customHeight="1" x14ac:dyDescent="0.25">
      <c r="A1089" s="4" t="s">
        <v>21</v>
      </c>
      <c r="B1089" s="4" t="s">
        <v>44</v>
      </c>
      <c r="C1089" s="4" t="s">
        <v>23</v>
      </c>
      <c r="D1089" s="4" t="s">
        <v>45</v>
      </c>
      <c r="E1089" s="4" t="s">
        <v>46</v>
      </c>
      <c r="F1089" s="4" t="s">
        <v>25</v>
      </c>
      <c r="G1089" s="4" t="s">
        <v>25</v>
      </c>
      <c r="H1089" s="4" t="s">
        <v>25</v>
      </c>
      <c r="I1089" s="5">
        <v>44531</v>
      </c>
      <c r="J1089" s="6">
        <v>0</v>
      </c>
      <c r="K1089" s="6">
        <v>0</v>
      </c>
      <c r="L1089" s="6">
        <v>667.58900000000006</v>
      </c>
      <c r="M1089" s="6">
        <v>667.58900000000006</v>
      </c>
      <c r="N1089" s="6">
        <v>667.58900000000006</v>
      </c>
      <c r="O1089" s="6">
        <v>667.58900000000006</v>
      </c>
      <c r="P1089" s="6">
        <v>59</v>
      </c>
      <c r="Q1089" s="4" t="s">
        <v>26</v>
      </c>
      <c r="R1089" s="4">
        <v>0</v>
      </c>
      <c r="S1089" s="4" t="s">
        <v>311</v>
      </c>
      <c r="T1089" s="4" t="s">
        <v>436</v>
      </c>
      <c r="U1089" s="4">
        <v>0</v>
      </c>
      <c r="V1089" s="4">
        <v>54</v>
      </c>
      <c r="W1089" s="4">
        <v>92</v>
      </c>
    </row>
    <row r="1090" spans="1:23" ht="11.25" customHeight="1" x14ac:dyDescent="0.25">
      <c r="A1090" s="4" t="s">
        <v>27</v>
      </c>
      <c r="B1090" s="4" t="s">
        <v>44</v>
      </c>
      <c r="C1090" s="4" t="s">
        <v>23</v>
      </c>
      <c r="D1090" s="4" t="s">
        <v>45</v>
      </c>
      <c r="E1090" s="4" t="s">
        <v>46</v>
      </c>
      <c r="F1090" s="4" t="s">
        <v>25</v>
      </c>
      <c r="G1090" s="4" t="s">
        <v>25</v>
      </c>
      <c r="H1090" s="4" t="s">
        <v>25</v>
      </c>
      <c r="I1090" s="5">
        <v>44531</v>
      </c>
      <c r="J1090" s="6">
        <v>0</v>
      </c>
      <c r="K1090" s="6">
        <v>0</v>
      </c>
      <c r="L1090" s="6">
        <v>-104.538</v>
      </c>
      <c r="M1090" s="6">
        <v>-104.538</v>
      </c>
      <c r="N1090" s="6">
        <v>-104.538</v>
      </c>
      <c r="O1090" s="6">
        <v>-104.538</v>
      </c>
      <c r="P1090" s="6">
        <v>-2</v>
      </c>
      <c r="Q1090" s="4" t="s">
        <v>26</v>
      </c>
      <c r="R1090" s="4">
        <v>0</v>
      </c>
      <c r="S1090" s="4" t="s">
        <v>311</v>
      </c>
      <c r="T1090" s="4" t="s">
        <v>436</v>
      </c>
      <c r="U1090" s="4">
        <v>0</v>
      </c>
      <c r="V1090" s="4">
        <v>54</v>
      </c>
      <c r="W1090" s="4">
        <v>92</v>
      </c>
    </row>
    <row r="1091" spans="1:23" ht="11.25" customHeight="1" x14ac:dyDescent="0.25">
      <c r="A1091" s="4" t="s">
        <v>21</v>
      </c>
      <c r="B1091" s="4" t="s">
        <v>44</v>
      </c>
      <c r="C1091" s="4" t="s">
        <v>23</v>
      </c>
      <c r="D1091" s="4" t="s">
        <v>45</v>
      </c>
      <c r="E1091" s="4" t="s">
        <v>46</v>
      </c>
      <c r="F1091" s="4" t="s">
        <v>25</v>
      </c>
      <c r="G1091" s="4" t="s">
        <v>25</v>
      </c>
      <c r="H1091" s="4" t="s">
        <v>25</v>
      </c>
      <c r="I1091" s="5">
        <v>44562</v>
      </c>
      <c r="J1091" s="6">
        <v>0</v>
      </c>
      <c r="K1091" s="6">
        <v>0</v>
      </c>
      <c r="L1091" s="6">
        <v>585.65700000000004</v>
      </c>
      <c r="M1091" s="6">
        <v>585.65700000000004</v>
      </c>
      <c r="N1091" s="6">
        <v>585.65700000000004</v>
      </c>
      <c r="O1091" s="6">
        <v>585.65700000000004</v>
      </c>
      <c r="P1091" s="6">
        <v>57</v>
      </c>
      <c r="Q1091" s="4" t="s">
        <v>26</v>
      </c>
      <c r="R1091" s="4">
        <v>0</v>
      </c>
      <c r="S1091" s="4" t="s">
        <v>312</v>
      </c>
      <c r="T1091" s="4" t="s">
        <v>437</v>
      </c>
      <c r="U1091" s="4">
        <v>0</v>
      </c>
      <c r="V1091" s="4">
        <v>54</v>
      </c>
      <c r="W1091" s="4">
        <v>92</v>
      </c>
    </row>
    <row r="1092" spans="1:23" ht="11.25" customHeight="1" x14ac:dyDescent="0.25">
      <c r="A1092" s="4" t="s">
        <v>21</v>
      </c>
      <c r="B1092" s="4" t="s">
        <v>44</v>
      </c>
      <c r="C1092" s="4" t="s">
        <v>23</v>
      </c>
      <c r="D1092" s="4" t="s">
        <v>45</v>
      </c>
      <c r="E1092" s="4" t="s">
        <v>46</v>
      </c>
      <c r="F1092" s="4" t="s">
        <v>25</v>
      </c>
      <c r="G1092" s="4" t="s">
        <v>25</v>
      </c>
      <c r="H1092" s="4" t="s">
        <v>25</v>
      </c>
      <c r="I1092" s="5">
        <v>44593</v>
      </c>
      <c r="J1092" s="6">
        <v>0</v>
      </c>
      <c r="K1092" s="6">
        <v>0</v>
      </c>
      <c r="L1092" s="6">
        <v>578.75900000000001</v>
      </c>
      <c r="M1092" s="6">
        <v>578.75900000000001</v>
      </c>
      <c r="N1092" s="6">
        <v>578.75900000000001</v>
      </c>
      <c r="O1092" s="6">
        <v>578.75900000000001</v>
      </c>
      <c r="P1092" s="6">
        <v>56</v>
      </c>
      <c r="Q1092" s="4" t="s">
        <v>26</v>
      </c>
      <c r="R1092" s="4">
        <v>0</v>
      </c>
      <c r="S1092" s="4" t="s">
        <v>313</v>
      </c>
      <c r="T1092" s="4" t="s">
        <v>438</v>
      </c>
      <c r="U1092" s="4">
        <v>0</v>
      </c>
      <c r="V1092" s="4">
        <v>54</v>
      </c>
      <c r="W1092" s="4">
        <v>92</v>
      </c>
    </row>
    <row r="1093" spans="1:23" ht="11.25" customHeight="1" x14ac:dyDescent="0.25">
      <c r="A1093" s="4" t="s">
        <v>21</v>
      </c>
      <c r="B1093" s="4" t="s">
        <v>44</v>
      </c>
      <c r="C1093" s="4" t="s">
        <v>23</v>
      </c>
      <c r="D1093" s="4" t="s">
        <v>45</v>
      </c>
      <c r="E1093" s="4" t="s">
        <v>46</v>
      </c>
      <c r="F1093" s="4" t="s">
        <v>25</v>
      </c>
      <c r="G1093" s="4" t="s">
        <v>25</v>
      </c>
      <c r="H1093" s="4" t="s">
        <v>25</v>
      </c>
      <c r="I1093" s="5">
        <v>44621</v>
      </c>
      <c r="J1093" s="6">
        <v>0</v>
      </c>
      <c r="K1093" s="6">
        <v>0</v>
      </c>
      <c r="L1093" s="6">
        <v>544.57299999999998</v>
      </c>
      <c r="M1093" s="6">
        <v>544.57299999999998</v>
      </c>
      <c r="N1093" s="6">
        <v>544.57299999999998</v>
      </c>
      <c r="O1093" s="6">
        <v>544.57299999999998</v>
      </c>
      <c r="P1093" s="6">
        <v>57</v>
      </c>
      <c r="Q1093" s="4" t="s">
        <v>26</v>
      </c>
      <c r="R1093" s="4">
        <v>0</v>
      </c>
      <c r="S1093" s="4" t="s">
        <v>314</v>
      </c>
      <c r="T1093" s="4" t="s">
        <v>439</v>
      </c>
      <c r="U1093" s="4">
        <v>0</v>
      </c>
      <c r="V1093" s="4">
        <v>54</v>
      </c>
      <c r="W1093" s="4">
        <v>92</v>
      </c>
    </row>
    <row r="1094" spans="1:23" ht="11.25" customHeight="1" x14ac:dyDescent="0.25">
      <c r="A1094" s="4" t="s">
        <v>27</v>
      </c>
      <c r="B1094" s="4" t="s">
        <v>44</v>
      </c>
      <c r="C1094" s="4" t="s">
        <v>23</v>
      </c>
      <c r="D1094" s="4" t="s">
        <v>45</v>
      </c>
      <c r="E1094" s="4" t="s">
        <v>46</v>
      </c>
      <c r="F1094" s="4" t="s">
        <v>25</v>
      </c>
      <c r="G1094" s="4" t="s">
        <v>25</v>
      </c>
      <c r="H1094" s="4" t="s">
        <v>25</v>
      </c>
      <c r="I1094" s="5">
        <v>44621</v>
      </c>
      <c r="J1094" s="6">
        <v>0</v>
      </c>
      <c r="K1094" s="6">
        <v>0</v>
      </c>
      <c r="L1094" s="6">
        <v>-17.571999999999999</v>
      </c>
      <c r="M1094" s="6">
        <v>-17.571999999999999</v>
      </c>
      <c r="N1094" s="6">
        <v>-17.571999999999999</v>
      </c>
      <c r="O1094" s="6">
        <v>-17.571999999999999</v>
      </c>
      <c r="P1094" s="6">
        <v>-1</v>
      </c>
      <c r="Q1094" s="4" t="s">
        <v>26</v>
      </c>
      <c r="R1094" s="4">
        <v>0</v>
      </c>
      <c r="S1094" s="4" t="s">
        <v>314</v>
      </c>
      <c r="T1094" s="4" t="s">
        <v>439</v>
      </c>
      <c r="U1094" s="4">
        <v>0</v>
      </c>
      <c r="V1094" s="4">
        <v>54</v>
      </c>
      <c r="W1094" s="4">
        <v>92</v>
      </c>
    </row>
    <row r="1095" spans="1:23" ht="11.25" customHeight="1" x14ac:dyDescent="0.25">
      <c r="A1095" s="4" t="s">
        <v>21</v>
      </c>
      <c r="B1095" s="4" t="s">
        <v>44</v>
      </c>
      <c r="C1095" s="4" t="s">
        <v>23</v>
      </c>
      <c r="D1095" s="4" t="s">
        <v>45</v>
      </c>
      <c r="E1095" s="4" t="s">
        <v>46</v>
      </c>
      <c r="F1095" s="4" t="s">
        <v>25</v>
      </c>
      <c r="G1095" s="4" t="s">
        <v>25</v>
      </c>
      <c r="H1095" s="4" t="s">
        <v>25</v>
      </c>
      <c r="I1095" s="5">
        <v>44652</v>
      </c>
      <c r="J1095" s="6">
        <v>0</v>
      </c>
      <c r="K1095" s="6">
        <v>0</v>
      </c>
      <c r="L1095" s="6">
        <v>591.84500000000003</v>
      </c>
      <c r="M1095" s="6">
        <v>591.84500000000003</v>
      </c>
      <c r="N1095" s="6">
        <v>591.84500000000003</v>
      </c>
      <c r="O1095" s="6">
        <v>591.84500000000003</v>
      </c>
      <c r="P1095" s="6">
        <v>59</v>
      </c>
      <c r="Q1095" s="4" t="s">
        <v>26</v>
      </c>
      <c r="R1095" s="4">
        <v>0</v>
      </c>
      <c r="S1095" s="4" t="s">
        <v>315</v>
      </c>
      <c r="T1095" s="4" t="s">
        <v>440</v>
      </c>
      <c r="U1095" s="4">
        <v>0</v>
      </c>
      <c r="V1095" s="4">
        <v>54</v>
      </c>
      <c r="W1095" s="4">
        <v>92</v>
      </c>
    </row>
    <row r="1096" spans="1:23" ht="11.25" customHeight="1" x14ac:dyDescent="0.25">
      <c r="A1096" s="4" t="s">
        <v>27</v>
      </c>
      <c r="B1096" s="4" t="s">
        <v>44</v>
      </c>
      <c r="C1096" s="4" t="s">
        <v>23</v>
      </c>
      <c r="D1096" s="4" t="s">
        <v>45</v>
      </c>
      <c r="E1096" s="4" t="s">
        <v>46</v>
      </c>
      <c r="F1096" s="4" t="s">
        <v>25</v>
      </c>
      <c r="G1096" s="4" t="s">
        <v>25</v>
      </c>
      <c r="H1096" s="4" t="s">
        <v>25</v>
      </c>
      <c r="I1096" s="5">
        <v>44652</v>
      </c>
      <c r="J1096" s="6">
        <v>0</v>
      </c>
      <c r="K1096" s="6">
        <v>0</v>
      </c>
      <c r="L1096" s="6">
        <v>-3.806</v>
      </c>
      <c r="M1096" s="6">
        <v>-3.806</v>
      </c>
      <c r="N1096" s="6">
        <v>-3.806</v>
      </c>
      <c r="O1096" s="6">
        <v>-3.806</v>
      </c>
      <c r="P1096" s="6">
        <v>-2</v>
      </c>
      <c r="Q1096" s="4" t="s">
        <v>26</v>
      </c>
      <c r="R1096" s="4">
        <v>0</v>
      </c>
      <c r="S1096" s="4" t="s">
        <v>315</v>
      </c>
      <c r="T1096" s="4" t="s">
        <v>440</v>
      </c>
      <c r="U1096" s="4">
        <v>0</v>
      </c>
      <c r="V1096" s="4">
        <v>54</v>
      </c>
      <c r="W1096" s="4">
        <v>92</v>
      </c>
    </row>
    <row r="1097" spans="1:23" ht="11.25" customHeight="1" x14ac:dyDescent="0.25">
      <c r="A1097" s="4" t="s">
        <v>21</v>
      </c>
      <c r="B1097" s="4" t="s">
        <v>44</v>
      </c>
      <c r="C1097" s="4" t="s">
        <v>23</v>
      </c>
      <c r="D1097" s="4" t="s">
        <v>45</v>
      </c>
      <c r="E1097" s="4" t="s">
        <v>46</v>
      </c>
      <c r="F1097" s="4" t="s">
        <v>25</v>
      </c>
      <c r="G1097" s="4" t="s">
        <v>25</v>
      </c>
      <c r="H1097" s="4" t="s">
        <v>25</v>
      </c>
      <c r="I1097" s="5">
        <v>44682</v>
      </c>
      <c r="J1097" s="6">
        <v>0</v>
      </c>
      <c r="K1097" s="6">
        <v>0</v>
      </c>
      <c r="L1097" s="6">
        <v>561.97900000000004</v>
      </c>
      <c r="M1097" s="6">
        <v>561.97900000000004</v>
      </c>
      <c r="N1097" s="6">
        <v>561.97900000000004</v>
      </c>
      <c r="O1097" s="6">
        <v>561.97900000000004</v>
      </c>
      <c r="P1097" s="6">
        <v>57</v>
      </c>
      <c r="Q1097" s="4" t="s">
        <v>26</v>
      </c>
      <c r="R1097" s="4">
        <v>0</v>
      </c>
      <c r="S1097" s="4" t="s">
        <v>316</v>
      </c>
      <c r="T1097" s="4" t="s">
        <v>441</v>
      </c>
      <c r="U1097" s="4">
        <v>0</v>
      </c>
      <c r="V1097" s="4">
        <v>54</v>
      </c>
      <c r="W1097" s="4">
        <v>92</v>
      </c>
    </row>
    <row r="1098" spans="1:23" ht="11.25" customHeight="1" x14ac:dyDescent="0.25">
      <c r="A1098" s="4" t="s">
        <v>21</v>
      </c>
      <c r="B1098" s="4" t="s">
        <v>44</v>
      </c>
      <c r="C1098" s="4" t="s">
        <v>23</v>
      </c>
      <c r="D1098" s="4" t="s">
        <v>45</v>
      </c>
      <c r="E1098" s="4" t="s">
        <v>46</v>
      </c>
      <c r="F1098" s="4" t="s">
        <v>25</v>
      </c>
      <c r="G1098" s="4" t="s">
        <v>25</v>
      </c>
      <c r="H1098" s="4" t="s">
        <v>25</v>
      </c>
      <c r="I1098" s="5">
        <v>44713</v>
      </c>
      <c r="J1098" s="6">
        <v>0</v>
      </c>
      <c r="K1098" s="6">
        <v>0</v>
      </c>
      <c r="L1098" s="6">
        <v>595.21500000000003</v>
      </c>
      <c r="M1098" s="6">
        <v>595.21500000000003</v>
      </c>
      <c r="N1098" s="6">
        <v>595.21500000000003</v>
      </c>
      <c r="O1098" s="6">
        <v>595.21500000000003</v>
      </c>
      <c r="P1098" s="6">
        <v>59</v>
      </c>
      <c r="Q1098" s="4" t="s">
        <v>26</v>
      </c>
      <c r="R1098" s="4">
        <v>0</v>
      </c>
      <c r="S1098" s="4" t="s">
        <v>317</v>
      </c>
      <c r="T1098" s="4" t="s">
        <v>442</v>
      </c>
      <c r="U1098" s="4">
        <v>0</v>
      </c>
      <c r="V1098" s="4">
        <v>54</v>
      </c>
      <c r="W1098" s="4">
        <v>92</v>
      </c>
    </row>
    <row r="1099" spans="1:23" ht="11.25" customHeight="1" x14ac:dyDescent="0.25">
      <c r="A1099" s="4" t="s">
        <v>27</v>
      </c>
      <c r="B1099" s="4" t="s">
        <v>44</v>
      </c>
      <c r="C1099" s="4" t="s">
        <v>23</v>
      </c>
      <c r="D1099" s="4" t="s">
        <v>45</v>
      </c>
      <c r="E1099" s="4" t="s">
        <v>46</v>
      </c>
      <c r="F1099" s="4" t="s">
        <v>25</v>
      </c>
      <c r="G1099" s="4" t="s">
        <v>25</v>
      </c>
      <c r="H1099" s="4" t="s">
        <v>25</v>
      </c>
      <c r="I1099" s="5">
        <v>44713</v>
      </c>
      <c r="J1099" s="6">
        <v>0</v>
      </c>
      <c r="K1099" s="6">
        <v>0</v>
      </c>
      <c r="L1099" s="6">
        <v>-13.686999999999999</v>
      </c>
      <c r="M1099" s="6">
        <v>-13.686999999999999</v>
      </c>
      <c r="N1099" s="6">
        <v>-13.686999999999999</v>
      </c>
      <c r="O1099" s="6">
        <v>-13.686999999999999</v>
      </c>
      <c r="P1099" s="6">
        <v>-2</v>
      </c>
      <c r="Q1099" s="4" t="s">
        <v>26</v>
      </c>
      <c r="R1099" s="4">
        <v>0</v>
      </c>
      <c r="S1099" s="4" t="s">
        <v>317</v>
      </c>
      <c r="T1099" s="4" t="s">
        <v>442</v>
      </c>
      <c r="U1099" s="4">
        <v>0</v>
      </c>
      <c r="V1099" s="4">
        <v>54</v>
      </c>
      <c r="W1099" s="4">
        <v>92</v>
      </c>
    </row>
  </sheetData>
  <sortState xmlns:xlrd2="http://schemas.microsoft.com/office/spreadsheetml/2017/richdata2" ref="A2:W1099">
    <sortCondition ref="B2:B1099"/>
    <sortCondition ref="C2:C1099"/>
    <sortCondition ref="D2:D1099"/>
    <sortCondition ref="E2:E1099"/>
    <sortCondition ref="F2:F1099"/>
    <sortCondition ref="H2:H1099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7BEAB-22CD-4CBB-A4C8-591CC3519E9E}">
  <dimension ref="A1:H167"/>
  <sheetViews>
    <sheetView showGridLines="0" workbookViewId="0">
      <selection activeCell="G19" sqref="G19"/>
    </sheetView>
  </sheetViews>
  <sheetFormatPr defaultRowHeight="11.25" customHeight="1" x14ac:dyDescent="0.25"/>
  <cols>
    <col min="1" max="1" width="11.140625" style="8" bestFit="1" customWidth="1"/>
    <col min="2" max="2" width="84.85546875" style="8" bestFit="1" customWidth="1"/>
    <col min="3" max="3" width="13.140625" style="8" bestFit="1" customWidth="1"/>
    <col min="4" max="4" width="5.5703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66</v>
      </c>
      <c r="B1" s="7" t="s">
        <v>67</v>
      </c>
      <c r="C1" s="7" t="s">
        <v>68</v>
      </c>
      <c r="D1" s="7" t="s">
        <v>69</v>
      </c>
      <c r="E1" s="7" t="s">
        <v>70</v>
      </c>
      <c r="G1" s="7" t="s">
        <v>71</v>
      </c>
      <c r="H1" s="7">
        <f>COUNTA(A:A)</f>
        <v>167</v>
      </c>
    </row>
    <row r="2" spans="1:8" ht="11.25" customHeight="1" x14ac:dyDescent="0.25">
      <c r="A2" s="8" t="s">
        <v>343</v>
      </c>
      <c r="B2" s="8" t="s">
        <v>344</v>
      </c>
      <c r="C2" s="8" t="s">
        <v>345</v>
      </c>
      <c r="D2" s="8">
        <v>243</v>
      </c>
      <c r="E2" s="8" t="s">
        <v>346</v>
      </c>
    </row>
    <row r="3" spans="1:8" ht="11.25" customHeight="1" x14ac:dyDescent="0.25">
      <c r="A3" s="8" t="s">
        <v>343</v>
      </c>
      <c r="B3" s="8" t="s">
        <v>344</v>
      </c>
      <c r="C3" s="8" t="s">
        <v>345</v>
      </c>
      <c r="D3" s="8">
        <v>244</v>
      </c>
      <c r="E3" s="8" t="s">
        <v>346</v>
      </c>
    </row>
    <row r="4" spans="1:8" ht="11.25" customHeight="1" x14ac:dyDescent="0.25">
      <c r="A4" s="8" t="s">
        <v>343</v>
      </c>
      <c r="B4" s="8" t="s">
        <v>344</v>
      </c>
      <c r="C4" s="8" t="s">
        <v>345</v>
      </c>
      <c r="D4" s="8">
        <v>245</v>
      </c>
      <c r="E4" s="8" t="s">
        <v>346</v>
      </c>
    </row>
    <row r="5" spans="1:8" ht="11.25" customHeight="1" x14ac:dyDescent="0.25">
      <c r="A5" s="8" t="s">
        <v>343</v>
      </c>
      <c r="B5" s="8" t="s">
        <v>344</v>
      </c>
      <c r="C5" s="8" t="s">
        <v>345</v>
      </c>
      <c r="D5" s="8">
        <v>246</v>
      </c>
      <c r="E5" s="8" t="s">
        <v>346</v>
      </c>
    </row>
    <row r="6" spans="1:8" ht="11.25" customHeight="1" x14ac:dyDescent="0.25">
      <c r="A6" s="8" t="s">
        <v>343</v>
      </c>
      <c r="B6" s="8" t="s">
        <v>344</v>
      </c>
      <c r="C6" s="8" t="s">
        <v>345</v>
      </c>
      <c r="D6" s="8">
        <v>247</v>
      </c>
      <c r="E6" s="8" t="s">
        <v>346</v>
      </c>
    </row>
    <row r="7" spans="1:8" ht="11.25" customHeight="1" x14ac:dyDescent="0.25">
      <c r="A7" s="8" t="s">
        <v>343</v>
      </c>
      <c r="B7" s="8" t="s">
        <v>344</v>
      </c>
      <c r="C7" s="8" t="s">
        <v>345</v>
      </c>
      <c r="D7" s="8">
        <v>248</v>
      </c>
      <c r="E7" s="8" t="s">
        <v>346</v>
      </c>
    </row>
    <row r="8" spans="1:8" ht="11.25" customHeight="1" x14ac:dyDescent="0.25">
      <c r="A8" s="8" t="s">
        <v>343</v>
      </c>
      <c r="B8" s="8" t="s">
        <v>344</v>
      </c>
      <c r="C8" s="8" t="s">
        <v>345</v>
      </c>
      <c r="D8" s="8">
        <v>249</v>
      </c>
      <c r="E8" s="8" t="s">
        <v>346</v>
      </c>
    </row>
    <row r="9" spans="1:8" ht="11.25" customHeight="1" x14ac:dyDescent="0.25">
      <c r="A9" s="8" t="s">
        <v>343</v>
      </c>
      <c r="B9" s="8" t="s">
        <v>344</v>
      </c>
      <c r="C9" s="8" t="s">
        <v>345</v>
      </c>
      <c r="D9" s="8">
        <v>250</v>
      </c>
      <c r="E9" s="8" t="s">
        <v>346</v>
      </c>
    </row>
    <row r="10" spans="1:8" ht="11.25" customHeight="1" x14ac:dyDescent="0.25">
      <c r="A10" s="8" t="s">
        <v>343</v>
      </c>
      <c r="B10" s="8" t="s">
        <v>344</v>
      </c>
      <c r="C10" s="8" t="s">
        <v>345</v>
      </c>
      <c r="D10" s="8">
        <v>251</v>
      </c>
      <c r="E10" s="8" t="s">
        <v>346</v>
      </c>
    </row>
    <row r="11" spans="1:8" ht="11.25" customHeight="1" x14ac:dyDescent="0.25">
      <c r="A11" s="8" t="s">
        <v>343</v>
      </c>
      <c r="B11" s="8" t="s">
        <v>344</v>
      </c>
      <c r="C11" s="8" t="s">
        <v>345</v>
      </c>
      <c r="D11" s="8">
        <v>252</v>
      </c>
      <c r="E11" s="8" t="s">
        <v>346</v>
      </c>
    </row>
    <row r="12" spans="1:8" ht="11.25" customHeight="1" x14ac:dyDescent="0.25">
      <c r="A12" s="8" t="s">
        <v>343</v>
      </c>
      <c r="B12" s="8" t="s">
        <v>344</v>
      </c>
      <c r="C12" s="8" t="s">
        <v>345</v>
      </c>
      <c r="D12" s="8">
        <v>253</v>
      </c>
      <c r="E12" s="8" t="s">
        <v>346</v>
      </c>
    </row>
    <row r="13" spans="1:8" ht="11.25" customHeight="1" x14ac:dyDescent="0.25">
      <c r="A13" s="8" t="s">
        <v>343</v>
      </c>
      <c r="B13" s="8" t="s">
        <v>344</v>
      </c>
      <c r="C13" s="8" t="s">
        <v>345</v>
      </c>
      <c r="D13" s="8">
        <v>254</v>
      </c>
      <c r="E13" s="8" t="s">
        <v>346</v>
      </c>
    </row>
    <row r="14" spans="1:8" ht="11.25" customHeight="1" x14ac:dyDescent="0.25">
      <c r="A14" s="8" t="s">
        <v>343</v>
      </c>
      <c r="B14" s="8" t="s">
        <v>344</v>
      </c>
      <c r="C14" s="8" t="s">
        <v>345</v>
      </c>
      <c r="D14" s="8">
        <v>255</v>
      </c>
      <c r="E14" s="8" t="s">
        <v>346</v>
      </c>
    </row>
    <row r="15" spans="1:8" ht="11.25" customHeight="1" x14ac:dyDescent="0.25">
      <c r="A15" s="8" t="s">
        <v>343</v>
      </c>
      <c r="B15" s="8" t="s">
        <v>344</v>
      </c>
      <c r="C15" s="8" t="s">
        <v>345</v>
      </c>
      <c r="D15" s="8">
        <v>256</v>
      </c>
      <c r="E15" s="8" t="s">
        <v>346</v>
      </c>
    </row>
    <row r="16" spans="1:8" ht="11.25" customHeight="1" x14ac:dyDescent="0.25">
      <c r="A16" s="8" t="s">
        <v>343</v>
      </c>
      <c r="B16" s="8" t="s">
        <v>344</v>
      </c>
      <c r="C16" s="8" t="s">
        <v>345</v>
      </c>
      <c r="D16" s="8">
        <v>257</v>
      </c>
      <c r="E16" s="8" t="s">
        <v>346</v>
      </c>
    </row>
    <row r="17" spans="1:5" ht="11.25" customHeight="1" x14ac:dyDescent="0.25">
      <c r="A17" s="8" t="s">
        <v>343</v>
      </c>
      <c r="B17" s="8" t="s">
        <v>344</v>
      </c>
      <c r="C17" s="8" t="s">
        <v>345</v>
      </c>
      <c r="D17" s="8">
        <v>258</v>
      </c>
      <c r="E17" s="8" t="s">
        <v>346</v>
      </c>
    </row>
    <row r="18" spans="1:5" ht="11.25" customHeight="1" x14ac:dyDescent="0.25">
      <c r="A18" s="8" t="s">
        <v>343</v>
      </c>
      <c r="B18" s="8" t="s">
        <v>344</v>
      </c>
      <c r="C18" s="8" t="s">
        <v>345</v>
      </c>
      <c r="D18" s="8">
        <v>259</v>
      </c>
      <c r="E18" s="8" t="s">
        <v>346</v>
      </c>
    </row>
    <row r="19" spans="1:5" ht="11.25" customHeight="1" x14ac:dyDescent="0.25">
      <c r="A19" s="8" t="s">
        <v>343</v>
      </c>
      <c r="B19" s="8" t="s">
        <v>344</v>
      </c>
      <c r="C19" s="8" t="s">
        <v>345</v>
      </c>
      <c r="D19" s="8">
        <v>260</v>
      </c>
      <c r="E19" s="8" t="s">
        <v>346</v>
      </c>
    </row>
    <row r="20" spans="1:5" ht="11.25" customHeight="1" x14ac:dyDescent="0.25">
      <c r="A20" s="8" t="s">
        <v>343</v>
      </c>
      <c r="B20" s="8" t="s">
        <v>344</v>
      </c>
      <c r="C20" s="8" t="s">
        <v>345</v>
      </c>
      <c r="D20" s="8">
        <v>261</v>
      </c>
      <c r="E20" s="8" t="s">
        <v>346</v>
      </c>
    </row>
    <row r="21" spans="1:5" ht="11.25" customHeight="1" x14ac:dyDescent="0.25">
      <c r="A21" s="8" t="s">
        <v>343</v>
      </c>
      <c r="B21" s="8" t="s">
        <v>344</v>
      </c>
      <c r="C21" s="8" t="s">
        <v>345</v>
      </c>
      <c r="D21" s="8">
        <v>262</v>
      </c>
      <c r="E21" s="8" t="s">
        <v>346</v>
      </c>
    </row>
    <row r="22" spans="1:5" ht="11.25" customHeight="1" x14ac:dyDescent="0.25">
      <c r="A22" s="8" t="s">
        <v>343</v>
      </c>
      <c r="B22" s="8" t="s">
        <v>344</v>
      </c>
      <c r="C22" s="8" t="s">
        <v>345</v>
      </c>
      <c r="D22" s="8">
        <v>263</v>
      </c>
      <c r="E22" s="8" t="s">
        <v>346</v>
      </c>
    </row>
    <row r="23" spans="1:5" ht="11.25" customHeight="1" x14ac:dyDescent="0.25">
      <c r="A23" s="8" t="s">
        <v>343</v>
      </c>
      <c r="B23" s="8" t="s">
        <v>344</v>
      </c>
      <c r="C23" s="8" t="s">
        <v>345</v>
      </c>
      <c r="D23" s="8">
        <v>264</v>
      </c>
      <c r="E23" s="8" t="s">
        <v>346</v>
      </c>
    </row>
    <row r="24" spans="1:5" ht="11.25" customHeight="1" x14ac:dyDescent="0.25">
      <c r="A24" s="8" t="s">
        <v>343</v>
      </c>
      <c r="B24" s="8" t="s">
        <v>344</v>
      </c>
      <c r="C24" s="8" t="s">
        <v>345</v>
      </c>
      <c r="D24" s="8">
        <v>265</v>
      </c>
      <c r="E24" s="8" t="s">
        <v>346</v>
      </c>
    </row>
    <row r="25" spans="1:5" ht="11.25" customHeight="1" x14ac:dyDescent="0.25">
      <c r="A25" s="8" t="s">
        <v>343</v>
      </c>
      <c r="B25" s="8" t="s">
        <v>344</v>
      </c>
      <c r="C25" s="8" t="s">
        <v>345</v>
      </c>
      <c r="D25" s="8">
        <v>266</v>
      </c>
      <c r="E25" s="8" t="s">
        <v>346</v>
      </c>
    </row>
    <row r="26" spans="1:5" ht="11.25" customHeight="1" x14ac:dyDescent="0.25">
      <c r="A26" s="8" t="s">
        <v>343</v>
      </c>
      <c r="B26" s="8" t="s">
        <v>344</v>
      </c>
      <c r="C26" s="8" t="s">
        <v>345</v>
      </c>
      <c r="D26" s="8">
        <v>267</v>
      </c>
      <c r="E26" s="8" t="s">
        <v>346</v>
      </c>
    </row>
    <row r="27" spans="1:5" ht="11.25" customHeight="1" x14ac:dyDescent="0.25">
      <c r="A27" s="8" t="s">
        <v>343</v>
      </c>
      <c r="B27" s="8" t="s">
        <v>344</v>
      </c>
      <c r="C27" s="8" t="s">
        <v>345</v>
      </c>
      <c r="D27" s="8">
        <v>268</v>
      </c>
      <c r="E27" s="8" t="s">
        <v>346</v>
      </c>
    </row>
    <row r="28" spans="1:5" ht="11.25" customHeight="1" x14ac:dyDescent="0.25">
      <c r="A28" s="8" t="s">
        <v>343</v>
      </c>
      <c r="B28" s="8" t="s">
        <v>344</v>
      </c>
      <c r="C28" s="8" t="s">
        <v>345</v>
      </c>
      <c r="D28" s="8">
        <v>269</v>
      </c>
      <c r="E28" s="8" t="s">
        <v>346</v>
      </c>
    </row>
    <row r="29" spans="1:5" ht="11.25" customHeight="1" x14ac:dyDescent="0.25">
      <c r="A29" s="8" t="s">
        <v>343</v>
      </c>
      <c r="B29" s="8" t="s">
        <v>344</v>
      </c>
      <c r="C29" s="8" t="s">
        <v>345</v>
      </c>
      <c r="D29" s="8">
        <v>270</v>
      </c>
      <c r="E29" s="8" t="s">
        <v>346</v>
      </c>
    </row>
    <row r="30" spans="1:5" ht="11.25" customHeight="1" x14ac:dyDescent="0.25">
      <c r="A30" s="8" t="s">
        <v>343</v>
      </c>
      <c r="B30" s="8" t="s">
        <v>344</v>
      </c>
      <c r="C30" s="8" t="s">
        <v>345</v>
      </c>
      <c r="D30" s="8">
        <v>271</v>
      </c>
      <c r="E30" s="8" t="s">
        <v>346</v>
      </c>
    </row>
    <row r="31" spans="1:5" ht="11.25" customHeight="1" x14ac:dyDescent="0.25">
      <c r="A31" s="8" t="s">
        <v>343</v>
      </c>
      <c r="B31" s="8" t="s">
        <v>344</v>
      </c>
      <c r="C31" s="8" t="s">
        <v>345</v>
      </c>
      <c r="D31" s="8">
        <v>272</v>
      </c>
      <c r="E31" s="8" t="s">
        <v>346</v>
      </c>
    </row>
    <row r="32" spans="1:5" ht="11.25" customHeight="1" x14ac:dyDescent="0.25">
      <c r="A32" s="8" t="s">
        <v>343</v>
      </c>
      <c r="B32" s="8" t="s">
        <v>344</v>
      </c>
      <c r="C32" s="8" t="s">
        <v>345</v>
      </c>
      <c r="D32" s="8">
        <v>273</v>
      </c>
      <c r="E32" s="8" t="s">
        <v>346</v>
      </c>
    </row>
    <row r="33" spans="1:5" ht="11.25" customHeight="1" x14ac:dyDescent="0.25">
      <c r="A33" s="8" t="s">
        <v>343</v>
      </c>
      <c r="B33" s="8" t="s">
        <v>344</v>
      </c>
      <c r="C33" s="8" t="s">
        <v>345</v>
      </c>
      <c r="D33" s="8">
        <v>274</v>
      </c>
      <c r="E33" s="8" t="s">
        <v>346</v>
      </c>
    </row>
    <row r="34" spans="1:5" ht="11.25" customHeight="1" x14ac:dyDescent="0.25">
      <c r="A34" s="8" t="s">
        <v>343</v>
      </c>
      <c r="B34" s="8" t="s">
        <v>344</v>
      </c>
      <c r="C34" s="8" t="s">
        <v>345</v>
      </c>
      <c r="D34" s="8">
        <v>275</v>
      </c>
      <c r="E34" s="8" t="s">
        <v>346</v>
      </c>
    </row>
    <row r="35" spans="1:5" ht="11.25" customHeight="1" x14ac:dyDescent="0.25">
      <c r="A35" s="8" t="s">
        <v>343</v>
      </c>
      <c r="B35" s="8" t="s">
        <v>344</v>
      </c>
      <c r="C35" s="8" t="s">
        <v>345</v>
      </c>
      <c r="D35" s="8">
        <v>324</v>
      </c>
      <c r="E35" s="8" t="s">
        <v>346</v>
      </c>
    </row>
    <row r="36" spans="1:5" ht="11.25" customHeight="1" x14ac:dyDescent="0.25">
      <c r="A36" s="8" t="s">
        <v>343</v>
      </c>
      <c r="B36" s="8" t="s">
        <v>344</v>
      </c>
      <c r="C36" s="8" t="s">
        <v>345</v>
      </c>
      <c r="D36" s="8">
        <v>325</v>
      </c>
      <c r="E36" s="8" t="s">
        <v>346</v>
      </c>
    </row>
    <row r="37" spans="1:5" ht="11.25" customHeight="1" x14ac:dyDescent="0.25">
      <c r="A37" s="8" t="s">
        <v>343</v>
      </c>
      <c r="B37" s="8" t="s">
        <v>344</v>
      </c>
      <c r="C37" s="8" t="s">
        <v>345</v>
      </c>
      <c r="D37" s="8">
        <v>326</v>
      </c>
      <c r="E37" s="8" t="s">
        <v>346</v>
      </c>
    </row>
    <row r="38" spans="1:5" ht="11.25" customHeight="1" x14ac:dyDescent="0.25">
      <c r="A38" s="8" t="s">
        <v>343</v>
      </c>
      <c r="B38" s="8" t="s">
        <v>344</v>
      </c>
      <c r="C38" s="8" t="s">
        <v>345</v>
      </c>
      <c r="D38" s="8">
        <v>327</v>
      </c>
      <c r="E38" s="8" t="s">
        <v>346</v>
      </c>
    </row>
    <row r="39" spans="1:5" ht="11.25" customHeight="1" x14ac:dyDescent="0.25">
      <c r="A39" s="8" t="s">
        <v>343</v>
      </c>
      <c r="B39" s="8" t="s">
        <v>344</v>
      </c>
      <c r="C39" s="8" t="s">
        <v>345</v>
      </c>
      <c r="D39" s="8">
        <v>328</v>
      </c>
      <c r="E39" s="8" t="s">
        <v>346</v>
      </c>
    </row>
    <row r="40" spans="1:5" ht="11.25" customHeight="1" x14ac:dyDescent="0.25">
      <c r="A40" s="8" t="s">
        <v>343</v>
      </c>
      <c r="B40" s="8" t="s">
        <v>344</v>
      </c>
      <c r="C40" s="8" t="s">
        <v>345</v>
      </c>
      <c r="D40" s="8">
        <v>329</v>
      </c>
      <c r="E40" s="8" t="s">
        <v>346</v>
      </c>
    </row>
    <row r="41" spans="1:5" ht="11.25" customHeight="1" x14ac:dyDescent="0.25">
      <c r="A41" s="8" t="s">
        <v>343</v>
      </c>
      <c r="B41" s="8" t="s">
        <v>344</v>
      </c>
      <c r="C41" s="8" t="s">
        <v>345</v>
      </c>
      <c r="D41" s="8">
        <v>330</v>
      </c>
      <c r="E41" s="8" t="s">
        <v>346</v>
      </c>
    </row>
    <row r="42" spans="1:5" ht="11.25" customHeight="1" x14ac:dyDescent="0.25">
      <c r="A42" s="8" t="s">
        <v>343</v>
      </c>
      <c r="B42" s="8" t="s">
        <v>344</v>
      </c>
      <c r="C42" s="8" t="s">
        <v>345</v>
      </c>
      <c r="D42" s="8">
        <v>331</v>
      </c>
      <c r="E42" s="8" t="s">
        <v>346</v>
      </c>
    </row>
    <row r="43" spans="1:5" ht="11.25" customHeight="1" x14ac:dyDescent="0.25">
      <c r="A43" s="8" t="s">
        <v>343</v>
      </c>
      <c r="B43" s="8" t="s">
        <v>344</v>
      </c>
      <c r="C43" s="8" t="s">
        <v>345</v>
      </c>
      <c r="D43" s="8">
        <v>332</v>
      </c>
      <c r="E43" s="8" t="s">
        <v>346</v>
      </c>
    </row>
    <row r="44" spans="1:5" ht="11.25" customHeight="1" x14ac:dyDescent="0.25">
      <c r="A44" s="8" t="s">
        <v>343</v>
      </c>
      <c r="B44" s="8" t="s">
        <v>344</v>
      </c>
      <c r="C44" s="8" t="s">
        <v>345</v>
      </c>
      <c r="D44" s="8">
        <v>333</v>
      </c>
      <c r="E44" s="8" t="s">
        <v>346</v>
      </c>
    </row>
    <row r="45" spans="1:5" ht="11.25" customHeight="1" x14ac:dyDescent="0.25">
      <c r="A45" s="8" t="s">
        <v>343</v>
      </c>
      <c r="B45" s="8" t="s">
        <v>344</v>
      </c>
      <c r="C45" s="8" t="s">
        <v>345</v>
      </c>
      <c r="D45" s="8">
        <v>334</v>
      </c>
      <c r="E45" s="8" t="s">
        <v>346</v>
      </c>
    </row>
    <row r="46" spans="1:5" ht="11.25" customHeight="1" x14ac:dyDescent="0.25">
      <c r="A46" s="8" t="s">
        <v>343</v>
      </c>
      <c r="B46" s="8" t="s">
        <v>344</v>
      </c>
      <c r="C46" s="8" t="s">
        <v>345</v>
      </c>
      <c r="D46" s="8">
        <v>335</v>
      </c>
      <c r="E46" s="8" t="s">
        <v>346</v>
      </c>
    </row>
    <row r="47" spans="1:5" ht="11.25" customHeight="1" x14ac:dyDescent="0.25">
      <c r="A47" s="8" t="s">
        <v>343</v>
      </c>
      <c r="B47" s="8" t="s">
        <v>344</v>
      </c>
      <c r="C47" s="8" t="s">
        <v>345</v>
      </c>
      <c r="D47" s="8">
        <v>336</v>
      </c>
      <c r="E47" s="8" t="s">
        <v>346</v>
      </c>
    </row>
    <row r="48" spans="1:5" ht="11.25" customHeight="1" x14ac:dyDescent="0.25">
      <c r="A48" s="8" t="s">
        <v>343</v>
      </c>
      <c r="B48" s="8" t="s">
        <v>344</v>
      </c>
      <c r="C48" s="8" t="s">
        <v>345</v>
      </c>
      <c r="D48" s="8">
        <v>337</v>
      </c>
      <c r="E48" s="8" t="s">
        <v>346</v>
      </c>
    </row>
    <row r="49" spans="1:5" ht="11.25" customHeight="1" x14ac:dyDescent="0.25">
      <c r="A49" s="8" t="s">
        <v>343</v>
      </c>
      <c r="B49" s="8" t="s">
        <v>344</v>
      </c>
      <c r="C49" s="8" t="s">
        <v>345</v>
      </c>
      <c r="D49" s="8">
        <v>338</v>
      </c>
      <c r="E49" s="8" t="s">
        <v>346</v>
      </c>
    </row>
    <row r="50" spans="1:5" ht="11.25" customHeight="1" x14ac:dyDescent="0.25">
      <c r="A50" s="8" t="s">
        <v>343</v>
      </c>
      <c r="B50" s="8" t="s">
        <v>344</v>
      </c>
      <c r="C50" s="8" t="s">
        <v>345</v>
      </c>
      <c r="D50" s="8">
        <v>417</v>
      </c>
      <c r="E50" s="8" t="s">
        <v>346</v>
      </c>
    </row>
    <row r="51" spans="1:5" ht="11.25" customHeight="1" x14ac:dyDescent="0.25">
      <c r="A51" s="8" t="s">
        <v>343</v>
      </c>
      <c r="B51" s="8" t="s">
        <v>344</v>
      </c>
      <c r="C51" s="8" t="s">
        <v>345</v>
      </c>
      <c r="D51" s="8">
        <v>418</v>
      </c>
      <c r="E51" s="8" t="s">
        <v>346</v>
      </c>
    </row>
    <row r="52" spans="1:5" ht="11.25" customHeight="1" x14ac:dyDescent="0.25">
      <c r="A52" s="8" t="s">
        <v>343</v>
      </c>
      <c r="B52" s="8" t="s">
        <v>344</v>
      </c>
      <c r="C52" s="8" t="s">
        <v>345</v>
      </c>
      <c r="D52" s="8">
        <v>419</v>
      </c>
      <c r="E52" s="8" t="s">
        <v>346</v>
      </c>
    </row>
    <row r="53" spans="1:5" ht="11.25" customHeight="1" x14ac:dyDescent="0.25">
      <c r="A53" s="8" t="s">
        <v>343</v>
      </c>
      <c r="B53" s="8" t="s">
        <v>344</v>
      </c>
      <c r="C53" s="8" t="s">
        <v>345</v>
      </c>
      <c r="D53" s="8">
        <v>420</v>
      </c>
      <c r="E53" s="8" t="s">
        <v>346</v>
      </c>
    </row>
    <row r="54" spans="1:5" ht="11.25" customHeight="1" x14ac:dyDescent="0.25">
      <c r="A54" s="8" t="s">
        <v>343</v>
      </c>
      <c r="B54" s="8" t="s">
        <v>344</v>
      </c>
      <c r="C54" s="8" t="s">
        <v>345</v>
      </c>
      <c r="D54" s="8">
        <v>421</v>
      </c>
      <c r="E54" s="8" t="s">
        <v>346</v>
      </c>
    </row>
    <row r="55" spans="1:5" ht="11.25" customHeight="1" x14ac:dyDescent="0.25">
      <c r="A55" s="8" t="s">
        <v>343</v>
      </c>
      <c r="B55" s="8" t="s">
        <v>344</v>
      </c>
      <c r="C55" s="8" t="s">
        <v>345</v>
      </c>
      <c r="D55" s="8">
        <v>422</v>
      </c>
      <c r="E55" s="8" t="s">
        <v>346</v>
      </c>
    </row>
    <row r="56" spans="1:5" ht="11.25" customHeight="1" x14ac:dyDescent="0.25">
      <c r="A56" s="8" t="s">
        <v>343</v>
      </c>
      <c r="B56" s="8" t="s">
        <v>344</v>
      </c>
      <c r="C56" s="8" t="s">
        <v>345</v>
      </c>
      <c r="D56" s="8">
        <v>423</v>
      </c>
      <c r="E56" s="8" t="s">
        <v>346</v>
      </c>
    </row>
    <row r="57" spans="1:5" ht="11.25" customHeight="1" x14ac:dyDescent="0.25">
      <c r="A57" s="8" t="s">
        <v>343</v>
      </c>
      <c r="B57" s="8" t="s">
        <v>344</v>
      </c>
      <c r="C57" s="8" t="s">
        <v>345</v>
      </c>
      <c r="D57" s="8">
        <v>424</v>
      </c>
      <c r="E57" s="8" t="s">
        <v>346</v>
      </c>
    </row>
    <row r="58" spans="1:5" ht="11.25" customHeight="1" x14ac:dyDescent="0.25">
      <c r="A58" s="8" t="s">
        <v>343</v>
      </c>
      <c r="B58" s="8" t="s">
        <v>344</v>
      </c>
      <c r="C58" s="8" t="s">
        <v>345</v>
      </c>
      <c r="D58" s="8">
        <v>425</v>
      </c>
      <c r="E58" s="8" t="s">
        <v>346</v>
      </c>
    </row>
    <row r="59" spans="1:5" ht="11.25" customHeight="1" x14ac:dyDescent="0.25">
      <c r="A59" s="8" t="s">
        <v>343</v>
      </c>
      <c r="B59" s="8" t="s">
        <v>344</v>
      </c>
      <c r="C59" s="8" t="s">
        <v>345</v>
      </c>
      <c r="D59" s="8">
        <v>426</v>
      </c>
      <c r="E59" s="8" t="s">
        <v>346</v>
      </c>
    </row>
    <row r="60" spans="1:5" ht="11.25" customHeight="1" x14ac:dyDescent="0.25">
      <c r="A60" s="8" t="s">
        <v>343</v>
      </c>
      <c r="B60" s="8" t="s">
        <v>344</v>
      </c>
      <c r="C60" s="8" t="s">
        <v>345</v>
      </c>
      <c r="D60" s="8">
        <v>427</v>
      </c>
      <c r="E60" s="8" t="s">
        <v>346</v>
      </c>
    </row>
    <row r="61" spans="1:5" ht="11.25" customHeight="1" x14ac:dyDescent="0.25">
      <c r="A61" s="8" t="s">
        <v>343</v>
      </c>
      <c r="B61" s="8" t="s">
        <v>344</v>
      </c>
      <c r="C61" s="8" t="s">
        <v>345</v>
      </c>
      <c r="D61" s="8">
        <v>428</v>
      </c>
      <c r="E61" s="8" t="s">
        <v>346</v>
      </c>
    </row>
    <row r="62" spans="1:5" ht="11.25" customHeight="1" x14ac:dyDescent="0.25">
      <c r="A62" s="8" t="s">
        <v>343</v>
      </c>
      <c r="B62" s="8" t="s">
        <v>344</v>
      </c>
      <c r="C62" s="8" t="s">
        <v>345</v>
      </c>
      <c r="D62" s="8">
        <v>429</v>
      </c>
      <c r="E62" s="8" t="s">
        <v>346</v>
      </c>
    </row>
    <row r="63" spans="1:5" ht="11.25" customHeight="1" x14ac:dyDescent="0.25">
      <c r="A63" s="8" t="s">
        <v>343</v>
      </c>
      <c r="B63" s="8" t="s">
        <v>344</v>
      </c>
      <c r="C63" s="8" t="s">
        <v>345</v>
      </c>
      <c r="D63" s="8">
        <v>430</v>
      </c>
      <c r="E63" s="8" t="s">
        <v>346</v>
      </c>
    </row>
    <row r="64" spans="1:5" ht="11.25" customHeight="1" x14ac:dyDescent="0.25">
      <c r="A64" s="8" t="s">
        <v>343</v>
      </c>
      <c r="B64" s="8" t="s">
        <v>344</v>
      </c>
      <c r="C64" s="8" t="s">
        <v>345</v>
      </c>
      <c r="D64" s="8">
        <v>431</v>
      </c>
      <c r="E64" s="8" t="s">
        <v>346</v>
      </c>
    </row>
    <row r="65" spans="1:5" ht="11.25" customHeight="1" x14ac:dyDescent="0.25">
      <c r="A65" s="8" t="s">
        <v>343</v>
      </c>
      <c r="B65" s="8" t="s">
        <v>344</v>
      </c>
      <c r="C65" s="8" t="s">
        <v>345</v>
      </c>
      <c r="D65" s="8">
        <v>432</v>
      </c>
      <c r="E65" s="8" t="s">
        <v>346</v>
      </c>
    </row>
    <row r="66" spans="1:5" ht="11.25" customHeight="1" x14ac:dyDescent="0.25">
      <c r="A66" s="8" t="s">
        <v>343</v>
      </c>
      <c r="B66" s="8" t="s">
        <v>344</v>
      </c>
      <c r="C66" s="8" t="s">
        <v>345</v>
      </c>
      <c r="D66" s="8">
        <v>433</v>
      </c>
      <c r="E66" s="8" t="s">
        <v>346</v>
      </c>
    </row>
    <row r="67" spans="1:5" ht="11.25" customHeight="1" x14ac:dyDescent="0.25">
      <c r="A67" s="8" t="s">
        <v>343</v>
      </c>
      <c r="B67" s="8" t="s">
        <v>344</v>
      </c>
      <c r="C67" s="8" t="s">
        <v>345</v>
      </c>
      <c r="D67" s="8">
        <v>434</v>
      </c>
      <c r="E67" s="8" t="s">
        <v>346</v>
      </c>
    </row>
    <row r="68" spans="1:5" ht="11.25" customHeight="1" x14ac:dyDescent="0.25">
      <c r="A68" s="8" t="s">
        <v>343</v>
      </c>
      <c r="B68" s="8" t="s">
        <v>344</v>
      </c>
      <c r="C68" s="8" t="s">
        <v>345</v>
      </c>
      <c r="D68" s="8">
        <v>435</v>
      </c>
      <c r="E68" s="8" t="s">
        <v>346</v>
      </c>
    </row>
    <row r="69" spans="1:5" ht="11.25" customHeight="1" x14ac:dyDescent="0.25">
      <c r="A69" s="8" t="s">
        <v>343</v>
      </c>
      <c r="B69" s="8" t="s">
        <v>344</v>
      </c>
      <c r="C69" s="8" t="s">
        <v>345</v>
      </c>
      <c r="D69" s="8">
        <v>436</v>
      </c>
      <c r="E69" s="8" t="s">
        <v>346</v>
      </c>
    </row>
    <row r="70" spans="1:5" ht="11.25" customHeight="1" x14ac:dyDescent="0.25">
      <c r="A70" s="8" t="s">
        <v>343</v>
      </c>
      <c r="B70" s="8" t="s">
        <v>344</v>
      </c>
      <c r="C70" s="8" t="s">
        <v>345</v>
      </c>
      <c r="D70" s="8">
        <v>437</v>
      </c>
      <c r="E70" s="8" t="s">
        <v>346</v>
      </c>
    </row>
    <row r="71" spans="1:5" ht="11.25" customHeight="1" x14ac:dyDescent="0.25">
      <c r="A71" s="8" t="s">
        <v>343</v>
      </c>
      <c r="B71" s="8" t="s">
        <v>344</v>
      </c>
      <c r="C71" s="8" t="s">
        <v>345</v>
      </c>
      <c r="D71" s="8">
        <v>438</v>
      </c>
      <c r="E71" s="8" t="s">
        <v>346</v>
      </c>
    </row>
    <row r="72" spans="1:5" ht="11.25" customHeight="1" x14ac:dyDescent="0.25">
      <c r="A72" s="8" t="s">
        <v>343</v>
      </c>
      <c r="B72" s="8" t="s">
        <v>344</v>
      </c>
      <c r="C72" s="8" t="s">
        <v>345</v>
      </c>
      <c r="D72" s="8">
        <v>439</v>
      </c>
      <c r="E72" s="8" t="s">
        <v>346</v>
      </c>
    </row>
    <row r="73" spans="1:5" ht="11.25" customHeight="1" x14ac:dyDescent="0.25">
      <c r="A73" s="8" t="s">
        <v>343</v>
      </c>
      <c r="B73" s="8" t="s">
        <v>344</v>
      </c>
      <c r="C73" s="8" t="s">
        <v>345</v>
      </c>
      <c r="D73" s="8">
        <v>440</v>
      </c>
      <c r="E73" s="8" t="s">
        <v>346</v>
      </c>
    </row>
    <row r="74" spans="1:5" ht="11.25" customHeight="1" x14ac:dyDescent="0.25">
      <c r="A74" s="8" t="s">
        <v>343</v>
      </c>
      <c r="B74" s="8" t="s">
        <v>344</v>
      </c>
      <c r="C74" s="8" t="s">
        <v>345</v>
      </c>
      <c r="D74" s="8">
        <v>441</v>
      </c>
      <c r="E74" s="8" t="s">
        <v>346</v>
      </c>
    </row>
    <row r="75" spans="1:5" ht="11.25" customHeight="1" x14ac:dyDescent="0.25">
      <c r="A75" s="8" t="s">
        <v>343</v>
      </c>
      <c r="B75" s="8" t="s">
        <v>344</v>
      </c>
      <c r="C75" s="8" t="s">
        <v>345</v>
      </c>
      <c r="D75" s="8">
        <v>442</v>
      </c>
      <c r="E75" s="8" t="s">
        <v>346</v>
      </c>
    </row>
    <row r="76" spans="1:5" ht="11.25" customHeight="1" x14ac:dyDescent="0.25">
      <c r="A76" s="8" t="s">
        <v>343</v>
      </c>
      <c r="B76" s="8" t="s">
        <v>344</v>
      </c>
      <c r="C76" s="8" t="s">
        <v>345</v>
      </c>
      <c r="D76" s="8">
        <v>443</v>
      </c>
      <c r="E76" s="8" t="s">
        <v>346</v>
      </c>
    </row>
    <row r="77" spans="1:5" ht="11.25" customHeight="1" x14ac:dyDescent="0.25">
      <c r="A77" s="8" t="s">
        <v>343</v>
      </c>
      <c r="B77" s="8" t="s">
        <v>344</v>
      </c>
      <c r="C77" s="8" t="s">
        <v>345</v>
      </c>
      <c r="D77" s="8">
        <v>487</v>
      </c>
      <c r="E77" s="8" t="s">
        <v>346</v>
      </c>
    </row>
    <row r="78" spans="1:5" ht="11.25" customHeight="1" x14ac:dyDescent="0.25">
      <c r="A78" s="8" t="s">
        <v>343</v>
      </c>
      <c r="B78" s="8" t="s">
        <v>344</v>
      </c>
      <c r="C78" s="8" t="s">
        <v>345</v>
      </c>
      <c r="D78" s="8">
        <v>488</v>
      </c>
      <c r="E78" s="8" t="s">
        <v>346</v>
      </c>
    </row>
    <row r="79" spans="1:5" ht="11.25" customHeight="1" x14ac:dyDescent="0.25">
      <c r="A79" s="8" t="s">
        <v>343</v>
      </c>
      <c r="B79" s="8" t="s">
        <v>344</v>
      </c>
      <c r="C79" s="8" t="s">
        <v>345</v>
      </c>
      <c r="D79" s="8">
        <v>489</v>
      </c>
      <c r="E79" s="8" t="s">
        <v>346</v>
      </c>
    </row>
    <row r="80" spans="1:5" ht="11.25" customHeight="1" x14ac:dyDescent="0.25">
      <c r="A80" s="8" t="s">
        <v>343</v>
      </c>
      <c r="B80" s="8" t="s">
        <v>344</v>
      </c>
      <c r="C80" s="8" t="s">
        <v>345</v>
      </c>
      <c r="D80" s="8">
        <v>490</v>
      </c>
      <c r="E80" s="8" t="s">
        <v>346</v>
      </c>
    </row>
    <row r="81" spans="1:5" ht="11.25" customHeight="1" x14ac:dyDescent="0.25">
      <c r="A81" s="8" t="s">
        <v>343</v>
      </c>
      <c r="B81" s="8" t="s">
        <v>344</v>
      </c>
      <c r="C81" s="8" t="s">
        <v>345</v>
      </c>
      <c r="D81" s="8">
        <v>491</v>
      </c>
      <c r="E81" s="8" t="s">
        <v>346</v>
      </c>
    </row>
    <row r="82" spans="1:5" ht="11.25" customHeight="1" x14ac:dyDescent="0.25">
      <c r="A82" s="8" t="s">
        <v>343</v>
      </c>
      <c r="B82" s="8" t="s">
        <v>344</v>
      </c>
      <c r="C82" s="8" t="s">
        <v>345</v>
      </c>
      <c r="D82" s="8">
        <v>492</v>
      </c>
      <c r="E82" s="8" t="s">
        <v>346</v>
      </c>
    </row>
    <row r="83" spans="1:5" ht="11.25" customHeight="1" x14ac:dyDescent="0.25">
      <c r="A83" s="8" t="s">
        <v>343</v>
      </c>
      <c r="B83" s="8" t="s">
        <v>344</v>
      </c>
      <c r="C83" s="8" t="s">
        <v>345</v>
      </c>
      <c r="D83" s="8">
        <v>493</v>
      </c>
      <c r="E83" s="8" t="s">
        <v>346</v>
      </c>
    </row>
    <row r="84" spans="1:5" ht="11.25" customHeight="1" x14ac:dyDescent="0.25">
      <c r="A84" s="8" t="s">
        <v>343</v>
      </c>
      <c r="B84" s="8" t="s">
        <v>344</v>
      </c>
      <c r="C84" s="8" t="s">
        <v>345</v>
      </c>
      <c r="D84" s="8">
        <v>494</v>
      </c>
      <c r="E84" s="8" t="s">
        <v>346</v>
      </c>
    </row>
    <row r="85" spans="1:5" ht="11.25" customHeight="1" x14ac:dyDescent="0.25">
      <c r="A85" s="8" t="s">
        <v>343</v>
      </c>
      <c r="B85" s="8" t="s">
        <v>344</v>
      </c>
      <c r="C85" s="8" t="s">
        <v>345</v>
      </c>
      <c r="D85" s="8">
        <v>495</v>
      </c>
      <c r="E85" s="8" t="s">
        <v>346</v>
      </c>
    </row>
    <row r="86" spans="1:5" ht="11.25" customHeight="1" x14ac:dyDescent="0.25">
      <c r="A86" s="8" t="s">
        <v>343</v>
      </c>
      <c r="B86" s="8" t="s">
        <v>344</v>
      </c>
      <c r="C86" s="8" t="s">
        <v>345</v>
      </c>
      <c r="D86" s="8">
        <v>496</v>
      </c>
      <c r="E86" s="8" t="s">
        <v>346</v>
      </c>
    </row>
    <row r="87" spans="1:5" ht="11.25" customHeight="1" x14ac:dyDescent="0.25">
      <c r="A87" s="8" t="s">
        <v>343</v>
      </c>
      <c r="B87" s="8" t="s">
        <v>344</v>
      </c>
      <c r="C87" s="8" t="s">
        <v>345</v>
      </c>
      <c r="D87" s="8">
        <v>497</v>
      </c>
      <c r="E87" s="8" t="s">
        <v>346</v>
      </c>
    </row>
    <row r="88" spans="1:5" ht="11.25" customHeight="1" x14ac:dyDescent="0.25">
      <c r="A88" s="8" t="s">
        <v>343</v>
      </c>
      <c r="B88" s="8" t="s">
        <v>344</v>
      </c>
      <c r="C88" s="8" t="s">
        <v>345</v>
      </c>
      <c r="D88" s="8">
        <v>498</v>
      </c>
      <c r="E88" s="8" t="s">
        <v>346</v>
      </c>
    </row>
    <row r="89" spans="1:5" ht="11.25" customHeight="1" x14ac:dyDescent="0.25">
      <c r="A89" s="8" t="s">
        <v>343</v>
      </c>
      <c r="B89" s="8" t="s">
        <v>344</v>
      </c>
      <c r="C89" s="8" t="s">
        <v>345</v>
      </c>
      <c r="D89" s="8">
        <v>499</v>
      </c>
      <c r="E89" s="8" t="s">
        <v>346</v>
      </c>
    </row>
    <row r="90" spans="1:5" ht="11.25" customHeight="1" x14ac:dyDescent="0.25">
      <c r="A90" s="8" t="s">
        <v>343</v>
      </c>
      <c r="B90" s="8" t="s">
        <v>344</v>
      </c>
      <c r="C90" s="8" t="s">
        <v>345</v>
      </c>
      <c r="D90" s="8">
        <v>500</v>
      </c>
      <c r="E90" s="8" t="s">
        <v>346</v>
      </c>
    </row>
    <row r="91" spans="1:5" ht="11.25" customHeight="1" x14ac:dyDescent="0.25">
      <c r="A91" s="8" t="s">
        <v>343</v>
      </c>
      <c r="B91" s="8" t="s">
        <v>344</v>
      </c>
      <c r="C91" s="8" t="s">
        <v>345</v>
      </c>
      <c r="D91" s="8">
        <v>501</v>
      </c>
      <c r="E91" s="8" t="s">
        <v>346</v>
      </c>
    </row>
    <row r="92" spans="1:5" ht="11.25" customHeight="1" x14ac:dyDescent="0.25">
      <c r="A92" s="8" t="s">
        <v>343</v>
      </c>
      <c r="B92" s="8" t="s">
        <v>344</v>
      </c>
      <c r="C92" s="8" t="s">
        <v>345</v>
      </c>
      <c r="D92" s="8">
        <v>595</v>
      </c>
      <c r="E92" s="8" t="s">
        <v>346</v>
      </c>
    </row>
    <row r="93" spans="1:5" ht="11.25" customHeight="1" x14ac:dyDescent="0.25">
      <c r="A93" s="8" t="s">
        <v>343</v>
      </c>
      <c r="B93" s="8" t="s">
        <v>344</v>
      </c>
      <c r="C93" s="8" t="s">
        <v>345</v>
      </c>
      <c r="D93" s="8">
        <v>596</v>
      </c>
      <c r="E93" s="8" t="s">
        <v>346</v>
      </c>
    </row>
    <row r="94" spans="1:5" ht="11.25" customHeight="1" x14ac:dyDescent="0.25">
      <c r="A94" s="8" t="s">
        <v>343</v>
      </c>
      <c r="B94" s="8" t="s">
        <v>344</v>
      </c>
      <c r="C94" s="8" t="s">
        <v>345</v>
      </c>
      <c r="D94" s="8">
        <v>597</v>
      </c>
      <c r="E94" s="8" t="s">
        <v>346</v>
      </c>
    </row>
    <row r="95" spans="1:5" ht="11.25" customHeight="1" x14ac:dyDescent="0.25">
      <c r="A95" s="8" t="s">
        <v>343</v>
      </c>
      <c r="B95" s="8" t="s">
        <v>344</v>
      </c>
      <c r="C95" s="8" t="s">
        <v>345</v>
      </c>
      <c r="D95" s="8">
        <v>598</v>
      </c>
      <c r="E95" s="8" t="s">
        <v>346</v>
      </c>
    </row>
    <row r="96" spans="1:5" ht="11.25" customHeight="1" x14ac:dyDescent="0.25">
      <c r="A96" s="8" t="s">
        <v>343</v>
      </c>
      <c r="B96" s="8" t="s">
        <v>344</v>
      </c>
      <c r="C96" s="8" t="s">
        <v>345</v>
      </c>
      <c r="D96" s="8">
        <v>599</v>
      </c>
      <c r="E96" s="8" t="s">
        <v>346</v>
      </c>
    </row>
    <row r="97" spans="1:5" ht="11.25" customHeight="1" x14ac:dyDescent="0.25">
      <c r="A97" s="8" t="s">
        <v>343</v>
      </c>
      <c r="B97" s="8" t="s">
        <v>344</v>
      </c>
      <c r="C97" s="8" t="s">
        <v>345</v>
      </c>
      <c r="D97" s="8">
        <v>600</v>
      </c>
      <c r="E97" s="8" t="s">
        <v>346</v>
      </c>
    </row>
    <row r="98" spans="1:5" ht="11.25" customHeight="1" x14ac:dyDescent="0.25">
      <c r="A98" s="8" t="s">
        <v>343</v>
      </c>
      <c r="B98" s="8" t="s">
        <v>344</v>
      </c>
      <c r="C98" s="8" t="s">
        <v>345</v>
      </c>
      <c r="D98" s="8">
        <v>601</v>
      </c>
      <c r="E98" s="8" t="s">
        <v>346</v>
      </c>
    </row>
    <row r="99" spans="1:5" ht="11.25" customHeight="1" x14ac:dyDescent="0.25">
      <c r="A99" s="8" t="s">
        <v>343</v>
      </c>
      <c r="B99" s="8" t="s">
        <v>344</v>
      </c>
      <c r="C99" s="8" t="s">
        <v>345</v>
      </c>
      <c r="D99" s="8">
        <v>602</v>
      </c>
      <c r="E99" s="8" t="s">
        <v>346</v>
      </c>
    </row>
    <row r="100" spans="1:5" ht="11.25" customHeight="1" x14ac:dyDescent="0.25">
      <c r="A100" s="8" t="s">
        <v>343</v>
      </c>
      <c r="B100" s="8" t="s">
        <v>344</v>
      </c>
      <c r="C100" s="8" t="s">
        <v>345</v>
      </c>
      <c r="D100" s="8">
        <v>603</v>
      </c>
      <c r="E100" s="8" t="s">
        <v>346</v>
      </c>
    </row>
    <row r="101" spans="1:5" ht="11.25" customHeight="1" x14ac:dyDescent="0.25">
      <c r="A101" s="8" t="s">
        <v>343</v>
      </c>
      <c r="B101" s="8" t="s">
        <v>344</v>
      </c>
      <c r="C101" s="8" t="s">
        <v>345</v>
      </c>
      <c r="D101" s="8">
        <v>604</v>
      </c>
      <c r="E101" s="8" t="s">
        <v>346</v>
      </c>
    </row>
    <row r="102" spans="1:5" ht="11.25" customHeight="1" x14ac:dyDescent="0.25">
      <c r="A102" s="8" t="s">
        <v>343</v>
      </c>
      <c r="B102" s="8" t="s">
        <v>344</v>
      </c>
      <c r="C102" s="8" t="s">
        <v>345</v>
      </c>
      <c r="D102" s="8">
        <v>605</v>
      </c>
      <c r="E102" s="8" t="s">
        <v>346</v>
      </c>
    </row>
    <row r="103" spans="1:5" ht="11.25" customHeight="1" x14ac:dyDescent="0.25">
      <c r="A103" s="8" t="s">
        <v>343</v>
      </c>
      <c r="B103" s="8" t="s">
        <v>344</v>
      </c>
      <c r="C103" s="8" t="s">
        <v>345</v>
      </c>
      <c r="D103" s="8">
        <v>606</v>
      </c>
      <c r="E103" s="8" t="s">
        <v>346</v>
      </c>
    </row>
    <row r="104" spans="1:5" ht="11.25" customHeight="1" x14ac:dyDescent="0.25">
      <c r="A104" s="8" t="s">
        <v>343</v>
      </c>
      <c r="B104" s="8" t="s">
        <v>344</v>
      </c>
      <c r="C104" s="8" t="s">
        <v>345</v>
      </c>
      <c r="D104" s="8">
        <v>607</v>
      </c>
      <c r="E104" s="8" t="s">
        <v>346</v>
      </c>
    </row>
    <row r="105" spans="1:5" ht="11.25" customHeight="1" x14ac:dyDescent="0.25">
      <c r="A105" s="8" t="s">
        <v>343</v>
      </c>
      <c r="B105" s="8" t="s">
        <v>344</v>
      </c>
      <c r="C105" s="8" t="s">
        <v>345</v>
      </c>
      <c r="D105" s="8">
        <v>608</v>
      </c>
      <c r="E105" s="8" t="s">
        <v>346</v>
      </c>
    </row>
    <row r="106" spans="1:5" ht="11.25" customHeight="1" x14ac:dyDescent="0.25">
      <c r="A106" s="8" t="s">
        <v>343</v>
      </c>
      <c r="B106" s="8" t="s">
        <v>344</v>
      </c>
      <c r="C106" s="8" t="s">
        <v>345</v>
      </c>
      <c r="D106" s="8">
        <v>609</v>
      </c>
      <c r="E106" s="8" t="s">
        <v>346</v>
      </c>
    </row>
    <row r="107" spans="1:5" ht="11.25" customHeight="1" x14ac:dyDescent="0.25">
      <c r="A107" s="8" t="s">
        <v>343</v>
      </c>
      <c r="B107" s="8" t="s">
        <v>344</v>
      </c>
      <c r="C107" s="8" t="s">
        <v>345</v>
      </c>
      <c r="D107" s="8">
        <v>610</v>
      </c>
      <c r="E107" s="8" t="s">
        <v>346</v>
      </c>
    </row>
    <row r="108" spans="1:5" ht="11.25" customHeight="1" x14ac:dyDescent="0.25">
      <c r="A108" s="8" t="s">
        <v>343</v>
      </c>
      <c r="B108" s="8" t="s">
        <v>344</v>
      </c>
      <c r="C108" s="8" t="s">
        <v>345</v>
      </c>
      <c r="D108" s="8">
        <v>611</v>
      </c>
      <c r="E108" s="8" t="s">
        <v>346</v>
      </c>
    </row>
    <row r="109" spans="1:5" ht="11.25" customHeight="1" x14ac:dyDescent="0.25">
      <c r="A109" s="8" t="s">
        <v>343</v>
      </c>
      <c r="B109" s="8" t="s">
        <v>344</v>
      </c>
      <c r="C109" s="8" t="s">
        <v>345</v>
      </c>
      <c r="D109" s="8">
        <v>612</v>
      </c>
      <c r="E109" s="8" t="s">
        <v>346</v>
      </c>
    </row>
    <row r="110" spans="1:5" ht="11.25" customHeight="1" x14ac:dyDescent="0.25">
      <c r="A110" s="8" t="s">
        <v>343</v>
      </c>
      <c r="B110" s="8" t="s">
        <v>344</v>
      </c>
      <c r="C110" s="8" t="s">
        <v>345</v>
      </c>
      <c r="D110" s="8">
        <v>613</v>
      </c>
      <c r="E110" s="8" t="s">
        <v>346</v>
      </c>
    </row>
    <row r="111" spans="1:5" ht="11.25" customHeight="1" x14ac:dyDescent="0.25">
      <c r="A111" s="8" t="s">
        <v>343</v>
      </c>
      <c r="B111" s="8" t="s">
        <v>344</v>
      </c>
      <c r="C111" s="8" t="s">
        <v>345</v>
      </c>
      <c r="D111" s="8">
        <v>614</v>
      </c>
      <c r="E111" s="8" t="s">
        <v>346</v>
      </c>
    </row>
    <row r="112" spans="1:5" ht="11.25" customHeight="1" x14ac:dyDescent="0.25">
      <c r="A112" s="8" t="s">
        <v>343</v>
      </c>
      <c r="B112" s="8" t="s">
        <v>344</v>
      </c>
      <c r="C112" s="8" t="s">
        <v>345</v>
      </c>
      <c r="D112" s="8">
        <v>615</v>
      </c>
      <c r="E112" s="8" t="s">
        <v>346</v>
      </c>
    </row>
    <row r="113" spans="1:5" ht="11.25" customHeight="1" x14ac:dyDescent="0.25">
      <c r="A113" s="8" t="s">
        <v>343</v>
      </c>
      <c r="B113" s="8" t="s">
        <v>344</v>
      </c>
      <c r="C113" s="8" t="s">
        <v>345</v>
      </c>
      <c r="D113" s="8">
        <v>616</v>
      </c>
      <c r="E113" s="8" t="s">
        <v>346</v>
      </c>
    </row>
    <row r="114" spans="1:5" ht="11.25" customHeight="1" x14ac:dyDescent="0.25">
      <c r="A114" s="8" t="s">
        <v>343</v>
      </c>
      <c r="B114" s="8" t="s">
        <v>344</v>
      </c>
      <c r="C114" s="8" t="s">
        <v>345</v>
      </c>
      <c r="D114" s="8">
        <v>617</v>
      </c>
      <c r="E114" s="8" t="s">
        <v>346</v>
      </c>
    </row>
    <row r="115" spans="1:5" ht="11.25" customHeight="1" x14ac:dyDescent="0.25">
      <c r="A115" s="8" t="s">
        <v>343</v>
      </c>
      <c r="B115" s="8" t="s">
        <v>344</v>
      </c>
      <c r="C115" s="8" t="s">
        <v>345</v>
      </c>
      <c r="D115" s="8">
        <v>618</v>
      </c>
      <c r="E115" s="8" t="s">
        <v>346</v>
      </c>
    </row>
    <row r="116" spans="1:5" ht="11.25" customHeight="1" x14ac:dyDescent="0.25">
      <c r="A116" s="8" t="s">
        <v>343</v>
      </c>
      <c r="B116" s="8" t="s">
        <v>344</v>
      </c>
      <c r="C116" s="8" t="s">
        <v>345</v>
      </c>
      <c r="D116" s="8">
        <v>619</v>
      </c>
      <c r="E116" s="8" t="s">
        <v>346</v>
      </c>
    </row>
    <row r="117" spans="1:5" ht="11.25" customHeight="1" x14ac:dyDescent="0.25">
      <c r="A117" s="8" t="s">
        <v>343</v>
      </c>
      <c r="B117" s="8" t="s">
        <v>344</v>
      </c>
      <c r="C117" s="8" t="s">
        <v>345</v>
      </c>
      <c r="D117" s="8">
        <v>620</v>
      </c>
      <c r="E117" s="8" t="s">
        <v>346</v>
      </c>
    </row>
    <row r="118" spans="1:5" ht="11.25" customHeight="1" x14ac:dyDescent="0.25">
      <c r="A118" s="8" t="s">
        <v>343</v>
      </c>
      <c r="B118" s="8" t="s">
        <v>344</v>
      </c>
      <c r="C118" s="8" t="s">
        <v>345</v>
      </c>
      <c r="D118" s="8">
        <v>621</v>
      </c>
      <c r="E118" s="8" t="s">
        <v>346</v>
      </c>
    </row>
    <row r="119" spans="1:5" ht="11.25" customHeight="1" x14ac:dyDescent="0.25">
      <c r="A119" s="8" t="s">
        <v>343</v>
      </c>
      <c r="B119" s="8" t="s">
        <v>344</v>
      </c>
      <c r="C119" s="8" t="s">
        <v>345</v>
      </c>
      <c r="D119" s="8">
        <v>622</v>
      </c>
      <c r="E119" s="8" t="s">
        <v>346</v>
      </c>
    </row>
    <row r="120" spans="1:5" ht="11.25" customHeight="1" x14ac:dyDescent="0.25">
      <c r="A120" s="8" t="s">
        <v>343</v>
      </c>
      <c r="B120" s="8" t="s">
        <v>344</v>
      </c>
      <c r="C120" s="8" t="s">
        <v>345</v>
      </c>
      <c r="D120" s="8">
        <v>623</v>
      </c>
      <c r="E120" s="8" t="s">
        <v>346</v>
      </c>
    </row>
    <row r="121" spans="1:5" ht="11.25" customHeight="1" x14ac:dyDescent="0.25">
      <c r="A121" s="8" t="s">
        <v>343</v>
      </c>
      <c r="B121" s="8" t="s">
        <v>344</v>
      </c>
      <c r="C121" s="8" t="s">
        <v>345</v>
      </c>
      <c r="D121" s="8">
        <v>654</v>
      </c>
      <c r="E121" s="8" t="s">
        <v>346</v>
      </c>
    </row>
    <row r="122" spans="1:5" ht="11.25" customHeight="1" x14ac:dyDescent="0.25">
      <c r="A122" s="8" t="s">
        <v>343</v>
      </c>
      <c r="B122" s="8" t="s">
        <v>344</v>
      </c>
      <c r="C122" s="8" t="s">
        <v>345</v>
      </c>
      <c r="D122" s="8">
        <v>655</v>
      </c>
      <c r="E122" s="8" t="s">
        <v>346</v>
      </c>
    </row>
    <row r="123" spans="1:5" ht="11.25" customHeight="1" x14ac:dyDescent="0.25">
      <c r="A123" s="8" t="s">
        <v>343</v>
      </c>
      <c r="B123" s="8" t="s">
        <v>344</v>
      </c>
      <c r="C123" s="8" t="s">
        <v>345</v>
      </c>
      <c r="D123" s="8">
        <v>656</v>
      </c>
      <c r="E123" s="8" t="s">
        <v>346</v>
      </c>
    </row>
    <row r="124" spans="1:5" ht="11.25" customHeight="1" x14ac:dyDescent="0.25">
      <c r="A124" s="8" t="s">
        <v>343</v>
      </c>
      <c r="B124" s="8" t="s">
        <v>344</v>
      </c>
      <c r="C124" s="8" t="s">
        <v>345</v>
      </c>
      <c r="D124" s="8">
        <v>657</v>
      </c>
      <c r="E124" s="8" t="s">
        <v>346</v>
      </c>
    </row>
    <row r="125" spans="1:5" ht="11.25" customHeight="1" x14ac:dyDescent="0.25">
      <c r="A125" s="8" t="s">
        <v>343</v>
      </c>
      <c r="B125" s="8" t="s">
        <v>344</v>
      </c>
      <c r="C125" s="8" t="s">
        <v>345</v>
      </c>
      <c r="D125" s="8">
        <v>658</v>
      </c>
      <c r="E125" s="8" t="s">
        <v>346</v>
      </c>
    </row>
    <row r="126" spans="1:5" ht="11.25" customHeight="1" x14ac:dyDescent="0.25">
      <c r="A126" s="8" t="s">
        <v>343</v>
      </c>
      <c r="B126" s="8" t="s">
        <v>344</v>
      </c>
      <c r="C126" s="8" t="s">
        <v>345</v>
      </c>
      <c r="D126" s="8">
        <v>659</v>
      </c>
      <c r="E126" s="8" t="s">
        <v>346</v>
      </c>
    </row>
    <row r="127" spans="1:5" ht="11.25" customHeight="1" x14ac:dyDescent="0.25">
      <c r="A127" s="8" t="s">
        <v>343</v>
      </c>
      <c r="B127" s="8" t="s">
        <v>344</v>
      </c>
      <c r="C127" s="8" t="s">
        <v>345</v>
      </c>
      <c r="D127" s="8">
        <v>660</v>
      </c>
      <c r="E127" s="8" t="s">
        <v>346</v>
      </c>
    </row>
    <row r="128" spans="1:5" ht="11.25" customHeight="1" x14ac:dyDescent="0.25">
      <c r="A128" s="8" t="s">
        <v>343</v>
      </c>
      <c r="B128" s="8" t="s">
        <v>344</v>
      </c>
      <c r="C128" s="8" t="s">
        <v>345</v>
      </c>
      <c r="D128" s="8">
        <v>661</v>
      </c>
      <c r="E128" s="8" t="s">
        <v>346</v>
      </c>
    </row>
    <row r="129" spans="1:5" ht="11.25" customHeight="1" x14ac:dyDescent="0.25">
      <c r="A129" s="8" t="s">
        <v>343</v>
      </c>
      <c r="B129" s="8" t="s">
        <v>344</v>
      </c>
      <c r="C129" s="8" t="s">
        <v>345</v>
      </c>
      <c r="D129" s="8">
        <v>662</v>
      </c>
      <c r="E129" s="8" t="s">
        <v>346</v>
      </c>
    </row>
    <row r="130" spans="1:5" ht="11.25" customHeight="1" x14ac:dyDescent="0.25">
      <c r="A130" s="8" t="s">
        <v>343</v>
      </c>
      <c r="B130" s="8" t="s">
        <v>344</v>
      </c>
      <c r="C130" s="8" t="s">
        <v>345</v>
      </c>
      <c r="D130" s="8">
        <v>663</v>
      </c>
      <c r="E130" s="8" t="s">
        <v>346</v>
      </c>
    </row>
    <row r="131" spans="1:5" ht="11.25" customHeight="1" x14ac:dyDescent="0.25">
      <c r="A131" s="8" t="s">
        <v>343</v>
      </c>
      <c r="B131" s="8" t="s">
        <v>344</v>
      </c>
      <c r="C131" s="8" t="s">
        <v>345</v>
      </c>
      <c r="D131" s="8">
        <v>664</v>
      </c>
      <c r="E131" s="8" t="s">
        <v>346</v>
      </c>
    </row>
    <row r="132" spans="1:5" ht="11.25" customHeight="1" x14ac:dyDescent="0.25">
      <c r="A132" s="8" t="s">
        <v>343</v>
      </c>
      <c r="B132" s="8" t="s">
        <v>344</v>
      </c>
      <c r="C132" s="8" t="s">
        <v>345</v>
      </c>
      <c r="D132" s="8">
        <v>665</v>
      </c>
      <c r="E132" s="8" t="s">
        <v>346</v>
      </c>
    </row>
    <row r="133" spans="1:5" ht="11.25" customHeight="1" x14ac:dyDescent="0.25">
      <c r="A133" s="8" t="s">
        <v>343</v>
      </c>
      <c r="B133" s="8" t="s">
        <v>344</v>
      </c>
      <c r="C133" s="8" t="s">
        <v>345</v>
      </c>
      <c r="D133" s="8">
        <v>666</v>
      </c>
      <c r="E133" s="8" t="s">
        <v>346</v>
      </c>
    </row>
    <row r="134" spans="1:5" ht="11.25" customHeight="1" x14ac:dyDescent="0.25">
      <c r="A134" s="8" t="s">
        <v>343</v>
      </c>
      <c r="B134" s="8" t="s">
        <v>344</v>
      </c>
      <c r="C134" s="8" t="s">
        <v>345</v>
      </c>
      <c r="D134" s="8">
        <v>667</v>
      </c>
      <c r="E134" s="8" t="s">
        <v>346</v>
      </c>
    </row>
    <row r="135" spans="1:5" ht="11.25" customHeight="1" x14ac:dyDescent="0.25">
      <c r="A135" s="8" t="s">
        <v>343</v>
      </c>
      <c r="B135" s="8" t="s">
        <v>344</v>
      </c>
      <c r="C135" s="8" t="s">
        <v>345</v>
      </c>
      <c r="D135" s="8">
        <v>668</v>
      </c>
      <c r="E135" s="8" t="s">
        <v>346</v>
      </c>
    </row>
    <row r="136" spans="1:5" ht="11.25" customHeight="1" x14ac:dyDescent="0.25">
      <c r="A136" s="8" t="s">
        <v>343</v>
      </c>
      <c r="B136" s="8" t="s">
        <v>344</v>
      </c>
      <c r="C136" s="8" t="s">
        <v>345</v>
      </c>
      <c r="D136" s="8">
        <v>669</v>
      </c>
      <c r="E136" s="8" t="s">
        <v>346</v>
      </c>
    </row>
    <row r="137" spans="1:5" ht="11.25" customHeight="1" x14ac:dyDescent="0.25">
      <c r="A137" s="8" t="s">
        <v>343</v>
      </c>
      <c r="B137" s="8" t="s">
        <v>344</v>
      </c>
      <c r="C137" s="8" t="s">
        <v>345</v>
      </c>
      <c r="D137" s="8">
        <v>670</v>
      </c>
      <c r="E137" s="8" t="s">
        <v>346</v>
      </c>
    </row>
    <row r="138" spans="1:5" ht="11.25" customHeight="1" x14ac:dyDescent="0.25">
      <c r="A138" s="8" t="s">
        <v>343</v>
      </c>
      <c r="B138" s="8" t="s">
        <v>344</v>
      </c>
      <c r="C138" s="8" t="s">
        <v>345</v>
      </c>
      <c r="D138" s="8">
        <v>671</v>
      </c>
      <c r="E138" s="8" t="s">
        <v>346</v>
      </c>
    </row>
    <row r="139" spans="1:5" ht="11.25" customHeight="1" x14ac:dyDescent="0.25">
      <c r="A139" s="8" t="s">
        <v>343</v>
      </c>
      <c r="B139" s="8" t="s">
        <v>344</v>
      </c>
      <c r="C139" s="8" t="s">
        <v>345</v>
      </c>
      <c r="D139" s="8">
        <v>672</v>
      </c>
      <c r="E139" s="8" t="s">
        <v>346</v>
      </c>
    </row>
    <row r="140" spans="1:5" ht="11.25" customHeight="1" x14ac:dyDescent="0.25">
      <c r="A140" s="8" t="s">
        <v>343</v>
      </c>
      <c r="B140" s="8" t="s">
        <v>344</v>
      </c>
      <c r="C140" s="8" t="s">
        <v>345</v>
      </c>
      <c r="D140" s="8">
        <v>673</v>
      </c>
      <c r="E140" s="8" t="s">
        <v>346</v>
      </c>
    </row>
    <row r="141" spans="1:5" ht="11.25" customHeight="1" x14ac:dyDescent="0.25">
      <c r="A141" s="8" t="s">
        <v>343</v>
      </c>
      <c r="B141" s="8" t="s">
        <v>344</v>
      </c>
      <c r="C141" s="8" t="s">
        <v>345</v>
      </c>
      <c r="D141" s="8">
        <v>674</v>
      </c>
      <c r="E141" s="8" t="s">
        <v>346</v>
      </c>
    </row>
    <row r="142" spans="1:5" ht="11.25" customHeight="1" x14ac:dyDescent="0.25">
      <c r="A142" s="8" t="s">
        <v>343</v>
      </c>
      <c r="B142" s="8" t="s">
        <v>344</v>
      </c>
      <c r="C142" s="8" t="s">
        <v>345</v>
      </c>
      <c r="D142" s="8">
        <v>675</v>
      </c>
      <c r="E142" s="8" t="s">
        <v>346</v>
      </c>
    </row>
    <row r="143" spans="1:5" ht="11.25" customHeight="1" x14ac:dyDescent="0.25">
      <c r="A143" s="8" t="s">
        <v>343</v>
      </c>
      <c r="B143" s="8" t="s">
        <v>344</v>
      </c>
      <c r="C143" s="8" t="s">
        <v>345</v>
      </c>
      <c r="D143" s="8">
        <v>676</v>
      </c>
      <c r="E143" s="8" t="s">
        <v>346</v>
      </c>
    </row>
    <row r="144" spans="1:5" ht="11.25" customHeight="1" x14ac:dyDescent="0.25">
      <c r="A144" s="8" t="s">
        <v>343</v>
      </c>
      <c r="B144" s="8" t="s">
        <v>344</v>
      </c>
      <c r="C144" s="8" t="s">
        <v>345</v>
      </c>
      <c r="D144" s="8">
        <v>677</v>
      </c>
      <c r="E144" s="8" t="s">
        <v>346</v>
      </c>
    </row>
    <row r="145" spans="1:5" ht="11.25" customHeight="1" x14ac:dyDescent="0.25">
      <c r="A145" s="8" t="s">
        <v>343</v>
      </c>
      <c r="B145" s="8" t="s">
        <v>344</v>
      </c>
      <c r="C145" s="8" t="s">
        <v>345</v>
      </c>
      <c r="D145" s="8">
        <v>678</v>
      </c>
      <c r="E145" s="8" t="s">
        <v>346</v>
      </c>
    </row>
    <row r="146" spans="1:5" ht="11.25" customHeight="1" x14ac:dyDescent="0.25">
      <c r="A146" s="8" t="s">
        <v>343</v>
      </c>
      <c r="B146" s="8" t="s">
        <v>344</v>
      </c>
      <c r="C146" s="8" t="s">
        <v>345</v>
      </c>
      <c r="D146" s="8">
        <v>679</v>
      </c>
      <c r="E146" s="8" t="s">
        <v>346</v>
      </c>
    </row>
    <row r="147" spans="1:5" ht="11.25" customHeight="1" x14ac:dyDescent="0.25">
      <c r="A147" s="8" t="s">
        <v>343</v>
      </c>
      <c r="B147" s="8" t="s">
        <v>344</v>
      </c>
      <c r="C147" s="8" t="s">
        <v>345</v>
      </c>
      <c r="D147" s="8">
        <v>680</v>
      </c>
      <c r="E147" s="8" t="s">
        <v>346</v>
      </c>
    </row>
    <row r="148" spans="1:5" ht="11.25" customHeight="1" x14ac:dyDescent="0.25">
      <c r="A148" s="8" t="s">
        <v>343</v>
      </c>
      <c r="B148" s="8" t="s">
        <v>344</v>
      </c>
      <c r="C148" s="8" t="s">
        <v>345</v>
      </c>
      <c r="D148" s="8">
        <v>681</v>
      </c>
      <c r="E148" s="8" t="s">
        <v>346</v>
      </c>
    </row>
    <row r="149" spans="1:5" ht="11.25" customHeight="1" x14ac:dyDescent="0.25">
      <c r="A149" s="8" t="s">
        <v>343</v>
      </c>
      <c r="B149" s="8" t="s">
        <v>344</v>
      </c>
      <c r="C149" s="8" t="s">
        <v>345</v>
      </c>
      <c r="D149" s="8">
        <v>682</v>
      </c>
      <c r="E149" s="8" t="s">
        <v>346</v>
      </c>
    </row>
    <row r="150" spans="1:5" ht="11.25" customHeight="1" x14ac:dyDescent="0.25">
      <c r="A150" s="8" t="s">
        <v>343</v>
      </c>
      <c r="B150" s="8" t="s">
        <v>344</v>
      </c>
      <c r="C150" s="8" t="s">
        <v>345</v>
      </c>
      <c r="D150" s="8">
        <v>683</v>
      </c>
      <c r="E150" s="8" t="s">
        <v>346</v>
      </c>
    </row>
    <row r="151" spans="1:5" ht="11.25" customHeight="1" x14ac:dyDescent="0.25">
      <c r="A151" s="8" t="s">
        <v>343</v>
      </c>
      <c r="B151" s="8" t="s">
        <v>344</v>
      </c>
      <c r="C151" s="8" t="s">
        <v>345</v>
      </c>
      <c r="D151" s="8">
        <v>726</v>
      </c>
      <c r="E151" s="8" t="s">
        <v>346</v>
      </c>
    </row>
    <row r="152" spans="1:5" ht="11.25" customHeight="1" x14ac:dyDescent="0.25">
      <c r="A152" s="8" t="s">
        <v>343</v>
      </c>
      <c r="B152" s="8" t="s">
        <v>344</v>
      </c>
      <c r="C152" s="8" t="s">
        <v>345</v>
      </c>
      <c r="D152" s="8">
        <v>727</v>
      </c>
      <c r="E152" s="8" t="s">
        <v>346</v>
      </c>
    </row>
    <row r="153" spans="1:5" ht="11.25" customHeight="1" x14ac:dyDescent="0.25">
      <c r="A153" s="8" t="s">
        <v>343</v>
      </c>
      <c r="B153" s="8" t="s">
        <v>344</v>
      </c>
      <c r="C153" s="8" t="s">
        <v>345</v>
      </c>
      <c r="D153" s="8">
        <v>728</v>
      </c>
      <c r="E153" s="8" t="s">
        <v>346</v>
      </c>
    </row>
    <row r="154" spans="1:5" ht="11.25" customHeight="1" x14ac:dyDescent="0.25">
      <c r="A154" s="8" t="s">
        <v>343</v>
      </c>
      <c r="B154" s="8" t="s">
        <v>344</v>
      </c>
      <c r="C154" s="8" t="s">
        <v>345</v>
      </c>
      <c r="D154" s="8">
        <v>729</v>
      </c>
      <c r="E154" s="8" t="s">
        <v>346</v>
      </c>
    </row>
    <row r="155" spans="1:5" ht="11.25" customHeight="1" x14ac:dyDescent="0.25">
      <c r="A155" s="8" t="s">
        <v>343</v>
      </c>
      <c r="B155" s="8" t="s">
        <v>344</v>
      </c>
      <c r="C155" s="8" t="s">
        <v>345</v>
      </c>
      <c r="D155" s="8">
        <v>730</v>
      </c>
      <c r="E155" s="8" t="s">
        <v>346</v>
      </c>
    </row>
    <row r="156" spans="1:5" ht="11.25" customHeight="1" x14ac:dyDescent="0.25">
      <c r="A156" s="8" t="s">
        <v>343</v>
      </c>
      <c r="B156" s="8" t="s">
        <v>344</v>
      </c>
      <c r="C156" s="8" t="s">
        <v>345</v>
      </c>
      <c r="D156" s="8">
        <v>731</v>
      </c>
      <c r="E156" s="8" t="s">
        <v>346</v>
      </c>
    </row>
    <row r="157" spans="1:5" ht="11.25" customHeight="1" x14ac:dyDescent="0.25">
      <c r="A157" s="8" t="s">
        <v>343</v>
      </c>
      <c r="B157" s="8" t="s">
        <v>344</v>
      </c>
      <c r="C157" s="8" t="s">
        <v>345</v>
      </c>
      <c r="D157" s="8">
        <v>732</v>
      </c>
      <c r="E157" s="8" t="s">
        <v>346</v>
      </c>
    </row>
    <row r="158" spans="1:5" ht="11.25" customHeight="1" x14ac:dyDescent="0.25">
      <c r="A158" s="8" t="s">
        <v>343</v>
      </c>
      <c r="B158" s="8" t="s">
        <v>344</v>
      </c>
      <c r="C158" s="8" t="s">
        <v>345</v>
      </c>
      <c r="D158" s="8">
        <v>733</v>
      </c>
      <c r="E158" s="8" t="s">
        <v>346</v>
      </c>
    </row>
    <row r="159" spans="1:5" ht="11.25" customHeight="1" x14ac:dyDescent="0.25">
      <c r="A159" s="8" t="s">
        <v>343</v>
      </c>
      <c r="B159" s="8" t="s">
        <v>344</v>
      </c>
      <c r="C159" s="8" t="s">
        <v>345</v>
      </c>
      <c r="D159" s="8">
        <v>734</v>
      </c>
      <c r="E159" s="8" t="s">
        <v>346</v>
      </c>
    </row>
    <row r="160" spans="1:5" ht="11.25" customHeight="1" x14ac:dyDescent="0.25">
      <c r="A160" s="8" t="s">
        <v>343</v>
      </c>
      <c r="B160" s="8" t="s">
        <v>344</v>
      </c>
      <c r="C160" s="8" t="s">
        <v>345</v>
      </c>
      <c r="D160" s="8">
        <v>735</v>
      </c>
      <c r="E160" s="8" t="s">
        <v>346</v>
      </c>
    </row>
    <row r="161" spans="1:5" ht="11.25" customHeight="1" x14ac:dyDescent="0.25">
      <c r="A161" s="8" t="s">
        <v>343</v>
      </c>
      <c r="B161" s="8" t="s">
        <v>344</v>
      </c>
      <c r="C161" s="8" t="s">
        <v>345</v>
      </c>
      <c r="D161" s="8">
        <v>736</v>
      </c>
      <c r="E161" s="8" t="s">
        <v>346</v>
      </c>
    </row>
    <row r="162" spans="1:5" ht="11.25" customHeight="1" x14ac:dyDescent="0.25">
      <c r="A162" s="8" t="s">
        <v>343</v>
      </c>
      <c r="B162" s="8" t="s">
        <v>344</v>
      </c>
      <c r="C162" s="8" t="s">
        <v>345</v>
      </c>
      <c r="D162" s="8">
        <v>737</v>
      </c>
      <c r="E162" s="8" t="s">
        <v>346</v>
      </c>
    </row>
    <row r="163" spans="1:5" ht="11.25" customHeight="1" x14ac:dyDescent="0.25">
      <c r="A163" s="8" t="s">
        <v>343</v>
      </c>
      <c r="B163" s="8" t="s">
        <v>344</v>
      </c>
      <c r="C163" s="8" t="s">
        <v>345</v>
      </c>
      <c r="D163" s="8">
        <v>738</v>
      </c>
      <c r="E163" s="8" t="s">
        <v>346</v>
      </c>
    </row>
    <row r="164" spans="1:5" ht="11.25" customHeight="1" x14ac:dyDescent="0.25">
      <c r="A164" s="8" t="s">
        <v>343</v>
      </c>
      <c r="C164" s="8" t="s">
        <v>532</v>
      </c>
      <c r="D164" s="8">
        <v>40</v>
      </c>
      <c r="E164" s="8" t="s">
        <v>9</v>
      </c>
    </row>
    <row r="165" spans="1:5" ht="11.25" customHeight="1" x14ac:dyDescent="0.25">
      <c r="A165" s="8" t="s">
        <v>343</v>
      </c>
      <c r="C165" s="8" t="s">
        <v>532</v>
      </c>
      <c r="D165" s="8">
        <v>40</v>
      </c>
      <c r="E165" s="8" t="s">
        <v>9</v>
      </c>
    </row>
    <row r="166" spans="1:5" ht="11.25" customHeight="1" x14ac:dyDescent="0.25">
      <c r="A166" s="8" t="s">
        <v>343</v>
      </c>
      <c r="C166" s="8" t="s">
        <v>532</v>
      </c>
      <c r="D166" s="8">
        <v>40</v>
      </c>
      <c r="E166" s="8" t="s">
        <v>9</v>
      </c>
    </row>
    <row r="167" spans="1:5" ht="11.25" customHeight="1" x14ac:dyDescent="0.25">
      <c r="A167" s="8" t="s">
        <v>343</v>
      </c>
      <c r="C167" s="8" t="s">
        <v>532</v>
      </c>
      <c r="D167" s="8">
        <v>40</v>
      </c>
      <c r="E167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1DA59-D799-438A-A26E-959FF5D0AF84}">
  <dimension ref="A1:AX93"/>
  <sheetViews>
    <sheetView showGridLines="0" workbookViewId="0"/>
  </sheetViews>
  <sheetFormatPr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6384" width="9.140625" style="8"/>
  </cols>
  <sheetData>
    <row r="1" spans="1:50" ht="11.25" customHeight="1" x14ac:dyDescent="0.25">
      <c r="A1" s="65" t="s">
        <v>587</v>
      </c>
      <c r="B1" s="65" t="s">
        <v>576</v>
      </c>
      <c r="C1" s="65" t="s">
        <v>1</v>
      </c>
      <c r="D1" s="65" t="s">
        <v>2</v>
      </c>
      <c r="E1" s="65" t="s">
        <v>3</v>
      </c>
      <c r="F1" s="65" t="s">
        <v>4</v>
      </c>
      <c r="G1" s="65" t="s">
        <v>5</v>
      </c>
      <c r="H1" s="65" t="s">
        <v>6</v>
      </c>
      <c r="I1" s="65" t="s">
        <v>7</v>
      </c>
      <c r="J1" s="65" t="s">
        <v>577</v>
      </c>
      <c r="K1" s="65" t="s">
        <v>578</v>
      </c>
      <c r="L1" s="65" t="s">
        <v>579</v>
      </c>
      <c r="M1" s="65" t="s">
        <v>580</v>
      </c>
      <c r="N1" s="65" t="s">
        <v>581</v>
      </c>
      <c r="O1" s="65" t="s">
        <v>464</v>
      </c>
      <c r="P1" s="65" t="s">
        <v>450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25">
      <c r="A2" s="66">
        <v>1</v>
      </c>
      <c r="B2" s="66" t="s">
        <v>444</v>
      </c>
      <c r="C2" s="66" t="s">
        <v>53</v>
      </c>
      <c r="D2" s="66" t="s">
        <v>36</v>
      </c>
      <c r="E2" s="66" t="s">
        <v>25</v>
      </c>
      <c r="F2" s="66" t="s">
        <v>25</v>
      </c>
      <c r="G2" s="66" t="s">
        <v>89</v>
      </c>
      <c r="H2" s="66" t="s">
        <v>25</v>
      </c>
      <c r="I2" s="66" t="s">
        <v>25</v>
      </c>
      <c r="J2" s="66" t="s">
        <v>582</v>
      </c>
      <c r="K2" s="66" t="s">
        <v>583</v>
      </c>
      <c r="L2" s="66" t="s">
        <v>82</v>
      </c>
      <c r="M2" s="66">
        <v>2021</v>
      </c>
      <c r="N2" s="66">
        <v>0</v>
      </c>
      <c r="O2" s="66">
        <v>0.08</v>
      </c>
      <c r="P2" s="66">
        <v>0</v>
      </c>
    </row>
    <row r="3" spans="1:50" ht="11.25" customHeight="1" x14ac:dyDescent="0.25">
      <c r="A3" s="66">
        <v>2</v>
      </c>
      <c r="B3" s="66" t="s">
        <v>444</v>
      </c>
      <c r="C3" s="66" t="s">
        <v>22</v>
      </c>
      <c r="D3" s="66" t="s">
        <v>95</v>
      </c>
      <c r="E3" s="66" t="s">
        <v>24</v>
      </c>
      <c r="F3" s="66" t="s">
        <v>24</v>
      </c>
      <c r="G3" s="66" t="s">
        <v>25</v>
      </c>
      <c r="H3" s="66" t="s">
        <v>25</v>
      </c>
      <c r="I3" s="66" t="s">
        <v>37</v>
      </c>
      <c r="J3" s="66" t="s">
        <v>582</v>
      </c>
      <c r="K3" s="66" t="s">
        <v>583</v>
      </c>
      <c r="L3" s="66" t="s">
        <v>82</v>
      </c>
      <c r="M3" s="66">
        <v>2021</v>
      </c>
      <c r="N3" s="66">
        <v>0</v>
      </c>
      <c r="O3" s="66">
        <v>510.69</v>
      </c>
      <c r="P3" s="66">
        <v>59.412263728720802</v>
      </c>
    </row>
    <row r="4" spans="1:50" ht="11.25" customHeight="1" x14ac:dyDescent="0.25">
      <c r="A4" s="66">
        <v>3</v>
      </c>
      <c r="B4" s="66" t="s">
        <v>444</v>
      </c>
      <c r="C4" s="66" t="s">
        <v>35</v>
      </c>
      <c r="D4" s="66" t="s">
        <v>36</v>
      </c>
      <c r="E4" s="66" t="s">
        <v>25</v>
      </c>
      <c r="F4" s="66" t="s">
        <v>25</v>
      </c>
      <c r="G4" s="66" t="s">
        <v>25</v>
      </c>
      <c r="H4" s="66" t="s">
        <v>25</v>
      </c>
      <c r="I4" s="66" t="s">
        <v>37</v>
      </c>
      <c r="J4" s="66" t="s">
        <v>584</v>
      </c>
      <c r="K4" s="66" t="s">
        <v>583</v>
      </c>
      <c r="L4" s="66" t="s">
        <v>85</v>
      </c>
      <c r="M4" s="66">
        <v>2021</v>
      </c>
      <c r="N4" s="66">
        <v>0</v>
      </c>
      <c r="O4" s="66">
        <v>43.88</v>
      </c>
      <c r="P4" s="66">
        <v>0</v>
      </c>
    </row>
    <row r="5" spans="1:50" ht="11.25" customHeight="1" x14ac:dyDescent="0.25">
      <c r="A5" s="66">
        <v>4</v>
      </c>
      <c r="B5" s="66" t="s">
        <v>444</v>
      </c>
      <c r="C5" s="66" t="s">
        <v>22</v>
      </c>
      <c r="D5" s="66" t="s">
        <v>95</v>
      </c>
      <c r="E5" s="66" t="s">
        <v>24</v>
      </c>
      <c r="F5" s="66" t="s">
        <v>24</v>
      </c>
      <c r="G5" s="66" t="s">
        <v>25</v>
      </c>
      <c r="H5" s="66" t="s">
        <v>25</v>
      </c>
      <c r="I5" s="66" t="s">
        <v>585</v>
      </c>
      <c r="J5" s="66" t="s">
        <v>582</v>
      </c>
      <c r="K5" s="66" t="s">
        <v>583</v>
      </c>
      <c r="L5" s="66" t="s">
        <v>82</v>
      </c>
      <c r="M5" s="66">
        <v>2021</v>
      </c>
      <c r="N5" s="66">
        <v>0</v>
      </c>
      <c r="O5" s="66">
        <v>489.51</v>
      </c>
      <c r="P5" s="66">
        <v>59.412263728720802</v>
      </c>
    </row>
    <row r="6" spans="1:50" ht="11.25" customHeight="1" x14ac:dyDescent="0.25">
      <c r="A6" s="66">
        <v>5</v>
      </c>
      <c r="B6" s="66" t="s">
        <v>444</v>
      </c>
      <c r="C6" s="66" t="s">
        <v>35</v>
      </c>
      <c r="D6" s="66" t="s">
        <v>36</v>
      </c>
      <c r="E6" s="66" t="s">
        <v>25</v>
      </c>
      <c r="F6" s="66" t="s">
        <v>25</v>
      </c>
      <c r="G6" s="66" t="s">
        <v>89</v>
      </c>
      <c r="H6" s="66" t="s">
        <v>25</v>
      </c>
      <c r="I6" s="66" t="s">
        <v>25</v>
      </c>
      <c r="J6" s="66" t="s">
        <v>582</v>
      </c>
      <c r="K6" s="66" t="s">
        <v>583</v>
      </c>
      <c r="L6" s="66" t="s">
        <v>82</v>
      </c>
      <c r="M6" s="66">
        <v>2021</v>
      </c>
      <c r="N6" s="66">
        <v>0</v>
      </c>
      <c r="O6" s="66">
        <v>9.42</v>
      </c>
      <c r="P6" s="66">
        <v>0</v>
      </c>
    </row>
    <row r="7" spans="1:50" ht="11.25" customHeight="1" x14ac:dyDescent="0.25">
      <c r="A7" s="66">
        <v>6</v>
      </c>
      <c r="B7" s="66" t="s">
        <v>444</v>
      </c>
      <c r="C7" s="66" t="s">
        <v>22</v>
      </c>
      <c r="D7" s="66" t="s">
        <v>23</v>
      </c>
      <c r="E7" s="66" t="s">
        <v>24</v>
      </c>
      <c r="F7" s="66" t="s">
        <v>30</v>
      </c>
      <c r="G7" s="66" t="s">
        <v>25</v>
      </c>
      <c r="H7" s="66" t="s">
        <v>25</v>
      </c>
      <c r="I7" s="66" t="s">
        <v>25</v>
      </c>
      <c r="J7" s="66" t="s">
        <v>582</v>
      </c>
      <c r="K7" s="66" t="s">
        <v>583</v>
      </c>
      <c r="L7" s="66" t="s">
        <v>82</v>
      </c>
      <c r="M7" s="66">
        <v>2021</v>
      </c>
      <c r="N7" s="66">
        <v>0</v>
      </c>
      <c r="O7" s="66">
        <v>123.13</v>
      </c>
      <c r="P7" s="66">
        <v>0</v>
      </c>
    </row>
    <row r="8" spans="1:50" ht="11.25" customHeight="1" x14ac:dyDescent="0.25">
      <c r="A8" s="66">
        <v>7</v>
      </c>
      <c r="B8" s="66" t="s">
        <v>444</v>
      </c>
      <c r="C8" s="66" t="s">
        <v>22</v>
      </c>
      <c r="D8" s="66" t="s">
        <v>95</v>
      </c>
      <c r="E8" s="66" t="s">
        <v>24</v>
      </c>
      <c r="F8" s="66" t="s">
        <v>24</v>
      </c>
      <c r="G8" s="66" t="s">
        <v>25</v>
      </c>
      <c r="H8" s="66" t="s">
        <v>25</v>
      </c>
      <c r="I8" s="66" t="s">
        <v>38</v>
      </c>
      <c r="J8" s="66" t="s">
        <v>582</v>
      </c>
      <c r="K8" s="66" t="s">
        <v>583</v>
      </c>
      <c r="L8" s="66" t="s">
        <v>82</v>
      </c>
      <c r="M8" s="66">
        <v>2021</v>
      </c>
      <c r="N8" s="66">
        <v>0</v>
      </c>
      <c r="O8" s="66">
        <v>228.33</v>
      </c>
      <c r="P8" s="66">
        <v>59.412263728720802</v>
      </c>
    </row>
    <row r="9" spans="1:50" ht="11.25" customHeight="1" x14ac:dyDescent="0.25">
      <c r="A9" s="66">
        <v>8</v>
      </c>
      <c r="B9" s="66" t="s">
        <v>444</v>
      </c>
      <c r="C9" s="66" t="s">
        <v>35</v>
      </c>
      <c r="D9" s="66" t="s">
        <v>36</v>
      </c>
      <c r="E9" s="66" t="s">
        <v>25</v>
      </c>
      <c r="F9" s="66" t="s">
        <v>25</v>
      </c>
      <c r="G9" s="66" t="s">
        <v>25</v>
      </c>
      <c r="H9" s="66" t="s">
        <v>25</v>
      </c>
      <c r="I9" s="66" t="s">
        <v>38</v>
      </c>
      <c r="J9" s="66" t="s">
        <v>584</v>
      </c>
      <c r="K9" s="66" t="s">
        <v>583</v>
      </c>
      <c r="L9" s="66" t="s">
        <v>85</v>
      </c>
      <c r="M9" s="66">
        <v>2021</v>
      </c>
      <c r="N9" s="66">
        <v>0</v>
      </c>
      <c r="O9" s="66">
        <v>26.17</v>
      </c>
      <c r="P9" s="66">
        <v>0</v>
      </c>
    </row>
    <row r="10" spans="1:50" ht="11.25" customHeight="1" x14ac:dyDescent="0.25">
      <c r="A10" s="66">
        <v>9</v>
      </c>
      <c r="B10" s="66" t="s">
        <v>444</v>
      </c>
      <c r="C10" s="66" t="s">
        <v>35</v>
      </c>
      <c r="D10" s="66" t="s">
        <v>36</v>
      </c>
      <c r="E10" s="66" t="s">
        <v>25</v>
      </c>
      <c r="F10" s="66" t="s">
        <v>25</v>
      </c>
      <c r="G10" s="66" t="s">
        <v>25</v>
      </c>
      <c r="H10" s="66" t="s">
        <v>25</v>
      </c>
      <c r="I10" s="66" t="s">
        <v>25</v>
      </c>
      <c r="J10" s="66" t="s">
        <v>582</v>
      </c>
      <c r="K10" s="66" t="s">
        <v>583</v>
      </c>
      <c r="L10" s="66" t="s">
        <v>82</v>
      </c>
      <c r="M10" s="66">
        <v>2021</v>
      </c>
      <c r="N10" s="66">
        <v>0</v>
      </c>
      <c r="O10" s="66">
        <v>69.489999999999995</v>
      </c>
      <c r="P10" s="66">
        <v>51.688669443987102</v>
      </c>
    </row>
    <row r="11" spans="1:50" ht="11.25" customHeight="1" x14ac:dyDescent="0.25">
      <c r="A11" s="66">
        <v>10</v>
      </c>
      <c r="B11" s="66" t="s">
        <v>444</v>
      </c>
      <c r="C11" s="66" t="s">
        <v>22</v>
      </c>
      <c r="D11" s="66" t="s">
        <v>23</v>
      </c>
      <c r="E11" s="66" t="s">
        <v>24</v>
      </c>
      <c r="F11" s="66" t="s">
        <v>29</v>
      </c>
      <c r="G11" s="66" t="s">
        <v>25</v>
      </c>
      <c r="H11" s="66" t="s">
        <v>25</v>
      </c>
      <c r="I11" s="66" t="s">
        <v>25</v>
      </c>
      <c r="J11" s="66" t="s">
        <v>582</v>
      </c>
      <c r="K11" s="66" t="s">
        <v>583</v>
      </c>
      <c r="L11" s="66" t="s">
        <v>82</v>
      </c>
      <c r="M11" s="66">
        <v>2021</v>
      </c>
      <c r="N11" s="66">
        <v>0</v>
      </c>
      <c r="O11" s="66">
        <v>71.83</v>
      </c>
      <c r="P11" s="66">
        <v>0</v>
      </c>
    </row>
    <row r="12" spans="1:50" ht="11.25" customHeight="1" x14ac:dyDescent="0.25">
      <c r="A12" s="66">
        <v>11</v>
      </c>
      <c r="B12" s="66" t="s">
        <v>444</v>
      </c>
      <c r="C12" s="66" t="s">
        <v>22</v>
      </c>
      <c r="D12" s="66" t="s">
        <v>23</v>
      </c>
      <c r="E12" s="66" t="s">
        <v>24</v>
      </c>
      <c r="F12" s="66" t="s">
        <v>24</v>
      </c>
      <c r="G12" s="66" t="s">
        <v>25</v>
      </c>
      <c r="H12" s="66" t="s">
        <v>25</v>
      </c>
      <c r="I12" s="66" t="s">
        <v>25</v>
      </c>
      <c r="J12" s="66" t="s">
        <v>582</v>
      </c>
      <c r="K12" s="66" t="s">
        <v>583</v>
      </c>
      <c r="L12" s="66" t="s">
        <v>82</v>
      </c>
      <c r="M12" s="66">
        <v>2021</v>
      </c>
      <c r="N12" s="66">
        <v>0</v>
      </c>
      <c r="O12" s="66">
        <v>272.91000000000003</v>
      </c>
      <c r="P12" s="66">
        <v>59.412263728720802</v>
      </c>
    </row>
    <row r="13" spans="1:50" ht="11.25" customHeight="1" x14ac:dyDescent="0.25">
      <c r="A13" s="66">
        <v>12</v>
      </c>
      <c r="B13" s="66" t="s">
        <v>444</v>
      </c>
      <c r="C13" s="66" t="s">
        <v>35</v>
      </c>
      <c r="D13" s="66" t="s">
        <v>39</v>
      </c>
      <c r="E13" s="66" t="s">
        <v>25</v>
      </c>
      <c r="F13" s="66" t="s">
        <v>25</v>
      </c>
      <c r="G13" s="66" t="s">
        <v>25</v>
      </c>
      <c r="H13" s="66" t="s">
        <v>25</v>
      </c>
      <c r="I13" s="66" t="s">
        <v>37</v>
      </c>
      <c r="J13" s="66" t="s">
        <v>582</v>
      </c>
      <c r="K13" s="66" t="s">
        <v>583</v>
      </c>
      <c r="L13" s="66" t="s">
        <v>82</v>
      </c>
      <c r="M13" s="66">
        <v>2021</v>
      </c>
      <c r="N13" s="66">
        <v>0</v>
      </c>
      <c r="O13" s="66">
        <v>1124.7</v>
      </c>
      <c r="P13" s="66">
        <v>51.688669443987102</v>
      </c>
    </row>
    <row r="14" spans="1:50" ht="11.25" customHeight="1" x14ac:dyDescent="0.25">
      <c r="A14" s="66">
        <v>13</v>
      </c>
      <c r="B14" s="66" t="s">
        <v>444</v>
      </c>
      <c r="C14" s="66" t="s">
        <v>22</v>
      </c>
      <c r="D14" s="66" t="s">
        <v>23</v>
      </c>
      <c r="E14" s="66" t="s">
        <v>24</v>
      </c>
      <c r="F14" s="66" t="s">
        <v>32</v>
      </c>
      <c r="G14" s="66" t="s">
        <v>25</v>
      </c>
      <c r="H14" s="66" t="s">
        <v>25</v>
      </c>
      <c r="I14" s="66" t="s">
        <v>25</v>
      </c>
      <c r="J14" s="66" t="s">
        <v>582</v>
      </c>
      <c r="K14" s="66" t="s">
        <v>583</v>
      </c>
      <c r="L14" s="66" t="s">
        <v>82</v>
      </c>
      <c r="M14" s="66">
        <v>2021</v>
      </c>
      <c r="N14" s="66">
        <v>0</v>
      </c>
      <c r="O14" s="66">
        <v>205.22</v>
      </c>
      <c r="P14" s="66">
        <v>0</v>
      </c>
    </row>
    <row r="15" spans="1:50" ht="11.25" customHeight="1" x14ac:dyDescent="0.25">
      <c r="A15" s="66">
        <v>14</v>
      </c>
      <c r="B15" s="66" t="s">
        <v>444</v>
      </c>
      <c r="C15" s="66" t="s">
        <v>35</v>
      </c>
      <c r="D15" s="66" t="s">
        <v>56</v>
      </c>
      <c r="E15" s="66" t="s">
        <v>25</v>
      </c>
      <c r="F15" s="66" t="s">
        <v>25</v>
      </c>
      <c r="G15" s="66" t="s">
        <v>25</v>
      </c>
      <c r="H15" s="66" t="s">
        <v>25</v>
      </c>
      <c r="I15" s="66" t="s">
        <v>25</v>
      </c>
      <c r="J15" s="66" t="s">
        <v>584</v>
      </c>
      <c r="K15" s="66" t="s">
        <v>583</v>
      </c>
      <c r="L15" s="66" t="s">
        <v>85</v>
      </c>
      <c r="M15" s="66">
        <v>2021</v>
      </c>
      <c r="N15" s="66">
        <v>0</v>
      </c>
      <c r="O15" s="66">
        <v>8.08</v>
      </c>
      <c r="P15" s="66">
        <v>0</v>
      </c>
    </row>
    <row r="16" spans="1:50" ht="11.25" customHeight="1" x14ac:dyDescent="0.25">
      <c r="A16" s="66">
        <v>15</v>
      </c>
      <c r="B16" s="66" t="s">
        <v>444</v>
      </c>
      <c r="C16" s="66" t="s">
        <v>22</v>
      </c>
      <c r="D16" s="66" t="s">
        <v>23</v>
      </c>
      <c r="E16" s="66" t="s">
        <v>24</v>
      </c>
      <c r="F16" s="66" t="s">
        <v>31</v>
      </c>
      <c r="G16" s="66" t="s">
        <v>25</v>
      </c>
      <c r="H16" s="66" t="s">
        <v>25</v>
      </c>
      <c r="I16" s="66" t="s">
        <v>25</v>
      </c>
      <c r="J16" s="66" t="s">
        <v>582</v>
      </c>
      <c r="K16" s="66" t="s">
        <v>583</v>
      </c>
      <c r="L16" s="66" t="s">
        <v>82</v>
      </c>
      <c r="M16" s="66">
        <v>2021</v>
      </c>
      <c r="N16" s="66">
        <v>0</v>
      </c>
      <c r="O16" s="66">
        <v>184.7</v>
      </c>
      <c r="P16" s="66">
        <v>0</v>
      </c>
    </row>
    <row r="17" spans="1:16" ht="11.25" customHeight="1" x14ac:dyDescent="0.25">
      <c r="A17" s="66">
        <v>16</v>
      </c>
      <c r="B17" s="66" t="s">
        <v>444</v>
      </c>
      <c r="C17" s="66" t="s">
        <v>41</v>
      </c>
      <c r="D17" s="66" t="s">
        <v>95</v>
      </c>
      <c r="E17" s="66" t="s">
        <v>42</v>
      </c>
      <c r="F17" s="66" t="s">
        <v>98</v>
      </c>
      <c r="G17" s="66" t="s">
        <v>25</v>
      </c>
      <c r="H17" s="66" t="s">
        <v>25</v>
      </c>
      <c r="I17" s="66" t="s">
        <v>585</v>
      </c>
      <c r="J17" s="66" t="s">
        <v>582</v>
      </c>
      <c r="K17" s="66" t="s">
        <v>583</v>
      </c>
      <c r="L17" s="66" t="s">
        <v>82</v>
      </c>
      <c r="M17" s="66">
        <v>2021</v>
      </c>
      <c r="N17" s="66">
        <v>0</v>
      </c>
      <c r="O17" s="66">
        <v>270.5</v>
      </c>
      <c r="P17" s="66">
        <v>52.282792081274302</v>
      </c>
    </row>
    <row r="18" spans="1:16" ht="11.25" customHeight="1" x14ac:dyDescent="0.25">
      <c r="A18" s="66">
        <v>17</v>
      </c>
      <c r="B18" s="66" t="s">
        <v>444</v>
      </c>
      <c r="C18" s="66" t="s">
        <v>33</v>
      </c>
      <c r="D18" s="66" t="s">
        <v>23</v>
      </c>
      <c r="E18" s="66" t="s">
        <v>25</v>
      </c>
      <c r="F18" s="66" t="s">
        <v>25</v>
      </c>
      <c r="G18" s="66" t="s">
        <v>25</v>
      </c>
      <c r="H18" s="66" t="s">
        <v>25</v>
      </c>
      <c r="I18" s="66" t="s">
        <v>25</v>
      </c>
      <c r="J18" s="66" t="s">
        <v>582</v>
      </c>
      <c r="K18" s="66" t="s">
        <v>583</v>
      </c>
      <c r="L18" s="66" t="s">
        <v>82</v>
      </c>
      <c r="M18" s="66">
        <v>2021</v>
      </c>
      <c r="N18" s="66">
        <v>0</v>
      </c>
      <c r="O18" s="66">
        <v>272.91000000000003</v>
      </c>
      <c r="P18" s="66">
        <v>59.412263728720802</v>
      </c>
    </row>
    <row r="19" spans="1:16" ht="11.25" customHeight="1" x14ac:dyDescent="0.25">
      <c r="A19" s="66">
        <v>18</v>
      </c>
      <c r="B19" s="66" t="s">
        <v>444</v>
      </c>
      <c r="C19" s="66" t="s">
        <v>35</v>
      </c>
      <c r="D19" s="66" t="s">
        <v>39</v>
      </c>
      <c r="E19" s="66" t="s">
        <v>25</v>
      </c>
      <c r="F19" s="66" t="s">
        <v>25</v>
      </c>
      <c r="G19" s="66" t="s">
        <v>25</v>
      </c>
      <c r="H19" s="66" t="s">
        <v>25</v>
      </c>
      <c r="I19" s="66" t="s">
        <v>25</v>
      </c>
      <c r="J19" s="66" t="s">
        <v>584</v>
      </c>
      <c r="K19" s="66" t="s">
        <v>583</v>
      </c>
      <c r="L19" s="66" t="s">
        <v>85</v>
      </c>
      <c r="M19" s="66">
        <v>2021</v>
      </c>
      <c r="N19" s="66">
        <v>0</v>
      </c>
      <c r="O19" s="66">
        <v>26.17</v>
      </c>
      <c r="P19" s="66">
        <v>0</v>
      </c>
    </row>
    <row r="20" spans="1:16" ht="11.25" customHeight="1" x14ac:dyDescent="0.25">
      <c r="A20" s="66">
        <v>19</v>
      </c>
      <c r="B20" s="66" t="s">
        <v>444</v>
      </c>
      <c r="C20" s="66" t="s">
        <v>53</v>
      </c>
      <c r="D20" s="66" t="s">
        <v>36</v>
      </c>
      <c r="E20" s="66" t="s">
        <v>25</v>
      </c>
      <c r="F20" s="66" t="s">
        <v>25</v>
      </c>
      <c r="G20" s="66" t="s">
        <v>25</v>
      </c>
      <c r="H20" s="66" t="s">
        <v>25</v>
      </c>
      <c r="I20" s="66" t="s">
        <v>38</v>
      </c>
      <c r="J20" s="66" t="s">
        <v>584</v>
      </c>
      <c r="K20" s="66" t="s">
        <v>583</v>
      </c>
      <c r="L20" s="66" t="s">
        <v>85</v>
      </c>
      <c r="M20" s="66">
        <v>2021</v>
      </c>
      <c r="N20" s="66">
        <v>0</v>
      </c>
      <c r="O20" s="66">
        <v>10.39</v>
      </c>
      <c r="P20" s="66">
        <v>0</v>
      </c>
    </row>
    <row r="21" spans="1:16" ht="11.25" customHeight="1" x14ac:dyDescent="0.25">
      <c r="A21" s="66">
        <v>20</v>
      </c>
      <c r="B21" s="66" t="s">
        <v>444</v>
      </c>
      <c r="C21" s="66" t="s">
        <v>91</v>
      </c>
      <c r="D21" s="66" t="s">
        <v>56</v>
      </c>
      <c r="E21" s="66" t="s">
        <v>25</v>
      </c>
      <c r="F21" s="66" t="s">
        <v>25</v>
      </c>
      <c r="G21" s="66" t="s">
        <v>92</v>
      </c>
      <c r="H21" s="66" t="s">
        <v>25</v>
      </c>
      <c r="I21" s="66" t="s">
        <v>25</v>
      </c>
      <c r="J21" s="66" t="s">
        <v>584</v>
      </c>
      <c r="K21" s="66" t="s">
        <v>583</v>
      </c>
      <c r="L21" s="66" t="s">
        <v>85</v>
      </c>
      <c r="M21" s="66">
        <v>2021</v>
      </c>
      <c r="N21" s="66">
        <v>0</v>
      </c>
      <c r="O21" s="66">
        <v>1.99</v>
      </c>
      <c r="P21" s="66">
        <v>0</v>
      </c>
    </row>
    <row r="22" spans="1:16" ht="11.25" customHeight="1" x14ac:dyDescent="0.25">
      <c r="A22" s="66">
        <v>21</v>
      </c>
      <c r="B22" s="66" t="s">
        <v>444</v>
      </c>
      <c r="C22" s="66" t="s">
        <v>41</v>
      </c>
      <c r="D22" s="66" t="s">
        <v>95</v>
      </c>
      <c r="E22" s="66" t="s">
        <v>42</v>
      </c>
      <c r="F22" s="66" t="s">
        <v>25</v>
      </c>
      <c r="G22" s="66" t="s">
        <v>25</v>
      </c>
      <c r="H22" s="66" t="s">
        <v>25</v>
      </c>
      <c r="I22" s="66" t="s">
        <v>37</v>
      </c>
      <c r="J22" s="66" t="s">
        <v>582</v>
      </c>
      <c r="K22" s="66" t="s">
        <v>583</v>
      </c>
      <c r="L22" s="66" t="s">
        <v>82</v>
      </c>
      <c r="M22" s="66">
        <v>2021</v>
      </c>
      <c r="N22" s="66">
        <v>0</v>
      </c>
      <c r="O22" s="66">
        <v>456.86</v>
      </c>
      <c r="P22" s="66">
        <v>52.282792081274302</v>
      </c>
    </row>
    <row r="23" spans="1:16" ht="11.25" customHeight="1" x14ac:dyDescent="0.25">
      <c r="A23" s="66">
        <v>22</v>
      </c>
      <c r="B23" s="66" t="s">
        <v>444</v>
      </c>
      <c r="C23" s="66" t="s">
        <v>41</v>
      </c>
      <c r="D23" s="66" t="s">
        <v>97</v>
      </c>
      <c r="E23" s="66" t="s">
        <v>42</v>
      </c>
      <c r="F23" s="66" t="s">
        <v>99</v>
      </c>
      <c r="G23" s="66" t="s">
        <v>25</v>
      </c>
      <c r="H23" s="66" t="s">
        <v>25</v>
      </c>
      <c r="I23" s="66" t="s">
        <v>25</v>
      </c>
      <c r="J23" s="66" t="s">
        <v>582</v>
      </c>
      <c r="K23" s="66" t="s">
        <v>583</v>
      </c>
      <c r="L23" s="66" t="s">
        <v>82</v>
      </c>
      <c r="M23" s="66">
        <v>2021</v>
      </c>
      <c r="N23" s="66">
        <v>0</v>
      </c>
      <c r="O23" s="66">
        <v>229.24</v>
      </c>
      <c r="P23" s="66">
        <v>49.906301532125397</v>
      </c>
    </row>
    <row r="24" spans="1:16" ht="11.25" customHeight="1" x14ac:dyDescent="0.25">
      <c r="A24" s="66">
        <v>23</v>
      </c>
      <c r="B24" s="66" t="s">
        <v>444</v>
      </c>
      <c r="C24" s="66" t="s">
        <v>41</v>
      </c>
      <c r="D24" s="66" t="s">
        <v>95</v>
      </c>
      <c r="E24" s="66" t="s">
        <v>42</v>
      </c>
      <c r="F24" s="66" t="s">
        <v>98</v>
      </c>
      <c r="G24" s="66" t="s">
        <v>25</v>
      </c>
      <c r="H24" s="66" t="s">
        <v>25</v>
      </c>
      <c r="I24" s="66" t="s">
        <v>38</v>
      </c>
      <c r="J24" s="66" t="s">
        <v>582</v>
      </c>
      <c r="K24" s="66" t="s">
        <v>583</v>
      </c>
      <c r="L24" s="66" t="s">
        <v>82</v>
      </c>
      <c r="M24" s="66">
        <v>2021</v>
      </c>
      <c r="N24" s="66">
        <v>0</v>
      </c>
      <c r="O24" s="66">
        <v>200.93</v>
      </c>
      <c r="P24" s="66">
        <v>52.282792081274302</v>
      </c>
    </row>
    <row r="25" spans="1:16" ht="11.25" customHeight="1" x14ac:dyDescent="0.25">
      <c r="A25" s="66">
        <v>24</v>
      </c>
      <c r="B25" s="66" t="s">
        <v>444</v>
      </c>
      <c r="C25" s="66" t="s">
        <v>33</v>
      </c>
      <c r="D25" s="66" t="s">
        <v>97</v>
      </c>
      <c r="E25" s="66" t="s">
        <v>25</v>
      </c>
      <c r="F25" s="66" t="s">
        <v>25</v>
      </c>
      <c r="G25" s="66" t="s">
        <v>25</v>
      </c>
      <c r="H25" s="66" t="s">
        <v>25</v>
      </c>
      <c r="I25" s="66" t="s">
        <v>25</v>
      </c>
      <c r="J25" s="66" t="s">
        <v>582</v>
      </c>
      <c r="K25" s="66" t="s">
        <v>583</v>
      </c>
      <c r="L25" s="66" t="s">
        <v>82</v>
      </c>
      <c r="M25" s="66">
        <v>2021</v>
      </c>
      <c r="N25" s="66">
        <v>0</v>
      </c>
      <c r="O25" s="66">
        <v>272.91000000000003</v>
      </c>
      <c r="P25" s="66">
        <v>59.412263728720802</v>
      </c>
    </row>
    <row r="26" spans="1:16" ht="11.25" customHeight="1" x14ac:dyDescent="0.25">
      <c r="A26" s="66">
        <v>25</v>
      </c>
      <c r="B26" s="66" t="s">
        <v>444</v>
      </c>
      <c r="C26" s="66" t="s">
        <v>35</v>
      </c>
      <c r="D26" s="66" t="s">
        <v>39</v>
      </c>
      <c r="E26" s="66" t="s">
        <v>25</v>
      </c>
      <c r="F26" s="66" t="s">
        <v>25</v>
      </c>
      <c r="G26" s="66" t="s">
        <v>25</v>
      </c>
      <c r="H26" s="66" t="s">
        <v>25</v>
      </c>
      <c r="I26" s="66" t="s">
        <v>38</v>
      </c>
      <c r="J26" s="66" t="s">
        <v>582</v>
      </c>
      <c r="K26" s="66" t="s">
        <v>583</v>
      </c>
      <c r="L26" s="66" t="s">
        <v>82</v>
      </c>
      <c r="M26" s="66">
        <v>2021</v>
      </c>
      <c r="N26" s="66">
        <v>0</v>
      </c>
      <c r="O26" s="66">
        <v>69.489999999999995</v>
      </c>
      <c r="P26" s="66">
        <v>51.688669443987102</v>
      </c>
    </row>
    <row r="27" spans="1:16" ht="11.25" customHeight="1" x14ac:dyDescent="0.25">
      <c r="A27" s="66">
        <v>26</v>
      </c>
      <c r="B27" s="66" t="s">
        <v>444</v>
      </c>
      <c r="C27" s="66" t="s">
        <v>22</v>
      </c>
      <c r="D27" s="66" t="s">
        <v>97</v>
      </c>
      <c r="E27" s="66" t="s">
        <v>24</v>
      </c>
      <c r="F27" s="66" t="s">
        <v>29</v>
      </c>
      <c r="G27" s="66" t="s">
        <v>25</v>
      </c>
      <c r="H27" s="66" t="s">
        <v>25</v>
      </c>
      <c r="I27" s="66" t="s">
        <v>25</v>
      </c>
      <c r="J27" s="66" t="s">
        <v>582</v>
      </c>
      <c r="K27" s="66" t="s">
        <v>583</v>
      </c>
      <c r="L27" s="66" t="s">
        <v>82</v>
      </c>
      <c r="M27" s="66">
        <v>2021</v>
      </c>
      <c r="N27" s="66">
        <v>0</v>
      </c>
      <c r="O27" s="66">
        <v>71.83</v>
      </c>
      <c r="P27" s="66">
        <v>0</v>
      </c>
    </row>
    <row r="28" spans="1:16" ht="11.25" customHeight="1" x14ac:dyDescent="0.25">
      <c r="A28" s="66">
        <v>27</v>
      </c>
      <c r="B28" s="66" t="s">
        <v>444</v>
      </c>
      <c r="C28" s="66" t="s">
        <v>35</v>
      </c>
      <c r="D28" s="66" t="s">
        <v>39</v>
      </c>
      <c r="E28" s="66" t="s">
        <v>25</v>
      </c>
      <c r="F28" s="66" t="s">
        <v>25</v>
      </c>
      <c r="G28" s="66" t="s">
        <v>89</v>
      </c>
      <c r="H28" s="66" t="s">
        <v>25</v>
      </c>
      <c r="I28" s="66" t="s">
        <v>37</v>
      </c>
      <c r="J28" s="66" t="s">
        <v>582</v>
      </c>
      <c r="K28" s="66" t="s">
        <v>583</v>
      </c>
      <c r="L28" s="66" t="s">
        <v>82</v>
      </c>
      <c r="M28" s="66">
        <v>2021</v>
      </c>
      <c r="N28" s="66">
        <v>0</v>
      </c>
      <c r="O28" s="66">
        <v>1064.6199999999999</v>
      </c>
      <c r="P28" s="66">
        <v>0</v>
      </c>
    </row>
    <row r="29" spans="1:16" ht="11.25" customHeight="1" x14ac:dyDescent="0.25">
      <c r="A29" s="66">
        <v>28</v>
      </c>
      <c r="B29" s="66" t="s">
        <v>444</v>
      </c>
      <c r="C29" s="66" t="s">
        <v>22</v>
      </c>
      <c r="D29" s="66" t="s">
        <v>97</v>
      </c>
      <c r="E29" s="66" t="s">
        <v>24</v>
      </c>
      <c r="F29" s="66" t="s">
        <v>30</v>
      </c>
      <c r="G29" s="66" t="s">
        <v>25</v>
      </c>
      <c r="H29" s="66" t="s">
        <v>25</v>
      </c>
      <c r="I29" s="66" t="s">
        <v>25</v>
      </c>
      <c r="J29" s="66" t="s">
        <v>582</v>
      </c>
      <c r="K29" s="66" t="s">
        <v>583</v>
      </c>
      <c r="L29" s="66" t="s">
        <v>82</v>
      </c>
      <c r="M29" s="66">
        <v>2021</v>
      </c>
      <c r="N29" s="66">
        <v>0</v>
      </c>
      <c r="O29" s="66">
        <v>123.13</v>
      </c>
      <c r="P29" s="66">
        <v>0</v>
      </c>
    </row>
    <row r="30" spans="1:16" ht="11.25" customHeight="1" x14ac:dyDescent="0.25">
      <c r="A30" s="66">
        <v>29</v>
      </c>
      <c r="B30" s="66" t="s">
        <v>444</v>
      </c>
      <c r="C30" s="66" t="s">
        <v>41</v>
      </c>
      <c r="D30" s="66" t="s">
        <v>95</v>
      </c>
      <c r="E30" s="66" t="s">
        <v>42</v>
      </c>
      <c r="F30" s="66" t="s">
        <v>98</v>
      </c>
      <c r="G30" s="66" t="s">
        <v>25</v>
      </c>
      <c r="H30" s="66" t="s">
        <v>25</v>
      </c>
      <c r="I30" s="66" t="s">
        <v>37</v>
      </c>
      <c r="J30" s="66" t="s">
        <v>582</v>
      </c>
      <c r="K30" s="66" t="s">
        <v>583</v>
      </c>
      <c r="L30" s="66" t="s">
        <v>82</v>
      </c>
      <c r="M30" s="66">
        <v>2021</v>
      </c>
      <c r="N30" s="66">
        <v>0</v>
      </c>
      <c r="O30" s="66">
        <v>456.86</v>
      </c>
      <c r="P30" s="66">
        <v>52.282792081274302</v>
      </c>
    </row>
    <row r="31" spans="1:16" ht="11.25" customHeight="1" x14ac:dyDescent="0.25">
      <c r="A31" s="66">
        <v>30</v>
      </c>
      <c r="B31" s="66" t="s">
        <v>444</v>
      </c>
      <c r="C31" s="66" t="s">
        <v>33</v>
      </c>
      <c r="D31" s="66" t="s">
        <v>95</v>
      </c>
      <c r="E31" s="66" t="s">
        <v>25</v>
      </c>
      <c r="F31" s="66" t="s">
        <v>25</v>
      </c>
      <c r="G31" s="66" t="s">
        <v>25</v>
      </c>
      <c r="H31" s="66" t="s">
        <v>25</v>
      </c>
      <c r="I31" s="66" t="s">
        <v>38</v>
      </c>
      <c r="J31" s="66" t="s">
        <v>582</v>
      </c>
      <c r="K31" s="66" t="s">
        <v>583</v>
      </c>
      <c r="L31" s="66" t="s">
        <v>82</v>
      </c>
      <c r="M31" s="66">
        <v>2021</v>
      </c>
      <c r="N31" s="66">
        <v>0</v>
      </c>
      <c r="O31" s="66">
        <v>243.19</v>
      </c>
      <c r="P31" s="66">
        <v>59.412263728720802</v>
      </c>
    </row>
    <row r="32" spans="1:16" ht="11.25" customHeight="1" x14ac:dyDescent="0.25">
      <c r="A32" s="66">
        <v>31</v>
      </c>
      <c r="B32" s="66" t="s">
        <v>444</v>
      </c>
      <c r="C32" s="66" t="s">
        <v>22</v>
      </c>
      <c r="D32" s="66" t="s">
        <v>97</v>
      </c>
      <c r="E32" s="66" t="s">
        <v>24</v>
      </c>
      <c r="F32" s="66" t="s">
        <v>24</v>
      </c>
      <c r="G32" s="66" t="s">
        <v>25</v>
      </c>
      <c r="H32" s="66" t="s">
        <v>25</v>
      </c>
      <c r="I32" s="66" t="s">
        <v>25</v>
      </c>
      <c r="J32" s="66" t="s">
        <v>582</v>
      </c>
      <c r="K32" s="66" t="s">
        <v>583</v>
      </c>
      <c r="L32" s="66" t="s">
        <v>82</v>
      </c>
      <c r="M32" s="66">
        <v>2021</v>
      </c>
      <c r="N32" s="66">
        <v>0</v>
      </c>
      <c r="O32" s="66">
        <v>272.91000000000003</v>
      </c>
      <c r="P32" s="66">
        <v>59.412263728720802</v>
      </c>
    </row>
    <row r="33" spans="1:16" ht="11.25" customHeight="1" x14ac:dyDescent="0.25">
      <c r="A33" s="66">
        <v>32</v>
      </c>
      <c r="B33" s="66" t="s">
        <v>444</v>
      </c>
      <c r="C33" s="66" t="s">
        <v>41</v>
      </c>
      <c r="D33" s="66" t="s">
        <v>95</v>
      </c>
      <c r="E33" s="66" t="s">
        <v>42</v>
      </c>
      <c r="F33" s="66" t="s">
        <v>25</v>
      </c>
      <c r="G33" s="66" t="s">
        <v>25</v>
      </c>
      <c r="H33" s="66" t="s">
        <v>25</v>
      </c>
      <c r="I33" s="66" t="s">
        <v>585</v>
      </c>
      <c r="J33" s="66" t="s">
        <v>582</v>
      </c>
      <c r="K33" s="66" t="s">
        <v>583</v>
      </c>
      <c r="L33" s="66" t="s">
        <v>82</v>
      </c>
      <c r="M33" s="66">
        <v>2021</v>
      </c>
      <c r="N33" s="66">
        <v>0</v>
      </c>
      <c r="O33" s="66">
        <v>270.5</v>
      </c>
      <c r="P33" s="66">
        <v>52.282792081274302</v>
      </c>
    </row>
    <row r="34" spans="1:16" ht="11.25" customHeight="1" x14ac:dyDescent="0.25">
      <c r="A34" s="66">
        <v>33</v>
      </c>
      <c r="B34" s="66" t="s">
        <v>444</v>
      </c>
      <c r="C34" s="66" t="s">
        <v>35</v>
      </c>
      <c r="D34" s="66" t="s">
        <v>39</v>
      </c>
      <c r="E34" s="66" t="s">
        <v>25</v>
      </c>
      <c r="F34" s="66" t="s">
        <v>25</v>
      </c>
      <c r="G34" s="66" t="s">
        <v>89</v>
      </c>
      <c r="H34" s="66" t="s">
        <v>25</v>
      </c>
      <c r="I34" s="66" t="s">
        <v>38</v>
      </c>
      <c r="J34" s="66" t="s">
        <v>582</v>
      </c>
      <c r="K34" s="66" t="s">
        <v>583</v>
      </c>
      <c r="L34" s="66" t="s">
        <v>82</v>
      </c>
      <c r="M34" s="66">
        <v>2021</v>
      </c>
      <c r="N34" s="66">
        <v>0</v>
      </c>
      <c r="O34" s="66">
        <v>9.42</v>
      </c>
      <c r="P34" s="66">
        <v>0</v>
      </c>
    </row>
    <row r="35" spans="1:16" ht="11.25" customHeight="1" x14ac:dyDescent="0.25">
      <c r="A35" s="66">
        <v>34</v>
      </c>
      <c r="B35" s="66" t="s">
        <v>444</v>
      </c>
      <c r="C35" s="66" t="s">
        <v>41</v>
      </c>
      <c r="D35" s="66" t="s">
        <v>95</v>
      </c>
      <c r="E35" s="66" t="s">
        <v>42</v>
      </c>
      <c r="F35" s="66" t="s">
        <v>25</v>
      </c>
      <c r="G35" s="66" t="s">
        <v>25</v>
      </c>
      <c r="H35" s="66" t="s">
        <v>25</v>
      </c>
      <c r="I35" s="66" t="s">
        <v>38</v>
      </c>
      <c r="J35" s="66" t="s">
        <v>582</v>
      </c>
      <c r="K35" s="66" t="s">
        <v>583</v>
      </c>
      <c r="L35" s="66" t="s">
        <v>82</v>
      </c>
      <c r="M35" s="66">
        <v>2021</v>
      </c>
      <c r="N35" s="66">
        <v>0</v>
      </c>
      <c r="O35" s="66">
        <v>200.93</v>
      </c>
      <c r="P35" s="66">
        <v>52.282792081274302</v>
      </c>
    </row>
    <row r="36" spans="1:16" ht="11.25" customHeight="1" x14ac:dyDescent="0.25">
      <c r="A36" s="66">
        <v>35</v>
      </c>
      <c r="B36" s="66" t="s">
        <v>444</v>
      </c>
      <c r="C36" s="66" t="s">
        <v>33</v>
      </c>
      <c r="D36" s="66" t="s">
        <v>95</v>
      </c>
      <c r="E36" s="66" t="s">
        <v>25</v>
      </c>
      <c r="F36" s="66" t="s">
        <v>25</v>
      </c>
      <c r="G36" s="66" t="s">
        <v>25</v>
      </c>
      <c r="H36" s="66" t="s">
        <v>25</v>
      </c>
      <c r="I36" s="66" t="s">
        <v>37</v>
      </c>
      <c r="J36" s="66" t="s">
        <v>582</v>
      </c>
      <c r="K36" s="66" t="s">
        <v>583</v>
      </c>
      <c r="L36" s="66" t="s">
        <v>82</v>
      </c>
      <c r="M36" s="66">
        <v>2021</v>
      </c>
      <c r="N36" s="66">
        <v>0</v>
      </c>
      <c r="O36" s="66">
        <v>555.27</v>
      </c>
      <c r="P36" s="66">
        <v>59.412263728720802</v>
      </c>
    </row>
    <row r="37" spans="1:16" ht="11.25" customHeight="1" x14ac:dyDescent="0.25">
      <c r="A37" s="66">
        <v>36</v>
      </c>
      <c r="B37" s="66" t="s">
        <v>444</v>
      </c>
      <c r="C37" s="66" t="s">
        <v>22</v>
      </c>
      <c r="D37" s="66" t="s">
        <v>97</v>
      </c>
      <c r="E37" s="66" t="s">
        <v>24</v>
      </c>
      <c r="F37" s="66" t="s">
        <v>32</v>
      </c>
      <c r="G37" s="66" t="s">
        <v>25</v>
      </c>
      <c r="H37" s="66" t="s">
        <v>25</v>
      </c>
      <c r="I37" s="66" t="s">
        <v>25</v>
      </c>
      <c r="J37" s="66" t="s">
        <v>582</v>
      </c>
      <c r="K37" s="66" t="s">
        <v>583</v>
      </c>
      <c r="L37" s="66" t="s">
        <v>82</v>
      </c>
      <c r="M37" s="66">
        <v>2021</v>
      </c>
      <c r="N37" s="66">
        <v>0</v>
      </c>
      <c r="O37" s="66">
        <v>205.22</v>
      </c>
      <c r="P37" s="66">
        <v>0</v>
      </c>
    </row>
    <row r="38" spans="1:16" ht="11.25" customHeight="1" x14ac:dyDescent="0.25">
      <c r="A38" s="66">
        <v>37</v>
      </c>
      <c r="B38" s="66" t="s">
        <v>444</v>
      </c>
      <c r="C38" s="66" t="s">
        <v>41</v>
      </c>
      <c r="D38" s="66" t="s">
        <v>97</v>
      </c>
      <c r="E38" s="66" t="s">
        <v>42</v>
      </c>
      <c r="F38" s="66" t="s">
        <v>25</v>
      </c>
      <c r="G38" s="66" t="s">
        <v>25</v>
      </c>
      <c r="H38" s="66" t="s">
        <v>25</v>
      </c>
      <c r="I38" s="66" t="s">
        <v>25</v>
      </c>
      <c r="J38" s="66" t="s">
        <v>582</v>
      </c>
      <c r="K38" s="66" t="s">
        <v>583</v>
      </c>
      <c r="L38" s="66" t="s">
        <v>82</v>
      </c>
      <c r="M38" s="66">
        <v>2021</v>
      </c>
      <c r="N38" s="66">
        <v>0</v>
      </c>
      <c r="O38" s="66">
        <v>240.16</v>
      </c>
      <c r="P38" s="66">
        <v>52.282792081274302</v>
      </c>
    </row>
    <row r="39" spans="1:16" ht="11.25" customHeight="1" x14ac:dyDescent="0.25">
      <c r="A39" s="66">
        <v>38</v>
      </c>
      <c r="B39" s="66" t="s">
        <v>444</v>
      </c>
      <c r="C39" s="66" t="s">
        <v>33</v>
      </c>
      <c r="D39" s="66" t="s">
        <v>95</v>
      </c>
      <c r="E39" s="66" t="s">
        <v>25</v>
      </c>
      <c r="F39" s="66" t="s">
        <v>25</v>
      </c>
      <c r="G39" s="66" t="s">
        <v>25</v>
      </c>
      <c r="H39" s="66" t="s">
        <v>25</v>
      </c>
      <c r="I39" s="66" t="s">
        <v>585</v>
      </c>
      <c r="J39" s="66" t="s">
        <v>582</v>
      </c>
      <c r="K39" s="66" t="s">
        <v>583</v>
      </c>
      <c r="L39" s="66" t="s">
        <v>82</v>
      </c>
      <c r="M39" s="66">
        <v>2021</v>
      </c>
      <c r="N39" s="66">
        <v>0</v>
      </c>
      <c r="O39" s="66">
        <v>321.20999999999998</v>
      </c>
      <c r="P39" s="66">
        <v>59.412263728720802</v>
      </c>
    </row>
    <row r="40" spans="1:16" ht="11.25" customHeight="1" x14ac:dyDescent="0.25">
      <c r="A40" s="66">
        <v>39</v>
      </c>
      <c r="B40" s="66" t="s">
        <v>444</v>
      </c>
      <c r="C40" s="66" t="s">
        <v>91</v>
      </c>
      <c r="D40" s="66" t="s">
        <v>56</v>
      </c>
      <c r="E40" s="66" t="s">
        <v>25</v>
      </c>
      <c r="F40" s="66" t="s">
        <v>25</v>
      </c>
      <c r="G40" s="66" t="s">
        <v>93</v>
      </c>
      <c r="H40" s="66" t="s">
        <v>25</v>
      </c>
      <c r="I40" s="66" t="s">
        <v>25</v>
      </c>
      <c r="J40" s="66" t="s">
        <v>584</v>
      </c>
      <c r="K40" s="66" t="s">
        <v>583</v>
      </c>
      <c r="L40" s="66" t="s">
        <v>85</v>
      </c>
      <c r="M40" s="66">
        <v>2021</v>
      </c>
      <c r="N40" s="66">
        <v>0</v>
      </c>
      <c r="O40" s="66">
        <v>7.84</v>
      </c>
      <c r="P40" s="66">
        <v>0</v>
      </c>
    </row>
    <row r="41" spans="1:16" ht="11.25" customHeight="1" x14ac:dyDescent="0.25">
      <c r="A41" s="66">
        <v>40</v>
      </c>
      <c r="B41" s="66" t="s">
        <v>444</v>
      </c>
      <c r="C41" s="66" t="s">
        <v>41</v>
      </c>
      <c r="D41" s="66" t="s">
        <v>23</v>
      </c>
      <c r="E41" s="66" t="s">
        <v>42</v>
      </c>
      <c r="F41" s="66" t="s">
        <v>25</v>
      </c>
      <c r="G41" s="66" t="s">
        <v>25</v>
      </c>
      <c r="H41" s="66" t="s">
        <v>25</v>
      </c>
      <c r="I41" s="66" t="s">
        <v>25</v>
      </c>
      <c r="J41" s="66" t="s">
        <v>582</v>
      </c>
      <c r="K41" s="66" t="s">
        <v>583</v>
      </c>
      <c r="L41" s="66" t="s">
        <v>82</v>
      </c>
      <c r="M41" s="66">
        <v>2021</v>
      </c>
      <c r="N41" s="66">
        <v>0</v>
      </c>
      <c r="O41" s="66">
        <v>240.16</v>
      </c>
      <c r="P41" s="66">
        <v>52.282792081274302</v>
      </c>
    </row>
    <row r="42" spans="1:16" ht="11.25" customHeight="1" x14ac:dyDescent="0.25">
      <c r="A42" s="66">
        <v>41</v>
      </c>
      <c r="B42" s="66" t="s">
        <v>444</v>
      </c>
      <c r="C42" s="66" t="s">
        <v>22</v>
      </c>
      <c r="D42" s="66" t="s">
        <v>97</v>
      </c>
      <c r="E42" s="66" t="s">
        <v>24</v>
      </c>
      <c r="F42" s="66" t="s">
        <v>31</v>
      </c>
      <c r="G42" s="66" t="s">
        <v>25</v>
      </c>
      <c r="H42" s="66" t="s">
        <v>25</v>
      </c>
      <c r="I42" s="66" t="s">
        <v>25</v>
      </c>
      <c r="J42" s="66" t="s">
        <v>582</v>
      </c>
      <c r="K42" s="66" t="s">
        <v>583</v>
      </c>
      <c r="L42" s="66" t="s">
        <v>82</v>
      </c>
      <c r="M42" s="66">
        <v>2021</v>
      </c>
      <c r="N42" s="66">
        <v>0</v>
      </c>
      <c r="O42" s="66">
        <v>184.7</v>
      </c>
      <c r="P42" s="66">
        <v>0</v>
      </c>
    </row>
    <row r="43" spans="1:16" ht="11.25" customHeight="1" x14ac:dyDescent="0.25">
      <c r="A43" s="66">
        <v>42</v>
      </c>
      <c r="B43" s="66" t="s">
        <v>444</v>
      </c>
      <c r="C43" s="66" t="s">
        <v>53</v>
      </c>
      <c r="D43" s="66" t="s">
        <v>36</v>
      </c>
      <c r="E43" s="66" t="s">
        <v>25</v>
      </c>
      <c r="F43" s="66" t="s">
        <v>25</v>
      </c>
      <c r="G43" s="66" t="s">
        <v>25</v>
      </c>
      <c r="H43" s="66" t="s">
        <v>25</v>
      </c>
      <c r="I43" s="66" t="s">
        <v>25</v>
      </c>
      <c r="J43" s="66" t="s">
        <v>582</v>
      </c>
      <c r="K43" s="66" t="s">
        <v>583</v>
      </c>
      <c r="L43" s="66" t="s">
        <v>82</v>
      </c>
      <c r="M43" s="66">
        <v>2021</v>
      </c>
      <c r="N43" s="66">
        <v>0</v>
      </c>
      <c r="O43" s="66">
        <v>48.44</v>
      </c>
      <c r="P43" s="66">
        <v>39.806216698242899</v>
      </c>
    </row>
    <row r="44" spans="1:16" ht="11.25" customHeight="1" x14ac:dyDescent="0.25">
      <c r="A44" s="66">
        <v>43</v>
      </c>
      <c r="B44" s="66" t="s">
        <v>444</v>
      </c>
      <c r="C44" s="66" t="s">
        <v>53</v>
      </c>
      <c r="D44" s="66" t="s">
        <v>36</v>
      </c>
      <c r="E44" s="66" t="s">
        <v>25</v>
      </c>
      <c r="F44" s="66" t="s">
        <v>25</v>
      </c>
      <c r="G44" s="66" t="s">
        <v>25</v>
      </c>
      <c r="H44" s="66" t="s">
        <v>25</v>
      </c>
      <c r="I44" s="66" t="s">
        <v>37</v>
      </c>
      <c r="J44" s="66" t="s">
        <v>584</v>
      </c>
      <c r="K44" s="66" t="s">
        <v>583</v>
      </c>
      <c r="L44" s="66" t="s">
        <v>85</v>
      </c>
      <c r="M44" s="66">
        <v>2021</v>
      </c>
      <c r="N44" s="66">
        <v>0</v>
      </c>
      <c r="O44" s="66">
        <v>22.57</v>
      </c>
      <c r="P44" s="66">
        <v>0</v>
      </c>
    </row>
    <row r="45" spans="1:16" ht="11.25" customHeight="1" x14ac:dyDescent="0.25">
      <c r="A45" s="66">
        <v>44</v>
      </c>
      <c r="B45" s="66" t="s">
        <v>444</v>
      </c>
      <c r="C45" s="66" t="s">
        <v>41</v>
      </c>
      <c r="D45" s="66" t="s">
        <v>97</v>
      </c>
      <c r="E45" s="66" t="s">
        <v>42</v>
      </c>
      <c r="F45" s="66" t="s">
        <v>98</v>
      </c>
      <c r="G45" s="66" t="s">
        <v>25</v>
      </c>
      <c r="H45" s="66" t="s">
        <v>25</v>
      </c>
      <c r="I45" s="66" t="s">
        <v>25</v>
      </c>
      <c r="J45" s="66" t="s">
        <v>582</v>
      </c>
      <c r="K45" s="66" t="s">
        <v>583</v>
      </c>
      <c r="L45" s="66" t="s">
        <v>82</v>
      </c>
      <c r="M45" s="66">
        <v>2021</v>
      </c>
      <c r="N45" s="66">
        <v>0</v>
      </c>
      <c r="O45" s="66">
        <v>240.16</v>
      </c>
      <c r="P45" s="66">
        <v>52.282792081274302</v>
      </c>
    </row>
    <row r="46" spans="1:16" ht="11.25" customHeight="1" x14ac:dyDescent="0.25">
      <c r="A46" s="66">
        <v>45</v>
      </c>
      <c r="B46" s="66" t="s">
        <v>444</v>
      </c>
      <c r="C46" s="66" t="s">
        <v>41</v>
      </c>
      <c r="D46" s="66" t="s">
        <v>95</v>
      </c>
      <c r="E46" s="66" t="s">
        <v>42</v>
      </c>
      <c r="F46" s="66" t="s">
        <v>99</v>
      </c>
      <c r="G46" s="66" t="s">
        <v>25</v>
      </c>
      <c r="H46" s="66" t="s">
        <v>25</v>
      </c>
      <c r="I46" s="66" t="s">
        <v>585</v>
      </c>
      <c r="J46" s="66" t="s">
        <v>582</v>
      </c>
      <c r="K46" s="66" t="s">
        <v>583</v>
      </c>
      <c r="L46" s="66" t="s">
        <v>82</v>
      </c>
      <c r="M46" s="66">
        <v>2021</v>
      </c>
      <c r="N46" s="66">
        <v>0</v>
      </c>
      <c r="O46" s="66">
        <v>258.20999999999998</v>
      </c>
      <c r="P46" s="66">
        <v>49.906301532125397</v>
      </c>
    </row>
    <row r="47" spans="1:16" ht="11.25" customHeight="1" x14ac:dyDescent="0.25">
      <c r="A47" s="66">
        <v>46</v>
      </c>
      <c r="B47" s="66" t="s">
        <v>472</v>
      </c>
      <c r="C47" s="66" t="s">
        <v>22</v>
      </c>
      <c r="D47" s="66" t="s">
        <v>90</v>
      </c>
      <c r="E47" s="66" t="s">
        <v>24</v>
      </c>
      <c r="F47" s="66" t="s">
        <v>24</v>
      </c>
      <c r="G47" s="66" t="s">
        <v>25</v>
      </c>
      <c r="H47" s="66" t="s">
        <v>25</v>
      </c>
      <c r="I47" s="66" t="s">
        <v>25</v>
      </c>
      <c r="J47" s="66" t="s">
        <v>582</v>
      </c>
      <c r="K47" s="66" t="s">
        <v>583</v>
      </c>
      <c r="L47" s="66" t="s">
        <v>82</v>
      </c>
      <c r="M47" s="66">
        <v>2021</v>
      </c>
      <c r="N47" s="66">
        <v>0</v>
      </c>
      <c r="O47" s="66">
        <v>185.18</v>
      </c>
      <c r="P47" s="66"/>
    </row>
    <row r="48" spans="1:16" ht="11.25" customHeight="1" x14ac:dyDescent="0.25">
      <c r="A48" s="66">
        <v>47</v>
      </c>
      <c r="B48" s="66" t="s">
        <v>472</v>
      </c>
      <c r="C48" s="66" t="s">
        <v>35</v>
      </c>
      <c r="D48" s="66" t="s">
        <v>90</v>
      </c>
      <c r="E48" s="66" t="s">
        <v>25</v>
      </c>
      <c r="F48" s="66" t="s">
        <v>25</v>
      </c>
      <c r="G48" s="66" t="s">
        <v>25</v>
      </c>
      <c r="H48" s="66" t="s">
        <v>25</v>
      </c>
      <c r="I48" s="66" t="s">
        <v>25</v>
      </c>
      <c r="J48" s="66" t="s">
        <v>582</v>
      </c>
      <c r="K48" s="66" t="s">
        <v>583</v>
      </c>
      <c r="L48" s="66" t="s">
        <v>82</v>
      </c>
      <c r="M48" s="66">
        <v>2021</v>
      </c>
      <c r="N48" s="66">
        <v>0</v>
      </c>
      <c r="O48" s="66">
        <v>185.18</v>
      </c>
      <c r="P48" s="66"/>
    </row>
    <row r="49" spans="1:16" ht="11.25" customHeight="1" x14ac:dyDescent="0.25">
      <c r="A49" s="66">
        <v>48</v>
      </c>
      <c r="B49" s="66" t="s">
        <v>472</v>
      </c>
      <c r="C49" s="66" t="s">
        <v>22</v>
      </c>
      <c r="D49" s="66" t="s">
        <v>96</v>
      </c>
      <c r="E49" s="66" t="s">
        <v>24</v>
      </c>
      <c r="F49" s="66" t="s">
        <v>32</v>
      </c>
      <c r="G49" s="66" t="s">
        <v>25</v>
      </c>
      <c r="H49" s="66" t="s">
        <v>25</v>
      </c>
      <c r="I49" s="66" t="s">
        <v>25</v>
      </c>
      <c r="J49" s="66" t="s">
        <v>582</v>
      </c>
      <c r="K49" s="66" t="s">
        <v>583</v>
      </c>
      <c r="L49" s="66" t="s">
        <v>82</v>
      </c>
      <c r="M49" s="66">
        <v>2021</v>
      </c>
      <c r="N49" s="66">
        <v>0</v>
      </c>
      <c r="O49" s="66">
        <v>185.18</v>
      </c>
      <c r="P49" s="66"/>
    </row>
    <row r="50" spans="1:16" ht="11.25" customHeight="1" x14ac:dyDescent="0.25">
      <c r="A50" s="66">
        <v>49</v>
      </c>
      <c r="B50" s="66" t="s">
        <v>472</v>
      </c>
      <c r="C50" s="66" t="s">
        <v>53</v>
      </c>
      <c r="D50" s="66" t="s">
        <v>81</v>
      </c>
      <c r="E50" s="66" t="s">
        <v>25</v>
      </c>
      <c r="F50" s="66" t="s">
        <v>25</v>
      </c>
      <c r="G50" s="66" t="s">
        <v>25</v>
      </c>
      <c r="H50" s="66" t="s">
        <v>25</v>
      </c>
      <c r="I50" s="66" t="s">
        <v>37</v>
      </c>
      <c r="J50" s="66" t="s">
        <v>582</v>
      </c>
      <c r="K50" s="66" t="s">
        <v>583</v>
      </c>
      <c r="L50" s="66" t="s">
        <v>82</v>
      </c>
      <c r="M50" s="66">
        <v>2021</v>
      </c>
      <c r="N50" s="66">
        <v>0</v>
      </c>
      <c r="O50" s="66">
        <v>185.18</v>
      </c>
      <c r="P50" s="66"/>
    </row>
    <row r="51" spans="1:16" ht="11.25" customHeight="1" x14ac:dyDescent="0.25">
      <c r="A51" s="66">
        <v>50</v>
      </c>
      <c r="B51" s="66" t="s">
        <v>472</v>
      </c>
      <c r="C51" s="66" t="s">
        <v>22</v>
      </c>
      <c r="D51" s="66" t="s">
        <v>96</v>
      </c>
      <c r="E51" s="66" t="s">
        <v>24</v>
      </c>
      <c r="F51" s="66" t="s">
        <v>24</v>
      </c>
      <c r="G51" s="66" t="s">
        <v>25</v>
      </c>
      <c r="H51" s="66" t="s">
        <v>25</v>
      </c>
      <c r="I51" s="66" t="s">
        <v>25</v>
      </c>
      <c r="J51" s="66" t="s">
        <v>582</v>
      </c>
      <c r="K51" s="66" t="s">
        <v>583</v>
      </c>
      <c r="L51" s="66" t="s">
        <v>82</v>
      </c>
      <c r="M51" s="66">
        <v>2021</v>
      </c>
      <c r="N51" s="66">
        <v>0</v>
      </c>
      <c r="O51" s="66">
        <v>185.18</v>
      </c>
      <c r="P51" s="66"/>
    </row>
    <row r="52" spans="1:16" ht="11.25" customHeight="1" x14ac:dyDescent="0.25">
      <c r="A52" s="66">
        <v>51</v>
      </c>
      <c r="B52" s="66" t="s">
        <v>444</v>
      </c>
      <c r="C52" s="66" t="s">
        <v>41</v>
      </c>
      <c r="D52" s="66" t="s">
        <v>23</v>
      </c>
      <c r="E52" s="66" t="s">
        <v>42</v>
      </c>
      <c r="F52" s="66" t="s">
        <v>98</v>
      </c>
      <c r="G52" s="66" t="s">
        <v>25</v>
      </c>
      <c r="H52" s="66" t="s">
        <v>25</v>
      </c>
      <c r="I52" s="66" t="s">
        <v>25</v>
      </c>
      <c r="J52" s="66" t="s">
        <v>582</v>
      </c>
      <c r="K52" s="66" t="s">
        <v>583</v>
      </c>
      <c r="L52" s="66" t="s">
        <v>82</v>
      </c>
      <c r="M52" s="66">
        <v>2021</v>
      </c>
      <c r="N52" s="66">
        <v>0</v>
      </c>
      <c r="O52" s="66">
        <v>240.16</v>
      </c>
      <c r="P52" s="66">
        <v>52.282792081274302</v>
      </c>
    </row>
    <row r="53" spans="1:16" ht="11.25" customHeight="1" x14ac:dyDescent="0.25">
      <c r="A53" s="66">
        <v>52</v>
      </c>
      <c r="B53" s="66" t="s">
        <v>472</v>
      </c>
      <c r="C53" s="66" t="s">
        <v>22</v>
      </c>
      <c r="D53" s="66" t="s">
        <v>81</v>
      </c>
      <c r="E53" s="66" t="s">
        <v>24</v>
      </c>
      <c r="F53" s="66" t="s">
        <v>24</v>
      </c>
      <c r="G53" s="66" t="s">
        <v>25</v>
      </c>
      <c r="H53" s="66" t="s">
        <v>25</v>
      </c>
      <c r="I53" s="66" t="s">
        <v>37</v>
      </c>
      <c r="J53" s="66" t="s">
        <v>582</v>
      </c>
      <c r="K53" s="66" t="s">
        <v>583</v>
      </c>
      <c r="L53" s="66" t="s">
        <v>82</v>
      </c>
      <c r="M53" s="66">
        <v>2021</v>
      </c>
      <c r="N53" s="66">
        <v>0</v>
      </c>
      <c r="O53" s="66">
        <v>185.18</v>
      </c>
      <c r="P53" s="66"/>
    </row>
    <row r="54" spans="1:16" ht="11.25" customHeight="1" x14ac:dyDescent="0.25">
      <c r="A54" s="66">
        <v>53</v>
      </c>
      <c r="B54" s="66" t="s">
        <v>472</v>
      </c>
      <c r="C54" s="66" t="s">
        <v>41</v>
      </c>
      <c r="D54" s="66" t="s">
        <v>81</v>
      </c>
      <c r="E54" s="66" t="s">
        <v>42</v>
      </c>
      <c r="F54" s="66" t="s">
        <v>25</v>
      </c>
      <c r="G54" s="66" t="s">
        <v>25</v>
      </c>
      <c r="H54" s="66" t="s">
        <v>25</v>
      </c>
      <c r="I54" s="66" t="s">
        <v>37</v>
      </c>
      <c r="J54" s="66" t="s">
        <v>582</v>
      </c>
      <c r="K54" s="66" t="s">
        <v>583</v>
      </c>
      <c r="L54" s="66" t="s">
        <v>82</v>
      </c>
      <c r="M54" s="66">
        <v>2021</v>
      </c>
      <c r="N54" s="66">
        <v>0</v>
      </c>
      <c r="O54" s="66">
        <v>162.96</v>
      </c>
      <c r="P54" s="66"/>
    </row>
    <row r="55" spans="1:16" ht="11.25" customHeight="1" x14ac:dyDescent="0.25">
      <c r="A55" s="66">
        <v>54</v>
      </c>
      <c r="B55" s="66" t="s">
        <v>444</v>
      </c>
      <c r="C55" s="66" t="s">
        <v>44</v>
      </c>
      <c r="D55" s="66" t="s">
        <v>23</v>
      </c>
      <c r="E55" s="66" t="s">
        <v>45</v>
      </c>
      <c r="F55" s="66" t="s">
        <v>46</v>
      </c>
      <c r="G55" s="66" t="s">
        <v>25</v>
      </c>
      <c r="H55" s="66" t="s">
        <v>25</v>
      </c>
      <c r="I55" s="66" t="s">
        <v>25</v>
      </c>
      <c r="J55" s="66" t="s">
        <v>582</v>
      </c>
      <c r="K55" s="66" t="s">
        <v>583</v>
      </c>
      <c r="L55" s="66" t="s">
        <v>82</v>
      </c>
      <c r="M55" s="66">
        <v>2021</v>
      </c>
      <c r="N55" s="66">
        <v>0</v>
      </c>
      <c r="O55" s="66">
        <v>150.1</v>
      </c>
      <c r="P55" s="66">
        <v>32.676745050796399</v>
      </c>
    </row>
    <row r="56" spans="1:16" ht="11.25" customHeight="1" x14ac:dyDescent="0.25">
      <c r="A56" s="66">
        <v>55</v>
      </c>
      <c r="B56" s="66" t="s">
        <v>472</v>
      </c>
      <c r="C56" s="66" t="s">
        <v>22</v>
      </c>
      <c r="D56" s="66" t="s">
        <v>90</v>
      </c>
      <c r="E56" s="66" t="s">
        <v>24</v>
      </c>
      <c r="F56" s="66" t="s">
        <v>30</v>
      </c>
      <c r="G56" s="66" t="s">
        <v>25</v>
      </c>
      <c r="H56" s="66" t="s">
        <v>25</v>
      </c>
      <c r="I56" s="66" t="s">
        <v>25</v>
      </c>
      <c r="J56" s="66" t="s">
        <v>582</v>
      </c>
      <c r="K56" s="66" t="s">
        <v>583</v>
      </c>
      <c r="L56" s="66" t="s">
        <v>82</v>
      </c>
      <c r="M56" s="66">
        <v>2021</v>
      </c>
      <c r="N56" s="66">
        <v>0</v>
      </c>
      <c r="O56" s="66">
        <v>111.11</v>
      </c>
      <c r="P56" s="66"/>
    </row>
    <row r="57" spans="1:16" ht="11.25" customHeight="1" x14ac:dyDescent="0.25">
      <c r="A57" s="66">
        <v>56</v>
      </c>
      <c r="B57" s="66" t="s">
        <v>444</v>
      </c>
      <c r="C57" s="66" t="s">
        <v>41</v>
      </c>
      <c r="D57" s="66" t="s">
        <v>95</v>
      </c>
      <c r="E57" s="66" t="s">
        <v>42</v>
      </c>
      <c r="F57" s="66" t="s">
        <v>99</v>
      </c>
      <c r="G57" s="66" t="s">
        <v>25</v>
      </c>
      <c r="H57" s="66" t="s">
        <v>25</v>
      </c>
      <c r="I57" s="66" t="s">
        <v>38</v>
      </c>
      <c r="J57" s="66" t="s">
        <v>582</v>
      </c>
      <c r="K57" s="66" t="s">
        <v>583</v>
      </c>
      <c r="L57" s="66" t="s">
        <v>82</v>
      </c>
      <c r="M57" s="66">
        <v>2021</v>
      </c>
      <c r="N57" s="66">
        <v>0</v>
      </c>
      <c r="O57" s="66">
        <v>191.79</v>
      </c>
      <c r="P57" s="66">
        <v>49.906301532125397</v>
      </c>
    </row>
    <row r="58" spans="1:16" ht="11.25" customHeight="1" x14ac:dyDescent="0.25">
      <c r="A58" s="66">
        <v>57</v>
      </c>
      <c r="B58" s="66" t="s">
        <v>472</v>
      </c>
      <c r="C58" s="66" t="s">
        <v>22</v>
      </c>
      <c r="D58" s="66" t="s">
        <v>90</v>
      </c>
      <c r="E58" s="66" t="s">
        <v>24</v>
      </c>
      <c r="F58" s="66" t="s">
        <v>29</v>
      </c>
      <c r="G58" s="66" t="s">
        <v>25</v>
      </c>
      <c r="H58" s="66" t="s">
        <v>25</v>
      </c>
      <c r="I58" s="66" t="s">
        <v>25</v>
      </c>
      <c r="J58" s="66" t="s">
        <v>582</v>
      </c>
      <c r="K58" s="66" t="s">
        <v>583</v>
      </c>
      <c r="L58" s="66" t="s">
        <v>82</v>
      </c>
      <c r="M58" s="66">
        <v>2021</v>
      </c>
      <c r="N58" s="66">
        <v>0</v>
      </c>
      <c r="O58" s="66">
        <v>64.81</v>
      </c>
      <c r="P58" s="66"/>
    </row>
    <row r="59" spans="1:16" ht="11.25" customHeight="1" x14ac:dyDescent="0.25">
      <c r="A59" s="66">
        <v>58</v>
      </c>
      <c r="B59" s="66" t="s">
        <v>472</v>
      </c>
      <c r="C59" s="66" t="s">
        <v>22</v>
      </c>
      <c r="D59" s="66" t="s">
        <v>81</v>
      </c>
      <c r="E59" s="66" t="s">
        <v>24</v>
      </c>
      <c r="F59" s="66" t="s">
        <v>24</v>
      </c>
      <c r="G59" s="66" t="s">
        <v>25</v>
      </c>
      <c r="H59" s="66" t="s">
        <v>25</v>
      </c>
      <c r="I59" s="66" t="s">
        <v>585</v>
      </c>
      <c r="J59" s="66" t="s">
        <v>582</v>
      </c>
      <c r="K59" s="66" t="s">
        <v>583</v>
      </c>
      <c r="L59" s="66" t="s">
        <v>82</v>
      </c>
      <c r="M59" s="66">
        <v>2021</v>
      </c>
      <c r="N59" s="66">
        <v>0</v>
      </c>
      <c r="O59" s="66">
        <v>185.18</v>
      </c>
      <c r="P59" s="66"/>
    </row>
    <row r="60" spans="1:16" ht="11.25" customHeight="1" x14ac:dyDescent="0.25">
      <c r="A60" s="66">
        <v>59</v>
      </c>
      <c r="B60" s="66" t="s">
        <v>472</v>
      </c>
      <c r="C60" s="66" t="s">
        <v>35</v>
      </c>
      <c r="D60" s="66" t="s">
        <v>81</v>
      </c>
      <c r="E60" s="66" t="s">
        <v>25</v>
      </c>
      <c r="F60" s="66" t="s">
        <v>25</v>
      </c>
      <c r="G60" s="66" t="s">
        <v>25</v>
      </c>
      <c r="H60" s="66" t="s">
        <v>25</v>
      </c>
      <c r="I60" s="66" t="s">
        <v>38</v>
      </c>
      <c r="J60" s="66" t="s">
        <v>582</v>
      </c>
      <c r="K60" s="66" t="s">
        <v>583</v>
      </c>
      <c r="L60" s="66" t="s">
        <v>82</v>
      </c>
      <c r="M60" s="66">
        <v>2021</v>
      </c>
      <c r="N60" s="66">
        <v>0</v>
      </c>
      <c r="O60" s="66">
        <v>185.18</v>
      </c>
      <c r="P60" s="66"/>
    </row>
    <row r="61" spans="1:16" ht="11.25" customHeight="1" x14ac:dyDescent="0.25">
      <c r="A61" s="66">
        <v>60</v>
      </c>
      <c r="B61" s="66" t="s">
        <v>472</v>
      </c>
      <c r="C61" s="66" t="s">
        <v>22</v>
      </c>
      <c r="D61" s="66" t="s">
        <v>96</v>
      </c>
      <c r="E61" s="66" t="s">
        <v>24</v>
      </c>
      <c r="F61" s="66" t="s">
        <v>31</v>
      </c>
      <c r="G61" s="66" t="s">
        <v>25</v>
      </c>
      <c r="H61" s="66" t="s">
        <v>25</v>
      </c>
      <c r="I61" s="66" t="s">
        <v>25</v>
      </c>
      <c r="J61" s="66" t="s">
        <v>582</v>
      </c>
      <c r="K61" s="66" t="s">
        <v>583</v>
      </c>
      <c r="L61" s="66" t="s">
        <v>82</v>
      </c>
      <c r="M61" s="66">
        <v>2021</v>
      </c>
      <c r="N61" s="66">
        <v>0</v>
      </c>
      <c r="O61" s="66">
        <v>166.66</v>
      </c>
      <c r="P61" s="66"/>
    </row>
    <row r="62" spans="1:16" ht="11.25" customHeight="1" x14ac:dyDescent="0.25">
      <c r="A62" s="66">
        <v>61</v>
      </c>
      <c r="B62" s="66" t="s">
        <v>444</v>
      </c>
      <c r="C62" s="66" t="s">
        <v>41</v>
      </c>
      <c r="D62" s="66" t="s">
        <v>95</v>
      </c>
      <c r="E62" s="66" t="s">
        <v>42</v>
      </c>
      <c r="F62" s="66" t="s">
        <v>99</v>
      </c>
      <c r="G62" s="66" t="s">
        <v>25</v>
      </c>
      <c r="H62" s="66" t="s">
        <v>25</v>
      </c>
      <c r="I62" s="66" t="s">
        <v>37</v>
      </c>
      <c r="J62" s="66" t="s">
        <v>582</v>
      </c>
      <c r="K62" s="66" t="s">
        <v>583</v>
      </c>
      <c r="L62" s="66" t="s">
        <v>82</v>
      </c>
      <c r="M62" s="66">
        <v>2021</v>
      </c>
      <c r="N62" s="66">
        <v>0</v>
      </c>
      <c r="O62" s="66">
        <v>436.09</v>
      </c>
      <c r="P62" s="66">
        <v>49.906301532125397</v>
      </c>
    </row>
    <row r="63" spans="1:16" ht="11.25" customHeight="1" x14ac:dyDescent="0.25">
      <c r="A63" s="66">
        <v>62</v>
      </c>
      <c r="B63" s="66" t="s">
        <v>472</v>
      </c>
      <c r="C63" s="66" t="s">
        <v>22</v>
      </c>
      <c r="D63" s="66" t="s">
        <v>81</v>
      </c>
      <c r="E63" s="66" t="s">
        <v>24</v>
      </c>
      <c r="F63" s="66" t="s">
        <v>24</v>
      </c>
      <c r="G63" s="66" t="s">
        <v>25</v>
      </c>
      <c r="H63" s="66" t="s">
        <v>25</v>
      </c>
      <c r="I63" s="66" t="s">
        <v>38</v>
      </c>
      <c r="J63" s="66" t="s">
        <v>582</v>
      </c>
      <c r="K63" s="66" t="s">
        <v>583</v>
      </c>
      <c r="L63" s="66" t="s">
        <v>82</v>
      </c>
      <c r="M63" s="66">
        <v>2021</v>
      </c>
      <c r="N63" s="66">
        <v>0</v>
      </c>
      <c r="O63" s="66">
        <v>185.18</v>
      </c>
      <c r="P63" s="66"/>
    </row>
    <row r="64" spans="1:16" ht="11.25" customHeight="1" x14ac:dyDescent="0.25">
      <c r="A64" s="66">
        <v>63</v>
      </c>
      <c r="B64" s="66" t="s">
        <v>472</v>
      </c>
      <c r="C64" s="66" t="s">
        <v>53</v>
      </c>
      <c r="D64" s="66" t="s">
        <v>81</v>
      </c>
      <c r="E64" s="66" t="s">
        <v>25</v>
      </c>
      <c r="F64" s="66" t="s">
        <v>25</v>
      </c>
      <c r="G64" s="66" t="s">
        <v>25</v>
      </c>
      <c r="H64" s="66" t="s">
        <v>25</v>
      </c>
      <c r="I64" s="66" t="s">
        <v>38</v>
      </c>
      <c r="J64" s="66" t="s">
        <v>582</v>
      </c>
      <c r="K64" s="66" t="s">
        <v>583</v>
      </c>
      <c r="L64" s="66" t="s">
        <v>82</v>
      </c>
      <c r="M64" s="66">
        <v>2021</v>
      </c>
      <c r="N64" s="66">
        <v>0</v>
      </c>
      <c r="O64" s="66">
        <v>185.18</v>
      </c>
      <c r="P64" s="66"/>
    </row>
    <row r="65" spans="1:16" ht="11.25" customHeight="1" x14ac:dyDescent="0.25">
      <c r="A65" s="66">
        <v>64</v>
      </c>
      <c r="B65" s="66" t="s">
        <v>472</v>
      </c>
      <c r="C65" s="66" t="s">
        <v>22</v>
      </c>
      <c r="D65" s="66" t="s">
        <v>96</v>
      </c>
      <c r="E65" s="66" t="s">
        <v>24</v>
      </c>
      <c r="F65" s="66" t="s">
        <v>29</v>
      </c>
      <c r="G65" s="66" t="s">
        <v>25</v>
      </c>
      <c r="H65" s="66" t="s">
        <v>25</v>
      </c>
      <c r="I65" s="66" t="s">
        <v>25</v>
      </c>
      <c r="J65" s="66" t="s">
        <v>582</v>
      </c>
      <c r="K65" s="66" t="s">
        <v>583</v>
      </c>
      <c r="L65" s="66" t="s">
        <v>82</v>
      </c>
      <c r="M65" s="66">
        <v>2021</v>
      </c>
      <c r="N65" s="66">
        <v>0</v>
      </c>
      <c r="O65" s="66">
        <v>64.81</v>
      </c>
      <c r="P65" s="66"/>
    </row>
    <row r="66" spans="1:16" ht="11.25" customHeight="1" x14ac:dyDescent="0.25">
      <c r="A66" s="66">
        <v>65</v>
      </c>
      <c r="B66" s="66" t="s">
        <v>472</v>
      </c>
      <c r="C66" s="66" t="s">
        <v>53</v>
      </c>
      <c r="D66" s="66" t="s">
        <v>586</v>
      </c>
      <c r="E66" s="66" t="s">
        <v>25</v>
      </c>
      <c r="F66" s="66" t="s">
        <v>25</v>
      </c>
      <c r="G66" s="66" t="s">
        <v>25</v>
      </c>
      <c r="H66" s="66" t="s">
        <v>25</v>
      </c>
      <c r="I66" s="66" t="s">
        <v>25</v>
      </c>
      <c r="J66" s="66" t="s">
        <v>582</v>
      </c>
      <c r="K66" s="66" t="s">
        <v>583</v>
      </c>
      <c r="L66" s="66" t="s">
        <v>82</v>
      </c>
      <c r="M66" s="66">
        <v>2021</v>
      </c>
      <c r="N66" s="66">
        <v>0</v>
      </c>
      <c r="O66" s="66">
        <v>176.4</v>
      </c>
      <c r="P66" s="66"/>
    </row>
    <row r="67" spans="1:16" ht="11.25" customHeight="1" x14ac:dyDescent="0.25">
      <c r="A67" s="66">
        <v>66</v>
      </c>
      <c r="B67" s="66" t="s">
        <v>472</v>
      </c>
      <c r="C67" s="66" t="s">
        <v>35</v>
      </c>
      <c r="D67" s="66" t="s">
        <v>81</v>
      </c>
      <c r="E67" s="66" t="s">
        <v>25</v>
      </c>
      <c r="F67" s="66" t="s">
        <v>25</v>
      </c>
      <c r="G67" s="66" t="s">
        <v>25</v>
      </c>
      <c r="H67" s="66" t="s">
        <v>25</v>
      </c>
      <c r="I67" s="66" t="s">
        <v>37</v>
      </c>
      <c r="J67" s="66" t="s">
        <v>582</v>
      </c>
      <c r="K67" s="66" t="s">
        <v>583</v>
      </c>
      <c r="L67" s="66" t="s">
        <v>82</v>
      </c>
      <c r="M67" s="66">
        <v>2021</v>
      </c>
      <c r="N67" s="66">
        <v>0</v>
      </c>
      <c r="O67" s="66">
        <v>185.18</v>
      </c>
      <c r="P67" s="66"/>
    </row>
    <row r="68" spans="1:16" ht="11.25" customHeight="1" x14ac:dyDescent="0.25">
      <c r="A68" s="66">
        <v>67</v>
      </c>
      <c r="B68" s="66" t="s">
        <v>472</v>
      </c>
      <c r="C68" s="66" t="s">
        <v>22</v>
      </c>
      <c r="D68" s="66" t="s">
        <v>96</v>
      </c>
      <c r="E68" s="66" t="s">
        <v>24</v>
      </c>
      <c r="F68" s="66" t="s">
        <v>30</v>
      </c>
      <c r="G68" s="66" t="s">
        <v>25</v>
      </c>
      <c r="H68" s="66" t="s">
        <v>25</v>
      </c>
      <c r="I68" s="66" t="s">
        <v>25</v>
      </c>
      <c r="J68" s="66" t="s">
        <v>582</v>
      </c>
      <c r="K68" s="66" t="s">
        <v>583</v>
      </c>
      <c r="L68" s="66" t="s">
        <v>82</v>
      </c>
      <c r="M68" s="66">
        <v>2021</v>
      </c>
      <c r="N68" s="66">
        <v>0</v>
      </c>
      <c r="O68" s="66">
        <v>111.11</v>
      </c>
      <c r="P68" s="66"/>
    </row>
    <row r="69" spans="1:16" ht="11.25" customHeight="1" x14ac:dyDescent="0.25">
      <c r="A69" s="66">
        <v>68</v>
      </c>
      <c r="B69" s="66" t="s">
        <v>472</v>
      </c>
      <c r="C69" s="66" t="s">
        <v>41</v>
      </c>
      <c r="D69" s="66" t="s">
        <v>81</v>
      </c>
      <c r="E69" s="66" t="s">
        <v>42</v>
      </c>
      <c r="F69" s="66" t="s">
        <v>99</v>
      </c>
      <c r="G69" s="66" t="s">
        <v>25</v>
      </c>
      <c r="H69" s="66" t="s">
        <v>25</v>
      </c>
      <c r="I69" s="66" t="s">
        <v>37</v>
      </c>
      <c r="J69" s="66" t="s">
        <v>582</v>
      </c>
      <c r="K69" s="66" t="s">
        <v>583</v>
      </c>
      <c r="L69" s="66" t="s">
        <v>82</v>
      </c>
      <c r="M69" s="66">
        <v>2021</v>
      </c>
      <c r="N69" s="66">
        <v>0</v>
      </c>
      <c r="O69" s="66">
        <v>155.55000000000001</v>
      </c>
      <c r="P69" s="66"/>
    </row>
    <row r="70" spans="1:16" ht="11.25" customHeight="1" x14ac:dyDescent="0.25">
      <c r="A70" s="66">
        <v>69</v>
      </c>
      <c r="B70" s="66" t="s">
        <v>472</v>
      </c>
      <c r="C70" s="66" t="s">
        <v>44</v>
      </c>
      <c r="D70" s="66" t="s">
        <v>90</v>
      </c>
      <c r="E70" s="66" t="s">
        <v>45</v>
      </c>
      <c r="F70" s="66" t="s">
        <v>100</v>
      </c>
      <c r="G70" s="66" t="s">
        <v>25</v>
      </c>
      <c r="H70" s="66" t="s">
        <v>25</v>
      </c>
      <c r="I70" s="66" t="s">
        <v>25</v>
      </c>
      <c r="J70" s="66" t="s">
        <v>582</v>
      </c>
      <c r="K70" s="66" t="s">
        <v>583</v>
      </c>
      <c r="L70" s="66" t="s">
        <v>82</v>
      </c>
      <c r="M70" s="66">
        <v>2021</v>
      </c>
      <c r="N70" s="66">
        <v>0</v>
      </c>
      <c r="O70" s="66">
        <v>111.11</v>
      </c>
      <c r="P70" s="66"/>
    </row>
    <row r="71" spans="1:16" ht="11.25" customHeight="1" x14ac:dyDescent="0.25">
      <c r="A71" s="66">
        <v>70</v>
      </c>
      <c r="B71" s="66" t="s">
        <v>472</v>
      </c>
      <c r="C71" s="66" t="s">
        <v>41</v>
      </c>
      <c r="D71" s="66" t="s">
        <v>81</v>
      </c>
      <c r="E71" s="66" t="s">
        <v>42</v>
      </c>
      <c r="F71" s="66" t="s">
        <v>99</v>
      </c>
      <c r="G71" s="66" t="s">
        <v>25</v>
      </c>
      <c r="H71" s="66" t="s">
        <v>25</v>
      </c>
      <c r="I71" s="66" t="s">
        <v>38</v>
      </c>
      <c r="J71" s="66" t="s">
        <v>582</v>
      </c>
      <c r="K71" s="66" t="s">
        <v>583</v>
      </c>
      <c r="L71" s="66" t="s">
        <v>82</v>
      </c>
      <c r="M71" s="66">
        <v>2021</v>
      </c>
      <c r="N71" s="66">
        <v>0</v>
      </c>
      <c r="O71" s="66">
        <v>155.55000000000001</v>
      </c>
      <c r="P71" s="66"/>
    </row>
    <row r="72" spans="1:16" ht="11.25" customHeight="1" x14ac:dyDescent="0.25">
      <c r="A72" s="66">
        <v>71</v>
      </c>
      <c r="B72" s="66" t="s">
        <v>472</v>
      </c>
      <c r="C72" s="66" t="s">
        <v>22</v>
      </c>
      <c r="D72" s="66" t="s">
        <v>90</v>
      </c>
      <c r="E72" s="66" t="s">
        <v>24</v>
      </c>
      <c r="F72" s="66" t="s">
        <v>32</v>
      </c>
      <c r="G72" s="66" t="s">
        <v>25</v>
      </c>
      <c r="H72" s="66" t="s">
        <v>25</v>
      </c>
      <c r="I72" s="66" t="s">
        <v>25</v>
      </c>
      <c r="J72" s="66" t="s">
        <v>582</v>
      </c>
      <c r="K72" s="66" t="s">
        <v>583</v>
      </c>
      <c r="L72" s="66" t="s">
        <v>82</v>
      </c>
      <c r="M72" s="66">
        <v>2021</v>
      </c>
      <c r="N72" s="66">
        <v>0</v>
      </c>
      <c r="O72" s="66">
        <v>185.18</v>
      </c>
      <c r="P72" s="66"/>
    </row>
    <row r="73" spans="1:16" ht="11.25" customHeight="1" x14ac:dyDescent="0.25">
      <c r="A73" s="66">
        <v>72</v>
      </c>
      <c r="B73" s="66" t="s">
        <v>472</v>
      </c>
      <c r="C73" s="66" t="s">
        <v>41</v>
      </c>
      <c r="D73" s="66" t="s">
        <v>81</v>
      </c>
      <c r="E73" s="66" t="s">
        <v>42</v>
      </c>
      <c r="F73" s="66" t="s">
        <v>99</v>
      </c>
      <c r="G73" s="66" t="s">
        <v>25</v>
      </c>
      <c r="H73" s="66" t="s">
        <v>25</v>
      </c>
      <c r="I73" s="66" t="s">
        <v>585</v>
      </c>
      <c r="J73" s="66" t="s">
        <v>582</v>
      </c>
      <c r="K73" s="66" t="s">
        <v>583</v>
      </c>
      <c r="L73" s="66" t="s">
        <v>82</v>
      </c>
      <c r="M73" s="66">
        <v>2021</v>
      </c>
      <c r="N73" s="66">
        <v>0</v>
      </c>
      <c r="O73" s="66">
        <v>155.55000000000001</v>
      </c>
      <c r="P73" s="66"/>
    </row>
    <row r="74" spans="1:16" ht="11.25" customHeight="1" x14ac:dyDescent="0.25">
      <c r="A74" s="66">
        <v>73</v>
      </c>
      <c r="B74" s="66" t="s">
        <v>472</v>
      </c>
      <c r="C74" s="66" t="s">
        <v>41</v>
      </c>
      <c r="D74" s="66" t="s">
        <v>81</v>
      </c>
      <c r="E74" s="66" t="s">
        <v>42</v>
      </c>
      <c r="F74" s="66" t="s">
        <v>25</v>
      </c>
      <c r="G74" s="66" t="s">
        <v>25</v>
      </c>
      <c r="H74" s="66" t="s">
        <v>25</v>
      </c>
      <c r="I74" s="66" t="s">
        <v>585</v>
      </c>
      <c r="J74" s="66" t="s">
        <v>582</v>
      </c>
      <c r="K74" s="66" t="s">
        <v>583</v>
      </c>
      <c r="L74" s="66" t="s">
        <v>82</v>
      </c>
      <c r="M74" s="66">
        <v>2021</v>
      </c>
      <c r="N74" s="66">
        <v>0</v>
      </c>
      <c r="O74" s="66">
        <v>162.96</v>
      </c>
      <c r="P74" s="66"/>
    </row>
    <row r="75" spans="1:16" ht="11.25" customHeight="1" x14ac:dyDescent="0.25">
      <c r="A75" s="66">
        <v>74</v>
      </c>
      <c r="B75" s="66" t="s">
        <v>472</v>
      </c>
      <c r="C75" s="66" t="s">
        <v>33</v>
      </c>
      <c r="D75" s="66" t="s">
        <v>81</v>
      </c>
      <c r="E75" s="66" t="s">
        <v>25</v>
      </c>
      <c r="F75" s="66" t="s">
        <v>25</v>
      </c>
      <c r="G75" s="66" t="s">
        <v>25</v>
      </c>
      <c r="H75" s="66" t="s">
        <v>25</v>
      </c>
      <c r="I75" s="66" t="s">
        <v>37</v>
      </c>
      <c r="J75" s="66" t="s">
        <v>582</v>
      </c>
      <c r="K75" s="66" t="s">
        <v>583</v>
      </c>
      <c r="L75" s="66" t="s">
        <v>82</v>
      </c>
      <c r="M75" s="66">
        <v>2021</v>
      </c>
      <c r="N75" s="66">
        <v>0</v>
      </c>
      <c r="O75" s="66">
        <v>185.18</v>
      </c>
      <c r="P75" s="66"/>
    </row>
    <row r="76" spans="1:16" ht="11.25" customHeight="1" x14ac:dyDescent="0.25">
      <c r="A76" s="66">
        <v>75</v>
      </c>
      <c r="B76" s="66" t="s">
        <v>472</v>
      </c>
      <c r="C76" s="66" t="s">
        <v>41</v>
      </c>
      <c r="D76" s="66" t="s">
        <v>81</v>
      </c>
      <c r="E76" s="66" t="s">
        <v>42</v>
      </c>
      <c r="F76" s="66" t="s">
        <v>25</v>
      </c>
      <c r="G76" s="66" t="s">
        <v>25</v>
      </c>
      <c r="H76" s="66" t="s">
        <v>25</v>
      </c>
      <c r="I76" s="66" t="s">
        <v>38</v>
      </c>
      <c r="J76" s="66" t="s">
        <v>582</v>
      </c>
      <c r="K76" s="66" t="s">
        <v>583</v>
      </c>
      <c r="L76" s="66" t="s">
        <v>82</v>
      </c>
      <c r="M76" s="66">
        <v>2021</v>
      </c>
      <c r="N76" s="66">
        <v>0</v>
      </c>
      <c r="O76" s="66">
        <v>162.96</v>
      </c>
      <c r="P76" s="66"/>
    </row>
    <row r="77" spans="1:16" ht="11.25" customHeight="1" x14ac:dyDescent="0.25">
      <c r="A77" s="66">
        <v>76</v>
      </c>
      <c r="B77" s="66" t="s">
        <v>472</v>
      </c>
      <c r="C77" s="66" t="s">
        <v>33</v>
      </c>
      <c r="D77" s="66" t="s">
        <v>81</v>
      </c>
      <c r="E77" s="66" t="s">
        <v>25</v>
      </c>
      <c r="F77" s="66" t="s">
        <v>25</v>
      </c>
      <c r="G77" s="66" t="s">
        <v>25</v>
      </c>
      <c r="H77" s="66" t="s">
        <v>25</v>
      </c>
      <c r="I77" s="66" t="s">
        <v>585</v>
      </c>
      <c r="J77" s="66" t="s">
        <v>582</v>
      </c>
      <c r="K77" s="66" t="s">
        <v>583</v>
      </c>
      <c r="L77" s="66" t="s">
        <v>82</v>
      </c>
      <c r="M77" s="66">
        <v>2021</v>
      </c>
      <c r="N77" s="66">
        <v>0</v>
      </c>
      <c r="O77" s="66">
        <v>185.18</v>
      </c>
      <c r="P77" s="66"/>
    </row>
    <row r="78" spans="1:16" ht="11.25" customHeight="1" x14ac:dyDescent="0.25">
      <c r="A78" s="66">
        <v>77</v>
      </c>
      <c r="B78" s="66" t="s">
        <v>444</v>
      </c>
      <c r="C78" s="66" t="s">
        <v>41</v>
      </c>
      <c r="D78" s="66" t="s">
        <v>23</v>
      </c>
      <c r="E78" s="66" t="s">
        <v>42</v>
      </c>
      <c r="F78" s="66" t="s">
        <v>99</v>
      </c>
      <c r="G78" s="66" t="s">
        <v>25</v>
      </c>
      <c r="H78" s="66" t="s">
        <v>25</v>
      </c>
      <c r="I78" s="66" t="s">
        <v>25</v>
      </c>
      <c r="J78" s="66" t="s">
        <v>582</v>
      </c>
      <c r="K78" s="66" t="s">
        <v>583</v>
      </c>
      <c r="L78" s="66" t="s">
        <v>82</v>
      </c>
      <c r="M78" s="66">
        <v>2021</v>
      </c>
      <c r="N78" s="66">
        <v>0</v>
      </c>
      <c r="O78" s="66">
        <v>229.24</v>
      </c>
      <c r="P78" s="66">
        <v>49.906301532125397</v>
      </c>
    </row>
    <row r="79" spans="1:16" ht="11.25" customHeight="1" x14ac:dyDescent="0.25">
      <c r="A79" s="66">
        <v>78</v>
      </c>
      <c r="B79" s="66" t="s">
        <v>472</v>
      </c>
      <c r="C79" s="66" t="s">
        <v>41</v>
      </c>
      <c r="D79" s="66" t="s">
        <v>90</v>
      </c>
      <c r="E79" s="66" t="s">
        <v>42</v>
      </c>
      <c r="F79" s="66" t="s">
        <v>25</v>
      </c>
      <c r="G79" s="66" t="s">
        <v>25</v>
      </c>
      <c r="H79" s="66" t="s">
        <v>25</v>
      </c>
      <c r="I79" s="66" t="s">
        <v>25</v>
      </c>
      <c r="J79" s="66" t="s">
        <v>582</v>
      </c>
      <c r="K79" s="66" t="s">
        <v>583</v>
      </c>
      <c r="L79" s="66" t="s">
        <v>82</v>
      </c>
      <c r="M79" s="66">
        <v>2021</v>
      </c>
      <c r="N79" s="66">
        <v>0</v>
      </c>
      <c r="O79" s="66">
        <v>162.96</v>
      </c>
      <c r="P79" s="66"/>
    </row>
    <row r="80" spans="1:16" ht="11.25" customHeight="1" x14ac:dyDescent="0.25">
      <c r="A80" s="66">
        <v>79</v>
      </c>
      <c r="B80" s="66" t="s">
        <v>472</v>
      </c>
      <c r="C80" s="66" t="s">
        <v>41</v>
      </c>
      <c r="D80" s="66" t="s">
        <v>90</v>
      </c>
      <c r="E80" s="66" t="s">
        <v>42</v>
      </c>
      <c r="F80" s="66" t="s">
        <v>99</v>
      </c>
      <c r="G80" s="66" t="s">
        <v>25</v>
      </c>
      <c r="H80" s="66" t="s">
        <v>25</v>
      </c>
      <c r="I80" s="66" t="s">
        <v>25</v>
      </c>
      <c r="J80" s="66" t="s">
        <v>582</v>
      </c>
      <c r="K80" s="66" t="s">
        <v>583</v>
      </c>
      <c r="L80" s="66" t="s">
        <v>82</v>
      </c>
      <c r="M80" s="66">
        <v>2021</v>
      </c>
      <c r="N80" s="66">
        <v>0</v>
      </c>
      <c r="O80" s="66">
        <v>155.55000000000001</v>
      </c>
      <c r="P80" s="66"/>
    </row>
    <row r="81" spans="1:16" ht="11.25" customHeight="1" x14ac:dyDescent="0.25">
      <c r="A81" s="66">
        <v>80</v>
      </c>
      <c r="B81" s="66" t="s">
        <v>472</v>
      </c>
      <c r="C81" s="66" t="s">
        <v>41</v>
      </c>
      <c r="D81" s="66" t="s">
        <v>96</v>
      </c>
      <c r="E81" s="66" t="s">
        <v>42</v>
      </c>
      <c r="F81" s="66" t="s">
        <v>25</v>
      </c>
      <c r="G81" s="66" t="s">
        <v>25</v>
      </c>
      <c r="H81" s="66" t="s">
        <v>25</v>
      </c>
      <c r="I81" s="66" t="s">
        <v>25</v>
      </c>
      <c r="J81" s="66" t="s">
        <v>582</v>
      </c>
      <c r="K81" s="66" t="s">
        <v>583</v>
      </c>
      <c r="L81" s="66" t="s">
        <v>82</v>
      </c>
      <c r="M81" s="66">
        <v>2021</v>
      </c>
      <c r="N81" s="66">
        <v>0</v>
      </c>
      <c r="O81" s="66">
        <v>162.96</v>
      </c>
      <c r="P81" s="66"/>
    </row>
    <row r="82" spans="1:16" ht="11.25" customHeight="1" x14ac:dyDescent="0.25">
      <c r="A82" s="66">
        <v>81</v>
      </c>
      <c r="B82" s="66" t="s">
        <v>472</v>
      </c>
      <c r="C82" s="66" t="s">
        <v>41</v>
      </c>
      <c r="D82" s="66" t="s">
        <v>90</v>
      </c>
      <c r="E82" s="66" t="s">
        <v>42</v>
      </c>
      <c r="F82" s="66" t="s">
        <v>98</v>
      </c>
      <c r="G82" s="66" t="s">
        <v>25</v>
      </c>
      <c r="H82" s="66" t="s">
        <v>25</v>
      </c>
      <c r="I82" s="66" t="s">
        <v>25</v>
      </c>
      <c r="J82" s="66" t="s">
        <v>582</v>
      </c>
      <c r="K82" s="66" t="s">
        <v>583</v>
      </c>
      <c r="L82" s="66" t="s">
        <v>82</v>
      </c>
      <c r="M82" s="66">
        <v>2021</v>
      </c>
      <c r="N82" s="66">
        <v>0</v>
      </c>
      <c r="O82" s="66">
        <v>162.96</v>
      </c>
      <c r="P82" s="66"/>
    </row>
    <row r="83" spans="1:16" ht="11.25" customHeight="1" x14ac:dyDescent="0.25">
      <c r="A83" s="66">
        <v>82</v>
      </c>
      <c r="B83" s="66" t="s">
        <v>472</v>
      </c>
      <c r="C83" s="66" t="s">
        <v>41</v>
      </c>
      <c r="D83" s="66" t="s">
        <v>96</v>
      </c>
      <c r="E83" s="66" t="s">
        <v>42</v>
      </c>
      <c r="F83" s="66" t="s">
        <v>98</v>
      </c>
      <c r="G83" s="66" t="s">
        <v>25</v>
      </c>
      <c r="H83" s="66" t="s">
        <v>25</v>
      </c>
      <c r="I83" s="66" t="s">
        <v>25</v>
      </c>
      <c r="J83" s="66" t="s">
        <v>582</v>
      </c>
      <c r="K83" s="66" t="s">
        <v>583</v>
      </c>
      <c r="L83" s="66" t="s">
        <v>82</v>
      </c>
      <c r="M83" s="66">
        <v>2021</v>
      </c>
      <c r="N83" s="66">
        <v>0</v>
      </c>
      <c r="O83" s="66">
        <v>162.96</v>
      </c>
      <c r="P83" s="66"/>
    </row>
    <row r="84" spans="1:16" ht="11.25" customHeight="1" x14ac:dyDescent="0.25">
      <c r="A84" s="66">
        <v>83</v>
      </c>
      <c r="B84" s="66" t="s">
        <v>472</v>
      </c>
      <c r="C84" s="66" t="s">
        <v>41</v>
      </c>
      <c r="D84" s="66" t="s">
        <v>96</v>
      </c>
      <c r="E84" s="66" t="s">
        <v>42</v>
      </c>
      <c r="F84" s="66" t="s">
        <v>99</v>
      </c>
      <c r="G84" s="66" t="s">
        <v>25</v>
      </c>
      <c r="H84" s="66" t="s">
        <v>25</v>
      </c>
      <c r="I84" s="66" t="s">
        <v>25</v>
      </c>
      <c r="J84" s="66" t="s">
        <v>582</v>
      </c>
      <c r="K84" s="66" t="s">
        <v>583</v>
      </c>
      <c r="L84" s="66" t="s">
        <v>82</v>
      </c>
      <c r="M84" s="66">
        <v>2021</v>
      </c>
      <c r="N84" s="66">
        <v>0</v>
      </c>
      <c r="O84" s="66">
        <v>155.55000000000001</v>
      </c>
      <c r="P84" s="66"/>
    </row>
    <row r="85" spans="1:16" ht="11.25" customHeight="1" x14ac:dyDescent="0.25">
      <c r="A85" s="66">
        <v>84</v>
      </c>
      <c r="B85" s="66" t="s">
        <v>472</v>
      </c>
      <c r="C85" s="66" t="s">
        <v>41</v>
      </c>
      <c r="D85" s="66" t="s">
        <v>81</v>
      </c>
      <c r="E85" s="66" t="s">
        <v>42</v>
      </c>
      <c r="F85" s="66" t="s">
        <v>98</v>
      </c>
      <c r="G85" s="66" t="s">
        <v>25</v>
      </c>
      <c r="H85" s="66" t="s">
        <v>25</v>
      </c>
      <c r="I85" s="66" t="s">
        <v>38</v>
      </c>
      <c r="J85" s="66" t="s">
        <v>582</v>
      </c>
      <c r="K85" s="66" t="s">
        <v>583</v>
      </c>
      <c r="L85" s="66" t="s">
        <v>82</v>
      </c>
      <c r="M85" s="66">
        <v>2021</v>
      </c>
      <c r="N85" s="66">
        <v>0</v>
      </c>
      <c r="O85" s="66">
        <v>162.96</v>
      </c>
      <c r="P85" s="66"/>
    </row>
    <row r="86" spans="1:16" ht="11.25" customHeight="1" x14ac:dyDescent="0.25">
      <c r="A86" s="66">
        <v>85</v>
      </c>
      <c r="B86" s="66" t="s">
        <v>472</v>
      </c>
      <c r="C86" s="66" t="s">
        <v>33</v>
      </c>
      <c r="D86" s="66" t="s">
        <v>96</v>
      </c>
      <c r="E86" s="66" t="s">
        <v>25</v>
      </c>
      <c r="F86" s="66" t="s">
        <v>25</v>
      </c>
      <c r="G86" s="66" t="s">
        <v>25</v>
      </c>
      <c r="H86" s="66" t="s">
        <v>25</v>
      </c>
      <c r="I86" s="66" t="s">
        <v>25</v>
      </c>
      <c r="J86" s="66" t="s">
        <v>582</v>
      </c>
      <c r="K86" s="66" t="s">
        <v>583</v>
      </c>
      <c r="L86" s="66" t="s">
        <v>82</v>
      </c>
      <c r="M86" s="66">
        <v>2021</v>
      </c>
      <c r="N86" s="66">
        <v>0</v>
      </c>
      <c r="O86" s="66">
        <v>185.18</v>
      </c>
      <c r="P86" s="66"/>
    </row>
    <row r="87" spans="1:16" ht="11.25" customHeight="1" x14ac:dyDescent="0.25">
      <c r="A87" s="66">
        <v>86</v>
      </c>
      <c r="B87" s="66" t="s">
        <v>472</v>
      </c>
      <c r="C87" s="66" t="s">
        <v>22</v>
      </c>
      <c r="D87" s="66" t="s">
        <v>90</v>
      </c>
      <c r="E87" s="66" t="s">
        <v>24</v>
      </c>
      <c r="F87" s="66" t="s">
        <v>31</v>
      </c>
      <c r="G87" s="66" t="s">
        <v>25</v>
      </c>
      <c r="H87" s="66" t="s">
        <v>25</v>
      </c>
      <c r="I87" s="66" t="s">
        <v>25</v>
      </c>
      <c r="J87" s="66" t="s">
        <v>582</v>
      </c>
      <c r="K87" s="66" t="s">
        <v>583</v>
      </c>
      <c r="L87" s="66" t="s">
        <v>82</v>
      </c>
      <c r="M87" s="66">
        <v>2021</v>
      </c>
      <c r="N87" s="66">
        <v>0</v>
      </c>
      <c r="O87" s="66">
        <v>166.66</v>
      </c>
      <c r="P87" s="66"/>
    </row>
    <row r="88" spans="1:16" ht="11.25" customHeight="1" x14ac:dyDescent="0.25">
      <c r="A88" s="66">
        <v>87</v>
      </c>
      <c r="B88" s="66" t="s">
        <v>472</v>
      </c>
      <c r="C88" s="66" t="s">
        <v>33</v>
      </c>
      <c r="D88" s="66" t="s">
        <v>81</v>
      </c>
      <c r="E88" s="66" t="s">
        <v>25</v>
      </c>
      <c r="F88" s="66" t="s">
        <v>25</v>
      </c>
      <c r="G88" s="66" t="s">
        <v>25</v>
      </c>
      <c r="H88" s="66" t="s">
        <v>25</v>
      </c>
      <c r="I88" s="66" t="s">
        <v>38</v>
      </c>
      <c r="J88" s="66" t="s">
        <v>582</v>
      </c>
      <c r="K88" s="66" t="s">
        <v>583</v>
      </c>
      <c r="L88" s="66" t="s">
        <v>82</v>
      </c>
      <c r="M88" s="66">
        <v>2021</v>
      </c>
      <c r="N88" s="66">
        <v>0</v>
      </c>
      <c r="O88" s="66">
        <v>185.18</v>
      </c>
      <c r="P88" s="66"/>
    </row>
    <row r="89" spans="1:16" ht="11.25" customHeight="1" x14ac:dyDescent="0.25">
      <c r="A89" s="66">
        <v>88</v>
      </c>
      <c r="B89" s="66" t="s">
        <v>472</v>
      </c>
      <c r="C89" s="66" t="s">
        <v>41</v>
      </c>
      <c r="D89" s="66" t="s">
        <v>81</v>
      </c>
      <c r="E89" s="66" t="s">
        <v>42</v>
      </c>
      <c r="F89" s="66" t="s">
        <v>98</v>
      </c>
      <c r="G89" s="66" t="s">
        <v>25</v>
      </c>
      <c r="H89" s="66" t="s">
        <v>25</v>
      </c>
      <c r="I89" s="66" t="s">
        <v>585</v>
      </c>
      <c r="J89" s="66" t="s">
        <v>582</v>
      </c>
      <c r="K89" s="66" t="s">
        <v>583</v>
      </c>
      <c r="L89" s="66" t="s">
        <v>82</v>
      </c>
      <c r="M89" s="66">
        <v>2021</v>
      </c>
      <c r="N89" s="66">
        <v>0</v>
      </c>
      <c r="O89" s="66">
        <v>162.96</v>
      </c>
      <c r="P89" s="66"/>
    </row>
    <row r="90" spans="1:16" ht="11.25" customHeight="1" x14ac:dyDescent="0.25">
      <c r="A90" s="66">
        <v>89</v>
      </c>
      <c r="B90" s="66" t="s">
        <v>472</v>
      </c>
      <c r="C90" s="66" t="s">
        <v>33</v>
      </c>
      <c r="D90" s="66" t="s">
        <v>90</v>
      </c>
      <c r="E90" s="66" t="s">
        <v>25</v>
      </c>
      <c r="F90" s="66" t="s">
        <v>25</v>
      </c>
      <c r="G90" s="66" t="s">
        <v>25</v>
      </c>
      <c r="H90" s="66" t="s">
        <v>25</v>
      </c>
      <c r="I90" s="66" t="s">
        <v>25</v>
      </c>
      <c r="J90" s="66" t="s">
        <v>582</v>
      </c>
      <c r="K90" s="66" t="s">
        <v>583</v>
      </c>
      <c r="L90" s="66" t="s">
        <v>82</v>
      </c>
      <c r="M90" s="66">
        <v>2021</v>
      </c>
      <c r="N90" s="66">
        <v>0</v>
      </c>
      <c r="O90" s="66">
        <v>185.18</v>
      </c>
      <c r="P90" s="66"/>
    </row>
    <row r="91" spans="1:16" ht="11.25" customHeight="1" x14ac:dyDescent="0.25">
      <c r="A91" s="66">
        <v>90</v>
      </c>
      <c r="B91" s="66" t="s">
        <v>444</v>
      </c>
      <c r="C91" s="66" t="s">
        <v>44</v>
      </c>
      <c r="D91" s="66" t="s">
        <v>23</v>
      </c>
      <c r="E91" s="66" t="s">
        <v>45</v>
      </c>
      <c r="F91" s="66" t="s">
        <v>100</v>
      </c>
      <c r="G91" s="66" t="s">
        <v>25</v>
      </c>
      <c r="H91" s="66" t="s">
        <v>25</v>
      </c>
      <c r="I91" s="66" t="s">
        <v>25</v>
      </c>
      <c r="J91" s="66" t="s">
        <v>582</v>
      </c>
      <c r="K91" s="66" t="s">
        <v>583</v>
      </c>
      <c r="L91" s="66" t="s">
        <v>82</v>
      </c>
      <c r="M91" s="66">
        <v>2021</v>
      </c>
      <c r="N91" s="66">
        <v>0</v>
      </c>
      <c r="O91" s="66">
        <v>163.75</v>
      </c>
      <c r="P91" s="66">
        <v>35.647358237232503</v>
      </c>
    </row>
    <row r="92" spans="1:16" ht="11.25" customHeight="1" x14ac:dyDescent="0.25">
      <c r="A92" s="66">
        <v>91</v>
      </c>
      <c r="B92" s="66" t="s">
        <v>472</v>
      </c>
      <c r="C92" s="66" t="s">
        <v>41</v>
      </c>
      <c r="D92" s="66" t="s">
        <v>81</v>
      </c>
      <c r="E92" s="66" t="s">
        <v>42</v>
      </c>
      <c r="F92" s="66" t="s">
        <v>98</v>
      </c>
      <c r="G92" s="66" t="s">
        <v>25</v>
      </c>
      <c r="H92" s="66" t="s">
        <v>25</v>
      </c>
      <c r="I92" s="66" t="s">
        <v>37</v>
      </c>
      <c r="J92" s="66" t="s">
        <v>582</v>
      </c>
      <c r="K92" s="66" t="s">
        <v>583</v>
      </c>
      <c r="L92" s="66" t="s">
        <v>82</v>
      </c>
      <c r="M92" s="66">
        <v>2021</v>
      </c>
      <c r="N92" s="66">
        <v>0</v>
      </c>
      <c r="O92" s="66">
        <v>162.96</v>
      </c>
      <c r="P92" s="66"/>
    </row>
    <row r="93" spans="1:16" ht="11.25" customHeight="1" x14ac:dyDescent="0.25">
      <c r="A93" s="66">
        <v>92</v>
      </c>
      <c r="B93" s="66" t="s">
        <v>472</v>
      </c>
      <c r="C93" s="66" t="s">
        <v>44</v>
      </c>
      <c r="D93" s="66" t="s">
        <v>90</v>
      </c>
      <c r="E93" s="66" t="s">
        <v>45</v>
      </c>
      <c r="F93" s="66" t="s">
        <v>46</v>
      </c>
      <c r="G93" s="66" t="s">
        <v>25</v>
      </c>
      <c r="H93" s="66" t="s">
        <v>25</v>
      </c>
      <c r="I93" s="66" t="s">
        <v>25</v>
      </c>
      <c r="J93" s="66" t="s">
        <v>582</v>
      </c>
      <c r="K93" s="66" t="s">
        <v>583</v>
      </c>
      <c r="L93" s="66" t="s">
        <v>82</v>
      </c>
      <c r="M93" s="66">
        <v>2021</v>
      </c>
      <c r="N93" s="66">
        <v>0</v>
      </c>
      <c r="O93" s="66">
        <v>101.85</v>
      </c>
      <c r="P93" s="6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4D1B3-1E79-45E1-AE2E-9B4AD9336728}">
  <dimension ref="A1:AD53"/>
  <sheetViews>
    <sheetView showGridLines="0" workbookViewId="0">
      <selection activeCell="A2" sqref="A2:A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14" width="7.85546875" style="9" bestFit="1" customWidth="1"/>
    <col min="15" max="17" width="8.7109375" style="9" bestFit="1" customWidth="1"/>
    <col min="18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72</v>
      </c>
      <c r="B1" s="10" t="s">
        <v>73</v>
      </c>
      <c r="C1" s="10" t="s">
        <v>74</v>
      </c>
      <c r="D1" s="10" t="s">
        <v>75</v>
      </c>
      <c r="E1" s="10" t="s">
        <v>76</v>
      </c>
      <c r="F1" s="10" t="s">
        <v>77</v>
      </c>
      <c r="G1" s="10" t="s">
        <v>78</v>
      </c>
      <c r="H1" s="10" t="s">
        <v>79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80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94" t="s">
        <v>53</v>
      </c>
      <c r="B2" s="94" t="s">
        <v>36</v>
      </c>
      <c r="C2" s="94" t="s">
        <v>25</v>
      </c>
      <c r="D2" s="94" t="s">
        <v>25</v>
      </c>
      <c r="E2" s="94" t="s">
        <v>25</v>
      </c>
      <c r="F2" s="94" t="s">
        <v>25</v>
      </c>
      <c r="G2" s="13" t="s">
        <v>86</v>
      </c>
      <c r="H2" s="13" t="s">
        <v>85</v>
      </c>
      <c r="I2" s="13">
        <f>SUMIF(Mercado_Receita!$S$2:$S$1099,"44378A3AzulNão se aplicaNão se aplicaNão se aplicaNão se aplicaPonta",Mercado_Receita!$J$2:$J$1099)+SUMIF(Mercado_Receita!$S$2:$S$1099,"44378A3AzulNão se aplicaNão se aplicaAPENão se aplicaPonta",Mercado_Receita!$J$2:$J$1099)+SUMIF(Mercado_Receita!$S$2:$S$1099,"44378A3ConvencionalNão se aplicaNão se aplicaNão se aplicaNão se aplicaNão se aplica",Mercado_Receita!$J$2:$J$1099)*0.72</f>
        <v>3300</v>
      </c>
      <c r="J2" s="13">
        <f>SUMIF(Mercado_Receita!$S$2:$S$1099,"44409A3AzulNão se aplicaNão se aplicaNão se aplicaNão se aplicaPonta",Mercado_Receita!$J$2:$J$1099)+SUMIF(Mercado_Receita!$S$2:$S$1099,"44409A3AzulNão se aplicaNão se aplicaAPENão se aplicaPonta",Mercado_Receita!$J$2:$J$1099)+SUMIF(Mercado_Receita!$S$2:$S$1099,"44409A3ConvencionalNão se aplicaNão se aplicaNão se aplicaNão se aplicaNão se aplica",Mercado_Receita!$J$2:$J$1099)*0.72</f>
        <v>3300</v>
      </c>
      <c r="K2" s="13">
        <f>SUMIF(Mercado_Receita!$S$2:$S$1099,"44440A3AzulNão se aplicaNão se aplicaNão se aplicaNão se aplicaPonta",Mercado_Receita!$J$2:$J$1099)+SUMIF(Mercado_Receita!$S$2:$S$1099,"44440A3AzulNão se aplicaNão se aplicaAPENão se aplicaPonta",Mercado_Receita!$J$2:$J$1099)+SUMIF(Mercado_Receita!$S$2:$S$1099,"44440A3ConvencionalNão se aplicaNão se aplicaNão se aplicaNão se aplicaNão se aplica",Mercado_Receita!$J$2:$J$1099)*0.72</f>
        <v>3300</v>
      </c>
      <c r="L2" s="13">
        <f>SUMIF(Mercado_Receita!$S$2:$S$1099,"44470A3AzulNão se aplicaNão se aplicaNão se aplicaNão se aplicaPonta",Mercado_Receita!$J$2:$J$1099)+SUMIF(Mercado_Receita!$S$2:$S$1099,"44470A3AzulNão se aplicaNão se aplicaAPENão se aplicaPonta",Mercado_Receita!$J$2:$J$1099)+SUMIF(Mercado_Receita!$S$2:$S$1099,"44470A3ConvencionalNão se aplicaNão se aplicaNão se aplicaNão se aplicaNão se aplica",Mercado_Receita!$J$2:$J$1099)*0.72</f>
        <v>3300</v>
      </c>
      <c r="M2" s="13">
        <f>SUMIF(Mercado_Receita!$S$2:$S$1099,"44501A3AzulNão se aplicaNão se aplicaNão se aplicaNão se aplicaPonta",Mercado_Receita!$J$2:$J$1099)+SUMIF(Mercado_Receita!$S$2:$S$1099,"44501A3AzulNão se aplicaNão se aplicaAPENão se aplicaPonta",Mercado_Receita!$J$2:$J$1099)+SUMIF(Mercado_Receita!$S$2:$S$1099,"44501A3ConvencionalNão se aplicaNão se aplicaNão se aplicaNão se aplicaNão se aplica",Mercado_Receita!$J$2:$J$1099)*0.72</f>
        <v>3300</v>
      </c>
      <c r="N2" s="13">
        <f>SUMIF(Mercado_Receita!$S$2:$S$1099,"44531A3AzulNão se aplicaNão se aplicaNão se aplicaNão se aplicaPonta",Mercado_Receita!$J$2:$J$1099)+SUMIF(Mercado_Receita!$S$2:$S$1099,"44531A3AzulNão se aplicaNão se aplicaAPENão se aplicaPonta",Mercado_Receita!$J$2:$J$1099)+SUMIF(Mercado_Receita!$S$2:$S$1099,"44531A3ConvencionalNão se aplicaNão se aplicaNão se aplicaNão se aplicaNão se aplica",Mercado_Receita!$J$2:$J$1099)*0.72</f>
        <v>3300</v>
      </c>
      <c r="O2" s="13">
        <f>SUMIF(Mercado_Receita!$S$2:$S$1099,"44562A3AzulNão se aplicaNão se aplicaNão se aplicaNão se aplicaPonta",Mercado_Receita!$J$2:$J$1099)+SUMIF(Mercado_Receita!$S$2:$S$1099,"44562A3AzulNão se aplicaNão se aplicaAPENão se aplicaPonta",Mercado_Receita!$J$2:$J$1099)+SUMIF(Mercado_Receita!$S$2:$S$1099,"44562A3ConvencionalNão se aplicaNão se aplicaNão se aplicaNão se aplicaNão se aplica",Mercado_Receita!$J$2:$J$1099)*0.72</f>
        <v>3300</v>
      </c>
      <c r="P2" s="13">
        <f>SUMIF(Mercado_Receita!$S$2:$S$1099,"44593A3AzulNão se aplicaNão se aplicaNão se aplicaNão se aplicaPonta",Mercado_Receita!$J$2:$J$1099)+SUMIF(Mercado_Receita!$S$2:$S$1099,"44593A3AzulNão se aplicaNão se aplicaAPENão se aplicaPonta",Mercado_Receita!$J$2:$J$1099)+SUMIF(Mercado_Receita!$S$2:$S$1099,"44593A3ConvencionalNão se aplicaNão se aplicaNão se aplicaNão se aplicaNão se aplica",Mercado_Receita!$J$2:$J$1099)*0.72</f>
        <v>3300</v>
      </c>
      <c r="Q2" s="13">
        <f>SUMIF(Mercado_Receita!$S$2:$S$1099,"44621A3AzulNão se aplicaNão se aplicaNão se aplicaNão se aplicaPonta",Mercado_Receita!$J$2:$J$1099)+SUMIF(Mercado_Receita!$S$2:$S$1099,"44621A3AzulNão se aplicaNão se aplicaAPENão se aplicaPonta",Mercado_Receita!$J$2:$J$1099)+SUMIF(Mercado_Receita!$S$2:$S$1099,"44621A3ConvencionalNão se aplicaNão se aplicaNão se aplicaNão se aplicaNão se aplica",Mercado_Receita!$J$2:$J$1099)*0.72</f>
        <v>3300</v>
      </c>
      <c r="R2" s="13">
        <f>SUMIF(Mercado_Receita!$S$2:$S$1099,"44652A3AzulNão se aplicaNão se aplicaNão se aplicaNão se aplicaPonta",Mercado_Receita!$J$2:$J$1099)+SUMIF(Mercado_Receita!$S$2:$S$1099,"44652A3AzulNão se aplicaNão se aplicaAPENão se aplicaPonta",Mercado_Receita!$J$2:$J$1099)+SUMIF(Mercado_Receita!$S$2:$S$1099,"44652A3ConvencionalNão se aplicaNão se aplicaNão se aplicaNão se aplicaNão se aplica",Mercado_Receita!$J$2:$J$1099)*0.72</f>
        <v>3300</v>
      </c>
      <c r="S2" s="13">
        <f>SUMIF(Mercado_Receita!$S$2:$S$1099,"44682A3AzulNão se aplicaNão se aplicaNão se aplicaNão se aplicaPonta",Mercado_Receita!$J$2:$J$1099)+SUMIF(Mercado_Receita!$S$2:$S$1099,"44682A3AzulNão se aplicaNão se aplicaAPENão se aplicaPonta",Mercado_Receita!$J$2:$J$1099)+SUMIF(Mercado_Receita!$S$2:$S$1099,"44682A3ConvencionalNão se aplicaNão se aplicaNão se aplicaNão se aplicaNão se aplica",Mercado_Receita!$J$2:$J$1099)*0.72</f>
        <v>3300</v>
      </c>
      <c r="T2" s="13">
        <f>SUMIF(Mercado_Receita!$S$2:$S$1099,"44713A3AzulNão se aplicaNão se aplicaNão se aplicaNão se aplicaPonta",Mercado_Receita!$J$2:$J$1099)+SUMIF(Mercado_Receita!$S$2:$S$1099,"44713A3AzulNão se aplicaNão se aplicaAPENão se aplicaPonta",Mercado_Receita!$J$2:$J$1099)+SUMIF(Mercado_Receita!$S$2:$S$1099,"44713A3ConvencionalNão se aplicaNão se aplicaNão se aplicaNão se aplicaNão se aplica",Mercado_Receita!$J$2:$J$1099)*0.72</f>
        <v>3300</v>
      </c>
      <c r="U2" s="13">
        <f t="shared" ref="U2:U33" si="0">SUM(I2:T2)</f>
        <v>39600</v>
      </c>
      <c r="V2" s="13"/>
      <c r="W2" s="13"/>
    </row>
    <row r="3" spans="1:30" ht="11.25" customHeight="1" x14ac:dyDescent="0.25">
      <c r="A3" s="95"/>
      <c r="B3" s="95"/>
      <c r="C3" s="95"/>
      <c r="D3" s="95"/>
      <c r="E3" s="95"/>
      <c r="F3" s="95"/>
      <c r="G3" s="13" t="s">
        <v>87</v>
      </c>
      <c r="H3" s="13" t="s">
        <v>85</v>
      </c>
      <c r="I3" s="13">
        <f>SUMIF(Mercado_Receita!$S$2:$S$1099,"44378A3AzulNão se aplicaNão se aplicaNão se aplicaNão se aplicaFora ponta",Mercado_Receita!$J$2:$J$1099)+SUMIF(Mercado_Receita!$S$2:$S$1099,"44378A3AzulNão se aplicaNão se aplicaAPENão se aplicaFora ponta",Mercado_Receita!$J$2:$J$1099)+SUMIF(Mercado_Receita!$S$2:$S$1099,"44378A3ConvencionalNão se aplicaNão se aplicaNão se aplicaNão se aplicaNão se aplica",Mercado_Receita!$J$2:$J$1099)*1</f>
        <v>3300</v>
      </c>
      <c r="J3" s="13">
        <f>SUMIF(Mercado_Receita!$S$2:$S$1099,"44409A3AzulNão se aplicaNão se aplicaNão se aplicaNão se aplicaFora ponta",Mercado_Receita!$J$2:$J$1099)+SUMIF(Mercado_Receita!$S$2:$S$1099,"44409A3AzulNão se aplicaNão se aplicaAPENão se aplicaFora ponta",Mercado_Receita!$J$2:$J$1099)+SUMIF(Mercado_Receita!$S$2:$S$1099,"44409A3ConvencionalNão se aplicaNão se aplicaNão se aplicaNão se aplicaNão se aplica",Mercado_Receita!$J$2:$J$1099)*1</f>
        <v>3300</v>
      </c>
      <c r="K3" s="13">
        <f>SUMIF(Mercado_Receita!$S$2:$S$1099,"44440A3AzulNão se aplicaNão se aplicaNão se aplicaNão se aplicaFora ponta",Mercado_Receita!$J$2:$J$1099)+SUMIF(Mercado_Receita!$S$2:$S$1099,"44440A3AzulNão se aplicaNão se aplicaAPENão se aplicaFora ponta",Mercado_Receita!$J$2:$J$1099)+SUMIF(Mercado_Receita!$S$2:$S$1099,"44440A3ConvencionalNão se aplicaNão se aplicaNão se aplicaNão se aplicaNão se aplica",Mercado_Receita!$J$2:$J$1099)*1</f>
        <v>3300</v>
      </c>
      <c r="L3" s="13">
        <f>SUMIF(Mercado_Receita!$S$2:$S$1099,"44470A3AzulNão se aplicaNão se aplicaNão se aplicaNão se aplicaFora ponta",Mercado_Receita!$J$2:$J$1099)+SUMIF(Mercado_Receita!$S$2:$S$1099,"44470A3AzulNão se aplicaNão se aplicaAPENão se aplicaFora ponta",Mercado_Receita!$J$2:$J$1099)+SUMIF(Mercado_Receita!$S$2:$S$1099,"44470A3ConvencionalNão se aplicaNão se aplicaNão se aplicaNão se aplicaNão se aplica",Mercado_Receita!$J$2:$J$1099)*1</f>
        <v>3300</v>
      </c>
      <c r="M3" s="13">
        <f>SUMIF(Mercado_Receita!$S$2:$S$1099,"44501A3AzulNão se aplicaNão se aplicaNão se aplicaNão se aplicaFora ponta",Mercado_Receita!$J$2:$J$1099)+SUMIF(Mercado_Receita!$S$2:$S$1099,"44501A3AzulNão se aplicaNão se aplicaAPENão se aplicaFora ponta",Mercado_Receita!$J$2:$J$1099)+SUMIF(Mercado_Receita!$S$2:$S$1099,"44501A3ConvencionalNão se aplicaNão se aplicaNão se aplicaNão se aplicaNão se aplica",Mercado_Receita!$J$2:$J$1099)*1</f>
        <v>3300</v>
      </c>
      <c r="N3" s="13">
        <f>SUMIF(Mercado_Receita!$S$2:$S$1099,"44531A3AzulNão se aplicaNão se aplicaNão se aplicaNão se aplicaFora ponta",Mercado_Receita!$J$2:$J$1099)+SUMIF(Mercado_Receita!$S$2:$S$1099,"44531A3AzulNão se aplicaNão se aplicaAPENão se aplicaFora ponta",Mercado_Receita!$J$2:$J$1099)+SUMIF(Mercado_Receita!$S$2:$S$1099,"44531A3ConvencionalNão se aplicaNão se aplicaNão se aplicaNão se aplicaNão se aplica",Mercado_Receita!$J$2:$J$1099)*1</f>
        <v>3300</v>
      </c>
      <c r="O3" s="13">
        <f>SUMIF(Mercado_Receita!$S$2:$S$1099,"44562A3AzulNão se aplicaNão se aplicaNão se aplicaNão se aplicaFora ponta",Mercado_Receita!$J$2:$J$1099)+SUMIF(Mercado_Receita!$S$2:$S$1099,"44562A3AzulNão se aplicaNão se aplicaAPENão se aplicaFora ponta",Mercado_Receita!$J$2:$J$1099)+SUMIF(Mercado_Receita!$S$2:$S$1099,"44562A3ConvencionalNão se aplicaNão se aplicaNão se aplicaNão se aplicaNão se aplica",Mercado_Receita!$J$2:$J$1099)*1</f>
        <v>3300</v>
      </c>
      <c r="P3" s="13">
        <f>SUMIF(Mercado_Receita!$S$2:$S$1099,"44593A3AzulNão se aplicaNão se aplicaNão se aplicaNão se aplicaFora ponta",Mercado_Receita!$J$2:$J$1099)+SUMIF(Mercado_Receita!$S$2:$S$1099,"44593A3AzulNão se aplicaNão se aplicaAPENão se aplicaFora ponta",Mercado_Receita!$J$2:$J$1099)+SUMIF(Mercado_Receita!$S$2:$S$1099,"44593A3ConvencionalNão se aplicaNão se aplicaNão se aplicaNão se aplicaNão se aplica",Mercado_Receita!$J$2:$J$1099)*1</f>
        <v>3300</v>
      </c>
      <c r="Q3" s="13">
        <f>SUMIF(Mercado_Receita!$S$2:$S$1099,"44621A3AzulNão se aplicaNão se aplicaNão se aplicaNão se aplicaFora ponta",Mercado_Receita!$J$2:$J$1099)+SUMIF(Mercado_Receita!$S$2:$S$1099,"44621A3AzulNão se aplicaNão se aplicaAPENão se aplicaFora ponta",Mercado_Receita!$J$2:$J$1099)+SUMIF(Mercado_Receita!$S$2:$S$1099,"44621A3ConvencionalNão se aplicaNão se aplicaNão se aplicaNão se aplicaNão se aplica",Mercado_Receita!$J$2:$J$1099)*1</f>
        <v>3300</v>
      </c>
      <c r="R3" s="13">
        <f>SUMIF(Mercado_Receita!$S$2:$S$1099,"44652A3AzulNão se aplicaNão se aplicaNão se aplicaNão se aplicaFora ponta",Mercado_Receita!$J$2:$J$1099)+SUMIF(Mercado_Receita!$S$2:$S$1099,"44652A3AzulNão se aplicaNão se aplicaAPENão se aplicaFora ponta",Mercado_Receita!$J$2:$J$1099)+SUMIF(Mercado_Receita!$S$2:$S$1099,"44652A3ConvencionalNão se aplicaNão se aplicaNão se aplicaNão se aplicaNão se aplica",Mercado_Receita!$J$2:$J$1099)*1</f>
        <v>3300</v>
      </c>
      <c r="S3" s="13">
        <f>SUMIF(Mercado_Receita!$S$2:$S$1099,"44682A3AzulNão se aplicaNão se aplicaNão se aplicaNão se aplicaFora ponta",Mercado_Receita!$J$2:$J$1099)+SUMIF(Mercado_Receita!$S$2:$S$1099,"44682A3AzulNão se aplicaNão se aplicaAPENão se aplicaFora ponta",Mercado_Receita!$J$2:$J$1099)+SUMIF(Mercado_Receita!$S$2:$S$1099,"44682A3ConvencionalNão se aplicaNão se aplicaNão se aplicaNão se aplicaNão se aplica",Mercado_Receita!$J$2:$J$1099)*1</f>
        <v>3300</v>
      </c>
      <c r="T3" s="13">
        <f>SUMIF(Mercado_Receita!$S$2:$S$1099,"44713A3AzulNão se aplicaNão se aplicaNão se aplicaNão se aplicaFora ponta",Mercado_Receita!$J$2:$J$1099)+SUMIF(Mercado_Receita!$S$2:$S$1099,"44713A3AzulNão se aplicaNão se aplicaAPENão se aplicaFora ponta",Mercado_Receita!$J$2:$J$1099)+SUMIF(Mercado_Receita!$S$2:$S$1099,"44713A3ConvencionalNão se aplicaNão se aplicaNão se aplicaNão se aplicaNão se aplica",Mercado_Receita!$J$2:$J$1099)*1</f>
        <v>3300</v>
      </c>
      <c r="U3" s="13">
        <f t="shared" si="0"/>
        <v>39600</v>
      </c>
      <c r="V3" s="13"/>
      <c r="W3" s="13"/>
    </row>
    <row r="4" spans="1:30" ht="11.25" customHeight="1" x14ac:dyDescent="0.25">
      <c r="A4" s="95"/>
      <c r="B4" s="95"/>
      <c r="C4" s="95"/>
      <c r="D4" s="95"/>
      <c r="E4" s="95"/>
      <c r="F4" s="95"/>
      <c r="G4" s="13" t="s">
        <v>88</v>
      </c>
      <c r="H4" s="13" t="s">
        <v>82</v>
      </c>
      <c r="I4" s="13">
        <f>SUMIF(Mercado_Receita!$S$2:$S$1099,"44378A3AzulNão se aplicaNão se aplicaNão se aplicaNão se aplicaPonta",Mercado_Receita!$L$2:$L$1099)+SUMIF(Mercado_Receita!$S$2:$S$1099,"44378A3AzulNão se aplicaNão se aplicaNão se aplicaNão se aplicaFora ponta",Mercado_Receita!$L$2:$L$1099)+SUMIF(Mercado_Receita!$S$2:$S$1099,"44378A3AzulNão se aplicaNão se aplicaNão se aplicaNão se aplicaIntermediário",Mercado_Receita!$L$2:$L$1099)+SUMIF(Mercado_Receita!$S$2:$S$1099,"44378A3AzulNão se aplicaNão se aplicaNão se aplicaNão se aplicaNão se aplica",Mercado_Receita!$L$2:$L$1099)+SUMIF(Mercado_Receita!$S$2:$S$1099,"44378A3ConvencionalNão se aplicaNão se aplicaNão se aplicaNão se aplicaNão se aplica",Mercado_Receita!$L$2:$L$1099)</f>
        <v>1287.8820000000001</v>
      </c>
      <c r="J4" s="13">
        <f>SUMIF(Mercado_Receita!$S$2:$S$1099,"44409A3AzulNão se aplicaNão se aplicaNão se aplicaNão se aplicaPonta",Mercado_Receita!$L$2:$L$1099)+SUMIF(Mercado_Receita!$S$2:$S$1099,"44409A3AzulNão se aplicaNão se aplicaNão se aplicaNão se aplicaFora ponta",Mercado_Receita!$L$2:$L$1099)+SUMIF(Mercado_Receita!$S$2:$S$1099,"44409A3AzulNão se aplicaNão se aplicaNão se aplicaNão se aplicaIntermediário",Mercado_Receita!$L$2:$L$1099)+SUMIF(Mercado_Receita!$S$2:$S$1099,"44409A3AzulNão se aplicaNão se aplicaNão se aplicaNão se aplicaNão se aplica",Mercado_Receita!$L$2:$L$1099)+SUMIF(Mercado_Receita!$S$2:$S$1099,"44409A3ConvencionalNão se aplicaNão se aplicaNão se aplicaNão se aplicaNão se aplica",Mercado_Receita!$L$2:$L$1099)</f>
        <v>1277.1189999999999</v>
      </c>
      <c r="K4" s="13">
        <f>SUMIF(Mercado_Receita!$S$2:$S$1099,"44440A3AzulNão se aplicaNão se aplicaNão se aplicaNão se aplicaPonta",Mercado_Receita!$L$2:$L$1099)+SUMIF(Mercado_Receita!$S$2:$S$1099,"44440A3AzulNão se aplicaNão se aplicaNão se aplicaNão se aplicaFora ponta",Mercado_Receita!$L$2:$L$1099)+SUMIF(Mercado_Receita!$S$2:$S$1099,"44440A3AzulNão se aplicaNão se aplicaNão se aplicaNão se aplicaIntermediário",Mercado_Receita!$L$2:$L$1099)+SUMIF(Mercado_Receita!$S$2:$S$1099,"44440A3AzulNão se aplicaNão se aplicaNão se aplicaNão se aplicaNão se aplica",Mercado_Receita!$L$2:$L$1099)+SUMIF(Mercado_Receita!$S$2:$S$1099,"44440A3ConvencionalNão se aplicaNão se aplicaNão se aplicaNão se aplicaNão se aplica",Mercado_Receita!$L$2:$L$1099)</f>
        <v>1380.8340000000001</v>
      </c>
      <c r="L4" s="13">
        <f>SUMIF(Mercado_Receita!$S$2:$S$1099,"44470A3AzulNão se aplicaNão se aplicaNão se aplicaNão se aplicaPonta",Mercado_Receita!$L$2:$L$1099)+SUMIF(Mercado_Receita!$S$2:$S$1099,"44470A3AzulNão se aplicaNão se aplicaNão se aplicaNão se aplicaFora ponta",Mercado_Receita!$L$2:$L$1099)+SUMIF(Mercado_Receita!$S$2:$S$1099,"44470A3AzulNão se aplicaNão se aplicaNão se aplicaNão se aplicaIntermediário",Mercado_Receita!$L$2:$L$1099)+SUMIF(Mercado_Receita!$S$2:$S$1099,"44470A3AzulNão se aplicaNão se aplicaNão se aplicaNão se aplicaNão se aplica",Mercado_Receita!$L$2:$L$1099)+SUMIF(Mercado_Receita!$S$2:$S$1099,"44470A3ConvencionalNão se aplicaNão se aplicaNão se aplicaNão se aplicaNão se aplica",Mercado_Receita!$L$2:$L$1099)</f>
        <v>1365.3340000000001</v>
      </c>
      <c r="M4" s="13">
        <f>SUMIF(Mercado_Receita!$S$2:$S$1099,"44501A3AzulNão se aplicaNão se aplicaNão se aplicaNão se aplicaPonta",Mercado_Receita!$L$2:$L$1099)+SUMIF(Mercado_Receita!$S$2:$S$1099,"44501A3AzulNão se aplicaNão se aplicaNão se aplicaNão se aplicaFora ponta",Mercado_Receita!$L$2:$L$1099)+SUMIF(Mercado_Receita!$S$2:$S$1099,"44501A3AzulNão se aplicaNão se aplicaNão se aplicaNão se aplicaIntermediário",Mercado_Receita!$L$2:$L$1099)+SUMIF(Mercado_Receita!$S$2:$S$1099,"44501A3AzulNão se aplicaNão se aplicaNão se aplicaNão se aplicaNão se aplica",Mercado_Receita!$L$2:$L$1099)+SUMIF(Mercado_Receita!$S$2:$S$1099,"44501A3ConvencionalNão se aplicaNão se aplicaNão se aplicaNão se aplicaNão se aplica",Mercado_Receita!$L$2:$L$1099)</f>
        <v>1450.1990000000001</v>
      </c>
      <c r="N4" s="13">
        <f>SUMIF(Mercado_Receita!$S$2:$S$1099,"44531A3AzulNão se aplicaNão se aplicaNão se aplicaNão se aplicaPonta",Mercado_Receita!$L$2:$L$1099)+SUMIF(Mercado_Receita!$S$2:$S$1099,"44531A3AzulNão se aplicaNão se aplicaNão se aplicaNão se aplicaFora ponta",Mercado_Receita!$L$2:$L$1099)+SUMIF(Mercado_Receita!$S$2:$S$1099,"44531A3AzulNão se aplicaNão se aplicaNão se aplicaNão se aplicaIntermediário",Mercado_Receita!$L$2:$L$1099)+SUMIF(Mercado_Receita!$S$2:$S$1099,"44531A3AzulNão se aplicaNão se aplicaNão se aplicaNão se aplicaNão se aplica",Mercado_Receita!$L$2:$L$1099)+SUMIF(Mercado_Receita!$S$2:$S$1099,"44531A3ConvencionalNão se aplicaNão se aplicaNão se aplicaNão se aplicaNão se aplica",Mercado_Receita!$L$2:$L$1099)</f>
        <v>1450.1990000000001</v>
      </c>
      <c r="O4" s="13">
        <f>SUMIF(Mercado_Receita!$S$2:$S$1099,"44562A3AzulNão se aplicaNão se aplicaNão se aplicaNão se aplicaPonta",Mercado_Receita!$L$2:$L$1099)+SUMIF(Mercado_Receita!$S$2:$S$1099,"44562A3AzulNão se aplicaNão se aplicaNão se aplicaNão se aplicaFora ponta",Mercado_Receita!$L$2:$L$1099)+SUMIF(Mercado_Receita!$S$2:$S$1099,"44562A3AzulNão se aplicaNão se aplicaNão se aplicaNão se aplicaIntermediário",Mercado_Receita!$L$2:$L$1099)+SUMIF(Mercado_Receita!$S$2:$S$1099,"44562A3AzulNão se aplicaNão se aplicaNão se aplicaNão se aplicaNão se aplica",Mercado_Receita!$L$2:$L$1099)+SUMIF(Mercado_Receita!$S$2:$S$1099,"44562A3ConvencionalNão se aplicaNão se aplicaNão se aplicaNão se aplicaNão se aplica",Mercado_Receita!$L$2:$L$1099)</f>
        <v>1424.0119999999999</v>
      </c>
      <c r="P4" s="13">
        <f>SUMIF(Mercado_Receita!$S$2:$S$1099,"44593A3AzulNão se aplicaNão se aplicaNão se aplicaNão se aplicaPonta",Mercado_Receita!$L$2:$L$1099)+SUMIF(Mercado_Receita!$S$2:$S$1099,"44593A3AzulNão se aplicaNão se aplicaNão se aplicaNão se aplicaFora ponta",Mercado_Receita!$L$2:$L$1099)+SUMIF(Mercado_Receita!$S$2:$S$1099,"44593A3AzulNão se aplicaNão se aplicaNão se aplicaNão se aplicaIntermediário",Mercado_Receita!$L$2:$L$1099)+SUMIF(Mercado_Receita!$S$2:$S$1099,"44593A3AzulNão se aplicaNão se aplicaNão se aplicaNão se aplicaNão se aplica",Mercado_Receita!$L$2:$L$1099)+SUMIF(Mercado_Receita!$S$2:$S$1099,"44593A3ConvencionalNão se aplicaNão se aplicaNão se aplicaNão se aplicaNão se aplica",Mercado_Receita!$L$2:$L$1099)</f>
        <v>1638.89</v>
      </c>
      <c r="Q4" s="13">
        <f>SUMIF(Mercado_Receita!$S$2:$S$1099,"44621A3AzulNão se aplicaNão se aplicaNão se aplicaNão se aplicaPonta",Mercado_Receita!$L$2:$L$1099)+SUMIF(Mercado_Receita!$S$2:$S$1099,"44621A3AzulNão se aplicaNão se aplicaNão se aplicaNão se aplicaFora ponta",Mercado_Receita!$L$2:$L$1099)+SUMIF(Mercado_Receita!$S$2:$S$1099,"44621A3AzulNão se aplicaNão se aplicaNão se aplicaNão se aplicaIntermediário",Mercado_Receita!$L$2:$L$1099)+SUMIF(Mercado_Receita!$S$2:$S$1099,"44621A3AzulNão se aplicaNão se aplicaNão se aplicaNão se aplicaNão se aplica",Mercado_Receita!$L$2:$L$1099)+SUMIF(Mercado_Receita!$S$2:$S$1099,"44621A3ConvencionalNão se aplicaNão se aplicaNão se aplicaNão se aplicaNão se aplica",Mercado_Receita!$L$2:$L$1099)</f>
        <v>1425.896</v>
      </c>
      <c r="R4" s="13">
        <f>SUMIF(Mercado_Receita!$S$2:$S$1099,"44652A3AzulNão se aplicaNão se aplicaNão se aplicaNão se aplicaPonta",Mercado_Receita!$L$2:$L$1099)+SUMIF(Mercado_Receita!$S$2:$S$1099,"44652A3AzulNão se aplicaNão se aplicaNão se aplicaNão se aplicaFora ponta",Mercado_Receita!$L$2:$L$1099)+SUMIF(Mercado_Receita!$S$2:$S$1099,"44652A3AzulNão se aplicaNão se aplicaNão se aplicaNão se aplicaIntermediário",Mercado_Receita!$L$2:$L$1099)+SUMIF(Mercado_Receita!$S$2:$S$1099,"44652A3AzulNão se aplicaNão se aplicaNão se aplicaNão se aplicaNão se aplica",Mercado_Receita!$L$2:$L$1099)+SUMIF(Mercado_Receita!$S$2:$S$1099,"44652A3ConvencionalNão se aplicaNão se aplicaNão se aplicaNão se aplicaNão se aplica",Mercado_Receita!$L$2:$L$1099)</f>
        <v>1425.896</v>
      </c>
      <c r="S4" s="13">
        <f>SUMIF(Mercado_Receita!$S$2:$S$1099,"44682A3AzulNão se aplicaNão se aplicaNão se aplicaNão se aplicaPonta",Mercado_Receita!$L$2:$L$1099)+SUMIF(Mercado_Receita!$S$2:$S$1099,"44682A3AzulNão se aplicaNão se aplicaNão se aplicaNão se aplicaFora ponta",Mercado_Receita!$L$2:$L$1099)+SUMIF(Mercado_Receita!$S$2:$S$1099,"44682A3AzulNão se aplicaNão se aplicaNão se aplicaNão se aplicaIntermediário",Mercado_Receita!$L$2:$L$1099)+SUMIF(Mercado_Receita!$S$2:$S$1099,"44682A3AzulNão se aplicaNão se aplicaNão se aplicaNão se aplicaNão se aplica",Mercado_Receita!$L$2:$L$1099)+SUMIF(Mercado_Receita!$S$2:$S$1099,"44682A3ConvencionalNão se aplicaNão se aplicaNão se aplicaNão se aplicaNão se aplica",Mercado_Receita!$L$2:$L$1099)</f>
        <v>1382.0039999999999</v>
      </c>
      <c r="T4" s="13">
        <f>SUMIF(Mercado_Receita!$S$2:$S$1099,"44713A3AzulNão se aplicaNão se aplicaNão se aplicaNão se aplicaPonta",Mercado_Receita!$L$2:$L$1099)+SUMIF(Mercado_Receita!$S$2:$S$1099,"44713A3AzulNão se aplicaNão se aplicaNão se aplicaNão se aplicaFora ponta",Mercado_Receita!$L$2:$L$1099)+SUMIF(Mercado_Receita!$S$2:$S$1099,"44713A3AzulNão se aplicaNão se aplicaNão se aplicaNão se aplicaIntermediário",Mercado_Receita!$L$2:$L$1099)+SUMIF(Mercado_Receita!$S$2:$S$1099,"44713A3AzulNão se aplicaNão se aplicaNão se aplicaNão se aplicaNão se aplica",Mercado_Receita!$L$2:$L$1099)+SUMIF(Mercado_Receita!$S$2:$S$1099,"44713A3ConvencionalNão se aplicaNão se aplicaNão se aplicaNão se aplicaNão se aplica",Mercado_Receita!$L$2:$L$1099)</f>
        <v>1365.4870000000001</v>
      </c>
      <c r="U4" s="13">
        <f t="shared" si="0"/>
        <v>16873.752000000004</v>
      </c>
      <c r="V4" s="13"/>
      <c r="W4" s="13"/>
    </row>
    <row r="5" spans="1:30" ht="11.25" customHeight="1" x14ac:dyDescent="0.25">
      <c r="A5" s="95"/>
      <c r="B5" s="95"/>
      <c r="C5" s="95"/>
      <c r="D5" s="95"/>
      <c r="E5" s="12" t="s">
        <v>89</v>
      </c>
      <c r="F5" s="12" t="s">
        <v>25</v>
      </c>
      <c r="G5" s="13" t="s">
        <v>88</v>
      </c>
      <c r="H5" s="13" t="s">
        <v>82</v>
      </c>
      <c r="I5" s="13">
        <f>SUMIF(Mercado_Receita!$S$2:$S$1099,"44378A3AzulNão se aplicaNão se aplicaAPENão se aplicaPonta",Mercado_Receita!$L$2:$L$1099)+SUMIF(Mercado_Receita!$S$2:$S$1099,"44378A3AzulNão se aplicaNão se aplicaAPENão se aplicaFora ponta",Mercado_Receita!$L$2:$L$1099)+SUMIF(Mercado_Receita!$S$2:$S$1099,"44378A3AzulNão se aplicaNão se aplicaAPENão se aplicaIntermediário",Mercado_Receita!$L$2:$L$1099)+SUMIF(Mercado_Receita!$S$2:$S$1099,"44378A3AzulNão se aplicaNão se aplicaAPENão se aplicaNão se aplica",Mercado_Receita!$L$2:$L$1099)+SUMIF(Mercado_Receita!$S$2:$S$1099,"44378A3ConvencionalNão se aplicaNão se aplicaAPENão se aplicaNão se aplica",Mercado_Receita!$L$2:$L$1099)</f>
        <v>0</v>
      </c>
      <c r="J5" s="13">
        <f>SUMIF(Mercado_Receita!$S$2:$S$1099,"44409A3AzulNão se aplicaNão se aplicaAPENão se aplicaPonta",Mercado_Receita!$L$2:$L$1099)+SUMIF(Mercado_Receita!$S$2:$S$1099,"44409A3AzulNão se aplicaNão se aplicaAPENão se aplicaFora ponta",Mercado_Receita!$L$2:$L$1099)+SUMIF(Mercado_Receita!$S$2:$S$1099,"44409A3AzulNão se aplicaNão se aplicaAPENão se aplicaIntermediário",Mercado_Receita!$L$2:$L$1099)+SUMIF(Mercado_Receita!$S$2:$S$1099,"44409A3AzulNão se aplicaNão se aplicaAPENão se aplicaNão se aplica",Mercado_Receita!$L$2:$L$1099)+SUMIF(Mercado_Receita!$S$2:$S$1099,"44409A3ConvencionalNão se aplicaNão se aplicaAPENão se aplicaNão se aplica",Mercado_Receita!$L$2:$L$1099)</f>
        <v>0</v>
      </c>
      <c r="K5" s="13">
        <f>SUMIF(Mercado_Receita!$S$2:$S$1099,"44440A3AzulNão se aplicaNão se aplicaAPENão se aplicaPonta",Mercado_Receita!$L$2:$L$1099)+SUMIF(Mercado_Receita!$S$2:$S$1099,"44440A3AzulNão se aplicaNão se aplicaAPENão se aplicaFora ponta",Mercado_Receita!$L$2:$L$1099)+SUMIF(Mercado_Receita!$S$2:$S$1099,"44440A3AzulNão se aplicaNão se aplicaAPENão se aplicaIntermediário",Mercado_Receita!$L$2:$L$1099)+SUMIF(Mercado_Receita!$S$2:$S$1099,"44440A3AzulNão se aplicaNão se aplicaAPENão se aplicaNão se aplica",Mercado_Receita!$L$2:$L$1099)+SUMIF(Mercado_Receita!$S$2:$S$1099,"44440A3ConvencionalNão se aplicaNão se aplicaAPENão se aplicaNão se aplica",Mercado_Receita!$L$2:$L$1099)</f>
        <v>0</v>
      </c>
      <c r="L5" s="13">
        <f>SUMIF(Mercado_Receita!$S$2:$S$1099,"44470A3AzulNão se aplicaNão se aplicaAPENão se aplicaPonta",Mercado_Receita!$L$2:$L$1099)+SUMIF(Mercado_Receita!$S$2:$S$1099,"44470A3AzulNão se aplicaNão se aplicaAPENão se aplicaFora ponta",Mercado_Receita!$L$2:$L$1099)+SUMIF(Mercado_Receita!$S$2:$S$1099,"44470A3AzulNão se aplicaNão se aplicaAPENão se aplicaIntermediário",Mercado_Receita!$L$2:$L$1099)+SUMIF(Mercado_Receita!$S$2:$S$1099,"44470A3AzulNão se aplicaNão se aplicaAPENão se aplicaNão se aplica",Mercado_Receita!$L$2:$L$1099)+SUMIF(Mercado_Receita!$S$2:$S$1099,"44470A3ConvencionalNão se aplicaNão se aplicaAPENão se aplicaNão se aplica",Mercado_Receita!$L$2:$L$1099)</f>
        <v>0</v>
      </c>
      <c r="M5" s="13">
        <f>SUMIF(Mercado_Receita!$S$2:$S$1099,"44501A3AzulNão se aplicaNão se aplicaAPENão se aplicaPonta",Mercado_Receita!$L$2:$L$1099)+SUMIF(Mercado_Receita!$S$2:$S$1099,"44501A3AzulNão se aplicaNão se aplicaAPENão se aplicaFora ponta",Mercado_Receita!$L$2:$L$1099)+SUMIF(Mercado_Receita!$S$2:$S$1099,"44501A3AzulNão se aplicaNão se aplicaAPENão se aplicaIntermediário",Mercado_Receita!$L$2:$L$1099)+SUMIF(Mercado_Receita!$S$2:$S$1099,"44501A3AzulNão se aplicaNão se aplicaAPENão se aplicaNão se aplica",Mercado_Receita!$L$2:$L$1099)+SUMIF(Mercado_Receita!$S$2:$S$1099,"44501A3ConvencionalNão se aplicaNão se aplicaAPENão se aplicaNão se aplica",Mercado_Receita!$L$2:$L$1099)</f>
        <v>0</v>
      </c>
      <c r="N5" s="13">
        <f>SUMIF(Mercado_Receita!$S$2:$S$1099,"44531A3AzulNão se aplicaNão se aplicaAPENão se aplicaPonta",Mercado_Receita!$L$2:$L$1099)+SUMIF(Mercado_Receita!$S$2:$S$1099,"44531A3AzulNão se aplicaNão se aplicaAPENão se aplicaFora ponta",Mercado_Receita!$L$2:$L$1099)+SUMIF(Mercado_Receita!$S$2:$S$1099,"44531A3AzulNão se aplicaNão se aplicaAPENão se aplicaIntermediário",Mercado_Receita!$L$2:$L$1099)+SUMIF(Mercado_Receita!$S$2:$S$1099,"44531A3AzulNão se aplicaNão se aplicaAPENão se aplicaNão se aplica",Mercado_Receita!$L$2:$L$1099)+SUMIF(Mercado_Receita!$S$2:$S$1099,"44531A3ConvencionalNão se aplicaNão se aplicaAPENão se aplicaNão se aplica",Mercado_Receita!$L$2:$L$1099)</f>
        <v>0</v>
      </c>
      <c r="O5" s="13">
        <f>SUMIF(Mercado_Receita!$S$2:$S$1099,"44562A3AzulNão se aplicaNão se aplicaAPENão se aplicaPonta",Mercado_Receita!$L$2:$L$1099)+SUMIF(Mercado_Receita!$S$2:$S$1099,"44562A3AzulNão se aplicaNão se aplicaAPENão se aplicaFora ponta",Mercado_Receita!$L$2:$L$1099)+SUMIF(Mercado_Receita!$S$2:$S$1099,"44562A3AzulNão se aplicaNão se aplicaAPENão se aplicaIntermediário",Mercado_Receita!$L$2:$L$1099)+SUMIF(Mercado_Receita!$S$2:$S$1099,"44562A3AzulNão se aplicaNão se aplicaAPENão se aplicaNão se aplica",Mercado_Receita!$L$2:$L$1099)+SUMIF(Mercado_Receita!$S$2:$S$1099,"44562A3ConvencionalNão se aplicaNão se aplicaAPENão se aplicaNão se aplica",Mercado_Receita!$L$2:$L$1099)</f>
        <v>0</v>
      </c>
      <c r="P5" s="13">
        <f>SUMIF(Mercado_Receita!$S$2:$S$1099,"44593A3AzulNão se aplicaNão se aplicaAPENão se aplicaPonta",Mercado_Receita!$L$2:$L$1099)+SUMIF(Mercado_Receita!$S$2:$S$1099,"44593A3AzulNão se aplicaNão se aplicaAPENão se aplicaFora ponta",Mercado_Receita!$L$2:$L$1099)+SUMIF(Mercado_Receita!$S$2:$S$1099,"44593A3AzulNão se aplicaNão se aplicaAPENão se aplicaIntermediário",Mercado_Receita!$L$2:$L$1099)+SUMIF(Mercado_Receita!$S$2:$S$1099,"44593A3AzulNão se aplicaNão se aplicaAPENão se aplicaNão se aplica",Mercado_Receita!$L$2:$L$1099)+SUMIF(Mercado_Receita!$S$2:$S$1099,"44593A3ConvencionalNão se aplicaNão se aplicaAPENão se aplicaNão se aplica",Mercado_Receita!$L$2:$L$1099)</f>
        <v>0</v>
      </c>
      <c r="Q5" s="13">
        <f>SUMIF(Mercado_Receita!$S$2:$S$1099,"44621A3AzulNão se aplicaNão se aplicaAPENão se aplicaPonta",Mercado_Receita!$L$2:$L$1099)+SUMIF(Mercado_Receita!$S$2:$S$1099,"44621A3AzulNão se aplicaNão se aplicaAPENão se aplicaFora ponta",Mercado_Receita!$L$2:$L$1099)+SUMIF(Mercado_Receita!$S$2:$S$1099,"44621A3AzulNão se aplicaNão se aplicaAPENão se aplicaIntermediário",Mercado_Receita!$L$2:$L$1099)+SUMIF(Mercado_Receita!$S$2:$S$1099,"44621A3AzulNão se aplicaNão se aplicaAPENão se aplicaNão se aplica",Mercado_Receita!$L$2:$L$1099)+SUMIF(Mercado_Receita!$S$2:$S$1099,"44621A3ConvencionalNão se aplicaNão se aplicaAPENão se aplicaNão se aplica",Mercado_Receita!$L$2:$L$1099)</f>
        <v>0</v>
      </c>
      <c r="R5" s="13">
        <f>SUMIF(Mercado_Receita!$S$2:$S$1099,"44652A3AzulNão se aplicaNão se aplicaAPENão se aplicaPonta",Mercado_Receita!$L$2:$L$1099)+SUMIF(Mercado_Receita!$S$2:$S$1099,"44652A3AzulNão se aplicaNão se aplicaAPENão se aplicaFora ponta",Mercado_Receita!$L$2:$L$1099)+SUMIF(Mercado_Receita!$S$2:$S$1099,"44652A3AzulNão se aplicaNão se aplicaAPENão se aplicaIntermediário",Mercado_Receita!$L$2:$L$1099)+SUMIF(Mercado_Receita!$S$2:$S$1099,"44652A3AzulNão se aplicaNão se aplicaAPENão se aplicaNão se aplica",Mercado_Receita!$L$2:$L$1099)+SUMIF(Mercado_Receita!$S$2:$S$1099,"44652A3ConvencionalNão se aplicaNão se aplicaAPENão se aplicaNão se aplica",Mercado_Receita!$L$2:$L$1099)</f>
        <v>0</v>
      </c>
      <c r="S5" s="13">
        <f>SUMIF(Mercado_Receita!$S$2:$S$1099,"44682A3AzulNão se aplicaNão se aplicaAPENão se aplicaPonta",Mercado_Receita!$L$2:$L$1099)+SUMIF(Mercado_Receita!$S$2:$S$1099,"44682A3AzulNão se aplicaNão se aplicaAPENão se aplicaFora ponta",Mercado_Receita!$L$2:$L$1099)+SUMIF(Mercado_Receita!$S$2:$S$1099,"44682A3AzulNão se aplicaNão se aplicaAPENão se aplicaIntermediário",Mercado_Receita!$L$2:$L$1099)+SUMIF(Mercado_Receita!$S$2:$S$1099,"44682A3AzulNão se aplicaNão se aplicaAPENão se aplicaNão se aplica",Mercado_Receita!$L$2:$L$1099)+SUMIF(Mercado_Receita!$S$2:$S$1099,"44682A3ConvencionalNão se aplicaNão se aplicaAPENão se aplicaNão se aplica",Mercado_Receita!$L$2:$L$1099)</f>
        <v>0</v>
      </c>
      <c r="T5" s="13">
        <f>SUMIF(Mercado_Receita!$S$2:$S$1099,"44713A3AzulNão se aplicaNão se aplicaAPENão se aplicaPonta",Mercado_Receita!$L$2:$L$1099)+SUMIF(Mercado_Receita!$S$2:$S$1099,"44713A3AzulNão se aplicaNão se aplicaAPENão se aplicaFora ponta",Mercado_Receita!$L$2:$L$1099)+SUMIF(Mercado_Receita!$S$2:$S$1099,"44713A3AzulNão se aplicaNão se aplicaAPENão se aplicaIntermediário",Mercado_Receita!$L$2:$L$1099)+SUMIF(Mercado_Receita!$S$2:$S$1099,"44713A3AzulNão se aplicaNão se aplicaAPENão se aplicaNão se aplica",Mercado_Receita!$L$2:$L$1099)+SUMIF(Mercado_Receita!$S$2:$S$1099,"44713A3ConvencionalNão se aplicaNão se aplicaAPENão se aplicaNão se aplica",Mercado_Receita!$L$2:$L$1099)</f>
        <v>0</v>
      </c>
      <c r="U5" s="13">
        <f t="shared" si="0"/>
        <v>0</v>
      </c>
      <c r="V5" s="13"/>
      <c r="W5" s="13"/>
    </row>
    <row r="6" spans="1:30" ht="11.25" customHeight="1" x14ac:dyDescent="0.25">
      <c r="A6" s="94" t="s">
        <v>35</v>
      </c>
      <c r="B6" s="94" t="s">
        <v>36</v>
      </c>
      <c r="C6" s="94" t="s">
        <v>25</v>
      </c>
      <c r="D6" s="94" t="s">
        <v>25</v>
      </c>
      <c r="E6" s="94" t="s">
        <v>25</v>
      </c>
      <c r="F6" s="94" t="s">
        <v>25</v>
      </c>
      <c r="G6" s="13" t="s">
        <v>86</v>
      </c>
      <c r="H6" s="13" t="s">
        <v>85</v>
      </c>
      <c r="I6" s="13">
        <f>SUMIF(Mercado_Receita!$S$2:$S$1099,"44378A4AzulNão se aplicaNão se aplicaNão se aplicaNão se aplicaPonta",Mercado_Receita!$J$2:$J$1099)+SUMIF(Mercado_Receita!$S$2:$S$1099,"44378A4AzulNão se aplicaNão se aplicaAPENão se aplicaPonta",Mercado_Receita!$J$2:$J$1099)</f>
        <v>9957</v>
      </c>
      <c r="J6" s="13">
        <f>SUMIF(Mercado_Receita!$S$2:$S$1099,"44409A4AzulNão se aplicaNão se aplicaNão se aplicaNão se aplicaPonta",Mercado_Receita!$J$2:$J$1099)+SUMIF(Mercado_Receita!$S$2:$S$1099,"44409A4AzulNão se aplicaNão se aplicaAPENão se aplicaPonta",Mercado_Receita!$J$2:$J$1099)</f>
        <v>9945</v>
      </c>
      <c r="K6" s="13">
        <f>SUMIF(Mercado_Receita!$S$2:$S$1099,"44440A4AzulNão se aplicaNão se aplicaNão se aplicaNão se aplicaPonta",Mercado_Receita!$J$2:$J$1099)+SUMIF(Mercado_Receita!$S$2:$S$1099,"44440A4AzulNão se aplicaNão se aplicaAPENão se aplicaPonta",Mercado_Receita!$J$2:$J$1099)</f>
        <v>9968</v>
      </c>
      <c r="L6" s="13">
        <f>SUMIF(Mercado_Receita!$S$2:$S$1099,"44470A4AzulNão se aplicaNão se aplicaNão se aplicaNão se aplicaPonta",Mercado_Receita!$J$2:$J$1099)+SUMIF(Mercado_Receita!$S$2:$S$1099,"44470A4AzulNão se aplicaNão se aplicaAPENão se aplicaPonta",Mercado_Receita!$J$2:$J$1099)</f>
        <v>10289</v>
      </c>
      <c r="M6" s="13">
        <f>SUMIF(Mercado_Receita!$S$2:$S$1099,"44501A4AzulNão se aplicaNão se aplicaNão se aplicaNão se aplicaPonta",Mercado_Receita!$J$2:$J$1099)+SUMIF(Mercado_Receita!$S$2:$S$1099,"44501A4AzulNão se aplicaNão se aplicaAPENão se aplicaPonta",Mercado_Receita!$J$2:$J$1099)</f>
        <v>13558</v>
      </c>
      <c r="N6" s="13">
        <f>SUMIF(Mercado_Receita!$S$2:$S$1099,"44531A4AzulNão se aplicaNão se aplicaNão se aplicaNão se aplicaPonta",Mercado_Receita!$J$2:$J$1099)+SUMIF(Mercado_Receita!$S$2:$S$1099,"44531A4AzulNão se aplicaNão se aplicaAPENão se aplicaPonta",Mercado_Receita!$J$2:$J$1099)</f>
        <v>13627</v>
      </c>
      <c r="O6" s="13">
        <f>SUMIF(Mercado_Receita!$S$2:$S$1099,"44562A4AzulNão se aplicaNão se aplicaNão se aplicaNão se aplicaPonta",Mercado_Receita!$J$2:$J$1099)+SUMIF(Mercado_Receita!$S$2:$S$1099,"44562A4AzulNão se aplicaNão se aplicaAPENão se aplicaPonta",Mercado_Receita!$J$2:$J$1099)</f>
        <v>13415</v>
      </c>
      <c r="P6" s="13">
        <f>SUMIF(Mercado_Receita!$S$2:$S$1099,"44593A4AzulNão se aplicaNão se aplicaNão se aplicaNão se aplicaPonta",Mercado_Receita!$J$2:$J$1099)+SUMIF(Mercado_Receita!$S$2:$S$1099,"44593A4AzulNão se aplicaNão se aplicaAPENão se aplicaPonta",Mercado_Receita!$J$2:$J$1099)</f>
        <v>14153</v>
      </c>
      <c r="Q6" s="13">
        <f>SUMIF(Mercado_Receita!$S$2:$S$1099,"44621A4AzulNão se aplicaNão se aplicaNão se aplicaNão se aplicaPonta",Mercado_Receita!$J$2:$J$1099)+SUMIF(Mercado_Receita!$S$2:$S$1099,"44621A4AzulNão se aplicaNão se aplicaAPENão se aplicaPonta",Mercado_Receita!$J$2:$J$1099)</f>
        <v>13952</v>
      </c>
      <c r="R6" s="13">
        <f>SUMIF(Mercado_Receita!$S$2:$S$1099,"44652A4AzulNão se aplicaNão se aplicaNão se aplicaNão se aplicaPonta",Mercado_Receita!$J$2:$J$1099)+SUMIF(Mercado_Receita!$S$2:$S$1099,"44652A4AzulNão se aplicaNão se aplicaAPENão se aplicaPonta",Mercado_Receita!$J$2:$J$1099)</f>
        <v>13898</v>
      </c>
      <c r="S6" s="13">
        <f>SUMIF(Mercado_Receita!$S$2:$S$1099,"44682A4AzulNão se aplicaNão se aplicaNão se aplicaNão se aplicaPonta",Mercado_Receita!$J$2:$J$1099)+SUMIF(Mercado_Receita!$S$2:$S$1099,"44682A4AzulNão se aplicaNão se aplicaAPENão se aplicaPonta",Mercado_Receita!$J$2:$J$1099)</f>
        <v>14181</v>
      </c>
      <c r="T6" s="13">
        <f>SUMIF(Mercado_Receita!$S$2:$S$1099,"44713A4AzulNão se aplicaNão se aplicaNão se aplicaNão se aplicaPonta",Mercado_Receita!$J$2:$J$1099)+SUMIF(Mercado_Receita!$S$2:$S$1099,"44713A4AzulNão se aplicaNão se aplicaAPENão se aplicaPonta",Mercado_Receita!$J$2:$J$1099)</f>
        <v>14644</v>
      </c>
      <c r="U6" s="13">
        <f t="shared" si="0"/>
        <v>151587</v>
      </c>
      <c r="V6" s="13"/>
      <c r="W6" s="13"/>
    </row>
    <row r="7" spans="1:30" ht="11.25" customHeight="1" x14ac:dyDescent="0.25">
      <c r="A7" s="95"/>
      <c r="B7" s="95"/>
      <c r="C7" s="95"/>
      <c r="D7" s="95"/>
      <c r="E7" s="95"/>
      <c r="F7" s="95"/>
      <c r="G7" s="13" t="s">
        <v>87</v>
      </c>
      <c r="H7" s="13" t="s">
        <v>85</v>
      </c>
      <c r="I7" s="13">
        <f>SUMIF(Mercado_Receita!$S$2:$S$1099,"44378A4AzulNão se aplicaNão se aplicaNão se aplicaNão se aplicaFora ponta",Mercado_Receita!$J$2:$J$1099)+SUMIF(Mercado_Receita!$S$2:$S$1099,"44378A4AzulNão se aplicaNão se aplicaAPENão se aplicaFora ponta",Mercado_Receita!$J$2:$J$1099)</f>
        <v>13171</v>
      </c>
      <c r="J7" s="13">
        <f>SUMIF(Mercado_Receita!$S$2:$S$1099,"44409A4AzulNão se aplicaNão se aplicaNão se aplicaNão se aplicaFora ponta",Mercado_Receita!$J$2:$J$1099)+SUMIF(Mercado_Receita!$S$2:$S$1099,"44409A4AzulNão se aplicaNão se aplicaAPENão se aplicaFora ponta",Mercado_Receita!$J$2:$J$1099)</f>
        <v>12937</v>
      </c>
      <c r="K7" s="13">
        <f>SUMIF(Mercado_Receita!$S$2:$S$1099,"44440A4AzulNão se aplicaNão se aplicaNão se aplicaNão se aplicaFora ponta",Mercado_Receita!$J$2:$J$1099)+SUMIF(Mercado_Receita!$S$2:$S$1099,"44440A4AzulNão se aplicaNão se aplicaAPENão se aplicaFora ponta",Mercado_Receita!$J$2:$J$1099)</f>
        <v>13220</v>
      </c>
      <c r="L7" s="13">
        <f>SUMIF(Mercado_Receita!$S$2:$S$1099,"44470A4AzulNão se aplicaNão se aplicaNão se aplicaNão se aplicaFora ponta",Mercado_Receita!$J$2:$J$1099)+SUMIF(Mercado_Receita!$S$2:$S$1099,"44470A4AzulNão se aplicaNão se aplicaAPENão se aplicaFora ponta",Mercado_Receita!$J$2:$J$1099)</f>
        <v>13435</v>
      </c>
      <c r="M7" s="13">
        <f>SUMIF(Mercado_Receita!$S$2:$S$1099,"44501A4AzulNão se aplicaNão se aplicaNão se aplicaNão se aplicaFora ponta",Mercado_Receita!$J$2:$J$1099)+SUMIF(Mercado_Receita!$S$2:$S$1099,"44501A4AzulNão se aplicaNão se aplicaAPENão se aplicaFora ponta",Mercado_Receita!$J$2:$J$1099)</f>
        <v>17462</v>
      </c>
      <c r="N7" s="13">
        <f>SUMIF(Mercado_Receita!$S$2:$S$1099,"44531A4AzulNão se aplicaNão se aplicaNão se aplicaNão se aplicaFora ponta",Mercado_Receita!$J$2:$J$1099)+SUMIF(Mercado_Receita!$S$2:$S$1099,"44531A4AzulNão se aplicaNão se aplicaAPENão se aplicaFora ponta",Mercado_Receita!$J$2:$J$1099)</f>
        <v>17629</v>
      </c>
      <c r="O7" s="13">
        <f>SUMIF(Mercado_Receita!$S$2:$S$1099,"44562A4AzulNão se aplicaNão se aplicaNão se aplicaNão se aplicaFora ponta",Mercado_Receita!$J$2:$J$1099)+SUMIF(Mercado_Receita!$S$2:$S$1099,"44562A4AzulNão se aplicaNão se aplicaAPENão se aplicaFora ponta",Mercado_Receita!$J$2:$J$1099)</f>
        <v>17746</v>
      </c>
      <c r="P7" s="13">
        <f>SUMIF(Mercado_Receita!$S$2:$S$1099,"44593A4AzulNão se aplicaNão se aplicaNão se aplicaNão se aplicaFora ponta",Mercado_Receita!$J$2:$J$1099)+SUMIF(Mercado_Receita!$S$2:$S$1099,"44593A4AzulNão se aplicaNão se aplicaAPENão se aplicaFora ponta",Mercado_Receita!$J$2:$J$1099)</f>
        <v>18118</v>
      </c>
      <c r="Q7" s="13">
        <f>SUMIF(Mercado_Receita!$S$2:$S$1099,"44621A4AzulNão se aplicaNão se aplicaNão se aplicaNão se aplicaFora ponta",Mercado_Receita!$J$2:$J$1099)+SUMIF(Mercado_Receita!$S$2:$S$1099,"44621A4AzulNão se aplicaNão se aplicaAPENão se aplicaFora ponta",Mercado_Receita!$J$2:$J$1099)</f>
        <v>17938</v>
      </c>
      <c r="R7" s="13">
        <f>SUMIF(Mercado_Receita!$S$2:$S$1099,"44652A4AzulNão se aplicaNão se aplicaNão se aplicaNão se aplicaFora ponta",Mercado_Receita!$J$2:$J$1099)+SUMIF(Mercado_Receita!$S$2:$S$1099,"44652A4AzulNão se aplicaNão se aplicaAPENão se aplicaFora ponta",Mercado_Receita!$J$2:$J$1099)</f>
        <v>18027</v>
      </c>
      <c r="S7" s="13">
        <f>SUMIF(Mercado_Receita!$S$2:$S$1099,"44682A4AzulNão se aplicaNão se aplicaNão se aplicaNão se aplicaFora ponta",Mercado_Receita!$J$2:$J$1099)+SUMIF(Mercado_Receita!$S$2:$S$1099,"44682A4AzulNão se aplicaNão se aplicaAPENão se aplicaFora ponta",Mercado_Receita!$J$2:$J$1099)</f>
        <v>17851</v>
      </c>
      <c r="T7" s="13">
        <f>SUMIF(Mercado_Receita!$S$2:$S$1099,"44713A4AzulNão se aplicaNão se aplicaNão se aplicaNão se aplicaFora ponta",Mercado_Receita!$J$2:$J$1099)+SUMIF(Mercado_Receita!$S$2:$S$1099,"44713A4AzulNão se aplicaNão se aplicaAPENão se aplicaFora ponta",Mercado_Receita!$J$2:$J$1099)</f>
        <v>18136</v>
      </c>
      <c r="U7" s="13">
        <f t="shared" si="0"/>
        <v>195670</v>
      </c>
      <c r="V7" s="13"/>
      <c r="W7" s="13"/>
    </row>
    <row r="8" spans="1:30" ht="11.25" customHeight="1" x14ac:dyDescent="0.25">
      <c r="A8" s="95"/>
      <c r="B8" s="95"/>
      <c r="C8" s="95"/>
      <c r="D8" s="95"/>
      <c r="E8" s="95"/>
      <c r="F8" s="95"/>
      <c r="G8" s="13" t="s">
        <v>88</v>
      </c>
      <c r="H8" s="13" t="s">
        <v>82</v>
      </c>
      <c r="I8" s="13">
        <f>SUMIF(Mercado_Receita!$S$2:$S$1099,"44378A4AzulNão se aplicaNão se aplicaNão se aplicaNão se aplicaPonta",Mercado_Receita!$L$2:$L$1099)+SUMIF(Mercado_Receita!$S$2:$S$1099,"44378A4AzulNão se aplicaNão se aplicaNão se aplicaNão se aplicaFora ponta",Mercado_Receita!$L$2:$L$1099)+SUMIF(Mercado_Receita!$S$2:$S$1099,"44378A4AzulNão se aplicaNão se aplicaNão se aplicaNão se aplicaIntermediário",Mercado_Receita!$L$2:$L$1099)+SUMIF(Mercado_Receita!$S$2:$S$1099,"44378A4AzulNão se aplicaNão se aplicaNão se aplicaNão se aplicaNão se aplica",Mercado_Receita!$L$2:$L$1099)</f>
        <v>5652.6689999999999</v>
      </c>
      <c r="J8" s="13">
        <f>SUMIF(Mercado_Receita!$S$2:$S$1099,"44409A4AzulNão se aplicaNão se aplicaNão se aplicaNão se aplicaPonta",Mercado_Receita!$L$2:$L$1099)+SUMIF(Mercado_Receita!$S$2:$S$1099,"44409A4AzulNão se aplicaNão se aplicaNão se aplicaNão se aplicaFora ponta",Mercado_Receita!$L$2:$L$1099)+SUMIF(Mercado_Receita!$S$2:$S$1099,"44409A4AzulNão se aplicaNão se aplicaNão se aplicaNão se aplicaIntermediário",Mercado_Receita!$L$2:$L$1099)+SUMIF(Mercado_Receita!$S$2:$S$1099,"44409A4AzulNão se aplicaNão se aplicaNão se aplicaNão se aplicaNão se aplica",Mercado_Receita!$L$2:$L$1099)</f>
        <v>5918.7060000000001</v>
      </c>
      <c r="K8" s="13">
        <f>SUMIF(Mercado_Receita!$S$2:$S$1099,"44440A4AzulNão se aplicaNão se aplicaNão se aplicaNão se aplicaPonta",Mercado_Receita!$L$2:$L$1099)+SUMIF(Mercado_Receita!$S$2:$S$1099,"44440A4AzulNão se aplicaNão se aplicaNão se aplicaNão se aplicaFora ponta",Mercado_Receita!$L$2:$L$1099)+SUMIF(Mercado_Receita!$S$2:$S$1099,"44440A4AzulNão se aplicaNão se aplicaNão se aplicaNão se aplicaIntermediário",Mercado_Receita!$L$2:$L$1099)+SUMIF(Mercado_Receita!$S$2:$S$1099,"44440A4AzulNão se aplicaNão se aplicaNão se aplicaNão se aplicaNão se aplica",Mercado_Receita!$L$2:$L$1099)</f>
        <v>5795.8559999999998</v>
      </c>
      <c r="L8" s="13">
        <f>SUMIF(Mercado_Receita!$S$2:$S$1099,"44470A4AzulNão se aplicaNão se aplicaNão se aplicaNão se aplicaPonta",Mercado_Receita!$L$2:$L$1099)+SUMIF(Mercado_Receita!$S$2:$S$1099,"44470A4AzulNão se aplicaNão se aplicaNão se aplicaNão se aplicaFora ponta",Mercado_Receita!$L$2:$L$1099)+SUMIF(Mercado_Receita!$S$2:$S$1099,"44470A4AzulNão se aplicaNão se aplicaNão se aplicaNão se aplicaIntermediário",Mercado_Receita!$L$2:$L$1099)+SUMIF(Mercado_Receita!$S$2:$S$1099,"44470A4AzulNão se aplicaNão se aplicaNão se aplicaNão se aplicaNão se aplica",Mercado_Receita!$L$2:$L$1099)</f>
        <v>5813.4939999999988</v>
      </c>
      <c r="M8" s="13">
        <f>SUMIF(Mercado_Receita!$S$2:$S$1099,"44501A4AzulNão se aplicaNão se aplicaNão se aplicaNão se aplicaPonta",Mercado_Receita!$L$2:$L$1099)+SUMIF(Mercado_Receita!$S$2:$S$1099,"44501A4AzulNão se aplicaNão se aplicaNão se aplicaNão se aplicaFora ponta",Mercado_Receita!$L$2:$L$1099)+SUMIF(Mercado_Receita!$S$2:$S$1099,"44501A4AzulNão se aplicaNão se aplicaNão se aplicaNão se aplicaIntermediário",Mercado_Receita!$L$2:$L$1099)+SUMIF(Mercado_Receita!$S$2:$S$1099,"44501A4AzulNão se aplicaNão se aplicaNão se aplicaNão se aplicaNão se aplica",Mercado_Receita!$L$2:$L$1099)</f>
        <v>7992.7709999999997</v>
      </c>
      <c r="N8" s="13">
        <f>SUMIF(Mercado_Receita!$S$2:$S$1099,"44531A4AzulNão se aplicaNão se aplicaNão se aplicaNão se aplicaPonta",Mercado_Receita!$L$2:$L$1099)+SUMIF(Mercado_Receita!$S$2:$S$1099,"44531A4AzulNão se aplicaNão se aplicaNão se aplicaNão se aplicaFora ponta",Mercado_Receita!$L$2:$L$1099)+SUMIF(Mercado_Receita!$S$2:$S$1099,"44531A4AzulNão se aplicaNão se aplicaNão se aplicaNão se aplicaIntermediário",Mercado_Receita!$L$2:$L$1099)+SUMIF(Mercado_Receita!$S$2:$S$1099,"44531A4AzulNão se aplicaNão se aplicaNão se aplicaNão se aplicaNão se aplica",Mercado_Receita!$L$2:$L$1099)</f>
        <v>7982.2669999999998</v>
      </c>
      <c r="O8" s="13">
        <f>SUMIF(Mercado_Receita!$S$2:$S$1099,"44562A4AzulNão se aplicaNão se aplicaNão se aplicaNão se aplicaPonta",Mercado_Receita!$L$2:$L$1099)+SUMIF(Mercado_Receita!$S$2:$S$1099,"44562A4AzulNão se aplicaNão se aplicaNão se aplicaNão se aplicaFora ponta",Mercado_Receita!$L$2:$L$1099)+SUMIF(Mercado_Receita!$S$2:$S$1099,"44562A4AzulNão se aplicaNão se aplicaNão se aplicaNão se aplicaIntermediário",Mercado_Receita!$L$2:$L$1099)+SUMIF(Mercado_Receita!$S$2:$S$1099,"44562A4AzulNão se aplicaNão se aplicaNão se aplicaNão se aplicaNão se aplica",Mercado_Receita!$L$2:$L$1099)</f>
        <v>7279.77</v>
      </c>
      <c r="P8" s="13">
        <f>SUMIF(Mercado_Receita!$S$2:$S$1099,"44593A4AzulNão se aplicaNão se aplicaNão se aplicaNão se aplicaPonta",Mercado_Receita!$L$2:$L$1099)+SUMIF(Mercado_Receita!$S$2:$S$1099,"44593A4AzulNão se aplicaNão se aplicaNão se aplicaNão se aplicaFora ponta",Mercado_Receita!$L$2:$L$1099)+SUMIF(Mercado_Receita!$S$2:$S$1099,"44593A4AzulNão se aplicaNão se aplicaNão se aplicaNão se aplicaIntermediário",Mercado_Receita!$L$2:$L$1099)+SUMIF(Mercado_Receita!$S$2:$S$1099,"44593A4AzulNão se aplicaNão se aplicaNão se aplicaNão se aplicaNão se aplica",Mercado_Receita!$L$2:$L$1099)</f>
        <v>7380.7989999999991</v>
      </c>
      <c r="Q8" s="13">
        <f>SUMIF(Mercado_Receita!$S$2:$S$1099,"44621A4AzulNão se aplicaNão se aplicaNão se aplicaNão se aplicaPonta",Mercado_Receita!$L$2:$L$1099)+SUMIF(Mercado_Receita!$S$2:$S$1099,"44621A4AzulNão se aplicaNão se aplicaNão se aplicaNão se aplicaFora ponta",Mercado_Receita!$L$2:$L$1099)+SUMIF(Mercado_Receita!$S$2:$S$1099,"44621A4AzulNão se aplicaNão se aplicaNão se aplicaNão se aplicaIntermediário",Mercado_Receita!$L$2:$L$1099)+SUMIF(Mercado_Receita!$S$2:$S$1099,"44621A4AzulNão se aplicaNão se aplicaNão se aplicaNão se aplicaNão se aplica",Mercado_Receita!$L$2:$L$1099)</f>
        <v>7542.8389999999999</v>
      </c>
      <c r="R8" s="13">
        <f>SUMIF(Mercado_Receita!$S$2:$S$1099,"44652A4AzulNão se aplicaNão se aplicaNão se aplicaNão se aplicaPonta",Mercado_Receita!$L$2:$L$1099)+SUMIF(Mercado_Receita!$S$2:$S$1099,"44652A4AzulNão se aplicaNão se aplicaNão se aplicaNão se aplicaFora ponta",Mercado_Receita!$L$2:$L$1099)+SUMIF(Mercado_Receita!$S$2:$S$1099,"44652A4AzulNão se aplicaNão se aplicaNão se aplicaNão se aplicaIntermediário",Mercado_Receita!$L$2:$L$1099)+SUMIF(Mercado_Receita!$S$2:$S$1099,"44652A4AzulNão se aplicaNão se aplicaNão se aplicaNão se aplicaNão se aplica",Mercado_Receita!$L$2:$L$1099)</f>
        <v>8039.1890000000003</v>
      </c>
      <c r="S8" s="13">
        <f>SUMIF(Mercado_Receita!$S$2:$S$1099,"44682A4AzulNão se aplicaNão se aplicaNão se aplicaNão se aplicaPonta",Mercado_Receita!$L$2:$L$1099)+SUMIF(Mercado_Receita!$S$2:$S$1099,"44682A4AzulNão se aplicaNão se aplicaNão se aplicaNão se aplicaFora ponta",Mercado_Receita!$L$2:$L$1099)+SUMIF(Mercado_Receita!$S$2:$S$1099,"44682A4AzulNão se aplicaNão se aplicaNão se aplicaNão se aplicaIntermediário",Mercado_Receita!$L$2:$L$1099)+SUMIF(Mercado_Receita!$S$2:$S$1099,"44682A4AzulNão se aplicaNão se aplicaNão se aplicaNão se aplicaNão se aplica",Mercado_Receita!$L$2:$L$1099)</f>
        <v>6911.9250000000002</v>
      </c>
      <c r="T8" s="13">
        <f>SUMIF(Mercado_Receita!$S$2:$S$1099,"44713A4AzulNão se aplicaNão se aplicaNão se aplicaNão se aplicaPonta",Mercado_Receita!$L$2:$L$1099)+SUMIF(Mercado_Receita!$S$2:$S$1099,"44713A4AzulNão se aplicaNão se aplicaNão se aplicaNão se aplicaFora ponta",Mercado_Receita!$L$2:$L$1099)+SUMIF(Mercado_Receita!$S$2:$S$1099,"44713A4AzulNão se aplicaNão se aplicaNão se aplicaNão se aplicaIntermediário",Mercado_Receita!$L$2:$L$1099)+SUMIF(Mercado_Receita!$S$2:$S$1099,"44713A4AzulNão se aplicaNão se aplicaNão se aplicaNão se aplicaNão se aplica",Mercado_Receita!$L$2:$L$1099)</f>
        <v>6065.2439999999997</v>
      </c>
      <c r="U8" s="13">
        <f t="shared" si="0"/>
        <v>82375.52900000001</v>
      </c>
      <c r="V8" s="13"/>
      <c r="W8" s="13"/>
    </row>
    <row r="9" spans="1:30" ht="11.25" customHeight="1" x14ac:dyDescent="0.25">
      <c r="A9" s="95"/>
      <c r="B9" s="95"/>
      <c r="C9" s="95"/>
      <c r="D9" s="95"/>
      <c r="E9" s="12" t="s">
        <v>89</v>
      </c>
      <c r="F9" s="12" t="s">
        <v>25</v>
      </c>
      <c r="G9" s="13" t="s">
        <v>88</v>
      </c>
      <c r="H9" s="13" t="s">
        <v>82</v>
      </c>
      <c r="I9" s="13">
        <f>SUMIF(Mercado_Receita!$S$2:$S$1099,"44378A4AzulNão se aplicaNão se aplicaAPENão se aplicaPonta",Mercado_Receita!$L$2:$L$1099)+SUMIF(Mercado_Receita!$S$2:$S$1099,"44378A4AzulNão se aplicaNão se aplicaAPENão se aplicaFora ponta",Mercado_Receita!$L$2:$L$1099)+SUMIF(Mercado_Receita!$S$2:$S$1099,"44378A4AzulNão se aplicaNão se aplicaAPENão se aplicaIntermediário",Mercado_Receita!$L$2:$L$1099)+SUMIF(Mercado_Receita!$S$2:$S$1099,"44378A4AzulNão se aplicaNão se aplicaAPENão se aplicaNão se aplica",Mercado_Receita!$L$2:$L$1099)</f>
        <v>0</v>
      </c>
      <c r="J9" s="13">
        <f>SUMIF(Mercado_Receita!$S$2:$S$1099,"44409A4AzulNão se aplicaNão se aplicaAPENão se aplicaPonta",Mercado_Receita!$L$2:$L$1099)+SUMIF(Mercado_Receita!$S$2:$S$1099,"44409A4AzulNão se aplicaNão se aplicaAPENão se aplicaFora ponta",Mercado_Receita!$L$2:$L$1099)+SUMIF(Mercado_Receita!$S$2:$S$1099,"44409A4AzulNão se aplicaNão se aplicaAPENão se aplicaIntermediário",Mercado_Receita!$L$2:$L$1099)+SUMIF(Mercado_Receita!$S$2:$S$1099,"44409A4AzulNão se aplicaNão se aplicaAPENão se aplicaNão se aplica",Mercado_Receita!$L$2:$L$1099)</f>
        <v>0</v>
      </c>
      <c r="K9" s="13">
        <f>SUMIF(Mercado_Receita!$S$2:$S$1099,"44440A4AzulNão se aplicaNão se aplicaAPENão se aplicaPonta",Mercado_Receita!$L$2:$L$1099)+SUMIF(Mercado_Receita!$S$2:$S$1099,"44440A4AzulNão se aplicaNão se aplicaAPENão se aplicaFora ponta",Mercado_Receita!$L$2:$L$1099)+SUMIF(Mercado_Receita!$S$2:$S$1099,"44440A4AzulNão se aplicaNão se aplicaAPENão se aplicaIntermediário",Mercado_Receita!$L$2:$L$1099)+SUMIF(Mercado_Receita!$S$2:$S$1099,"44440A4AzulNão se aplicaNão se aplicaAPENão se aplicaNão se aplica",Mercado_Receita!$L$2:$L$1099)</f>
        <v>0</v>
      </c>
      <c r="L9" s="13">
        <f>SUMIF(Mercado_Receita!$S$2:$S$1099,"44470A4AzulNão se aplicaNão se aplicaAPENão se aplicaPonta",Mercado_Receita!$L$2:$L$1099)+SUMIF(Mercado_Receita!$S$2:$S$1099,"44470A4AzulNão se aplicaNão se aplicaAPENão se aplicaFora ponta",Mercado_Receita!$L$2:$L$1099)+SUMIF(Mercado_Receita!$S$2:$S$1099,"44470A4AzulNão se aplicaNão se aplicaAPENão se aplicaIntermediário",Mercado_Receita!$L$2:$L$1099)+SUMIF(Mercado_Receita!$S$2:$S$1099,"44470A4AzulNão se aplicaNão se aplicaAPENão se aplicaNão se aplica",Mercado_Receita!$L$2:$L$1099)</f>
        <v>0</v>
      </c>
      <c r="M9" s="13">
        <f>SUMIF(Mercado_Receita!$S$2:$S$1099,"44501A4AzulNão se aplicaNão se aplicaAPENão se aplicaPonta",Mercado_Receita!$L$2:$L$1099)+SUMIF(Mercado_Receita!$S$2:$S$1099,"44501A4AzulNão se aplicaNão se aplicaAPENão se aplicaFora ponta",Mercado_Receita!$L$2:$L$1099)+SUMIF(Mercado_Receita!$S$2:$S$1099,"44501A4AzulNão se aplicaNão se aplicaAPENão se aplicaIntermediário",Mercado_Receita!$L$2:$L$1099)+SUMIF(Mercado_Receita!$S$2:$S$1099,"44501A4AzulNão se aplicaNão se aplicaAPENão se aplicaNão se aplica",Mercado_Receita!$L$2:$L$1099)</f>
        <v>0</v>
      </c>
      <c r="N9" s="13">
        <f>SUMIF(Mercado_Receita!$S$2:$S$1099,"44531A4AzulNão se aplicaNão se aplicaAPENão se aplicaPonta",Mercado_Receita!$L$2:$L$1099)+SUMIF(Mercado_Receita!$S$2:$S$1099,"44531A4AzulNão se aplicaNão se aplicaAPENão se aplicaFora ponta",Mercado_Receita!$L$2:$L$1099)+SUMIF(Mercado_Receita!$S$2:$S$1099,"44531A4AzulNão se aplicaNão se aplicaAPENão se aplicaIntermediário",Mercado_Receita!$L$2:$L$1099)+SUMIF(Mercado_Receita!$S$2:$S$1099,"44531A4AzulNão se aplicaNão se aplicaAPENão se aplicaNão se aplica",Mercado_Receita!$L$2:$L$1099)</f>
        <v>0</v>
      </c>
      <c r="O9" s="13">
        <f>SUMIF(Mercado_Receita!$S$2:$S$1099,"44562A4AzulNão se aplicaNão se aplicaAPENão se aplicaPonta",Mercado_Receita!$L$2:$L$1099)+SUMIF(Mercado_Receita!$S$2:$S$1099,"44562A4AzulNão se aplicaNão se aplicaAPENão se aplicaFora ponta",Mercado_Receita!$L$2:$L$1099)+SUMIF(Mercado_Receita!$S$2:$S$1099,"44562A4AzulNão se aplicaNão se aplicaAPENão se aplicaIntermediário",Mercado_Receita!$L$2:$L$1099)+SUMIF(Mercado_Receita!$S$2:$S$1099,"44562A4AzulNão se aplicaNão se aplicaAPENão se aplicaNão se aplica",Mercado_Receita!$L$2:$L$1099)</f>
        <v>0</v>
      </c>
      <c r="P9" s="13">
        <f>SUMIF(Mercado_Receita!$S$2:$S$1099,"44593A4AzulNão se aplicaNão se aplicaAPENão se aplicaPonta",Mercado_Receita!$L$2:$L$1099)+SUMIF(Mercado_Receita!$S$2:$S$1099,"44593A4AzulNão se aplicaNão se aplicaAPENão se aplicaFora ponta",Mercado_Receita!$L$2:$L$1099)+SUMIF(Mercado_Receita!$S$2:$S$1099,"44593A4AzulNão se aplicaNão se aplicaAPENão se aplicaIntermediário",Mercado_Receita!$L$2:$L$1099)+SUMIF(Mercado_Receita!$S$2:$S$1099,"44593A4AzulNão se aplicaNão se aplicaAPENão se aplicaNão se aplica",Mercado_Receita!$L$2:$L$1099)</f>
        <v>0</v>
      </c>
      <c r="Q9" s="13">
        <f>SUMIF(Mercado_Receita!$S$2:$S$1099,"44621A4AzulNão se aplicaNão se aplicaAPENão se aplicaPonta",Mercado_Receita!$L$2:$L$1099)+SUMIF(Mercado_Receita!$S$2:$S$1099,"44621A4AzulNão se aplicaNão se aplicaAPENão se aplicaFora ponta",Mercado_Receita!$L$2:$L$1099)+SUMIF(Mercado_Receita!$S$2:$S$1099,"44621A4AzulNão se aplicaNão se aplicaAPENão se aplicaIntermediário",Mercado_Receita!$L$2:$L$1099)+SUMIF(Mercado_Receita!$S$2:$S$1099,"44621A4AzulNão se aplicaNão se aplicaAPENão se aplicaNão se aplica",Mercado_Receita!$L$2:$L$1099)</f>
        <v>0</v>
      </c>
      <c r="R9" s="13">
        <f>SUMIF(Mercado_Receita!$S$2:$S$1099,"44652A4AzulNão se aplicaNão se aplicaAPENão se aplicaPonta",Mercado_Receita!$L$2:$L$1099)+SUMIF(Mercado_Receita!$S$2:$S$1099,"44652A4AzulNão se aplicaNão se aplicaAPENão se aplicaFora ponta",Mercado_Receita!$L$2:$L$1099)+SUMIF(Mercado_Receita!$S$2:$S$1099,"44652A4AzulNão se aplicaNão se aplicaAPENão se aplicaIntermediário",Mercado_Receita!$L$2:$L$1099)+SUMIF(Mercado_Receita!$S$2:$S$1099,"44652A4AzulNão se aplicaNão se aplicaAPENão se aplicaNão se aplica",Mercado_Receita!$L$2:$L$1099)</f>
        <v>0</v>
      </c>
      <c r="S9" s="13">
        <f>SUMIF(Mercado_Receita!$S$2:$S$1099,"44682A4AzulNão se aplicaNão se aplicaAPENão se aplicaPonta",Mercado_Receita!$L$2:$L$1099)+SUMIF(Mercado_Receita!$S$2:$S$1099,"44682A4AzulNão se aplicaNão se aplicaAPENão se aplicaFora ponta",Mercado_Receita!$L$2:$L$1099)+SUMIF(Mercado_Receita!$S$2:$S$1099,"44682A4AzulNão se aplicaNão se aplicaAPENão se aplicaIntermediário",Mercado_Receita!$L$2:$L$1099)+SUMIF(Mercado_Receita!$S$2:$S$1099,"44682A4AzulNão se aplicaNão se aplicaAPENão se aplicaNão se aplica",Mercado_Receita!$L$2:$L$1099)</f>
        <v>0</v>
      </c>
      <c r="T9" s="13">
        <f>SUMIF(Mercado_Receita!$S$2:$S$1099,"44713A4AzulNão se aplicaNão se aplicaAPENão se aplicaPonta",Mercado_Receita!$L$2:$L$1099)+SUMIF(Mercado_Receita!$S$2:$S$1099,"44713A4AzulNão se aplicaNão se aplicaAPENão se aplicaFora ponta",Mercado_Receita!$L$2:$L$1099)+SUMIF(Mercado_Receita!$S$2:$S$1099,"44713A4AzulNão se aplicaNão se aplicaAPENão se aplicaIntermediário",Mercado_Receita!$L$2:$L$1099)+SUMIF(Mercado_Receita!$S$2:$S$1099,"44713A4AzulNão se aplicaNão se aplicaAPENão se aplicaNão se aplica",Mercado_Receita!$L$2:$L$1099)</f>
        <v>0</v>
      </c>
      <c r="U9" s="13">
        <f t="shared" si="0"/>
        <v>0</v>
      </c>
      <c r="V9" s="13"/>
      <c r="W9" s="13"/>
    </row>
    <row r="10" spans="1:30" ht="11.25" customHeight="1" x14ac:dyDescent="0.25">
      <c r="A10" s="95"/>
      <c r="B10" s="12" t="s">
        <v>56</v>
      </c>
      <c r="C10" s="12" t="s">
        <v>25</v>
      </c>
      <c r="D10" s="12" t="s">
        <v>25</v>
      </c>
      <c r="E10" s="12" t="s">
        <v>25</v>
      </c>
      <c r="F10" s="12" t="s">
        <v>25</v>
      </c>
      <c r="G10" s="13" t="s">
        <v>9</v>
      </c>
      <c r="H10" s="13" t="s">
        <v>85</v>
      </c>
      <c r="I10" s="13">
        <f>SUMIF(Mercado_Receita!$S$2:$S$1099,"44378A4GeraçãoNão se aplicaNão se aplicaNão se aplicaNão se aplicaNão se aplica",Mercado_Receita!$J$2:$J$1099)+SUMIF(Mercado_Receita!$S$2:$S$1099,"44378A4GeraçãoNão se aplicaNão se aplicaAPENão se aplicaNão se aplica",Mercado_Receita!$J$2:$J$1099)</f>
        <v>10870</v>
      </c>
      <c r="J10" s="13">
        <f>SUMIF(Mercado_Receita!$S$2:$S$1099,"44409A4GeraçãoNão se aplicaNão se aplicaNão se aplicaNão se aplicaNão se aplica",Mercado_Receita!$J$2:$J$1099)+SUMIF(Mercado_Receita!$S$2:$S$1099,"44409A4GeraçãoNão se aplicaNão se aplicaAPENão se aplicaNão se aplica",Mercado_Receita!$J$2:$J$1099)</f>
        <v>10870</v>
      </c>
      <c r="K10" s="13">
        <f>SUMIF(Mercado_Receita!$S$2:$S$1099,"44440A4GeraçãoNão se aplicaNão se aplicaNão se aplicaNão se aplicaNão se aplica",Mercado_Receita!$J$2:$J$1099)+SUMIF(Mercado_Receita!$S$2:$S$1099,"44440A4GeraçãoNão se aplicaNão se aplicaAPENão se aplicaNão se aplica",Mercado_Receita!$J$2:$J$1099)</f>
        <v>10870</v>
      </c>
      <c r="L10" s="13">
        <f>SUMIF(Mercado_Receita!$S$2:$S$1099,"44470A4GeraçãoNão se aplicaNão se aplicaNão se aplicaNão se aplicaNão se aplica",Mercado_Receita!$J$2:$J$1099)+SUMIF(Mercado_Receita!$S$2:$S$1099,"44470A4GeraçãoNão se aplicaNão se aplicaAPENão se aplicaNão se aplica",Mercado_Receita!$J$2:$J$1099)</f>
        <v>10870</v>
      </c>
      <c r="M10" s="13">
        <f>SUMIF(Mercado_Receita!$S$2:$S$1099,"44501A4GeraçãoNão se aplicaNão se aplicaNão se aplicaNão se aplicaNão se aplica",Mercado_Receita!$J$2:$J$1099)+SUMIF(Mercado_Receita!$S$2:$S$1099,"44501A4GeraçãoNão se aplicaNão se aplicaAPENão se aplicaNão se aplica",Mercado_Receita!$J$2:$J$1099)</f>
        <v>10870</v>
      </c>
      <c r="N10" s="13">
        <f>SUMIF(Mercado_Receita!$S$2:$S$1099,"44531A4GeraçãoNão se aplicaNão se aplicaNão se aplicaNão se aplicaNão se aplica",Mercado_Receita!$J$2:$J$1099)+SUMIF(Mercado_Receita!$S$2:$S$1099,"44531A4GeraçãoNão se aplicaNão se aplicaAPENão se aplicaNão se aplica",Mercado_Receita!$J$2:$J$1099)</f>
        <v>10870</v>
      </c>
      <c r="O10" s="13">
        <f>SUMIF(Mercado_Receita!$S$2:$S$1099,"44562A4GeraçãoNão se aplicaNão se aplicaNão se aplicaNão se aplicaNão se aplica",Mercado_Receita!$J$2:$J$1099)+SUMIF(Mercado_Receita!$S$2:$S$1099,"44562A4GeraçãoNão se aplicaNão se aplicaAPENão se aplicaNão se aplica",Mercado_Receita!$J$2:$J$1099)</f>
        <v>10870</v>
      </c>
      <c r="P10" s="13">
        <f>SUMIF(Mercado_Receita!$S$2:$S$1099,"44593A4GeraçãoNão se aplicaNão se aplicaNão se aplicaNão se aplicaNão se aplica",Mercado_Receita!$J$2:$J$1099)+SUMIF(Mercado_Receita!$S$2:$S$1099,"44593A4GeraçãoNão se aplicaNão se aplicaAPENão se aplicaNão se aplica",Mercado_Receita!$J$2:$J$1099)</f>
        <v>10870</v>
      </c>
      <c r="Q10" s="13">
        <f>SUMIF(Mercado_Receita!$S$2:$S$1099,"44621A4GeraçãoNão se aplicaNão se aplicaNão se aplicaNão se aplicaNão se aplica",Mercado_Receita!$J$2:$J$1099)+SUMIF(Mercado_Receita!$S$2:$S$1099,"44621A4GeraçãoNão se aplicaNão se aplicaAPENão se aplicaNão se aplica",Mercado_Receita!$J$2:$J$1099)</f>
        <v>10870</v>
      </c>
      <c r="R10" s="13">
        <f>SUMIF(Mercado_Receita!$S$2:$S$1099,"44652A4GeraçãoNão se aplicaNão se aplicaNão se aplicaNão se aplicaNão se aplica",Mercado_Receita!$J$2:$J$1099)+SUMIF(Mercado_Receita!$S$2:$S$1099,"44652A4GeraçãoNão se aplicaNão se aplicaAPENão se aplicaNão se aplica",Mercado_Receita!$J$2:$J$1099)</f>
        <v>10870</v>
      </c>
      <c r="S10" s="13">
        <f>SUMIF(Mercado_Receita!$S$2:$S$1099,"44682A4GeraçãoNão se aplicaNão se aplicaNão se aplicaNão se aplicaNão se aplica",Mercado_Receita!$J$2:$J$1099)+SUMIF(Mercado_Receita!$S$2:$S$1099,"44682A4GeraçãoNão se aplicaNão se aplicaAPENão se aplicaNão se aplica",Mercado_Receita!$J$2:$J$1099)</f>
        <v>10870</v>
      </c>
      <c r="T10" s="13">
        <f>SUMIF(Mercado_Receita!$S$2:$S$1099,"44713A4GeraçãoNão se aplicaNão se aplicaNão se aplicaNão se aplicaNão se aplica",Mercado_Receita!$J$2:$J$1099)+SUMIF(Mercado_Receita!$S$2:$S$1099,"44713A4GeraçãoNão se aplicaNão se aplicaAPENão se aplicaNão se aplica",Mercado_Receita!$J$2:$J$1099)</f>
        <v>11045</v>
      </c>
      <c r="U10" s="13">
        <f t="shared" si="0"/>
        <v>130615</v>
      </c>
      <c r="V10" s="13"/>
      <c r="W10" s="13"/>
    </row>
    <row r="11" spans="1:30" ht="11.25" customHeight="1" x14ac:dyDescent="0.25">
      <c r="A11" s="95"/>
      <c r="B11" s="94" t="s">
        <v>39</v>
      </c>
      <c r="C11" s="94" t="s">
        <v>25</v>
      </c>
      <c r="D11" s="94" t="s">
        <v>25</v>
      </c>
      <c r="E11" s="94" t="s">
        <v>25</v>
      </c>
      <c r="F11" s="94" t="s">
        <v>25</v>
      </c>
      <c r="G11" s="13" t="s">
        <v>9</v>
      </c>
      <c r="H11" s="13" t="s">
        <v>85</v>
      </c>
      <c r="I11" s="13">
        <f>SUMIF(Mercado_Receita!$S$2:$S$1099,"44378A4VerdeNão se aplicaNão se aplicaNão se aplicaNão se aplicaNão se aplica",Mercado_Receita!$J$2:$J$1099)+SUMIF(Mercado_Receita!$S$2:$S$1099,"44378A4VerdeNão se aplicaNão se aplicaAPENão se aplicaNão se aplica",Mercado_Receita!$J$2:$J$1099)</f>
        <v>63265</v>
      </c>
      <c r="J11" s="13">
        <f>SUMIF(Mercado_Receita!$S$2:$S$1099,"44409A4VerdeNão se aplicaNão se aplicaNão se aplicaNão se aplicaNão se aplica",Mercado_Receita!$J$2:$J$1099)+SUMIF(Mercado_Receita!$S$2:$S$1099,"44409A4VerdeNão se aplicaNão se aplicaAPENão se aplicaNão se aplica",Mercado_Receita!$J$2:$J$1099)</f>
        <v>64228</v>
      </c>
      <c r="K11" s="13">
        <f>SUMIF(Mercado_Receita!$S$2:$S$1099,"44440A4VerdeNão se aplicaNão se aplicaNão se aplicaNão se aplicaNão se aplica",Mercado_Receita!$J$2:$J$1099)+SUMIF(Mercado_Receita!$S$2:$S$1099,"44440A4VerdeNão se aplicaNão se aplicaAPENão se aplicaNão se aplica",Mercado_Receita!$J$2:$J$1099)</f>
        <v>71453</v>
      </c>
      <c r="L11" s="13">
        <f>SUMIF(Mercado_Receita!$S$2:$S$1099,"44470A4VerdeNão se aplicaNão se aplicaNão se aplicaNão se aplicaNão se aplica",Mercado_Receita!$J$2:$J$1099)+SUMIF(Mercado_Receita!$S$2:$S$1099,"44470A4VerdeNão se aplicaNão se aplicaAPENão se aplicaNão se aplica",Mercado_Receita!$J$2:$J$1099)</f>
        <v>70919</v>
      </c>
      <c r="M11" s="13">
        <f>SUMIF(Mercado_Receita!$S$2:$S$1099,"44501A4VerdeNão se aplicaNão se aplicaNão se aplicaNão se aplicaNão se aplica",Mercado_Receita!$J$2:$J$1099)+SUMIF(Mercado_Receita!$S$2:$S$1099,"44501A4VerdeNão se aplicaNão se aplicaAPENão se aplicaNão se aplica",Mercado_Receita!$J$2:$J$1099)</f>
        <v>76578</v>
      </c>
      <c r="N11" s="13">
        <f>SUMIF(Mercado_Receita!$S$2:$S$1099,"44531A4VerdeNão se aplicaNão se aplicaNão se aplicaNão se aplicaNão se aplica",Mercado_Receita!$J$2:$J$1099)+SUMIF(Mercado_Receita!$S$2:$S$1099,"44531A4VerdeNão se aplicaNão se aplicaAPENão se aplicaNão se aplica",Mercado_Receita!$J$2:$J$1099)</f>
        <v>95181</v>
      </c>
      <c r="O11" s="13">
        <f>SUMIF(Mercado_Receita!$S$2:$S$1099,"44562A4VerdeNão se aplicaNão se aplicaNão se aplicaNão se aplicaNão se aplica",Mercado_Receita!$J$2:$J$1099)+SUMIF(Mercado_Receita!$S$2:$S$1099,"44562A4VerdeNão se aplicaNão se aplicaAPENão se aplicaNão se aplica",Mercado_Receita!$J$2:$J$1099)</f>
        <v>101034</v>
      </c>
      <c r="P11" s="13">
        <f>SUMIF(Mercado_Receita!$S$2:$S$1099,"44593A4VerdeNão se aplicaNão se aplicaNão se aplicaNão se aplicaNão se aplica",Mercado_Receita!$J$2:$J$1099)+SUMIF(Mercado_Receita!$S$2:$S$1099,"44593A4VerdeNão se aplicaNão se aplicaAPENão se aplicaNão se aplica",Mercado_Receita!$J$2:$J$1099)</f>
        <v>104291</v>
      </c>
      <c r="Q11" s="13">
        <f>SUMIF(Mercado_Receita!$S$2:$S$1099,"44621A4VerdeNão se aplicaNão se aplicaNão se aplicaNão se aplicaNão se aplica",Mercado_Receita!$J$2:$J$1099)+SUMIF(Mercado_Receita!$S$2:$S$1099,"44621A4VerdeNão se aplicaNão se aplicaAPENão se aplicaNão se aplica",Mercado_Receita!$J$2:$J$1099)</f>
        <v>102795</v>
      </c>
      <c r="R11" s="13">
        <f>SUMIF(Mercado_Receita!$S$2:$S$1099,"44652A4VerdeNão se aplicaNão se aplicaNão se aplicaNão se aplicaNão se aplica",Mercado_Receita!$J$2:$J$1099)+SUMIF(Mercado_Receita!$S$2:$S$1099,"44652A4VerdeNão se aplicaNão se aplicaAPENão se aplicaNão se aplica",Mercado_Receita!$J$2:$J$1099)</f>
        <v>89475</v>
      </c>
      <c r="S11" s="13">
        <f>SUMIF(Mercado_Receita!$S$2:$S$1099,"44682A4VerdeNão se aplicaNão se aplicaNão se aplicaNão se aplicaNão se aplica",Mercado_Receita!$J$2:$J$1099)+SUMIF(Mercado_Receita!$S$2:$S$1099,"44682A4VerdeNão se aplicaNão se aplicaAPENão se aplicaNão se aplica",Mercado_Receita!$J$2:$J$1099)</f>
        <v>74441</v>
      </c>
      <c r="T11" s="13">
        <f>SUMIF(Mercado_Receita!$S$2:$S$1099,"44713A4VerdeNão se aplicaNão se aplicaNão se aplicaNão se aplicaNão se aplica",Mercado_Receita!$J$2:$J$1099)+SUMIF(Mercado_Receita!$S$2:$S$1099,"44713A4VerdeNão se aplicaNão se aplicaAPENão se aplicaNão se aplica",Mercado_Receita!$J$2:$J$1099)</f>
        <v>73223</v>
      </c>
      <c r="U11" s="13">
        <f t="shared" si="0"/>
        <v>986883</v>
      </c>
      <c r="V11" s="13"/>
      <c r="W11" s="13"/>
    </row>
    <row r="12" spans="1:30" ht="11.25" customHeight="1" x14ac:dyDescent="0.25">
      <c r="A12" s="95"/>
      <c r="B12" s="95"/>
      <c r="C12" s="95"/>
      <c r="D12" s="95"/>
      <c r="E12" s="95"/>
      <c r="F12" s="95"/>
      <c r="G12" s="13" t="s">
        <v>83</v>
      </c>
      <c r="H12" s="13" t="s">
        <v>82</v>
      </c>
      <c r="I12" s="13">
        <f>SUMIF(Mercado_Receita!$S$2:$S$1099,"44378A4VerdeNão se aplicaNão se aplicaNão se aplicaNão se aplicaPonta",Mercado_Receita!$L$2:$L$1099)</f>
        <v>750.40700000000015</v>
      </c>
      <c r="J12" s="13">
        <f>SUMIF(Mercado_Receita!$S$2:$S$1099,"44409A4VerdeNão se aplicaNão se aplicaNão se aplicaNão se aplicaPonta",Mercado_Receita!$L$2:$L$1099)</f>
        <v>744.26</v>
      </c>
      <c r="K12" s="13">
        <f>SUMIF(Mercado_Receita!$S$2:$S$1099,"44440A4VerdeNão se aplicaNão se aplicaNão se aplicaNão se aplicaPonta",Mercado_Receita!$L$2:$L$1099)</f>
        <v>697.81099999999992</v>
      </c>
      <c r="L12" s="13">
        <f>SUMIF(Mercado_Receita!$S$2:$S$1099,"44470A4VerdeNão se aplicaNão se aplicaNão se aplicaNão se aplicaPonta",Mercado_Receita!$L$2:$L$1099)</f>
        <v>644.154</v>
      </c>
      <c r="M12" s="13">
        <f>SUMIF(Mercado_Receita!$S$2:$S$1099,"44501A4VerdeNão se aplicaNão se aplicaNão se aplicaNão se aplicaPonta",Mercado_Receita!$L$2:$L$1099)</f>
        <v>501.77600000000007</v>
      </c>
      <c r="N12" s="13">
        <f>SUMIF(Mercado_Receita!$S$2:$S$1099,"44531A4VerdeNão se aplicaNão se aplicaNão se aplicaNão se aplicaPonta",Mercado_Receita!$L$2:$L$1099)</f>
        <v>640.1579999999999</v>
      </c>
      <c r="O12" s="13">
        <f>SUMIF(Mercado_Receita!$S$2:$S$1099,"44562A4VerdeNão se aplicaNão se aplicaNão se aplicaNão se aplicaPonta",Mercado_Receita!$L$2:$L$1099)</f>
        <v>603.08499999999992</v>
      </c>
      <c r="P12" s="13">
        <f>SUMIF(Mercado_Receita!$S$2:$S$1099,"44593A4VerdeNão se aplicaNão se aplicaNão se aplicaNão se aplicaPonta",Mercado_Receita!$L$2:$L$1099)</f>
        <v>663.51699999999994</v>
      </c>
      <c r="Q12" s="13">
        <f>SUMIF(Mercado_Receita!$S$2:$S$1099,"44621A4VerdeNão se aplicaNão se aplicaNão se aplicaNão se aplicaPonta",Mercado_Receita!$L$2:$L$1099)</f>
        <v>662.62999999999988</v>
      </c>
      <c r="R12" s="13">
        <f>SUMIF(Mercado_Receita!$S$2:$S$1099,"44652A4VerdeNão se aplicaNão se aplicaNão se aplicaNão se aplicaPonta",Mercado_Receita!$L$2:$L$1099)</f>
        <v>756.2639999999999</v>
      </c>
      <c r="S12" s="13">
        <f>SUMIF(Mercado_Receita!$S$2:$S$1099,"44682A4VerdeNão se aplicaNão se aplicaNão se aplicaNão se aplicaPonta",Mercado_Receita!$L$2:$L$1099)</f>
        <v>833.62899999999991</v>
      </c>
      <c r="T12" s="13">
        <f>SUMIF(Mercado_Receita!$S$2:$S$1099,"44713A4VerdeNão se aplicaNão se aplicaNão se aplicaNão se aplicaPonta",Mercado_Receita!$L$2:$L$1099)</f>
        <v>918.84</v>
      </c>
      <c r="U12" s="13">
        <f t="shared" si="0"/>
        <v>8416.530999999999</v>
      </c>
      <c r="V12" s="13"/>
      <c r="W12" s="13"/>
    </row>
    <row r="13" spans="1:30" ht="11.25" customHeight="1" x14ac:dyDescent="0.25">
      <c r="A13" s="95"/>
      <c r="B13" s="95"/>
      <c r="C13" s="95"/>
      <c r="D13" s="95"/>
      <c r="E13" s="95"/>
      <c r="F13" s="95"/>
      <c r="G13" s="13" t="s">
        <v>84</v>
      </c>
      <c r="H13" s="13" t="s">
        <v>82</v>
      </c>
      <c r="I13" s="13">
        <f>SUMIF(Mercado_Receita!$S$2:$S$1099,"44378A4VerdeNão se aplicaNão se aplicaNão se aplicaNão se aplicaFora ponta",Mercado_Receita!$L$2:$L$1099)</f>
        <v>10110.734</v>
      </c>
      <c r="J13" s="13">
        <f>SUMIF(Mercado_Receita!$S$2:$S$1099,"44409A4VerdeNão se aplicaNão se aplicaNão se aplicaNão se aplicaFora ponta",Mercado_Receita!$L$2:$L$1099)</f>
        <v>10526.249999999998</v>
      </c>
      <c r="K13" s="13">
        <f>SUMIF(Mercado_Receita!$S$2:$S$1099,"44440A4VerdeNão se aplicaNão se aplicaNão se aplicaNão se aplicaFora ponta",Mercado_Receita!$L$2:$L$1099)</f>
        <v>11234.690999999999</v>
      </c>
      <c r="L13" s="13">
        <f>SUMIF(Mercado_Receita!$S$2:$S$1099,"44470A4VerdeNão se aplicaNão se aplicaNão se aplicaNão se aplicaFora ponta",Mercado_Receita!$L$2:$L$1099)</f>
        <v>10231.885000000002</v>
      </c>
      <c r="M13" s="13">
        <f>SUMIF(Mercado_Receita!$S$2:$S$1099,"44501A4VerdeNão se aplicaNão se aplicaNão se aplicaNão se aplicaFora ponta",Mercado_Receita!$L$2:$L$1099)</f>
        <v>9684.5519999999979</v>
      </c>
      <c r="N13" s="13">
        <f>SUMIF(Mercado_Receita!$S$2:$S$1099,"44531A4VerdeNão se aplicaNão se aplicaNão se aplicaNão se aplicaFora ponta",Mercado_Receita!$L$2:$L$1099)</f>
        <v>19010.168000000001</v>
      </c>
      <c r="O13" s="13">
        <f>SUMIF(Mercado_Receita!$S$2:$S$1099,"44562A4VerdeNão se aplicaNão se aplicaNão se aplicaNão se aplicaFora ponta",Mercado_Receita!$L$2:$L$1099)</f>
        <v>21042.243000000002</v>
      </c>
      <c r="P13" s="13">
        <f>SUMIF(Mercado_Receita!$S$2:$S$1099,"44593A4VerdeNão se aplicaNão se aplicaNão se aplicaNão se aplicaFora ponta",Mercado_Receita!$L$2:$L$1099)</f>
        <v>19065.245999999999</v>
      </c>
      <c r="Q13" s="13">
        <f>SUMIF(Mercado_Receita!$S$2:$S$1099,"44621A4VerdeNão se aplicaNão se aplicaNão se aplicaNão se aplicaFora ponta",Mercado_Receita!$L$2:$L$1099)</f>
        <v>15849.115999999998</v>
      </c>
      <c r="R13" s="13">
        <f>SUMIF(Mercado_Receita!$S$2:$S$1099,"44652A4VerdeNão se aplicaNão se aplicaNão se aplicaNão se aplicaFora ponta",Mercado_Receita!$L$2:$L$1099)</f>
        <v>11022.041999999999</v>
      </c>
      <c r="S13" s="13">
        <f>SUMIF(Mercado_Receita!$S$2:$S$1099,"44682A4VerdeNão se aplicaNão se aplicaNão se aplicaNão se aplicaFora ponta",Mercado_Receita!$L$2:$L$1099)</f>
        <v>11153.948999999997</v>
      </c>
      <c r="T13" s="13">
        <f>SUMIF(Mercado_Receita!$S$2:$S$1099,"44713A4VerdeNão se aplicaNão se aplicaNão se aplicaNão se aplicaFora ponta",Mercado_Receita!$L$2:$L$1099)</f>
        <v>11521.792000000003</v>
      </c>
      <c r="U13" s="13">
        <f t="shared" si="0"/>
        <v>160452.66800000001</v>
      </c>
      <c r="V13" s="13"/>
      <c r="W13" s="13"/>
    </row>
    <row r="14" spans="1:30" ht="11.25" customHeight="1" x14ac:dyDescent="0.25">
      <c r="A14" s="95"/>
      <c r="B14" s="95"/>
      <c r="C14" s="95"/>
      <c r="D14" s="95"/>
      <c r="E14" s="94" t="s">
        <v>89</v>
      </c>
      <c r="F14" s="94" t="s">
        <v>25</v>
      </c>
      <c r="G14" s="13" t="s">
        <v>83</v>
      </c>
      <c r="H14" s="13" t="s">
        <v>82</v>
      </c>
      <c r="I14" s="13">
        <f>SUMIF(Mercado_Receita!$S$2:$S$1099,"44378A4VerdeNão se aplicaNão se aplicaAPENão se aplicaPonta",Mercado_Receita!$L$2:$L$1099)</f>
        <v>0</v>
      </c>
      <c r="J14" s="13">
        <f>SUMIF(Mercado_Receita!$S$2:$S$1099,"44409A4VerdeNão se aplicaNão se aplicaAPENão se aplicaPonta",Mercado_Receita!$L$2:$L$1099)</f>
        <v>0</v>
      </c>
      <c r="K14" s="13">
        <f>SUMIF(Mercado_Receita!$S$2:$S$1099,"44440A4VerdeNão se aplicaNão se aplicaAPENão se aplicaPonta",Mercado_Receita!$L$2:$L$1099)</f>
        <v>0</v>
      </c>
      <c r="L14" s="13">
        <f>SUMIF(Mercado_Receita!$S$2:$S$1099,"44470A4VerdeNão se aplicaNão se aplicaAPENão se aplicaPonta",Mercado_Receita!$L$2:$L$1099)</f>
        <v>0</v>
      </c>
      <c r="M14" s="13">
        <f>SUMIF(Mercado_Receita!$S$2:$S$1099,"44501A4VerdeNão se aplicaNão se aplicaAPENão se aplicaPonta",Mercado_Receita!$L$2:$L$1099)</f>
        <v>0</v>
      </c>
      <c r="N14" s="13">
        <f>SUMIF(Mercado_Receita!$S$2:$S$1099,"44531A4VerdeNão se aplicaNão se aplicaAPENão se aplicaPonta",Mercado_Receita!$L$2:$L$1099)</f>
        <v>0</v>
      </c>
      <c r="O14" s="13">
        <f>SUMIF(Mercado_Receita!$S$2:$S$1099,"44562A4VerdeNão se aplicaNão se aplicaAPENão se aplicaPonta",Mercado_Receita!$L$2:$L$1099)</f>
        <v>0</v>
      </c>
      <c r="P14" s="13">
        <f>SUMIF(Mercado_Receita!$S$2:$S$1099,"44593A4VerdeNão se aplicaNão se aplicaAPENão se aplicaPonta",Mercado_Receita!$L$2:$L$1099)</f>
        <v>0</v>
      </c>
      <c r="Q14" s="13">
        <f>SUMIF(Mercado_Receita!$S$2:$S$1099,"44621A4VerdeNão se aplicaNão se aplicaAPENão se aplicaPonta",Mercado_Receita!$L$2:$L$1099)</f>
        <v>0</v>
      </c>
      <c r="R14" s="13">
        <f>SUMIF(Mercado_Receita!$S$2:$S$1099,"44652A4VerdeNão se aplicaNão se aplicaAPENão se aplicaPonta",Mercado_Receita!$L$2:$L$1099)</f>
        <v>0</v>
      </c>
      <c r="S14" s="13">
        <f>SUMIF(Mercado_Receita!$S$2:$S$1099,"44682A4VerdeNão se aplicaNão se aplicaAPENão se aplicaPonta",Mercado_Receita!$L$2:$L$1099)</f>
        <v>0</v>
      </c>
      <c r="T14" s="13">
        <f>SUMIF(Mercado_Receita!$S$2:$S$1099,"44713A4VerdeNão se aplicaNão se aplicaAPENão se aplicaPonta",Mercado_Receita!$L$2:$L$1099)</f>
        <v>0</v>
      </c>
      <c r="U14" s="13">
        <f t="shared" si="0"/>
        <v>0</v>
      </c>
      <c r="V14" s="13"/>
      <c r="W14" s="13"/>
    </row>
    <row r="15" spans="1:30" ht="11.25" customHeight="1" x14ac:dyDescent="0.25">
      <c r="A15" s="95"/>
      <c r="B15" s="95"/>
      <c r="C15" s="95"/>
      <c r="D15" s="95"/>
      <c r="E15" s="95"/>
      <c r="F15" s="95"/>
      <c r="G15" s="13" t="s">
        <v>84</v>
      </c>
      <c r="H15" s="13" t="s">
        <v>82</v>
      </c>
      <c r="I15" s="13">
        <f>SUMIF(Mercado_Receita!$S$2:$S$1099,"44378A4VerdeNão se aplicaNão se aplicaAPENão se aplicaFora ponta",Mercado_Receita!$L$2:$L$1099)</f>
        <v>0</v>
      </c>
      <c r="J15" s="13">
        <f>SUMIF(Mercado_Receita!$S$2:$S$1099,"44409A4VerdeNão se aplicaNão se aplicaAPENão se aplicaFora ponta",Mercado_Receita!$L$2:$L$1099)</f>
        <v>0</v>
      </c>
      <c r="K15" s="13">
        <f>SUMIF(Mercado_Receita!$S$2:$S$1099,"44440A4VerdeNão se aplicaNão se aplicaAPENão se aplicaFora ponta",Mercado_Receita!$L$2:$L$1099)</f>
        <v>0</v>
      </c>
      <c r="L15" s="13">
        <f>SUMIF(Mercado_Receita!$S$2:$S$1099,"44470A4VerdeNão se aplicaNão se aplicaAPENão se aplicaFora ponta",Mercado_Receita!$L$2:$L$1099)</f>
        <v>0</v>
      </c>
      <c r="M15" s="13">
        <f>SUMIF(Mercado_Receita!$S$2:$S$1099,"44501A4VerdeNão se aplicaNão se aplicaAPENão se aplicaFora ponta",Mercado_Receita!$L$2:$L$1099)</f>
        <v>0</v>
      </c>
      <c r="N15" s="13">
        <f>SUMIF(Mercado_Receita!$S$2:$S$1099,"44531A4VerdeNão se aplicaNão se aplicaAPENão se aplicaFora ponta",Mercado_Receita!$L$2:$L$1099)</f>
        <v>0</v>
      </c>
      <c r="O15" s="13">
        <f>SUMIF(Mercado_Receita!$S$2:$S$1099,"44562A4VerdeNão se aplicaNão se aplicaAPENão se aplicaFora ponta",Mercado_Receita!$L$2:$L$1099)</f>
        <v>0</v>
      </c>
      <c r="P15" s="13">
        <f>SUMIF(Mercado_Receita!$S$2:$S$1099,"44593A4VerdeNão se aplicaNão se aplicaAPENão se aplicaFora ponta",Mercado_Receita!$L$2:$L$1099)</f>
        <v>0</v>
      </c>
      <c r="Q15" s="13">
        <f>SUMIF(Mercado_Receita!$S$2:$S$1099,"44621A4VerdeNão se aplicaNão se aplicaAPENão se aplicaFora ponta",Mercado_Receita!$L$2:$L$1099)</f>
        <v>0</v>
      </c>
      <c r="R15" s="13">
        <f>SUMIF(Mercado_Receita!$S$2:$S$1099,"44652A4VerdeNão se aplicaNão se aplicaAPENão se aplicaFora ponta",Mercado_Receita!$L$2:$L$1099)</f>
        <v>0</v>
      </c>
      <c r="S15" s="13">
        <f>SUMIF(Mercado_Receita!$S$2:$S$1099,"44682A4VerdeNão se aplicaNão se aplicaAPENão se aplicaFora ponta",Mercado_Receita!$L$2:$L$1099)</f>
        <v>0</v>
      </c>
      <c r="T15" s="13">
        <f>SUMIF(Mercado_Receita!$S$2:$S$1099,"44713A4VerdeNão se aplicaNão se aplicaAPENão se aplicaFora ponta",Mercado_Receita!$L$2:$L$1099)</f>
        <v>0</v>
      </c>
      <c r="U15" s="13">
        <f t="shared" si="0"/>
        <v>0</v>
      </c>
      <c r="V15" s="13"/>
      <c r="W15" s="13"/>
    </row>
    <row r="16" spans="1:30" ht="11.25" customHeight="1" x14ac:dyDescent="0.25">
      <c r="A16" s="94" t="s">
        <v>91</v>
      </c>
      <c r="B16" s="94" t="s">
        <v>56</v>
      </c>
      <c r="C16" s="94" t="s">
        <v>25</v>
      </c>
      <c r="D16" s="94" t="s">
        <v>25</v>
      </c>
      <c r="E16" s="12" t="s">
        <v>92</v>
      </c>
      <c r="F16" s="12" t="s">
        <v>25</v>
      </c>
      <c r="G16" s="13" t="s">
        <v>9</v>
      </c>
      <c r="H16" s="13" t="s">
        <v>85</v>
      </c>
      <c r="I16" s="13">
        <f>SUMIF(Mercado_Receita!$S$2:$S$1099,"44378BGeraçãoNão se aplicaNão se aplicaTIPO 01Não se aplicaNão se aplica",Mercado_Receita!$J$2:$J$1099)+SUMIF(Mercado_Receita!$S$2:$S$1099,"44378BGeraçãoNão se aplicaNão se aplicaAPENão se aplicaNão se aplica",Mercado_Receita!$J$2:$J$1099)</f>
        <v>0</v>
      </c>
      <c r="J16" s="13">
        <f>SUMIF(Mercado_Receita!$S$2:$S$1099,"44409BGeraçãoNão se aplicaNão se aplicaTIPO 01Não se aplicaNão se aplica",Mercado_Receita!$J$2:$J$1099)+SUMIF(Mercado_Receita!$S$2:$S$1099,"44409BGeraçãoNão se aplicaNão se aplicaAPENão se aplicaNão se aplica",Mercado_Receita!$J$2:$J$1099)</f>
        <v>0</v>
      </c>
      <c r="K16" s="13">
        <f>SUMIF(Mercado_Receita!$S$2:$S$1099,"44440BGeraçãoNão se aplicaNão se aplicaTIPO 01Não se aplicaNão se aplica",Mercado_Receita!$J$2:$J$1099)+SUMIF(Mercado_Receita!$S$2:$S$1099,"44440BGeraçãoNão se aplicaNão se aplicaAPENão se aplicaNão se aplica",Mercado_Receita!$J$2:$J$1099)</f>
        <v>0</v>
      </c>
      <c r="L16" s="13">
        <f>SUMIF(Mercado_Receita!$S$2:$S$1099,"44470BGeraçãoNão se aplicaNão se aplicaTIPO 01Não se aplicaNão se aplica",Mercado_Receita!$J$2:$J$1099)+SUMIF(Mercado_Receita!$S$2:$S$1099,"44470BGeraçãoNão se aplicaNão se aplicaAPENão se aplicaNão se aplica",Mercado_Receita!$J$2:$J$1099)</f>
        <v>0</v>
      </c>
      <c r="M16" s="13">
        <f>SUMIF(Mercado_Receita!$S$2:$S$1099,"44501BGeraçãoNão se aplicaNão se aplicaTIPO 01Não se aplicaNão se aplica",Mercado_Receita!$J$2:$J$1099)+SUMIF(Mercado_Receita!$S$2:$S$1099,"44501BGeraçãoNão se aplicaNão se aplicaAPENão se aplicaNão se aplica",Mercado_Receita!$J$2:$J$1099)</f>
        <v>0</v>
      </c>
      <c r="N16" s="13">
        <f>SUMIF(Mercado_Receita!$S$2:$S$1099,"44531BGeraçãoNão se aplicaNão se aplicaTIPO 01Não se aplicaNão se aplica",Mercado_Receita!$J$2:$J$1099)+SUMIF(Mercado_Receita!$S$2:$S$1099,"44531BGeraçãoNão se aplicaNão se aplicaAPENão se aplicaNão se aplica",Mercado_Receita!$J$2:$J$1099)</f>
        <v>0</v>
      </c>
      <c r="O16" s="13">
        <f>SUMIF(Mercado_Receita!$S$2:$S$1099,"44562BGeraçãoNão se aplicaNão se aplicaTIPO 01Não se aplicaNão se aplica",Mercado_Receita!$J$2:$J$1099)+SUMIF(Mercado_Receita!$S$2:$S$1099,"44562BGeraçãoNão se aplicaNão se aplicaAPENão se aplicaNão se aplica",Mercado_Receita!$J$2:$J$1099)</f>
        <v>0</v>
      </c>
      <c r="P16" s="13">
        <f>SUMIF(Mercado_Receita!$S$2:$S$1099,"44593BGeraçãoNão se aplicaNão se aplicaTIPO 01Não se aplicaNão se aplica",Mercado_Receita!$J$2:$J$1099)+SUMIF(Mercado_Receita!$S$2:$S$1099,"44593BGeraçãoNão se aplicaNão se aplicaAPENão se aplicaNão se aplica",Mercado_Receita!$J$2:$J$1099)</f>
        <v>0</v>
      </c>
      <c r="Q16" s="13">
        <f>SUMIF(Mercado_Receita!$S$2:$S$1099,"44621BGeraçãoNão se aplicaNão se aplicaTIPO 01Não se aplicaNão se aplica",Mercado_Receita!$J$2:$J$1099)+SUMIF(Mercado_Receita!$S$2:$S$1099,"44621BGeraçãoNão se aplicaNão se aplicaAPENão se aplicaNão se aplica",Mercado_Receita!$J$2:$J$1099)</f>
        <v>0</v>
      </c>
      <c r="R16" s="13">
        <f>SUMIF(Mercado_Receita!$S$2:$S$1099,"44652BGeraçãoNão se aplicaNão se aplicaTIPO 01Não se aplicaNão se aplica",Mercado_Receita!$J$2:$J$1099)+SUMIF(Mercado_Receita!$S$2:$S$1099,"44652BGeraçãoNão se aplicaNão se aplicaAPENão se aplicaNão se aplica",Mercado_Receita!$J$2:$J$1099)</f>
        <v>0</v>
      </c>
      <c r="S16" s="13">
        <f>SUMIF(Mercado_Receita!$S$2:$S$1099,"44682BGeraçãoNão se aplicaNão se aplicaTIPO 01Não se aplicaNão se aplica",Mercado_Receita!$J$2:$J$1099)+SUMIF(Mercado_Receita!$S$2:$S$1099,"44682BGeraçãoNão se aplicaNão se aplicaAPENão se aplicaNão se aplica",Mercado_Receita!$J$2:$J$1099)</f>
        <v>0</v>
      </c>
      <c r="T16" s="13">
        <f>SUMIF(Mercado_Receita!$S$2:$S$1099,"44713BGeraçãoNão se aplicaNão se aplicaTIPO 01Não se aplicaNão se aplica",Mercado_Receita!$J$2:$J$1099)+SUMIF(Mercado_Receita!$S$2:$S$1099,"44713BGeraçãoNão se aplicaNão se aplicaAPENão se aplicaNão se aplica",Mercado_Receita!$J$2:$J$1099)</f>
        <v>0</v>
      </c>
      <c r="U16" s="13">
        <f t="shared" si="0"/>
        <v>0</v>
      </c>
      <c r="V16" s="13"/>
      <c r="W16" s="13"/>
    </row>
    <row r="17" spans="1:23" ht="11.25" customHeight="1" x14ac:dyDescent="0.25">
      <c r="A17" s="95"/>
      <c r="B17" s="95"/>
      <c r="C17" s="95"/>
      <c r="D17" s="95"/>
      <c r="E17" s="12" t="s">
        <v>93</v>
      </c>
      <c r="F17" s="12" t="s">
        <v>25</v>
      </c>
      <c r="G17" s="13" t="s">
        <v>9</v>
      </c>
      <c r="H17" s="13" t="s">
        <v>85</v>
      </c>
      <c r="I17" s="13">
        <f>SUMIF(Mercado_Receita!$S$2:$S$1099,"44378BGeraçãoNão se aplicaNão se aplicaTIPO 02Não se aplicaNão se aplica",Mercado_Receita!$J$2:$J$1099)+SUMIF(Mercado_Receita!$S$2:$S$1099,"44378BGeraçãoNão se aplicaNão se aplicaAPENão se aplicaNão se aplica",Mercado_Receita!$J$2:$J$1099)</f>
        <v>0</v>
      </c>
      <c r="J17" s="13">
        <f>SUMIF(Mercado_Receita!$S$2:$S$1099,"44409BGeraçãoNão se aplicaNão se aplicaTIPO 02Não se aplicaNão se aplica",Mercado_Receita!$J$2:$J$1099)+SUMIF(Mercado_Receita!$S$2:$S$1099,"44409BGeraçãoNão se aplicaNão se aplicaAPENão se aplicaNão se aplica",Mercado_Receita!$J$2:$J$1099)</f>
        <v>0</v>
      </c>
      <c r="K17" s="13">
        <f>SUMIF(Mercado_Receita!$S$2:$S$1099,"44440BGeraçãoNão se aplicaNão se aplicaTIPO 02Não se aplicaNão se aplica",Mercado_Receita!$J$2:$J$1099)+SUMIF(Mercado_Receita!$S$2:$S$1099,"44440BGeraçãoNão se aplicaNão se aplicaAPENão se aplicaNão se aplica",Mercado_Receita!$J$2:$J$1099)</f>
        <v>0</v>
      </c>
      <c r="L17" s="13">
        <f>SUMIF(Mercado_Receita!$S$2:$S$1099,"44470BGeraçãoNão se aplicaNão se aplicaTIPO 02Não se aplicaNão se aplica",Mercado_Receita!$J$2:$J$1099)+SUMIF(Mercado_Receita!$S$2:$S$1099,"44470BGeraçãoNão se aplicaNão se aplicaAPENão se aplicaNão se aplica",Mercado_Receita!$J$2:$J$1099)</f>
        <v>0</v>
      </c>
      <c r="M17" s="13">
        <f>SUMIF(Mercado_Receita!$S$2:$S$1099,"44501BGeraçãoNão se aplicaNão se aplicaTIPO 02Não se aplicaNão se aplica",Mercado_Receita!$J$2:$J$1099)+SUMIF(Mercado_Receita!$S$2:$S$1099,"44501BGeraçãoNão se aplicaNão se aplicaAPENão se aplicaNão se aplica",Mercado_Receita!$J$2:$J$1099)</f>
        <v>0</v>
      </c>
      <c r="N17" s="13">
        <f>SUMIF(Mercado_Receita!$S$2:$S$1099,"44531BGeraçãoNão se aplicaNão se aplicaTIPO 02Não se aplicaNão se aplica",Mercado_Receita!$J$2:$J$1099)+SUMIF(Mercado_Receita!$S$2:$S$1099,"44531BGeraçãoNão se aplicaNão se aplicaAPENão se aplicaNão se aplica",Mercado_Receita!$J$2:$J$1099)</f>
        <v>0</v>
      </c>
      <c r="O17" s="13">
        <f>SUMIF(Mercado_Receita!$S$2:$S$1099,"44562BGeraçãoNão se aplicaNão se aplicaTIPO 02Não se aplicaNão se aplica",Mercado_Receita!$J$2:$J$1099)+SUMIF(Mercado_Receita!$S$2:$S$1099,"44562BGeraçãoNão se aplicaNão se aplicaAPENão se aplicaNão se aplica",Mercado_Receita!$J$2:$J$1099)</f>
        <v>0</v>
      </c>
      <c r="P17" s="13">
        <f>SUMIF(Mercado_Receita!$S$2:$S$1099,"44593BGeraçãoNão se aplicaNão se aplicaTIPO 02Não se aplicaNão se aplica",Mercado_Receita!$J$2:$J$1099)+SUMIF(Mercado_Receita!$S$2:$S$1099,"44593BGeraçãoNão se aplicaNão se aplicaAPENão se aplicaNão se aplica",Mercado_Receita!$J$2:$J$1099)</f>
        <v>0</v>
      </c>
      <c r="Q17" s="13">
        <f>SUMIF(Mercado_Receita!$S$2:$S$1099,"44621BGeraçãoNão se aplicaNão se aplicaTIPO 02Não se aplicaNão se aplica",Mercado_Receita!$J$2:$J$1099)+SUMIF(Mercado_Receita!$S$2:$S$1099,"44621BGeraçãoNão se aplicaNão se aplicaAPENão se aplicaNão se aplica",Mercado_Receita!$J$2:$J$1099)</f>
        <v>0</v>
      </c>
      <c r="R17" s="13">
        <f>SUMIF(Mercado_Receita!$S$2:$S$1099,"44652BGeraçãoNão se aplicaNão se aplicaTIPO 02Não se aplicaNão se aplica",Mercado_Receita!$J$2:$J$1099)+SUMIF(Mercado_Receita!$S$2:$S$1099,"44652BGeraçãoNão se aplicaNão se aplicaAPENão se aplicaNão se aplica",Mercado_Receita!$J$2:$J$1099)</f>
        <v>0</v>
      </c>
      <c r="S17" s="13">
        <f>SUMIF(Mercado_Receita!$S$2:$S$1099,"44682BGeraçãoNão se aplicaNão se aplicaTIPO 02Não se aplicaNão se aplica",Mercado_Receita!$J$2:$J$1099)+SUMIF(Mercado_Receita!$S$2:$S$1099,"44682BGeraçãoNão se aplicaNão se aplicaAPENão se aplicaNão se aplica",Mercado_Receita!$J$2:$J$1099)</f>
        <v>0</v>
      </c>
      <c r="T17" s="13">
        <f>SUMIF(Mercado_Receita!$S$2:$S$1099,"44713BGeraçãoNão se aplicaNão se aplicaTIPO 02Não se aplicaNão se aplica",Mercado_Receita!$J$2:$J$1099)+SUMIF(Mercado_Receita!$S$2:$S$1099,"44713BGeraçãoNão se aplicaNão se aplicaAPENão se aplicaNão se aplica",Mercado_Receita!$J$2:$J$1099)</f>
        <v>0</v>
      </c>
      <c r="U17" s="13">
        <f t="shared" si="0"/>
        <v>0</v>
      </c>
      <c r="V17" s="13"/>
      <c r="W17" s="13"/>
    </row>
    <row r="18" spans="1:23" ht="11.25" customHeight="1" x14ac:dyDescent="0.25">
      <c r="A18" s="94" t="s">
        <v>22</v>
      </c>
      <c r="B18" s="94" t="s">
        <v>95</v>
      </c>
      <c r="C18" s="94" t="s">
        <v>24</v>
      </c>
      <c r="D18" s="94" t="s">
        <v>24</v>
      </c>
      <c r="E18" s="94" t="s">
        <v>25</v>
      </c>
      <c r="F18" s="94" t="s">
        <v>25</v>
      </c>
      <c r="G18" s="13" t="s">
        <v>83</v>
      </c>
      <c r="H18" s="13" t="s">
        <v>82</v>
      </c>
      <c r="I18" s="13">
        <f>SUMIF(Mercado_Receita!$S$2:$S$1099,"44378B1BrancaResidencialResidencialNão se aplicaNão se aplicaPonta",Mercado_Receita!$L$2:$L$1099)</f>
        <v>0</v>
      </c>
      <c r="J18" s="13">
        <f>SUMIF(Mercado_Receita!$S$2:$S$1099,"44409B1BrancaResidencialResidencialNão se aplicaNão se aplicaPonta",Mercado_Receita!$L$2:$L$1099)</f>
        <v>0</v>
      </c>
      <c r="K18" s="13">
        <f>SUMIF(Mercado_Receita!$S$2:$S$1099,"44440B1BrancaResidencialResidencialNão se aplicaNão se aplicaPonta",Mercado_Receita!$L$2:$L$1099)</f>
        <v>0</v>
      </c>
      <c r="L18" s="13">
        <f>SUMIF(Mercado_Receita!$S$2:$S$1099,"44470B1BrancaResidencialResidencialNão se aplicaNão se aplicaPonta",Mercado_Receita!$L$2:$L$1099)</f>
        <v>0</v>
      </c>
      <c r="M18" s="13">
        <f>SUMIF(Mercado_Receita!$S$2:$S$1099,"44501B1BrancaResidencialResidencialNão se aplicaNão se aplicaPonta",Mercado_Receita!$L$2:$L$1099)</f>
        <v>0</v>
      </c>
      <c r="N18" s="13">
        <f>SUMIF(Mercado_Receita!$S$2:$S$1099,"44531B1BrancaResidencialResidencialNão se aplicaNão se aplicaPonta",Mercado_Receita!$L$2:$L$1099)</f>
        <v>0</v>
      </c>
      <c r="O18" s="13">
        <f>SUMIF(Mercado_Receita!$S$2:$S$1099,"44562B1BrancaResidencialResidencialNão se aplicaNão se aplicaPonta",Mercado_Receita!$L$2:$L$1099)</f>
        <v>0</v>
      </c>
      <c r="P18" s="13">
        <f>SUMIF(Mercado_Receita!$S$2:$S$1099,"44593B1BrancaResidencialResidencialNão se aplicaNão se aplicaPonta",Mercado_Receita!$L$2:$L$1099)</f>
        <v>0</v>
      </c>
      <c r="Q18" s="13">
        <f>SUMIF(Mercado_Receita!$S$2:$S$1099,"44621B1BrancaResidencialResidencialNão se aplicaNão se aplicaPonta",Mercado_Receita!$L$2:$L$1099)</f>
        <v>0</v>
      </c>
      <c r="R18" s="13">
        <f>SUMIF(Mercado_Receita!$S$2:$S$1099,"44652B1BrancaResidencialResidencialNão se aplicaNão se aplicaPonta",Mercado_Receita!$L$2:$L$1099)</f>
        <v>0</v>
      </c>
      <c r="S18" s="13">
        <f>SUMIF(Mercado_Receita!$S$2:$S$1099,"44682B1BrancaResidencialResidencialNão se aplicaNão se aplicaPonta",Mercado_Receita!$L$2:$L$1099)</f>
        <v>0</v>
      </c>
      <c r="T18" s="13">
        <f>SUMIF(Mercado_Receita!$S$2:$S$1099,"44713B1BrancaResidencialResidencialNão se aplicaNão se aplicaPonta",Mercado_Receita!$L$2:$L$1099)</f>
        <v>0</v>
      </c>
      <c r="U18" s="13">
        <f t="shared" si="0"/>
        <v>0</v>
      </c>
      <c r="V18" s="13"/>
      <c r="W18" s="13"/>
    </row>
    <row r="19" spans="1:23" ht="11.25" customHeight="1" x14ac:dyDescent="0.25">
      <c r="A19" s="95"/>
      <c r="B19" s="95"/>
      <c r="C19" s="95"/>
      <c r="D19" s="95"/>
      <c r="E19" s="95"/>
      <c r="F19" s="95"/>
      <c r="G19" s="13" t="s">
        <v>94</v>
      </c>
      <c r="H19" s="13" t="s">
        <v>82</v>
      </c>
      <c r="I19" s="13">
        <f>SUMIF(Mercado_Receita!$S$2:$S$1099,"44378B1BrancaResidencialResidencialNão se aplicaNão se aplicaIntermediário",Mercado_Receita!$L$2:$L$1099)</f>
        <v>0</v>
      </c>
      <c r="J19" s="13">
        <f>SUMIF(Mercado_Receita!$S$2:$S$1099,"44409B1BrancaResidencialResidencialNão se aplicaNão se aplicaIntermediário",Mercado_Receita!$L$2:$L$1099)</f>
        <v>0</v>
      </c>
      <c r="K19" s="13">
        <f>SUMIF(Mercado_Receita!$S$2:$S$1099,"44440B1BrancaResidencialResidencialNão se aplicaNão se aplicaIntermediário",Mercado_Receita!$L$2:$L$1099)</f>
        <v>0</v>
      </c>
      <c r="L19" s="13">
        <f>SUMIF(Mercado_Receita!$S$2:$S$1099,"44470B1BrancaResidencialResidencialNão se aplicaNão se aplicaIntermediário",Mercado_Receita!$L$2:$L$1099)</f>
        <v>0</v>
      </c>
      <c r="M19" s="13">
        <f>SUMIF(Mercado_Receita!$S$2:$S$1099,"44501B1BrancaResidencialResidencialNão se aplicaNão se aplicaIntermediário",Mercado_Receita!$L$2:$L$1099)</f>
        <v>0</v>
      </c>
      <c r="N19" s="13">
        <f>SUMIF(Mercado_Receita!$S$2:$S$1099,"44531B1BrancaResidencialResidencialNão se aplicaNão se aplicaIntermediário",Mercado_Receita!$L$2:$L$1099)</f>
        <v>0</v>
      </c>
      <c r="O19" s="13">
        <f>SUMIF(Mercado_Receita!$S$2:$S$1099,"44562B1BrancaResidencialResidencialNão se aplicaNão se aplicaIntermediário",Mercado_Receita!$L$2:$L$1099)</f>
        <v>0</v>
      </c>
      <c r="P19" s="13">
        <f>SUMIF(Mercado_Receita!$S$2:$S$1099,"44593B1BrancaResidencialResidencialNão se aplicaNão se aplicaIntermediário",Mercado_Receita!$L$2:$L$1099)</f>
        <v>0</v>
      </c>
      <c r="Q19" s="13">
        <f>SUMIF(Mercado_Receita!$S$2:$S$1099,"44621B1BrancaResidencialResidencialNão se aplicaNão se aplicaIntermediário",Mercado_Receita!$L$2:$L$1099)</f>
        <v>0</v>
      </c>
      <c r="R19" s="13">
        <f>SUMIF(Mercado_Receita!$S$2:$S$1099,"44652B1BrancaResidencialResidencialNão se aplicaNão se aplicaIntermediário",Mercado_Receita!$L$2:$L$1099)</f>
        <v>0</v>
      </c>
      <c r="S19" s="13">
        <f>SUMIF(Mercado_Receita!$S$2:$S$1099,"44682B1BrancaResidencialResidencialNão se aplicaNão se aplicaIntermediário",Mercado_Receita!$L$2:$L$1099)</f>
        <v>0</v>
      </c>
      <c r="T19" s="13">
        <f>SUMIF(Mercado_Receita!$S$2:$S$1099,"44713B1BrancaResidencialResidencialNão se aplicaNão se aplicaIntermediário",Mercado_Receita!$L$2:$L$1099)</f>
        <v>0</v>
      </c>
      <c r="U19" s="13">
        <f t="shared" si="0"/>
        <v>0</v>
      </c>
      <c r="V19" s="13"/>
      <c r="W19" s="13"/>
    </row>
    <row r="20" spans="1:23" ht="11.25" customHeight="1" x14ac:dyDescent="0.25">
      <c r="A20" s="95"/>
      <c r="B20" s="95"/>
      <c r="C20" s="95"/>
      <c r="D20" s="95"/>
      <c r="E20" s="95"/>
      <c r="F20" s="95"/>
      <c r="G20" s="13" t="s">
        <v>84</v>
      </c>
      <c r="H20" s="13" t="s">
        <v>82</v>
      </c>
      <c r="I20" s="13">
        <f>SUMIF(Mercado_Receita!$S$2:$S$1099,"44378B1BrancaResidencialResidencialNão se aplicaNão se aplicaFora ponta",Mercado_Receita!$L$2:$L$1099)</f>
        <v>0</v>
      </c>
      <c r="J20" s="13">
        <f>SUMIF(Mercado_Receita!$S$2:$S$1099,"44409B1BrancaResidencialResidencialNão se aplicaNão se aplicaFora ponta",Mercado_Receita!$L$2:$L$1099)</f>
        <v>0</v>
      </c>
      <c r="K20" s="13">
        <f>SUMIF(Mercado_Receita!$S$2:$S$1099,"44440B1BrancaResidencialResidencialNão se aplicaNão se aplicaFora ponta",Mercado_Receita!$L$2:$L$1099)</f>
        <v>0</v>
      </c>
      <c r="L20" s="13">
        <f>SUMIF(Mercado_Receita!$S$2:$S$1099,"44470B1BrancaResidencialResidencialNão se aplicaNão se aplicaFora ponta",Mercado_Receita!$L$2:$L$1099)</f>
        <v>0</v>
      </c>
      <c r="M20" s="13">
        <f>SUMIF(Mercado_Receita!$S$2:$S$1099,"44501B1BrancaResidencialResidencialNão se aplicaNão se aplicaFora ponta",Mercado_Receita!$L$2:$L$1099)</f>
        <v>0</v>
      </c>
      <c r="N20" s="13">
        <f>SUMIF(Mercado_Receita!$S$2:$S$1099,"44531B1BrancaResidencialResidencialNão se aplicaNão se aplicaFora ponta",Mercado_Receita!$L$2:$L$1099)</f>
        <v>0</v>
      </c>
      <c r="O20" s="13">
        <f>SUMIF(Mercado_Receita!$S$2:$S$1099,"44562B1BrancaResidencialResidencialNão se aplicaNão se aplicaFora ponta",Mercado_Receita!$L$2:$L$1099)</f>
        <v>0</v>
      </c>
      <c r="P20" s="13">
        <f>SUMIF(Mercado_Receita!$S$2:$S$1099,"44593B1BrancaResidencialResidencialNão se aplicaNão se aplicaFora ponta",Mercado_Receita!$L$2:$L$1099)</f>
        <v>0</v>
      </c>
      <c r="Q20" s="13">
        <f>SUMIF(Mercado_Receita!$S$2:$S$1099,"44621B1BrancaResidencialResidencialNão se aplicaNão se aplicaFora ponta",Mercado_Receita!$L$2:$L$1099)</f>
        <v>0</v>
      </c>
      <c r="R20" s="13">
        <f>SUMIF(Mercado_Receita!$S$2:$S$1099,"44652B1BrancaResidencialResidencialNão se aplicaNão se aplicaFora ponta",Mercado_Receita!$L$2:$L$1099)</f>
        <v>0</v>
      </c>
      <c r="S20" s="13">
        <f>SUMIF(Mercado_Receita!$S$2:$S$1099,"44682B1BrancaResidencialResidencialNão se aplicaNão se aplicaFora ponta",Mercado_Receita!$L$2:$L$1099)</f>
        <v>0</v>
      </c>
      <c r="T20" s="13">
        <f>SUMIF(Mercado_Receita!$S$2:$S$1099,"44713B1BrancaResidencialResidencialNão se aplicaNão se aplicaFora ponta",Mercado_Receita!$L$2:$L$1099)</f>
        <v>0</v>
      </c>
      <c r="U20" s="13">
        <f t="shared" si="0"/>
        <v>0</v>
      </c>
      <c r="V20" s="13"/>
      <c r="W20" s="13"/>
    </row>
    <row r="21" spans="1:23" ht="11.25" customHeight="1" x14ac:dyDescent="0.25">
      <c r="A21" s="95"/>
      <c r="B21" s="94" t="s">
        <v>23</v>
      </c>
      <c r="C21" s="94" t="s">
        <v>24</v>
      </c>
      <c r="D21" s="12" t="s">
        <v>24</v>
      </c>
      <c r="E21" s="12" t="s">
        <v>25</v>
      </c>
      <c r="F21" s="12" t="s">
        <v>25</v>
      </c>
      <c r="G21" s="13" t="s">
        <v>88</v>
      </c>
      <c r="H21" s="13" t="s">
        <v>82</v>
      </c>
      <c r="I21" s="13">
        <f>SUMIF(Mercado_Receita!$S$2:$S$1099,"44378B1ConvencionalResidencialResidencialNão se aplicaNão se aplicaPonta",Mercado_Receita!$L$2:$L$1099)+SUMIF(Mercado_Receita!$S$2:$S$1099,"44378B1ConvencionalResidencialResidencialNão se aplicaNão se aplicaFora ponta",Mercado_Receita!$L$2:$L$1099)+SUMIF(Mercado_Receita!$S$2:$S$1099,"44378B1ConvencionalResidencialResidencialNão se aplicaNão se aplicaIntermediário",Mercado_Receita!$L$2:$L$1099)+SUMIF(Mercado_Receita!$S$2:$S$1099,"44378B1ConvencionalResidencialResidencialNão se aplicaNão se aplicaNão se aplica",Mercado_Receita!$L$2:$L$1099)</f>
        <v>1964.3229999999999</v>
      </c>
      <c r="J21" s="13">
        <f>SUMIF(Mercado_Receita!$S$2:$S$1099,"44409B1ConvencionalResidencialResidencialNão se aplicaNão se aplicaPonta",Mercado_Receita!$L$2:$L$1099)+SUMIF(Mercado_Receita!$S$2:$S$1099,"44409B1ConvencionalResidencialResidencialNão se aplicaNão se aplicaFora ponta",Mercado_Receita!$L$2:$L$1099)+SUMIF(Mercado_Receita!$S$2:$S$1099,"44409B1ConvencionalResidencialResidencialNão se aplicaNão se aplicaIntermediário",Mercado_Receita!$L$2:$L$1099)+SUMIF(Mercado_Receita!$S$2:$S$1099,"44409B1ConvencionalResidencialResidencialNão se aplicaNão se aplicaNão se aplica",Mercado_Receita!$L$2:$L$1099)</f>
        <v>2037.308</v>
      </c>
      <c r="K21" s="13">
        <f>SUMIF(Mercado_Receita!$S$2:$S$1099,"44440B1ConvencionalResidencialResidencialNão se aplicaNão se aplicaPonta",Mercado_Receita!$L$2:$L$1099)+SUMIF(Mercado_Receita!$S$2:$S$1099,"44440B1ConvencionalResidencialResidencialNão se aplicaNão se aplicaFora ponta",Mercado_Receita!$L$2:$L$1099)+SUMIF(Mercado_Receita!$S$2:$S$1099,"44440B1ConvencionalResidencialResidencialNão se aplicaNão se aplicaIntermediário",Mercado_Receita!$L$2:$L$1099)+SUMIF(Mercado_Receita!$S$2:$S$1099,"44440B1ConvencionalResidencialResidencialNão se aplicaNão se aplicaNão se aplica",Mercado_Receita!$L$2:$L$1099)</f>
        <v>1966.5729999999999</v>
      </c>
      <c r="L21" s="13">
        <f>SUMIF(Mercado_Receita!$S$2:$S$1099,"44470B1ConvencionalResidencialResidencialNão se aplicaNão se aplicaPonta",Mercado_Receita!$L$2:$L$1099)+SUMIF(Mercado_Receita!$S$2:$S$1099,"44470B1ConvencionalResidencialResidencialNão se aplicaNão se aplicaFora ponta",Mercado_Receita!$L$2:$L$1099)+SUMIF(Mercado_Receita!$S$2:$S$1099,"44470B1ConvencionalResidencialResidencialNão se aplicaNão se aplicaIntermediário",Mercado_Receita!$L$2:$L$1099)+SUMIF(Mercado_Receita!$S$2:$S$1099,"44470B1ConvencionalResidencialResidencialNão se aplicaNão se aplicaNão se aplica",Mercado_Receita!$L$2:$L$1099)</f>
        <v>1888.8170000000002</v>
      </c>
      <c r="M21" s="13">
        <f>SUMIF(Mercado_Receita!$S$2:$S$1099,"44501B1ConvencionalResidencialResidencialNão se aplicaNão se aplicaPonta",Mercado_Receita!$L$2:$L$1099)+SUMIF(Mercado_Receita!$S$2:$S$1099,"44501B1ConvencionalResidencialResidencialNão se aplicaNão se aplicaFora ponta",Mercado_Receita!$L$2:$L$1099)+SUMIF(Mercado_Receita!$S$2:$S$1099,"44501B1ConvencionalResidencialResidencialNão se aplicaNão se aplicaIntermediário",Mercado_Receita!$L$2:$L$1099)+SUMIF(Mercado_Receita!$S$2:$S$1099,"44501B1ConvencionalResidencialResidencialNão se aplicaNão se aplicaNão se aplica",Mercado_Receita!$L$2:$L$1099)</f>
        <v>2040.7549999999999</v>
      </c>
      <c r="N21" s="13">
        <f>SUMIF(Mercado_Receita!$S$2:$S$1099,"44531B1ConvencionalResidencialResidencialNão se aplicaNão se aplicaPonta",Mercado_Receita!$L$2:$L$1099)+SUMIF(Mercado_Receita!$S$2:$S$1099,"44531B1ConvencionalResidencialResidencialNão se aplicaNão se aplicaFora ponta",Mercado_Receita!$L$2:$L$1099)+SUMIF(Mercado_Receita!$S$2:$S$1099,"44531B1ConvencionalResidencialResidencialNão se aplicaNão se aplicaIntermediário",Mercado_Receita!$L$2:$L$1099)+SUMIF(Mercado_Receita!$S$2:$S$1099,"44531B1ConvencionalResidencialResidencialNão se aplicaNão se aplicaNão se aplica",Mercado_Receita!$L$2:$L$1099)</f>
        <v>1860.462</v>
      </c>
      <c r="O21" s="13">
        <f>SUMIF(Mercado_Receita!$S$2:$S$1099,"44562B1ConvencionalResidencialResidencialNão se aplicaNão se aplicaPonta",Mercado_Receita!$L$2:$L$1099)+SUMIF(Mercado_Receita!$S$2:$S$1099,"44562B1ConvencionalResidencialResidencialNão se aplicaNão se aplicaFora ponta",Mercado_Receita!$L$2:$L$1099)+SUMIF(Mercado_Receita!$S$2:$S$1099,"44562B1ConvencionalResidencialResidencialNão se aplicaNão se aplicaIntermediário",Mercado_Receita!$L$2:$L$1099)+SUMIF(Mercado_Receita!$S$2:$S$1099,"44562B1ConvencionalResidencialResidencialNão se aplicaNão se aplicaNão se aplica",Mercado_Receita!$L$2:$L$1099)</f>
        <v>2539.3690000000001</v>
      </c>
      <c r="P21" s="13">
        <f>SUMIF(Mercado_Receita!$S$2:$S$1099,"44593B1ConvencionalResidencialResidencialNão se aplicaNão se aplicaPonta",Mercado_Receita!$L$2:$L$1099)+SUMIF(Mercado_Receita!$S$2:$S$1099,"44593B1ConvencionalResidencialResidencialNão se aplicaNão se aplicaFora ponta",Mercado_Receita!$L$2:$L$1099)+SUMIF(Mercado_Receita!$S$2:$S$1099,"44593B1ConvencionalResidencialResidencialNão se aplicaNão se aplicaIntermediário",Mercado_Receita!$L$2:$L$1099)+SUMIF(Mercado_Receita!$S$2:$S$1099,"44593B1ConvencionalResidencialResidencialNão se aplicaNão se aplicaNão se aplica",Mercado_Receita!$L$2:$L$1099)</f>
        <v>2468.9190000000003</v>
      </c>
      <c r="Q21" s="13">
        <f>SUMIF(Mercado_Receita!$S$2:$S$1099,"44621B1ConvencionalResidencialResidencialNão se aplicaNão se aplicaPonta",Mercado_Receita!$L$2:$L$1099)+SUMIF(Mercado_Receita!$S$2:$S$1099,"44621B1ConvencionalResidencialResidencialNão se aplicaNão se aplicaFora ponta",Mercado_Receita!$L$2:$L$1099)+SUMIF(Mercado_Receita!$S$2:$S$1099,"44621B1ConvencionalResidencialResidencialNão se aplicaNão se aplicaIntermediário",Mercado_Receita!$L$2:$L$1099)+SUMIF(Mercado_Receita!$S$2:$S$1099,"44621B1ConvencionalResidencialResidencialNão se aplicaNão se aplicaNão se aplica",Mercado_Receita!$L$2:$L$1099)</f>
        <v>2204.08</v>
      </c>
      <c r="R21" s="13">
        <f>SUMIF(Mercado_Receita!$S$2:$S$1099,"44652B1ConvencionalResidencialResidencialNão se aplicaNão se aplicaPonta",Mercado_Receita!$L$2:$L$1099)+SUMIF(Mercado_Receita!$S$2:$S$1099,"44652B1ConvencionalResidencialResidencialNão se aplicaNão se aplicaFora ponta",Mercado_Receita!$L$2:$L$1099)+SUMIF(Mercado_Receita!$S$2:$S$1099,"44652B1ConvencionalResidencialResidencialNão se aplicaNão se aplicaIntermediário",Mercado_Receita!$L$2:$L$1099)+SUMIF(Mercado_Receita!$S$2:$S$1099,"44652B1ConvencionalResidencialResidencialNão se aplicaNão se aplicaNão se aplica",Mercado_Receita!$L$2:$L$1099)</f>
        <v>1934.886</v>
      </c>
      <c r="S21" s="13">
        <f>SUMIF(Mercado_Receita!$S$2:$S$1099,"44682B1ConvencionalResidencialResidencialNão se aplicaNão se aplicaPonta",Mercado_Receita!$L$2:$L$1099)+SUMIF(Mercado_Receita!$S$2:$S$1099,"44682B1ConvencionalResidencialResidencialNão se aplicaNão se aplicaFora ponta",Mercado_Receita!$L$2:$L$1099)+SUMIF(Mercado_Receita!$S$2:$S$1099,"44682B1ConvencionalResidencialResidencialNão se aplicaNão se aplicaIntermediário",Mercado_Receita!$L$2:$L$1099)+SUMIF(Mercado_Receita!$S$2:$S$1099,"44682B1ConvencionalResidencialResidencialNão se aplicaNão se aplicaNão se aplica",Mercado_Receita!$L$2:$L$1099)</f>
        <v>1711.2910000000002</v>
      </c>
      <c r="T21" s="13">
        <f>SUMIF(Mercado_Receita!$S$2:$S$1099,"44713B1ConvencionalResidencialResidencialNão se aplicaNão se aplicaPonta",Mercado_Receita!$L$2:$L$1099)+SUMIF(Mercado_Receita!$S$2:$S$1099,"44713B1ConvencionalResidencialResidencialNão se aplicaNão se aplicaFora ponta",Mercado_Receita!$L$2:$L$1099)+SUMIF(Mercado_Receita!$S$2:$S$1099,"44713B1ConvencionalResidencialResidencialNão se aplicaNão se aplicaIntermediário",Mercado_Receita!$L$2:$L$1099)+SUMIF(Mercado_Receita!$S$2:$S$1099,"44713B1ConvencionalResidencialResidencialNão se aplicaNão se aplicaNão se aplica",Mercado_Receita!$L$2:$L$1099)</f>
        <v>1956.2639999999999</v>
      </c>
      <c r="U21" s="13">
        <f t="shared" si="0"/>
        <v>24573.046999999999</v>
      </c>
      <c r="V21" s="13"/>
      <c r="W21" s="13"/>
    </row>
    <row r="22" spans="1:23" ht="11.25" customHeight="1" x14ac:dyDescent="0.25">
      <c r="A22" s="95"/>
      <c r="B22" s="95"/>
      <c r="C22" s="95"/>
      <c r="D22" s="12" t="s">
        <v>29</v>
      </c>
      <c r="E22" s="12" t="s">
        <v>25</v>
      </c>
      <c r="F22" s="12" t="s">
        <v>25</v>
      </c>
      <c r="G22" s="13" t="s">
        <v>88</v>
      </c>
      <c r="H22" s="13" t="s">
        <v>82</v>
      </c>
      <c r="I22" s="13">
        <f>SUMIF(Mercado_Receita!$S$2:$S$1099,"44378B1ConvencionalResidencialResidencial baixa renda – faixa 01Não se aplicaNão se aplicaPonta",Mercado_Receita!$L$2:$L$1099)+SUMIF(Mercado_Receita!$S$2:$S$1099,"44378B1ConvencionalResidencialResidencial baixa renda – faixa 01Não se aplicaNão se aplicaFora ponta",Mercado_Receita!$L$2:$L$1099)+SUMIF(Mercado_Receita!$S$2:$S$1099,"44378B1ConvencionalResidencialResidencial baixa renda – faixa 01Não se aplicaNão se aplicaIntermediário",Mercado_Receita!$L$2:$L$1099)+SUMIF(Mercado_Receita!$S$2:$S$1099,"44378B1ConvencionalResidencialResidencial baixa renda – faixa 01Não se aplicaNão se aplicaNão se aplica",Mercado_Receita!$L$2:$L$1099)</f>
        <v>7.14</v>
      </c>
      <c r="J22" s="13">
        <f>SUMIF(Mercado_Receita!$S$2:$S$1099,"44409B1ConvencionalResidencialResidencial baixa renda – faixa 01Não se aplicaNão se aplicaPonta",Mercado_Receita!$L$2:$L$1099)+SUMIF(Mercado_Receita!$S$2:$S$1099,"44409B1ConvencionalResidencialResidencial baixa renda – faixa 01Não se aplicaNão se aplicaFora ponta",Mercado_Receita!$L$2:$L$1099)+SUMIF(Mercado_Receita!$S$2:$S$1099,"44409B1ConvencionalResidencialResidencial baixa renda – faixa 01Não se aplicaNão se aplicaIntermediário",Mercado_Receita!$L$2:$L$1099)+SUMIF(Mercado_Receita!$S$2:$S$1099,"44409B1ConvencionalResidencialResidencial baixa renda – faixa 01Não se aplicaNão se aplicaNão se aplica",Mercado_Receita!$L$2:$L$1099)</f>
        <v>7.2</v>
      </c>
      <c r="K22" s="13">
        <f>SUMIF(Mercado_Receita!$S$2:$S$1099,"44440B1ConvencionalResidencialResidencial baixa renda – faixa 01Não se aplicaNão se aplicaPonta",Mercado_Receita!$L$2:$L$1099)+SUMIF(Mercado_Receita!$S$2:$S$1099,"44440B1ConvencionalResidencialResidencial baixa renda – faixa 01Não se aplicaNão se aplicaFora ponta",Mercado_Receita!$L$2:$L$1099)+SUMIF(Mercado_Receita!$S$2:$S$1099,"44440B1ConvencionalResidencialResidencial baixa renda – faixa 01Não se aplicaNão se aplicaIntermediário",Mercado_Receita!$L$2:$L$1099)+SUMIF(Mercado_Receita!$S$2:$S$1099,"44440B1ConvencionalResidencialResidencial baixa renda – faixa 01Não se aplicaNão se aplicaNão se aplica",Mercado_Receita!$L$2:$L$1099)</f>
        <v>7.29</v>
      </c>
      <c r="L22" s="13">
        <f>SUMIF(Mercado_Receita!$S$2:$S$1099,"44470B1ConvencionalResidencialResidencial baixa renda – faixa 01Não se aplicaNão se aplicaPonta",Mercado_Receita!$L$2:$L$1099)+SUMIF(Mercado_Receita!$S$2:$S$1099,"44470B1ConvencionalResidencialResidencial baixa renda – faixa 01Não se aplicaNão se aplicaFora ponta",Mercado_Receita!$L$2:$L$1099)+SUMIF(Mercado_Receita!$S$2:$S$1099,"44470B1ConvencionalResidencialResidencial baixa renda – faixa 01Não se aplicaNão se aplicaIntermediário",Mercado_Receita!$L$2:$L$1099)+SUMIF(Mercado_Receita!$S$2:$S$1099,"44470B1ConvencionalResidencialResidencial baixa renda – faixa 01Não se aplicaNão se aplicaNão se aplica",Mercado_Receita!$L$2:$L$1099)</f>
        <v>7.38</v>
      </c>
      <c r="M22" s="13">
        <f>SUMIF(Mercado_Receita!$S$2:$S$1099,"44501B1ConvencionalResidencialResidencial baixa renda – faixa 01Não se aplicaNão se aplicaPonta",Mercado_Receita!$L$2:$L$1099)+SUMIF(Mercado_Receita!$S$2:$S$1099,"44501B1ConvencionalResidencialResidencial baixa renda – faixa 01Não se aplicaNão se aplicaFora ponta",Mercado_Receita!$L$2:$L$1099)+SUMIF(Mercado_Receita!$S$2:$S$1099,"44501B1ConvencionalResidencialResidencial baixa renda – faixa 01Não se aplicaNão se aplicaIntermediário",Mercado_Receita!$L$2:$L$1099)+SUMIF(Mercado_Receita!$S$2:$S$1099,"44501B1ConvencionalResidencialResidencial baixa renda – faixa 01Não se aplicaNão se aplicaNão se aplica",Mercado_Receita!$L$2:$L$1099)</f>
        <v>7.7700000000000005</v>
      </c>
      <c r="N22" s="13">
        <f>SUMIF(Mercado_Receita!$S$2:$S$1099,"44531B1ConvencionalResidencialResidencial baixa renda – faixa 01Não se aplicaNão se aplicaPonta",Mercado_Receita!$L$2:$L$1099)+SUMIF(Mercado_Receita!$S$2:$S$1099,"44531B1ConvencionalResidencialResidencial baixa renda – faixa 01Não se aplicaNão se aplicaFora ponta",Mercado_Receita!$L$2:$L$1099)+SUMIF(Mercado_Receita!$S$2:$S$1099,"44531B1ConvencionalResidencialResidencial baixa renda – faixa 01Não se aplicaNão se aplicaIntermediário",Mercado_Receita!$L$2:$L$1099)+SUMIF(Mercado_Receita!$S$2:$S$1099,"44531B1ConvencionalResidencialResidencial baixa renda – faixa 01Não se aplicaNão se aplicaNão se aplica",Mercado_Receita!$L$2:$L$1099)</f>
        <v>7.83</v>
      </c>
      <c r="O22" s="13">
        <f>SUMIF(Mercado_Receita!$S$2:$S$1099,"44562B1ConvencionalResidencialResidencial baixa renda – faixa 01Não se aplicaNão se aplicaPonta",Mercado_Receita!$L$2:$L$1099)+SUMIF(Mercado_Receita!$S$2:$S$1099,"44562B1ConvencionalResidencialResidencial baixa renda – faixa 01Não se aplicaNão se aplicaFora ponta",Mercado_Receita!$L$2:$L$1099)+SUMIF(Mercado_Receita!$S$2:$S$1099,"44562B1ConvencionalResidencialResidencial baixa renda – faixa 01Não se aplicaNão se aplicaIntermediário",Mercado_Receita!$L$2:$L$1099)+SUMIF(Mercado_Receita!$S$2:$S$1099,"44562B1ConvencionalResidencialResidencial baixa renda – faixa 01Não se aplicaNão se aplicaNão se aplica",Mercado_Receita!$L$2:$L$1099)</f>
        <v>7.95</v>
      </c>
      <c r="P22" s="13">
        <f>SUMIF(Mercado_Receita!$S$2:$S$1099,"44593B1ConvencionalResidencialResidencial baixa renda – faixa 01Não se aplicaNão se aplicaPonta",Mercado_Receita!$L$2:$L$1099)+SUMIF(Mercado_Receita!$S$2:$S$1099,"44593B1ConvencionalResidencialResidencial baixa renda – faixa 01Não se aplicaNão se aplicaFora ponta",Mercado_Receita!$L$2:$L$1099)+SUMIF(Mercado_Receita!$S$2:$S$1099,"44593B1ConvencionalResidencialResidencial baixa renda – faixa 01Não se aplicaNão se aplicaIntermediário",Mercado_Receita!$L$2:$L$1099)+SUMIF(Mercado_Receita!$S$2:$S$1099,"44593B1ConvencionalResidencialResidencial baixa renda – faixa 01Não se aplicaNão se aplicaNão se aplica",Mercado_Receita!$L$2:$L$1099)</f>
        <v>13.92</v>
      </c>
      <c r="Q22" s="13">
        <f>SUMIF(Mercado_Receita!$S$2:$S$1099,"44621B1ConvencionalResidencialResidencial baixa renda – faixa 01Não se aplicaNão se aplicaPonta",Mercado_Receita!$L$2:$L$1099)+SUMIF(Mercado_Receita!$S$2:$S$1099,"44621B1ConvencionalResidencialResidencial baixa renda – faixa 01Não se aplicaNão se aplicaFora ponta",Mercado_Receita!$L$2:$L$1099)+SUMIF(Mercado_Receita!$S$2:$S$1099,"44621B1ConvencionalResidencialResidencial baixa renda – faixa 01Não se aplicaNão se aplicaIntermediário",Mercado_Receita!$L$2:$L$1099)+SUMIF(Mercado_Receita!$S$2:$S$1099,"44621B1ConvencionalResidencialResidencial baixa renda – faixa 01Não se aplicaNão se aplicaNão se aplica",Mercado_Receita!$L$2:$L$1099)</f>
        <v>17.343</v>
      </c>
      <c r="R22" s="13">
        <f>SUMIF(Mercado_Receita!$S$2:$S$1099,"44652B1ConvencionalResidencialResidencial baixa renda – faixa 01Não se aplicaNão se aplicaPonta",Mercado_Receita!$L$2:$L$1099)+SUMIF(Mercado_Receita!$S$2:$S$1099,"44652B1ConvencionalResidencialResidencial baixa renda – faixa 01Não se aplicaNão se aplicaFora ponta",Mercado_Receita!$L$2:$L$1099)+SUMIF(Mercado_Receita!$S$2:$S$1099,"44652B1ConvencionalResidencialResidencial baixa renda – faixa 01Não se aplicaNão se aplicaIntermediário",Mercado_Receita!$L$2:$L$1099)+SUMIF(Mercado_Receita!$S$2:$S$1099,"44652B1ConvencionalResidencialResidencial baixa renda – faixa 01Não se aplicaNão se aplicaNão se aplica",Mercado_Receita!$L$2:$L$1099)</f>
        <v>29.131</v>
      </c>
      <c r="S22" s="13">
        <f>SUMIF(Mercado_Receita!$S$2:$S$1099,"44682B1ConvencionalResidencialResidencial baixa renda – faixa 01Não se aplicaNão se aplicaPonta",Mercado_Receita!$L$2:$L$1099)+SUMIF(Mercado_Receita!$S$2:$S$1099,"44682B1ConvencionalResidencialResidencial baixa renda – faixa 01Não se aplicaNão se aplicaFora ponta",Mercado_Receita!$L$2:$L$1099)+SUMIF(Mercado_Receita!$S$2:$S$1099,"44682B1ConvencionalResidencialResidencial baixa renda – faixa 01Não se aplicaNão se aplicaIntermediário",Mercado_Receita!$L$2:$L$1099)+SUMIF(Mercado_Receita!$S$2:$S$1099,"44682B1ConvencionalResidencialResidencial baixa renda – faixa 01Não se aplicaNão se aplicaNão se aplica",Mercado_Receita!$L$2:$L$1099)</f>
        <v>31.393000000000001</v>
      </c>
      <c r="T22" s="13">
        <f>SUMIF(Mercado_Receita!$S$2:$S$1099,"44713B1ConvencionalResidencialResidencial baixa renda – faixa 01Não se aplicaNão se aplicaPonta",Mercado_Receita!$L$2:$L$1099)+SUMIF(Mercado_Receita!$S$2:$S$1099,"44713B1ConvencionalResidencialResidencial baixa renda – faixa 01Não se aplicaNão se aplicaFora ponta",Mercado_Receita!$L$2:$L$1099)+SUMIF(Mercado_Receita!$S$2:$S$1099,"44713B1ConvencionalResidencialResidencial baixa renda – faixa 01Não se aplicaNão se aplicaIntermediário",Mercado_Receita!$L$2:$L$1099)+SUMIF(Mercado_Receita!$S$2:$S$1099,"44713B1ConvencionalResidencialResidencial baixa renda – faixa 01Não se aplicaNão se aplicaNão se aplica",Mercado_Receita!$L$2:$L$1099)</f>
        <v>31.39</v>
      </c>
      <c r="U22" s="13">
        <f t="shared" si="0"/>
        <v>175.73700000000002</v>
      </c>
      <c r="V22" s="13"/>
      <c r="W22" s="13"/>
    </row>
    <row r="23" spans="1:23" ht="11.25" customHeight="1" x14ac:dyDescent="0.25">
      <c r="A23" s="95"/>
      <c r="B23" s="95"/>
      <c r="C23" s="95"/>
      <c r="D23" s="12" t="s">
        <v>30</v>
      </c>
      <c r="E23" s="12" t="s">
        <v>25</v>
      </c>
      <c r="F23" s="12" t="s">
        <v>25</v>
      </c>
      <c r="G23" s="13" t="s">
        <v>88</v>
      </c>
      <c r="H23" s="13" t="s">
        <v>82</v>
      </c>
      <c r="I23" s="13">
        <f>SUMIF(Mercado_Receita!$S$2:$S$1099,"44378B1ConvencionalResidencialResidencial baixa renda – faixa 02Não se aplicaNão se aplicaPonta",Mercado_Receita!$L$2:$L$1099)+SUMIF(Mercado_Receita!$S$2:$S$1099,"44378B1ConvencionalResidencialResidencial baixa renda – faixa 02Não se aplicaNão se aplicaFora ponta",Mercado_Receita!$L$2:$L$1099)+SUMIF(Mercado_Receita!$S$2:$S$1099,"44378B1ConvencionalResidencialResidencial baixa renda – faixa 02Não se aplicaNão se aplicaIntermediário",Mercado_Receita!$L$2:$L$1099)+SUMIF(Mercado_Receita!$S$2:$S$1099,"44378B1ConvencionalResidencialResidencial baixa renda – faixa 02Não se aplicaNão se aplicaNão se aplica",Mercado_Receita!$L$2:$L$1099)</f>
        <v>1.8169999999999999</v>
      </c>
      <c r="J23" s="13">
        <f>SUMIF(Mercado_Receita!$S$2:$S$1099,"44409B1ConvencionalResidencialResidencial baixa renda – faixa 02Não se aplicaNão se aplicaPonta",Mercado_Receita!$L$2:$L$1099)+SUMIF(Mercado_Receita!$S$2:$S$1099,"44409B1ConvencionalResidencialResidencial baixa renda – faixa 02Não se aplicaNão se aplicaFora ponta",Mercado_Receita!$L$2:$L$1099)+SUMIF(Mercado_Receita!$S$2:$S$1099,"44409B1ConvencionalResidencialResidencial baixa renda – faixa 02Não se aplicaNão se aplicaIntermediário",Mercado_Receita!$L$2:$L$1099)+SUMIF(Mercado_Receita!$S$2:$S$1099,"44409B1ConvencionalResidencialResidencial baixa renda – faixa 02Não se aplicaNão se aplicaNão se aplica",Mercado_Receita!$L$2:$L$1099)</f>
        <v>1.9450000000000001</v>
      </c>
      <c r="K23" s="13">
        <f>SUMIF(Mercado_Receita!$S$2:$S$1099,"44440B1ConvencionalResidencialResidencial baixa renda – faixa 02Não se aplicaNão se aplicaPonta",Mercado_Receita!$L$2:$L$1099)+SUMIF(Mercado_Receita!$S$2:$S$1099,"44440B1ConvencionalResidencialResidencial baixa renda – faixa 02Não se aplicaNão se aplicaFora ponta",Mercado_Receita!$L$2:$L$1099)+SUMIF(Mercado_Receita!$S$2:$S$1099,"44440B1ConvencionalResidencialResidencial baixa renda – faixa 02Não se aplicaNão se aplicaIntermediário",Mercado_Receita!$L$2:$L$1099)+SUMIF(Mercado_Receita!$S$2:$S$1099,"44440B1ConvencionalResidencialResidencial baixa renda – faixa 02Não se aplicaNão se aplicaNão se aplica",Mercado_Receita!$L$2:$L$1099)</f>
        <v>1.7030000000000001</v>
      </c>
      <c r="L23" s="13">
        <f>SUMIF(Mercado_Receita!$S$2:$S$1099,"44470B1ConvencionalResidencialResidencial baixa renda – faixa 02Não se aplicaNão se aplicaPonta",Mercado_Receita!$L$2:$L$1099)+SUMIF(Mercado_Receita!$S$2:$S$1099,"44470B1ConvencionalResidencialResidencial baixa renda – faixa 02Não se aplicaNão se aplicaFora ponta",Mercado_Receita!$L$2:$L$1099)+SUMIF(Mercado_Receita!$S$2:$S$1099,"44470B1ConvencionalResidencialResidencial baixa renda – faixa 02Não se aplicaNão se aplicaIntermediário",Mercado_Receita!$L$2:$L$1099)+SUMIF(Mercado_Receita!$S$2:$S$1099,"44470B1ConvencionalResidencialResidencial baixa renda – faixa 02Não se aplicaNão se aplicaNão se aplica",Mercado_Receita!$L$2:$L$1099)</f>
        <v>1.8560000000000001</v>
      </c>
      <c r="M23" s="13">
        <f>SUMIF(Mercado_Receita!$S$2:$S$1099,"44501B1ConvencionalResidencialResidencial baixa renda – faixa 02Não se aplicaNão se aplicaPonta",Mercado_Receita!$L$2:$L$1099)+SUMIF(Mercado_Receita!$S$2:$S$1099,"44501B1ConvencionalResidencialResidencial baixa renda – faixa 02Não se aplicaNão se aplicaFora ponta",Mercado_Receita!$L$2:$L$1099)+SUMIF(Mercado_Receita!$S$2:$S$1099,"44501B1ConvencionalResidencialResidencial baixa renda – faixa 02Não se aplicaNão se aplicaIntermediário",Mercado_Receita!$L$2:$L$1099)+SUMIF(Mercado_Receita!$S$2:$S$1099,"44501B1ConvencionalResidencialResidencial baixa renda – faixa 02Não se aplicaNão se aplicaNão se aplica",Mercado_Receita!$L$2:$L$1099)</f>
        <v>1.5760000000000001</v>
      </c>
      <c r="N23" s="13">
        <f>SUMIF(Mercado_Receita!$S$2:$S$1099,"44531B1ConvencionalResidencialResidencial baixa renda – faixa 02Não se aplicaNão se aplicaPonta",Mercado_Receita!$L$2:$L$1099)+SUMIF(Mercado_Receita!$S$2:$S$1099,"44531B1ConvencionalResidencialResidencial baixa renda – faixa 02Não se aplicaNão se aplicaFora ponta",Mercado_Receita!$L$2:$L$1099)+SUMIF(Mercado_Receita!$S$2:$S$1099,"44531B1ConvencionalResidencialResidencial baixa renda – faixa 02Não se aplicaNão se aplicaIntermediário",Mercado_Receita!$L$2:$L$1099)+SUMIF(Mercado_Receita!$S$2:$S$1099,"44531B1ConvencionalResidencialResidencial baixa renda – faixa 02Não se aplicaNão se aplicaNão se aplica",Mercado_Receita!$L$2:$L$1099)</f>
        <v>2.04</v>
      </c>
      <c r="O23" s="13">
        <f>SUMIF(Mercado_Receita!$S$2:$S$1099,"44562B1ConvencionalResidencialResidencial baixa renda – faixa 02Não se aplicaNão se aplicaPonta",Mercado_Receita!$L$2:$L$1099)+SUMIF(Mercado_Receita!$S$2:$S$1099,"44562B1ConvencionalResidencialResidencial baixa renda – faixa 02Não se aplicaNão se aplicaFora ponta",Mercado_Receita!$L$2:$L$1099)+SUMIF(Mercado_Receita!$S$2:$S$1099,"44562B1ConvencionalResidencialResidencial baixa renda – faixa 02Não se aplicaNão se aplicaIntermediário",Mercado_Receita!$L$2:$L$1099)+SUMIF(Mercado_Receita!$S$2:$S$1099,"44562B1ConvencionalResidencialResidencial baixa renda – faixa 02Não se aplicaNão se aplicaNão se aplica",Mercado_Receita!$L$2:$L$1099)</f>
        <v>11.269</v>
      </c>
      <c r="P23" s="13">
        <f>SUMIF(Mercado_Receita!$S$2:$S$1099,"44593B1ConvencionalResidencialResidencial baixa renda – faixa 02Não se aplicaNão se aplicaPonta",Mercado_Receita!$L$2:$L$1099)+SUMIF(Mercado_Receita!$S$2:$S$1099,"44593B1ConvencionalResidencialResidencial baixa renda – faixa 02Não se aplicaNão se aplicaFora ponta",Mercado_Receita!$L$2:$L$1099)+SUMIF(Mercado_Receita!$S$2:$S$1099,"44593B1ConvencionalResidencialResidencial baixa renda – faixa 02Não se aplicaNão se aplicaIntermediário",Mercado_Receita!$L$2:$L$1099)+SUMIF(Mercado_Receita!$S$2:$S$1099,"44593B1ConvencionalResidencialResidencial baixa renda – faixa 02Não se aplicaNão se aplicaNão se aplica",Mercado_Receita!$L$2:$L$1099)</f>
        <v>3.0270000000000001</v>
      </c>
      <c r="Q23" s="13">
        <f>SUMIF(Mercado_Receita!$S$2:$S$1099,"44621B1ConvencionalResidencialResidencial baixa renda – faixa 02Não se aplicaNão se aplicaPonta",Mercado_Receita!$L$2:$L$1099)+SUMIF(Mercado_Receita!$S$2:$S$1099,"44621B1ConvencionalResidencialResidencial baixa renda – faixa 02Não se aplicaNão se aplicaFora ponta",Mercado_Receita!$L$2:$L$1099)+SUMIF(Mercado_Receita!$S$2:$S$1099,"44621B1ConvencionalResidencialResidencial baixa renda – faixa 02Não se aplicaNão se aplicaIntermediário",Mercado_Receita!$L$2:$L$1099)+SUMIF(Mercado_Receita!$S$2:$S$1099,"44621B1ConvencionalResidencialResidencial baixa renda – faixa 02Não se aplicaNão se aplicaNão se aplica",Mercado_Receita!$L$2:$L$1099)</f>
        <v>4.7570000000000006</v>
      </c>
      <c r="R23" s="13">
        <f>SUMIF(Mercado_Receita!$S$2:$S$1099,"44652B1ConvencionalResidencialResidencial baixa renda – faixa 02Não se aplicaNão se aplicaPonta",Mercado_Receita!$L$2:$L$1099)+SUMIF(Mercado_Receita!$S$2:$S$1099,"44652B1ConvencionalResidencialResidencial baixa renda – faixa 02Não se aplicaNão se aplicaFora ponta",Mercado_Receita!$L$2:$L$1099)+SUMIF(Mercado_Receita!$S$2:$S$1099,"44652B1ConvencionalResidencialResidencial baixa renda – faixa 02Não se aplicaNão se aplicaIntermediário",Mercado_Receita!$L$2:$L$1099)+SUMIF(Mercado_Receita!$S$2:$S$1099,"44652B1ConvencionalResidencialResidencial baixa renda – faixa 02Não se aplicaNão se aplicaNão se aplica",Mercado_Receita!$L$2:$L$1099)</f>
        <v>9.3559999999999999</v>
      </c>
      <c r="S23" s="13">
        <f>SUMIF(Mercado_Receita!$S$2:$S$1099,"44682B1ConvencionalResidencialResidencial baixa renda – faixa 02Não se aplicaNão se aplicaPonta",Mercado_Receita!$L$2:$L$1099)+SUMIF(Mercado_Receita!$S$2:$S$1099,"44682B1ConvencionalResidencialResidencial baixa renda – faixa 02Não se aplicaNão se aplicaFora ponta",Mercado_Receita!$L$2:$L$1099)+SUMIF(Mercado_Receita!$S$2:$S$1099,"44682B1ConvencionalResidencialResidencial baixa renda – faixa 02Não se aplicaNão se aplicaIntermediário",Mercado_Receita!$L$2:$L$1099)+SUMIF(Mercado_Receita!$S$2:$S$1099,"44682B1ConvencionalResidencialResidencial baixa renda – faixa 02Não se aplicaNão se aplicaNão se aplica",Mercado_Receita!$L$2:$L$1099)</f>
        <v>10.936</v>
      </c>
      <c r="T23" s="13">
        <f>SUMIF(Mercado_Receita!$S$2:$S$1099,"44713B1ConvencionalResidencialResidencial baixa renda – faixa 02Não se aplicaNão se aplicaPonta",Mercado_Receita!$L$2:$L$1099)+SUMIF(Mercado_Receita!$S$2:$S$1099,"44713B1ConvencionalResidencialResidencial baixa renda – faixa 02Não se aplicaNão se aplicaFora ponta",Mercado_Receita!$L$2:$L$1099)+SUMIF(Mercado_Receita!$S$2:$S$1099,"44713B1ConvencionalResidencialResidencial baixa renda – faixa 02Não se aplicaNão se aplicaIntermediário",Mercado_Receita!$L$2:$L$1099)+SUMIF(Mercado_Receita!$S$2:$S$1099,"44713B1ConvencionalResidencialResidencial baixa renda – faixa 02Não se aplicaNão se aplicaNão se aplica",Mercado_Receita!$L$2:$L$1099)</f>
        <v>9.8409999999999993</v>
      </c>
      <c r="U23" s="13">
        <f t="shared" si="0"/>
        <v>60.123000000000005</v>
      </c>
      <c r="V23" s="13"/>
      <c r="W23" s="13"/>
    </row>
    <row r="24" spans="1:23" ht="11.25" customHeight="1" x14ac:dyDescent="0.25">
      <c r="A24" s="95"/>
      <c r="B24" s="95"/>
      <c r="C24" s="95"/>
      <c r="D24" s="12" t="s">
        <v>31</v>
      </c>
      <c r="E24" s="12" t="s">
        <v>25</v>
      </c>
      <c r="F24" s="12" t="s">
        <v>25</v>
      </c>
      <c r="G24" s="13" t="s">
        <v>88</v>
      </c>
      <c r="H24" s="13" t="s">
        <v>82</v>
      </c>
      <c r="I24" s="13">
        <f>SUMIF(Mercado_Receita!$S$2:$S$1099,"44378B1ConvencionalResidencialResidencial baixa renda – faixa 03Não se aplicaNão se aplicaPonta",Mercado_Receita!$L$2:$L$1099)+SUMIF(Mercado_Receita!$S$2:$S$1099,"44378B1ConvencionalResidencialResidencial baixa renda – faixa 03Não se aplicaNão se aplicaFora ponta",Mercado_Receita!$L$2:$L$1099)+SUMIF(Mercado_Receita!$S$2:$S$1099,"44378B1ConvencionalResidencialResidencial baixa renda – faixa 03Não se aplicaNão se aplicaIntermediário",Mercado_Receita!$L$2:$L$1099)+SUMIF(Mercado_Receita!$S$2:$S$1099,"44378B1ConvencionalResidencialResidencial baixa renda – faixa 03Não se aplicaNão se aplicaNão se aplica",Mercado_Receita!$L$2:$L$1099)</f>
        <v>20.117999999999999</v>
      </c>
      <c r="J24" s="13">
        <f>SUMIF(Mercado_Receita!$S$2:$S$1099,"44409B1ConvencionalResidencialResidencial baixa renda – faixa 03Não se aplicaNão se aplicaPonta",Mercado_Receita!$L$2:$L$1099)+SUMIF(Mercado_Receita!$S$2:$S$1099,"44409B1ConvencionalResidencialResidencial baixa renda – faixa 03Não se aplicaNão se aplicaFora ponta",Mercado_Receita!$L$2:$L$1099)+SUMIF(Mercado_Receita!$S$2:$S$1099,"44409B1ConvencionalResidencialResidencial baixa renda – faixa 03Não se aplicaNão se aplicaIntermediário",Mercado_Receita!$L$2:$L$1099)+SUMIF(Mercado_Receita!$S$2:$S$1099,"44409B1ConvencionalResidencialResidencial baixa renda – faixa 03Não se aplicaNão se aplicaNão se aplica",Mercado_Receita!$L$2:$L$1099)</f>
        <v>21.292999999999999</v>
      </c>
      <c r="K24" s="13">
        <f>SUMIF(Mercado_Receita!$S$2:$S$1099,"44440B1ConvencionalResidencialResidencial baixa renda – faixa 03Não se aplicaNão se aplicaPonta",Mercado_Receita!$L$2:$L$1099)+SUMIF(Mercado_Receita!$S$2:$S$1099,"44440B1ConvencionalResidencialResidencial baixa renda – faixa 03Não se aplicaNão se aplicaFora ponta",Mercado_Receita!$L$2:$L$1099)+SUMIF(Mercado_Receita!$S$2:$S$1099,"44440B1ConvencionalResidencialResidencial baixa renda – faixa 03Não se aplicaNão se aplicaIntermediário",Mercado_Receita!$L$2:$L$1099)+SUMIF(Mercado_Receita!$S$2:$S$1099,"44440B1ConvencionalResidencialResidencial baixa renda – faixa 03Não se aplicaNão se aplicaNão se aplica",Mercado_Receita!$L$2:$L$1099)</f>
        <v>22.510999999999999</v>
      </c>
      <c r="L24" s="13">
        <f>SUMIF(Mercado_Receita!$S$2:$S$1099,"44470B1ConvencionalResidencialResidencial baixa renda – faixa 03Não se aplicaNão se aplicaPonta",Mercado_Receita!$L$2:$L$1099)+SUMIF(Mercado_Receita!$S$2:$S$1099,"44470B1ConvencionalResidencialResidencial baixa renda – faixa 03Não se aplicaNão se aplicaFora ponta",Mercado_Receita!$L$2:$L$1099)+SUMIF(Mercado_Receita!$S$2:$S$1099,"44470B1ConvencionalResidencialResidencial baixa renda – faixa 03Não se aplicaNão se aplicaIntermediário",Mercado_Receita!$L$2:$L$1099)+SUMIF(Mercado_Receita!$S$2:$S$1099,"44470B1ConvencionalResidencialResidencial baixa renda – faixa 03Não se aplicaNão se aplicaNão se aplica",Mercado_Receita!$L$2:$L$1099)</f>
        <v>22.129000000000001</v>
      </c>
      <c r="M24" s="13">
        <f>SUMIF(Mercado_Receita!$S$2:$S$1099,"44501B1ConvencionalResidencialResidencial baixa renda – faixa 03Não se aplicaNão se aplicaPonta",Mercado_Receita!$L$2:$L$1099)+SUMIF(Mercado_Receita!$S$2:$S$1099,"44501B1ConvencionalResidencialResidencial baixa renda – faixa 03Não se aplicaNão se aplicaFora ponta",Mercado_Receita!$L$2:$L$1099)+SUMIF(Mercado_Receita!$S$2:$S$1099,"44501B1ConvencionalResidencialResidencial baixa renda – faixa 03Não se aplicaNão se aplicaIntermediário",Mercado_Receita!$L$2:$L$1099)+SUMIF(Mercado_Receita!$S$2:$S$1099,"44501B1ConvencionalResidencialResidencial baixa renda – faixa 03Não se aplicaNão se aplicaNão se aplica",Mercado_Receita!$L$2:$L$1099)</f>
        <v>22.507999999999999</v>
      </c>
      <c r="N24" s="13">
        <f>SUMIF(Mercado_Receita!$S$2:$S$1099,"44531B1ConvencionalResidencialResidencial baixa renda – faixa 03Não se aplicaNão se aplicaPonta",Mercado_Receita!$L$2:$L$1099)+SUMIF(Mercado_Receita!$S$2:$S$1099,"44531B1ConvencionalResidencialResidencial baixa renda – faixa 03Não se aplicaNão se aplicaFora ponta",Mercado_Receita!$L$2:$L$1099)+SUMIF(Mercado_Receita!$S$2:$S$1099,"44531B1ConvencionalResidencialResidencial baixa renda – faixa 03Não se aplicaNão se aplicaIntermediário",Mercado_Receita!$L$2:$L$1099)+SUMIF(Mercado_Receita!$S$2:$S$1099,"44531B1ConvencionalResidencialResidencial baixa renda – faixa 03Não se aplicaNão se aplicaNão se aplica",Mercado_Receita!$L$2:$L$1099)</f>
        <v>22.89</v>
      </c>
      <c r="O24" s="13">
        <f>SUMIF(Mercado_Receita!$S$2:$S$1099,"44562B1ConvencionalResidencialResidencial baixa renda – faixa 03Não se aplicaNão se aplicaPonta",Mercado_Receita!$L$2:$L$1099)+SUMIF(Mercado_Receita!$S$2:$S$1099,"44562B1ConvencionalResidencialResidencial baixa renda – faixa 03Não se aplicaNão se aplicaFora ponta",Mercado_Receita!$L$2:$L$1099)+SUMIF(Mercado_Receita!$S$2:$S$1099,"44562B1ConvencionalResidencialResidencial baixa renda – faixa 03Não se aplicaNão se aplicaIntermediário",Mercado_Receita!$L$2:$L$1099)+SUMIF(Mercado_Receita!$S$2:$S$1099,"44562B1ConvencionalResidencialResidencial baixa renda – faixa 03Não se aplicaNão se aplicaNão se aplica",Mercado_Receita!$L$2:$L$1099)</f>
        <v>21.262</v>
      </c>
      <c r="P24" s="13">
        <f>SUMIF(Mercado_Receita!$S$2:$S$1099,"44593B1ConvencionalResidencialResidencial baixa renda – faixa 03Não se aplicaNão se aplicaPonta",Mercado_Receita!$L$2:$L$1099)+SUMIF(Mercado_Receita!$S$2:$S$1099,"44593B1ConvencionalResidencialResidencial baixa renda – faixa 03Não se aplicaNão se aplicaFora ponta",Mercado_Receita!$L$2:$L$1099)+SUMIF(Mercado_Receita!$S$2:$S$1099,"44593B1ConvencionalResidencialResidencial baixa renda – faixa 03Não se aplicaNão se aplicaIntermediário",Mercado_Receita!$L$2:$L$1099)+SUMIF(Mercado_Receita!$S$2:$S$1099,"44593B1ConvencionalResidencialResidencial baixa renda – faixa 03Não se aplicaNão se aplicaNão se aplica",Mercado_Receita!$L$2:$L$1099)</f>
        <v>37.314999999999998</v>
      </c>
      <c r="Q24" s="13">
        <f>SUMIF(Mercado_Receita!$S$2:$S$1099,"44621B1ConvencionalResidencialResidencial baixa renda – faixa 03Não se aplicaNão se aplicaPonta",Mercado_Receita!$L$2:$L$1099)+SUMIF(Mercado_Receita!$S$2:$S$1099,"44621B1ConvencionalResidencialResidencial baixa renda – faixa 03Não se aplicaNão se aplicaFora ponta",Mercado_Receita!$L$2:$L$1099)+SUMIF(Mercado_Receita!$S$2:$S$1099,"44621B1ConvencionalResidencialResidencial baixa renda – faixa 03Não se aplicaNão se aplicaIntermediário",Mercado_Receita!$L$2:$L$1099)+SUMIF(Mercado_Receita!$S$2:$S$1099,"44621B1ConvencionalResidencialResidencial baixa renda – faixa 03Não se aplicaNão se aplicaNão se aplica",Mercado_Receita!$L$2:$L$1099)</f>
        <v>46.061999999999998</v>
      </c>
      <c r="R24" s="13">
        <f>SUMIF(Mercado_Receita!$S$2:$S$1099,"44652B1ConvencionalResidencialResidencial baixa renda – faixa 03Não se aplicaNão se aplicaPonta",Mercado_Receita!$L$2:$L$1099)+SUMIF(Mercado_Receita!$S$2:$S$1099,"44652B1ConvencionalResidencialResidencial baixa renda – faixa 03Não se aplicaNão se aplicaFora ponta",Mercado_Receita!$L$2:$L$1099)+SUMIF(Mercado_Receita!$S$2:$S$1099,"44652B1ConvencionalResidencialResidencial baixa renda – faixa 03Não se aplicaNão se aplicaIntermediário",Mercado_Receita!$L$2:$L$1099)+SUMIF(Mercado_Receita!$S$2:$S$1099,"44652B1ConvencionalResidencialResidencial baixa renda – faixa 03Não se aplicaNão se aplicaNão se aplica",Mercado_Receita!$L$2:$L$1099)</f>
        <v>74.695999999999998</v>
      </c>
      <c r="S24" s="13">
        <f>SUMIF(Mercado_Receita!$S$2:$S$1099,"44682B1ConvencionalResidencialResidencial baixa renda – faixa 03Não se aplicaNão se aplicaPonta",Mercado_Receita!$L$2:$L$1099)+SUMIF(Mercado_Receita!$S$2:$S$1099,"44682B1ConvencionalResidencialResidencial baixa renda – faixa 03Não se aplicaNão se aplicaFora ponta",Mercado_Receita!$L$2:$L$1099)+SUMIF(Mercado_Receita!$S$2:$S$1099,"44682B1ConvencionalResidencialResidencial baixa renda – faixa 03Não se aplicaNão se aplicaIntermediário",Mercado_Receita!$L$2:$L$1099)+SUMIF(Mercado_Receita!$S$2:$S$1099,"44682B1ConvencionalResidencialResidencial baixa renda – faixa 03Não se aplicaNão se aplicaNão se aplica",Mercado_Receita!$L$2:$L$1099)</f>
        <v>76.350999999999999</v>
      </c>
      <c r="T24" s="13">
        <f>SUMIF(Mercado_Receita!$S$2:$S$1099,"44713B1ConvencionalResidencialResidencial baixa renda – faixa 03Não se aplicaNão se aplicaPonta",Mercado_Receita!$L$2:$L$1099)+SUMIF(Mercado_Receita!$S$2:$S$1099,"44713B1ConvencionalResidencialResidencial baixa renda – faixa 03Não se aplicaNão se aplicaFora ponta",Mercado_Receita!$L$2:$L$1099)+SUMIF(Mercado_Receita!$S$2:$S$1099,"44713B1ConvencionalResidencialResidencial baixa renda – faixa 03Não se aplicaNão se aplicaIntermediário",Mercado_Receita!$L$2:$L$1099)+SUMIF(Mercado_Receita!$S$2:$S$1099,"44713B1ConvencionalResidencialResidencial baixa renda – faixa 03Não se aplicaNão se aplicaNão se aplica",Mercado_Receita!$L$2:$L$1099)</f>
        <v>76.298000000000002</v>
      </c>
      <c r="U24" s="13">
        <f t="shared" si="0"/>
        <v>463.43299999999999</v>
      </c>
      <c r="V24" s="13"/>
      <c r="W24" s="13"/>
    </row>
    <row r="25" spans="1:23" ht="11.25" customHeight="1" x14ac:dyDescent="0.25">
      <c r="A25" s="95"/>
      <c r="B25" s="95"/>
      <c r="C25" s="95"/>
      <c r="D25" s="12" t="s">
        <v>32</v>
      </c>
      <c r="E25" s="12" t="s">
        <v>25</v>
      </c>
      <c r="F25" s="12" t="s">
        <v>25</v>
      </c>
      <c r="G25" s="13" t="s">
        <v>88</v>
      </c>
      <c r="H25" s="13" t="s">
        <v>82</v>
      </c>
      <c r="I25" s="13">
        <f>SUMIF(Mercado_Receita!$S$2:$S$1099,"44378B1ConvencionalResidencialResidencial baixa renda – faixa 04Não se aplicaNão se aplicaPonta",Mercado_Receita!$L$2:$L$1099)+SUMIF(Mercado_Receita!$S$2:$S$1099,"44378B1ConvencionalResidencialResidencial baixa renda – faixa 04Não se aplicaNão se aplicaFora ponta",Mercado_Receita!$L$2:$L$1099)+SUMIF(Mercado_Receita!$S$2:$S$1099,"44378B1ConvencionalResidencialResidencial baixa renda – faixa 04Não se aplicaNão se aplicaIntermediário",Mercado_Receita!$L$2:$L$1099)+SUMIF(Mercado_Receita!$S$2:$S$1099,"44378B1ConvencionalResidencialResidencial baixa renda – faixa 04Não se aplicaNão se aplicaNão se aplica",Mercado_Receita!$L$2:$L$1099)</f>
        <v>11.489000000000001</v>
      </c>
      <c r="J25" s="13">
        <f>SUMIF(Mercado_Receita!$S$2:$S$1099,"44409B1ConvencionalResidencialResidencial baixa renda – faixa 04Não se aplicaNão se aplicaPonta",Mercado_Receita!$L$2:$L$1099)+SUMIF(Mercado_Receita!$S$2:$S$1099,"44409B1ConvencionalResidencialResidencial baixa renda – faixa 04Não se aplicaNão se aplicaFora ponta",Mercado_Receita!$L$2:$L$1099)+SUMIF(Mercado_Receita!$S$2:$S$1099,"44409B1ConvencionalResidencialResidencial baixa renda – faixa 04Não se aplicaNão se aplicaIntermediário",Mercado_Receita!$L$2:$L$1099)+SUMIF(Mercado_Receita!$S$2:$S$1099,"44409B1ConvencionalResidencialResidencial baixa renda – faixa 04Não se aplicaNão se aplicaNão se aplica",Mercado_Receita!$L$2:$L$1099)</f>
        <v>12.069999999999999</v>
      </c>
      <c r="K25" s="13">
        <f>SUMIF(Mercado_Receita!$S$2:$S$1099,"44440B1ConvencionalResidencialResidencial baixa renda – faixa 04Não se aplicaNão se aplicaPonta",Mercado_Receita!$L$2:$L$1099)+SUMIF(Mercado_Receita!$S$2:$S$1099,"44440B1ConvencionalResidencialResidencial baixa renda – faixa 04Não se aplicaNão se aplicaFora ponta",Mercado_Receita!$L$2:$L$1099)+SUMIF(Mercado_Receita!$S$2:$S$1099,"44440B1ConvencionalResidencialResidencial baixa renda – faixa 04Não se aplicaNão se aplicaIntermediário",Mercado_Receita!$L$2:$L$1099)+SUMIF(Mercado_Receita!$S$2:$S$1099,"44440B1ConvencionalResidencialResidencial baixa renda – faixa 04Não se aplicaNão se aplicaNão se aplica",Mercado_Receita!$L$2:$L$1099)</f>
        <v>12.894</v>
      </c>
      <c r="L25" s="13">
        <f>SUMIF(Mercado_Receita!$S$2:$S$1099,"44470B1ConvencionalResidencialResidencial baixa renda – faixa 04Não se aplicaNão se aplicaPonta",Mercado_Receita!$L$2:$L$1099)+SUMIF(Mercado_Receita!$S$2:$S$1099,"44470B1ConvencionalResidencialResidencial baixa renda – faixa 04Não se aplicaNão se aplicaFora ponta",Mercado_Receita!$L$2:$L$1099)+SUMIF(Mercado_Receita!$S$2:$S$1099,"44470B1ConvencionalResidencialResidencial baixa renda – faixa 04Não se aplicaNão se aplicaIntermediário",Mercado_Receita!$L$2:$L$1099)+SUMIF(Mercado_Receita!$S$2:$S$1099,"44470B1ConvencionalResidencialResidencial baixa renda – faixa 04Não se aplicaNão se aplicaNão se aplica",Mercado_Receita!$L$2:$L$1099)</f>
        <v>11.397</v>
      </c>
      <c r="M25" s="13">
        <f>SUMIF(Mercado_Receita!$S$2:$S$1099,"44501B1ConvencionalResidencialResidencial baixa renda – faixa 04Não se aplicaNão se aplicaPonta",Mercado_Receita!$L$2:$L$1099)+SUMIF(Mercado_Receita!$S$2:$S$1099,"44501B1ConvencionalResidencialResidencial baixa renda – faixa 04Não se aplicaNão se aplicaFora ponta",Mercado_Receita!$L$2:$L$1099)+SUMIF(Mercado_Receita!$S$2:$S$1099,"44501B1ConvencionalResidencialResidencial baixa renda – faixa 04Não se aplicaNão se aplicaIntermediário",Mercado_Receita!$L$2:$L$1099)+SUMIF(Mercado_Receita!$S$2:$S$1099,"44501B1ConvencionalResidencialResidencial baixa renda – faixa 04Não se aplicaNão se aplicaNão se aplica",Mercado_Receita!$L$2:$L$1099)</f>
        <v>14.802000000000001</v>
      </c>
      <c r="N25" s="13">
        <f>SUMIF(Mercado_Receita!$S$2:$S$1099,"44531B1ConvencionalResidencialResidencial baixa renda – faixa 04Não se aplicaNão se aplicaPonta",Mercado_Receita!$L$2:$L$1099)+SUMIF(Mercado_Receita!$S$2:$S$1099,"44531B1ConvencionalResidencialResidencial baixa renda – faixa 04Não se aplicaNão se aplicaFora ponta",Mercado_Receita!$L$2:$L$1099)+SUMIF(Mercado_Receita!$S$2:$S$1099,"44531B1ConvencionalResidencialResidencial baixa renda – faixa 04Não se aplicaNão se aplicaIntermediário",Mercado_Receita!$L$2:$L$1099)+SUMIF(Mercado_Receita!$S$2:$S$1099,"44531B1ConvencionalResidencialResidencial baixa renda – faixa 04Não se aplicaNão se aplicaNão se aplica",Mercado_Receita!$L$2:$L$1099)</f>
        <v>13.026</v>
      </c>
      <c r="O25" s="13">
        <f>SUMIF(Mercado_Receita!$S$2:$S$1099,"44562B1ConvencionalResidencialResidencial baixa renda – faixa 04Não se aplicaNão se aplicaPonta",Mercado_Receita!$L$2:$L$1099)+SUMIF(Mercado_Receita!$S$2:$S$1099,"44562B1ConvencionalResidencialResidencial baixa renda – faixa 04Não se aplicaNão se aplicaFora ponta",Mercado_Receita!$L$2:$L$1099)+SUMIF(Mercado_Receita!$S$2:$S$1099,"44562B1ConvencionalResidencialResidencial baixa renda – faixa 04Não se aplicaNão se aplicaIntermediário",Mercado_Receita!$L$2:$L$1099)+SUMIF(Mercado_Receita!$S$2:$S$1099,"44562B1ConvencionalResidencialResidencial baixa renda – faixa 04Não se aplicaNão se aplicaNão se aplica",Mercado_Receita!$L$2:$L$1099)</f>
        <v>15.836</v>
      </c>
      <c r="P25" s="13">
        <f>SUMIF(Mercado_Receita!$S$2:$S$1099,"44593B1ConvencionalResidencialResidencial baixa renda – faixa 04Não se aplicaNão se aplicaPonta",Mercado_Receita!$L$2:$L$1099)+SUMIF(Mercado_Receita!$S$2:$S$1099,"44593B1ConvencionalResidencialResidencial baixa renda – faixa 04Não se aplicaNão se aplicaFora ponta",Mercado_Receita!$L$2:$L$1099)+SUMIF(Mercado_Receita!$S$2:$S$1099,"44593B1ConvencionalResidencialResidencial baixa renda – faixa 04Não se aplicaNão se aplicaIntermediário",Mercado_Receita!$L$2:$L$1099)+SUMIF(Mercado_Receita!$S$2:$S$1099,"44593B1ConvencionalResidencialResidencial baixa renda – faixa 04Não se aplicaNão se aplicaNão se aplica",Mercado_Receita!$L$2:$L$1099)</f>
        <v>39.064</v>
      </c>
      <c r="Q25" s="13">
        <f>SUMIF(Mercado_Receita!$S$2:$S$1099,"44621B1ConvencionalResidencialResidencial baixa renda – faixa 04Não se aplicaNão se aplicaPonta",Mercado_Receita!$L$2:$L$1099)+SUMIF(Mercado_Receita!$S$2:$S$1099,"44621B1ConvencionalResidencialResidencial baixa renda – faixa 04Não se aplicaNão se aplicaFora ponta",Mercado_Receita!$L$2:$L$1099)+SUMIF(Mercado_Receita!$S$2:$S$1099,"44621B1ConvencionalResidencialResidencial baixa renda – faixa 04Não se aplicaNão se aplicaIntermediário",Mercado_Receita!$L$2:$L$1099)+SUMIF(Mercado_Receita!$S$2:$S$1099,"44621B1ConvencionalResidencialResidencial baixa renda – faixa 04Não se aplicaNão se aplicaNão se aplica",Mercado_Receita!$L$2:$L$1099)</f>
        <v>35.491999999999997</v>
      </c>
      <c r="R25" s="13">
        <f>SUMIF(Mercado_Receita!$S$2:$S$1099,"44652B1ConvencionalResidencialResidencial baixa renda – faixa 04Não se aplicaNão se aplicaPonta",Mercado_Receita!$L$2:$L$1099)+SUMIF(Mercado_Receita!$S$2:$S$1099,"44652B1ConvencionalResidencialResidencial baixa renda – faixa 04Não se aplicaNão se aplicaFora ponta",Mercado_Receita!$L$2:$L$1099)+SUMIF(Mercado_Receita!$S$2:$S$1099,"44652B1ConvencionalResidencialResidencial baixa renda – faixa 04Não se aplicaNão se aplicaIntermediário",Mercado_Receita!$L$2:$L$1099)+SUMIF(Mercado_Receita!$S$2:$S$1099,"44652B1ConvencionalResidencialResidencial baixa renda – faixa 04Não se aplicaNão se aplicaNão se aplica",Mercado_Receita!$L$2:$L$1099)</f>
        <v>45.762999999999998</v>
      </c>
      <c r="S25" s="13">
        <f>SUMIF(Mercado_Receita!$S$2:$S$1099,"44682B1ConvencionalResidencialResidencial baixa renda – faixa 04Não se aplicaNão se aplicaPonta",Mercado_Receita!$L$2:$L$1099)+SUMIF(Mercado_Receita!$S$2:$S$1099,"44682B1ConvencionalResidencialResidencial baixa renda – faixa 04Não se aplicaNão se aplicaFora ponta",Mercado_Receita!$L$2:$L$1099)+SUMIF(Mercado_Receita!$S$2:$S$1099,"44682B1ConvencionalResidencialResidencial baixa renda – faixa 04Não se aplicaNão se aplicaIntermediário",Mercado_Receita!$L$2:$L$1099)+SUMIF(Mercado_Receita!$S$2:$S$1099,"44682B1ConvencionalResidencialResidencial baixa renda – faixa 04Não se aplicaNão se aplicaNão se aplica",Mercado_Receita!$L$2:$L$1099)</f>
        <v>42.815999999999995</v>
      </c>
      <c r="T25" s="13">
        <f>SUMIF(Mercado_Receita!$S$2:$S$1099,"44713B1ConvencionalResidencialResidencial baixa renda – faixa 04Não se aplicaNão se aplicaPonta",Mercado_Receita!$L$2:$L$1099)+SUMIF(Mercado_Receita!$S$2:$S$1099,"44713B1ConvencionalResidencialResidencial baixa renda – faixa 04Não se aplicaNão se aplicaFora ponta",Mercado_Receita!$L$2:$L$1099)+SUMIF(Mercado_Receita!$S$2:$S$1099,"44713B1ConvencionalResidencialResidencial baixa renda – faixa 04Não se aplicaNão se aplicaIntermediário",Mercado_Receita!$L$2:$L$1099)+SUMIF(Mercado_Receita!$S$2:$S$1099,"44713B1ConvencionalResidencialResidencial baixa renda – faixa 04Não se aplicaNão se aplicaNão se aplica",Mercado_Receita!$L$2:$L$1099)</f>
        <v>48.991999999999997</v>
      </c>
      <c r="U25" s="13">
        <f t="shared" si="0"/>
        <v>303.64100000000002</v>
      </c>
      <c r="V25" s="13"/>
      <c r="W25" s="13"/>
    </row>
    <row r="26" spans="1:23" ht="11.25" customHeight="1" x14ac:dyDescent="0.25">
      <c r="A26" s="95"/>
      <c r="B26" s="94" t="s">
        <v>97</v>
      </c>
      <c r="C26" s="94" t="s">
        <v>24</v>
      </c>
      <c r="D26" s="12" t="s">
        <v>24</v>
      </c>
      <c r="E26" s="12" t="s">
        <v>25</v>
      </c>
      <c r="F26" s="12" t="s">
        <v>25</v>
      </c>
      <c r="G26" s="13" t="s">
        <v>88</v>
      </c>
      <c r="H26" s="13" t="s">
        <v>82</v>
      </c>
      <c r="I26" s="13">
        <f>SUMIF(Mercado_Receita!$S$2:$S$1099,"44378B1Convencional pré-pagamentoResidencialResidencialNão se aplicaNão se aplicaPonta",Mercado_Receita!$L$2:$L$1099)+SUMIF(Mercado_Receita!$S$2:$S$1099,"44378B1Convencional pré-pagamentoResidencialResidencialNão se aplicaNão se aplicaFora ponta",Mercado_Receita!$L$2:$L$1099)+SUMIF(Mercado_Receita!$S$2:$S$1099,"44378B1Convencional pré-pagamentoResidencialResidencialNão se aplicaNão se aplicaIntermediário",Mercado_Receita!$L$2:$L$1099)+SUMIF(Mercado_Receita!$S$2:$S$1099,"44378B1Convencional pré-pagamentoResidencialResidencialNão se aplicaNão se aplicaNão se aplica",Mercado_Receita!$L$2:$L$1099)</f>
        <v>0</v>
      </c>
      <c r="J26" s="13">
        <f>SUMIF(Mercado_Receita!$S$2:$S$1099,"44409B1Convencional pré-pagamentoResidencialResidencialNão se aplicaNão se aplicaPonta",Mercado_Receita!$L$2:$L$1099)+SUMIF(Mercado_Receita!$S$2:$S$1099,"44409B1Convencional pré-pagamentoResidencialResidencialNão se aplicaNão se aplicaFora ponta",Mercado_Receita!$L$2:$L$1099)+SUMIF(Mercado_Receita!$S$2:$S$1099,"44409B1Convencional pré-pagamentoResidencialResidencialNão se aplicaNão se aplicaIntermediário",Mercado_Receita!$L$2:$L$1099)+SUMIF(Mercado_Receita!$S$2:$S$1099,"44409B1Convencional pré-pagamentoResidencialResidencialNão se aplicaNão se aplicaNão se aplica",Mercado_Receita!$L$2:$L$1099)</f>
        <v>0</v>
      </c>
      <c r="K26" s="13">
        <f>SUMIF(Mercado_Receita!$S$2:$S$1099,"44440B1Convencional pré-pagamentoResidencialResidencialNão se aplicaNão se aplicaPonta",Mercado_Receita!$L$2:$L$1099)+SUMIF(Mercado_Receita!$S$2:$S$1099,"44440B1Convencional pré-pagamentoResidencialResidencialNão se aplicaNão se aplicaFora ponta",Mercado_Receita!$L$2:$L$1099)+SUMIF(Mercado_Receita!$S$2:$S$1099,"44440B1Convencional pré-pagamentoResidencialResidencialNão se aplicaNão se aplicaIntermediário",Mercado_Receita!$L$2:$L$1099)+SUMIF(Mercado_Receita!$S$2:$S$1099,"44440B1Convencional pré-pagamentoResidencialResidencialNão se aplicaNão se aplicaNão se aplica",Mercado_Receita!$L$2:$L$1099)</f>
        <v>0</v>
      </c>
      <c r="L26" s="13">
        <f>SUMIF(Mercado_Receita!$S$2:$S$1099,"44470B1Convencional pré-pagamentoResidencialResidencialNão se aplicaNão se aplicaPonta",Mercado_Receita!$L$2:$L$1099)+SUMIF(Mercado_Receita!$S$2:$S$1099,"44470B1Convencional pré-pagamentoResidencialResidencialNão se aplicaNão se aplicaFora ponta",Mercado_Receita!$L$2:$L$1099)+SUMIF(Mercado_Receita!$S$2:$S$1099,"44470B1Convencional pré-pagamentoResidencialResidencialNão se aplicaNão se aplicaIntermediário",Mercado_Receita!$L$2:$L$1099)+SUMIF(Mercado_Receita!$S$2:$S$1099,"44470B1Convencional pré-pagamentoResidencialResidencialNão se aplicaNão se aplicaNão se aplica",Mercado_Receita!$L$2:$L$1099)</f>
        <v>0</v>
      </c>
      <c r="M26" s="13">
        <f>SUMIF(Mercado_Receita!$S$2:$S$1099,"44501B1Convencional pré-pagamentoResidencialResidencialNão se aplicaNão se aplicaPonta",Mercado_Receita!$L$2:$L$1099)+SUMIF(Mercado_Receita!$S$2:$S$1099,"44501B1Convencional pré-pagamentoResidencialResidencialNão se aplicaNão se aplicaFora ponta",Mercado_Receita!$L$2:$L$1099)+SUMIF(Mercado_Receita!$S$2:$S$1099,"44501B1Convencional pré-pagamentoResidencialResidencialNão se aplicaNão se aplicaIntermediário",Mercado_Receita!$L$2:$L$1099)+SUMIF(Mercado_Receita!$S$2:$S$1099,"44501B1Convencional pré-pagamentoResidencialResidencialNão se aplicaNão se aplicaNão se aplica",Mercado_Receita!$L$2:$L$1099)</f>
        <v>0</v>
      </c>
      <c r="N26" s="13">
        <f>SUMIF(Mercado_Receita!$S$2:$S$1099,"44531B1Convencional pré-pagamentoResidencialResidencialNão se aplicaNão se aplicaPonta",Mercado_Receita!$L$2:$L$1099)+SUMIF(Mercado_Receita!$S$2:$S$1099,"44531B1Convencional pré-pagamentoResidencialResidencialNão se aplicaNão se aplicaFora ponta",Mercado_Receita!$L$2:$L$1099)+SUMIF(Mercado_Receita!$S$2:$S$1099,"44531B1Convencional pré-pagamentoResidencialResidencialNão se aplicaNão se aplicaIntermediário",Mercado_Receita!$L$2:$L$1099)+SUMIF(Mercado_Receita!$S$2:$S$1099,"44531B1Convencional pré-pagamentoResidencialResidencialNão se aplicaNão se aplicaNão se aplica",Mercado_Receita!$L$2:$L$1099)</f>
        <v>0</v>
      </c>
      <c r="O26" s="13">
        <f>SUMIF(Mercado_Receita!$S$2:$S$1099,"44562B1Convencional pré-pagamentoResidencialResidencialNão se aplicaNão se aplicaPonta",Mercado_Receita!$L$2:$L$1099)+SUMIF(Mercado_Receita!$S$2:$S$1099,"44562B1Convencional pré-pagamentoResidencialResidencialNão se aplicaNão se aplicaFora ponta",Mercado_Receita!$L$2:$L$1099)+SUMIF(Mercado_Receita!$S$2:$S$1099,"44562B1Convencional pré-pagamentoResidencialResidencialNão se aplicaNão se aplicaIntermediário",Mercado_Receita!$L$2:$L$1099)+SUMIF(Mercado_Receita!$S$2:$S$1099,"44562B1Convencional pré-pagamentoResidencialResidencialNão se aplicaNão se aplicaNão se aplica",Mercado_Receita!$L$2:$L$1099)</f>
        <v>0</v>
      </c>
      <c r="P26" s="13">
        <f>SUMIF(Mercado_Receita!$S$2:$S$1099,"44593B1Convencional pré-pagamentoResidencialResidencialNão se aplicaNão se aplicaPonta",Mercado_Receita!$L$2:$L$1099)+SUMIF(Mercado_Receita!$S$2:$S$1099,"44593B1Convencional pré-pagamentoResidencialResidencialNão se aplicaNão se aplicaFora ponta",Mercado_Receita!$L$2:$L$1099)+SUMIF(Mercado_Receita!$S$2:$S$1099,"44593B1Convencional pré-pagamentoResidencialResidencialNão se aplicaNão se aplicaIntermediário",Mercado_Receita!$L$2:$L$1099)+SUMIF(Mercado_Receita!$S$2:$S$1099,"44593B1Convencional pré-pagamentoResidencialResidencialNão se aplicaNão se aplicaNão se aplica",Mercado_Receita!$L$2:$L$1099)</f>
        <v>0</v>
      </c>
      <c r="Q26" s="13">
        <f>SUMIF(Mercado_Receita!$S$2:$S$1099,"44621B1Convencional pré-pagamentoResidencialResidencialNão se aplicaNão se aplicaPonta",Mercado_Receita!$L$2:$L$1099)+SUMIF(Mercado_Receita!$S$2:$S$1099,"44621B1Convencional pré-pagamentoResidencialResidencialNão se aplicaNão se aplicaFora ponta",Mercado_Receita!$L$2:$L$1099)+SUMIF(Mercado_Receita!$S$2:$S$1099,"44621B1Convencional pré-pagamentoResidencialResidencialNão se aplicaNão se aplicaIntermediário",Mercado_Receita!$L$2:$L$1099)+SUMIF(Mercado_Receita!$S$2:$S$1099,"44621B1Convencional pré-pagamentoResidencialResidencialNão se aplicaNão se aplicaNão se aplica",Mercado_Receita!$L$2:$L$1099)</f>
        <v>0</v>
      </c>
      <c r="R26" s="13">
        <f>SUMIF(Mercado_Receita!$S$2:$S$1099,"44652B1Convencional pré-pagamentoResidencialResidencialNão se aplicaNão se aplicaPonta",Mercado_Receita!$L$2:$L$1099)+SUMIF(Mercado_Receita!$S$2:$S$1099,"44652B1Convencional pré-pagamentoResidencialResidencialNão se aplicaNão se aplicaFora ponta",Mercado_Receita!$L$2:$L$1099)+SUMIF(Mercado_Receita!$S$2:$S$1099,"44652B1Convencional pré-pagamentoResidencialResidencialNão se aplicaNão se aplicaIntermediário",Mercado_Receita!$L$2:$L$1099)+SUMIF(Mercado_Receita!$S$2:$S$1099,"44652B1Convencional pré-pagamentoResidencialResidencialNão se aplicaNão se aplicaNão se aplica",Mercado_Receita!$L$2:$L$1099)</f>
        <v>0</v>
      </c>
      <c r="S26" s="13">
        <f>SUMIF(Mercado_Receita!$S$2:$S$1099,"44682B1Convencional pré-pagamentoResidencialResidencialNão se aplicaNão se aplicaPonta",Mercado_Receita!$L$2:$L$1099)+SUMIF(Mercado_Receita!$S$2:$S$1099,"44682B1Convencional pré-pagamentoResidencialResidencialNão se aplicaNão se aplicaFora ponta",Mercado_Receita!$L$2:$L$1099)+SUMIF(Mercado_Receita!$S$2:$S$1099,"44682B1Convencional pré-pagamentoResidencialResidencialNão se aplicaNão se aplicaIntermediário",Mercado_Receita!$L$2:$L$1099)+SUMIF(Mercado_Receita!$S$2:$S$1099,"44682B1Convencional pré-pagamentoResidencialResidencialNão se aplicaNão se aplicaNão se aplica",Mercado_Receita!$L$2:$L$1099)</f>
        <v>0</v>
      </c>
      <c r="T26" s="13">
        <f>SUMIF(Mercado_Receita!$S$2:$S$1099,"44713B1Convencional pré-pagamentoResidencialResidencialNão se aplicaNão se aplicaPonta",Mercado_Receita!$L$2:$L$1099)+SUMIF(Mercado_Receita!$S$2:$S$1099,"44713B1Convencional pré-pagamentoResidencialResidencialNão se aplicaNão se aplicaFora ponta",Mercado_Receita!$L$2:$L$1099)+SUMIF(Mercado_Receita!$S$2:$S$1099,"44713B1Convencional pré-pagamentoResidencialResidencialNão se aplicaNão se aplicaIntermediário",Mercado_Receita!$L$2:$L$1099)+SUMIF(Mercado_Receita!$S$2:$S$1099,"44713B1Convencional pré-pagamentoResidencialResidencialNão se aplicaNão se aplicaNão se aplica",Mercado_Receita!$L$2:$L$1099)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95"/>
      <c r="B27" s="95"/>
      <c r="C27" s="95"/>
      <c r="D27" s="12" t="s">
        <v>29</v>
      </c>
      <c r="E27" s="12" t="s">
        <v>25</v>
      </c>
      <c r="F27" s="12" t="s">
        <v>25</v>
      </c>
      <c r="G27" s="13" t="s">
        <v>88</v>
      </c>
      <c r="H27" s="13" t="s">
        <v>82</v>
      </c>
      <c r="I27" s="13">
        <f>SUMIF(Mercado_Receita!$S$2:$S$1099,"44378B1Convencional pré-pagamentoResidencialResidencial baixa renda – faixa 01Não se aplicaNão se aplicaPonta",Mercado_Receita!$L$2:$L$1099)+SUMIF(Mercado_Receita!$S$2:$S$1099,"44378B1Convencional pré-pagamentoResidencialResidencial baixa renda – faixa 01Não se aplicaNão se aplicaFora ponta",Mercado_Receita!$L$2:$L$1099)+SUMIF(Mercado_Receita!$S$2:$S$1099,"44378B1Convencional pré-pagamentoResidencialResidencial baixa renda – faixa 01Não se aplicaNão se aplicaIntermediário",Mercado_Receita!$L$2:$L$1099)+SUMIF(Mercado_Receita!$S$2:$S$1099,"44378B1Convencional pré-pagamentoResidencialResidencial baixa renda – faixa 01Não se aplicaNão se aplicaNão se aplica",Mercado_Receita!$L$2:$L$1099)</f>
        <v>0</v>
      </c>
      <c r="J27" s="13">
        <f>SUMIF(Mercado_Receita!$S$2:$S$1099,"44409B1Convencional pré-pagamentoResidencialResidencial baixa renda – faixa 01Não se aplicaNão se aplicaPonta",Mercado_Receita!$L$2:$L$1099)+SUMIF(Mercado_Receita!$S$2:$S$1099,"44409B1Convencional pré-pagamentoResidencialResidencial baixa renda – faixa 01Não se aplicaNão se aplicaFora ponta",Mercado_Receita!$L$2:$L$1099)+SUMIF(Mercado_Receita!$S$2:$S$1099,"44409B1Convencional pré-pagamentoResidencialResidencial baixa renda – faixa 01Não se aplicaNão se aplicaIntermediário",Mercado_Receita!$L$2:$L$1099)+SUMIF(Mercado_Receita!$S$2:$S$1099,"44409B1Convencional pré-pagamentoResidencialResidencial baixa renda – faixa 01Não se aplicaNão se aplicaNão se aplica",Mercado_Receita!$L$2:$L$1099)</f>
        <v>0</v>
      </c>
      <c r="K27" s="13">
        <f>SUMIF(Mercado_Receita!$S$2:$S$1099,"44440B1Convencional pré-pagamentoResidencialResidencial baixa renda – faixa 01Não se aplicaNão se aplicaPonta",Mercado_Receita!$L$2:$L$1099)+SUMIF(Mercado_Receita!$S$2:$S$1099,"44440B1Convencional pré-pagamentoResidencialResidencial baixa renda – faixa 01Não se aplicaNão se aplicaFora ponta",Mercado_Receita!$L$2:$L$1099)+SUMIF(Mercado_Receita!$S$2:$S$1099,"44440B1Convencional pré-pagamentoResidencialResidencial baixa renda – faixa 01Não se aplicaNão se aplicaIntermediário",Mercado_Receita!$L$2:$L$1099)+SUMIF(Mercado_Receita!$S$2:$S$1099,"44440B1Convencional pré-pagamentoResidencialResidencial baixa renda – faixa 01Não se aplicaNão se aplicaNão se aplica",Mercado_Receita!$L$2:$L$1099)</f>
        <v>0</v>
      </c>
      <c r="L27" s="13">
        <f>SUMIF(Mercado_Receita!$S$2:$S$1099,"44470B1Convencional pré-pagamentoResidencialResidencial baixa renda – faixa 01Não se aplicaNão se aplicaPonta",Mercado_Receita!$L$2:$L$1099)+SUMIF(Mercado_Receita!$S$2:$S$1099,"44470B1Convencional pré-pagamentoResidencialResidencial baixa renda – faixa 01Não se aplicaNão se aplicaFora ponta",Mercado_Receita!$L$2:$L$1099)+SUMIF(Mercado_Receita!$S$2:$S$1099,"44470B1Convencional pré-pagamentoResidencialResidencial baixa renda – faixa 01Não se aplicaNão se aplicaIntermediário",Mercado_Receita!$L$2:$L$1099)+SUMIF(Mercado_Receita!$S$2:$S$1099,"44470B1Convencional pré-pagamentoResidencialResidencial baixa renda – faixa 01Não se aplicaNão se aplicaNão se aplica",Mercado_Receita!$L$2:$L$1099)</f>
        <v>0</v>
      </c>
      <c r="M27" s="13">
        <f>SUMIF(Mercado_Receita!$S$2:$S$1099,"44501B1Convencional pré-pagamentoResidencialResidencial baixa renda – faixa 01Não se aplicaNão se aplicaPonta",Mercado_Receita!$L$2:$L$1099)+SUMIF(Mercado_Receita!$S$2:$S$1099,"44501B1Convencional pré-pagamentoResidencialResidencial baixa renda – faixa 01Não se aplicaNão se aplicaFora ponta",Mercado_Receita!$L$2:$L$1099)+SUMIF(Mercado_Receita!$S$2:$S$1099,"44501B1Convencional pré-pagamentoResidencialResidencial baixa renda – faixa 01Não se aplicaNão se aplicaIntermediário",Mercado_Receita!$L$2:$L$1099)+SUMIF(Mercado_Receita!$S$2:$S$1099,"44501B1Convencional pré-pagamentoResidencialResidencial baixa renda – faixa 01Não se aplicaNão se aplicaNão se aplica",Mercado_Receita!$L$2:$L$1099)</f>
        <v>0</v>
      </c>
      <c r="N27" s="13">
        <f>SUMIF(Mercado_Receita!$S$2:$S$1099,"44531B1Convencional pré-pagamentoResidencialResidencial baixa renda – faixa 01Não se aplicaNão se aplicaPonta",Mercado_Receita!$L$2:$L$1099)+SUMIF(Mercado_Receita!$S$2:$S$1099,"44531B1Convencional pré-pagamentoResidencialResidencial baixa renda – faixa 01Não se aplicaNão se aplicaFora ponta",Mercado_Receita!$L$2:$L$1099)+SUMIF(Mercado_Receita!$S$2:$S$1099,"44531B1Convencional pré-pagamentoResidencialResidencial baixa renda – faixa 01Não se aplicaNão se aplicaIntermediário",Mercado_Receita!$L$2:$L$1099)+SUMIF(Mercado_Receita!$S$2:$S$1099,"44531B1Convencional pré-pagamentoResidencialResidencial baixa renda – faixa 01Não se aplicaNão se aplicaNão se aplica",Mercado_Receita!$L$2:$L$1099)</f>
        <v>0</v>
      </c>
      <c r="O27" s="13">
        <f>SUMIF(Mercado_Receita!$S$2:$S$1099,"44562B1Convencional pré-pagamentoResidencialResidencial baixa renda – faixa 01Não se aplicaNão se aplicaPonta",Mercado_Receita!$L$2:$L$1099)+SUMIF(Mercado_Receita!$S$2:$S$1099,"44562B1Convencional pré-pagamentoResidencialResidencial baixa renda – faixa 01Não se aplicaNão se aplicaFora ponta",Mercado_Receita!$L$2:$L$1099)+SUMIF(Mercado_Receita!$S$2:$S$1099,"44562B1Convencional pré-pagamentoResidencialResidencial baixa renda – faixa 01Não se aplicaNão se aplicaIntermediário",Mercado_Receita!$L$2:$L$1099)+SUMIF(Mercado_Receita!$S$2:$S$1099,"44562B1Convencional pré-pagamentoResidencialResidencial baixa renda – faixa 01Não se aplicaNão se aplicaNão se aplica",Mercado_Receita!$L$2:$L$1099)</f>
        <v>0</v>
      </c>
      <c r="P27" s="13">
        <f>SUMIF(Mercado_Receita!$S$2:$S$1099,"44593B1Convencional pré-pagamentoResidencialResidencial baixa renda – faixa 01Não se aplicaNão se aplicaPonta",Mercado_Receita!$L$2:$L$1099)+SUMIF(Mercado_Receita!$S$2:$S$1099,"44593B1Convencional pré-pagamentoResidencialResidencial baixa renda – faixa 01Não se aplicaNão se aplicaFora ponta",Mercado_Receita!$L$2:$L$1099)+SUMIF(Mercado_Receita!$S$2:$S$1099,"44593B1Convencional pré-pagamentoResidencialResidencial baixa renda – faixa 01Não se aplicaNão se aplicaIntermediário",Mercado_Receita!$L$2:$L$1099)+SUMIF(Mercado_Receita!$S$2:$S$1099,"44593B1Convencional pré-pagamentoResidencialResidencial baixa renda – faixa 01Não se aplicaNão se aplicaNão se aplica",Mercado_Receita!$L$2:$L$1099)</f>
        <v>0</v>
      </c>
      <c r="Q27" s="13">
        <f>SUMIF(Mercado_Receita!$S$2:$S$1099,"44621B1Convencional pré-pagamentoResidencialResidencial baixa renda – faixa 01Não se aplicaNão se aplicaPonta",Mercado_Receita!$L$2:$L$1099)+SUMIF(Mercado_Receita!$S$2:$S$1099,"44621B1Convencional pré-pagamentoResidencialResidencial baixa renda – faixa 01Não se aplicaNão se aplicaFora ponta",Mercado_Receita!$L$2:$L$1099)+SUMIF(Mercado_Receita!$S$2:$S$1099,"44621B1Convencional pré-pagamentoResidencialResidencial baixa renda – faixa 01Não se aplicaNão se aplicaIntermediário",Mercado_Receita!$L$2:$L$1099)+SUMIF(Mercado_Receita!$S$2:$S$1099,"44621B1Convencional pré-pagamentoResidencialResidencial baixa renda – faixa 01Não se aplicaNão se aplicaNão se aplica",Mercado_Receita!$L$2:$L$1099)</f>
        <v>0</v>
      </c>
      <c r="R27" s="13">
        <f>SUMIF(Mercado_Receita!$S$2:$S$1099,"44652B1Convencional pré-pagamentoResidencialResidencial baixa renda – faixa 01Não se aplicaNão se aplicaPonta",Mercado_Receita!$L$2:$L$1099)+SUMIF(Mercado_Receita!$S$2:$S$1099,"44652B1Convencional pré-pagamentoResidencialResidencial baixa renda – faixa 01Não se aplicaNão se aplicaFora ponta",Mercado_Receita!$L$2:$L$1099)+SUMIF(Mercado_Receita!$S$2:$S$1099,"44652B1Convencional pré-pagamentoResidencialResidencial baixa renda – faixa 01Não se aplicaNão se aplicaIntermediário",Mercado_Receita!$L$2:$L$1099)+SUMIF(Mercado_Receita!$S$2:$S$1099,"44652B1Convencional pré-pagamentoResidencialResidencial baixa renda – faixa 01Não se aplicaNão se aplicaNão se aplica",Mercado_Receita!$L$2:$L$1099)</f>
        <v>0</v>
      </c>
      <c r="S27" s="13">
        <f>SUMIF(Mercado_Receita!$S$2:$S$1099,"44682B1Convencional pré-pagamentoResidencialResidencial baixa renda – faixa 01Não se aplicaNão se aplicaPonta",Mercado_Receita!$L$2:$L$1099)+SUMIF(Mercado_Receita!$S$2:$S$1099,"44682B1Convencional pré-pagamentoResidencialResidencial baixa renda – faixa 01Não se aplicaNão se aplicaFora ponta",Mercado_Receita!$L$2:$L$1099)+SUMIF(Mercado_Receita!$S$2:$S$1099,"44682B1Convencional pré-pagamentoResidencialResidencial baixa renda – faixa 01Não se aplicaNão se aplicaIntermediário",Mercado_Receita!$L$2:$L$1099)+SUMIF(Mercado_Receita!$S$2:$S$1099,"44682B1Convencional pré-pagamentoResidencialResidencial baixa renda – faixa 01Não se aplicaNão se aplicaNão se aplica",Mercado_Receita!$L$2:$L$1099)</f>
        <v>0</v>
      </c>
      <c r="T27" s="13">
        <f>SUMIF(Mercado_Receita!$S$2:$S$1099,"44713B1Convencional pré-pagamentoResidencialResidencial baixa renda – faixa 01Não se aplicaNão se aplicaPonta",Mercado_Receita!$L$2:$L$1099)+SUMIF(Mercado_Receita!$S$2:$S$1099,"44713B1Convencional pré-pagamentoResidencialResidencial baixa renda – faixa 01Não se aplicaNão se aplicaFora ponta",Mercado_Receita!$L$2:$L$1099)+SUMIF(Mercado_Receita!$S$2:$S$1099,"44713B1Convencional pré-pagamentoResidencialResidencial baixa renda – faixa 01Não se aplicaNão se aplicaIntermediário",Mercado_Receita!$L$2:$L$1099)+SUMIF(Mercado_Receita!$S$2:$S$1099,"44713B1Convencional pré-pagamentoResidencialResidencial baixa renda – faixa 01Não se aplicaNão se aplicaNão se aplica",Mercado_Receita!$L$2:$L$1099)</f>
        <v>0</v>
      </c>
      <c r="U27" s="13">
        <f t="shared" si="0"/>
        <v>0</v>
      </c>
      <c r="V27" s="13"/>
      <c r="W27" s="13"/>
    </row>
    <row r="28" spans="1:23" ht="11.25" customHeight="1" x14ac:dyDescent="0.25">
      <c r="A28" s="95"/>
      <c r="B28" s="95"/>
      <c r="C28" s="95"/>
      <c r="D28" s="12" t="s">
        <v>30</v>
      </c>
      <c r="E28" s="12" t="s">
        <v>25</v>
      </c>
      <c r="F28" s="12" t="s">
        <v>25</v>
      </c>
      <c r="G28" s="13" t="s">
        <v>88</v>
      </c>
      <c r="H28" s="13" t="s">
        <v>82</v>
      </c>
      <c r="I28" s="13">
        <f>SUMIF(Mercado_Receita!$S$2:$S$1099,"44378B1Convencional pré-pagamentoResidencialResidencial baixa renda – faixa 02Não se aplicaNão se aplicaPonta",Mercado_Receita!$L$2:$L$1099)+SUMIF(Mercado_Receita!$S$2:$S$1099,"44378B1Convencional pré-pagamentoResidencialResidencial baixa renda – faixa 02Não se aplicaNão se aplicaFora ponta",Mercado_Receita!$L$2:$L$1099)+SUMIF(Mercado_Receita!$S$2:$S$1099,"44378B1Convencional pré-pagamentoResidencialResidencial baixa renda – faixa 02Não se aplicaNão se aplicaIntermediário",Mercado_Receita!$L$2:$L$1099)+SUMIF(Mercado_Receita!$S$2:$S$1099,"44378B1Convencional pré-pagamentoResidencialResidencial baixa renda – faixa 02Não se aplicaNão se aplicaNão se aplica",Mercado_Receita!$L$2:$L$1099)</f>
        <v>0</v>
      </c>
      <c r="J28" s="13">
        <f>SUMIF(Mercado_Receita!$S$2:$S$1099,"44409B1Convencional pré-pagamentoResidencialResidencial baixa renda – faixa 02Não se aplicaNão se aplicaPonta",Mercado_Receita!$L$2:$L$1099)+SUMIF(Mercado_Receita!$S$2:$S$1099,"44409B1Convencional pré-pagamentoResidencialResidencial baixa renda – faixa 02Não se aplicaNão se aplicaFora ponta",Mercado_Receita!$L$2:$L$1099)+SUMIF(Mercado_Receita!$S$2:$S$1099,"44409B1Convencional pré-pagamentoResidencialResidencial baixa renda – faixa 02Não se aplicaNão se aplicaIntermediário",Mercado_Receita!$L$2:$L$1099)+SUMIF(Mercado_Receita!$S$2:$S$1099,"44409B1Convencional pré-pagamentoResidencialResidencial baixa renda – faixa 02Não se aplicaNão se aplicaNão se aplica",Mercado_Receita!$L$2:$L$1099)</f>
        <v>0</v>
      </c>
      <c r="K28" s="13">
        <f>SUMIF(Mercado_Receita!$S$2:$S$1099,"44440B1Convencional pré-pagamentoResidencialResidencial baixa renda – faixa 02Não se aplicaNão se aplicaPonta",Mercado_Receita!$L$2:$L$1099)+SUMIF(Mercado_Receita!$S$2:$S$1099,"44440B1Convencional pré-pagamentoResidencialResidencial baixa renda – faixa 02Não se aplicaNão se aplicaFora ponta",Mercado_Receita!$L$2:$L$1099)+SUMIF(Mercado_Receita!$S$2:$S$1099,"44440B1Convencional pré-pagamentoResidencialResidencial baixa renda – faixa 02Não se aplicaNão se aplicaIntermediário",Mercado_Receita!$L$2:$L$1099)+SUMIF(Mercado_Receita!$S$2:$S$1099,"44440B1Convencional pré-pagamentoResidencialResidencial baixa renda – faixa 02Não se aplicaNão se aplicaNão se aplica",Mercado_Receita!$L$2:$L$1099)</f>
        <v>0</v>
      </c>
      <c r="L28" s="13">
        <f>SUMIF(Mercado_Receita!$S$2:$S$1099,"44470B1Convencional pré-pagamentoResidencialResidencial baixa renda – faixa 02Não se aplicaNão se aplicaPonta",Mercado_Receita!$L$2:$L$1099)+SUMIF(Mercado_Receita!$S$2:$S$1099,"44470B1Convencional pré-pagamentoResidencialResidencial baixa renda – faixa 02Não se aplicaNão se aplicaFora ponta",Mercado_Receita!$L$2:$L$1099)+SUMIF(Mercado_Receita!$S$2:$S$1099,"44470B1Convencional pré-pagamentoResidencialResidencial baixa renda – faixa 02Não se aplicaNão se aplicaIntermediário",Mercado_Receita!$L$2:$L$1099)+SUMIF(Mercado_Receita!$S$2:$S$1099,"44470B1Convencional pré-pagamentoResidencialResidencial baixa renda – faixa 02Não se aplicaNão se aplicaNão se aplica",Mercado_Receita!$L$2:$L$1099)</f>
        <v>0</v>
      </c>
      <c r="M28" s="13">
        <f>SUMIF(Mercado_Receita!$S$2:$S$1099,"44501B1Convencional pré-pagamentoResidencialResidencial baixa renda – faixa 02Não se aplicaNão se aplicaPonta",Mercado_Receita!$L$2:$L$1099)+SUMIF(Mercado_Receita!$S$2:$S$1099,"44501B1Convencional pré-pagamentoResidencialResidencial baixa renda – faixa 02Não se aplicaNão se aplicaFora ponta",Mercado_Receita!$L$2:$L$1099)+SUMIF(Mercado_Receita!$S$2:$S$1099,"44501B1Convencional pré-pagamentoResidencialResidencial baixa renda – faixa 02Não se aplicaNão se aplicaIntermediário",Mercado_Receita!$L$2:$L$1099)+SUMIF(Mercado_Receita!$S$2:$S$1099,"44501B1Convencional pré-pagamentoResidencialResidencial baixa renda – faixa 02Não se aplicaNão se aplicaNão se aplica",Mercado_Receita!$L$2:$L$1099)</f>
        <v>0</v>
      </c>
      <c r="N28" s="13">
        <f>SUMIF(Mercado_Receita!$S$2:$S$1099,"44531B1Convencional pré-pagamentoResidencialResidencial baixa renda – faixa 02Não se aplicaNão se aplicaPonta",Mercado_Receita!$L$2:$L$1099)+SUMIF(Mercado_Receita!$S$2:$S$1099,"44531B1Convencional pré-pagamentoResidencialResidencial baixa renda – faixa 02Não se aplicaNão se aplicaFora ponta",Mercado_Receita!$L$2:$L$1099)+SUMIF(Mercado_Receita!$S$2:$S$1099,"44531B1Convencional pré-pagamentoResidencialResidencial baixa renda – faixa 02Não se aplicaNão se aplicaIntermediário",Mercado_Receita!$L$2:$L$1099)+SUMIF(Mercado_Receita!$S$2:$S$1099,"44531B1Convencional pré-pagamentoResidencialResidencial baixa renda – faixa 02Não se aplicaNão se aplicaNão se aplica",Mercado_Receita!$L$2:$L$1099)</f>
        <v>0</v>
      </c>
      <c r="O28" s="13">
        <f>SUMIF(Mercado_Receita!$S$2:$S$1099,"44562B1Convencional pré-pagamentoResidencialResidencial baixa renda – faixa 02Não se aplicaNão se aplicaPonta",Mercado_Receita!$L$2:$L$1099)+SUMIF(Mercado_Receita!$S$2:$S$1099,"44562B1Convencional pré-pagamentoResidencialResidencial baixa renda – faixa 02Não se aplicaNão se aplicaFora ponta",Mercado_Receita!$L$2:$L$1099)+SUMIF(Mercado_Receita!$S$2:$S$1099,"44562B1Convencional pré-pagamentoResidencialResidencial baixa renda – faixa 02Não se aplicaNão se aplicaIntermediário",Mercado_Receita!$L$2:$L$1099)+SUMIF(Mercado_Receita!$S$2:$S$1099,"44562B1Convencional pré-pagamentoResidencialResidencial baixa renda – faixa 02Não se aplicaNão se aplicaNão se aplica",Mercado_Receita!$L$2:$L$1099)</f>
        <v>0</v>
      </c>
      <c r="P28" s="13">
        <f>SUMIF(Mercado_Receita!$S$2:$S$1099,"44593B1Convencional pré-pagamentoResidencialResidencial baixa renda – faixa 02Não se aplicaNão se aplicaPonta",Mercado_Receita!$L$2:$L$1099)+SUMIF(Mercado_Receita!$S$2:$S$1099,"44593B1Convencional pré-pagamentoResidencialResidencial baixa renda – faixa 02Não se aplicaNão se aplicaFora ponta",Mercado_Receita!$L$2:$L$1099)+SUMIF(Mercado_Receita!$S$2:$S$1099,"44593B1Convencional pré-pagamentoResidencialResidencial baixa renda – faixa 02Não se aplicaNão se aplicaIntermediário",Mercado_Receita!$L$2:$L$1099)+SUMIF(Mercado_Receita!$S$2:$S$1099,"44593B1Convencional pré-pagamentoResidencialResidencial baixa renda – faixa 02Não se aplicaNão se aplicaNão se aplica",Mercado_Receita!$L$2:$L$1099)</f>
        <v>0</v>
      </c>
      <c r="Q28" s="13">
        <f>SUMIF(Mercado_Receita!$S$2:$S$1099,"44621B1Convencional pré-pagamentoResidencialResidencial baixa renda – faixa 02Não se aplicaNão se aplicaPonta",Mercado_Receita!$L$2:$L$1099)+SUMIF(Mercado_Receita!$S$2:$S$1099,"44621B1Convencional pré-pagamentoResidencialResidencial baixa renda – faixa 02Não se aplicaNão se aplicaFora ponta",Mercado_Receita!$L$2:$L$1099)+SUMIF(Mercado_Receita!$S$2:$S$1099,"44621B1Convencional pré-pagamentoResidencialResidencial baixa renda – faixa 02Não se aplicaNão se aplicaIntermediário",Mercado_Receita!$L$2:$L$1099)+SUMIF(Mercado_Receita!$S$2:$S$1099,"44621B1Convencional pré-pagamentoResidencialResidencial baixa renda – faixa 02Não se aplicaNão se aplicaNão se aplica",Mercado_Receita!$L$2:$L$1099)</f>
        <v>0</v>
      </c>
      <c r="R28" s="13">
        <f>SUMIF(Mercado_Receita!$S$2:$S$1099,"44652B1Convencional pré-pagamentoResidencialResidencial baixa renda – faixa 02Não se aplicaNão se aplicaPonta",Mercado_Receita!$L$2:$L$1099)+SUMIF(Mercado_Receita!$S$2:$S$1099,"44652B1Convencional pré-pagamentoResidencialResidencial baixa renda – faixa 02Não se aplicaNão se aplicaFora ponta",Mercado_Receita!$L$2:$L$1099)+SUMIF(Mercado_Receita!$S$2:$S$1099,"44652B1Convencional pré-pagamentoResidencialResidencial baixa renda – faixa 02Não se aplicaNão se aplicaIntermediário",Mercado_Receita!$L$2:$L$1099)+SUMIF(Mercado_Receita!$S$2:$S$1099,"44652B1Convencional pré-pagamentoResidencialResidencial baixa renda – faixa 02Não se aplicaNão se aplicaNão se aplica",Mercado_Receita!$L$2:$L$1099)</f>
        <v>0</v>
      </c>
      <c r="S28" s="13">
        <f>SUMIF(Mercado_Receita!$S$2:$S$1099,"44682B1Convencional pré-pagamentoResidencialResidencial baixa renda – faixa 02Não se aplicaNão se aplicaPonta",Mercado_Receita!$L$2:$L$1099)+SUMIF(Mercado_Receita!$S$2:$S$1099,"44682B1Convencional pré-pagamentoResidencialResidencial baixa renda – faixa 02Não se aplicaNão se aplicaFora ponta",Mercado_Receita!$L$2:$L$1099)+SUMIF(Mercado_Receita!$S$2:$S$1099,"44682B1Convencional pré-pagamentoResidencialResidencial baixa renda – faixa 02Não se aplicaNão se aplicaIntermediário",Mercado_Receita!$L$2:$L$1099)+SUMIF(Mercado_Receita!$S$2:$S$1099,"44682B1Convencional pré-pagamentoResidencialResidencial baixa renda – faixa 02Não se aplicaNão se aplicaNão se aplica",Mercado_Receita!$L$2:$L$1099)</f>
        <v>0</v>
      </c>
      <c r="T28" s="13">
        <f>SUMIF(Mercado_Receita!$S$2:$S$1099,"44713B1Convencional pré-pagamentoResidencialResidencial baixa renda – faixa 02Não se aplicaNão se aplicaPonta",Mercado_Receita!$L$2:$L$1099)+SUMIF(Mercado_Receita!$S$2:$S$1099,"44713B1Convencional pré-pagamentoResidencialResidencial baixa renda – faixa 02Não se aplicaNão se aplicaFora ponta",Mercado_Receita!$L$2:$L$1099)+SUMIF(Mercado_Receita!$S$2:$S$1099,"44713B1Convencional pré-pagamentoResidencialResidencial baixa renda – faixa 02Não se aplicaNão se aplicaIntermediário",Mercado_Receita!$L$2:$L$1099)+SUMIF(Mercado_Receita!$S$2:$S$1099,"44713B1Convencional pré-pagamentoResidencialResidencial baixa renda – faixa 02Não se aplicaNão se aplicaNão se aplica",Mercado_Receita!$L$2:$L$1099)</f>
        <v>0</v>
      </c>
      <c r="U28" s="13">
        <f t="shared" si="0"/>
        <v>0</v>
      </c>
      <c r="V28" s="13"/>
      <c r="W28" s="13"/>
    </row>
    <row r="29" spans="1:23" ht="11.25" customHeight="1" x14ac:dyDescent="0.25">
      <c r="A29" s="95"/>
      <c r="B29" s="95"/>
      <c r="C29" s="95"/>
      <c r="D29" s="12" t="s">
        <v>31</v>
      </c>
      <c r="E29" s="12" t="s">
        <v>25</v>
      </c>
      <c r="F29" s="12" t="s">
        <v>25</v>
      </c>
      <c r="G29" s="13" t="s">
        <v>88</v>
      </c>
      <c r="H29" s="13" t="s">
        <v>82</v>
      </c>
      <c r="I29" s="13">
        <f>SUMIF(Mercado_Receita!$S$2:$S$1099,"44378B1Convencional pré-pagamentoResidencialResidencial baixa renda – faixa 03Não se aplicaNão se aplicaPonta",Mercado_Receita!$L$2:$L$1099)+SUMIF(Mercado_Receita!$S$2:$S$1099,"44378B1Convencional pré-pagamentoResidencialResidencial baixa renda – faixa 03Não se aplicaNão se aplicaFora ponta",Mercado_Receita!$L$2:$L$1099)+SUMIF(Mercado_Receita!$S$2:$S$1099,"44378B1Convencional pré-pagamentoResidencialResidencial baixa renda – faixa 03Não se aplicaNão se aplicaIntermediário",Mercado_Receita!$L$2:$L$1099)+SUMIF(Mercado_Receita!$S$2:$S$1099,"44378B1Convencional pré-pagamentoResidencialResidencial baixa renda – faixa 03Não se aplicaNão se aplicaNão se aplica",Mercado_Receita!$L$2:$L$1099)</f>
        <v>0</v>
      </c>
      <c r="J29" s="13">
        <f>SUMIF(Mercado_Receita!$S$2:$S$1099,"44409B1Convencional pré-pagamentoResidencialResidencial baixa renda – faixa 03Não se aplicaNão se aplicaPonta",Mercado_Receita!$L$2:$L$1099)+SUMIF(Mercado_Receita!$S$2:$S$1099,"44409B1Convencional pré-pagamentoResidencialResidencial baixa renda – faixa 03Não se aplicaNão se aplicaFora ponta",Mercado_Receita!$L$2:$L$1099)+SUMIF(Mercado_Receita!$S$2:$S$1099,"44409B1Convencional pré-pagamentoResidencialResidencial baixa renda – faixa 03Não se aplicaNão se aplicaIntermediário",Mercado_Receita!$L$2:$L$1099)+SUMIF(Mercado_Receita!$S$2:$S$1099,"44409B1Convencional pré-pagamentoResidencialResidencial baixa renda – faixa 03Não se aplicaNão se aplicaNão se aplica",Mercado_Receita!$L$2:$L$1099)</f>
        <v>0</v>
      </c>
      <c r="K29" s="13">
        <f>SUMIF(Mercado_Receita!$S$2:$S$1099,"44440B1Convencional pré-pagamentoResidencialResidencial baixa renda – faixa 03Não se aplicaNão se aplicaPonta",Mercado_Receita!$L$2:$L$1099)+SUMIF(Mercado_Receita!$S$2:$S$1099,"44440B1Convencional pré-pagamentoResidencialResidencial baixa renda – faixa 03Não se aplicaNão se aplicaFora ponta",Mercado_Receita!$L$2:$L$1099)+SUMIF(Mercado_Receita!$S$2:$S$1099,"44440B1Convencional pré-pagamentoResidencialResidencial baixa renda – faixa 03Não se aplicaNão se aplicaIntermediário",Mercado_Receita!$L$2:$L$1099)+SUMIF(Mercado_Receita!$S$2:$S$1099,"44440B1Convencional pré-pagamentoResidencialResidencial baixa renda – faixa 03Não se aplicaNão se aplicaNão se aplica",Mercado_Receita!$L$2:$L$1099)</f>
        <v>0</v>
      </c>
      <c r="L29" s="13">
        <f>SUMIF(Mercado_Receita!$S$2:$S$1099,"44470B1Convencional pré-pagamentoResidencialResidencial baixa renda – faixa 03Não se aplicaNão se aplicaPonta",Mercado_Receita!$L$2:$L$1099)+SUMIF(Mercado_Receita!$S$2:$S$1099,"44470B1Convencional pré-pagamentoResidencialResidencial baixa renda – faixa 03Não se aplicaNão se aplicaFora ponta",Mercado_Receita!$L$2:$L$1099)+SUMIF(Mercado_Receita!$S$2:$S$1099,"44470B1Convencional pré-pagamentoResidencialResidencial baixa renda – faixa 03Não se aplicaNão se aplicaIntermediário",Mercado_Receita!$L$2:$L$1099)+SUMIF(Mercado_Receita!$S$2:$S$1099,"44470B1Convencional pré-pagamentoResidencialResidencial baixa renda – faixa 03Não se aplicaNão se aplicaNão se aplica",Mercado_Receita!$L$2:$L$1099)</f>
        <v>0</v>
      </c>
      <c r="M29" s="13">
        <f>SUMIF(Mercado_Receita!$S$2:$S$1099,"44501B1Convencional pré-pagamentoResidencialResidencial baixa renda – faixa 03Não se aplicaNão se aplicaPonta",Mercado_Receita!$L$2:$L$1099)+SUMIF(Mercado_Receita!$S$2:$S$1099,"44501B1Convencional pré-pagamentoResidencialResidencial baixa renda – faixa 03Não se aplicaNão se aplicaFora ponta",Mercado_Receita!$L$2:$L$1099)+SUMIF(Mercado_Receita!$S$2:$S$1099,"44501B1Convencional pré-pagamentoResidencialResidencial baixa renda – faixa 03Não se aplicaNão se aplicaIntermediário",Mercado_Receita!$L$2:$L$1099)+SUMIF(Mercado_Receita!$S$2:$S$1099,"44501B1Convencional pré-pagamentoResidencialResidencial baixa renda – faixa 03Não se aplicaNão se aplicaNão se aplica",Mercado_Receita!$L$2:$L$1099)</f>
        <v>0</v>
      </c>
      <c r="N29" s="13">
        <f>SUMIF(Mercado_Receita!$S$2:$S$1099,"44531B1Convencional pré-pagamentoResidencialResidencial baixa renda – faixa 03Não se aplicaNão se aplicaPonta",Mercado_Receita!$L$2:$L$1099)+SUMIF(Mercado_Receita!$S$2:$S$1099,"44531B1Convencional pré-pagamentoResidencialResidencial baixa renda – faixa 03Não se aplicaNão se aplicaFora ponta",Mercado_Receita!$L$2:$L$1099)+SUMIF(Mercado_Receita!$S$2:$S$1099,"44531B1Convencional pré-pagamentoResidencialResidencial baixa renda – faixa 03Não se aplicaNão se aplicaIntermediário",Mercado_Receita!$L$2:$L$1099)+SUMIF(Mercado_Receita!$S$2:$S$1099,"44531B1Convencional pré-pagamentoResidencialResidencial baixa renda – faixa 03Não se aplicaNão se aplicaNão se aplica",Mercado_Receita!$L$2:$L$1099)</f>
        <v>0</v>
      </c>
      <c r="O29" s="13">
        <f>SUMIF(Mercado_Receita!$S$2:$S$1099,"44562B1Convencional pré-pagamentoResidencialResidencial baixa renda – faixa 03Não se aplicaNão se aplicaPonta",Mercado_Receita!$L$2:$L$1099)+SUMIF(Mercado_Receita!$S$2:$S$1099,"44562B1Convencional pré-pagamentoResidencialResidencial baixa renda – faixa 03Não se aplicaNão se aplicaFora ponta",Mercado_Receita!$L$2:$L$1099)+SUMIF(Mercado_Receita!$S$2:$S$1099,"44562B1Convencional pré-pagamentoResidencialResidencial baixa renda – faixa 03Não se aplicaNão se aplicaIntermediário",Mercado_Receita!$L$2:$L$1099)+SUMIF(Mercado_Receita!$S$2:$S$1099,"44562B1Convencional pré-pagamentoResidencialResidencial baixa renda – faixa 03Não se aplicaNão se aplicaNão se aplica",Mercado_Receita!$L$2:$L$1099)</f>
        <v>0</v>
      </c>
      <c r="P29" s="13">
        <f>SUMIF(Mercado_Receita!$S$2:$S$1099,"44593B1Convencional pré-pagamentoResidencialResidencial baixa renda – faixa 03Não se aplicaNão se aplicaPonta",Mercado_Receita!$L$2:$L$1099)+SUMIF(Mercado_Receita!$S$2:$S$1099,"44593B1Convencional pré-pagamentoResidencialResidencial baixa renda – faixa 03Não se aplicaNão se aplicaFora ponta",Mercado_Receita!$L$2:$L$1099)+SUMIF(Mercado_Receita!$S$2:$S$1099,"44593B1Convencional pré-pagamentoResidencialResidencial baixa renda – faixa 03Não se aplicaNão se aplicaIntermediário",Mercado_Receita!$L$2:$L$1099)+SUMIF(Mercado_Receita!$S$2:$S$1099,"44593B1Convencional pré-pagamentoResidencialResidencial baixa renda – faixa 03Não se aplicaNão se aplicaNão se aplica",Mercado_Receita!$L$2:$L$1099)</f>
        <v>0</v>
      </c>
      <c r="Q29" s="13">
        <f>SUMIF(Mercado_Receita!$S$2:$S$1099,"44621B1Convencional pré-pagamentoResidencialResidencial baixa renda – faixa 03Não se aplicaNão se aplicaPonta",Mercado_Receita!$L$2:$L$1099)+SUMIF(Mercado_Receita!$S$2:$S$1099,"44621B1Convencional pré-pagamentoResidencialResidencial baixa renda – faixa 03Não se aplicaNão se aplicaFora ponta",Mercado_Receita!$L$2:$L$1099)+SUMIF(Mercado_Receita!$S$2:$S$1099,"44621B1Convencional pré-pagamentoResidencialResidencial baixa renda – faixa 03Não se aplicaNão se aplicaIntermediário",Mercado_Receita!$L$2:$L$1099)+SUMIF(Mercado_Receita!$S$2:$S$1099,"44621B1Convencional pré-pagamentoResidencialResidencial baixa renda – faixa 03Não se aplicaNão se aplicaNão se aplica",Mercado_Receita!$L$2:$L$1099)</f>
        <v>0</v>
      </c>
      <c r="R29" s="13">
        <f>SUMIF(Mercado_Receita!$S$2:$S$1099,"44652B1Convencional pré-pagamentoResidencialResidencial baixa renda – faixa 03Não se aplicaNão se aplicaPonta",Mercado_Receita!$L$2:$L$1099)+SUMIF(Mercado_Receita!$S$2:$S$1099,"44652B1Convencional pré-pagamentoResidencialResidencial baixa renda – faixa 03Não se aplicaNão se aplicaFora ponta",Mercado_Receita!$L$2:$L$1099)+SUMIF(Mercado_Receita!$S$2:$S$1099,"44652B1Convencional pré-pagamentoResidencialResidencial baixa renda – faixa 03Não se aplicaNão se aplicaIntermediário",Mercado_Receita!$L$2:$L$1099)+SUMIF(Mercado_Receita!$S$2:$S$1099,"44652B1Convencional pré-pagamentoResidencialResidencial baixa renda – faixa 03Não se aplicaNão se aplicaNão se aplica",Mercado_Receita!$L$2:$L$1099)</f>
        <v>0</v>
      </c>
      <c r="S29" s="13">
        <f>SUMIF(Mercado_Receita!$S$2:$S$1099,"44682B1Convencional pré-pagamentoResidencialResidencial baixa renda – faixa 03Não se aplicaNão se aplicaPonta",Mercado_Receita!$L$2:$L$1099)+SUMIF(Mercado_Receita!$S$2:$S$1099,"44682B1Convencional pré-pagamentoResidencialResidencial baixa renda – faixa 03Não se aplicaNão se aplicaFora ponta",Mercado_Receita!$L$2:$L$1099)+SUMIF(Mercado_Receita!$S$2:$S$1099,"44682B1Convencional pré-pagamentoResidencialResidencial baixa renda – faixa 03Não se aplicaNão se aplicaIntermediário",Mercado_Receita!$L$2:$L$1099)+SUMIF(Mercado_Receita!$S$2:$S$1099,"44682B1Convencional pré-pagamentoResidencialResidencial baixa renda – faixa 03Não se aplicaNão se aplicaNão se aplica",Mercado_Receita!$L$2:$L$1099)</f>
        <v>0</v>
      </c>
      <c r="T29" s="13">
        <f>SUMIF(Mercado_Receita!$S$2:$S$1099,"44713B1Convencional pré-pagamentoResidencialResidencial baixa renda – faixa 03Não se aplicaNão se aplicaPonta",Mercado_Receita!$L$2:$L$1099)+SUMIF(Mercado_Receita!$S$2:$S$1099,"44713B1Convencional pré-pagamentoResidencialResidencial baixa renda – faixa 03Não se aplicaNão se aplicaFora ponta",Mercado_Receita!$L$2:$L$1099)+SUMIF(Mercado_Receita!$S$2:$S$1099,"44713B1Convencional pré-pagamentoResidencialResidencial baixa renda – faixa 03Não se aplicaNão se aplicaIntermediário",Mercado_Receita!$L$2:$L$1099)+SUMIF(Mercado_Receita!$S$2:$S$1099,"44713B1Convencional pré-pagamentoResidencialResidencial baixa renda – faixa 03Não se aplicaNão se aplicaNão se aplica",Mercado_Receita!$L$2:$L$1099)</f>
        <v>0</v>
      </c>
      <c r="U29" s="13">
        <f t="shared" si="0"/>
        <v>0</v>
      </c>
      <c r="V29" s="13"/>
      <c r="W29" s="13"/>
    </row>
    <row r="30" spans="1:23" ht="11.25" customHeight="1" x14ac:dyDescent="0.25">
      <c r="A30" s="95"/>
      <c r="B30" s="95"/>
      <c r="C30" s="95"/>
      <c r="D30" s="12" t="s">
        <v>32</v>
      </c>
      <c r="E30" s="12" t="s">
        <v>25</v>
      </c>
      <c r="F30" s="12" t="s">
        <v>25</v>
      </c>
      <c r="G30" s="13" t="s">
        <v>88</v>
      </c>
      <c r="H30" s="13" t="s">
        <v>82</v>
      </c>
      <c r="I30" s="13">
        <f>SUMIF(Mercado_Receita!$S$2:$S$1099,"44378B1Convencional pré-pagamentoResidencialResidencial baixa renda – faixa 04Não se aplicaNão se aplicaPonta",Mercado_Receita!$L$2:$L$1099)+SUMIF(Mercado_Receita!$S$2:$S$1099,"44378B1Convencional pré-pagamentoResidencialResidencial baixa renda – faixa 04Não se aplicaNão se aplicaFora ponta",Mercado_Receita!$L$2:$L$1099)+SUMIF(Mercado_Receita!$S$2:$S$1099,"44378B1Convencional pré-pagamentoResidencialResidencial baixa renda – faixa 04Não se aplicaNão se aplicaIntermediário",Mercado_Receita!$L$2:$L$1099)+SUMIF(Mercado_Receita!$S$2:$S$1099,"44378B1Convencional pré-pagamentoResidencialResidencial baixa renda – faixa 04Não se aplicaNão se aplicaNão se aplica",Mercado_Receita!$L$2:$L$1099)</f>
        <v>0</v>
      </c>
      <c r="J30" s="13">
        <f>SUMIF(Mercado_Receita!$S$2:$S$1099,"44409B1Convencional pré-pagamentoResidencialResidencial baixa renda – faixa 04Não se aplicaNão se aplicaPonta",Mercado_Receita!$L$2:$L$1099)+SUMIF(Mercado_Receita!$S$2:$S$1099,"44409B1Convencional pré-pagamentoResidencialResidencial baixa renda – faixa 04Não se aplicaNão se aplicaFora ponta",Mercado_Receita!$L$2:$L$1099)+SUMIF(Mercado_Receita!$S$2:$S$1099,"44409B1Convencional pré-pagamentoResidencialResidencial baixa renda – faixa 04Não se aplicaNão se aplicaIntermediário",Mercado_Receita!$L$2:$L$1099)+SUMIF(Mercado_Receita!$S$2:$S$1099,"44409B1Convencional pré-pagamentoResidencialResidencial baixa renda – faixa 04Não se aplicaNão se aplicaNão se aplica",Mercado_Receita!$L$2:$L$1099)</f>
        <v>0</v>
      </c>
      <c r="K30" s="13">
        <f>SUMIF(Mercado_Receita!$S$2:$S$1099,"44440B1Convencional pré-pagamentoResidencialResidencial baixa renda – faixa 04Não se aplicaNão se aplicaPonta",Mercado_Receita!$L$2:$L$1099)+SUMIF(Mercado_Receita!$S$2:$S$1099,"44440B1Convencional pré-pagamentoResidencialResidencial baixa renda – faixa 04Não se aplicaNão se aplicaFora ponta",Mercado_Receita!$L$2:$L$1099)+SUMIF(Mercado_Receita!$S$2:$S$1099,"44440B1Convencional pré-pagamentoResidencialResidencial baixa renda – faixa 04Não se aplicaNão se aplicaIntermediário",Mercado_Receita!$L$2:$L$1099)+SUMIF(Mercado_Receita!$S$2:$S$1099,"44440B1Convencional pré-pagamentoResidencialResidencial baixa renda – faixa 04Não se aplicaNão se aplicaNão se aplica",Mercado_Receita!$L$2:$L$1099)</f>
        <v>0</v>
      </c>
      <c r="L30" s="13">
        <f>SUMIF(Mercado_Receita!$S$2:$S$1099,"44470B1Convencional pré-pagamentoResidencialResidencial baixa renda – faixa 04Não se aplicaNão se aplicaPonta",Mercado_Receita!$L$2:$L$1099)+SUMIF(Mercado_Receita!$S$2:$S$1099,"44470B1Convencional pré-pagamentoResidencialResidencial baixa renda – faixa 04Não se aplicaNão se aplicaFora ponta",Mercado_Receita!$L$2:$L$1099)+SUMIF(Mercado_Receita!$S$2:$S$1099,"44470B1Convencional pré-pagamentoResidencialResidencial baixa renda – faixa 04Não se aplicaNão se aplicaIntermediário",Mercado_Receita!$L$2:$L$1099)+SUMIF(Mercado_Receita!$S$2:$S$1099,"44470B1Convencional pré-pagamentoResidencialResidencial baixa renda – faixa 04Não se aplicaNão se aplicaNão se aplica",Mercado_Receita!$L$2:$L$1099)</f>
        <v>0</v>
      </c>
      <c r="M30" s="13">
        <f>SUMIF(Mercado_Receita!$S$2:$S$1099,"44501B1Convencional pré-pagamentoResidencialResidencial baixa renda – faixa 04Não se aplicaNão se aplicaPonta",Mercado_Receita!$L$2:$L$1099)+SUMIF(Mercado_Receita!$S$2:$S$1099,"44501B1Convencional pré-pagamentoResidencialResidencial baixa renda – faixa 04Não se aplicaNão se aplicaFora ponta",Mercado_Receita!$L$2:$L$1099)+SUMIF(Mercado_Receita!$S$2:$S$1099,"44501B1Convencional pré-pagamentoResidencialResidencial baixa renda – faixa 04Não se aplicaNão se aplicaIntermediário",Mercado_Receita!$L$2:$L$1099)+SUMIF(Mercado_Receita!$S$2:$S$1099,"44501B1Convencional pré-pagamentoResidencialResidencial baixa renda – faixa 04Não se aplicaNão se aplicaNão se aplica",Mercado_Receita!$L$2:$L$1099)</f>
        <v>0</v>
      </c>
      <c r="N30" s="13">
        <f>SUMIF(Mercado_Receita!$S$2:$S$1099,"44531B1Convencional pré-pagamentoResidencialResidencial baixa renda – faixa 04Não se aplicaNão se aplicaPonta",Mercado_Receita!$L$2:$L$1099)+SUMIF(Mercado_Receita!$S$2:$S$1099,"44531B1Convencional pré-pagamentoResidencialResidencial baixa renda – faixa 04Não se aplicaNão se aplicaFora ponta",Mercado_Receita!$L$2:$L$1099)+SUMIF(Mercado_Receita!$S$2:$S$1099,"44531B1Convencional pré-pagamentoResidencialResidencial baixa renda – faixa 04Não se aplicaNão se aplicaIntermediário",Mercado_Receita!$L$2:$L$1099)+SUMIF(Mercado_Receita!$S$2:$S$1099,"44531B1Convencional pré-pagamentoResidencialResidencial baixa renda – faixa 04Não se aplicaNão se aplicaNão se aplica",Mercado_Receita!$L$2:$L$1099)</f>
        <v>0</v>
      </c>
      <c r="O30" s="13">
        <f>SUMIF(Mercado_Receita!$S$2:$S$1099,"44562B1Convencional pré-pagamentoResidencialResidencial baixa renda – faixa 04Não se aplicaNão se aplicaPonta",Mercado_Receita!$L$2:$L$1099)+SUMIF(Mercado_Receita!$S$2:$S$1099,"44562B1Convencional pré-pagamentoResidencialResidencial baixa renda – faixa 04Não se aplicaNão se aplicaFora ponta",Mercado_Receita!$L$2:$L$1099)+SUMIF(Mercado_Receita!$S$2:$S$1099,"44562B1Convencional pré-pagamentoResidencialResidencial baixa renda – faixa 04Não se aplicaNão se aplicaIntermediário",Mercado_Receita!$L$2:$L$1099)+SUMIF(Mercado_Receita!$S$2:$S$1099,"44562B1Convencional pré-pagamentoResidencialResidencial baixa renda – faixa 04Não se aplicaNão se aplicaNão se aplica",Mercado_Receita!$L$2:$L$1099)</f>
        <v>0</v>
      </c>
      <c r="P30" s="13">
        <f>SUMIF(Mercado_Receita!$S$2:$S$1099,"44593B1Convencional pré-pagamentoResidencialResidencial baixa renda – faixa 04Não se aplicaNão se aplicaPonta",Mercado_Receita!$L$2:$L$1099)+SUMIF(Mercado_Receita!$S$2:$S$1099,"44593B1Convencional pré-pagamentoResidencialResidencial baixa renda – faixa 04Não se aplicaNão se aplicaFora ponta",Mercado_Receita!$L$2:$L$1099)+SUMIF(Mercado_Receita!$S$2:$S$1099,"44593B1Convencional pré-pagamentoResidencialResidencial baixa renda – faixa 04Não se aplicaNão se aplicaIntermediário",Mercado_Receita!$L$2:$L$1099)+SUMIF(Mercado_Receita!$S$2:$S$1099,"44593B1Convencional pré-pagamentoResidencialResidencial baixa renda – faixa 04Não se aplicaNão se aplicaNão se aplica",Mercado_Receita!$L$2:$L$1099)</f>
        <v>0</v>
      </c>
      <c r="Q30" s="13">
        <f>SUMIF(Mercado_Receita!$S$2:$S$1099,"44621B1Convencional pré-pagamentoResidencialResidencial baixa renda – faixa 04Não se aplicaNão se aplicaPonta",Mercado_Receita!$L$2:$L$1099)+SUMIF(Mercado_Receita!$S$2:$S$1099,"44621B1Convencional pré-pagamentoResidencialResidencial baixa renda – faixa 04Não se aplicaNão se aplicaFora ponta",Mercado_Receita!$L$2:$L$1099)+SUMIF(Mercado_Receita!$S$2:$S$1099,"44621B1Convencional pré-pagamentoResidencialResidencial baixa renda – faixa 04Não se aplicaNão se aplicaIntermediário",Mercado_Receita!$L$2:$L$1099)+SUMIF(Mercado_Receita!$S$2:$S$1099,"44621B1Convencional pré-pagamentoResidencialResidencial baixa renda – faixa 04Não se aplicaNão se aplicaNão se aplica",Mercado_Receita!$L$2:$L$1099)</f>
        <v>0</v>
      </c>
      <c r="R30" s="13">
        <f>SUMIF(Mercado_Receita!$S$2:$S$1099,"44652B1Convencional pré-pagamentoResidencialResidencial baixa renda – faixa 04Não se aplicaNão se aplicaPonta",Mercado_Receita!$L$2:$L$1099)+SUMIF(Mercado_Receita!$S$2:$S$1099,"44652B1Convencional pré-pagamentoResidencialResidencial baixa renda – faixa 04Não se aplicaNão se aplicaFora ponta",Mercado_Receita!$L$2:$L$1099)+SUMIF(Mercado_Receita!$S$2:$S$1099,"44652B1Convencional pré-pagamentoResidencialResidencial baixa renda – faixa 04Não se aplicaNão se aplicaIntermediário",Mercado_Receita!$L$2:$L$1099)+SUMIF(Mercado_Receita!$S$2:$S$1099,"44652B1Convencional pré-pagamentoResidencialResidencial baixa renda – faixa 04Não se aplicaNão se aplicaNão se aplica",Mercado_Receita!$L$2:$L$1099)</f>
        <v>0</v>
      </c>
      <c r="S30" s="13">
        <f>SUMIF(Mercado_Receita!$S$2:$S$1099,"44682B1Convencional pré-pagamentoResidencialResidencial baixa renda – faixa 04Não se aplicaNão se aplicaPonta",Mercado_Receita!$L$2:$L$1099)+SUMIF(Mercado_Receita!$S$2:$S$1099,"44682B1Convencional pré-pagamentoResidencialResidencial baixa renda – faixa 04Não se aplicaNão se aplicaFora ponta",Mercado_Receita!$L$2:$L$1099)+SUMIF(Mercado_Receita!$S$2:$S$1099,"44682B1Convencional pré-pagamentoResidencialResidencial baixa renda – faixa 04Não se aplicaNão se aplicaIntermediário",Mercado_Receita!$L$2:$L$1099)+SUMIF(Mercado_Receita!$S$2:$S$1099,"44682B1Convencional pré-pagamentoResidencialResidencial baixa renda – faixa 04Não se aplicaNão se aplicaNão se aplica",Mercado_Receita!$L$2:$L$1099)</f>
        <v>0</v>
      </c>
      <c r="T30" s="13">
        <f>SUMIF(Mercado_Receita!$S$2:$S$1099,"44713B1Convencional pré-pagamentoResidencialResidencial baixa renda – faixa 04Não se aplicaNão se aplicaPonta",Mercado_Receita!$L$2:$L$1099)+SUMIF(Mercado_Receita!$S$2:$S$1099,"44713B1Convencional pré-pagamentoResidencialResidencial baixa renda – faixa 04Não se aplicaNão se aplicaFora ponta",Mercado_Receita!$L$2:$L$1099)+SUMIF(Mercado_Receita!$S$2:$S$1099,"44713B1Convencional pré-pagamentoResidencialResidencial baixa renda – faixa 04Não se aplicaNão se aplicaIntermediário",Mercado_Receita!$L$2:$L$1099)+SUMIF(Mercado_Receita!$S$2:$S$1099,"44713B1Convencional pré-pagamentoResidencialResidencial baixa renda – faixa 04Não se aplicaNão se aplicaNão se aplica",Mercado_Receita!$L$2:$L$1099)</f>
        <v>0</v>
      </c>
      <c r="U30" s="13">
        <f t="shared" si="0"/>
        <v>0</v>
      </c>
      <c r="V30" s="13"/>
      <c r="W30" s="13"/>
    </row>
    <row r="31" spans="1:23" ht="11.25" customHeight="1" x14ac:dyDescent="0.25">
      <c r="A31" s="94" t="s">
        <v>41</v>
      </c>
      <c r="B31" s="94" t="s">
        <v>95</v>
      </c>
      <c r="C31" s="94" t="s">
        <v>42</v>
      </c>
      <c r="D31" s="94" t="s">
        <v>25</v>
      </c>
      <c r="E31" s="94" t="s">
        <v>25</v>
      </c>
      <c r="F31" s="94" t="s">
        <v>25</v>
      </c>
      <c r="G31" s="13" t="s">
        <v>83</v>
      </c>
      <c r="H31" s="13" t="s">
        <v>82</v>
      </c>
      <c r="I31" s="13">
        <f>SUMIF(Mercado_Receita!$S$2:$S$1099,"44378B2BrancaRuralNão se aplicaNão se aplicaNão se aplicaPonta",Mercado_Receita!$L$2:$L$1099)</f>
        <v>0</v>
      </c>
      <c r="J31" s="13">
        <f>SUMIF(Mercado_Receita!$S$2:$S$1099,"44409B2BrancaRuralNão se aplicaNão se aplicaNão se aplicaPonta",Mercado_Receita!$L$2:$L$1099)</f>
        <v>0</v>
      </c>
      <c r="K31" s="13">
        <f>SUMIF(Mercado_Receita!$S$2:$S$1099,"44440B2BrancaRuralNão se aplicaNão se aplicaNão se aplicaPonta",Mercado_Receita!$L$2:$L$1099)</f>
        <v>0</v>
      </c>
      <c r="L31" s="13">
        <f>SUMIF(Mercado_Receita!$S$2:$S$1099,"44470B2BrancaRuralNão se aplicaNão se aplicaNão se aplicaPonta",Mercado_Receita!$L$2:$L$1099)</f>
        <v>0</v>
      </c>
      <c r="M31" s="13">
        <f>SUMIF(Mercado_Receita!$S$2:$S$1099,"44501B2BrancaRuralNão se aplicaNão se aplicaNão se aplicaPonta",Mercado_Receita!$L$2:$L$1099)</f>
        <v>0</v>
      </c>
      <c r="N31" s="13">
        <f>SUMIF(Mercado_Receita!$S$2:$S$1099,"44531B2BrancaRuralNão se aplicaNão se aplicaNão se aplicaPonta",Mercado_Receita!$L$2:$L$1099)</f>
        <v>0</v>
      </c>
      <c r="O31" s="13">
        <f>SUMIF(Mercado_Receita!$S$2:$S$1099,"44562B2BrancaRuralNão se aplicaNão se aplicaNão se aplicaPonta",Mercado_Receita!$L$2:$L$1099)</f>
        <v>0</v>
      </c>
      <c r="P31" s="13">
        <f>SUMIF(Mercado_Receita!$S$2:$S$1099,"44593B2BrancaRuralNão se aplicaNão se aplicaNão se aplicaPonta",Mercado_Receita!$L$2:$L$1099)</f>
        <v>0</v>
      </c>
      <c r="Q31" s="13">
        <f>SUMIF(Mercado_Receita!$S$2:$S$1099,"44621B2BrancaRuralNão se aplicaNão se aplicaNão se aplicaPonta",Mercado_Receita!$L$2:$L$1099)</f>
        <v>0</v>
      </c>
      <c r="R31" s="13">
        <f>SUMIF(Mercado_Receita!$S$2:$S$1099,"44652B2BrancaRuralNão se aplicaNão se aplicaNão se aplicaPonta",Mercado_Receita!$L$2:$L$1099)</f>
        <v>0</v>
      </c>
      <c r="S31" s="13">
        <f>SUMIF(Mercado_Receita!$S$2:$S$1099,"44682B2BrancaRuralNão se aplicaNão se aplicaNão se aplicaPonta",Mercado_Receita!$L$2:$L$1099)</f>
        <v>0</v>
      </c>
      <c r="T31" s="13">
        <f>SUMIF(Mercado_Receita!$S$2:$S$1099,"44713B2BrancaRuralNão se aplicaNão se aplicaNão se aplicaPonta",Mercado_Receita!$L$2:$L$1099)</f>
        <v>0</v>
      </c>
      <c r="U31" s="13">
        <f t="shared" si="0"/>
        <v>0</v>
      </c>
      <c r="V31" s="13"/>
      <c r="W31" s="13"/>
    </row>
    <row r="32" spans="1:23" ht="11.25" customHeight="1" x14ac:dyDescent="0.25">
      <c r="A32" s="95"/>
      <c r="B32" s="95"/>
      <c r="C32" s="95"/>
      <c r="D32" s="95"/>
      <c r="E32" s="95"/>
      <c r="F32" s="95"/>
      <c r="G32" s="13" t="s">
        <v>94</v>
      </c>
      <c r="H32" s="13" t="s">
        <v>82</v>
      </c>
      <c r="I32" s="13">
        <f>SUMIF(Mercado_Receita!$S$2:$S$1099,"44378B2BrancaRuralNão se aplicaNão se aplicaNão se aplicaIntermediário",Mercado_Receita!$L$2:$L$1099)</f>
        <v>0</v>
      </c>
      <c r="J32" s="13">
        <f>SUMIF(Mercado_Receita!$S$2:$S$1099,"44409B2BrancaRuralNão se aplicaNão se aplicaNão se aplicaIntermediário",Mercado_Receita!$L$2:$L$1099)</f>
        <v>0</v>
      </c>
      <c r="K32" s="13">
        <f>SUMIF(Mercado_Receita!$S$2:$S$1099,"44440B2BrancaRuralNão se aplicaNão se aplicaNão se aplicaIntermediário",Mercado_Receita!$L$2:$L$1099)</f>
        <v>0</v>
      </c>
      <c r="L32" s="13">
        <f>SUMIF(Mercado_Receita!$S$2:$S$1099,"44470B2BrancaRuralNão se aplicaNão se aplicaNão se aplicaIntermediário",Mercado_Receita!$L$2:$L$1099)</f>
        <v>0</v>
      </c>
      <c r="M32" s="13">
        <f>SUMIF(Mercado_Receita!$S$2:$S$1099,"44501B2BrancaRuralNão se aplicaNão se aplicaNão se aplicaIntermediário",Mercado_Receita!$L$2:$L$1099)</f>
        <v>0</v>
      </c>
      <c r="N32" s="13">
        <f>SUMIF(Mercado_Receita!$S$2:$S$1099,"44531B2BrancaRuralNão se aplicaNão se aplicaNão se aplicaIntermediário",Mercado_Receita!$L$2:$L$1099)</f>
        <v>0</v>
      </c>
      <c r="O32" s="13">
        <f>SUMIF(Mercado_Receita!$S$2:$S$1099,"44562B2BrancaRuralNão se aplicaNão se aplicaNão se aplicaIntermediário",Mercado_Receita!$L$2:$L$1099)</f>
        <v>0</v>
      </c>
      <c r="P32" s="13">
        <f>SUMIF(Mercado_Receita!$S$2:$S$1099,"44593B2BrancaRuralNão se aplicaNão se aplicaNão se aplicaIntermediário",Mercado_Receita!$L$2:$L$1099)</f>
        <v>0</v>
      </c>
      <c r="Q32" s="13">
        <f>SUMIF(Mercado_Receita!$S$2:$S$1099,"44621B2BrancaRuralNão se aplicaNão se aplicaNão se aplicaIntermediário",Mercado_Receita!$L$2:$L$1099)</f>
        <v>0</v>
      </c>
      <c r="R32" s="13">
        <f>SUMIF(Mercado_Receita!$S$2:$S$1099,"44652B2BrancaRuralNão se aplicaNão se aplicaNão se aplicaIntermediário",Mercado_Receita!$L$2:$L$1099)</f>
        <v>0</v>
      </c>
      <c r="S32" s="13">
        <f>SUMIF(Mercado_Receita!$S$2:$S$1099,"44682B2BrancaRuralNão se aplicaNão se aplicaNão se aplicaIntermediário",Mercado_Receita!$L$2:$L$1099)</f>
        <v>0</v>
      </c>
      <c r="T32" s="13">
        <f>SUMIF(Mercado_Receita!$S$2:$S$1099,"44713B2BrancaRuralNão se aplicaNão se aplicaNão se aplicaIntermediário",Mercado_Receita!$L$2:$L$1099)</f>
        <v>0</v>
      </c>
      <c r="U32" s="13">
        <f t="shared" si="0"/>
        <v>0</v>
      </c>
      <c r="V32" s="13"/>
      <c r="W32" s="13"/>
    </row>
    <row r="33" spans="1:23" ht="11.25" customHeight="1" x14ac:dyDescent="0.25">
      <c r="A33" s="95"/>
      <c r="B33" s="95"/>
      <c r="C33" s="95"/>
      <c r="D33" s="95"/>
      <c r="E33" s="95"/>
      <c r="F33" s="95"/>
      <c r="G33" s="13" t="s">
        <v>84</v>
      </c>
      <c r="H33" s="13" t="s">
        <v>82</v>
      </c>
      <c r="I33" s="13">
        <f>SUMIF(Mercado_Receita!$S$2:$S$1099,"44378B2BrancaRuralNão se aplicaNão se aplicaNão se aplicaFora ponta",Mercado_Receita!$L$2:$L$1099)</f>
        <v>0</v>
      </c>
      <c r="J33" s="13">
        <f>SUMIF(Mercado_Receita!$S$2:$S$1099,"44409B2BrancaRuralNão se aplicaNão se aplicaNão se aplicaFora ponta",Mercado_Receita!$L$2:$L$1099)</f>
        <v>0</v>
      </c>
      <c r="K33" s="13">
        <f>SUMIF(Mercado_Receita!$S$2:$S$1099,"44440B2BrancaRuralNão se aplicaNão se aplicaNão se aplicaFora ponta",Mercado_Receita!$L$2:$L$1099)</f>
        <v>0</v>
      </c>
      <c r="L33" s="13">
        <f>SUMIF(Mercado_Receita!$S$2:$S$1099,"44470B2BrancaRuralNão se aplicaNão se aplicaNão se aplicaFora ponta",Mercado_Receita!$L$2:$L$1099)</f>
        <v>0</v>
      </c>
      <c r="M33" s="13">
        <f>SUMIF(Mercado_Receita!$S$2:$S$1099,"44501B2BrancaRuralNão se aplicaNão se aplicaNão se aplicaFora ponta",Mercado_Receita!$L$2:$L$1099)</f>
        <v>0</v>
      </c>
      <c r="N33" s="13">
        <f>SUMIF(Mercado_Receita!$S$2:$S$1099,"44531B2BrancaRuralNão se aplicaNão se aplicaNão se aplicaFora ponta",Mercado_Receita!$L$2:$L$1099)</f>
        <v>0</v>
      </c>
      <c r="O33" s="13">
        <f>SUMIF(Mercado_Receita!$S$2:$S$1099,"44562B2BrancaRuralNão se aplicaNão se aplicaNão se aplicaFora ponta",Mercado_Receita!$L$2:$L$1099)</f>
        <v>0</v>
      </c>
      <c r="P33" s="13">
        <f>SUMIF(Mercado_Receita!$S$2:$S$1099,"44593B2BrancaRuralNão se aplicaNão se aplicaNão se aplicaFora ponta",Mercado_Receita!$L$2:$L$1099)</f>
        <v>0</v>
      </c>
      <c r="Q33" s="13">
        <f>SUMIF(Mercado_Receita!$S$2:$S$1099,"44621B2BrancaRuralNão se aplicaNão se aplicaNão se aplicaFora ponta",Mercado_Receita!$L$2:$L$1099)</f>
        <v>0</v>
      </c>
      <c r="R33" s="13">
        <f>SUMIF(Mercado_Receita!$S$2:$S$1099,"44652B2BrancaRuralNão se aplicaNão se aplicaNão se aplicaFora ponta",Mercado_Receita!$L$2:$L$1099)</f>
        <v>0</v>
      </c>
      <c r="S33" s="13">
        <f>SUMIF(Mercado_Receita!$S$2:$S$1099,"44682B2BrancaRuralNão se aplicaNão se aplicaNão se aplicaFora ponta",Mercado_Receita!$L$2:$L$1099)</f>
        <v>0</v>
      </c>
      <c r="T33" s="13">
        <f>SUMIF(Mercado_Receita!$S$2:$S$1099,"44713B2BrancaRuralNão se aplicaNão se aplicaNão se aplicaFora ponta",Mercado_Receita!$L$2:$L$1099)</f>
        <v>0</v>
      </c>
      <c r="U33" s="13">
        <f t="shared" si="0"/>
        <v>0</v>
      </c>
      <c r="V33" s="13"/>
      <c r="W33" s="13"/>
    </row>
    <row r="34" spans="1:23" ht="11.25" customHeight="1" x14ac:dyDescent="0.25">
      <c r="A34" s="95"/>
      <c r="B34" s="12" t="s">
        <v>23</v>
      </c>
      <c r="C34" s="12" t="s">
        <v>42</v>
      </c>
      <c r="D34" s="12" t="s">
        <v>25</v>
      </c>
      <c r="E34" s="12" t="s">
        <v>25</v>
      </c>
      <c r="F34" s="12" t="s">
        <v>25</v>
      </c>
      <c r="G34" s="13" t="s">
        <v>88</v>
      </c>
      <c r="H34" s="13" t="s">
        <v>82</v>
      </c>
      <c r="I34" s="13">
        <f>SUMIF(Mercado_Receita!$S$2:$S$1099,"44378B2ConvencionalRuralNão se aplicaNão se aplicaNão se aplicaPonta",Mercado_Receita!$L$2:$L$1099)+SUMIF(Mercado_Receita!$S$2:$S$1099,"44378B2ConvencionalRuralNão se aplicaNão se aplicaNão se aplicaFora ponta",Mercado_Receita!$L$2:$L$1099)+SUMIF(Mercado_Receita!$S$2:$S$1099,"44378B2ConvencionalRuralNão se aplicaNão se aplicaNão se aplicaIntermediário",Mercado_Receita!$L$2:$L$1099)+SUMIF(Mercado_Receita!$S$2:$S$1099,"44378B2ConvencionalRuralNão se aplicaNão se aplicaNão se aplicaNão se aplica",Mercado_Receita!$L$2:$L$1099)</f>
        <v>13364.159000000001</v>
      </c>
      <c r="J34" s="13">
        <f>SUMIF(Mercado_Receita!$S$2:$S$1099,"44409B2ConvencionalRuralNão se aplicaNão se aplicaNão se aplicaPonta",Mercado_Receita!$L$2:$L$1099)+SUMIF(Mercado_Receita!$S$2:$S$1099,"44409B2ConvencionalRuralNão se aplicaNão se aplicaNão se aplicaFora ponta",Mercado_Receita!$L$2:$L$1099)+SUMIF(Mercado_Receita!$S$2:$S$1099,"44409B2ConvencionalRuralNão se aplicaNão se aplicaNão se aplicaIntermediário",Mercado_Receita!$L$2:$L$1099)+SUMIF(Mercado_Receita!$S$2:$S$1099,"44409B2ConvencionalRuralNão se aplicaNão se aplicaNão se aplicaNão se aplica",Mercado_Receita!$L$2:$L$1099)</f>
        <v>14243.99</v>
      </c>
      <c r="K34" s="13">
        <f>SUMIF(Mercado_Receita!$S$2:$S$1099,"44440B2ConvencionalRuralNão se aplicaNão se aplicaNão se aplicaPonta",Mercado_Receita!$L$2:$L$1099)+SUMIF(Mercado_Receita!$S$2:$S$1099,"44440B2ConvencionalRuralNão se aplicaNão se aplicaNão se aplicaFora ponta",Mercado_Receita!$L$2:$L$1099)+SUMIF(Mercado_Receita!$S$2:$S$1099,"44440B2ConvencionalRuralNão se aplicaNão se aplicaNão se aplicaIntermediário",Mercado_Receita!$L$2:$L$1099)+SUMIF(Mercado_Receita!$S$2:$S$1099,"44440B2ConvencionalRuralNão se aplicaNão se aplicaNão se aplicaNão se aplica",Mercado_Receita!$L$2:$L$1099)</f>
        <v>14497.259</v>
      </c>
      <c r="L34" s="13">
        <f>SUMIF(Mercado_Receita!$S$2:$S$1099,"44470B2ConvencionalRuralNão se aplicaNão se aplicaNão se aplicaPonta",Mercado_Receita!$L$2:$L$1099)+SUMIF(Mercado_Receita!$S$2:$S$1099,"44470B2ConvencionalRuralNão se aplicaNão se aplicaNão se aplicaFora ponta",Mercado_Receita!$L$2:$L$1099)+SUMIF(Mercado_Receita!$S$2:$S$1099,"44470B2ConvencionalRuralNão se aplicaNão se aplicaNão se aplicaIntermediário",Mercado_Receita!$L$2:$L$1099)+SUMIF(Mercado_Receita!$S$2:$S$1099,"44470B2ConvencionalRuralNão se aplicaNão se aplicaNão se aplicaNão se aplica",Mercado_Receita!$L$2:$L$1099)</f>
        <v>14106.957000000002</v>
      </c>
      <c r="M34" s="13">
        <f>SUMIF(Mercado_Receita!$S$2:$S$1099,"44501B2ConvencionalRuralNão se aplicaNão se aplicaNão se aplicaPonta",Mercado_Receita!$L$2:$L$1099)+SUMIF(Mercado_Receita!$S$2:$S$1099,"44501B2ConvencionalRuralNão se aplicaNão se aplicaNão se aplicaFora ponta",Mercado_Receita!$L$2:$L$1099)+SUMIF(Mercado_Receita!$S$2:$S$1099,"44501B2ConvencionalRuralNão se aplicaNão se aplicaNão se aplicaIntermediário",Mercado_Receita!$L$2:$L$1099)+SUMIF(Mercado_Receita!$S$2:$S$1099,"44501B2ConvencionalRuralNão se aplicaNão se aplicaNão se aplicaNão se aplica",Mercado_Receita!$L$2:$L$1099)</f>
        <v>14874.311999999998</v>
      </c>
      <c r="N34" s="13">
        <f>SUMIF(Mercado_Receita!$S$2:$S$1099,"44531B2ConvencionalRuralNão se aplicaNão se aplicaNão se aplicaPonta",Mercado_Receita!$L$2:$L$1099)+SUMIF(Mercado_Receita!$S$2:$S$1099,"44531B2ConvencionalRuralNão se aplicaNão se aplicaNão se aplicaFora ponta",Mercado_Receita!$L$2:$L$1099)+SUMIF(Mercado_Receita!$S$2:$S$1099,"44531B2ConvencionalRuralNão se aplicaNão se aplicaNão se aplicaIntermediário",Mercado_Receita!$L$2:$L$1099)+SUMIF(Mercado_Receita!$S$2:$S$1099,"44531B2ConvencionalRuralNão se aplicaNão se aplicaNão se aplicaNão se aplica",Mercado_Receita!$L$2:$L$1099)</f>
        <v>16020.019000000002</v>
      </c>
      <c r="O34" s="13">
        <f>SUMIF(Mercado_Receita!$S$2:$S$1099,"44562B2ConvencionalRuralNão se aplicaNão se aplicaNão se aplicaPonta",Mercado_Receita!$L$2:$L$1099)+SUMIF(Mercado_Receita!$S$2:$S$1099,"44562B2ConvencionalRuralNão se aplicaNão se aplicaNão se aplicaFora ponta",Mercado_Receita!$L$2:$L$1099)+SUMIF(Mercado_Receita!$S$2:$S$1099,"44562B2ConvencionalRuralNão se aplicaNão se aplicaNão se aplicaIntermediário",Mercado_Receita!$L$2:$L$1099)+SUMIF(Mercado_Receita!$S$2:$S$1099,"44562B2ConvencionalRuralNão se aplicaNão se aplicaNão se aplicaNão se aplica",Mercado_Receita!$L$2:$L$1099)</f>
        <v>19752.710999999999</v>
      </c>
      <c r="P34" s="13">
        <f>SUMIF(Mercado_Receita!$S$2:$S$1099,"44593B2ConvencionalRuralNão se aplicaNão se aplicaNão se aplicaPonta",Mercado_Receita!$L$2:$L$1099)+SUMIF(Mercado_Receita!$S$2:$S$1099,"44593B2ConvencionalRuralNão se aplicaNão se aplicaNão se aplicaFora ponta",Mercado_Receita!$L$2:$L$1099)+SUMIF(Mercado_Receita!$S$2:$S$1099,"44593B2ConvencionalRuralNão se aplicaNão se aplicaNão se aplicaIntermediário",Mercado_Receita!$L$2:$L$1099)+SUMIF(Mercado_Receita!$S$2:$S$1099,"44593B2ConvencionalRuralNão se aplicaNão se aplicaNão se aplicaNão se aplica",Mercado_Receita!$L$2:$L$1099)</f>
        <v>18847.164000000001</v>
      </c>
      <c r="Q34" s="13">
        <f>SUMIF(Mercado_Receita!$S$2:$S$1099,"44621B2ConvencionalRuralNão se aplicaNão se aplicaNão se aplicaPonta",Mercado_Receita!$L$2:$L$1099)+SUMIF(Mercado_Receita!$S$2:$S$1099,"44621B2ConvencionalRuralNão se aplicaNão se aplicaNão se aplicaFora ponta",Mercado_Receita!$L$2:$L$1099)+SUMIF(Mercado_Receita!$S$2:$S$1099,"44621B2ConvencionalRuralNão se aplicaNão se aplicaNão se aplicaIntermediário",Mercado_Receita!$L$2:$L$1099)+SUMIF(Mercado_Receita!$S$2:$S$1099,"44621B2ConvencionalRuralNão se aplicaNão se aplicaNão se aplicaNão se aplica",Mercado_Receita!$L$2:$L$1099)</f>
        <v>16737.337</v>
      </c>
      <c r="R34" s="13">
        <f>SUMIF(Mercado_Receita!$S$2:$S$1099,"44652B2ConvencionalRuralNão se aplicaNão se aplicaNão se aplicaPonta",Mercado_Receita!$L$2:$L$1099)+SUMIF(Mercado_Receita!$S$2:$S$1099,"44652B2ConvencionalRuralNão se aplicaNão se aplicaNão se aplicaFora ponta",Mercado_Receita!$L$2:$L$1099)+SUMIF(Mercado_Receita!$S$2:$S$1099,"44652B2ConvencionalRuralNão se aplicaNão se aplicaNão se aplicaIntermediário",Mercado_Receita!$L$2:$L$1099)+SUMIF(Mercado_Receita!$S$2:$S$1099,"44652B2ConvencionalRuralNão se aplicaNão se aplicaNão se aplicaNão se aplica",Mercado_Receita!$L$2:$L$1099)</f>
        <v>15150.485999999999</v>
      </c>
      <c r="S34" s="13">
        <f>SUMIF(Mercado_Receita!$S$2:$S$1099,"44682B2ConvencionalRuralNão se aplicaNão se aplicaNão se aplicaPonta",Mercado_Receita!$L$2:$L$1099)+SUMIF(Mercado_Receita!$S$2:$S$1099,"44682B2ConvencionalRuralNão se aplicaNão se aplicaNão se aplicaFora ponta",Mercado_Receita!$L$2:$L$1099)+SUMIF(Mercado_Receita!$S$2:$S$1099,"44682B2ConvencionalRuralNão se aplicaNão se aplicaNão se aplicaIntermediário",Mercado_Receita!$L$2:$L$1099)+SUMIF(Mercado_Receita!$S$2:$S$1099,"44682B2ConvencionalRuralNão se aplicaNão se aplicaNão se aplicaNão se aplica",Mercado_Receita!$L$2:$L$1099)</f>
        <v>14189.781000000001</v>
      </c>
      <c r="T34" s="13">
        <f>SUMIF(Mercado_Receita!$S$2:$S$1099,"44713B2ConvencionalRuralNão se aplicaNão se aplicaNão se aplicaPonta",Mercado_Receita!$L$2:$L$1099)+SUMIF(Mercado_Receita!$S$2:$S$1099,"44713B2ConvencionalRuralNão se aplicaNão se aplicaNão se aplicaFora ponta",Mercado_Receita!$L$2:$L$1099)+SUMIF(Mercado_Receita!$S$2:$S$1099,"44713B2ConvencionalRuralNão se aplicaNão se aplicaNão se aplicaIntermediário",Mercado_Receita!$L$2:$L$1099)+SUMIF(Mercado_Receita!$S$2:$S$1099,"44713B2ConvencionalRuralNão se aplicaNão se aplicaNão se aplicaNão se aplica",Mercado_Receita!$L$2:$L$1099)</f>
        <v>14199.049000000001</v>
      </c>
      <c r="U34" s="13">
        <f t="shared" ref="U34:U52" si="1">SUM(I34:T34)</f>
        <v>185983.22399999999</v>
      </c>
      <c r="V34" s="13"/>
      <c r="W34" s="13"/>
    </row>
    <row r="35" spans="1:23" ht="11.25" customHeight="1" x14ac:dyDescent="0.25">
      <c r="A35" s="95"/>
      <c r="B35" s="94" t="s">
        <v>95</v>
      </c>
      <c r="C35" s="94" t="s">
        <v>42</v>
      </c>
      <c r="D35" s="94" t="s">
        <v>98</v>
      </c>
      <c r="E35" s="94" t="s">
        <v>25</v>
      </c>
      <c r="F35" s="94" t="s">
        <v>25</v>
      </c>
      <c r="G35" s="13" t="s">
        <v>83</v>
      </c>
      <c r="H35" s="13" t="s">
        <v>82</v>
      </c>
      <c r="I35" s="13">
        <f>SUMIF(Mercado_Receita!$S$2:$S$1099,"44378B2BrancaRuralCooperativa de eletrificação ruralNão se aplicaNão se aplicaPonta",Mercado_Receita!$L$2:$L$1099)</f>
        <v>0</v>
      </c>
      <c r="J35" s="13">
        <f>SUMIF(Mercado_Receita!$S$2:$S$1099,"44409B2BrancaRuralCooperativa de eletrificação ruralNão se aplicaNão se aplicaPonta",Mercado_Receita!$L$2:$L$1099)</f>
        <v>0</v>
      </c>
      <c r="K35" s="13">
        <f>SUMIF(Mercado_Receita!$S$2:$S$1099,"44440B2BrancaRuralCooperativa de eletrificação ruralNão se aplicaNão se aplicaPonta",Mercado_Receita!$L$2:$L$1099)</f>
        <v>0</v>
      </c>
      <c r="L35" s="13">
        <f>SUMIF(Mercado_Receita!$S$2:$S$1099,"44470B2BrancaRuralCooperativa de eletrificação ruralNão se aplicaNão se aplicaPonta",Mercado_Receita!$L$2:$L$1099)</f>
        <v>0</v>
      </c>
      <c r="M35" s="13">
        <f>SUMIF(Mercado_Receita!$S$2:$S$1099,"44501B2BrancaRuralCooperativa de eletrificação ruralNão se aplicaNão se aplicaPonta",Mercado_Receita!$L$2:$L$1099)</f>
        <v>0</v>
      </c>
      <c r="N35" s="13">
        <f>SUMIF(Mercado_Receita!$S$2:$S$1099,"44531B2BrancaRuralCooperativa de eletrificação ruralNão se aplicaNão se aplicaPonta",Mercado_Receita!$L$2:$L$1099)</f>
        <v>0</v>
      </c>
      <c r="O35" s="13">
        <f>SUMIF(Mercado_Receita!$S$2:$S$1099,"44562B2BrancaRuralCooperativa de eletrificação ruralNão se aplicaNão se aplicaPonta",Mercado_Receita!$L$2:$L$1099)</f>
        <v>0</v>
      </c>
      <c r="P35" s="13">
        <f>SUMIF(Mercado_Receita!$S$2:$S$1099,"44593B2BrancaRuralCooperativa de eletrificação ruralNão se aplicaNão se aplicaPonta",Mercado_Receita!$L$2:$L$1099)</f>
        <v>0</v>
      </c>
      <c r="Q35" s="13">
        <f>SUMIF(Mercado_Receita!$S$2:$S$1099,"44621B2BrancaRuralCooperativa de eletrificação ruralNão se aplicaNão se aplicaPonta",Mercado_Receita!$L$2:$L$1099)</f>
        <v>0</v>
      </c>
      <c r="R35" s="13">
        <f>SUMIF(Mercado_Receita!$S$2:$S$1099,"44652B2BrancaRuralCooperativa de eletrificação ruralNão se aplicaNão se aplicaPonta",Mercado_Receita!$L$2:$L$1099)</f>
        <v>0</v>
      </c>
      <c r="S35" s="13">
        <f>SUMIF(Mercado_Receita!$S$2:$S$1099,"44682B2BrancaRuralCooperativa de eletrificação ruralNão se aplicaNão se aplicaPonta",Mercado_Receita!$L$2:$L$1099)</f>
        <v>0</v>
      </c>
      <c r="T35" s="13">
        <f>SUMIF(Mercado_Receita!$S$2:$S$1099,"44713B2BrancaRuralCooperativa de eletrificação ruralNão se aplicaNão se aplicaPonta",Mercado_Receita!$L$2:$L$1099)</f>
        <v>0</v>
      </c>
      <c r="U35" s="13">
        <f t="shared" si="1"/>
        <v>0</v>
      </c>
      <c r="V35" s="13"/>
      <c r="W35" s="13"/>
    </row>
    <row r="36" spans="1:23" ht="11.25" customHeight="1" x14ac:dyDescent="0.25">
      <c r="A36" s="95"/>
      <c r="B36" s="95"/>
      <c r="C36" s="95"/>
      <c r="D36" s="95"/>
      <c r="E36" s="95"/>
      <c r="F36" s="95"/>
      <c r="G36" s="13" t="s">
        <v>94</v>
      </c>
      <c r="H36" s="13" t="s">
        <v>82</v>
      </c>
      <c r="I36" s="13">
        <f>SUMIF(Mercado_Receita!$S$2:$S$1099,"44378B2BrancaRuralCooperativa de eletrificação ruralNão se aplicaNão se aplicaIntermediário",Mercado_Receita!$L$2:$L$1099)</f>
        <v>0</v>
      </c>
      <c r="J36" s="13">
        <f>SUMIF(Mercado_Receita!$S$2:$S$1099,"44409B2BrancaRuralCooperativa de eletrificação ruralNão se aplicaNão se aplicaIntermediário",Mercado_Receita!$L$2:$L$1099)</f>
        <v>0</v>
      </c>
      <c r="K36" s="13">
        <f>SUMIF(Mercado_Receita!$S$2:$S$1099,"44440B2BrancaRuralCooperativa de eletrificação ruralNão se aplicaNão se aplicaIntermediário",Mercado_Receita!$L$2:$L$1099)</f>
        <v>0</v>
      </c>
      <c r="L36" s="13">
        <f>SUMIF(Mercado_Receita!$S$2:$S$1099,"44470B2BrancaRuralCooperativa de eletrificação ruralNão se aplicaNão se aplicaIntermediário",Mercado_Receita!$L$2:$L$1099)</f>
        <v>0</v>
      </c>
      <c r="M36" s="13">
        <f>SUMIF(Mercado_Receita!$S$2:$S$1099,"44501B2BrancaRuralCooperativa de eletrificação ruralNão se aplicaNão se aplicaIntermediário",Mercado_Receita!$L$2:$L$1099)</f>
        <v>0</v>
      </c>
      <c r="N36" s="13">
        <f>SUMIF(Mercado_Receita!$S$2:$S$1099,"44531B2BrancaRuralCooperativa de eletrificação ruralNão se aplicaNão se aplicaIntermediário",Mercado_Receita!$L$2:$L$1099)</f>
        <v>0</v>
      </c>
      <c r="O36" s="13">
        <f>SUMIF(Mercado_Receita!$S$2:$S$1099,"44562B2BrancaRuralCooperativa de eletrificação ruralNão se aplicaNão se aplicaIntermediário",Mercado_Receita!$L$2:$L$1099)</f>
        <v>0</v>
      </c>
      <c r="P36" s="13">
        <f>SUMIF(Mercado_Receita!$S$2:$S$1099,"44593B2BrancaRuralCooperativa de eletrificação ruralNão se aplicaNão se aplicaIntermediário",Mercado_Receita!$L$2:$L$1099)</f>
        <v>0</v>
      </c>
      <c r="Q36" s="13">
        <f>SUMIF(Mercado_Receita!$S$2:$S$1099,"44621B2BrancaRuralCooperativa de eletrificação ruralNão se aplicaNão se aplicaIntermediário",Mercado_Receita!$L$2:$L$1099)</f>
        <v>0</v>
      </c>
      <c r="R36" s="13">
        <f>SUMIF(Mercado_Receita!$S$2:$S$1099,"44652B2BrancaRuralCooperativa de eletrificação ruralNão se aplicaNão se aplicaIntermediário",Mercado_Receita!$L$2:$L$1099)</f>
        <v>0</v>
      </c>
      <c r="S36" s="13">
        <f>SUMIF(Mercado_Receita!$S$2:$S$1099,"44682B2BrancaRuralCooperativa de eletrificação ruralNão se aplicaNão se aplicaIntermediário",Mercado_Receita!$L$2:$L$1099)</f>
        <v>0</v>
      </c>
      <c r="T36" s="13">
        <f>SUMIF(Mercado_Receita!$S$2:$S$1099,"44713B2BrancaRuralCooperativa de eletrificação ruralNão se aplicaNão se aplicaIntermediário",Mercado_Receita!$L$2:$L$1099)</f>
        <v>0</v>
      </c>
      <c r="U36" s="13">
        <f t="shared" si="1"/>
        <v>0</v>
      </c>
      <c r="V36" s="13"/>
      <c r="W36" s="13"/>
    </row>
    <row r="37" spans="1:23" ht="11.25" customHeight="1" x14ac:dyDescent="0.25">
      <c r="A37" s="95"/>
      <c r="B37" s="95"/>
      <c r="C37" s="95"/>
      <c r="D37" s="95"/>
      <c r="E37" s="95"/>
      <c r="F37" s="95"/>
      <c r="G37" s="13" t="s">
        <v>84</v>
      </c>
      <c r="H37" s="13" t="s">
        <v>82</v>
      </c>
      <c r="I37" s="13">
        <f>SUMIF(Mercado_Receita!$S$2:$S$1099,"44378B2BrancaRuralCooperativa de eletrificação ruralNão se aplicaNão se aplicaFora ponta",Mercado_Receita!$L$2:$L$1099)</f>
        <v>0</v>
      </c>
      <c r="J37" s="13">
        <f>SUMIF(Mercado_Receita!$S$2:$S$1099,"44409B2BrancaRuralCooperativa de eletrificação ruralNão se aplicaNão se aplicaFora ponta",Mercado_Receita!$L$2:$L$1099)</f>
        <v>0</v>
      </c>
      <c r="K37" s="13">
        <f>SUMIF(Mercado_Receita!$S$2:$S$1099,"44440B2BrancaRuralCooperativa de eletrificação ruralNão se aplicaNão se aplicaFora ponta",Mercado_Receita!$L$2:$L$1099)</f>
        <v>0</v>
      </c>
      <c r="L37" s="13">
        <f>SUMIF(Mercado_Receita!$S$2:$S$1099,"44470B2BrancaRuralCooperativa de eletrificação ruralNão se aplicaNão se aplicaFora ponta",Mercado_Receita!$L$2:$L$1099)</f>
        <v>0</v>
      </c>
      <c r="M37" s="13">
        <f>SUMIF(Mercado_Receita!$S$2:$S$1099,"44501B2BrancaRuralCooperativa de eletrificação ruralNão se aplicaNão se aplicaFora ponta",Mercado_Receita!$L$2:$L$1099)</f>
        <v>0</v>
      </c>
      <c r="N37" s="13">
        <f>SUMIF(Mercado_Receita!$S$2:$S$1099,"44531B2BrancaRuralCooperativa de eletrificação ruralNão se aplicaNão se aplicaFora ponta",Mercado_Receita!$L$2:$L$1099)</f>
        <v>0</v>
      </c>
      <c r="O37" s="13">
        <f>SUMIF(Mercado_Receita!$S$2:$S$1099,"44562B2BrancaRuralCooperativa de eletrificação ruralNão se aplicaNão se aplicaFora ponta",Mercado_Receita!$L$2:$L$1099)</f>
        <v>0</v>
      </c>
      <c r="P37" s="13">
        <f>SUMIF(Mercado_Receita!$S$2:$S$1099,"44593B2BrancaRuralCooperativa de eletrificação ruralNão se aplicaNão se aplicaFora ponta",Mercado_Receita!$L$2:$L$1099)</f>
        <v>0</v>
      </c>
      <c r="Q37" s="13">
        <f>SUMIF(Mercado_Receita!$S$2:$S$1099,"44621B2BrancaRuralCooperativa de eletrificação ruralNão se aplicaNão se aplicaFora ponta",Mercado_Receita!$L$2:$L$1099)</f>
        <v>0</v>
      </c>
      <c r="R37" s="13">
        <f>SUMIF(Mercado_Receita!$S$2:$S$1099,"44652B2BrancaRuralCooperativa de eletrificação ruralNão se aplicaNão se aplicaFora ponta",Mercado_Receita!$L$2:$L$1099)</f>
        <v>0</v>
      </c>
      <c r="S37" s="13">
        <f>SUMIF(Mercado_Receita!$S$2:$S$1099,"44682B2BrancaRuralCooperativa de eletrificação ruralNão se aplicaNão se aplicaFora ponta",Mercado_Receita!$L$2:$L$1099)</f>
        <v>0</v>
      </c>
      <c r="T37" s="13">
        <f>SUMIF(Mercado_Receita!$S$2:$S$1099,"44713B2BrancaRuralCooperativa de eletrificação ruralNão se aplicaNão se aplicaFora ponta",Mercado_Receita!$L$2:$L$1099)</f>
        <v>0</v>
      </c>
      <c r="U37" s="13">
        <f t="shared" si="1"/>
        <v>0</v>
      </c>
      <c r="V37" s="13"/>
      <c r="W37" s="13"/>
    </row>
    <row r="38" spans="1:23" ht="11.25" customHeight="1" x14ac:dyDescent="0.25">
      <c r="A38" s="95"/>
      <c r="B38" s="12" t="s">
        <v>23</v>
      </c>
      <c r="C38" s="12" t="s">
        <v>42</v>
      </c>
      <c r="D38" s="12" t="s">
        <v>98</v>
      </c>
      <c r="E38" s="12" t="s">
        <v>25</v>
      </c>
      <c r="F38" s="12" t="s">
        <v>25</v>
      </c>
      <c r="G38" s="13" t="s">
        <v>88</v>
      </c>
      <c r="H38" s="13" t="s">
        <v>82</v>
      </c>
      <c r="I38" s="13">
        <f>SUMIF(Mercado_Receita!$S$2:$S$1099,"44378B2ConvencionalRuralCooperativa de eletrificação ruralNão se aplicaNão se aplicaPonta",Mercado_Receita!$L$2:$L$1099)+SUMIF(Mercado_Receita!$S$2:$S$1099,"44378B2ConvencionalRuralCooperativa de eletrificação ruralNão se aplicaNão se aplicaFora ponta",Mercado_Receita!$L$2:$L$1099)+SUMIF(Mercado_Receita!$S$2:$S$1099,"44378B2ConvencionalRuralCooperativa de eletrificação ruralNão se aplicaNão se aplicaIntermediário",Mercado_Receita!$L$2:$L$1099)+SUMIF(Mercado_Receita!$S$2:$S$1099,"44378B2ConvencionalRuralCooperativa de eletrificação ruralNão se aplicaNão se aplicaNão se aplica",Mercado_Receita!$L$2:$L$1099)</f>
        <v>0</v>
      </c>
      <c r="J38" s="13">
        <f>SUMIF(Mercado_Receita!$S$2:$S$1099,"44409B2ConvencionalRuralCooperativa de eletrificação ruralNão se aplicaNão se aplicaPonta",Mercado_Receita!$L$2:$L$1099)+SUMIF(Mercado_Receita!$S$2:$S$1099,"44409B2ConvencionalRuralCooperativa de eletrificação ruralNão se aplicaNão se aplicaFora ponta",Mercado_Receita!$L$2:$L$1099)+SUMIF(Mercado_Receita!$S$2:$S$1099,"44409B2ConvencionalRuralCooperativa de eletrificação ruralNão se aplicaNão se aplicaIntermediário",Mercado_Receita!$L$2:$L$1099)+SUMIF(Mercado_Receita!$S$2:$S$1099,"44409B2ConvencionalRuralCooperativa de eletrificação ruralNão se aplicaNão se aplicaNão se aplica",Mercado_Receita!$L$2:$L$1099)</f>
        <v>0</v>
      </c>
      <c r="K38" s="13">
        <f>SUMIF(Mercado_Receita!$S$2:$S$1099,"44440B2ConvencionalRuralCooperativa de eletrificação ruralNão se aplicaNão se aplicaPonta",Mercado_Receita!$L$2:$L$1099)+SUMIF(Mercado_Receita!$S$2:$S$1099,"44440B2ConvencionalRuralCooperativa de eletrificação ruralNão se aplicaNão se aplicaFora ponta",Mercado_Receita!$L$2:$L$1099)+SUMIF(Mercado_Receita!$S$2:$S$1099,"44440B2ConvencionalRuralCooperativa de eletrificação ruralNão se aplicaNão se aplicaIntermediário",Mercado_Receita!$L$2:$L$1099)+SUMIF(Mercado_Receita!$S$2:$S$1099,"44440B2ConvencionalRuralCooperativa de eletrificação ruralNão se aplicaNão se aplicaNão se aplica",Mercado_Receita!$L$2:$L$1099)</f>
        <v>0</v>
      </c>
      <c r="L38" s="13">
        <f>SUMIF(Mercado_Receita!$S$2:$S$1099,"44470B2ConvencionalRuralCooperativa de eletrificação ruralNão se aplicaNão se aplicaPonta",Mercado_Receita!$L$2:$L$1099)+SUMIF(Mercado_Receita!$S$2:$S$1099,"44470B2ConvencionalRuralCooperativa de eletrificação ruralNão se aplicaNão se aplicaFora ponta",Mercado_Receita!$L$2:$L$1099)+SUMIF(Mercado_Receita!$S$2:$S$1099,"44470B2ConvencionalRuralCooperativa de eletrificação ruralNão se aplicaNão se aplicaIntermediário",Mercado_Receita!$L$2:$L$1099)+SUMIF(Mercado_Receita!$S$2:$S$1099,"44470B2ConvencionalRuralCooperativa de eletrificação ruralNão se aplicaNão se aplicaNão se aplica",Mercado_Receita!$L$2:$L$1099)</f>
        <v>0</v>
      </c>
      <c r="M38" s="13">
        <f>SUMIF(Mercado_Receita!$S$2:$S$1099,"44501B2ConvencionalRuralCooperativa de eletrificação ruralNão se aplicaNão se aplicaPonta",Mercado_Receita!$L$2:$L$1099)+SUMIF(Mercado_Receita!$S$2:$S$1099,"44501B2ConvencionalRuralCooperativa de eletrificação ruralNão se aplicaNão se aplicaFora ponta",Mercado_Receita!$L$2:$L$1099)+SUMIF(Mercado_Receita!$S$2:$S$1099,"44501B2ConvencionalRuralCooperativa de eletrificação ruralNão se aplicaNão se aplicaIntermediário",Mercado_Receita!$L$2:$L$1099)+SUMIF(Mercado_Receita!$S$2:$S$1099,"44501B2ConvencionalRuralCooperativa de eletrificação ruralNão se aplicaNão se aplicaNão se aplica",Mercado_Receita!$L$2:$L$1099)</f>
        <v>0</v>
      </c>
      <c r="N38" s="13">
        <f>SUMIF(Mercado_Receita!$S$2:$S$1099,"44531B2ConvencionalRuralCooperativa de eletrificação ruralNão se aplicaNão se aplicaPonta",Mercado_Receita!$L$2:$L$1099)+SUMIF(Mercado_Receita!$S$2:$S$1099,"44531B2ConvencionalRuralCooperativa de eletrificação ruralNão se aplicaNão se aplicaFora ponta",Mercado_Receita!$L$2:$L$1099)+SUMIF(Mercado_Receita!$S$2:$S$1099,"44531B2ConvencionalRuralCooperativa de eletrificação ruralNão se aplicaNão se aplicaIntermediário",Mercado_Receita!$L$2:$L$1099)+SUMIF(Mercado_Receita!$S$2:$S$1099,"44531B2ConvencionalRuralCooperativa de eletrificação ruralNão se aplicaNão se aplicaNão se aplica",Mercado_Receita!$L$2:$L$1099)</f>
        <v>0</v>
      </c>
      <c r="O38" s="13">
        <f>SUMIF(Mercado_Receita!$S$2:$S$1099,"44562B2ConvencionalRuralCooperativa de eletrificação ruralNão se aplicaNão se aplicaPonta",Mercado_Receita!$L$2:$L$1099)+SUMIF(Mercado_Receita!$S$2:$S$1099,"44562B2ConvencionalRuralCooperativa de eletrificação ruralNão se aplicaNão se aplicaFora ponta",Mercado_Receita!$L$2:$L$1099)+SUMIF(Mercado_Receita!$S$2:$S$1099,"44562B2ConvencionalRuralCooperativa de eletrificação ruralNão se aplicaNão se aplicaIntermediário",Mercado_Receita!$L$2:$L$1099)+SUMIF(Mercado_Receita!$S$2:$S$1099,"44562B2ConvencionalRuralCooperativa de eletrificação ruralNão se aplicaNão se aplicaNão se aplica",Mercado_Receita!$L$2:$L$1099)</f>
        <v>0</v>
      </c>
      <c r="P38" s="13">
        <f>SUMIF(Mercado_Receita!$S$2:$S$1099,"44593B2ConvencionalRuralCooperativa de eletrificação ruralNão se aplicaNão se aplicaPonta",Mercado_Receita!$L$2:$L$1099)+SUMIF(Mercado_Receita!$S$2:$S$1099,"44593B2ConvencionalRuralCooperativa de eletrificação ruralNão se aplicaNão se aplicaFora ponta",Mercado_Receita!$L$2:$L$1099)+SUMIF(Mercado_Receita!$S$2:$S$1099,"44593B2ConvencionalRuralCooperativa de eletrificação ruralNão se aplicaNão se aplicaIntermediário",Mercado_Receita!$L$2:$L$1099)+SUMIF(Mercado_Receita!$S$2:$S$1099,"44593B2ConvencionalRuralCooperativa de eletrificação ruralNão se aplicaNão se aplicaNão se aplica",Mercado_Receita!$L$2:$L$1099)</f>
        <v>0</v>
      </c>
      <c r="Q38" s="13">
        <f>SUMIF(Mercado_Receita!$S$2:$S$1099,"44621B2ConvencionalRuralCooperativa de eletrificação ruralNão se aplicaNão se aplicaPonta",Mercado_Receita!$L$2:$L$1099)+SUMIF(Mercado_Receita!$S$2:$S$1099,"44621B2ConvencionalRuralCooperativa de eletrificação ruralNão se aplicaNão se aplicaFora ponta",Mercado_Receita!$L$2:$L$1099)+SUMIF(Mercado_Receita!$S$2:$S$1099,"44621B2ConvencionalRuralCooperativa de eletrificação ruralNão se aplicaNão se aplicaIntermediário",Mercado_Receita!$L$2:$L$1099)+SUMIF(Mercado_Receita!$S$2:$S$1099,"44621B2ConvencionalRuralCooperativa de eletrificação ruralNão se aplicaNão se aplicaNão se aplica",Mercado_Receita!$L$2:$L$1099)</f>
        <v>0</v>
      </c>
      <c r="R38" s="13">
        <f>SUMIF(Mercado_Receita!$S$2:$S$1099,"44652B2ConvencionalRuralCooperativa de eletrificação ruralNão se aplicaNão se aplicaPonta",Mercado_Receita!$L$2:$L$1099)+SUMIF(Mercado_Receita!$S$2:$S$1099,"44652B2ConvencionalRuralCooperativa de eletrificação ruralNão se aplicaNão se aplicaFora ponta",Mercado_Receita!$L$2:$L$1099)+SUMIF(Mercado_Receita!$S$2:$S$1099,"44652B2ConvencionalRuralCooperativa de eletrificação ruralNão se aplicaNão se aplicaIntermediário",Mercado_Receita!$L$2:$L$1099)+SUMIF(Mercado_Receita!$S$2:$S$1099,"44652B2ConvencionalRuralCooperativa de eletrificação ruralNão se aplicaNão se aplicaNão se aplica",Mercado_Receita!$L$2:$L$1099)</f>
        <v>0</v>
      </c>
      <c r="S38" s="13">
        <f>SUMIF(Mercado_Receita!$S$2:$S$1099,"44682B2ConvencionalRuralCooperativa de eletrificação ruralNão se aplicaNão se aplicaPonta",Mercado_Receita!$L$2:$L$1099)+SUMIF(Mercado_Receita!$S$2:$S$1099,"44682B2ConvencionalRuralCooperativa de eletrificação ruralNão se aplicaNão se aplicaFora ponta",Mercado_Receita!$L$2:$L$1099)+SUMIF(Mercado_Receita!$S$2:$S$1099,"44682B2ConvencionalRuralCooperativa de eletrificação ruralNão se aplicaNão se aplicaIntermediário",Mercado_Receita!$L$2:$L$1099)+SUMIF(Mercado_Receita!$S$2:$S$1099,"44682B2ConvencionalRuralCooperativa de eletrificação ruralNão se aplicaNão se aplicaNão se aplica",Mercado_Receita!$L$2:$L$1099)</f>
        <v>0</v>
      </c>
      <c r="T38" s="13">
        <f>SUMIF(Mercado_Receita!$S$2:$S$1099,"44713B2ConvencionalRuralCooperativa de eletrificação ruralNão se aplicaNão se aplicaPonta",Mercado_Receita!$L$2:$L$1099)+SUMIF(Mercado_Receita!$S$2:$S$1099,"44713B2ConvencionalRuralCooperativa de eletrificação ruralNão se aplicaNão se aplicaFora ponta",Mercado_Receita!$L$2:$L$1099)+SUMIF(Mercado_Receita!$S$2:$S$1099,"44713B2ConvencionalRuralCooperativa de eletrificação ruralNão se aplicaNão se aplicaIntermediário",Mercado_Receita!$L$2:$L$1099)+SUMIF(Mercado_Receita!$S$2:$S$1099,"44713B2ConvencionalRuralCooperativa de eletrificação ruralNão se aplicaNão se aplicaNão se aplica",Mercado_Receita!$L$2:$L$1099)</f>
        <v>0</v>
      </c>
      <c r="U38" s="13">
        <f t="shared" si="1"/>
        <v>0</v>
      </c>
      <c r="V38" s="13"/>
      <c r="W38" s="13"/>
    </row>
    <row r="39" spans="1:23" ht="11.25" customHeight="1" x14ac:dyDescent="0.25">
      <c r="A39" s="95"/>
      <c r="B39" s="94" t="s">
        <v>95</v>
      </c>
      <c r="C39" s="94" t="s">
        <v>42</v>
      </c>
      <c r="D39" s="94" t="s">
        <v>99</v>
      </c>
      <c r="E39" s="94" t="s">
        <v>25</v>
      </c>
      <c r="F39" s="94" t="s">
        <v>25</v>
      </c>
      <c r="G39" s="13" t="s">
        <v>83</v>
      </c>
      <c r="H39" s="13" t="s">
        <v>82</v>
      </c>
      <c r="I39" s="13">
        <f>SUMIF(Mercado_Receita!$S$2:$S$1099,"44378B2BrancaRuralServiço público de irrigação ruralNão se aplicaNão se aplicaPonta",Mercado_Receita!$L$2:$L$1099)</f>
        <v>0</v>
      </c>
      <c r="J39" s="13">
        <f>SUMIF(Mercado_Receita!$S$2:$S$1099,"44409B2BrancaRuralServiço público de irrigação ruralNão se aplicaNão se aplicaPonta",Mercado_Receita!$L$2:$L$1099)</f>
        <v>0</v>
      </c>
      <c r="K39" s="13">
        <f>SUMIF(Mercado_Receita!$S$2:$S$1099,"44440B2BrancaRuralServiço público de irrigação ruralNão se aplicaNão se aplicaPonta",Mercado_Receita!$L$2:$L$1099)</f>
        <v>0</v>
      </c>
      <c r="L39" s="13">
        <f>SUMIF(Mercado_Receita!$S$2:$S$1099,"44470B2BrancaRuralServiço público de irrigação ruralNão se aplicaNão se aplicaPonta",Mercado_Receita!$L$2:$L$1099)</f>
        <v>0</v>
      </c>
      <c r="M39" s="13">
        <f>SUMIF(Mercado_Receita!$S$2:$S$1099,"44501B2BrancaRuralServiço público de irrigação ruralNão se aplicaNão se aplicaPonta",Mercado_Receita!$L$2:$L$1099)</f>
        <v>0</v>
      </c>
      <c r="N39" s="13">
        <f>SUMIF(Mercado_Receita!$S$2:$S$1099,"44531B2BrancaRuralServiço público de irrigação ruralNão se aplicaNão se aplicaPonta",Mercado_Receita!$L$2:$L$1099)</f>
        <v>0</v>
      </c>
      <c r="O39" s="13">
        <f>SUMIF(Mercado_Receita!$S$2:$S$1099,"44562B2BrancaRuralServiço público de irrigação ruralNão se aplicaNão se aplicaPonta",Mercado_Receita!$L$2:$L$1099)</f>
        <v>0</v>
      </c>
      <c r="P39" s="13">
        <f>SUMIF(Mercado_Receita!$S$2:$S$1099,"44593B2BrancaRuralServiço público de irrigação ruralNão se aplicaNão se aplicaPonta",Mercado_Receita!$L$2:$L$1099)</f>
        <v>0</v>
      </c>
      <c r="Q39" s="13">
        <f>SUMIF(Mercado_Receita!$S$2:$S$1099,"44621B2BrancaRuralServiço público de irrigação ruralNão se aplicaNão se aplicaPonta",Mercado_Receita!$L$2:$L$1099)</f>
        <v>0</v>
      </c>
      <c r="R39" s="13">
        <f>SUMIF(Mercado_Receita!$S$2:$S$1099,"44652B2BrancaRuralServiço público de irrigação ruralNão se aplicaNão se aplicaPonta",Mercado_Receita!$L$2:$L$1099)</f>
        <v>0</v>
      </c>
      <c r="S39" s="13">
        <f>SUMIF(Mercado_Receita!$S$2:$S$1099,"44682B2BrancaRuralServiço público de irrigação ruralNão se aplicaNão se aplicaPonta",Mercado_Receita!$L$2:$L$1099)</f>
        <v>0</v>
      </c>
      <c r="T39" s="13">
        <f>SUMIF(Mercado_Receita!$S$2:$S$1099,"44713B2BrancaRuralServiço público de irrigação ruralNão se aplicaNão se aplicaPonta",Mercado_Receita!$L$2:$L$1099)</f>
        <v>0</v>
      </c>
      <c r="U39" s="13">
        <f t="shared" si="1"/>
        <v>0</v>
      </c>
      <c r="V39" s="13"/>
      <c r="W39" s="13"/>
    </row>
    <row r="40" spans="1:23" ht="11.25" customHeight="1" x14ac:dyDescent="0.25">
      <c r="A40" s="95"/>
      <c r="B40" s="95"/>
      <c r="C40" s="95"/>
      <c r="D40" s="95"/>
      <c r="E40" s="95"/>
      <c r="F40" s="95"/>
      <c r="G40" s="13" t="s">
        <v>94</v>
      </c>
      <c r="H40" s="13" t="s">
        <v>82</v>
      </c>
      <c r="I40" s="13">
        <f>SUMIF(Mercado_Receita!$S$2:$S$1099,"44378B2BrancaRuralServiço público de irrigação ruralNão se aplicaNão se aplicaIntermediário",Mercado_Receita!$L$2:$L$1099)</f>
        <v>0</v>
      </c>
      <c r="J40" s="13">
        <f>SUMIF(Mercado_Receita!$S$2:$S$1099,"44409B2BrancaRuralServiço público de irrigação ruralNão se aplicaNão se aplicaIntermediário",Mercado_Receita!$L$2:$L$1099)</f>
        <v>0</v>
      </c>
      <c r="K40" s="13">
        <f>SUMIF(Mercado_Receita!$S$2:$S$1099,"44440B2BrancaRuralServiço público de irrigação ruralNão se aplicaNão se aplicaIntermediário",Mercado_Receita!$L$2:$L$1099)</f>
        <v>0</v>
      </c>
      <c r="L40" s="13">
        <f>SUMIF(Mercado_Receita!$S$2:$S$1099,"44470B2BrancaRuralServiço público de irrigação ruralNão se aplicaNão se aplicaIntermediário",Mercado_Receita!$L$2:$L$1099)</f>
        <v>0</v>
      </c>
      <c r="M40" s="13">
        <f>SUMIF(Mercado_Receita!$S$2:$S$1099,"44501B2BrancaRuralServiço público de irrigação ruralNão se aplicaNão se aplicaIntermediário",Mercado_Receita!$L$2:$L$1099)</f>
        <v>0</v>
      </c>
      <c r="N40" s="13">
        <f>SUMIF(Mercado_Receita!$S$2:$S$1099,"44531B2BrancaRuralServiço público de irrigação ruralNão se aplicaNão se aplicaIntermediário",Mercado_Receita!$L$2:$L$1099)</f>
        <v>0</v>
      </c>
      <c r="O40" s="13">
        <f>SUMIF(Mercado_Receita!$S$2:$S$1099,"44562B2BrancaRuralServiço público de irrigação ruralNão se aplicaNão se aplicaIntermediário",Mercado_Receita!$L$2:$L$1099)</f>
        <v>0</v>
      </c>
      <c r="P40" s="13">
        <f>SUMIF(Mercado_Receita!$S$2:$S$1099,"44593B2BrancaRuralServiço público de irrigação ruralNão se aplicaNão se aplicaIntermediário",Mercado_Receita!$L$2:$L$1099)</f>
        <v>0</v>
      </c>
      <c r="Q40" s="13">
        <f>SUMIF(Mercado_Receita!$S$2:$S$1099,"44621B2BrancaRuralServiço público de irrigação ruralNão se aplicaNão se aplicaIntermediário",Mercado_Receita!$L$2:$L$1099)</f>
        <v>0</v>
      </c>
      <c r="R40" s="13">
        <f>SUMIF(Mercado_Receita!$S$2:$S$1099,"44652B2BrancaRuralServiço público de irrigação ruralNão se aplicaNão se aplicaIntermediário",Mercado_Receita!$L$2:$L$1099)</f>
        <v>0</v>
      </c>
      <c r="S40" s="13">
        <f>SUMIF(Mercado_Receita!$S$2:$S$1099,"44682B2BrancaRuralServiço público de irrigação ruralNão se aplicaNão se aplicaIntermediário",Mercado_Receita!$L$2:$L$1099)</f>
        <v>0</v>
      </c>
      <c r="T40" s="13">
        <f>SUMIF(Mercado_Receita!$S$2:$S$1099,"44713B2BrancaRuralServiço público de irrigação ruralNão se aplicaNão se aplicaIntermediário",Mercado_Receita!$L$2:$L$1099)</f>
        <v>0</v>
      </c>
      <c r="U40" s="13">
        <f t="shared" si="1"/>
        <v>0</v>
      </c>
      <c r="V40" s="13"/>
      <c r="W40" s="13"/>
    </row>
    <row r="41" spans="1:23" ht="11.25" customHeight="1" x14ac:dyDescent="0.25">
      <c r="A41" s="95"/>
      <c r="B41" s="95"/>
      <c r="C41" s="95"/>
      <c r="D41" s="95"/>
      <c r="E41" s="95"/>
      <c r="F41" s="95"/>
      <c r="G41" s="13" t="s">
        <v>84</v>
      </c>
      <c r="H41" s="13" t="s">
        <v>82</v>
      </c>
      <c r="I41" s="13">
        <f>SUMIF(Mercado_Receita!$S$2:$S$1099,"44378B2BrancaRuralServiço público de irrigação ruralNão se aplicaNão se aplicaFora ponta",Mercado_Receita!$L$2:$L$1099)</f>
        <v>0</v>
      </c>
      <c r="J41" s="13">
        <f>SUMIF(Mercado_Receita!$S$2:$S$1099,"44409B2BrancaRuralServiço público de irrigação ruralNão se aplicaNão se aplicaFora ponta",Mercado_Receita!$L$2:$L$1099)</f>
        <v>0</v>
      </c>
      <c r="K41" s="13">
        <f>SUMIF(Mercado_Receita!$S$2:$S$1099,"44440B2BrancaRuralServiço público de irrigação ruralNão se aplicaNão se aplicaFora ponta",Mercado_Receita!$L$2:$L$1099)</f>
        <v>0</v>
      </c>
      <c r="L41" s="13">
        <f>SUMIF(Mercado_Receita!$S$2:$S$1099,"44470B2BrancaRuralServiço público de irrigação ruralNão se aplicaNão se aplicaFora ponta",Mercado_Receita!$L$2:$L$1099)</f>
        <v>0</v>
      </c>
      <c r="M41" s="13">
        <f>SUMIF(Mercado_Receita!$S$2:$S$1099,"44501B2BrancaRuralServiço público de irrigação ruralNão se aplicaNão se aplicaFora ponta",Mercado_Receita!$L$2:$L$1099)</f>
        <v>0</v>
      </c>
      <c r="N41" s="13">
        <f>SUMIF(Mercado_Receita!$S$2:$S$1099,"44531B2BrancaRuralServiço público de irrigação ruralNão se aplicaNão se aplicaFora ponta",Mercado_Receita!$L$2:$L$1099)</f>
        <v>0</v>
      </c>
      <c r="O41" s="13">
        <f>SUMIF(Mercado_Receita!$S$2:$S$1099,"44562B2BrancaRuralServiço público de irrigação ruralNão se aplicaNão se aplicaFora ponta",Mercado_Receita!$L$2:$L$1099)</f>
        <v>0</v>
      </c>
      <c r="P41" s="13">
        <f>SUMIF(Mercado_Receita!$S$2:$S$1099,"44593B2BrancaRuralServiço público de irrigação ruralNão se aplicaNão se aplicaFora ponta",Mercado_Receita!$L$2:$L$1099)</f>
        <v>0</v>
      </c>
      <c r="Q41" s="13">
        <f>SUMIF(Mercado_Receita!$S$2:$S$1099,"44621B2BrancaRuralServiço público de irrigação ruralNão se aplicaNão se aplicaFora ponta",Mercado_Receita!$L$2:$L$1099)</f>
        <v>0</v>
      </c>
      <c r="R41" s="13">
        <f>SUMIF(Mercado_Receita!$S$2:$S$1099,"44652B2BrancaRuralServiço público de irrigação ruralNão se aplicaNão se aplicaFora ponta",Mercado_Receita!$L$2:$L$1099)</f>
        <v>0</v>
      </c>
      <c r="S41" s="13">
        <f>SUMIF(Mercado_Receita!$S$2:$S$1099,"44682B2BrancaRuralServiço público de irrigação ruralNão se aplicaNão se aplicaFora ponta",Mercado_Receita!$L$2:$L$1099)</f>
        <v>0</v>
      </c>
      <c r="T41" s="13">
        <f>SUMIF(Mercado_Receita!$S$2:$S$1099,"44713B2BrancaRuralServiço público de irrigação ruralNão se aplicaNão se aplicaFora ponta",Mercado_Receita!$L$2:$L$1099)</f>
        <v>0</v>
      </c>
      <c r="U41" s="13">
        <f t="shared" si="1"/>
        <v>0</v>
      </c>
      <c r="V41" s="13"/>
      <c r="W41" s="13"/>
    </row>
    <row r="42" spans="1:23" ht="11.25" customHeight="1" x14ac:dyDescent="0.25">
      <c r="A42" s="95"/>
      <c r="B42" s="12" t="s">
        <v>23</v>
      </c>
      <c r="C42" s="12" t="s">
        <v>42</v>
      </c>
      <c r="D42" s="12" t="s">
        <v>99</v>
      </c>
      <c r="E42" s="12" t="s">
        <v>25</v>
      </c>
      <c r="F42" s="12" t="s">
        <v>25</v>
      </c>
      <c r="G42" s="13" t="s">
        <v>88</v>
      </c>
      <c r="H42" s="13" t="s">
        <v>82</v>
      </c>
      <c r="I42" s="13">
        <f>SUMIF(Mercado_Receita!$S$2:$S$1099,"44378B2ConvencionalRuralServiço público de irrigação ruralNão se aplicaNão se aplicaPonta",Mercado_Receita!$L$2:$L$1099)+SUMIF(Mercado_Receita!$S$2:$S$1099,"44378B2ConvencionalRuralServiço público de irrigação ruralNão se aplicaNão se aplicaFora ponta",Mercado_Receita!$L$2:$L$1099)+SUMIF(Mercado_Receita!$S$2:$S$1099,"44378B2ConvencionalRuralServiço público de irrigação ruralNão se aplicaNão se aplicaIntermediário",Mercado_Receita!$L$2:$L$1099)+SUMIF(Mercado_Receita!$S$2:$S$1099,"44378B2ConvencionalRuralServiço público de irrigação ruralNão se aplicaNão se aplicaNão se aplica",Mercado_Receita!$L$2:$L$1099)</f>
        <v>0</v>
      </c>
      <c r="J42" s="13">
        <f>SUMIF(Mercado_Receita!$S$2:$S$1099,"44409B2ConvencionalRuralServiço público de irrigação ruralNão se aplicaNão se aplicaPonta",Mercado_Receita!$L$2:$L$1099)+SUMIF(Mercado_Receita!$S$2:$S$1099,"44409B2ConvencionalRuralServiço público de irrigação ruralNão se aplicaNão se aplicaFora ponta",Mercado_Receita!$L$2:$L$1099)+SUMIF(Mercado_Receita!$S$2:$S$1099,"44409B2ConvencionalRuralServiço público de irrigação ruralNão se aplicaNão se aplicaIntermediário",Mercado_Receita!$L$2:$L$1099)+SUMIF(Mercado_Receita!$S$2:$S$1099,"44409B2ConvencionalRuralServiço público de irrigação ruralNão se aplicaNão se aplicaNão se aplica",Mercado_Receita!$L$2:$L$1099)</f>
        <v>0</v>
      </c>
      <c r="K42" s="13">
        <f>SUMIF(Mercado_Receita!$S$2:$S$1099,"44440B2ConvencionalRuralServiço público de irrigação ruralNão se aplicaNão se aplicaPonta",Mercado_Receita!$L$2:$L$1099)+SUMIF(Mercado_Receita!$S$2:$S$1099,"44440B2ConvencionalRuralServiço público de irrigação ruralNão se aplicaNão se aplicaFora ponta",Mercado_Receita!$L$2:$L$1099)+SUMIF(Mercado_Receita!$S$2:$S$1099,"44440B2ConvencionalRuralServiço público de irrigação ruralNão se aplicaNão se aplicaIntermediário",Mercado_Receita!$L$2:$L$1099)+SUMIF(Mercado_Receita!$S$2:$S$1099,"44440B2ConvencionalRuralServiço público de irrigação ruralNão se aplicaNão se aplicaNão se aplica",Mercado_Receita!$L$2:$L$1099)</f>
        <v>0</v>
      </c>
      <c r="L42" s="13">
        <f>SUMIF(Mercado_Receita!$S$2:$S$1099,"44470B2ConvencionalRuralServiço público de irrigação ruralNão se aplicaNão se aplicaPonta",Mercado_Receita!$L$2:$L$1099)+SUMIF(Mercado_Receita!$S$2:$S$1099,"44470B2ConvencionalRuralServiço público de irrigação ruralNão se aplicaNão se aplicaFora ponta",Mercado_Receita!$L$2:$L$1099)+SUMIF(Mercado_Receita!$S$2:$S$1099,"44470B2ConvencionalRuralServiço público de irrigação ruralNão se aplicaNão se aplicaIntermediário",Mercado_Receita!$L$2:$L$1099)+SUMIF(Mercado_Receita!$S$2:$S$1099,"44470B2ConvencionalRuralServiço público de irrigação ruralNão se aplicaNão se aplicaNão se aplica",Mercado_Receita!$L$2:$L$1099)</f>
        <v>0</v>
      </c>
      <c r="M42" s="13">
        <f>SUMIF(Mercado_Receita!$S$2:$S$1099,"44501B2ConvencionalRuralServiço público de irrigação ruralNão se aplicaNão se aplicaPonta",Mercado_Receita!$L$2:$L$1099)+SUMIF(Mercado_Receita!$S$2:$S$1099,"44501B2ConvencionalRuralServiço público de irrigação ruralNão se aplicaNão se aplicaFora ponta",Mercado_Receita!$L$2:$L$1099)+SUMIF(Mercado_Receita!$S$2:$S$1099,"44501B2ConvencionalRuralServiço público de irrigação ruralNão se aplicaNão se aplicaIntermediário",Mercado_Receita!$L$2:$L$1099)+SUMIF(Mercado_Receita!$S$2:$S$1099,"44501B2ConvencionalRuralServiço público de irrigação ruralNão se aplicaNão se aplicaNão se aplica",Mercado_Receita!$L$2:$L$1099)</f>
        <v>0</v>
      </c>
      <c r="N42" s="13">
        <f>SUMIF(Mercado_Receita!$S$2:$S$1099,"44531B2ConvencionalRuralServiço público de irrigação ruralNão se aplicaNão se aplicaPonta",Mercado_Receita!$L$2:$L$1099)+SUMIF(Mercado_Receita!$S$2:$S$1099,"44531B2ConvencionalRuralServiço público de irrigação ruralNão se aplicaNão se aplicaFora ponta",Mercado_Receita!$L$2:$L$1099)+SUMIF(Mercado_Receita!$S$2:$S$1099,"44531B2ConvencionalRuralServiço público de irrigação ruralNão se aplicaNão se aplicaIntermediário",Mercado_Receita!$L$2:$L$1099)+SUMIF(Mercado_Receita!$S$2:$S$1099,"44531B2ConvencionalRuralServiço público de irrigação ruralNão se aplicaNão se aplicaNão se aplica",Mercado_Receita!$L$2:$L$1099)</f>
        <v>0</v>
      </c>
      <c r="O42" s="13">
        <f>SUMIF(Mercado_Receita!$S$2:$S$1099,"44562B2ConvencionalRuralServiço público de irrigação ruralNão se aplicaNão se aplicaPonta",Mercado_Receita!$L$2:$L$1099)+SUMIF(Mercado_Receita!$S$2:$S$1099,"44562B2ConvencionalRuralServiço público de irrigação ruralNão se aplicaNão se aplicaFora ponta",Mercado_Receita!$L$2:$L$1099)+SUMIF(Mercado_Receita!$S$2:$S$1099,"44562B2ConvencionalRuralServiço público de irrigação ruralNão se aplicaNão se aplicaIntermediário",Mercado_Receita!$L$2:$L$1099)+SUMIF(Mercado_Receita!$S$2:$S$1099,"44562B2ConvencionalRuralServiço público de irrigação ruralNão se aplicaNão se aplicaNão se aplica",Mercado_Receita!$L$2:$L$1099)</f>
        <v>0</v>
      </c>
      <c r="P42" s="13">
        <f>SUMIF(Mercado_Receita!$S$2:$S$1099,"44593B2ConvencionalRuralServiço público de irrigação ruralNão se aplicaNão se aplicaPonta",Mercado_Receita!$L$2:$L$1099)+SUMIF(Mercado_Receita!$S$2:$S$1099,"44593B2ConvencionalRuralServiço público de irrigação ruralNão se aplicaNão se aplicaFora ponta",Mercado_Receita!$L$2:$L$1099)+SUMIF(Mercado_Receita!$S$2:$S$1099,"44593B2ConvencionalRuralServiço público de irrigação ruralNão se aplicaNão se aplicaIntermediário",Mercado_Receita!$L$2:$L$1099)+SUMIF(Mercado_Receita!$S$2:$S$1099,"44593B2ConvencionalRuralServiço público de irrigação ruralNão se aplicaNão se aplicaNão se aplica",Mercado_Receita!$L$2:$L$1099)</f>
        <v>0</v>
      </c>
      <c r="Q42" s="13">
        <f>SUMIF(Mercado_Receita!$S$2:$S$1099,"44621B2ConvencionalRuralServiço público de irrigação ruralNão se aplicaNão se aplicaPonta",Mercado_Receita!$L$2:$L$1099)+SUMIF(Mercado_Receita!$S$2:$S$1099,"44621B2ConvencionalRuralServiço público de irrigação ruralNão se aplicaNão se aplicaFora ponta",Mercado_Receita!$L$2:$L$1099)+SUMIF(Mercado_Receita!$S$2:$S$1099,"44621B2ConvencionalRuralServiço público de irrigação ruralNão se aplicaNão se aplicaIntermediário",Mercado_Receita!$L$2:$L$1099)+SUMIF(Mercado_Receita!$S$2:$S$1099,"44621B2ConvencionalRuralServiço público de irrigação ruralNão se aplicaNão se aplicaNão se aplica",Mercado_Receita!$L$2:$L$1099)</f>
        <v>0</v>
      </c>
      <c r="R42" s="13">
        <f>SUMIF(Mercado_Receita!$S$2:$S$1099,"44652B2ConvencionalRuralServiço público de irrigação ruralNão se aplicaNão se aplicaPonta",Mercado_Receita!$L$2:$L$1099)+SUMIF(Mercado_Receita!$S$2:$S$1099,"44652B2ConvencionalRuralServiço público de irrigação ruralNão se aplicaNão se aplicaFora ponta",Mercado_Receita!$L$2:$L$1099)+SUMIF(Mercado_Receita!$S$2:$S$1099,"44652B2ConvencionalRuralServiço público de irrigação ruralNão se aplicaNão se aplicaIntermediário",Mercado_Receita!$L$2:$L$1099)+SUMIF(Mercado_Receita!$S$2:$S$1099,"44652B2ConvencionalRuralServiço público de irrigação ruralNão se aplicaNão se aplicaNão se aplica",Mercado_Receita!$L$2:$L$1099)</f>
        <v>0</v>
      </c>
      <c r="S42" s="13">
        <f>SUMIF(Mercado_Receita!$S$2:$S$1099,"44682B2ConvencionalRuralServiço público de irrigação ruralNão se aplicaNão se aplicaPonta",Mercado_Receita!$L$2:$L$1099)+SUMIF(Mercado_Receita!$S$2:$S$1099,"44682B2ConvencionalRuralServiço público de irrigação ruralNão se aplicaNão se aplicaFora ponta",Mercado_Receita!$L$2:$L$1099)+SUMIF(Mercado_Receita!$S$2:$S$1099,"44682B2ConvencionalRuralServiço público de irrigação ruralNão se aplicaNão se aplicaIntermediário",Mercado_Receita!$L$2:$L$1099)+SUMIF(Mercado_Receita!$S$2:$S$1099,"44682B2ConvencionalRuralServiço público de irrigação ruralNão se aplicaNão se aplicaNão se aplica",Mercado_Receita!$L$2:$L$1099)</f>
        <v>0</v>
      </c>
      <c r="T42" s="13">
        <f>SUMIF(Mercado_Receita!$S$2:$S$1099,"44713B2ConvencionalRuralServiço público de irrigação ruralNão se aplicaNão se aplicaPonta",Mercado_Receita!$L$2:$L$1099)+SUMIF(Mercado_Receita!$S$2:$S$1099,"44713B2ConvencionalRuralServiço público de irrigação ruralNão se aplicaNão se aplicaFora ponta",Mercado_Receita!$L$2:$L$1099)+SUMIF(Mercado_Receita!$S$2:$S$1099,"44713B2ConvencionalRuralServiço público de irrigação ruralNão se aplicaNão se aplicaIntermediário",Mercado_Receita!$L$2:$L$1099)+SUMIF(Mercado_Receita!$S$2:$S$1099,"44713B2ConvencionalRuralServiço público de irrigação ruralNão se aplicaNão se aplicaNão se aplica",Mercado_Receita!$L$2:$L$1099)</f>
        <v>0</v>
      </c>
      <c r="U42" s="13">
        <f t="shared" si="1"/>
        <v>0</v>
      </c>
      <c r="V42" s="13"/>
      <c r="W42" s="13"/>
    </row>
    <row r="43" spans="1:23" ht="11.25" customHeight="1" x14ac:dyDescent="0.25">
      <c r="A43" s="95"/>
      <c r="B43" s="94" t="s">
        <v>97</v>
      </c>
      <c r="C43" s="94" t="s">
        <v>42</v>
      </c>
      <c r="D43" s="12" t="s">
        <v>25</v>
      </c>
      <c r="E43" s="12" t="s">
        <v>25</v>
      </c>
      <c r="F43" s="12" t="s">
        <v>25</v>
      </c>
      <c r="G43" s="13" t="s">
        <v>88</v>
      </c>
      <c r="H43" s="13" t="s">
        <v>82</v>
      </c>
      <c r="I43" s="13">
        <f>SUMIF(Mercado_Receita!$S$2:$S$1099,"44378B2Convencional pré-pagamentoRuralNão se aplicaNão se aplicaNão se aplicaPonta",Mercado_Receita!$L$2:$L$1099)+SUMIF(Mercado_Receita!$S$2:$S$1099,"44378B2Convencional pré-pagamentoRuralNão se aplicaNão se aplicaNão se aplicaFora ponta",Mercado_Receita!$L$2:$L$1099)+SUMIF(Mercado_Receita!$S$2:$S$1099,"44378B2Convencional pré-pagamentoRuralNão se aplicaNão se aplicaNão se aplicaIntermediário",Mercado_Receita!$L$2:$L$1099)+SUMIF(Mercado_Receita!$S$2:$S$1099,"44378B2Convencional pré-pagamentoRuralNão se aplicaNão se aplicaNão se aplicaNão se aplica",Mercado_Receita!$L$2:$L$1099)</f>
        <v>0</v>
      </c>
      <c r="J43" s="13">
        <f>SUMIF(Mercado_Receita!$S$2:$S$1099,"44409B2Convencional pré-pagamentoRuralNão se aplicaNão se aplicaNão se aplicaPonta",Mercado_Receita!$L$2:$L$1099)+SUMIF(Mercado_Receita!$S$2:$S$1099,"44409B2Convencional pré-pagamentoRuralNão se aplicaNão se aplicaNão se aplicaFora ponta",Mercado_Receita!$L$2:$L$1099)+SUMIF(Mercado_Receita!$S$2:$S$1099,"44409B2Convencional pré-pagamentoRuralNão se aplicaNão se aplicaNão se aplicaIntermediário",Mercado_Receita!$L$2:$L$1099)+SUMIF(Mercado_Receita!$S$2:$S$1099,"44409B2Convencional pré-pagamentoRuralNão se aplicaNão se aplicaNão se aplicaNão se aplica",Mercado_Receita!$L$2:$L$1099)</f>
        <v>0</v>
      </c>
      <c r="K43" s="13">
        <f>SUMIF(Mercado_Receita!$S$2:$S$1099,"44440B2Convencional pré-pagamentoRuralNão se aplicaNão se aplicaNão se aplicaPonta",Mercado_Receita!$L$2:$L$1099)+SUMIF(Mercado_Receita!$S$2:$S$1099,"44440B2Convencional pré-pagamentoRuralNão se aplicaNão se aplicaNão se aplicaFora ponta",Mercado_Receita!$L$2:$L$1099)+SUMIF(Mercado_Receita!$S$2:$S$1099,"44440B2Convencional pré-pagamentoRuralNão se aplicaNão se aplicaNão se aplicaIntermediário",Mercado_Receita!$L$2:$L$1099)+SUMIF(Mercado_Receita!$S$2:$S$1099,"44440B2Convencional pré-pagamentoRuralNão se aplicaNão se aplicaNão se aplicaNão se aplica",Mercado_Receita!$L$2:$L$1099)</f>
        <v>0</v>
      </c>
      <c r="L43" s="13">
        <f>SUMIF(Mercado_Receita!$S$2:$S$1099,"44470B2Convencional pré-pagamentoRuralNão se aplicaNão se aplicaNão se aplicaPonta",Mercado_Receita!$L$2:$L$1099)+SUMIF(Mercado_Receita!$S$2:$S$1099,"44470B2Convencional pré-pagamentoRuralNão se aplicaNão se aplicaNão se aplicaFora ponta",Mercado_Receita!$L$2:$L$1099)+SUMIF(Mercado_Receita!$S$2:$S$1099,"44470B2Convencional pré-pagamentoRuralNão se aplicaNão se aplicaNão se aplicaIntermediário",Mercado_Receita!$L$2:$L$1099)+SUMIF(Mercado_Receita!$S$2:$S$1099,"44470B2Convencional pré-pagamentoRuralNão se aplicaNão se aplicaNão se aplicaNão se aplica",Mercado_Receita!$L$2:$L$1099)</f>
        <v>0</v>
      </c>
      <c r="M43" s="13">
        <f>SUMIF(Mercado_Receita!$S$2:$S$1099,"44501B2Convencional pré-pagamentoRuralNão se aplicaNão se aplicaNão se aplicaPonta",Mercado_Receita!$L$2:$L$1099)+SUMIF(Mercado_Receita!$S$2:$S$1099,"44501B2Convencional pré-pagamentoRuralNão se aplicaNão se aplicaNão se aplicaFora ponta",Mercado_Receita!$L$2:$L$1099)+SUMIF(Mercado_Receita!$S$2:$S$1099,"44501B2Convencional pré-pagamentoRuralNão se aplicaNão se aplicaNão se aplicaIntermediário",Mercado_Receita!$L$2:$L$1099)+SUMIF(Mercado_Receita!$S$2:$S$1099,"44501B2Convencional pré-pagamentoRuralNão se aplicaNão se aplicaNão se aplicaNão se aplica",Mercado_Receita!$L$2:$L$1099)</f>
        <v>0</v>
      </c>
      <c r="N43" s="13">
        <f>SUMIF(Mercado_Receita!$S$2:$S$1099,"44531B2Convencional pré-pagamentoRuralNão se aplicaNão se aplicaNão se aplicaPonta",Mercado_Receita!$L$2:$L$1099)+SUMIF(Mercado_Receita!$S$2:$S$1099,"44531B2Convencional pré-pagamentoRuralNão se aplicaNão se aplicaNão se aplicaFora ponta",Mercado_Receita!$L$2:$L$1099)+SUMIF(Mercado_Receita!$S$2:$S$1099,"44531B2Convencional pré-pagamentoRuralNão se aplicaNão se aplicaNão se aplicaIntermediário",Mercado_Receita!$L$2:$L$1099)+SUMIF(Mercado_Receita!$S$2:$S$1099,"44531B2Convencional pré-pagamentoRuralNão se aplicaNão se aplicaNão se aplicaNão se aplica",Mercado_Receita!$L$2:$L$1099)</f>
        <v>0</v>
      </c>
      <c r="O43" s="13">
        <f>SUMIF(Mercado_Receita!$S$2:$S$1099,"44562B2Convencional pré-pagamentoRuralNão se aplicaNão se aplicaNão se aplicaPonta",Mercado_Receita!$L$2:$L$1099)+SUMIF(Mercado_Receita!$S$2:$S$1099,"44562B2Convencional pré-pagamentoRuralNão se aplicaNão se aplicaNão se aplicaFora ponta",Mercado_Receita!$L$2:$L$1099)+SUMIF(Mercado_Receita!$S$2:$S$1099,"44562B2Convencional pré-pagamentoRuralNão se aplicaNão se aplicaNão se aplicaIntermediário",Mercado_Receita!$L$2:$L$1099)+SUMIF(Mercado_Receita!$S$2:$S$1099,"44562B2Convencional pré-pagamentoRuralNão se aplicaNão se aplicaNão se aplicaNão se aplica",Mercado_Receita!$L$2:$L$1099)</f>
        <v>0</v>
      </c>
      <c r="P43" s="13">
        <f>SUMIF(Mercado_Receita!$S$2:$S$1099,"44593B2Convencional pré-pagamentoRuralNão se aplicaNão se aplicaNão se aplicaPonta",Mercado_Receita!$L$2:$L$1099)+SUMIF(Mercado_Receita!$S$2:$S$1099,"44593B2Convencional pré-pagamentoRuralNão se aplicaNão se aplicaNão se aplicaFora ponta",Mercado_Receita!$L$2:$L$1099)+SUMIF(Mercado_Receita!$S$2:$S$1099,"44593B2Convencional pré-pagamentoRuralNão se aplicaNão se aplicaNão se aplicaIntermediário",Mercado_Receita!$L$2:$L$1099)+SUMIF(Mercado_Receita!$S$2:$S$1099,"44593B2Convencional pré-pagamentoRuralNão se aplicaNão se aplicaNão se aplicaNão se aplica",Mercado_Receita!$L$2:$L$1099)</f>
        <v>0</v>
      </c>
      <c r="Q43" s="13">
        <f>SUMIF(Mercado_Receita!$S$2:$S$1099,"44621B2Convencional pré-pagamentoRuralNão se aplicaNão se aplicaNão se aplicaPonta",Mercado_Receita!$L$2:$L$1099)+SUMIF(Mercado_Receita!$S$2:$S$1099,"44621B2Convencional pré-pagamentoRuralNão se aplicaNão se aplicaNão se aplicaFora ponta",Mercado_Receita!$L$2:$L$1099)+SUMIF(Mercado_Receita!$S$2:$S$1099,"44621B2Convencional pré-pagamentoRuralNão se aplicaNão se aplicaNão se aplicaIntermediário",Mercado_Receita!$L$2:$L$1099)+SUMIF(Mercado_Receita!$S$2:$S$1099,"44621B2Convencional pré-pagamentoRuralNão se aplicaNão se aplicaNão se aplicaNão se aplica",Mercado_Receita!$L$2:$L$1099)</f>
        <v>0</v>
      </c>
      <c r="R43" s="13">
        <f>SUMIF(Mercado_Receita!$S$2:$S$1099,"44652B2Convencional pré-pagamentoRuralNão se aplicaNão se aplicaNão se aplicaPonta",Mercado_Receita!$L$2:$L$1099)+SUMIF(Mercado_Receita!$S$2:$S$1099,"44652B2Convencional pré-pagamentoRuralNão se aplicaNão se aplicaNão se aplicaFora ponta",Mercado_Receita!$L$2:$L$1099)+SUMIF(Mercado_Receita!$S$2:$S$1099,"44652B2Convencional pré-pagamentoRuralNão se aplicaNão se aplicaNão se aplicaIntermediário",Mercado_Receita!$L$2:$L$1099)+SUMIF(Mercado_Receita!$S$2:$S$1099,"44652B2Convencional pré-pagamentoRuralNão se aplicaNão se aplicaNão se aplicaNão se aplica",Mercado_Receita!$L$2:$L$1099)</f>
        <v>0</v>
      </c>
      <c r="S43" s="13">
        <f>SUMIF(Mercado_Receita!$S$2:$S$1099,"44682B2Convencional pré-pagamentoRuralNão se aplicaNão se aplicaNão se aplicaPonta",Mercado_Receita!$L$2:$L$1099)+SUMIF(Mercado_Receita!$S$2:$S$1099,"44682B2Convencional pré-pagamentoRuralNão se aplicaNão se aplicaNão se aplicaFora ponta",Mercado_Receita!$L$2:$L$1099)+SUMIF(Mercado_Receita!$S$2:$S$1099,"44682B2Convencional pré-pagamentoRuralNão se aplicaNão se aplicaNão se aplicaIntermediário",Mercado_Receita!$L$2:$L$1099)+SUMIF(Mercado_Receita!$S$2:$S$1099,"44682B2Convencional pré-pagamentoRuralNão se aplicaNão se aplicaNão se aplicaNão se aplica",Mercado_Receita!$L$2:$L$1099)</f>
        <v>0</v>
      </c>
      <c r="T43" s="13">
        <f>SUMIF(Mercado_Receita!$S$2:$S$1099,"44713B2Convencional pré-pagamentoRuralNão se aplicaNão se aplicaNão se aplicaPonta",Mercado_Receita!$L$2:$L$1099)+SUMIF(Mercado_Receita!$S$2:$S$1099,"44713B2Convencional pré-pagamentoRuralNão se aplicaNão se aplicaNão se aplicaFora ponta",Mercado_Receita!$L$2:$L$1099)+SUMIF(Mercado_Receita!$S$2:$S$1099,"44713B2Convencional pré-pagamentoRuralNão se aplicaNão se aplicaNão se aplicaIntermediário",Mercado_Receita!$L$2:$L$1099)+SUMIF(Mercado_Receita!$S$2:$S$1099,"44713B2Convencional pré-pagamentoRuralNão se aplicaNão se aplicaNão se aplicaNão se aplica",Mercado_Receita!$L$2:$L$1099)</f>
        <v>0</v>
      </c>
      <c r="U43" s="13">
        <f t="shared" si="1"/>
        <v>0</v>
      </c>
      <c r="V43" s="13"/>
      <c r="W43" s="13"/>
    </row>
    <row r="44" spans="1:23" ht="11.25" customHeight="1" x14ac:dyDescent="0.25">
      <c r="A44" s="95"/>
      <c r="B44" s="95"/>
      <c r="C44" s="95"/>
      <c r="D44" s="12" t="s">
        <v>98</v>
      </c>
      <c r="E44" s="12" t="s">
        <v>25</v>
      </c>
      <c r="F44" s="12" t="s">
        <v>25</v>
      </c>
      <c r="G44" s="13" t="s">
        <v>88</v>
      </c>
      <c r="H44" s="13" t="s">
        <v>82</v>
      </c>
      <c r="I44" s="13">
        <f>SUMIF(Mercado_Receita!$S$2:$S$1099,"44378B2Convencional pré-pagamentoRuralCooperativa de eletrificação ruralNão se aplicaNão se aplicaPonta",Mercado_Receita!$L$2:$L$1099)+SUMIF(Mercado_Receita!$S$2:$S$1099,"44378B2Convencional pré-pagamentoRuralCooperativa de eletrificação ruralNão se aplicaNão se aplicaFora ponta",Mercado_Receita!$L$2:$L$1099)+SUMIF(Mercado_Receita!$S$2:$S$1099,"44378B2Convencional pré-pagamentoRuralCooperativa de eletrificação ruralNão se aplicaNão se aplicaIntermediário",Mercado_Receita!$L$2:$L$1099)+SUMIF(Mercado_Receita!$S$2:$S$1099,"44378B2Convencional pré-pagamentoRuralCooperativa de eletrificação ruralNão se aplicaNão se aplicaNão se aplica",Mercado_Receita!$L$2:$L$1099)</f>
        <v>0</v>
      </c>
      <c r="J44" s="13">
        <f>SUMIF(Mercado_Receita!$S$2:$S$1099,"44409B2Convencional pré-pagamentoRuralCooperativa de eletrificação ruralNão se aplicaNão se aplicaPonta",Mercado_Receita!$L$2:$L$1099)+SUMIF(Mercado_Receita!$S$2:$S$1099,"44409B2Convencional pré-pagamentoRuralCooperativa de eletrificação ruralNão se aplicaNão se aplicaFora ponta",Mercado_Receita!$L$2:$L$1099)+SUMIF(Mercado_Receita!$S$2:$S$1099,"44409B2Convencional pré-pagamentoRuralCooperativa de eletrificação ruralNão se aplicaNão se aplicaIntermediário",Mercado_Receita!$L$2:$L$1099)+SUMIF(Mercado_Receita!$S$2:$S$1099,"44409B2Convencional pré-pagamentoRuralCooperativa de eletrificação ruralNão se aplicaNão se aplicaNão se aplica",Mercado_Receita!$L$2:$L$1099)</f>
        <v>0</v>
      </c>
      <c r="K44" s="13">
        <f>SUMIF(Mercado_Receita!$S$2:$S$1099,"44440B2Convencional pré-pagamentoRuralCooperativa de eletrificação ruralNão se aplicaNão se aplicaPonta",Mercado_Receita!$L$2:$L$1099)+SUMIF(Mercado_Receita!$S$2:$S$1099,"44440B2Convencional pré-pagamentoRuralCooperativa de eletrificação ruralNão se aplicaNão se aplicaFora ponta",Mercado_Receita!$L$2:$L$1099)+SUMIF(Mercado_Receita!$S$2:$S$1099,"44440B2Convencional pré-pagamentoRuralCooperativa de eletrificação ruralNão se aplicaNão se aplicaIntermediário",Mercado_Receita!$L$2:$L$1099)+SUMIF(Mercado_Receita!$S$2:$S$1099,"44440B2Convencional pré-pagamentoRuralCooperativa de eletrificação ruralNão se aplicaNão se aplicaNão se aplica",Mercado_Receita!$L$2:$L$1099)</f>
        <v>0</v>
      </c>
      <c r="L44" s="13">
        <f>SUMIF(Mercado_Receita!$S$2:$S$1099,"44470B2Convencional pré-pagamentoRuralCooperativa de eletrificação ruralNão se aplicaNão se aplicaPonta",Mercado_Receita!$L$2:$L$1099)+SUMIF(Mercado_Receita!$S$2:$S$1099,"44470B2Convencional pré-pagamentoRuralCooperativa de eletrificação ruralNão se aplicaNão se aplicaFora ponta",Mercado_Receita!$L$2:$L$1099)+SUMIF(Mercado_Receita!$S$2:$S$1099,"44470B2Convencional pré-pagamentoRuralCooperativa de eletrificação ruralNão se aplicaNão se aplicaIntermediário",Mercado_Receita!$L$2:$L$1099)+SUMIF(Mercado_Receita!$S$2:$S$1099,"44470B2Convencional pré-pagamentoRuralCooperativa de eletrificação ruralNão se aplicaNão se aplicaNão se aplica",Mercado_Receita!$L$2:$L$1099)</f>
        <v>0</v>
      </c>
      <c r="M44" s="13">
        <f>SUMIF(Mercado_Receita!$S$2:$S$1099,"44501B2Convencional pré-pagamentoRuralCooperativa de eletrificação ruralNão se aplicaNão se aplicaPonta",Mercado_Receita!$L$2:$L$1099)+SUMIF(Mercado_Receita!$S$2:$S$1099,"44501B2Convencional pré-pagamentoRuralCooperativa de eletrificação ruralNão se aplicaNão se aplicaFora ponta",Mercado_Receita!$L$2:$L$1099)+SUMIF(Mercado_Receita!$S$2:$S$1099,"44501B2Convencional pré-pagamentoRuralCooperativa de eletrificação ruralNão se aplicaNão se aplicaIntermediário",Mercado_Receita!$L$2:$L$1099)+SUMIF(Mercado_Receita!$S$2:$S$1099,"44501B2Convencional pré-pagamentoRuralCooperativa de eletrificação ruralNão se aplicaNão se aplicaNão se aplica",Mercado_Receita!$L$2:$L$1099)</f>
        <v>0</v>
      </c>
      <c r="N44" s="13">
        <f>SUMIF(Mercado_Receita!$S$2:$S$1099,"44531B2Convencional pré-pagamentoRuralCooperativa de eletrificação ruralNão se aplicaNão se aplicaPonta",Mercado_Receita!$L$2:$L$1099)+SUMIF(Mercado_Receita!$S$2:$S$1099,"44531B2Convencional pré-pagamentoRuralCooperativa de eletrificação ruralNão se aplicaNão se aplicaFora ponta",Mercado_Receita!$L$2:$L$1099)+SUMIF(Mercado_Receita!$S$2:$S$1099,"44531B2Convencional pré-pagamentoRuralCooperativa de eletrificação ruralNão se aplicaNão se aplicaIntermediário",Mercado_Receita!$L$2:$L$1099)+SUMIF(Mercado_Receita!$S$2:$S$1099,"44531B2Convencional pré-pagamentoRuralCooperativa de eletrificação ruralNão se aplicaNão se aplicaNão se aplica",Mercado_Receita!$L$2:$L$1099)</f>
        <v>0</v>
      </c>
      <c r="O44" s="13">
        <f>SUMIF(Mercado_Receita!$S$2:$S$1099,"44562B2Convencional pré-pagamentoRuralCooperativa de eletrificação ruralNão se aplicaNão se aplicaPonta",Mercado_Receita!$L$2:$L$1099)+SUMIF(Mercado_Receita!$S$2:$S$1099,"44562B2Convencional pré-pagamentoRuralCooperativa de eletrificação ruralNão se aplicaNão se aplicaFora ponta",Mercado_Receita!$L$2:$L$1099)+SUMIF(Mercado_Receita!$S$2:$S$1099,"44562B2Convencional pré-pagamentoRuralCooperativa de eletrificação ruralNão se aplicaNão se aplicaIntermediário",Mercado_Receita!$L$2:$L$1099)+SUMIF(Mercado_Receita!$S$2:$S$1099,"44562B2Convencional pré-pagamentoRuralCooperativa de eletrificação ruralNão se aplicaNão se aplicaNão se aplica",Mercado_Receita!$L$2:$L$1099)</f>
        <v>0</v>
      </c>
      <c r="P44" s="13">
        <f>SUMIF(Mercado_Receita!$S$2:$S$1099,"44593B2Convencional pré-pagamentoRuralCooperativa de eletrificação ruralNão se aplicaNão se aplicaPonta",Mercado_Receita!$L$2:$L$1099)+SUMIF(Mercado_Receita!$S$2:$S$1099,"44593B2Convencional pré-pagamentoRuralCooperativa de eletrificação ruralNão se aplicaNão se aplicaFora ponta",Mercado_Receita!$L$2:$L$1099)+SUMIF(Mercado_Receita!$S$2:$S$1099,"44593B2Convencional pré-pagamentoRuralCooperativa de eletrificação ruralNão se aplicaNão se aplicaIntermediário",Mercado_Receita!$L$2:$L$1099)+SUMIF(Mercado_Receita!$S$2:$S$1099,"44593B2Convencional pré-pagamentoRuralCooperativa de eletrificação ruralNão se aplicaNão se aplicaNão se aplica",Mercado_Receita!$L$2:$L$1099)</f>
        <v>0</v>
      </c>
      <c r="Q44" s="13">
        <f>SUMIF(Mercado_Receita!$S$2:$S$1099,"44621B2Convencional pré-pagamentoRuralCooperativa de eletrificação ruralNão se aplicaNão se aplicaPonta",Mercado_Receita!$L$2:$L$1099)+SUMIF(Mercado_Receita!$S$2:$S$1099,"44621B2Convencional pré-pagamentoRuralCooperativa de eletrificação ruralNão se aplicaNão se aplicaFora ponta",Mercado_Receita!$L$2:$L$1099)+SUMIF(Mercado_Receita!$S$2:$S$1099,"44621B2Convencional pré-pagamentoRuralCooperativa de eletrificação ruralNão se aplicaNão se aplicaIntermediário",Mercado_Receita!$L$2:$L$1099)+SUMIF(Mercado_Receita!$S$2:$S$1099,"44621B2Convencional pré-pagamentoRuralCooperativa de eletrificação ruralNão se aplicaNão se aplicaNão se aplica",Mercado_Receita!$L$2:$L$1099)</f>
        <v>0</v>
      </c>
      <c r="R44" s="13">
        <f>SUMIF(Mercado_Receita!$S$2:$S$1099,"44652B2Convencional pré-pagamentoRuralCooperativa de eletrificação ruralNão se aplicaNão se aplicaPonta",Mercado_Receita!$L$2:$L$1099)+SUMIF(Mercado_Receita!$S$2:$S$1099,"44652B2Convencional pré-pagamentoRuralCooperativa de eletrificação ruralNão se aplicaNão se aplicaFora ponta",Mercado_Receita!$L$2:$L$1099)+SUMIF(Mercado_Receita!$S$2:$S$1099,"44652B2Convencional pré-pagamentoRuralCooperativa de eletrificação ruralNão se aplicaNão se aplicaIntermediário",Mercado_Receita!$L$2:$L$1099)+SUMIF(Mercado_Receita!$S$2:$S$1099,"44652B2Convencional pré-pagamentoRuralCooperativa de eletrificação ruralNão se aplicaNão se aplicaNão se aplica",Mercado_Receita!$L$2:$L$1099)</f>
        <v>0</v>
      </c>
      <c r="S44" s="13">
        <f>SUMIF(Mercado_Receita!$S$2:$S$1099,"44682B2Convencional pré-pagamentoRuralCooperativa de eletrificação ruralNão se aplicaNão se aplicaPonta",Mercado_Receita!$L$2:$L$1099)+SUMIF(Mercado_Receita!$S$2:$S$1099,"44682B2Convencional pré-pagamentoRuralCooperativa de eletrificação ruralNão se aplicaNão se aplicaFora ponta",Mercado_Receita!$L$2:$L$1099)+SUMIF(Mercado_Receita!$S$2:$S$1099,"44682B2Convencional pré-pagamentoRuralCooperativa de eletrificação ruralNão se aplicaNão se aplicaIntermediário",Mercado_Receita!$L$2:$L$1099)+SUMIF(Mercado_Receita!$S$2:$S$1099,"44682B2Convencional pré-pagamentoRuralCooperativa de eletrificação ruralNão se aplicaNão se aplicaNão se aplica",Mercado_Receita!$L$2:$L$1099)</f>
        <v>0</v>
      </c>
      <c r="T44" s="13">
        <f>SUMIF(Mercado_Receita!$S$2:$S$1099,"44713B2Convencional pré-pagamentoRuralCooperativa de eletrificação ruralNão se aplicaNão se aplicaPonta",Mercado_Receita!$L$2:$L$1099)+SUMIF(Mercado_Receita!$S$2:$S$1099,"44713B2Convencional pré-pagamentoRuralCooperativa de eletrificação ruralNão se aplicaNão se aplicaFora ponta",Mercado_Receita!$L$2:$L$1099)+SUMIF(Mercado_Receita!$S$2:$S$1099,"44713B2Convencional pré-pagamentoRuralCooperativa de eletrificação ruralNão se aplicaNão se aplicaIntermediário",Mercado_Receita!$L$2:$L$1099)+SUMIF(Mercado_Receita!$S$2:$S$1099,"44713B2Convencional pré-pagamentoRuralCooperativa de eletrificação ruralNão se aplicaNão se aplicaNão se aplica",Mercado_Receita!$L$2:$L$1099)</f>
        <v>0</v>
      </c>
      <c r="U44" s="13">
        <f t="shared" si="1"/>
        <v>0</v>
      </c>
      <c r="V44" s="13"/>
      <c r="W44" s="13"/>
    </row>
    <row r="45" spans="1:23" ht="11.25" customHeight="1" x14ac:dyDescent="0.25">
      <c r="A45" s="95"/>
      <c r="B45" s="95"/>
      <c r="C45" s="95"/>
      <c r="D45" s="12" t="s">
        <v>99</v>
      </c>
      <c r="E45" s="12" t="s">
        <v>25</v>
      </c>
      <c r="F45" s="12" t="s">
        <v>25</v>
      </c>
      <c r="G45" s="13" t="s">
        <v>88</v>
      </c>
      <c r="H45" s="13" t="s">
        <v>82</v>
      </c>
      <c r="I45" s="13">
        <f>SUMIF(Mercado_Receita!$S$2:$S$1099,"44378B2Convencional pré-pagamentoRuralServiço público de irrigação ruralNão se aplicaNão se aplicaPonta",Mercado_Receita!$L$2:$L$1099)+SUMIF(Mercado_Receita!$S$2:$S$1099,"44378B2Convencional pré-pagamentoRuralServiço público de irrigação ruralNão se aplicaNão se aplicaFora ponta",Mercado_Receita!$L$2:$L$1099)+SUMIF(Mercado_Receita!$S$2:$S$1099,"44378B2Convencional pré-pagamentoRuralServiço público de irrigação ruralNão se aplicaNão se aplicaIntermediário",Mercado_Receita!$L$2:$L$1099)+SUMIF(Mercado_Receita!$S$2:$S$1099,"44378B2Convencional pré-pagamentoRuralServiço público de irrigação ruralNão se aplicaNão se aplicaNão se aplica",Mercado_Receita!$L$2:$L$1099)</f>
        <v>0</v>
      </c>
      <c r="J45" s="13">
        <f>SUMIF(Mercado_Receita!$S$2:$S$1099,"44409B2Convencional pré-pagamentoRuralServiço público de irrigação ruralNão se aplicaNão se aplicaPonta",Mercado_Receita!$L$2:$L$1099)+SUMIF(Mercado_Receita!$S$2:$S$1099,"44409B2Convencional pré-pagamentoRuralServiço público de irrigação ruralNão se aplicaNão se aplicaFora ponta",Mercado_Receita!$L$2:$L$1099)+SUMIF(Mercado_Receita!$S$2:$S$1099,"44409B2Convencional pré-pagamentoRuralServiço público de irrigação ruralNão se aplicaNão se aplicaIntermediário",Mercado_Receita!$L$2:$L$1099)+SUMIF(Mercado_Receita!$S$2:$S$1099,"44409B2Convencional pré-pagamentoRuralServiço público de irrigação ruralNão se aplicaNão se aplicaNão se aplica",Mercado_Receita!$L$2:$L$1099)</f>
        <v>0</v>
      </c>
      <c r="K45" s="13">
        <f>SUMIF(Mercado_Receita!$S$2:$S$1099,"44440B2Convencional pré-pagamentoRuralServiço público de irrigação ruralNão se aplicaNão se aplicaPonta",Mercado_Receita!$L$2:$L$1099)+SUMIF(Mercado_Receita!$S$2:$S$1099,"44440B2Convencional pré-pagamentoRuralServiço público de irrigação ruralNão se aplicaNão se aplicaFora ponta",Mercado_Receita!$L$2:$L$1099)+SUMIF(Mercado_Receita!$S$2:$S$1099,"44440B2Convencional pré-pagamentoRuralServiço público de irrigação ruralNão se aplicaNão se aplicaIntermediário",Mercado_Receita!$L$2:$L$1099)+SUMIF(Mercado_Receita!$S$2:$S$1099,"44440B2Convencional pré-pagamentoRuralServiço público de irrigação ruralNão se aplicaNão se aplicaNão se aplica",Mercado_Receita!$L$2:$L$1099)</f>
        <v>0</v>
      </c>
      <c r="L45" s="13">
        <f>SUMIF(Mercado_Receita!$S$2:$S$1099,"44470B2Convencional pré-pagamentoRuralServiço público de irrigação ruralNão se aplicaNão se aplicaPonta",Mercado_Receita!$L$2:$L$1099)+SUMIF(Mercado_Receita!$S$2:$S$1099,"44470B2Convencional pré-pagamentoRuralServiço público de irrigação ruralNão se aplicaNão se aplicaFora ponta",Mercado_Receita!$L$2:$L$1099)+SUMIF(Mercado_Receita!$S$2:$S$1099,"44470B2Convencional pré-pagamentoRuralServiço público de irrigação ruralNão se aplicaNão se aplicaIntermediário",Mercado_Receita!$L$2:$L$1099)+SUMIF(Mercado_Receita!$S$2:$S$1099,"44470B2Convencional pré-pagamentoRuralServiço público de irrigação ruralNão se aplicaNão se aplicaNão se aplica",Mercado_Receita!$L$2:$L$1099)</f>
        <v>0</v>
      </c>
      <c r="M45" s="13">
        <f>SUMIF(Mercado_Receita!$S$2:$S$1099,"44501B2Convencional pré-pagamentoRuralServiço público de irrigação ruralNão se aplicaNão se aplicaPonta",Mercado_Receita!$L$2:$L$1099)+SUMIF(Mercado_Receita!$S$2:$S$1099,"44501B2Convencional pré-pagamentoRuralServiço público de irrigação ruralNão se aplicaNão se aplicaFora ponta",Mercado_Receita!$L$2:$L$1099)+SUMIF(Mercado_Receita!$S$2:$S$1099,"44501B2Convencional pré-pagamentoRuralServiço público de irrigação ruralNão se aplicaNão se aplicaIntermediário",Mercado_Receita!$L$2:$L$1099)+SUMIF(Mercado_Receita!$S$2:$S$1099,"44501B2Convencional pré-pagamentoRuralServiço público de irrigação ruralNão se aplicaNão se aplicaNão se aplica",Mercado_Receita!$L$2:$L$1099)</f>
        <v>0</v>
      </c>
      <c r="N45" s="13">
        <f>SUMIF(Mercado_Receita!$S$2:$S$1099,"44531B2Convencional pré-pagamentoRuralServiço público de irrigação ruralNão se aplicaNão se aplicaPonta",Mercado_Receita!$L$2:$L$1099)+SUMIF(Mercado_Receita!$S$2:$S$1099,"44531B2Convencional pré-pagamentoRuralServiço público de irrigação ruralNão se aplicaNão se aplicaFora ponta",Mercado_Receita!$L$2:$L$1099)+SUMIF(Mercado_Receita!$S$2:$S$1099,"44531B2Convencional pré-pagamentoRuralServiço público de irrigação ruralNão se aplicaNão se aplicaIntermediário",Mercado_Receita!$L$2:$L$1099)+SUMIF(Mercado_Receita!$S$2:$S$1099,"44531B2Convencional pré-pagamentoRuralServiço público de irrigação ruralNão se aplicaNão se aplicaNão se aplica",Mercado_Receita!$L$2:$L$1099)</f>
        <v>0</v>
      </c>
      <c r="O45" s="13">
        <f>SUMIF(Mercado_Receita!$S$2:$S$1099,"44562B2Convencional pré-pagamentoRuralServiço público de irrigação ruralNão se aplicaNão se aplicaPonta",Mercado_Receita!$L$2:$L$1099)+SUMIF(Mercado_Receita!$S$2:$S$1099,"44562B2Convencional pré-pagamentoRuralServiço público de irrigação ruralNão se aplicaNão se aplicaFora ponta",Mercado_Receita!$L$2:$L$1099)+SUMIF(Mercado_Receita!$S$2:$S$1099,"44562B2Convencional pré-pagamentoRuralServiço público de irrigação ruralNão se aplicaNão se aplicaIntermediário",Mercado_Receita!$L$2:$L$1099)+SUMIF(Mercado_Receita!$S$2:$S$1099,"44562B2Convencional pré-pagamentoRuralServiço público de irrigação ruralNão se aplicaNão se aplicaNão se aplica",Mercado_Receita!$L$2:$L$1099)</f>
        <v>0</v>
      </c>
      <c r="P45" s="13">
        <f>SUMIF(Mercado_Receita!$S$2:$S$1099,"44593B2Convencional pré-pagamentoRuralServiço público de irrigação ruralNão se aplicaNão se aplicaPonta",Mercado_Receita!$L$2:$L$1099)+SUMIF(Mercado_Receita!$S$2:$S$1099,"44593B2Convencional pré-pagamentoRuralServiço público de irrigação ruralNão se aplicaNão se aplicaFora ponta",Mercado_Receita!$L$2:$L$1099)+SUMIF(Mercado_Receita!$S$2:$S$1099,"44593B2Convencional pré-pagamentoRuralServiço público de irrigação ruralNão se aplicaNão se aplicaIntermediário",Mercado_Receita!$L$2:$L$1099)+SUMIF(Mercado_Receita!$S$2:$S$1099,"44593B2Convencional pré-pagamentoRuralServiço público de irrigação ruralNão se aplicaNão se aplicaNão se aplica",Mercado_Receita!$L$2:$L$1099)</f>
        <v>0</v>
      </c>
      <c r="Q45" s="13">
        <f>SUMIF(Mercado_Receita!$S$2:$S$1099,"44621B2Convencional pré-pagamentoRuralServiço público de irrigação ruralNão se aplicaNão se aplicaPonta",Mercado_Receita!$L$2:$L$1099)+SUMIF(Mercado_Receita!$S$2:$S$1099,"44621B2Convencional pré-pagamentoRuralServiço público de irrigação ruralNão se aplicaNão se aplicaFora ponta",Mercado_Receita!$L$2:$L$1099)+SUMIF(Mercado_Receita!$S$2:$S$1099,"44621B2Convencional pré-pagamentoRuralServiço público de irrigação ruralNão se aplicaNão se aplicaIntermediário",Mercado_Receita!$L$2:$L$1099)+SUMIF(Mercado_Receita!$S$2:$S$1099,"44621B2Convencional pré-pagamentoRuralServiço público de irrigação ruralNão se aplicaNão se aplicaNão se aplica",Mercado_Receita!$L$2:$L$1099)</f>
        <v>0</v>
      </c>
      <c r="R45" s="13">
        <f>SUMIF(Mercado_Receita!$S$2:$S$1099,"44652B2Convencional pré-pagamentoRuralServiço público de irrigação ruralNão se aplicaNão se aplicaPonta",Mercado_Receita!$L$2:$L$1099)+SUMIF(Mercado_Receita!$S$2:$S$1099,"44652B2Convencional pré-pagamentoRuralServiço público de irrigação ruralNão se aplicaNão se aplicaFora ponta",Mercado_Receita!$L$2:$L$1099)+SUMIF(Mercado_Receita!$S$2:$S$1099,"44652B2Convencional pré-pagamentoRuralServiço público de irrigação ruralNão se aplicaNão se aplicaIntermediário",Mercado_Receita!$L$2:$L$1099)+SUMIF(Mercado_Receita!$S$2:$S$1099,"44652B2Convencional pré-pagamentoRuralServiço público de irrigação ruralNão se aplicaNão se aplicaNão se aplica",Mercado_Receita!$L$2:$L$1099)</f>
        <v>0</v>
      </c>
      <c r="S45" s="13">
        <f>SUMIF(Mercado_Receita!$S$2:$S$1099,"44682B2Convencional pré-pagamentoRuralServiço público de irrigação ruralNão se aplicaNão se aplicaPonta",Mercado_Receita!$L$2:$L$1099)+SUMIF(Mercado_Receita!$S$2:$S$1099,"44682B2Convencional pré-pagamentoRuralServiço público de irrigação ruralNão se aplicaNão se aplicaFora ponta",Mercado_Receita!$L$2:$L$1099)+SUMIF(Mercado_Receita!$S$2:$S$1099,"44682B2Convencional pré-pagamentoRuralServiço público de irrigação ruralNão se aplicaNão se aplicaIntermediário",Mercado_Receita!$L$2:$L$1099)+SUMIF(Mercado_Receita!$S$2:$S$1099,"44682B2Convencional pré-pagamentoRuralServiço público de irrigação ruralNão se aplicaNão se aplicaNão se aplica",Mercado_Receita!$L$2:$L$1099)</f>
        <v>0</v>
      </c>
      <c r="T45" s="13">
        <f>SUMIF(Mercado_Receita!$S$2:$S$1099,"44713B2Convencional pré-pagamentoRuralServiço público de irrigação ruralNão se aplicaNão se aplicaPonta",Mercado_Receita!$L$2:$L$1099)+SUMIF(Mercado_Receita!$S$2:$S$1099,"44713B2Convencional pré-pagamentoRuralServiço público de irrigação ruralNão se aplicaNão se aplicaFora ponta",Mercado_Receita!$L$2:$L$1099)+SUMIF(Mercado_Receita!$S$2:$S$1099,"44713B2Convencional pré-pagamentoRuralServiço público de irrigação ruralNão se aplicaNão se aplicaIntermediário",Mercado_Receita!$L$2:$L$1099)+SUMIF(Mercado_Receita!$S$2:$S$1099,"44713B2Convencional pré-pagamentoRuralServiço público de irrigação ruralNão se aplicaNão se aplicaNão se aplica",Mercado_Receita!$L$2:$L$1099)</f>
        <v>0</v>
      </c>
      <c r="U45" s="13">
        <f t="shared" si="1"/>
        <v>0</v>
      </c>
      <c r="V45" s="13"/>
      <c r="W45" s="13"/>
    </row>
    <row r="46" spans="1:23" ht="11.25" customHeight="1" x14ac:dyDescent="0.25">
      <c r="A46" s="94" t="s">
        <v>33</v>
      </c>
      <c r="B46" s="94" t="s">
        <v>95</v>
      </c>
      <c r="C46" s="94" t="s">
        <v>25</v>
      </c>
      <c r="D46" s="94" t="s">
        <v>25</v>
      </c>
      <c r="E46" s="94" t="s">
        <v>25</v>
      </c>
      <c r="F46" s="94" t="s">
        <v>25</v>
      </c>
      <c r="G46" s="13" t="s">
        <v>83</v>
      </c>
      <c r="H46" s="13" t="s">
        <v>82</v>
      </c>
      <c r="I46" s="13">
        <f>SUMIF(Mercado_Receita!$S$2:$S$1099,"44378B3BrancaNão se aplicaNão se aplicaNão se aplicaNão se aplicaPonta",Mercado_Receita!$L$2:$L$1099)</f>
        <v>0</v>
      </c>
      <c r="J46" s="13">
        <f>SUMIF(Mercado_Receita!$S$2:$S$1099,"44409B3BrancaNão se aplicaNão se aplicaNão se aplicaNão se aplicaPonta",Mercado_Receita!$L$2:$L$1099)</f>
        <v>0</v>
      </c>
      <c r="K46" s="13">
        <f>SUMIF(Mercado_Receita!$S$2:$S$1099,"44440B3BrancaNão se aplicaNão se aplicaNão se aplicaNão se aplicaPonta",Mercado_Receita!$L$2:$L$1099)</f>
        <v>0</v>
      </c>
      <c r="L46" s="13">
        <f>SUMIF(Mercado_Receita!$S$2:$S$1099,"44470B3BrancaNão se aplicaNão se aplicaNão se aplicaNão se aplicaPonta",Mercado_Receita!$L$2:$L$1099)</f>
        <v>0</v>
      </c>
      <c r="M46" s="13">
        <f>SUMIF(Mercado_Receita!$S$2:$S$1099,"44501B3BrancaNão se aplicaNão se aplicaNão se aplicaNão se aplicaPonta",Mercado_Receita!$L$2:$L$1099)</f>
        <v>0</v>
      </c>
      <c r="N46" s="13">
        <f>SUMIF(Mercado_Receita!$S$2:$S$1099,"44531B3BrancaNão se aplicaNão se aplicaNão se aplicaNão se aplicaPonta",Mercado_Receita!$L$2:$L$1099)</f>
        <v>0</v>
      </c>
      <c r="O46" s="13">
        <f>SUMIF(Mercado_Receita!$S$2:$S$1099,"44562B3BrancaNão se aplicaNão se aplicaNão se aplicaNão se aplicaPonta",Mercado_Receita!$L$2:$L$1099)</f>
        <v>0</v>
      </c>
      <c r="P46" s="13">
        <f>SUMIF(Mercado_Receita!$S$2:$S$1099,"44593B3BrancaNão se aplicaNão se aplicaNão se aplicaNão se aplicaPonta",Mercado_Receita!$L$2:$L$1099)</f>
        <v>0</v>
      </c>
      <c r="Q46" s="13">
        <f>SUMIF(Mercado_Receita!$S$2:$S$1099,"44621B3BrancaNão se aplicaNão se aplicaNão se aplicaNão se aplicaPonta",Mercado_Receita!$L$2:$L$1099)</f>
        <v>0</v>
      </c>
      <c r="R46" s="13">
        <f>SUMIF(Mercado_Receita!$S$2:$S$1099,"44652B3BrancaNão se aplicaNão se aplicaNão se aplicaNão se aplicaPonta",Mercado_Receita!$L$2:$L$1099)</f>
        <v>0</v>
      </c>
      <c r="S46" s="13">
        <f>SUMIF(Mercado_Receita!$S$2:$S$1099,"44682B3BrancaNão se aplicaNão se aplicaNão se aplicaNão se aplicaPonta",Mercado_Receita!$L$2:$L$1099)</f>
        <v>0</v>
      </c>
      <c r="T46" s="13">
        <f>SUMIF(Mercado_Receita!$S$2:$S$1099,"44713B3BrancaNão se aplicaNão se aplicaNão se aplicaNão se aplicaPonta",Mercado_Receita!$L$2:$L$1099)</f>
        <v>0</v>
      </c>
      <c r="U46" s="13">
        <f t="shared" si="1"/>
        <v>0</v>
      </c>
      <c r="V46" s="13"/>
      <c r="W46" s="13"/>
    </row>
    <row r="47" spans="1:23" ht="11.25" customHeight="1" x14ac:dyDescent="0.25">
      <c r="A47" s="95"/>
      <c r="B47" s="95"/>
      <c r="C47" s="95"/>
      <c r="D47" s="95"/>
      <c r="E47" s="95"/>
      <c r="F47" s="95"/>
      <c r="G47" s="13" t="s">
        <v>94</v>
      </c>
      <c r="H47" s="13" t="s">
        <v>82</v>
      </c>
      <c r="I47" s="13">
        <f>SUMIF(Mercado_Receita!$S$2:$S$1099,"44378B3BrancaNão se aplicaNão se aplicaNão se aplicaNão se aplicaIntermediário",Mercado_Receita!$L$2:$L$1099)</f>
        <v>0</v>
      </c>
      <c r="J47" s="13">
        <f>SUMIF(Mercado_Receita!$S$2:$S$1099,"44409B3BrancaNão se aplicaNão se aplicaNão se aplicaNão se aplicaIntermediário",Mercado_Receita!$L$2:$L$1099)</f>
        <v>0</v>
      </c>
      <c r="K47" s="13">
        <f>SUMIF(Mercado_Receita!$S$2:$S$1099,"44440B3BrancaNão se aplicaNão se aplicaNão se aplicaNão se aplicaIntermediário",Mercado_Receita!$L$2:$L$1099)</f>
        <v>0</v>
      </c>
      <c r="L47" s="13">
        <f>SUMIF(Mercado_Receita!$S$2:$S$1099,"44470B3BrancaNão se aplicaNão se aplicaNão se aplicaNão se aplicaIntermediário",Mercado_Receita!$L$2:$L$1099)</f>
        <v>0</v>
      </c>
      <c r="M47" s="13">
        <f>SUMIF(Mercado_Receita!$S$2:$S$1099,"44501B3BrancaNão se aplicaNão se aplicaNão se aplicaNão se aplicaIntermediário",Mercado_Receita!$L$2:$L$1099)</f>
        <v>0</v>
      </c>
      <c r="N47" s="13">
        <f>SUMIF(Mercado_Receita!$S$2:$S$1099,"44531B3BrancaNão se aplicaNão se aplicaNão se aplicaNão se aplicaIntermediário",Mercado_Receita!$L$2:$L$1099)</f>
        <v>0</v>
      </c>
      <c r="O47" s="13">
        <f>SUMIF(Mercado_Receita!$S$2:$S$1099,"44562B3BrancaNão se aplicaNão se aplicaNão se aplicaNão se aplicaIntermediário",Mercado_Receita!$L$2:$L$1099)</f>
        <v>0</v>
      </c>
      <c r="P47" s="13">
        <f>SUMIF(Mercado_Receita!$S$2:$S$1099,"44593B3BrancaNão se aplicaNão se aplicaNão se aplicaNão se aplicaIntermediário",Mercado_Receita!$L$2:$L$1099)</f>
        <v>0</v>
      </c>
      <c r="Q47" s="13">
        <f>SUMIF(Mercado_Receita!$S$2:$S$1099,"44621B3BrancaNão se aplicaNão se aplicaNão se aplicaNão se aplicaIntermediário",Mercado_Receita!$L$2:$L$1099)</f>
        <v>0</v>
      </c>
      <c r="R47" s="13">
        <f>SUMIF(Mercado_Receita!$S$2:$S$1099,"44652B3BrancaNão se aplicaNão se aplicaNão se aplicaNão se aplicaIntermediário",Mercado_Receita!$L$2:$L$1099)</f>
        <v>0</v>
      </c>
      <c r="S47" s="13">
        <f>SUMIF(Mercado_Receita!$S$2:$S$1099,"44682B3BrancaNão se aplicaNão se aplicaNão se aplicaNão se aplicaIntermediário",Mercado_Receita!$L$2:$L$1099)</f>
        <v>0</v>
      </c>
      <c r="T47" s="13">
        <f>SUMIF(Mercado_Receita!$S$2:$S$1099,"44713B3BrancaNão se aplicaNão se aplicaNão se aplicaNão se aplicaIntermediário",Mercado_Receita!$L$2:$L$1099)</f>
        <v>0</v>
      </c>
      <c r="U47" s="13">
        <f t="shared" si="1"/>
        <v>0</v>
      </c>
      <c r="V47" s="13"/>
      <c r="W47" s="13"/>
    </row>
    <row r="48" spans="1:23" ht="11.25" customHeight="1" x14ac:dyDescent="0.25">
      <c r="A48" s="95"/>
      <c r="B48" s="95"/>
      <c r="C48" s="95"/>
      <c r="D48" s="95"/>
      <c r="E48" s="95"/>
      <c r="F48" s="95"/>
      <c r="G48" s="13" t="s">
        <v>84</v>
      </c>
      <c r="H48" s="13" t="s">
        <v>82</v>
      </c>
      <c r="I48" s="13">
        <f>SUMIF(Mercado_Receita!$S$2:$S$1099,"44378B3BrancaNão se aplicaNão se aplicaNão se aplicaNão se aplicaFora ponta",Mercado_Receita!$L$2:$L$1099)</f>
        <v>0</v>
      </c>
      <c r="J48" s="13">
        <f>SUMIF(Mercado_Receita!$S$2:$S$1099,"44409B3BrancaNão se aplicaNão se aplicaNão se aplicaNão se aplicaFora ponta",Mercado_Receita!$L$2:$L$1099)</f>
        <v>0</v>
      </c>
      <c r="K48" s="13">
        <f>SUMIF(Mercado_Receita!$S$2:$S$1099,"44440B3BrancaNão se aplicaNão se aplicaNão se aplicaNão se aplicaFora ponta",Mercado_Receita!$L$2:$L$1099)</f>
        <v>0</v>
      </c>
      <c r="L48" s="13">
        <f>SUMIF(Mercado_Receita!$S$2:$S$1099,"44470B3BrancaNão se aplicaNão se aplicaNão se aplicaNão se aplicaFora ponta",Mercado_Receita!$L$2:$L$1099)</f>
        <v>0</v>
      </c>
      <c r="M48" s="13">
        <f>SUMIF(Mercado_Receita!$S$2:$S$1099,"44501B3BrancaNão se aplicaNão se aplicaNão se aplicaNão se aplicaFora ponta",Mercado_Receita!$L$2:$L$1099)</f>
        <v>0</v>
      </c>
      <c r="N48" s="13">
        <f>SUMIF(Mercado_Receita!$S$2:$S$1099,"44531B3BrancaNão se aplicaNão se aplicaNão se aplicaNão se aplicaFora ponta",Mercado_Receita!$L$2:$L$1099)</f>
        <v>0</v>
      </c>
      <c r="O48" s="13">
        <f>SUMIF(Mercado_Receita!$S$2:$S$1099,"44562B3BrancaNão se aplicaNão se aplicaNão se aplicaNão se aplicaFora ponta",Mercado_Receita!$L$2:$L$1099)</f>
        <v>0</v>
      </c>
      <c r="P48" s="13">
        <f>SUMIF(Mercado_Receita!$S$2:$S$1099,"44593B3BrancaNão se aplicaNão se aplicaNão se aplicaNão se aplicaFora ponta",Mercado_Receita!$L$2:$L$1099)</f>
        <v>0</v>
      </c>
      <c r="Q48" s="13">
        <f>SUMIF(Mercado_Receita!$S$2:$S$1099,"44621B3BrancaNão se aplicaNão se aplicaNão se aplicaNão se aplicaFora ponta",Mercado_Receita!$L$2:$L$1099)</f>
        <v>0</v>
      </c>
      <c r="R48" s="13">
        <f>SUMIF(Mercado_Receita!$S$2:$S$1099,"44652B3BrancaNão se aplicaNão se aplicaNão se aplicaNão se aplicaFora ponta",Mercado_Receita!$L$2:$L$1099)</f>
        <v>0</v>
      </c>
      <c r="S48" s="13">
        <f>SUMIF(Mercado_Receita!$S$2:$S$1099,"44682B3BrancaNão se aplicaNão se aplicaNão se aplicaNão se aplicaFora ponta",Mercado_Receita!$L$2:$L$1099)</f>
        <v>0</v>
      </c>
      <c r="T48" s="13">
        <f>SUMIF(Mercado_Receita!$S$2:$S$1099,"44713B3BrancaNão se aplicaNão se aplicaNão se aplicaNão se aplicaFora ponta",Mercado_Receita!$L$2:$L$1099)</f>
        <v>0</v>
      </c>
      <c r="U48" s="13">
        <f t="shared" si="1"/>
        <v>0</v>
      </c>
      <c r="V48" s="13"/>
      <c r="W48" s="13"/>
    </row>
    <row r="49" spans="1:23" ht="11.25" customHeight="1" x14ac:dyDescent="0.25">
      <c r="A49" s="95"/>
      <c r="B49" s="12" t="s">
        <v>23</v>
      </c>
      <c r="C49" s="12" t="s">
        <v>25</v>
      </c>
      <c r="D49" s="12" t="s">
        <v>25</v>
      </c>
      <c r="E49" s="12" t="s">
        <v>25</v>
      </c>
      <c r="F49" s="12" t="s">
        <v>25</v>
      </c>
      <c r="G49" s="13" t="s">
        <v>88</v>
      </c>
      <c r="H49" s="13" t="s">
        <v>82</v>
      </c>
      <c r="I49" s="13">
        <f>SUMIF(Mercado_Receita!$S$2:$S$1099,"44378B3ConvencionalNão se aplicaNão se aplicaNão se aplicaNão se aplicaPonta",Mercado_Receita!$L$2:$L$1099)+SUMIF(Mercado_Receita!$S$2:$S$1099,"44378B3ConvencionalNão se aplicaNão se aplicaNão se aplicaNão se aplicaFora ponta",Mercado_Receita!$L$2:$L$1099)+SUMIF(Mercado_Receita!$S$2:$S$1099,"44378B3ConvencionalNão se aplicaNão se aplicaNão se aplicaNão se aplicaIntermediário",Mercado_Receita!$L$2:$L$1099)+SUMIF(Mercado_Receita!$S$2:$S$1099,"44378B3ConvencionalNão se aplicaNão se aplicaNão se aplicaNão se aplicaNão se aplica",Mercado_Receita!$L$2:$L$1099)</f>
        <v>2181.5669999999996</v>
      </c>
      <c r="J49" s="13">
        <f>SUMIF(Mercado_Receita!$S$2:$S$1099,"44409B3ConvencionalNão se aplicaNão se aplicaNão se aplicaNão se aplicaPonta",Mercado_Receita!$L$2:$L$1099)+SUMIF(Mercado_Receita!$S$2:$S$1099,"44409B3ConvencionalNão se aplicaNão se aplicaNão se aplicaNão se aplicaFora ponta",Mercado_Receita!$L$2:$L$1099)+SUMIF(Mercado_Receita!$S$2:$S$1099,"44409B3ConvencionalNão se aplicaNão se aplicaNão se aplicaNão se aplicaIntermediário",Mercado_Receita!$L$2:$L$1099)+SUMIF(Mercado_Receita!$S$2:$S$1099,"44409B3ConvencionalNão se aplicaNão se aplicaNão se aplicaNão se aplicaNão se aplica",Mercado_Receita!$L$2:$L$1099)</f>
        <v>2300.9709999999995</v>
      </c>
      <c r="K49" s="13">
        <f>SUMIF(Mercado_Receita!$S$2:$S$1099,"44440B3ConvencionalNão se aplicaNão se aplicaNão se aplicaNão se aplicaPonta",Mercado_Receita!$L$2:$L$1099)+SUMIF(Mercado_Receita!$S$2:$S$1099,"44440B3ConvencionalNão se aplicaNão se aplicaNão se aplicaNão se aplicaFora ponta",Mercado_Receita!$L$2:$L$1099)+SUMIF(Mercado_Receita!$S$2:$S$1099,"44440B3ConvencionalNão se aplicaNão se aplicaNão se aplicaNão se aplicaIntermediário",Mercado_Receita!$L$2:$L$1099)+SUMIF(Mercado_Receita!$S$2:$S$1099,"44440B3ConvencionalNão se aplicaNão se aplicaNão se aplicaNão se aplicaNão se aplica",Mercado_Receita!$L$2:$L$1099)</f>
        <v>2340.413</v>
      </c>
      <c r="L49" s="13">
        <f>SUMIF(Mercado_Receita!$S$2:$S$1099,"44470B3ConvencionalNão se aplicaNão se aplicaNão se aplicaNão se aplicaPonta",Mercado_Receita!$L$2:$L$1099)+SUMIF(Mercado_Receita!$S$2:$S$1099,"44470B3ConvencionalNão se aplicaNão se aplicaNão se aplicaNão se aplicaFora ponta",Mercado_Receita!$L$2:$L$1099)+SUMIF(Mercado_Receita!$S$2:$S$1099,"44470B3ConvencionalNão se aplicaNão se aplicaNão se aplicaNão se aplicaIntermediário",Mercado_Receita!$L$2:$L$1099)+SUMIF(Mercado_Receita!$S$2:$S$1099,"44470B3ConvencionalNão se aplicaNão se aplicaNão se aplicaNão se aplicaNão se aplica",Mercado_Receita!$L$2:$L$1099)</f>
        <v>2219.7320000000004</v>
      </c>
      <c r="M49" s="13">
        <f>SUMIF(Mercado_Receita!$S$2:$S$1099,"44501B3ConvencionalNão se aplicaNão se aplicaNão se aplicaNão se aplicaPonta",Mercado_Receita!$L$2:$L$1099)+SUMIF(Mercado_Receita!$S$2:$S$1099,"44501B3ConvencionalNão se aplicaNão se aplicaNão se aplicaNão se aplicaFora ponta",Mercado_Receita!$L$2:$L$1099)+SUMIF(Mercado_Receita!$S$2:$S$1099,"44501B3ConvencionalNão se aplicaNão se aplicaNão se aplicaNão se aplicaIntermediário",Mercado_Receita!$L$2:$L$1099)+SUMIF(Mercado_Receita!$S$2:$S$1099,"44501B3ConvencionalNão se aplicaNão se aplicaNão se aplicaNão se aplicaNão se aplica",Mercado_Receita!$L$2:$L$1099)</f>
        <v>2291.7069999999999</v>
      </c>
      <c r="N49" s="13">
        <f>SUMIF(Mercado_Receita!$S$2:$S$1099,"44531B3ConvencionalNão se aplicaNão se aplicaNão se aplicaNão se aplicaPonta",Mercado_Receita!$L$2:$L$1099)+SUMIF(Mercado_Receita!$S$2:$S$1099,"44531B3ConvencionalNão se aplicaNão se aplicaNão se aplicaNão se aplicaFora ponta",Mercado_Receita!$L$2:$L$1099)+SUMIF(Mercado_Receita!$S$2:$S$1099,"44531B3ConvencionalNão se aplicaNão se aplicaNão se aplicaNão se aplicaIntermediário",Mercado_Receita!$L$2:$L$1099)+SUMIF(Mercado_Receita!$S$2:$S$1099,"44531B3ConvencionalNão se aplicaNão se aplicaNão se aplicaNão se aplicaNão se aplica",Mercado_Receita!$L$2:$L$1099)</f>
        <v>2215.6719999999996</v>
      </c>
      <c r="O49" s="13">
        <f>SUMIF(Mercado_Receita!$S$2:$S$1099,"44562B3ConvencionalNão se aplicaNão se aplicaNão se aplicaNão se aplicaPonta",Mercado_Receita!$L$2:$L$1099)+SUMIF(Mercado_Receita!$S$2:$S$1099,"44562B3ConvencionalNão se aplicaNão se aplicaNão se aplicaNão se aplicaFora ponta",Mercado_Receita!$L$2:$L$1099)+SUMIF(Mercado_Receita!$S$2:$S$1099,"44562B3ConvencionalNão se aplicaNão se aplicaNão se aplicaNão se aplicaIntermediário",Mercado_Receita!$L$2:$L$1099)+SUMIF(Mercado_Receita!$S$2:$S$1099,"44562B3ConvencionalNão se aplicaNão se aplicaNão se aplicaNão se aplicaNão se aplica",Mercado_Receita!$L$2:$L$1099)</f>
        <v>2771.7950000000001</v>
      </c>
      <c r="P49" s="13">
        <f>SUMIF(Mercado_Receita!$S$2:$S$1099,"44593B3ConvencionalNão se aplicaNão se aplicaNão se aplicaNão se aplicaPonta",Mercado_Receita!$L$2:$L$1099)+SUMIF(Mercado_Receita!$S$2:$S$1099,"44593B3ConvencionalNão se aplicaNão se aplicaNão se aplicaNão se aplicaFora ponta",Mercado_Receita!$L$2:$L$1099)+SUMIF(Mercado_Receita!$S$2:$S$1099,"44593B3ConvencionalNão se aplicaNão se aplicaNão se aplicaNão se aplicaIntermediário",Mercado_Receita!$L$2:$L$1099)+SUMIF(Mercado_Receita!$S$2:$S$1099,"44593B3ConvencionalNão se aplicaNão se aplicaNão se aplicaNão se aplicaNão se aplica",Mercado_Receita!$L$2:$L$1099)</f>
        <v>2578.6610000000001</v>
      </c>
      <c r="Q49" s="13">
        <f>SUMIF(Mercado_Receita!$S$2:$S$1099,"44621B3ConvencionalNão se aplicaNão se aplicaNão se aplicaNão se aplicaPonta",Mercado_Receita!$L$2:$L$1099)+SUMIF(Mercado_Receita!$S$2:$S$1099,"44621B3ConvencionalNão se aplicaNão se aplicaNão se aplicaNão se aplicaFora ponta",Mercado_Receita!$L$2:$L$1099)+SUMIF(Mercado_Receita!$S$2:$S$1099,"44621B3ConvencionalNão se aplicaNão se aplicaNão se aplicaNão se aplicaIntermediário",Mercado_Receita!$L$2:$L$1099)+SUMIF(Mercado_Receita!$S$2:$S$1099,"44621B3ConvencionalNão se aplicaNão se aplicaNão se aplicaNão se aplicaNão se aplica",Mercado_Receita!$L$2:$L$1099)</f>
        <v>2544.3620000000001</v>
      </c>
      <c r="R49" s="13">
        <f>SUMIF(Mercado_Receita!$S$2:$S$1099,"44652B3ConvencionalNão se aplicaNão se aplicaNão se aplicaNão se aplicaPonta",Mercado_Receita!$L$2:$L$1099)+SUMIF(Mercado_Receita!$S$2:$S$1099,"44652B3ConvencionalNão se aplicaNão se aplicaNão se aplicaNão se aplicaFora ponta",Mercado_Receita!$L$2:$L$1099)+SUMIF(Mercado_Receita!$S$2:$S$1099,"44652B3ConvencionalNão se aplicaNão se aplicaNão se aplicaNão se aplicaIntermediário",Mercado_Receita!$L$2:$L$1099)+SUMIF(Mercado_Receita!$S$2:$S$1099,"44652B3ConvencionalNão se aplicaNão se aplicaNão se aplicaNão se aplicaNão se aplica",Mercado_Receita!$L$2:$L$1099)</f>
        <v>2579.6460000000002</v>
      </c>
      <c r="S49" s="13">
        <f>SUMIF(Mercado_Receita!$S$2:$S$1099,"44682B3ConvencionalNão se aplicaNão se aplicaNão se aplicaNão se aplicaPonta",Mercado_Receita!$L$2:$L$1099)+SUMIF(Mercado_Receita!$S$2:$S$1099,"44682B3ConvencionalNão se aplicaNão se aplicaNão se aplicaNão se aplicaFora ponta",Mercado_Receita!$L$2:$L$1099)+SUMIF(Mercado_Receita!$S$2:$S$1099,"44682B3ConvencionalNão se aplicaNão se aplicaNão se aplicaNão se aplicaIntermediário",Mercado_Receita!$L$2:$L$1099)+SUMIF(Mercado_Receita!$S$2:$S$1099,"44682B3ConvencionalNão se aplicaNão se aplicaNão se aplicaNão se aplicaNão se aplica",Mercado_Receita!$L$2:$L$1099)</f>
        <v>2361.8910000000001</v>
      </c>
      <c r="T49" s="13">
        <f>SUMIF(Mercado_Receita!$S$2:$S$1099,"44713B3ConvencionalNão se aplicaNão se aplicaNão se aplicaNão se aplicaPonta",Mercado_Receita!$L$2:$L$1099)+SUMIF(Mercado_Receita!$S$2:$S$1099,"44713B3ConvencionalNão se aplicaNão se aplicaNão se aplicaNão se aplicaFora ponta",Mercado_Receita!$L$2:$L$1099)+SUMIF(Mercado_Receita!$S$2:$S$1099,"44713B3ConvencionalNão se aplicaNão se aplicaNão se aplicaNão se aplicaIntermediário",Mercado_Receita!$L$2:$L$1099)+SUMIF(Mercado_Receita!$S$2:$S$1099,"44713B3ConvencionalNão se aplicaNão se aplicaNão se aplicaNão se aplicaNão se aplica",Mercado_Receita!$L$2:$L$1099)</f>
        <v>2260.1749999999997</v>
      </c>
      <c r="U49" s="13">
        <f t="shared" si="1"/>
        <v>28646.591999999997</v>
      </c>
      <c r="V49" s="13"/>
      <c r="W49" s="13"/>
    </row>
    <row r="50" spans="1:23" ht="11.25" customHeight="1" x14ac:dyDescent="0.25">
      <c r="A50" s="95"/>
      <c r="B50" s="12" t="s">
        <v>97</v>
      </c>
      <c r="C50" s="12" t="s">
        <v>25</v>
      </c>
      <c r="D50" s="12" t="s">
        <v>25</v>
      </c>
      <c r="E50" s="12" t="s">
        <v>25</v>
      </c>
      <c r="F50" s="12" t="s">
        <v>25</v>
      </c>
      <c r="G50" s="13" t="s">
        <v>88</v>
      </c>
      <c r="H50" s="13" t="s">
        <v>82</v>
      </c>
      <c r="I50" s="13">
        <f>SUMIF(Mercado_Receita!$S$2:$S$1099,"44378B3Convencional pré-pagamentoNão se aplicaNão se aplicaNão se aplicaNão se aplicaPonta",Mercado_Receita!$L$2:$L$1099)+SUMIF(Mercado_Receita!$S$2:$S$1099,"44378B3Convencional pré-pagamentoNão se aplicaNão se aplicaNão se aplicaNão se aplicaFora ponta",Mercado_Receita!$L$2:$L$1099)+SUMIF(Mercado_Receita!$S$2:$S$1099,"44378B3Convencional pré-pagamentoNão se aplicaNão se aplicaNão se aplicaNão se aplicaIntermediário",Mercado_Receita!$L$2:$L$1099)+SUMIF(Mercado_Receita!$S$2:$S$1099,"44378B3Convencional pré-pagamentoNão se aplicaNão se aplicaNão se aplicaNão se aplicaNão se aplica",Mercado_Receita!$L$2:$L$1099)</f>
        <v>0</v>
      </c>
      <c r="J50" s="13">
        <f>SUMIF(Mercado_Receita!$S$2:$S$1099,"44409B3Convencional pré-pagamentoNão se aplicaNão se aplicaNão se aplicaNão se aplicaPonta",Mercado_Receita!$L$2:$L$1099)+SUMIF(Mercado_Receita!$S$2:$S$1099,"44409B3Convencional pré-pagamentoNão se aplicaNão se aplicaNão se aplicaNão se aplicaFora ponta",Mercado_Receita!$L$2:$L$1099)+SUMIF(Mercado_Receita!$S$2:$S$1099,"44409B3Convencional pré-pagamentoNão se aplicaNão se aplicaNão se aplicaNão se aplicaIntermediário",Mercado_Receita!$L$2:$L$1099)+SUMIF(Mercado_Receita!$S$2:$S$1099,"44409B3Convencional pré-pagamentoNão se aplicaNão se aplicaNão se aplicaNão se aplicaNão se aplica",Mercado_Receita!$L$2:$L$1099)</f>
        <v>0</v>
      </c>
      <c r="K50" s="13">
        <f>SUMIF(Mercado_Receita!$S$2:$S$1099,"44440B3Convencional pré-pagamentoNão se aplicaNão se aplicaNão se aplicaNão se aplicaPonta",Mercado_Receita!$L$2:$L$1099)+SUMIF(Mercado_Receita!$S$2:$S$1099,"44440B3Convencional pré-pagamentoNão se aplicaNão se aplicaNão se aplicaNão se aplicaFora ponta",Mercado_Receita!$L$2:$L$1099)+SUMIF(Mercado_Receita!$S$2:$S$1099,"44440B3Convencional pré-pagamentoNão se aplicaNão se aplicaNão se aplicaNão se aplicaIntermediário",Mercado_Receita!$L$2:$L$1099)+SUMIF(Mercado_Receita!$S$2:$S$1099,"44440B3Convencional pré-pagamentoNão se aplicaNão se aplicaNão se aplicaNão se aplicaNão se aplica",Mercado_Receita!$L$2:$L$1099)</f>
        <v>0</v>
      </c>
      <c r="L50" s="13">
        <f>SUMIF(Mercado_Receita!$S$2:$S$1099,"44470B3Convencional pré-pagamentoNão se aplicaNão se aplicaNão se aplicaNão se aplicaPonta",Mercado_Receita!$L$2:$L$1099)+SUMIF(Mercado_Receita!$S$2:$S$1099,"44470B3Convencional pré-pagamentoNão se aplicaNão se aplicaNão se aplicaNão se aplicaFora ponta",Mercado_Receita!$L$2:$L$1099)+SUMIF(Mercado_Receita!$S$2:$S$1099,"44470B3Convencional pré-pagamentoNão se aplicaNão se aplicaNão se aplicaNão se aplicaIntermediário",Mercado_Receita!$L$2:$L$1099)+SUMIF(Mercado_Receita!$S$2:$S$1099,"44470B3Convencional pré-pagamentoNão se aplicaNão se aplicaNão se aplicaNão se aplicaNão se aplica",Mercado_Receita!$L$2:$L$1099)</f>
        <v>0</v>
      </c>
      <c r="M50" s="13">
        <f>SUMIF(Mercado_Receita!$S$2:$S$1099,"44501B3Convencional pré-pagamentoNão se aplicaNão se aplicaNão se aplicaNão se aplicaPonta",Mercado_Receita!$L$2:$L$1099)+SUMIF(Mercado_Receita!$S$2:$S$1099,"44501B3Convencional pré-pagamentoNão se aplicaNão se aplicaNão se aplicaNão se aplicaFora ponta",Mercado_Receita!$L$2:$L$1099)+SUMIF(Mercado_Receita!$S$2:$S$1099,"44501B3Convencional pré-pagamentoNão se aplicaNão se aplicaNão se aplicaNão se aplicaIntermediário",Mercado_Receita!$L$2:$L$1099)+SUMIF(Mercado_Receita!$S$2:$S$1099,"44501B3Convencional pré-pagamentoNão se aplicaNão se aplicaNão se aplicaNão se aplicaNão se aplica",Mercado_Receita!$L$2:$L$1099)</f>
        <v>0</v>
      </c>
      <c r="N50" s="13">
        <f>SUMIF(Mercado_Receita!$S$2:$S$1099,"44531B3Convencional pré-pagamentoNão se aplicaNão se aplicaNão se aplicaNão se aplicaPonta",Mercado_Receita!$L$2:$L$1099)+SUMIF(Mercado_Receita!$S$2:$S$1099,"44531B3Convencional pré-pagamentoNão se aplicaNão se aplicaNão se aplicaNão se aplicaFora ponta",Mercado_Receita!$L$2:$L$1099)+SUMIF(Mercado_Receita!$S$2:$S$1099,"44531B3Convencional pré-pagamentoNão se aplicaNão se aplicaNão se aplicaNão se aplicaIntermediário",Mercado_Receita!$L$2:$L$1099)+SUMIF(Mercado_Receita!$S$2:$S$1099,"44531B3Convencional pré-pagamentoNão se aplicaNão se aplicaNão se aplicaNão se aplicaNão se aplica",Mercado_Receita!$L$2:$L$1099)</f>
        <v>0</v>
      </c>
      <c r="O50" s="13">
        <f>SUMIF(Mercado_Receita!$S$2:$S$1099,"44562B3Convencional pré-pagamentoNão se aplicaNão se aplicaNão se aplicaNão se aplicaPonta",Mercado_Receita!$L$2:$L$1099)+SUMIF(Mercado_Receita!$S$2:$S$1099,"44562B3Convencional pré-pagamentoNão se aplicaNão se aplicaNão se aplicaNão se aplicaFora ponta",Mercado_Receita!$L$2:$L$1099)+SUMIF(Mercado_Receita!$S$2:$S$1099,"44562B3Convencional pré-pagamentoNão se aplicaNão se aplicaNão se aplicaNão se aplicaIntermediário",Mercado_Receita!$L$2:$L$1099)+SUMIF(Mercado_Receita!$S$2:$S$1099,"44562B3Convencional pré-pagamentoNão se aplicaNão se aplicaNão se aplicaNão se aplicaNão se aplica",Mercado_Receita!$L$2:$L$1099)</f>
        <v>0</v>
      </c>
      <c r="P50" s="13">
        <f>SUMIF(Mercado_Receita!$S$2:$S$1099,"44593B3Convencional pré-pagamentoNão se aplicaNão se aplicaNão se aplicaNão se aplicaPonta",Mercado_Receita!$L$2:$L$1099)+SUMIF(Mercado_Receita!$S$2:$S$1099,"44593B3Convencional pré-pagamentoNão se aplicaNão se aplicaNão se aplicaNão se aplicaFora ponta",Mercado_Receita!$L$2:$L$1099)+SUMIF(Mercado_Receita!$S$2:$S$1099,"44593B3Convencional pré-pagamentoNão se aplicaNão se aplicaNão se aplicaNão se aplicaIntermediário",Mercado_Receita!$L$2:$L$1099)+SUMIF(Mercado_Receita!$S$2:$S$1099,"44593B3Convencional pré-pagamentoNão se aplicaNão se aplicaNão se aplicaNão se aplicaNão se aplica",Mercado_Receita!$L$2:$L$1099)</f>
        <v>0</v>
      </c>
      <c r="Q50" s="13">
        <f>SUMIF(Mercado_Receita!$S$2:$S$1099,"44621B3Convencional pré-pagamentoNão se aplicaNão se aplicaNão se aplicaNão se aplicaPonta",Mercado_Receita!$L$2:$L$1099)+SUMIF(Mercado_Receita!$S$2:$S$1099,"44621B3Convencional pré-pagamentoNão se aplicaNão se aplicaNão se aplicaNão se aplicaFora ponta",Mercado_Receita!$L$2:$L$1099)+SUMIF(Mercado_Receita!$S$2:$S$1099,"44621B3Convencional pré-pagamentoNão se aplicaNão se aplicaNão se aplicaNão se aplicaIntermediário",Mercado_Receita!$L$2:$L$1099)+SUMIF(Mercado_Receita!$S$2:$S$1099,"44621B3Convencional pré-pagamentoNão se aplicaNão se aplicaNão se aplicaNão se aplicaNão se aplica",Mercado_Receita!$L$2:$L$1099)</f>
        <v>0</v>
      </c>
      <c r="R50" s="13">
        <f>SUMIF(Mercado_Receita!$S$2:$S$1099,"44652B3Convencional pré-pagamentoNão se aplicaNão se aplicaNão se aplicaNão se aplicaPonta",Mercado_Receita!$L$2:$L$1099)+SUMIF(Mercado_Receita!$S$2:$S$1099,"44652B3Convencional pré-pagamentoNão se aplicaNão se aplicaNão se aplicaNão se aplicaFora ponta",Mercado_Receita!$L$2:$L$1099)+SUMIF(Mercado_Receita!$S$2:$S$1099,"44652B3Convencional pré-pagamentoNão se aplicaNão se aplicaNão se aplicaNão se aplicaIntermediário",Mercado_Receita!$L$2:$L$1099)+SUMIF(Mercado_Receita!$S$2:$S$1099,"44652B3Convencional pré-pagamentoNão se aplicaNão se aplicaNão se aplicaNão se aplicaNão se aplica",Mercado_Receita!$L$2:$L$1099)</f>
        <v>0</v>
      </c>
      <c r="S50" s="13">
        <f>SUMIF(Mercado_Receita!$S$2:$S$1099,"44682B3Convencional pré-pagamentoNão se aplicaNão se aplicaNão se aplicaNão se aplicaPonta",Mercado_Receita!$L$2:$L$1099)+SUMIF(Mercado_Receita!$S$2:$S$1099,"44682B3Convencional pré-pagamentoNão se aplicaNão se aplicaNão se aplicaNão se aplicaFora ponta",Mercado_Receita!$L$2:$L$1099)+SUMIF(Mercado_Receita!$S$2:$S$1099,"44682B3Convencional pré-pagamentoNão se aplicaNão se aplicaNão se aplicaNão se aplicaIntermediário",Mercado_Receita!$L$2:$L$1099)+SUMIF(Mercado_Receita!$S$2:$S$1099,"44682B3Convencional pré-pagamentoNão se aplicaNão se aplicaNão se aplicaNão se aplicaNão se aplica",Mercado_Receita!$L$2:$L$1099)</f>
        <v>0</v>
      </c>
      <c r="T50" s="13">
        <f>SUMIF(Mercado_Receita!$S$2:$S$1099,"44713B3Convencional pré-pagamentoNão se aplicaNão se aplicaNão se aplicaNão se aplicaPonta",Mercado_Receita!$L$2:$L$1099)+SUMIF(Mercado_Receita!$S$2:$S$1099,"44713B3Convencional pré-pagamentoNão se aplicaNão se aplicaNão se aplicaNão se aplicaFora ponta",Mercado_Receita!$L$2:$L$1099)+SUMIF(Mercado_Receita!$S$2:$S$1099,"44713B3Convencional pré-pagamentoNão se aplicaNão se aplicaNão se aplicaNão se aplicaIntermediário",Mercado_Receita!$L$2:$L$1099)+SUMIF(Mercado_Receita!$S$2:$S$1099,"44713B3Convencional pré-pagamentoNão se aplicaNão se aplicaNão se aplicaNão se aplicaNão se aplica",Mercado_Receita!$L$2:$L$1099)</f>
        <v>0</v>
      </c>
      <c r="U50" s="13">
        <f t="shared" si="1"/>
        <v>0</v>
      </c>
      <c r="V50" s="13"/>
      <c r="W50" s="13"/>
    </row>
    <row r="51" spans="1:23" ht="11.25" customHeight="1" x14ac:dyDescent="0.25">
      <c r="A51" s="94" t="s">
        <v>44</v>
      </c>
      <c r="B51" s="94" t="s">
        <v>23</v>
      </c>
      <c r="C51" s="94" t="s">
        <v>45</v>
      </c>
      <c r="D51" s="12" t="s">
        <v>46</v>
      </c>
      <c r="E51" s="12" t="s">
        <v>25</v>
      </c>
      <c r="F51" s="12" t="s">
        <v>25</v>
      </c>
      <c r="G51" s="13" t="s">
        <v>88</v>
      </c>
      <c r="H51" s="13" t="s">
        <v>82</v>
      </c>
      <c r="I51" s="13">
        <f>SUMIF(Mercado_Receita!$S$2:$S$1099,"44378B4ConvencionalIluminação públicaIluminação pública – B4aNão se aplicaNão se aplicaPonta",Mercado_Receita!$L$2:$L$1099)+SUMIF(Mercado_Receita!$S$2:$S$1099,"44378B4ConvencionalIluminação públicaIluminação pública – B4aNão se aplicaNão se aplicaFora ponta",Mercado_Receita!$L$2:$L$1099)+SUMIF(Mercado_Receita!$S$2:$S$1099,"44378B4ConvencionalIluminação públicaIluminação pública – B4aNão se aplicaNão se aplicaIntermediário",Mercado_Receita!$L$2:$L$1099)+SUMIF(Mercado_Receita!$S$2:$S$1099,"44378B4ConvencionalIluminação públicaIluminação pública – B4aNão se aplicaNão se aplicaNão se aplica",Mercado_Receita!$L$2:$L$1099)</f>
        <v>608.56500000000005</v>
      </c>
      <c r="J51" s="13">
        <f>SUMIF(Mercado_Receita!$S$2:$S$1099,"44409B4ConvencionalIluminação públicaIluminação pública – B4aNão se aplicaNão se aplicaPonta",Mercado_Receita!$L$2:$L$1099)+SUMIF(Mercado_Receita!$S$2:$S$1099,"44409B4ConvencionalIluminação públicaIluminação pública – B4aNão se aplicaNão se aplicaFora ponta",Mercado_Receita!$L$2:$L$1099)+SUMIF(Mercado_Receita!$S$2:$S$1099,"44409B4ConvencionalIluminação públicaIluminação pública – B4aNão se aplicaNão se aplicaIntermediário",Mercado_Receita!$L$2:$L$1099)+SUMIF(Mercado_Receita!$S$2:$S$1099,"44409B4ConvencionalIluminação públicaIluminação pública – B4aNão se aplicaNão se aplicaNão se aplica",Mercado_Receita!$L$2:$L$1099)</f>
        <v>204.94200000000001</v>
      </c>
      <c r="K51" s="13">
        <f>SUMIF(Mercado_Receita!$S$2:$S$1099,"44440B4ConvencionalIluminação públicaIluminação pública – B4aNão se aplicaNão se aplicaPonta",Mercado_Receita!$L$2:$L$1099)+SUMIF(Mercado_Receita!$S$2:$S$1099,"44440B4ConvencionalIluminação públicaIluminação pública – B4aNão se aplicaNão se aplicaFora ponta",Mercado_Receita!$L$2:$L$1099)+SUMIF(Mercado_Receita!$S$2:$S$1099,"44440B4ConvencionalIluminação públicaIluminação pública – B4aNão se aplicaNão se aplicaIntermediário",Mercado_Receita!$L$2:$L$1099)+SUMIF(Mercado_Receita!$S$2:$S$1099,"44440B4ConvencionalIluminação públicaIluminação pública – B4aNão se aplicaNão se aplicaNão se aplica",Mercado_Receita!$L$2:$L$1099)</f>
        <v>618.27200000000005</v>
      </c>
      <c r="L51" s="13">
        <f>SUMIF(Mercado_Receita!$S$2:$S$1099,"44470B4ConvencionalIluminação públicaIluminação pública – B4aNão se aplicaNão se aplicaPonta",Mercado_Receita!$L$2:$L$1099)+SUMIF(Mercado_Receita!$S$2:$S$1099,"44470B4ConvencionalIluminação públicaIluminação pública – B4aNão se aplicaNão se aplicaFora ponta",Mercado_Receita!$L$2:$L$1099)+SUMIF(Mercado_Receita!$S$2:$S$1099,"44470B4ConvencionalIluminação públicaIluminação pública – B4aNão se aplicaNão se aplicaIntermediário",Mercado_Receita!$L$2:$L$1099)+SUMIF(Mercado_Receita!$S$2:$S$1099,"44470B4ConvencionalIluminação públicaIluminação pública – B4aNão se aplicaNão se aplicaNão se aplica",Mercado_Receita!$L$2:$L$1099)</f>
        <v>600.58299999999997</v>
      </c>
      <c r="M51" s="13">
        <f>SUMIF(Mercado_Receita!$S$2:$S$1099,"44501B4ConvencionalIluminação públicaIluminação pública – B4aNão se aplicaNão se aplicaPonta",Mercado_Receita!$L$2:$L$1099)+SUMIF(Mercado_Receita!$S$2:$S$1099,"44501B4ConvencionalIluminação públicaIluminação pública – B4aNão se aplicaNão se aplicaFora ponta",Mercado_Receita!$L$2:$L$1099)+SUMIF(Mercado_Receita!$S$2:$S$1099,"44501B4ConvencionalIluminação públicaIluminação pública – B4aNão se aplicaNão se aplicaIntermediário",Mercado_Receita!$L$2:$L$1099)+SUMIF(Mercado_Receita!$S$2:$S$1099,"44501B4ConvencionalIluminação públicaIluminação pública – B4aNão se aplicaNão se aplicaNão se aplica",Mercado_Receita!$L$2:$L$1099)</f>
        <v>617.61400000000003</v>
      </c>
      <c r="N51" s="13">
        <f>SUMIF(Mercado_Receita!$S$2:$S$1099,"44531B4ConvencionalIluminação públicaIluminação pública – B4aNão se aplicaNão se aplicaPonta",Mercado_Receita!$L$2:$L$1099)+SUMIF(Mercado_Receita!$S$2:$S$1099,"44531B4ConvencionalIluminação públicaIluminação pública – B4aNão se aplicaNão se aplicaFora ponta",Mercado_Receita!$L$2:$L$1099)+SUMIF(Mercado_Receita!$S$2:$S$1099,"44531B4ConvencionalIluminação públicaIluminação pública – B4aNão se aplicaNão se aplicaIntermediário",Mercado_Receita!$L$2:$L$1099)+SUMIF(Mercado_Receita!$S$2:$S$1099,"44531B4ConvencionalIluminação públicaIluminação pública – B4aNão se aplicaNão se aplicaNão se aplica",Mercado_Receita!$L$2:$L$1099)</f>
        <v>563.05100000000004</v>
      </c>
      <c r="O51" s="13">
        <f>SUMIF(Mercado_Receita!$S$2:$S$1099,"44562B4ConvencionalIluminação públicaIluminação pública – B4aNão se aplicaNão se aplicaPonta",Mercado_Receita!$L$2:$L$1099)+SUMIF(Mercado_Receita!$S$2:$S$1099,"44562B4ConvencionalIluminação públicaIluminação pública – B4aNão se aplicaNão se aplicaFora ponta",Mercado_Receita!$L$2:$L$1099)+SUMIF(Mercado_Receita!$S$2:$S$1099,"44562B4ConvencionalIluminação públicaIluminação pública – B4aNão se aplicaNão se aplicaIntermediário",Mercado_Receita!$L$2:$L$1099)+SUMIF(Mercado_Receita!$S$2:$S$1099,"44562B4ConvencionalIluminação públicaIluminação pública – B4aNão se aplicaNão se aplicaNão se aplica",Mercado_Receita!$L$2:$L$1099)</f>
        <v>585.65700000000004</v>
      </c>
      <c r="P51" s="13">
        <f>SUMIF(Mercado_Receita!$S$2:$S$1099,"44593B4ConvencionalIluminação públicaIluminação pública – B4aNão se aplicaNão se aplicaPonta",Mercado_Receita!$L$2:$L$1099)+SUMIF(Mercado_Receita!$S$2:$S$1099,"44593B4ConvencionalIluminação públicaIluminação pública – B4aNão se aplicaNão se aplicaFora ponta",Mercado_Receita!$L$2:$L$1099)+SUMIF(Mercado_Receita!$S$2:$S$1099,"44593B4ConvencionalIluminação públicaIluminação pública – B4aNão se aplicaNão se aplicaIntermediário",Mercado_Receita!$L$2:$L$1099)+SUMIF(Mercado_Receita!$S$2:$S$1099,"44593B4ConvencionalIluminação públicaIluminação pública – B4aNão se aplicaNão se aplicaNão se aplica",Mercado_Receita!$L$2:$L$1099)</f>
        <v>578.75900000000001</v>
      </c>
      <c r="Q51" s="13">
        <f>SUMIF(Mercado_Receita!$S$2:$S$1099,"44621B4ConvencionalIluminação públicaIluminação pública – B4aNão se aplicaNão se aplicaPonta",Mercado_Receita!$L$2:$L$1099)+SUMIF(Mercado_Receita!$S$2:$S$1099,"44621B4ConvencionalIluminação públicaIluminação pública – B4aNão se aplicaNão se aplicaFora ponta",Mercado_Receita!$L$2:$L$1099)+SUMIF(Mercado_Receita!$S$2:$S$1099,"44621B4ConvencionalIluminação públicaIluminação pública – B4aNão se aplicaNão se aplicaIntermediário",Mercado_Receita!$L$2:$L$1099)+SUMIF(Mercado_Receita!$S$2:$S$1099,"44621B4ConvencionalIluminação públicaIluminação pública – B4aNão se aplicaNão se aplicaNão se aplica",Mercado_Receita!$L$2:$L$1099)</f>
        <v>527.00099999999998</v>
      </c>
      <c r="R51" s="13">
        <f>SUMIF(Mercado_Receita!$S$2:$S$1099,"44652B4ConvencionalIluminação públicaIluminação pública – B4aNão se aplicaNão se aplicaPonta",Mercado_Receita!$L$2:$L$1099)+SUMIF(Mercado_Receita!$S$2:$S$1099,"44652B4ConvencionalIluminação públicaIluminação pública – B4aNão se aplicaNão se aplicaFora ponta",Mercado_Receita!$L$2:$L$1099)+SUMIF(Mercado_Receita!$S$2:$S$1099,"44652B4ConvencionalIluminação públicaIluminação pública – B4aNão se aplicaNão se aplicaIntermediário",Mercado_Receita!$L$2:$L$1099)+SUMIF(Mercado_Receita!$S$2:$S$1099,"44652B4ConvencionalIluminação públicaIluminação pública – B4aNão se aplicaNão se aplicaNão se aplica",Mercado_Receita!$L$2:$L$1099)</f>
        <v>588.03899999999999</v>
      </c>
      <c r="S51" s="13">
        <f>SUMIF(Mercado_Receita!$S$2:$S$1099,"44682B4ConvencionalIluminação públicaIluminação pública – B4aNão se aplicaNão se aplicaPonta",Mercado_Receita!$L$2:$L$1099)+SUMIF(Mercado_Receita!$S$2:$S$1099,"44682B4ConvencionalIluminação públicaIluminação pública – B4aNão se aplicaNão se aplicaFora ponta",Mercado_Receita!$L$2:$L$1099)+SUMIF(Mercado_Receita!$S$2:$S$1099,"44682B4ConvencionalIluminação públicaIluminação pública – B4aNão se aplicaNão se aplicaIntermediário",Mercado_Receita!$L$2:$L$1099)+SUMIF(Mercado_Receita!$S$2:$S$1099,"44682B4ConvencionalIluminação públicaIluminação pública – B4aNão se aplicaNão se aplicaNão se aplica",Mercado_Receita!$L$2:$L$1099)</f>
        <v>561.97900000000004</v>
      </c>
      <c r="T51" s="13">
        <f>SUMIF(Mercado_Receita!$S$2:$S$1099,"44713B4ConvencionalIluminação públicaIluminação pública – B4aNão se aplicaNão se aplicaPonta",Mercado_Receita!$L$2:$L$1099)+SUMIF(Mercado_Receita!$S$2:$S$1099,"44713B4ConvencionalIluminação públicaIluminação pública – B4aNão se aplicaNão se aplicaFora ponta",Mercado_Receita!$L$2:$L$1099)+SUMIF(Mercado_Receita!$S$2:$S$1099,"44713B4ConvencionalIluminação públicaIluminação pública – B4aNão se aplicaNão se aplicaIntermediário",Mercado_Receita!$L$2:$L$1099)+SUMIF(Mercado_Receita!$S$2:$S$1099,"44713B4ConvencionalIluminação públicaIluminação pública – B4aNão se aplicaNão se aplicaNão se aplica",Mercado_Receita!$L$2:$L$1099)</f>
        <v>581.52800000000002</v>
      </c>
      <c r="U51" s="13">
        <f t="shared" si="1"/>
        <v>6635.9900000000007</v>
      </c>
      <c r="V51" s="13"/>
      <c r="W51" s="13"/>
    </row>
    <row r="52" spans="1:23" ht="11.25" customHeight="1" x14ac:dyDescent="0.25">
      <c r="A52" s="95"/>
      <c r="B52" s="95"/>
      <c r="C52" s="95"/>
      <c r="D52" s="13" t="s">
        <v>100</v>
      </c>
      <c r="E52" s="13" t="s">
        <v>25</v>
      </c>
      <c r="F52" s="13" t="s">
        <v>25</v>
      </c>
      <c r="G52" s="13" t="s">
        <v>88</v>
      </c>
      <c r="H52" s="13" t="s">
        <v>82</v>
      </c>
      <c r="I52" s="13">
        <f>SUMIF(Mercado_Receita!$S$2:$S$1099,"44378B4ConvencionalIluminação públicaIluminação pública – B4bNão se aplicaNão se aplicaPonta",Mercado_Receita!$L$2:$L$1099)+SUMIF(Mercado_Receita!$S$2:$S$1099,"44378B4ConvencionalIluminação públicaIluminação pública – B4bNão se aplicaNão se aplicaFora ponta",Mercado_Receita!$L$2:$L$1099)+SUMIF(Mercado_Receita!$S$2:$S$1099,"44378B4ConvencionalIluminação públicaIluminação pública – B4bNão se aplicaNão se aplicaIntermediário",Mercado_Receita!$L$2:$L$1099)+SUMIF(Mercado_Receita!$S$2:$S$1099,"44378B4ConvencionalIluminação públicaIluminação pública – B4bNão se aplicaNão se aplicaNão se aplica",Mercado_Receita!$L$2:$L$1099)</f>
        <v>0</v>
      </c>
      <c r="J52" s="13">
        <f>SUMIF(Mercado_Receita!$S$2:$S$1099,"44409B4ConvencionalIluminação públicaIluminação pública – B4bNão se aplicaNão se aplicaPonta",Mercado_Receita!$L$2:$L$1099)+SUMIF(Mercado_Receita!$S$2:$S$1099,"44409B4ConvencionalIluminação públicaIluminação pública – B4bNão se aplicaNão se aplicaFora ponta",Mercado_Receita!$L$2:$L$1099)+SUMIF(Mercado_Receita!$S$2:$S$1099,"44409B4ConvencionalIluminação públicaIluminação pública – B4bNão se aplicaNão se aplicaIntermediário",Mercado_Receita!$L$2:$L$1099)+SUMIF(Mercado_Receita!$S$2:$S$1099,"44409B4ConvencionalIluminação públicaIluminação pública – B4bNão se aplicaNão se aplicaNão se aplica",Mercado_Receita!$L$2:$L$1099)</f>
        <v>0</v>
      </c>
      <c r="K52" s="13">
        <f>SUMIF(Mercado_Receita!$S$2:$S$1099,"44440B4ConvencionalIluminação públicaIluminação pública – B4bNão se aplicaNão se aplicaPonta",Mercado_Receita!$L$2:$L$1099)+SUMIF(Mercado_Receita!$S$2:$S$1099,"44440B4ConvencionalIluminação públicaIluminação pública – B4bNão se aplicaNão se aplicaFora ponta",Mercado_Receita!$L$2:$L$1099)+SUMIF(Mercado_Receita!$S$2:$S$1099,"44440B4ConvencionalIluminação públicaIluminação pública – B4bNão se aplicaNão se aplicaIntermediário",Mercado_Receita!$L$2:$L$1099)+SUMIF(Mercado_Receita!$S$2:$S$1099,"44440B4ConvencionalIluminação públicaIluminação pública – B4bNão se aplicaNão se aplicaNão se aplica",Mercado_Receita!$L$2:$L$1099)</f>
        <v>0</v>
      </c>
      <c r="L52" s="13">
        <f>SUMIF(Mercado_Receita!$S$2:$S$1099,"44470B4ConvencionalIluminação públicaIluminação pública – B4bNão se aplicaNão se aplicaPonta",Mercado_Receita!$L$2:$L$1099)+SUMIF(Mercado_Receita!$S$2:$S$1099,"44470B4ConvencionalIluminação públicaIluminação pública – B4bNão se aplicaNão se aplicaFora ponta",Mercado_Receita!$L$2:$L$1099)+SUMIF(Mercado_Receita!$S$2:$S$1099,"44470B4ConvencionalIluminação públicaIluminação pública – B4bNão se aplicaNão se aplicaIntermediário",Mercado_Receita!$L$2:$L$1099)+SUMIF(Mercado_Receita!$S$2:$S$1099,"44470B4ConvencionalIluminação públicaIluminação pública – B4bNão se aplicaNão se aplicaNão se aplica",Mercado_Receita!$L$2:$L$1099)</f>
        <v>0</v>
      </c>
      <c r="M52" s="13">
        <f>SUMIF(Mercado_Receita!$S$2:$S$1099,"44501B4ConvencionalIluminação públicaIluminação pública – B4bNão se aplicaNão se aplicaPonta",Mercado_Receita!$L$2:$L$1099)+SUMIF(Mercado_Receita!$S$2:$S$1099,"44501B4ConvencionalIluminação públicaIluminação pública – B4bNão se aplicaNão se aplicaFora ponta",Mercado_Receita!$L$2:$L$1099)+SUMIF(Mercado_Receita!$S$2:$S$1099,"44501B4ConvencionalIluminação públicaIluminação pública – B4bNão se aplicaNão se aplicaIntermediário",Mercado_Receita!$L$2:$L$1099)+SUMIF(Mercado_Receita!$S$2:$S$1099,"44501B4ConvencionalIluminação públicaIluminação pública – B4bNão se aplicaNão se aplicaNão se aplica",Mercado_Receita!$L$2:$L$1099)</f>
        <v>0</v>
      </c>
      <c r="N52" s="13">
        <f>SUMIF(Mercado_Receita!$S$2:$S$1099,"44531B4ConvencionalIluminação públicaIluminação pública – B4bNão se aplicaNão se aplicaPonta",Mercado_Receita!$L$2:$L$1099)+SUMIF(Mercado_Receita!$S$2:$S$1099,"44531B4ConvencionalIluminação públicaIluminação pública – B4bNão se aplicaNão se aplicaFora ponta",Mercado_Receita!$L$2:$L$1099)+SUMIF(Mercado_Receita!$S$2:$S$1099,"44531B4ConvencionalIluminação públicaIluminação pública – B4bNão se aplicaNão se aplicaIntermediário",Mercado_Receita!$L$2:$L$1099)+SUMIF(Mercado_Receita!$S$2:$S$1099,"44531B4ConvencionalIluminação públicaIluminação pública – B4bNão se aplicaNão se aplicaNão se aplica",Mercado_Receita!$L$2:$L$1099)</f>
        <v>0</v>
      </c>
      <c r="O52" s="13">
        <f>SUMIF(Mercado_Receita!$S$2:$S$1099,"44562B4ConvencionalIluminação públicaIluminação pública – B4bNão se aplicaNão se aplicaPonta",Mercado_Receita!$L$2:$L$1099)+SUMIF(Mercado_Receita!$S$2:$S$1099,"44562B4ConvencionalIluminação públicaIluminação pública – B4bNão se aplicaNão se aplicaFora ponta",Mercado_Receita!$L$2:$L$1099)+SUMIF(Mercado_Receita!$S$2:$S$1099,"44562B4ConvencionalIluminação públicaIluminação pública – B4bNão se aplicaNão se aplicaIntermediário",Mercado_Receita!$L$2:$L$1099)+SUMIF(Mercado_Receita!$S$2:$S$1099,"44562B4ConvencionalIluminação públicaIluminação pública – B4bNão se aplicaNão se aplicaNão se aplica",Mercado_Receita!$L$2:$L$1099)</f>
        <v>0</v>
      </c>
      <c r="P52" s="13">
        <f>SUMIF(Mercado_Receita!$S$2:$S$1099,"44593B4ConvencionalIluminação públicaIluminação pública – B4bNão se aplicaNão se aplicaPonta",Mercado_Receita!$L$2:$L$1099)+SUMIF(Mercado_Receita!$S$2:$S$1099,"44593B4ConvencionalIluminação públicaIluminação pública – B4bNão se aplicaNão se aplicaFora ponta",Mercado_Receita!$L$2:$L$1099)+SUMIF(Mercado_Receita!$S$2:$S$1099,"44593B4ConvencionalIluminação públicaIluminação pública – B4bNão se aplicaNão se aplicaIntermediário",Mercado_Receita!$L$2:$L$1099)+SUMIF(Mercado_Receita!$S$2:$S$1099,"44593B4ConvencionalIluminação públicaIluminação pública – B4bNão se aplicaNão se aplicaNão se aplica",Mercado_Receita!$L$2:$L$1099)</f>
        <v>0</v>
      </c>
      <c r="Q52" s="13">
        <f>SUMIF(Mercado_Receita!$S$2:$S$1099,"44621B4ConvencionalIluminação públicaIluminação pública – B4bNão se aplicaNão se aplicaPonta",Mercado_Receita!$L$2:$L$1099)+SUMIF(Mercado_Receita!$S$2:$S$1099,"44621B4ConvencionalIluminação públicaIluminação pública – B4bNão se aplicaNão se aplicaFora ponta",Mercado_Receita!$L$2:$L$1099)+SUMIF(Mercado_Receita!$S$2:$S$1099,"44621B4ConvencionalIluminação públicaIluminação pública – B4bNão se aplicaNão se aplicaIntermediário",Mercado_Receita!$L$2:$L$1099)+SUMIF(Mercado_Receita!$S$2:$S$1099,"44621B4ConvencionalIluminação públicaIluminação pública – B4bNão se aplicaNão se aplicaNão se aplica",Mercado_Receita!$L$2:$L$1099)</f>
        <v>0</v>
      </c>
      <c r="R52" s="13">
        <f>SUMIF(Mercado_Receita!$S$2:$S$1099,"44652B4ConvencionalIluminação públicaIluminação pública – B4bNão se aplicaNão se aplicaPonta",Mercado_Receita!$L$2:$L$1099)+SUMIF(Mercado_Receita!$S$2:$S$1099,"44652B4ConvencionalIluminação públicaIluminação pública – B4bNão se aplicaNão se aplicaFora ponta",Mercado_Receita!$L$2:$L$1099)+SUMIF(Mercado_Receita!$S$2:$S$1099,"44652B4ConvencionalIluminação públicaIluminação pública – B4bNão se aplicaNão se aplicaIntermediário",Mercado_Receita!$L$2:$L$1099)+SUMIF(Mercado_Receita!$S$2:$S$1099,"44652B4ConvencionalIluminação públicaIluminação pública – B4bNão se aplicaNão se aplicaNão se aplica",Mercado_Receita!$L$2:$L$1099)</f>
        <v>0</v>
      </c>
      <c r="S52" s="13">
        <f>SUMIF(Mercado_Receita!$S$2:$S$1099,"44682B4ConvencionalIluminação públicaIluminação pública – B4bNão se aplicaNão se aplicaPonta",Mercado_Receita!$L$2:$L$1099)+SUMIF(Mercado_Receita!$S$2:$S$1099,"44682B4ConvencionalIluminação públicaIluminação pública – B4bNão se aplicaNão se aplicaFora ponta",Mercado_Receita!$L$2:$L$1099)+SUMIF(Mercado_Receita!$S$2:$S$1099,"44682B4ConvencionalIluminação públicaIluminação pública – B4bNão se aplicaNão se aplicaIntermediário",Mercado_Receita!$L$2:$L$1099)+SUMIF(Mercado_Receita!$S$2:$S$1099,"44682B4ConvencionalIluminação públicaIluminação pública – B4bNão se aplicaNão se aplicaNão se aplica",Mercado_Receita!$L$2:$L$1099)</f>
        <v>0</v>
      </c>
      <c r="T52" s="13">
        <f>SUMIF(Mercado_Receita!$S$2:$S$1099,"44713B4ConvencionalIluminação públicaIluminação pública – B4bNão se aplicaNão se aplicaPonta",Mercado_Receita!$L$2:$L$1099)+SUMIF(Mercado_Receita!$S$2:$S$1099,"44713B4ConvencionalIluminação públicaIluminação pública – B4bNão se aplicaNão se aplicaFora ponta",Mercado_Receita!$L$2:$L$1099)+SUMIF(Mercado_Receita!$S$2:$S$1099,"44713B4ConvencionalIluminação públicaIluminação pública – B4bNão se aplicaNão se aplicaIntermediário",Mercado_Receita!$L$2:$L$1099)+SUMIF(Mercado_Receita!$S$2:$S$1099,"44713B4ConvencionalIluminação públicaIluminação pública – B4bNão se aplicaNão se aplicaNão se aplica",Mercado_Receita!$L$2:$L$1099)</f>
        <v>0</v>
      </c>
      <c r="U52" s="13">
        <f t="shared" si="1"/>
        <v>0</v>
      </c>
      <c r="V52" s="13"/>
      <c r="W52" s="13"/>
    </row>
    <row r="53" spans="1:23" ht="11.25" customHeight="1" x14ac:dyDescent="0.25">
      <c r="A53" s="96" t="s">
        <v>443</v>
      </c>
      <c r="B53" s="97"/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13"/>
      <c r="W53" s="13"/>
    </row>
  </sheetData>
  <mergeCells count="61">
    <mergeCell ref="A51:A52"/>
    <mergeCell ref="B51:B52"/>
    <mergeCell ref="C51:C52"/>
    <mergeCell ref="A53:U53"/>
    <mergeCell ref="C43:C45"/>
    <mergeCell ref="B43:B45"/>
    <mergeCell ref="A31:A45"/>
    <mergeCell ref="F46:F48"/>
    <mergeCell ref="E46:E48"/>
    <mergeCell ref="D46:D48"/>
    <mergeCell ref="C46:C48"/>
    <mergeCell ref="B46:B48"/>
    <mergeCell ref="A46:A50"/>
    <mergeCell ref="F35:F37"/>
    <mergeCell ref="E35:E37"/>
    <mergeCell ref="D35:D37"/>
    <mergeCell ref="C35:C37"/>
    <mergeCell ref="B35:B37"/>
    <mergeCell ref="F39:F41"/>
    <mergeCell ref="E39:E41"/>
    <mergeCell ref="D39:D41"/>
    <mergeCell ref="C39:C41"/>
    <mergeCell ref="B39:B41"/>
    <mergeCell ref="C21:C25"/>
    <mergeCell ref="B21:B25"/>
    <mergeCell ref="C26:C30"/>
    <mergeCell ref="B26:B30"/>
    <mergeCell ref="A18:A30"/>
    <mergeCell ref="F31:F33"/>
    <mergeCell ref="E31:E33"/>
    <mergeCell ref="D31:D33"/>
    <mergeCell ref="C31:C33"/>
    <mergeCell ref="B31:B33"/>
    <mergeCell ref="D16:D17"/>
    <mergeCell ref="C16:C17"/>
    <mergeCell ref="B16:B17"/>
    <mergeCell ref="A16:A17"/>
    <mergeCell ref="F18:F20"/>
    <mergeCell ref="E18:E20"/>
    <mergeCell ref="D18:D20"/>
    <mergeCell ref="C18:C20"/>
    <mergeCell ref="B18:B20"/>
    <mergeCell ref="A6:A15"/>
    <mergeCell ref="F6:F8"/>
    <mergeCell ref="E6:E8"/>
    <mergeCell ref="D6:D9"/>
    <mergeCell ref="C6:C9"/>
    <mergeCell ref="B6:B9"/>
    <mergeCell ref="F11:F13"/>
    <mergeCell ref="E11:E13"/>
    <mergeCell ref="F14:F15"/>
    <mergeCell ref="E14:E15"/>
    <mergeCell ref="D11:D15"/>
    <mergeCell ref="C11:C15"/>
    <mergeCell ref="B11:B15"/>
    <mergeCell ref="A2:A5"/>
    <mergeCell ref="F2:F4"/>
    <mergeCell ref="E2:E4"/>
    <mergeCell ref="D2:D5"/>
    <mergeCell ref="C2:C5"/>
    <mergeCell ref="B2:B5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0A3CE-6920-4B97-A6DD-C22FB4F2BA70}">
  <dimension ref="A1:AD42"/>
  <sheetViews>
    <sheetView showGridLines="0" workbookViewId="0"/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72</v>
      </c>
      <c r="B1" s="10" t="s">
        <v>73</v>
      </c>
      <c r="C1" s="10" t="s">
        <v>74</v>
      </c>
      <c r="D1" s="10" t="s">
        <v>75</v>
      </c>
      <c r="E1" s="10" t="s">
        <v>76</v>
      </c>
      <c r="F1" s="10" t="s">
        <v>77</v>
      </c>
      <c r="G1" s="10" t="s">
        <v>78</v>
      </c>
      <c r="H1" s="10" t="s">
        <v>79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80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94" t="s">
        <v>53</v>
      </c>
      <c r="B2" s="94" t="s">
        <v>81</v>
      </c>
      <c r="C2" s="94" t="s">
        <v>25</v>
      </c>
      <c r="D2" s="94" t="s">
        <v>25</v>
      </c>
      <c r="E2" s="94" t="s">
        <v>25</v>
      </c>
      <c r="F2" s="94" t="s">
        <v>25</v>
      </c>
      <c r="G2" s="13" t="s">
        <v>83</v>
      </c>
      <c r="H2" s="13" t="s">
        <v>82</v>
      </c>
      <c r="I2" s="13">
        <f>SUMIF(Mercado_Receita!$T$2:$T$1099,"44378A3Energia horáriaNão se aplicaNão se aplicaNão se aplicaNão se aplicaPonta",Mercado_Receita!$N$2:$N$1099)</f>
        <v>0</v>
      </c>
      <c r="J2" s="13">
        <f>SUMIF(Mercado_Receita!$T$2:$T$1099,"44409A3Energia horáriaNão se aplicaNão se aplicaNão se aplicaNão se aplicaPonta",Mercado_Receita!$N$2:$N$1099)</f>
        <v>0</v>
      </c>
      <c r="K2" s="13">
        <f>SUMIF(Mercado_Receita!$T$2:$T$1099,"44440A3Energia horáriaNão se aplicaNão se aplicaNão se aplicaNão se aplicaPonta",Mercado_Receita!$N$2:$N$1099)</f>
        <v>0</v>
      </c>
      <c r="L2" s="13">
        <f>SUMIF(Mercado_Receita!$T$2:$T$1099,"44470A3Energia horáriaNão se aplicaNão se aplicaNão se aplicaNão se aplicaPonta",Mercado_Receita!$N$2:$N$1099)</f>
        <v>0</v>
      </c>
      <c r="M2" s="13">
        <f>SUMIF(Mercado_Receita!$T$2:$T$1099,"44501A3Energia horáriaNão se aplicaNão se aplicaNão se aplicaNão se aplicaPonta",Mercado_Receita!$N$2:$N$1099)</f>
        <v>0</v>
      </c>
      <c r="N2" s="13">
        <f>SUMIF(Mercado_Receita!$T$2:$T$1099,"44531A3Energia horáriaNão se aplicaNão se aplicaNão se aplicaNão se aplicaPonta",Mercado_Receita!$N$2:$N$1099)</f>
        <v>0</v>
      </c>
      <c r="O2" s="13">
        <f>SUMIF(Mercado_Receita!$T$2:$T$1099,"44562A3Energia horáriaNão se aplicaNão se aplicaNão se aplicaNão se aplicaPonta",Mercado_Receita!$N$2:$N$1099)</f>
        <v>0</v>
      </c>
      <c r="P2" s="13">
        <f>SUMIF(Mercado_Receita!$T$2:$T$1099,"44593A3Energia horáriaNão se aplicaNão se aplicaNão se aplicaNão se aplicaPonta",Mercado_Receita!$N$2:$N$1099)</f>
        <v>0</v>
      </c>
      <c r="Q2" s="13">
        <f>SUMIF(Mercado_Receita!$T$2:$T$1099,"44621A3Energia horáriaNão se aplicaNão se aplicaNão se aplicaNão se aplicaPonta",Mercado_Receita!$N$2:$N$1099)</f>
        <v>0</v>
      </c>
      <c r="R2" s="13">
        <f>SUMIF(Mercado_Receita!$T$2:$T$1099,"44652A3Energia horáriaNão se aplicaNão se aplicaNão se aplicaNão se aplicaPonta",Mercado_Receita!$N$2:$N$1099)</f>
        <v>0</v>
      </c>
      <c r="S2" s="13">
        <f>SUMIF(Mercado_Receita!$T$2:$T$1099,"44682A3Energia horáriaNão se aplicaNão se aplicaNão se aplicaNão se aplicaPonta",Mercado_Receita!$N$2:$N$1099)</f>
        <v>0</v>
      </c>
      <c r="T2" s="13">
        <f>SUMIF(Mercado_Receita!$T$2:$T$1099,"44713A3Energia horáriaNão se aplicaNão se aplicaNão se aplicaNão se aplicaPonta",Mercado_Receita!$N$2:$N$1099)</f>
        <v>0</v>
      </c>
      <c r="U2" s="13">
        <f t="shared" ref="U2:U41" si="0">SUM(I2:T2)</f>
        <v>0</v>
      </c>
      <c r="V2" s="13"/>
      <c r="W2" s="13"/>
    </row>
    <row r="3" spans="1:30" ht="11.25" customHeight="1" x14ac:dyDescent="0.25">
      <c r="A3" s="95"/>
      <c r="B3" s="95"/>
      <c r="C3" s="95"/>
      <c r="D3" s="95"/>
      <c r="E3" s="95"/>
      <c r="F3" s="95"/>
      <c r="G3" s="13" t="s">
        <v>84</v>
      </c>
      <c r="H3" s="13" t="s">
        <v>82</v>
      </c>
      <c r="I3" s="13">
        <f>SUMIF(Mercado_Receita!$T$2:$T$1099,"44378A3Energia horáriaNão se aplicaNão se aplicaNão se aplicaNão se aplicaFora ponta",Mercado_Receita!$N$2:$N$1099)</f>
        <v>0</v>
      </c>
      <c r="J3" s="13">
        <f>SUMIF(Mercado_Receita!$T$2:$T$1099,"44409A3Energia horáriaNão se aplicaNão se aplicaNão se aplicaNão se aplicaFora ponta",Mercado_Receita!$N$2:$N$1099)</f>
        <v>0</v>
      </c>
      <c r="K3" s="13">
        <f>SUMIF(Mercado_Receita!$T$2:$T$1099,"44440A3Energia horáriaNão se aplicaNão se aplicaNão se aplicaNão se aplicaFora ponta",Mercado_Receita!$N$2:$N$1099)</f>
        <v>0</v>
      </c>
      <c r="L3" s="13">
        <f>SUMIF(Mercado_Receita!$T$2:$T$1099,"44470A3Energia horáriaNão se aplicaNão se aplicaNão se aplicaNão se aplicaFora ponta",Mercado_Receita!$N$2:$N$1099)</f>
        <v>0</v>
      </c>
      <c r="M3" s="13">
        <f>SUMIF(Mercado_Receita!$T$2:$T$1099,"44501A3Energia horáriaNão se aplicaNão se aplicaNão se aplicaNão se aplicaFora ponta",Mercado_Receita!$N$2:$N$1099)</f>
        <v>0</v>
      </c>
      <c r="N3" s="13">
        <f>SUMIF(Mercado_Receita!$T$2:$T$1099,"44531A3Energia horáriaNão se aplicaNão se aplicaNão se aplicaNão se aplicaFora ponta",Mercado_Receita!$N$2:$N$1099)</f>
        <v>0</v>
      </c>
      <c r="O3" s="13">
        <f>SUMIF(Mercado_Receita!$T$2:$T$1099,"44562A3Energia horáriaNão se aplicaNão se aplicaNão se aplicaNão se aplicaFora ponta",Mercado_Receita!$N$2:$N$1099)</f>
        <v>0</v>
      </c>
      <c r="P3" s="13">
        <f>SUMIF(Mercado_Receita!$T$2:$T$1099,"44593A3Energia horáriaNão se aplicaNão se aplicaNão se aplicaNão se aplicaFora ponta",Mercado_Receita!$N$2:$N$1099)</f>
        <v>0</v>
      </c>
      <c r="Q3" s="13">
        <f>SUMIF(Mercado_Receita!$T$2:$T$1099,"44621A3Energia horáriaNão se aplicaNão se aplicaNão se aplicaNão se aplicaFora ponta",Mercado_Receita!$N$2:$N$1099)</f>
        <v>0</v>
      </c>
      <c r="R3" s="13">
        <f>SUMIF(Mercado_Receita!$T$2:$T$1099,"44652A3Energia horáriaNão se aplicaNão se aplicaNão se aplicaNão se aplicaFora ponta",Mercado_Receita!$N$2:$N$1099)</f>
        <v>0</v>
      </c>
      <c r="S3" s="13">
        <f>SUMIF(Mercado_Receita!$T$2:$T$1099,"44682A3Energia horáriaNão se aplicaNão se aplicaNão se aplicaNão se aplicaFora ponta",Mercado_Receita!$N$2:$N$1099)</f>
        <v>0</v>
      </c>
      <c r="T3" s="13">
        <f>SUMIF(Mercado_Receita!$T$2:$T$1099,"44713A3Energia horáriaNão se aplicaNão se aplicaNão se aplicaNão se aplicaFora ponta",Mercado_Receita!$N$2:$N$1099)</f>
        <v>0</v>
      </c>
      <c r="U3" s="13">
        <f t="shared" si="0"/>
        <v>0</v>
      </c>
      <c r="V3" s="13"/>
      <c r="W3" s="13"/>
    </row>
    <row r="4" spans="1:30" ht="11.25" customHeight="1" x14ac:dyDescent="0.25">
      <c r="A4" s="94" t="s">
        <v>35</v>
      </c>
      <c r="B4" s="94" t="s">
        <v>81</v>
      </c>
      <c r="C4" s="94" t="s">
        <v>25</v>
      </c>
      <c r="D4" s="94" t="s">
        <v>25</v>
      </c>
      <c r="E4" s="94" t="s">
        <v>25</v>
      </c>
      <c r="F4" s="94" t="s">
        <v>25</v>
      </c>
      <c r="G4" s="13" t="s">
        <v>83</v>
      </c>
      <c r="H4" s="13" t="s">
        <v>82</v>
      </c>
      <c r="I4" s="13">
        <f>SUMIF(Mercado_Receita!$T$2:$T$1099,"44378A4Energia horáriaNão se aplicaNão se aplicaNão se aplicaNão se aplicaPonta",Mercado_Receita!$N$2:$N$1099)</f>
        <v>808.70800000000008</v>
      </c>
      <c r="J4" s="13">
        <f>SUMIF(Mercado_Receita!$T$2:$T$1099,"44409A4Energia horáriaNão se aplicaNão se aplicaNão se aplicaNão se aplicaPonta",Mercado_Receita!$N$2:$N$1099)</f>
        <v>814.66300000000001</v>
      </c>
      <c r="K4" s="13">
        <f>SUMIF(Mercado_Receita!$T$2:$T$1099,"44440A4Energia horáriaNão se aplicaNão se aplicaNão se aplicaNão se aplicaPonta",Mercado_Receita!$N$2:$N$1099)</f>
        <v>776.53699999999992</v>
      </c>
      <c r="L4" s="13">
        <f>SUMIF(Mercado_Receita!$T$2:$T$1099,"44470A4Energia horáriaNão se aplicaNão se aplicaNão se aplicaNão se aplicaPonta",Mercado_Receita!$N$2:$N$1099)</f>
        <v>721.84299999999985</v>
      </c>
      <c r="M4" s="13">
        <f>SUMIF(Mercado_Receita!$T$2:$T$1099,"44501A4Energia horáriaNão se aplicaNão se aplicaNão se aplicaNão se aplicaPonta",Mercado_Receita!$N$2:$N$1099)</f>
        <v>747.53199999999993</v>
      </c>
      <c r="N4" s="13">
        <f>SUMIF(Mercado_Receita!$T$2:$T$1099,"44531A4Energia horáriaNão se aplicaNão se aplicaNão se aplicaNão se aplicaPonta",Mercado_Receita!$N$2:$N$1099)</f>
        <v>889.42000000000007</v>
      </c>
      <c r="O4" s="13">
        <f>SUMIF(Mercado_Receita!$T$2:$T$1099,"44562A4Energia horáriaNão se aplicaNão se aplicaNão se aplicaNão se aplicaPonta",Mercado_Receita!$N$2:$N$1099)</f>
        <v>831.36500000000012</v>
      </c>
      <c r="P4" s="13">
        <f>SUMIF(Mercado_Receita!$T$2:$T$1099,"44593A4Energia horáriaNão se aplicaNão se aplicaNão se aplicaNão se aplicaPonta",Mercado_Receita!$N$2:$N$1099)</f>
        <v>881.93600000000004</v>
      </c>
      <c r="Q4" s="13">
        <f>SUMIF(Mercado_Receita!$T$2:$T$1099,"44621A4Energia horáriaNão se aplicaNão se aplicaNão se aplicaNão se aplicaPonta",Mercado_Receita!$N$2:$N$1099)</f>
        <v>900.97900000000027</v>
      </c>
      <c r="R4" s="13">
        <f>SUMIF(Mercado_Receita!$T$2:$T$1099,"44652A4Energia horáriaNão se aplicaNão se aplicaNão se aplicaNão se aplicaPonta",Mercado_Receita!$N$2:$N$1099)</f>
        <v>1028.251</v>
      </c>
      <c r="S4" s="13">
        <f>SUMIF(Mercado_Receita!$T$2:$T$1099,"44682A4Energia horáriaNão se aplicaNão se aplicaNão se aplicaNão se aplicaPonta",Mercado_Receita!$N$2:$N$1099)</f>
        <v>842.95699999999988</v>
      </c>
      <c r="T4" s="13">
        <f>SUMIF(Mercado_Receita!$T$2:$T$1099,"44713A4Energia horáriaNão se aplicaNão se aplicaNão se aplicaNão se aplicaPonta",Mercado_Receita!$N$2:$N$1099)</f>
        <v>930.66199999999992</v>
      </c>
      <c r="U4" s="13">
        <f t="shared" si="0"/>
        <v>10174.852999999999</v>
      </c>
      <c r="V4" s="13"/>
      <c r="W4" s="13"/>
    </row>
    <row r="5" spans="1:30" ht="11.25" customHeight="1" x14ac:dyDescent="0.25">
      <c r="A5" s="95"/>
      <c r="B5" s="95"/>
      <c r="C5" s="95"/>
      <c r="D5" s="95"/>
      <c r="E5" s="95"/>
      <c r="F5" s="95"/>
      <c r="G5" s="13" t="s">
        <v>84</v>
      </c>
      <c r="H5" s="13" t="s">
        <v>82</v>
      </c>
      <c r="I5" s="13">
        <f>SUMIF(Mercado_Receita!$T$2:$T$1099,"44378A4Energia horáriaNão se aplicaNão se aplicaNão se aplicaNão se aplicaFora ponta",Mercado_Receita!$N$2:$N$1099)</f>
        <v>10972.578</v>
      </c>
      <c r="J5" s="13">
        <f>SUMIF(Mercado_Receita!$T$2:$T$1099,"44409A4Energia horáriaNão se aplicaNão se aplicaNão se aplicaNão se aplicaFora ponta",Mercado_Receita!$N$2:$N$1099)</f>
        <v>11384.546999999999</v>
      </c>
      <c r="K5" s="13">
        <f>SUMIF(Mercado_Receita!$T$2:$T$1099,"44440A4Energia horáriaNão se aplicaNão se aplicaNão se aplicaNão se aplicaFora ponta",Mercado_Receita!$N$2:$N$1099)</f>
        <v>12040.950999999999</v>
      </c>
      <c r="L5" s="13">
        <f>SUMIF(Mercado_Receita!$T$2:$T$1099,"44470A4Energia horáriaNão se aplicaNão se aplicaNão se aplicaNão se aplicaFora ponta",Mercado_Receita!$N$2:$N$1099)</f>
        <v>11034.964</v>
      </c>
      <c r="M5" s="13">
        <f>SUMIF(Mercado_Receita!$T$2:$T$1099,"44501A4Energia horáriaNão se aplicaNão se aplicaNão se aplicaNão se aplicaFora ponta",Mercado_Receita!$N$2:$N$1099)</f>
        <v>12274.027</v>
      </c>
      <c r="N5" s="13">
        <f>SUMIF(Mercado_Receita!$T$2:$T$1099,"44531A4Energia horáriaNão se aplicaNão se aplicaNão se aplicaNão se aplicaFora ponta",Mercado_Receita!$N$2:$N$1099)</f>
        <v>21585.632999999998</v>
      </c>
      <c r="O5" s="13">
        <f>SUMIF(Mercado_Receita!$T$2:$T$1099,"44562A4Energia horáriaNão se aplicaNão se aplicaNão se aplicaNão se aplicaFora ponta",Mercado_Receita!$N$2:$N$1099)</f>
        <v>23420.807000000001</v>
      </c>
      <c r="P5" s="13">
        <f>SUMIF(Mercado_Receita!$T$2:$T$1099,"44593A4Energia horáriaNão se aplicaNão se aplicaNão se aplicaNão se aplicaFora ponta",Mercado_Receita!$N$2:$N$1099)</f>
        <v>21393.003000000001</v>
      </c>
      <c r="Q5" s="13">
        <f>SUMIF(Mercado_Receita!$T$2:$T$1099,"44621A4Energia horáriaNão se aplicaNão se aplicaNão se aplicaNão se aplicaFora ponta",Mercado_Receita!$N$2:$N$1099)</f>
        <v>18220.174999999999</v>
      </c>
      <c r="R5" s="13">
        <f>SUMIF(Mercado_Receita!$T$2:$T$1099,"44652A4Energia horáriaNão se aplicaNão se aplicaNão se aplicaNão se aplicaFora ponta",Mercado_Receita!$N$2:$N$1099)</f>
        <v>13855.812999999996</v>
      </c>
      <c r="S5" s="13">
        <f>SUMIF(Mercado_Receita!$T$2:$T$1099,"44682A4Energia horáriaNão se aplicaNão se aplicaNão se aplicaNão se aplicaFora ponta",Mercado_Receita!$N$2:$N$1099)</f>
        <v>11298.616999999998</v>
      </c>
      <c r="T5" s="13">
        <f>SUMIF(Mercado_Receita!$T$2:$T$1099,"44713A4Energia horáriaNão se aplicaNão se aplicaNão se aplicaNão se aplicaFora ponta",Mercado_Receita!$N$2:$N$1099)</f>
        <v>11552.398000000003</v>
      </c>
      <c r="U5" s="13">
        <f t="shared" si="0"/>
        <v>179033.51300000001</v>
      </c>
      <c r="V5" s="13"/>
      <c r="W5" s="13"/>
    </row>
    <row r="6" spans="1:30" ht="11.25" customHeight="1" x14ac:dyDescent="0.25">
      <c r="A6" s="95"/>
      <c r="B6" s="12" t="s">
        <v>90</v>
      </c>
      <c r="C6" s="12" t="s">
        <v>25</v>
      </c>
      <c r="D6" s="12" t="s">
        <v>25</v>
      </c>
      <c r="E6" s="12" t="s">
        <v>25</v>
      </c>
      <c r="F6" s="12" t="s">
        <v>25</v>
      </c>
      <c r="G6" s="13" t="s">
        <v>88</v>
      </c>
      <c r="H6" s="13" t="s">
        <v>82</v>
      </c>
      <c r="I6" s="13">
        <f>SUMIF(Mercado_Receita!$T$2:$T$1099,"44378A4Energia convencionalNão se aplicaNão se aplicaNão se aplicaNão se aplicaNão se aplica",Mercado_Receita!$N$2:$N$1099)</f>
        <v>0</v>
      </c>
      <c r="J6" s="13">
        <f>SUMIF(Mercado_Receita!$T$2:$T$1099,"44409A4Energia convencionalNão se aplicaNão se aplicaNão se aplicaNão se aplicaNão se aplica",Mercado_Receita!$N$2:$N$1099)</f>
        <v>0</v>
      </c>
      <c r="K6" s="13">
        <f>SUMIF(Mercado_Receita!$T$2:$T$1099,"44440A4Energia convencionalNão se aplicaNão se aplicaNão se aplicaNão se aplicaNão se aplica",Mercado_Receita!$N$2:$N$1099)</f>
        <v>0</v>
      </c>
      <c r="L6" s="13">
        <f>SUMIF(Mercado_Receita!$T$2:$T$1099,"44470A4Energia convencionalNão se aplicaNão se aplicaNão se aplicaNão se aplicaNão se aplica",Mercado_Receita!$N$2:$N$1099)</f>
        <v>0</v>
      </c>
      <c r="M6" s="13">
        <f>SUMIF(Mercado_Receita!$T$2:$T$1099,"44501A4Energia convencionalNão se aplicaNão se aplicaNão se aplicaNão se aplicaNão se aplica",Mercado_Receita!$N$2:$N$1099)</f>
        <v>0</v>
      </c>
      <c r="N6" s="13">
        <f>SUMIF(Mercado_Receita!$T$2:$T$1099,"44531A4Energia convencionalNão se aplicaNão se aplicaNão se aplicaNão se aplicaNão se aplica",Mercado_Receita!$N$2:$N$1099)</f>
        <v>0</v>
      </c>
      <c r="O6" s="13">
        <f>SUMIF(Mercado_Receita!$T$2:$T$1099,"44562A4Energia convencionalNão se aplicaNão se aplicaNão se aplicaNão se aplicaNão se aplica",Mercado_Receita!$N$2:$N$1099)</f>
        <v>0</v>
      </c>
      <c r="P6" s="13">
        <f>SUMIF(Mercado_Receita!$T$2:$T$1099,"44593A4Energia convencionalNão se aplicaNão se aplicaNão se aplicaNão se aplicaNão se aplica",Mercado_Receita!$N$2:$N$1099)</f>
        <v>0</v>
      </c>
      <c r="Q6" s="13">
        <f>SUMIF(Mercado_Receita!$T$2:$T$1099,"44621A4Energia convencionalNão se aplicaNão se aplicaNão se aplicaNão se aplicaNão se aplica",Mercado_Receita!$N$2:$N$1099)</f>
        <v>0</v>
      </c>
      <c r="R6" s="13">
        <f>SUMIF(Mercado_Receita!$T$2:$T$1099,"44652A4Energia convencionalNão se aplicaNão se aplicaNão se aplicaNão se aplicaNão se aplica",Mercado_Receita!$N$2:$N$1099)</f>
        <v>0</v>
      </c>
      <c r="S6" s="13">
        <f>SUMIF(Mercado_Receita!$T$2:$T$1099,"44682A4Energia convencionalNão se aplicaNão se aplicaNão se aplicaNão se aplicaNão se aplica",Mercado_Receita!$N$2:$N$1099)</f>
        <v>0</v>
      </c>
      <c r="T6" s="13">
        <f>SUMIF(Mercado_Receita!$T$2:$T$1099,"44713A4Energia convencionalNão se aplicaNão se aplicaNão se aplicaNão se aplicaNão se aplica",Mercado_Receita!$N$2:$N$1099)</f>
        <v>0</v>
      </c>
      <c r="U6" s="13">
        <f t="shared" si="0"/>
        <v>0</v>
      </c>
      <c r="V6" s="13"/>
      <c r="W6" s="13"/>
    </row>
    <row r="7" spans="1:30" ht="11.25" customHeight="1" x14ac:dyDescent="0.25">
      <c r="A7" s="94" t="s">
        <v>22</v>
      </c>
      <c r="B7" s="94" t="s">
        <v>81</v>
      </c>
      <c r="C7" s="94" t="s">
        <v>24</v>
      </c>
      <c r="D7" s="94" t="s">
        <v>24</v>
      </c>
      <c r="E7" s="94" t="s">
        <v>25</v>
      </c>
      <c r="F7" s="94" t="s">
        <v>25</v>
      </c>
      <c r="G7" s="13" t="s">
        <v>83</v>
      </c>
      <c r="H7" s="13" t="s">
        <v>82</v>
      </c>
      <c r="I7" s="13">
        <f>SUMIF(Mercado_Receita!$T$2:$T$1099,"44378B1Energia horáriaResidencialResidencialNão se aplicaNão se aplicaPonta",Mercado_Receita!$N$2:$N$1099)</f>
        <v>0</v>
      </c>
      <c r="J7" s="13">
        <f>SUMIF(Mercado_Receita!$T$2:$T$1099,"44409B1Energia horáriaResidencialResidencialNão se aplicaNão se aplicaPonta",Mercado_Receita!$N$2:$N$1099)</f>
        <v>0</v>
      </c>
      <c r="K7" s="13">
        <f>SUMIF(Mercado_Receita!$T$2:$T$1099,"44440B1Energia horáriaResidencialResidencialNão se aplicaNão se aplicaPonta",Mercado_Receita!$N$2:$N$1099)</f>
        <v>0</v>
      </c>
      <c r="L7" s="13">
        <f>SUMIF(Mercado_Receita!$T$2:$T$1099,"44470B1Energia horáriaResidencialResidencialNão se aplicaNão se aplicaPonta",Mercado_Receita!$N$2:$N$1099)</f>
        <v>0</v>
      </c>
      <c r="M7" s="13">
        <f>SUMIF(Mercado_Receita!$T$2:$T$1099,"44501B1Energia horáriaResidencialResidencialNão se aplicaNão se aplicaPonta",Mercado_Receita!$N$2:$N$1099)</f>
        <v>0</v>
      </c>
      <c r="N7" s="13">
        <f>SUMIF(Mercado_Receita!$T$2:$T$1099,"44531B1Energia horáriaResidencialResidencialNão se aplicaNão se aplicaPonta",Mercado_Receita!$N$2:$N$1099)</f>
        <v>0</v>
      </c>
      <c r="O7" s="13">
        <f>SUMIF(Mercado_Receita!$T$2:$T$1099,"44562B1Energia horáriaResidencialResidencialNão se aplicaNão se aplicaPonta",Mercado_Receita!$N$2:$N$1099)</f>
        <v>0</v>
      </c>
      <c r="P7" s="13">
        <f>SUMIF(Mercado_Receita!$T$2:$T$1099,"44593B1Energia horáriaResidencialResidencialNão se aplicaNão se aplicaPonta",Mercado_Receita!$N$2:$N$1099)</f>
        <v>0</v>
      </c>
      <c r="Q7" s="13">
        <f>SUMIF(Mercado_Receita!$T$2:$T$1099,"44621B1Energia horáriaResidencialResidencialNão se aplicaNão se aplicaPonta",Mercado_Receita!$N$2:$N$1099)</f>
        <v>0</v>
      </c>
      <c r="R7" s="13">
        <f>SUMIF(Mercado_Receita!$T$2:$T$1099,"44652B1Energia horáriaResidencialResidencialNão se aplicaNão se aplicaPonta",Mercado_Receita!$N$2:$N$1099)</f>
        <v>0</v>
      </c>
      <c r="S7" s="13">
        <f>SUMIF(Mercado_Receita!$T$2:$T$1099,"44682B1Energia horáriaResidencialResidencialNão se aplicaNão se aplicaPonta",Mercado_Receita!$N$2:$N$1099)</f>
        <v>0</v>
      </c>
      <c r="T7" s="13">
        <f>SUMIF(Mercado_Receita!$T$2:$T$1099,"44713B1Energia horáriaResidencialResidencialNão se aplicaNão se aplicaPonta",Mercado_Receita!$N$2:$N$1099)</f>
        <v>0</v>
      </c>
      <c r="U7" s="13">
        <f t="shared" si="0"/>
        <v>0</v>
      </c>
      <c r="V7" s="13"/>
      <c r="W7" s="13"/>
    </row>
    <row r="8" spans="1:30" ht="11.25" customHeight="1" x14ac:dyDescent="0.25">
      <c r="A8" s="95"/>
      <c r="B8" s="95"/>
      <c r="C8" s="95"/>
      <c r="D8" s="95"/>
      <c r="E8" s="95"/>
      <c r="F8" s="95"/>
      <c r="G8" s="13" t="s">
        <v>94</v>
      </c>
      <c r="H8" s="13" t="s">
        <v>82</v>
      </c>
      <c r="I8" s="13">
        <f>SUMIF(Mercado_Receita!$T$2:$T$1099,"44378B1Energia horáriaResidencialResidencialNão se aplicaNão se aplicaIntermediário",Mercado_Receita!$N$2:$N$1099)</f>
        <v>0</v>
      </c>
      <c r="J8" s="13">
        <f>SUMIF(Mercado_Receita!$T$2:$T$1099,"44409B1Energia horáriaResidencialResidencialNão se aplicaNão se aplicaIntermediário",Mercado_Receita!$N$2:$N$1099)</f>
        <v>0</v>
      </c>
      <c r="K8" s="13">
        <f>SUMIF(Mercado_Receita!$T$2:$T$1099,"44440B1Energia horáriaResidencialResidencialNão se aplicaNão se aplicaIntermediário",Mercado_Receita!$N$2:$N$1099)</f>
        <v>0</v>
      </c>
      <c r="L8" s="13">
        <f>SUMIF(Mercado_Receita!$T$2:$T$1099,"44470B1Energia horáriaResidencialResidencialNão se aplicaNão se aplicaIntermediário",Mercado_Receita!$N$2:$N$1099)</f>
        <v>0</v>
      </c>
      <c r="M8" s="13">
        <f>SUMIF(Mercado_Receita!$T$2:$T$1099,"44501B1Energia horáriaResidencialResidencialNão se aplicaNão se aplicaIntermediário",Mercado_Receita!$N$2:$N$1099)</f>
        <v>0</v>
      </c>
      <c r="N8" s="13">
        <f>SUMIF(Mercado_Receita!$T$2:$T$1099,"44531B1Energia horáriaResidencialResidencialNão se aplicaNão se aplicaIntermediário",Mercado_Receita!$N$2:$N$1099)</f>
        <v>0</v>
      </c>
      <c r="O8" s="13">
        <f>SUMIF(Mercado_Receita!$T$2:$T$1099,"44562B1Energia horáriaResidencialResidencialNão se aplicaNão se aplicaIntermediário",Mercado_Receita!$N$2:$N$1099)</f>
        <v>0</v>
      </c>
      <c r="P8" s="13">
        <f>SUMIF(Mercado_Receita!$T$2:$T$1099,"44593B1Energia horáriaResidencialResidencialNão se aplicaNão se aplicaIntermediário",Mercado_Receita!$N$2:$N$1099)</f>
        <v>0</v>
      </c>
      <c r="Q8" s="13">
        <f>SUMIF(Mercado_Receita!$T$2:$T$1099,"44621B1Energia horáriaResidencialResidencialNão se aplicaNão se aplicaIntermediário",Mercado_Receita!$N$2:$N$1099)</f>
        <v>0</v>
      </c>
      <c r="R8" s="13">
        <f>SUMIF(Mercado_Receita!$T$2:$T$1099,"44652B1Energia horáriaResidencialResidencialNão se aplicaNão se aplicaIntermediário",Mercado_Receita!$N$2:$N$1099)</f>
        <v>0</v>
      </c>
      <c r="S8" s="13">
        <f>SUMIF(Mercado_Receita!$T$2:$T$1099,"44682B1Energia horáriaResidencialResidencialNão se aplicaNão se aplicaIntermediário",Mercado_Receita!$N$2:$N$1099)</f>
        <v>0</v>
      </c>
      <c r="T8" s="13">
        <f>SUMIF(Mercado_Receita!$T$2:$T$1099,"44713B1Energia horáriaResidencialResidencialNão se aplicaNão se aplicaIntermediário",Mercado_Receita!$N$2:$N$1099)</f>
        <v>0</v>
      </c>
      <c r="U8" s="13">
        <f t="shared" si="0"/>
        <v>0</v>
      </c>
      <c r="V8" s="13"/>
      <c r="W8" s="13"/>
    </row>
    <row r="9" spans="1:30" ht="11.25" customHeight="1" x14ac:dyDescent="0.25">
      <c r="A9" s="95"/>
      <c r="B9" s="95"/>
      <c r="C9" s="95"/>
      <c r="D9" s="95"/>
      <c r="E9" s="95"/>
      <c r="F9" s="95"/>
      <c r="G9" s="13" t="s">
        <v>84</v>
      </c>
      <c r="H9" s="13" t="s">
        <v>82</v>
      </c>
      <c r="I9" s="13">
        <f>SUMIF(Mercado_Receita!$T$2:$T$1099,"44378B1Energia horáriaResidencialResidencialNão se aplicaNão se aplicaFora ponta",Mercado_Receita!$N$2:$N$1099)</f>
        <v>0</v>
      </c>
      <c r="J9" s="13">
        <f>SUMIF(Mercado_Receita!$T$2:$T$1099,"44409B1Energia horáriaResidencialResidencialNão se aplicaNão se aplicaFora ponta",Mercado_Receita!$N$2:$N$1099)</f>
        <v>0</v>
      </c>
      <c r="K9" s="13">
        <f>SUMIF(Mercado_Receita!$T$2:$T$1099,"44440B1Energia horáriaResidencialResidencialNão se aplicaNão se aplicaFora ponta",Mercado_Receita!$N$2:$N$1099)</f>
        <v>0</v>
      </c>
      <c r="L9" s="13">
        <f>SUMIF(Mercado_Receita!$T$2:$T$1099,"44470B1Energia horáriaResidencialResidencialNão se aplicaNão se aplicaFora ponta",Mercado_Receita!$N$2:$N$1099)</f>
        <v>0</v>
      </c>
      <c r="M9" s="13">
        <f>SUMIF(Mercado_Receita!$T$2:$T$1099,"44501B1Energia horáriaResidencialResidencialNão se aplicaNão se aplicaFora ponta",Mercado_Receita!$N$2:$N$1099)</f>
        <v>0</v>
      </c>
      <c r="N9" s="13">
        <f>SUMIF(Mercado_Receita!$T$2:$T$1099,"44531B1Energia horáriaResidencialResidencialNão se aplicaNão se aplicaFora ponta",Mercado_Receita!$N$2:$N$1099)</f>
        <v>0</v>
      </c>
      <c r="O9" s="13">
        <f>SUMIF(Mercado_Receita!$T$2:$T$1099,"44562B1Energia horáriaResidencialResidencialNão se aplicaNão se aplicaFora ponta",Mercado_Receita!$N$2:$N$1099)</f>
        <v>0</v>
      </c>
      <c r="P9" s="13">
        <f>SUMIF(Mercado_Receita!$T$2:$T$1099,"44593B1Energia horáriaResidencialResidencialNão se aplicaNão se aplicaFora ponta",Mercado_Receita!$N$2:$N$1099)</f>
        <v>0</v>
      </c>
      <c r="Q9" s="13">
        <f>SUMIF(Mercado_Receita!$T$2:$T$1099,"44621B1Energia horáriaResidencialResidencialNão se aplicaNão se aplicaFora ponta",Mercado_Receita!$N$2:$N$1099)</f>
        <v>0</v>
      </c>
      <c r="R9" s="13">
        <f>SUMIF(Mercado_Receita!$T$2:$T$1099,"44652B1Energia horáriaResidencialResidencialNão se aplicaNão se aplicaFora ponta",Mercado_Receita!$N$2:$N$1099)</f>
        <v>0</v>
      </c>
      <c r="S9" s="13">
        <f>SUMIF(Mercado_Receita!$T$2:$T$1099,"44682B1Energia horáriaResidencialResidencialNão se aplicaNão se aplicaFora ponta",Mercado_Receita!$N$2:$N$1099)</f>
        <v>0</v>
      </c>
      <c r="T9" s="13">
        <f>SUMIF(Mercado_Receita!$T$2:$T$1099,"44713B1Energia horáriaResidencialResidencialNão se aplicaNão se aplicaFora ponta",Mercado_Receita!$N$2:$N$1099)</f>
        <v>0</v>
      </c>
      <c r="U9" s="13">
        <f t="shared" si="0"/>
        <v>0</v>
      </c>
      <c r="V9" s="13"/>
      <c r="W9" s="13"/>
    </row>
    <row r="10" spans="1:30" ht="11.25" customHeight="1" x14ac:dyDescent="0.25">
      <c r="A10" s="95"/>
      <c r="B10" s="94" t="s">
        <v>90</v>
      </c>
      <c r="C10" s="94" t="s">
        <v>24</v>
      </c>
      <c r="D10" s="12" t="s">
        <v>24</v>
      </c>
      <c r="E10" s="12" t="s">
        <v>25</v>
      </c>
      <c r="F10" s="12" t="s">
        <v>25</v>
      </c>
      <c r="G10" s="13" t="s">
        <v>88</v>
      </c>
      <c r="H10" s="13" t="s">
        <v>82</v>
      </c>
      <c r="I10" s="13">
        <f>SUMIF(Mercado_Receita!$T$2:$T$1099,"44378B1Energia convencionalResidencialResidencialNão se aplicaNão se aplicaNão se aplica",Mercado_Receita!$N$2:$N$1099)</f>
        <v>1964.3229999999999</v>
      </c>
      <c r="J10" s="13">
        <f>SUMIF(Mercado_Receita!$T$2:$T$1099,"44409B1Energia convencionalResidencialResidencialNão se aplicaNão se aplicaNão se aplica",Mercado_Receita!$N$2:$N$1099)</f>
        <v>2037.308</v>
      </c>
      <c r="K10" s="13">
        <f>SUMIF(Mercado_Receita!$T$2:$T$1099,"44440B1Energia convencionalResidencialResidencialNão se aplicaNão se aplicaNão se aplica",Mercado_Receita!$N$2:$N$1099)</f>
        <v>1966.5729999999999</v>
      </c>
      <c r="L10" s="13">
        <f>SUMIF(Mercado_Receita!$T$2:$T$1099,"44470B1Energia convencionalResidencialResidencialNão se aplicaNão se aplicaNão se aplica",Mercado_Receita!$N$2:$N$1099)</f>
        <v>1888.8170000000002</v>
      </c>
      <c r="M10" s="13">
        <f>SUMIF(Mercado_Receita!$T$2:$T$1099,"44501B1Energia convencionalResidencialResidencialNão se aplicaNão se aplicaNão se aplica",Mercado_Receita!$N$2:$N$1099)</f>
        <v>2040.7549999999999</v>
      </c>
      <c r="N10" s="13">
        <f>SUMIF(Mercado_Receita!$T$2:$T$1099,"44531B1Energia convencionalResidencialResidencialNão se aplicaNão se aplicaNão se aplica",Mercado_Receita!$N$2:$N$1099)</f>
        <v>1860.462</v>
      </c>
      <c r="O10" s="13">
        <f>SUMIF(Mercado_Receita!$T$2:$T$1099,"44562B1Energia convencionalResidencialResidencialNão se aplicaNão se aplicaNão se aplica",Mercado_Receita!$N$2:$N$1099)</f>
        <v>2539.3690000000001</v>
      </c>
      <c r="P10" s="13">
        <f>SUMIF(Mercado_Receita!$T$2:$T$1099,"44593B1Energia convencionalResidencialResidencialNão se aplicaNão se aplicaNão se aplica",Mercado_Receita!$N$2:$N$1099)</f>
        <v>2468.9190000000003</v>
      </c>
      <c r="Q10" s="13">
        <f>SUMIF(Mercado_Receita!$T$2:$T$1099,"44621B1Energia convencionalResidencialResidencialNão se aplicaNão se aplicaNão se aplica",Mercado_Receita!$N$2:$N$1099)</f>
        <v>2204.08</v>
      </c>
      <c r="R10" s="13">
        <f>SUMIF(Mercado_Receita!$T$2:$T$1099,"44652B1Energia convencionalResidencialResidencialNão se aplicaNão se aplicaNão se aplica",Mercado_Receita!$N$2:$N$1099)</f>
        <v>1934.886</v>
      </c>
      <c r="S10" s="13">
        <f>SUMIF(Mercado_Receita!$T$2:$T$1099,"44682B1Energia convencionalResidencialResidencialNão se aplicaNão se aplicaNão se aplica",Mercado_Receita!$N$2:$N$1099)</f>
        <v>1711.2910000000002</v>
      </c>
      <c r="T10" s="13">
        <f>SUMIF(Mercado_Receita!$T$2:$T$1099,"44713B1Energia convencionalResidencialResidencialNão se aplicaNão se aplicaNão se aplica",Mercado_Receita!$N$2:$N$1099)</f>
        <v>1956.2639999999999</v>
      </c>
      <c r="U10" s="13">
        <f t="shared" si="0"/>
        <v>24573.046999999999</v>
      </c>
      <c r="V10" s="13"/>
      <c r="W10" s="13"/>
    </row>
    <row r="11" spans="1:30" ht="11.25" customHeight="1" x14ac:dyDescent="0.25">
      <c r="A11" s="95"/>
      <c r="B11" s="95"/>
      <c r="C11" s="95"/>
      <c r="D11" s="12" t="s">
        <v>29</v>
      </c>
      <c r="E11" s="12" t="s">
        <v>25</v>
      </c>
      <c r="F11" s="12" t="s">
        <v>25</v>
      </c>
      <c r="G11" s="13" t="s">
        <v>88</v>
      </c>
      <c r="H11" s="13" t="s">
        <v>82</v>
      </c>
      <c r="I11" s="13">
        <f>SUMIF(Mercado_Receita!$T$2:$T$1099,"44378B1Energia convencionalResidencialResidencial baixa renda – faixa 01Não se aplicaNão se aplicaNão se aplica",Mercado_Receita!$N$2:$N$1099)</f>
        <v>7.14</v>
      </c>
      <c r="J11" s="13">
        <f>SUMIF(Mercado_Receita!$T$2:$T$1099,"44409B1Energia convencionalResidencialResidencial baixa renda – faixa 01Não se aplicaNão se aplicaNão se aplica",Mercado_Receita!$N$2:$N$1099)</f>
        <v>7.2</v>
      </c>
      <c r="K11" s="13">
        <f>SUMIF(Mercado_Receita!$T$2:$T$1099,"44440B1Energia convencionalResidencialResidencial baixa renda – faixa 01Não se aplicaNão se aplicaNão se aplica",Mercado_Receita!$N$2:$N$1099)</f>
        <v>7.29</v>
      </c>
      <c r="L11" s="13">
        <f>SUMIF(Mercado_Receita!$T$2:$T$1099,"44470B1Energia convencionalResidencialResidencial baixa renda – faixa 01Não se aplicaNão se aplicaNão se aplica",Mercado_Receita!$N$2:$N$1099)</f>
        <v>7.38</v>
      </c>
      <c r="M11" s="13">
        <f>SUMIF(Mercado_Receita!$T$2:$T$1099,"44501B1Energia convencionalResidencialResidencial baixa renda – faixa 01Não se aplicaNão se aplicaNão se aplica",Mercado_Receita!$N$2:$N$1099)</f>
        <v>7.7700000000000005</v>
      </c>
      <c r="N11" s="13">
        <f>SUMIF(Mercado_Receita!$T$2:$T$1099,"44531B1Energia convencionalResidencialResidencial baixa renda – faixa 01Não se aplicaNão se aplicaNão se aplica",Mercado_Receita!$N$2:$N$1099)</f>
        <v>7.83</v>
      </c>
      <c r="O11" s="13">
        <f>SUMIF(Mercado_Receita!$T$2:$T$1099,"44562B1Energia convencionalResidencialResidencial baixa renda – faixa 01Não se aplicaNão se aplicaNão se aplica",Mercado_Receita!$N$2:$N$1099)</f>
        <v>7.95</v>
      </c>
      <c r="P11" s="13">
        <f>SUMIF(Mercado_Receita!$T$2:$T$1099,"44593B1Energia convencionalResidencialResidencial baixa renda – faixa 01Não se aplicaNão se aplicaNão se aplica",Mercado_Receita!$N$2:$N$1099)</f>
        <v>13.92</v>
      </c>
      <c r="Q11" s="13">
        <f>SUMIF(Mercado_Receita!$T$2:$T$1099,"44621B1Energia convencionalResidencialResidencial baixa renda – faixa 01Não se aplicaNão se aplicaNão se aplica",Mercado_Receita!$N$2:$N$1099)</f>
        <v>17.343</v>
      </c>
      <c r="R11" s="13">
        <f>SUMIF(Mercado_Receita!$T$2:$T$1099,"44652B1Energia convencionalResidencialResidencial baixa renda – faixa 01Não se aplicaNão se aplicaNão se aplica",Mercado_Receita!$N$2:$N$1099)</f>
        <v>29.131</v>
      </c>
      <c r="S11" s="13">
        <f>SUMIF(Mercado_Receita!$T$2:$T$1099,"44682B1Energia convencionalResidencialResidencial baixa renda – faixa 01Não se aplicaNão se aplicaNão se aplica",Mercado_Receita!$N$2:$N$1099)</f>
        <v>31.393000000000001</v>
      </c>
      <c r="T11" s="13">
        <f>SUMIF(Mercado_Receita!$T$2:$T$1099,"44713B1Energia convencionalResidencialResidencial baixa renda – faixa 01Não se aplicaNão se aplicaNão se aplica",Mercado_Receita!$N$2:$N$1099)</f>
        <v>31.39</v>
      </c>
      <c r="U11" s="13">
        <f t="shared" si="0"/>
        <v>175.73700000000002</v>
      </c>
      <c r="V11" s="13"/>
      <c r="W11" s="13"/>
    </row>
    <row r="12" spans="1:30" ht="11.25" customHeight="1" x14ac:dyDescent="0.25">
      <c r="A12" s="95"/>
      <c r="B12" s="95"/>
      <c r="C12" s="95"/>
      <c r="D12" s="12" t="s">
        <v>30</v>
      </c>
      <c r="E12" s="12" t="s">
        <v>25</v>
      </c>
      <c r="F12" s="12" t="s">
        <v>25</v>
      </c>
      <c r="G12" s="13" t="s">
        <v>88</v>
      </c>
      <c r="H12" s="13" t="s">
        <v>82</v>
      </c>
      <c r="I12" s="13">
        <f>SUMIF(Mercado_Receita!$T$2:$T$1099,"44378B1Energia convencionalResidencialResidencial baixa renda – faixa 02Não se aplicaNão se aplicaNão se aplica",Mercado_Receita!$N$2:$N$1099)</f>
        <v>1.8169999999999999</v>
      </c>
      <c r="J12" s="13">
        <f>SUMIF(Mercado_Receita!$T$2:$T$1099,"44409B1Energia convencionalResidencialResidencial baixa renda – faixa 02Não se aplicaNão se aplicaNão se aplica",Mercado_Receita!$N$2:$N$1099)</f>
        <v>1.9450000000000001</v>
      </c>
      <c r="K12" s="13">
        <f>SUMIF(Mercado_Receita!$T$2:$T$1099,"44440B1Energia convencionalResidencialResidencial baixa renda – faixa 02Não se aplicaNão se aplicaNão se aplica",Mercado_Receita!$N$2:$N$1099)</f>
        <v>1.7030000000000001</v>
      </c>
      <c r="L12" s="13">
        <f>SUMIF(Mercado_Receita!$T$2:$T$1099,"44470B1Energia convencionalResidencialResidencial baixa renda – faixa 02Não se aplicaNão se aplicaNão se aplica",Mercado_Receita!$N$2:$N$1099)</f>
        <v>1.8560000000000001</v>
      </c>
      <c r="M12" s="13">
        <f>SUMIF(Mercado_Receita!$T$2:$T$1099,"44501B1Energia convencionalResidencialResidencial baixa renda – faixa 02Não se aplicaNão se aplicaNão se aplica",Mercado_Receita!$N$2:$N$1099)</f>
        <v>1.5760000000000001</v>
      </c>
      <c r="N12" s="13">
        <f>SUMIF(Mercado_Receita!$T$2:$T$1099,"44531B1Energia convencionalResidencialResidencial baixa renda – faixa 02Não se aplicaNão se aplicaNão se aplica",Mercado_Receita!$N$2:$N$1099)</f>
        <v>2.04</v>
      </c>
      <c r="O12" s="13">
        <f>SUMIF(Mercado_Receita!$T$2:$T$1099,"44562B1Energia convencionalResidencialResidencial baixa renda – faixa 02Não se aplicaNão se aplicaNão se aplica",Mercado_Receita!$N$2:$N$1099)</f>
        <v>11.269</v>
      </c>
      <c r="P12" s="13">
        <f>SUMIF(Mercado_Receita!$T$2:$T$1099,"44593B1Energia convencionalResidencialResidencial baixa renda – faixa 02Não se aplicaNão se aplicaNão se aplica",Mercado_Receita!$N$2:$N$1099)</f>
        <v>3.0270000000000001</v>
      </c>
      <c r="Q12" s="13">
        <f>SUMIF(Mercado_Receita!$T$2:$T$1099,"44621B1Energia convencionalResidencialResidencial baixa renda – faixa 02Não se aplicaNão se aplicaNão se aplica",Mercado_Receita!$N$2:$N$1099)</f>
        <v>4.7570000000000006</v>
      </c>
      <c r="R12" s="13">
        <f>SUMIF(Mercado_Receita!$T$2:$T$1099,"44652B1Energia convencionalResidencialResidencial baixa renda – faixa 02Não se aplicaNão se aplicaNão se aplica",Mercado_Receita!$N$2:$N$1099)</f>
        <v>9.3559999999999999</v>
      </c>
      <c r="S12" s="13">
        <f>SUMIF(Mercado_Receita!$T$2:$T$1099,"44682B1Energia convencionalResidencialResidencial baixa renda – faixa 02Não se aplicaNão se aplicaNão se aplica",Mercado_Receita!$N$2:$N$1099)</f>
        <v>10.936</v>
      </c>
      <c r="T12" s="13">
        <f>SUMIF(Mercado_Receita!$T$2:$T$1099,"44713B1Energia convencionalResidencialResidencial baixa renda – faixa 02Não se aplicaNão se aplicaNão se aplica",Mercado_Receita!$N$2:$N$1099)</f>
        <v>9.8409999999999993</v>
      </c>
      <c r="U12" s="13">
        <f t="shared" si="0"/>
        <v>60.123000000000005</v>
      </c>
      <c r="V12" s="13"/>
      <c r="W12" s="13"/>
    </row>
    <row r="13" spans="1:30" ht="11.25" customHeight="1" x14ac:dyDescent="0.25">
      <c r="A13" s="95"/>
      <c r="B13" s="95"/>
      <c r="C13" s="95"/>
      <c r="D13" s="12" t="s">
        <v>31</v>
      </c>
      <c r="E13" s="12" t="s">
        <v>25</v>
      </c>
      <c r="F13" s="12" t="s">
        <v>25</v>
      </c>
      <c r="G13" s="13" t="s">
        <v>88</v>
      </c>
      <c r="H13" s="13" t="s">
        <v>82</v>
      </c>
      <c r="I13" s="13">
        <f>SUMIF(Mercado_Receita!$T$2:$T$1099,"44378B1Energia convencionalResidencialResidencial baixa renda – faixa 03Não se aplicaNão se aplicaNão se aplica",Mercado_Receita!$N$2:$N$1099)</f>
        <v>20.117999999999999</v>
      </c>
      <c r="J13" s="13">
        <f>SUMIF(Mercado_Receita!$T$2:$T$1099,"44409B1Energia convencionalResidencialResidencial baixa renda – faixa 03Não se aplicaNão se aplicaNão se aplica",Mercado_Receita!$N$2:$N$1099)</f>
        <v>21.292999999999999</v>
      </c>
      <c r="K13" s="13">
        <f>SUMIF(Mercado_Receita!$T$2:$T$1099,"44440B1Energia convencionalResidencialResidencial baixa renda – faixa 03Não se aplicaNão se aplicaNão se aplica",Mercado_Receita!$N$2:$N$1099)</f>
        <v>22.510999999999999</v>
      </c>
      <c r="L13" s="13">
        <f>SUMIF(Mercado_Receita!$T$2:$T$1099,"44470B1Energia convencionalResidencialResidencial baixa renda – faixa 03Não se aplicaNão se aplicaNão se aplica",Mercado_Receita!$N$2:$N$1099)</f>
        <v>22.129000000000001</v>
      </c>
      <c r="M13" s="13">
        <f>SUMIF(Mercado_Receita!$T$2:$T$1099,"44501B1Energia convencionalResidencialResidencial baixa renda – faixa 03Não se aplicaNão se aplicaNão se aplica",Mercado_Receita!$N$2:$N$1099)</f>
        <v>22.507999999999999</v>
      </c>
      <c r="N13" s="13">
        <f>SUMIF(Mercado_Receita!$T$2:$T$1099,"44531B1Energia convencionalResidencialResidencial baixa renda – faixa 03Não se aplicaNão se aplicaNão se aplica",Mercado_Receita!$N$2:$N$1099)</f>
        <v>22.89</v>
      </c>
      <c r="O13" s="13">
        <f>SUMIF(Mercado_Receita!$T$2:$T$1099,"44562B1Energia convencionalResidencialResidencial baixa renda – faixa 03Não se aplicaNão se aplicaNão se aplica",Mercado_Receita!$N$2:$N$1099)</f>
        <v>21.262</v>
      </c>
      <c r="P13" s="13">
        <f>SUMIF(Mercado_Receita!$T$2:$T$1099,"44593B1Energia convencionalResidencialResidencial baixa renda – faixa 03Não se aplicaNão se aplicaNão se aplica",Mercado_Receita!$N$2:$N$1099)</f>
        <v>37.314999999999998</v>
      </c>
      <c r="Q13" s="13">
        <f>SUMIF(Mercado_Receita!$T$2:$T$1099,"44621B1Energia convencionalResidencialResidencial baixa renda – faixa 03Não se aplicaNão se aplicaNão se aplica",Mercado_Receita!$N$2:$N$1099)</f>
        <v>46.061999999999998</v>
      </c>
      <c r="R13" s="13">
        <f>SUMIF(Mercado_Receita!$T$2:$T$1099,"44652B1Energia convencionalResidencialResidencial baixa renda – faixa 03Não se aplicaNão se aplicaNão se aplica",Mercado_Receita!$N$2:$N$1099)</f>
        <v>74.695999999999998</v>
      </c>
      <c r="S13" s="13">
        <f>SUMIF(Mercado_Receita!$T$2:$T$1099,"44682B1Energia convencionalResidencialResidencial baixa renda – faixa 03Não se aplicaNão se aplicaNão se aplica",Mercado_Receita!$N$2:$N$1099)</f>
        <v>76.350999999999999</v>
      </c>
      <c r="T13" s="13">
        <f>SUMIF(Mercado_Receita!$T$2:$T$1099,"44713B1Energia convencionalResidencialResidencial baixa renda – faixa 03Não se aplicaNão se aplicaNão se aplica",Mercado_Receita!$N$2:$N$1099)</f>
        <v>76.298000000000002</v>
      </c>
      <c r="U13" s="13">
        <f t="shared" si="0"/>
        <v>463.43299999999999</v>
      </c>
      <c r="V13" s="13"/>
      <c r="W13" s="13"/>
    </row>
    <row r="14" spans="1:30" ht="11.25" customHeight="1" x14ac:dyDescent="0.25">
      <c r="A14" s="95"/>
      <c r="B14" s="95"/>
      <c r="C14" s="95"/>
      <c r="D14" s="12" t="s">
        <v>32</v>
      </c>
      <c r="E14" s="12" t="s">
        <v>25</v>
      </c>
      <c r="F14" s="12" t="s">
        <v>25</v>
      </c>
      <c r="G14" s="13" t="s">
        <v>88</v>
      </c>
      <c r="H14" s="13" t="s">
        <v>82</v>
      </c>
      <c r="I14" s="13">
        <f>SUMIF(Mercado_Receita!$T$2:$T$1099,"44378B1Energia convencionalResidencialResidencial baixa renda – faixa 04Não se aplicaNão se aplicaNão se aplica",Mercado_Receita!$N$2:$N$1099)</f>
        <v>11.489000000000001</v>
      </c>
      <c r="J14" s="13">
        <f>SUMIF(Mercado_Receita!$T$2:$T$1099,"44409B1Energia convencionalResidencialResidencial baixa renda – faixa 04Não se aplicaNão se aplicaNão se aplica",Mercado_Receita!$N$2:$N$1099)</f>
        <v>12.069999999999999</v>
      </c>
      <c r="K14" s="13">
        <f>SUMIF(Mercado_Receita!$T$2:$T$1099,"44440B1Energia convencionalResidencialResidencial baixa renda – faixa 04Não se aplicaNão se aplicaNão se aplica",Mercado_Receita!$N$2:$N$1099)</f>
        <v>12.894</v>
      </c>
      <c r="L14" s="13">
        <f>SUMIF(Mercado_Receita!$T$2:$T$1099,"44470B1Energia convencionalResidencialResidencial baixa renda – faixa 04Não se aplicaNão se aplicaNão se aplica",Mercado_Receita!$N$2:$N$1099)</f>
        <v>11.397</v>
      </c>
      <c r="M14" s="13">
        <f>SUMIF(Mercado_Receita!$T$2:$T$1099,"44501B1Energia convencionalResidencialResidencial baixa renda – faixa 04Não se aplicaNão se aplicaNão se aplica",Mercado_Receita!$N$2:$N$1099)</f>
        <v>14.802000000000001</v>
      </c>
      <c r="N14" s="13">
        <f>SUMIF(Mercado_Receita!$T$2:$T$1099,"44531B1Energia convencionalResidencialResidencial baixa renda – faixa 04Não se aplicaNão se aplicaNão se aplica",Mercado_Receita!$N$2:$N$1099)</f>
        <v>13.026</v>
      </c>
      <c r="O14" s="13">
        <f>SUMIF(Mercado_Receita!$T$2:$T$1099,"44562B1Energia convencionalResidencialResidencial baixa renda – faixa 04Não se aplicaNão se aplicaNão se aplica",Mercado_Receita!$N$2:$N$1099)</f>
        <v>15.836</v>
      </c>
      <c r="P14" s="13">
        <f>SUMIF(Mercado_Receita!$T$2:$T$1099,"44593B1Energia convencionalResidencialResidencial baixa renda – faixa 04Não se aplicaNão se aplicaNão se aplica",Mercado_Receita!$N$2:$N$1099)</f>
        <v>39.064</v>
      </c>
      <c r="Q14" s="13">
        <f>SUMIF(Mercado_Receita!$T$2:$T$1099,"44621B1Energia convencionalResidencialResidencial baixa renda – faixa 04Não se aplicaNão se aplicaNão se aplica",Mercado_Receita!$N$2:$N$1099)</f>
        <v>35.491999999999997</v>
      </c>
      <c r="R14" s="13">
        <f>SUMIF(Mercado_Receita!$T$2:$T$1099,"44652B1Energia convencionalResidencialResidencial baixa renda – faixa 04Não se aplicaNão se aplicaNão se aplica",Mercado_Receita!$N$2:$N$1099)</f>
        <v>45.762999999999998</v>
      </c>
      <c r="S14" s="13">
        <f>SUMIF(Mercado_Receita!$T$2:$T$1099,"44682B1Energia convencionalResidencialResidencial baixa renda – faixa 04Não se aplicaNão se aplicaNão se aplica",Mercado_Receita!$N$2:$N$1099)</f>
        <v>42.815999999999995</v>
      </c>
      <c r="T14" s="13">
        <f>SUMIF(Mercado_Receita!$T$2:$T$1099,"44713B1Energia convencionalResidencialResidencial baixa renda – faixa 04Não se aplicaNão se aplicaNão se aplica",Mercado_Receita!$N$2:$N$1099)</f>
        <v>48.991999999999997</v>
      </c>
      <c r="U14" s="13">
        <f t="shared" si="0"/>
        <v>303.64100000000002</v>
      </c>
      <c r="V14" s="13"/>
      <c r="W14" s="13"/>
    </row>
    <row r="15" spans="1:30" ht="11.25" customHeight="1" x14ac:dyDescent="0.25">
      <c r="A15" s="95"/>
      <c r="B15" s="94" t="s">
        <v>96</v>
      </c>
      <c r="C15" s="94" t="s">
        <v>24</v>
      </c>
      <c r="D15" s="12" t="s">
        <v>24</v>
      </c>
      <c r="E15" s="12" t="s">
        <v>25</v>
      </c>
      <c r="F15" s="12" t="s">
        <v>25</v>
      </c>
      <c r="G15" s="13" t="s">
        <v>88</v>
      </c>
      <c r="H15" s="13" t="s">
        <v>82</v>
      </c>
      <c r="I15" s="13">
        <f>SUMIF(Mercado_Receita!$T$2:$T$1099,"44378B1Energia convencional pré-pagamentoResidencialResidencialNão se aplicaNão se aplicaNão se aplica",Mercado_Receita!$N$2:$N$1099)</f>
        <v>0</v>
      </c>
      <c r="J15" s="13">
        <f>SUMIF(Mercado_Receita!$T$2:$T$1099,"44409B1Energia convencional pré-pagamentoResidencialResidencialNão se aplicaNão se aplicaNão se aplica",Mercado_Receita!$N$2:$N$1099)</f>
        <v>0</v>
      </c>
      <c r="K15" s="13">
        <f>SUMIF(Mercado_Receita!$T$2:$T$1099,"44440B1Energia convencional pré-pagamentoResidencialResidencialNão se aplicaNão se aplicaNão se aplica",Mercado_Receita!$N$2:$N$1099)</f>
        <v>0</v>
      </c>
      <c r="L15" s="13">
        <f>SUMIF(Mercado_Receita!$T$2:$T$1099,"44470B1Energia convencional pré-pagamentoResidencialResidencialNão se aplicaNão se aplicaNão se aplica",Mercado_Receita!$N$2:$N$1099)</f>
        <v>0</v>
      </c>
      <c r="M15" s="13">
        <f>SUMIF(Mercado_Receita!$T$2:$T$1099,"44501B1Energia convencional pré-pagamentoResidencialResidencialNão se aplicaNão se aplicaNão se aplica",Mercado_Receita!$N$2:$N$1099)</f>
        <v>0</v>
      </c>
      <c r="N15" s="13">
        <f>SUMIF(Mercado_Receita!$T$2:$T$1099,"44531B1Energia convencional pré-pagamentoResidencialResidencialNão se aplicaNão se aplicaNão se aplica",Mercado_Receita!$N$2:$N$1099)</f>
        <v>0</v>
      </c>
      <c r="O15" s="13">
        <f>SUMIF(Mercado_Receita!$T$2:$T$1099,"44562B1Energia convencional pré-pagamentoResidencialResidencialNão se aplicaNão se aplicaNão se aplica",Mercado_Receita!$N$2:$N$1099)</f>
        <v>0</v>
      </c>
      <c r="P15" s="13">
        <f>SUMIF(Mercado_Receita!$T$2:$T$1099,"44593B1Energia convencional pré-pagamentoResidencialResidencialNão se aplicaNão se aplicaNão se aplica",Mercado_Receita!$N$2:$N$1099)</f>
        <v>0</v>
      </c>
      <c r="Q15" s="13">
        <f>SUMIF(Mercado_Receita!$T$2:$T$1099,"44621B1Energia convencional pré-pagamentoResidencialResidencialNão se aplicaNão se aplicaNão se aplica",Mercado_Receita!$N$2:$N$1099)</f>
        <v>0</v>
      </c>
      <c r="R15" s="13">
        <f>SUMIF(Mercado_Receita!$T$2:$T$1099,"44652B1Energia convencional pré-pagamentoResidencialResidencialNão se aplicaNão se aplicaNão se aplica",Mercado_Receita!$N$2:$N$1099)</f>
        <v>0</v>
      </c>
      <c r="S15" s="13">
        <f>SUMIF(Mercado_Receita!$T$2:$T$1099,"44682B1Energia convencional pré-pagamentoResidencialResidencialNão se aplicaNão se aplicaNão se aplica",Mercado_Receita!$N$2:$N$1099)</f>
        <v>0</v>
      </c>
      <c r="T15" s="13">
        <f>SUMIF(Mercado_Receita!$T$2:$T$1099,"44713B1Energia convencional pré-pagamentoResidencialResidencialNão se aplicaNão se aplicaNão se aplica",Mercado_Receita!$N$2:$N$1099)</f>
        <v>0</v>
      </c>
      <c r="U15" s="13">
        <f t="shared" si="0"/>
        <v>0</v>
      </c>
      <c r="V15" s="13"/>
      <c r="W15" s="13"/>
    </row>
    <row r="16" spans="1:30" ht="11.25" customHeight="1" x14ac:dyDescent="0.25">
      <c r="A16" s="95"/>
      <c r="B16" s="95"/>
      <c r="C16" s="95"/>
      <c r="D16" s="12" t="s">
        <v>29</v>
      </c>
      <c r="E16" s="12" t="s">
        <v>25</v>
      </c>
      <c r="F16" s="12" t="s">
        <v>25</v>
      </c>
      <c r="G16" s="13" t="s">
        <v>88</v>
      </c>
      <c r="H16" s="13" t="s">
        <v>82</v>
      </c>
      <c r="I16" s="13">
        <f>SUMIF(Mercado_Receita!$T$2:$T$1099,"44378B1Energia convencional pré-pagamentoResidencialResidencial baixa renda – faixa 01Não se aplicaNão se aplicaNão se aplica",Mercado_Receita!$N$2:$N$1099)</f>
        <v>0</v>
      </c>
      <c r="J16" s="13">
        <f>SUMIF(Mercado_Receita!$T$2:$T$1099,"44409B1Energia convencional pré-pagamentoResidencialResidencial baixa renda – faixa 01Não se aplicaNão se aplicaNão se aplica",Mercado_Receita!$N$2:$N$1099)</f>
        <v>0</v>
      </c>
      <c r="K16" s="13">
        <f>SUMIF(Mercado_Receita!$T$2:$T$1099,"44440B1Energia convencional pré-pagamentoResidencialResidencial baixa renda – faixa 01Não se aplicaNão se aplicaNão se aplica",Mercado_Receita!$N$2:$N$1099)</f>
        <v>0</v>
      </c>
      <c r="L16" s="13">
        <f>SUMIF(Mercado_Receita!$T$2:$T$1099,"44470B1Energia convencional pré-pagamentoResidencialResidencial baixa renda – faixa 01Não se aplicaNão se aplicaNão se aplica",Mercado_Receita!$N$2:$N$1099)</f>
        <v>0</v>
      </c>
      <c r="M16" s="13">
        <f>SUMIF(Mercado_Receita!$T$2:$T$1099,"44501B1Energia convencional pré-pagamentoResidencialResidencial baixa renda – faixa 01Não se aplicaNão se aplicaNão se aplica",Mercado_Receita!$N$2:$N$1099)</f>
        <v>0</v>
      </c>
      <c r="N16" s="13">
        <f>SUMIF(Mercado_Receita!$T$2:$T$1099,"44531B1Energia convencional pré-pagamentoResidencialResidencial baixa renda – faixa 01Não se aplicaNão se aplicaNão se aplica",Mercado_Receita!$N$2:$N$1099)</f>
        <v>0</v>
      </c>
      <c r="O16" s="13">
        <f>SUMIF(Mercado_Receita!$T$2:$T$1099,"44562B1Energia convencional pré-pagamentoResidencialResidencial baixa renda – faixa 01Não se aplicaNão se aplicaNão se aplica",Mercado_Receita!$N$2:$N$1099)</f>
        <v>0</v>
      </c>
      <c r="P16" s="13">
        <f>SUMIF(Mercado_Receita!$T$2:$T$1099,"44593B1Energia convencional pré-pagamentoResidencialResidencial baixa renda – faixa 01Não se aplicaNão se aplicaNão se aplica",Mercado_Receita!$N$2:$N$1099)</f>
        <v>0</v>
      </c>
      <c r="Q16" s="13">
        <f>SUMIF(Mercado_Receita!$T$2:$T$1099,"44621B1Energia convencional pré-pagamentoResidencialResidencial baixa renda – faixa 01Não se aplicaNão se aplicaNão se aplica",Mercado_Receita!$N$2:$N$1099)</f>
        <v>0</v>
      </c>
      <c r="R16" s="13">
        <f>SUMIF(Mercado_Receita!$T$2:$T$1099,"44652B1Energia convencional pré-pagamentoResidencialResidencial baixa renda – faixa 01Não se aplicaNão se aplicaNão se aplica",Mercado_Receita!$N$2:$N$1099)</f>
        <v>0</v>
      </c>
      <c r="S16" s="13">
        <f>SUMIF(Mercado_Receita!$T$2:$T$1099,"44682B1Energia convencional pré-pagamentoResidencialResidencial baixa renda – faixa 01Não se aplicaNão se aplicaNão se aplica",Mercado_Receita!$N$2:$N$1099)</f>
        <v>0</v>
      </c>
      <c r="T16" s="13">
        <f>SUMIF(Mercado_Receita!$T$2:$T$1099,"44713B1Energia convencional pré-pagamentoResidencialResidencial baixa renda – faixa 01Não se aplicaNão se aplicaNão se aplica",Mercado_Receita!$N$2:$N$1099)</f>
        <v>0</v>
      </c>
      <c r="U16" s="13">
        <f t="shared" si="0"/>
        <v>0</v>
      </c>
      <c r="V16" s="13"/>
      <c r="W16" s="13"/>
    </row>
    <row r="17" spans="1:23" ht="11.25" customHeight="1" x14ac:dyDescent="0.25">
      <c r="A17" s="95"/>
      <c r="B17" s="95"/>
      <c r="C17" s="95"/>
      <c r="D17" s="12" t="s">
        <v>30</v>
      </c>
      <c r="E17" s="12" t="s">
        <v>25</v>
      </c>
      <c r="F17" s="12" t="s">
        <v>25</v>
      </c>
      <c r="G17" s="13" t="s">
        <v>88</v>
      </c>
      <c r="H17" s="13" t="s">
        <v>82</v>
      </c>
      <c r="I17" s="13">
        <f>SUMIF(Mercado_Receita!$T$2:$T$1099,"44378B1Energia convencional pré-pagamentoResidencialResidencial baixa renda – faixa 02Não se aplicaNão se aplicaNão se aplica",Mercado_Receita!$N$2:$N$1099)</f>
        <v>0</v>
      </c>
      <c r="J17" s="13">
        <f>SUMIF(Mercado_Receita!$T$2:$T$1099,"44409B1Energia convencional pré-pagamentoResidencialResidencial baixa renda – faixa 02Não se aplicaNão se aplicaNão se aplica",Mercado_Receita!$N$2:$N$1099)</f>
        <v>0</v>
      </c>
      <c r="K17" s="13">
        <f>SUMIF(Mercado_Receita!$T$2:$T$1099,"44440B1Energia convencional pré-pagamentoResidencialResidencial baixa renda – faixa 02Não se aplicaNão se aplicaNão se aplica",Mercado_Receita!$N$2:$N$1099)</f>
        <v>0</v>
      </c>
      <c r="L17" s="13">
        <f>SUMIF(Mercado_Receita!$T$2:$T$1099,"44470B1Energia convencional pré-pagamentoResidencialResidencial baixa renda – faixa 02Não se aplicaNão se aplicaNão se aplica",Mercado_Receita!$N$2:$N$1099)</f>
        <v>0</v>
      </c>
      <c r="M17" s="13">
        <f>SUMIF(Mercado_Receita!$T$2:$T$1099,"44501B1Energia convencional pré-pagamentoResidencialResidencial baixa renda – faixa 02Não se aplicaNão se aplicaNão se aplica",Mercado_Receita!$N$2:$N$1099)</f>
        <v>0</v>
      </c>
      <c r="N17" s="13">
        <f>SUMIF(Mercado_Receita!$T$2:$T$1099,"44531B1Energia convencional pré-pagamentoResidencialResidencial baixa renda – faixa 02Não se aplicaNão se aplicaNão se aplica",Mercado_Receita!$N$2:$N$1099)</f>
        <v>0</v>
      </c>
      <c r="O17" s="13">
        <f>SUMIF(Mercado_Receita!$T$2:$T$1099,"44562B1Energia convencional pré-pagamentoResidencialResidencial baixa renda – faixa 02Não se aplicaNão se aplicaNão se aplica",Mercado_Receita!$N$2:$N$1099)</f>
        <v>0</v>
      </c>
      <c r="P17" s="13">
        <f>SUMIF(Mercado_Receita!$T$2:$T$1099,"44593B1Energia convencional pré-pagamentoResidencialResidencial baixa renda – faixa 02Não se aplicaNão se aplicaNão se aplica",Mercado_Receita!$N$2:$N$1099)</f>
        <v>0</v>
      </c>
      <c r="Q17" s="13">
        <f>SUMIF(Mercado_Receita!$T$2:$T$1099,"44621B1Energia convencional pré-pagamentoResidencialResidencial baixa renda – faixa 02Não se aplicaNão se aplicaNão se aplica",Mercado_Receita!$N$2:$N$1099)</f>
        <v>0</v>
      </c>
      <c r="R17" s="13">
        <f>SUMIF(Mercado_Receita!$T$2:$T$1099,"44652B1Energia convencional pré-pagamentoResidencialResidencial baixa renda – faixa 02Não se aplicaNão se aplicaNão se aplica",Mercado_Receita!$N$2:$N$1099)</f>
        <v>0</v>
      </c>
      <c r="S17" s="13">
        <f>SUMIF(Mercado_Receita!$T$2:$T$1099,"44682B1Energia convencional pré-pagamentoResidencialResidencial baixa renda – faixa 02Não se aplicaNão se aplicaNão se aplica",Mercado_Receita!$N$2:$N$1099)</f>
        <v>0</v>
      </c>
      <c r="T17" s="13">
        <f>SUMIF(Mercado_Receita!$T$2:$T$1099,"44713B1Energia convencional pré-pagamentoResidencialResidencial baixa renda – faixa 02Não se aplicaNão se aplicaNão se aplica",Mercado_Receita!$N$2:$N$1099)</f>
        <v>0</v>
      </c>
      <c r="U17" s="13">
        <f t="shared" si="0"/>
        <v>0</v>
      </c>
      <c r="V17" s="13"/>
      <c r="W17" s="13"/>
    </row>
    <row r="18" spans="1:23" ht="11.25" customHeight="1" x14ac:dyDescent="0.25">
      <c r="A18" s="95"/>
      <c r="B18" s="95"/>
      <c r="C18" s="95"/>
      <c r="D18" s="12" t="s">
        <v>31</v>
      </c>
      <c r="E18" s="12" t="s">
        <v>25</v>
      </c>
      <c r="F18" s="12" t="s">
        <v>25</v>
      </c>
      <c r="G18" s="13" t="s">
        <v>88</v>
      </c>
      <c r="H18" s="13" t="s">
        <v>82</v>
      </c>
      <c r="I18" s="13">
        <f>SUMIF(Mercado_Receita!$T$2:$T$1099,"44378B1Energia convencional pré-pagamentoResidencialResidencial baixa renda – faixa 03Não se aplicaNão se aplicaNão se aplica",Mercado_Receita!$N$2:$N$1099)</f>
        <v>0</v>
      </c>
      <c r="J18" s="13">
        <f>SUMIF(Mercado_Receita!$T$2:$T$1099,"44409B1Energia convencional pré-pagamentoResidencialResidencial baixa renda – faixa 03Não se aplicaNão se aplicaNão se aplica",Mercado_Receita!$N$2:$N$1099)</f>
        <v>0</v>
      </c>
      <c r="K18" s="13">
        <f>SUMIF(Mercado_Receita!$T$2:$T$1099,"44440B1Energia convencional pré-pagamentoResidencialResidencial baixa renda – faixa 03Não se aplicaNão se aplicaNão se aplica",Mercado_Receita!$N$2:$N$1099)</f>
        <v>0</v>
      </c>
      <c r="L18" s="13">
        <f>SUMIF(Mercado_Receita!$T$2:$T$1099,"44470B1Energia convencional pré-pagamentoResidencialResidencial baixa renda – faixa 03Não se aplicaNão se aplicaNão se aplica",Mercado_Receita!$N$2:$N$1099)</f>
        <v>0</v>
      </c>
      <c r="M18" s="13">
        <f>SUMIF(Mercado_Receita!$T$2:$T$1099,"44501B1Energia convencional pré-pagamentoResidencialResidencial baixa renda – faixa 03Não se aplicaNão se aplicaNão se aplica",Mercado_Receita!$N$2:$N$1099)</f>
        <v>0</v>
      </c>
      <c r="N18" s="13">
        <f>SUMIF(Mercado_Receita!$T$2:$T$1099,"44531B1Energia convencional pré-pagamentoResidencialResidencial baixa renda – faixa 03Não se aplicaNão se aplicaNão se aplica",Mercado_Receita!$N$2:$N$1099)</f>
        <v>0</v>
      </c>
      <c r="O18" s="13">
        <f>SUMIF(Mercado_Receita!$T$2:$T$1099,"44562B1Energia convencional pré-pagamentoResidencialResidencial baixa renda – faixa 03Não se aplicaNão se aplicaNão se aplica",Mercado_Receita!$N$2:$N$1099)</f>
        <v>0</v>
      </c>
      <c r="P18" s="13">
        <f>SUMIF(Mercado_Receita!$T$2:$T$1099,"44593B1Energia convencional pré-pagamentoResidencialResidencial baixa renda – faixa 03Não se aplicaNão se aplicaNão se aplica",Mercado_Receita!$N$2:$N$1099)</f>
        <v>0</v>
      </c>
      <c r="Q18" s="13">
        <f>SUMIF(Mercado_Receita!$T$2:$T$1099,"44621B1Energia convencional pré-pagamentoResidencialResidencial baixa renda – faixa 03Não se aplicaNão se aplicaNão se aplica",Mercado_Receita!$N$2:$N$1099)</f>
        <v>0</v>
      </c>
      <c r="R18" s="13">
        <f>SUMIF(Mercado_Receita!$T$2:$T$1099,"44652B1Energia convencional pré-pagamentoResidencialResidencial baixa renda – faixa 03Não se aplicaNão se aplicaNão se aplica",Mercado_Receita!$N$2:$N$1099)</f>
        <v>0</v>
      </c>
      <c r="S18" s="13">
        <f>SUMIF(Mercado_Receita!$T$2:$T$1099,"44682B1Energia convencional pré-pagamentoResidencialResidencial baixa renda – faixa 03Não se aplicaNão se aplicaNão se aplica",Mercado_Receita!$N$2:$N$1099)</f>
        <v>0</v>
      </c>
      <c r="T18" s="13">
        <f>SUMIF(Mercado_Receita!$T$2:$T$1099,"44713B1Energia convencional pré-pagamentoResidencialResidencial baixa renda – faixa 03Não se aplicaNão se aplicaNão se aplica",Mercado_Receita!$N$2:$N$1099)</f>
        <v>0</v>
      </c>
      <c r="U18" s="13">
        <f t="shared" si="0"/>
        <v>0</v>
      </c>
      <c r="V18" s="13"/>
      <c r="W18" s="13"/>
    </row>
    <row r="19" spans="1:23" ht="11.25" customHeight="1" x14ac:dyDescent="0.25">
      <c r="A19" s="95"/>
      <c r="B19" s="95"/>
      <c r="C19" s="95"/>
      <c r="D19" s="12" t="s">
        <v>32</v>
      </c>
      <c r="E19" s="12" t="s">
        <v>25</v>
      </c>
      <c r="F19" s="12" t="s">
        <v>25</v>
      </c>
      <c r="G19" s="13" t="s">
        <v>88</v>
      </c>
      <c r="H19" s="13" t="s">
        <v>82</v>
      </c>
      <c r="I19" s="13">
        <f>SUMIF(Mercado_Receita!$T$2:$T$1099,"44378B1Energia convencional pré-pagamentoResidencialResidencial baixa renda – faixa 04Não se aplicaNão se aplicaNão se aplica",Mercado_Receita!$N$2:$N$1099)</f>
        <v>0</v>
      </c>
      <c r="J19" s="13">
        <f>SUMIF(Mercado_Receita!$T$2:$T$1099,"44409B1Energia convencional pré-pagamentoResidencialResidencial baixa renda – faixa 04Não se aplicaNão se aplicaNão se aplica",Mercado_Receita!$N$2:$N$1099)</f>
        <v>0</v>
      </c>
      <c r="K19" s="13">
        <f>SUMIF(Mercado_Receita!$T$2:$T$1099,"44440B1Energia convencional pré-pagamentoResidencialResidencial baixa renda – faixa 04Não se aplicaNão se aplicaNão se aplica",Mercado_Receita!$N$2:$N$1099)</f>
        <v>0</v>
      </c>
      <c r="L19" s="13">
        <f>SUMIF(Mercado_Receita!$T$2:$T$1099,"44470B1Energia convencional pré-pagamentoResidencialResidencial baixa renda – faixa 04Não se aplicaNão se aplicaNão se aplica",Mercado_Receita!$N$2:$N$1099)</f>
        <v>0</v>
      </c>
      <c r="M19" s="13">
        <f>SUMIF(Mercado_Receita!$T$2:$T$1099,"44501B1Energia convencional pré-pagamentoResidencialResidencial baixa renda – faixa 04Não se aplicaNão se aplicaNão se aplica",Mercado_Receita!$N$2:$N$1099)</f>
        <v>0</v>
      </c>
      <c r="N19" s="13">
        <f>SUMIF(Mercado_Receita!$T$2:$T$1099,"44531B1Energia convencional pré-pagamentoResidencialResidencial baixa renda – faixa 04Não se aplicaNão se aplicaNão se aplica",Mercado_Receita!$N$2:$N$1099)</f>
        <v>0</v>
      </c>
      <c r="O19" s="13">
        <f>SUMIF(Mercado_Receita!$T$2:$T$1099,"44562B1Energia convencional pré-pagamentoResidencialResidencial baixa renda – faixa 04Não se aplicaNão se aplicaNão se aplica",Mercado_Receita!$N$2:$N$1099)</f>
        <v>0</v>
      </c>
      <c r="P19" s="13">
        <f>SUMIF(Mercado_Receita!$T$2:$T$1099,"44593B1Energia convencional pré-pagamentoResidencialResidencial baixa renda – faixa 04Não se aplicaNão se aplicaNão se aplica",Mercado_Receita!$N$2:$N$1099)</f>
        <v>0</v>
      </c>
      <c r="Q19" s="13">
        <f>SUMIF(Mercado_Receita!$T$2:$T$1099,"44621B1Energia convencional pré-pagamentoResidencialResidencial baixa renda – faixa 04Não se aplicaNão se aplicaNão se aplica",Mercado_Receita!$N$2:$N$1099)</f>
        <v>0</v>
      </c>
      <c r="R19" s="13">
        <f>SUMIF(Mercado_Receita!$T$2:$T$1099,"44652B1Energia convencional pré-pagamentoResidencialResidencial baixa renda – faixa 04Não se aplicaNão se aplicaNão se aplica",Mercado_Receita!$N$2:$N$1099)</f>
        <v>0</v>
      </c>
      <c r="S19" s="13">
        <f>SUMIF(Mercado_Receita!$T$2:$T$1099,"44682B1Energia convencional pré-pagamentoResidencialResidencial baixa renda – faixa 04Não se aplicaNão se aplicaNão se aplica",Mercado_Receita!$N$2:$N$1099)</f>
        <v>0</v>
      </c>
      <c r="T19" s="13">
        <f>SUMIF(Mercado_Receita!$T$2:$T$1099,"44713B1Energia convencional pré-pagamentoResidencialResidencial baixa renda – faixa 04Não se aplicaNão se aplicaNão se aplica",Mercado_Receita!$N$2:$N$1099)</f>
        <v>0</v>
      </c>
      <c r="U19" s="13">
        <f t="shared" si="0"/>
        <v>0</v>
      </c>
      <c r="V19" s="13"/>
      <c r="W19" s="13"/>
    </row>
    <row r="20" spans="1:23" ht="11.25" customHeight="1" x14ac:dyDescent="0.25">
      <c r="A20" s="94" t="s">
        <v>41</v>
      </c>
      <c r="B20" s="94" t="s">
        <v>81</v>
      </c>
      <c r="C20" s="94" t="s">
        <v>42</v>
      </c>
      <c r="D20" s="94" t="s">
        <v>25</v>
      </c>
      <c r="E20" s="94" t="s">
        <v>25</v>
      </c>
      <c r="F20" s="94" t="s">
        <v>25</v>
      </c>
      <c r="G20" s="13" t="s">
        <v>83</v>
      </c>
      <c r="H20" s="13" t="s">
        <v>82</v>
      </c>
      <c r="I20" s="13">
        <f>SUMIF(Mercado_Receita!$T$2:$T$1099,"44378B2Energia horáriaRuralNão se aplicaNão se aplicaNão se aplicaPonta",Mercado_Receita!$N$2:$N$1099)</f>
        <v>0</v>
      </c>
      <c r="J20" s="13">
        <f>SUMIF(Mercado_Receita!$T$2:$T$1099,"44409B2Energia horáriaRuralNão se aplicaNão se aplicaNão se aplicaPonta",Mercado_Receita!$N$2:$N$1099)</f>
        <v>0</v>
      </c>
      <c r="K20" s="13">
        <f>SUMIF(Mercado_Receita!$T$2:$T$1099,"44440B2Energia horáriaRuralNão se aplicaNão se aplicaNão se aplicaPonta",Mercado_Receita!$N$2:$N$1099)</f>
        <v>0</v>
      </c>
      <c r="L20" s="13">
        <f>SUMIF(Mercado_Receita!$T$2:$T$1099,"44470B2Energia horáriaRuralNão se aplicaNão se aplicaNão se aplicaPonta",Mercado_Receita!$N$2:$N$1099)</f>
        <v>0</v>
      </c>
      <c r="M20" s="13">
        <f>SUMIF(Mercado_Receita!$T$2:$T$1099,"44501B2Energia horáriaRuralNão se aplicaNão se aplicaNão se aplicaPonta",Mercado_Receita!$N$2:$N$1099)</f>
        <v>0</v>
      </c>
      <c r="N20" s="13">
        <f>SUMIF(Mercado_Receita!$T$2:$T$1099,"44531B2Energia horáriaRuralNão se aplicaNão se aplicaNão se aplicaPonta",Mercado_Receita!$N$2:$N$1099)</f>
        <v>0</v>
      </c>
      <c r="O20" s="13">
        <f>SUMIF(Mercado_Receita!$T$2:$T$1099,"44562B2Energia horáriaRuralNão se aplicaNão se aplicaNão se aplicaPonta",Mercado_Receita!$N$2:$N$1099)</f>
        <v>0</v>
      </c>
      <c r="P20" s="13">
        <f>SUMIF(Mercado_Receita!$T$2:$T$1099,"44593B2Energia horáriaRuralNão se aplicaNão se aplicaNão se aplicaPonta",Mercado_Receita!$N$2:$N$1099)</f>
        <v>0</v>
      </c>
      <c r="Q20" s="13">
        <f>SUMIF(Mercado_Receita!$T$2:$T$1099,"44621B2Energia horáriaRuralNão se aplicaNão se aplicaNão se aplicaPonta",Mercado_Receita!$N$2:$N$1099)</f>
        <v>0</v>
      </c>
      <c r="R20" s="13">
        <f>SUMIF(Mercado_Receita!$T$2:$T$1099,"44652B2Energia horáriaRuralNão se aplicaNão se aplicaNão se aplicaPonta",Mercado_Receita!$N$2:$N$1099)</f>
        <v>0</v>
      </c>
      <c r="S20" s="13">
        <f>SUMIF(Mercado_Receita!$T$2:$T$1099,"44682B2Energia horáriaRuralNão se aplicaNão se aplicaNão se aplicaPonta",Mercado_Receita!$N$2:$N$1099)</f>
        <v>0</v>
      </c>
      <c r="T20" s="13">
        <f>SUMIF(Mercado_Receita!$T$2:$T$1099,"44713B2Energia horáriaRuralNão se aplicaNão se aplicaNão se aplicaPonta",Mercado_Receita!$N$2:$N$1099)</f>
        <v>0</v>
      </c>
      <c r="U20" s="13">
        <f t="shared" si="0"/>
        <v>0</v>
      </c>
      <c r="V20" s="13"/>
      <c r="W20" s="13"/>
    </row>
    <row r="21" spans="1:23" ht="11.25" customHeight="1" x14ac:dyDescent="0.25">
      <c r="A21" s="95"/>
      <c r="B21" s="95"/>
      <c r="C21" s="95"/>
      <c r="D21" s="95"/>
      <c r="E21" s="95"/>
      <c r="F21" s="95"/>
      <c r="G21" s="13" t="s">
        <v>94</v>
      </c>
      <c r="H21" s="13" t="s">
        <v>82</v>
      </c>
      <c r="I21" s="13">
        <f>SUMIF(Mercado_Receita!$T$2:$T$1099,"44378B2Energia horáriaRuralNão se aplicaNão se aplicaNão se aplicaIntermediário",Mercado_Receita!$N$2:$N$1099)</f>
        <v>0</v>
      </c>
      <c r="J21" s="13">
        <f>SUMIF(Mercado_Receita!$T$2:$T$1099,"44409B2Energia horáriaRuralNão se aplicaNão se aplicaNão se aplicaIntermediário",Mercado_Receita!$N$2:$N$1099)</f>
        <v>0</v>
      </c>
      <c r="K21" s="13">
        <f>SUMIF(Mercado_Receita!$T$2:$T$1099,"44440B2Energia horáriaRuralNão se aplicaNão se aplicaNão se aplicaIntermediário",Mercado_Receita!$N$2:$N$1099)</f>
        <v>0</v>
      </c>
      <c r="L21" s="13">
        <f>SUMIF(Mercado_Receita!$T$2:$T$1099,"44470B2Energia horáriaRuralNão se aplicaNão se aplicaNão se aplicaIntermediário",Mercado_Receita!$N$2:$N$1099)</f>
        <v>0</v>
      </c>
      <c r="M21" s="13">
        <f>SUMIF(Mercado_Receita!$T$2:$T$1099,"44501B2Energia horáriaRuralNão se aplicaNão se aplicaNão se aplicaIntermediário",Mercado_Receita!$N$2:$N$1099)</f>
        <v>0</v>
      </c>
      <c r="N21" s="13">
        <f>SUMIF(Mercado_Receita!$T$2:$T$1099,"44531B2Energia horáriaRuralNão se aplicaNão se aplicaNão se aplicaIntermediário",Mercado_Receita!$N$2:$N$1099)</f>
        <v>0</v>
      </c>
      <c r="O21" s="13">
        <f>SUMIF(Mercado_Receita!$T$2:$T$1099,"44562B2Energia horáriaRuralNão se aplicaNão se aplicaNão se aplicaIntermediário",Mercado_Receita!$N$2:$N$1099)</f>
        <v>0</v>
      </c>
      <c r="P21" s="13">
        <f>SUMIF(Mercado_Receita!$T$2:$T$1099,"44593B2Energia horáriaRuralNão se aplicaNão se aplicaNão se aplicaIntermediário",Mercado_Receita!$N$2:$N$1099)</f>
        <v>0</v>
      </c>
      <c r="Q21" s="13">
        <f>SUMIF(Mercado_Receita!$T$2:$T$1099,"44621B2Energia horáriaRuralNão se aplicaNão se aplicaNão se aplicaIntermediário",Mercado_Receita!$N$2:$N$1099)</f>
        <v>0</v>
      </c>
      <c r="R21" s="13">
        <f>SUMIF(Mercado_Receita!$T$2:$T$1099,"44652B2Energia horáriaRuralNão se aplicaNão se aplicaNão se aplicaIntermediário",Mercado_Receita!$N$2:$N$1099)</f>
        <v>0</v>
      </c>
      <c r="S21" s="13">
        <f>SUMIF(Mercado_Receita!$T$2:$T$1099,"44682B2Energia horáriaRuralNão se aplicaNão se aplicaNão se aplicaIntermediário",Mercado_Receita!$N$2:$N$1099)</f>
        <v>0</v>
      </c>
      <c r="T21" s="13">
        <f>SUMIF(Mercado_Receita!$T$2:$T$1099,"44713B2Energia horáriaRuralNão se aplicaNão se aplicaNão se aplicaIntermediário",Mercado_Receita!$N$2:$N$1099)</f>
        <v>0</v>
      </c>
      <c r="U21" s="13">
        <f t="shared" si="0"/>
        <v>0</v>
      </c>
      <c r="V21" s="13"/>
      <c r="W21" s="13"/>
    </row>
    <row r="22" spans="1:23" ht="11.25" customHeight="1" x14ac:dyDescent="0.25">
      <c r="A22" s="95"/>
      <c r="B22" s="95"/>
      <c r="C22" s="95"/>
      <c r="D22" s="95"/>
      <c r="E22" s="95"/>
      <c r="F22" s="95"/>
      <c r="G22" s="13" t="s">
        <v>84</v>
      </c>
      <c r="H22" s="13" t="s">
        <v>82</v>
      </c>
      <c r="I22" s="13">
        <f>SUMIF(Mercado_Receita!$T$2:$T$1099,"44378B2Energia horáriaRuralNão se aplicaNão se aplicaNão se aplicaFora ponta",Mercado_Receita!$N$2:$N$1099)</f>
        <v>0</v>
      </c>
      <c r="J22" s="13">
        <f>SUMIF(Mercado_Receita!$T$2:$T$1099,"44409B2Energia horáriaRuralNão se aplicaNão se aplicaNão se aplicaFora ponta",Mercado_Receita!$N$2:$N$1099)</f>
        <v>0</v>
      </c>
      <c r="K22" s="13">
        <f>SUMIF(Mercado_Receita!$T$2:$T$1099,"44440B2Energia horáriaRuralNão se aplicaNão se aplicaNão se aplicaFora ponta",Mercado_Receita!$N$2:$N$1099)</f>
        <v>0</v>
      </c>
      <c r="L22" s="13">
        <f>SUMIF(Mercado_Receita!$T$2:$T$1099,"44470B2Energia horáriaRuralNão se aplicaNão se aplicaNão se aplicaFora ponta",Mercado_Receita!$N$2:$N$1099)</f>
        <v>0</v>
      </c>
      <c r="M22" s="13">
        <f>SUMIF(Mercado_Receita!$T$2:$T$1099,"44501B2Energia horáriaRuralNão se aplicaNão se aplicaNão se aplicaFora ponta",Mercado_Receita!$N$2:$N$1099)</f>
        <v>0</v>
      </c>
      <c r="N22" s="13">
        <f>SUMIF(Mercado_Receita!$T$2:$T$1099,"44531B2Energia horáriaRuralNão se aplicaNão se aplicaNão se aplicaFora ponta",Mercado_Receita!$N$2:$N$1099)</f>
        <v>0</v>
      </c>
      <c r="O22" s="13">
        <f>SUMIF(Mercado_Receita!$T$2:$T$1099,"44562B2Energia horáriaRuralNão se aplicaNão se aplicaNão se aplicaFora ponta",Mercado_Receita!$N$2:$N$1099)</f>
        <v>0</v>
      </c>
      <c r="P22" s="13">
        <f>SUMIF(Mercado_Receita!$T$2:$T$1099,"44593B2Energia horáriaRuralNão se aplicaNão se aplicaNão se aplicaFora ponta",Mercado_Receita!$N$2:$N$1099)</f>
        <v>0</v>
      </c>
      <c r="Q22" s="13">
        <f>SUMIF(Mercado_Receita!$T$2:$T$1099,"44621B2Energia horáriaRuralNão se aplicaNão se aplicaNão se aplicaFora ponta",Mercado_Receita!$N$2:$N$1099)</f>
        <v>0</v>
      </c>
      <c r="R22" s="13">
        <f>SUMIF(Mercado_Receita!$T$2:$T$1099,"44652B2Energia horáriaRuralNão se aplicaNão se aplicaNão se aplicaFora ponta",Mercado_Receita!$N$2:$N$1099)</f>
        <v>0</v>
      </c>
      <c r="S22" s="13">
        <f>SUMIF(Mercado_Receita!$T$2:$T$1099,"44682B2Energia horáriaRuralNão se aplicaNão se aplicaNão se aplicaFora ponta",Mercado_Receita!$N$2:$N$1099)</f>
        <v>0</v>
      </c>
      <c r="T22" s="13">
        <f>SUMIF(Mercado_Receita!$T$2:$T$1099,"44713B2Energia horáriaRuralNão se aplicaNão se aplicaNão se aplicaFora ponta",Mercado_Receita!$N$2:$N$1099)</f>
        <v>0</v>
      </c>
      <c r="U22" s="13">
        <f t="shared" si="0"/>
        <v>0</v>
      </c>
      <c r="V22" s="13"/>
      <c r="W22" s="13"/>
    </row>
    <row r="23" spans="1:23" ht="11.25" customHeight="1" x14ac:dyDescent="0.25">
      <c r="A23" s="95"/>
      <c r="B23" s="12" t="s">
        <v>90</v>
      </c>
      <c r="C23" s="12" t="s">
        <v>42</v>
      </c>
      <c r="D23" s="12" t="s">
        <v>25</v>
      </c>
      <c r="E23" s="12" t="s">
        <v>25</v>
      </c>
      <c r="F23" s="12" t="s">
        <v>25</v>
      </c>
      <c r="G23" s="13" t="s">
        <v>88</v>
      </c>
      <c r="H23" s="13" t="s">
        <v>82</v>
      </c>
      <c r="I23" s="13">
        <f>SUMIF(Mercado_Receita!$T$2:$T$1099,"44378B2Energia convencionalRuralNão se aplicaNão se aplicaNão se aplicaNão se aplica",Mercado_Receita!$N$2:$N$1099)</f>
        <v>13364.159000000001</v>
      </c>
      <c r="J23" s="13">
        <f>SUMIF(Mercado_Receita!$T$2:$T$1099,"44409B2Energia convencionalRuralNão se aplicaNão se aplicaNão se aplicaNão se aplica",Mercado_Receita!$N$2:$N$1099)</f>
        <v>14243.99</v>
      </c>
      <c r="K23" s="13">
        <f>SUMIF(Mercado_Receita!$T$2:$T$1099,"44440B2Energia convencionalRuralNão se aplicaNão se aplicaNão se aplicaNão se aplica",Mercado_Receita!$N$2:$N$1099)</f>
        <v>14497.259</v>
      </c>
      <c r="L23" s="13">
        <f>SUMIF(Mercado_Receita!$T$2:$T$1099,"44470B2Energia convencionalRuralNão se aplicaNão se aplicaNão se aplicaNão se aplica",Mercado_Receita!$N$2:$N$1099)</f>
        <v>14106.957000000002</v>
      </c>
      <c r="M23" s="13">
        <f>SUMIF(Mercado_Receita!$T$2:$T$1099,"44501B2Energia convencionalRuralNão se aplicaNão se aplicaNão se aplicaNão se aplica",Mercado_Receita!$N$2:$N$1099)</f>
        <v>14874.311999999998</v>
      </c>
      <c r="N23" s="13">
        <f>SUMIF(Mercado_Receita!$T$2:$T$1099,"44531B2Energia convencionalRuralNão se aplicaNão se aplicaNão se aplicaNão se aplica",Mercado_Receita!$N$2:$N$1099)</f>
        <v>16020.019000000002</v>
      </c>
      <c r="O23" s="13">
        <f>SUMIF(Mercado_Receita!$T$2:$T$1099,"44562B2Energia convencionalRuralNão se aplicaNão se aplicaNão se aplicaNão se aplica",Mercado_Receita!$N$2:$N$1099)</f>
        <v>19752.710999999999</v>
      </c>
      <c r="P23" s="13">
        <f>SUMIF(Mercado_Receita!$T$2:$T$1099,"44593B2Energia convencionalRuralNão se aplicaNão se aplicaNão se aplicaNão se aplica",Mercado_Receita!$N$2:$N$1099)</f>
        <v>18847.164000000001</v>
      </c>
      <c r="Q23" s="13">
        <f>SUMIF(Mercado_Receita!$T$2:$T$1099,"44621B2Energia convencionalRuralNão se aplicaNão se aplicaNão se aplicaNão se aplica",Mercado_Receita!$N$2:$N$1099)</f>
        <v>16737.337</v>
      </c>
      <c r="R23" s="13">
        <f>SUMIF(Mercado_Receita!$T$2:$T$1099,"44652B2Energia convencionalRuralNão se aplicaNão se aplicaNão se aplicaNão se aplica",Mercado_Receita!$N$2:$N$1099)</f>
        <v>15150.485999999999</v>
      </c>
      <c r="S23" s="13">
        <f>SUMIF(Mercado_Receita!$T$2:$T$1099,"44682B2Energia convencionalRuralNão se aplicaNão se aplicaNão se aplicaNão se aplica",Mercado_Receita!$N$2:$N$1099)</f>
        <v>14189.781000000001</v>
      </c>
      <c r="T23" s="13">
        <f>SUMIF(Mercado_Receita!$T$2:$T$1099,"44713B2Energia convencionalRuralNão se aplicaNão se aplicaNão se aplicaNão se aplica",Mercado_Receita!$N$2:$N$1099)</f>
        <v>14199.049000000001</v>
      </c>
      <c r="U23" s="13">
        <f t="shared" si="0"/>
        <v>185983.22399999999</v>
      </c>
      <c r="V23" s="13"/>
      <c r="W23" s="13"/>
    </row>
    <row r="24" spans="1:23" ht="11.25" customHeight="1" x14ac:dyDescent="0.25">
      <c r="A24" s="95"/>
      <c r="B24" s="94" t="s">
        <v>81</v>
      </c>
      <c r="C24" s="94" t="s">
        <v>42</v>
      </c>
      <c r="D24" s="94" t="s">
        <v>98</v>
      </c>
      <c r="E24" s="94" t="s">
        <v>25</v>
      </c>
      <c r="F24" s="94" t="s">
        <v>25</v>
      </c>
      <c r="G24" s="13" t="s">
        <v>83</v>
      </c>
      <c r="H24" s="13" t="s">
        <v>82</v>
      </c>
      <c r="I24" s="13">
        <f>SUMIF(Mercado_Receita!$T$2:$T$1099,"44378B2Energia horáriaRuralCooperativa de eletrificação ruralNão se aplicaNão se aplicaPonta",Mercado_Receita!$N$2:$N$1099)</f>
        <v>0</v>
      </c>
      <c r="J24" s="13">
        <f>SUMIF(Mercado_Receita!$T$2:$T$1099,"44409B2Energia horáriaRuralCooperativa de eletrificação ruralNão se aplicaNão se aplicaPonta",Mercado_Receita!$N$2:$N$1099)</f>
        <v>0</v>
      </c>
      <c r="K24" s="13">
        <f>SUMIF(Mercado_Receita!$T$2:$T$1099,"44440B2Energia horáriaRuralCooperativa de eletrificação ruralNão se aplicaNão se aplicaPonta",Mercado_Receita!$N$2:$N$1099)</f>
        <v>0</v>
      </c>
      <c r="L24" s="13">
        <f>SUMIF(Mercado_Receita!$T$2:$T$1099,"44470B2Energia horáriaRuralCooperativa de eletrificação ruralNão se aplicaNão se aplicaPonta",Mercado_Receita!$N$2:$N$1099)</f>
        <v>0</v>
      </c>
      <c r="M24" s="13">
        <f>SUMIF(Mercado_Receita!$T$2:$T$1099,"44501B2Energia horáriaRuralCooperativa de eletrificação ruralNão se aplicaNão se aplicaPonta",Mercado_Receita!$N$2:$N$1099)</f>
        <v>0</v>
      </c>
      <c r="N24" s="13">
        <f>SUMIF(Mercado_Receita!$T$2:$T$1099,"44531B2Energia horáriaRuralCooperativa de eletrificação ruralNão se aplicaNão se aplicaPonta",Mercado_Receita!$N$2:$N$1099)</f>
        <v>0</v>
      </c>
      <c r="O24" s="13">
        <f>SUMIF(Mercado_Receita!$T$2:$T$1099,"44562B2Energia horáriaRuralCooperativa de eletrificação ruralNão se aplicaNão se aplicaPonta",Mercado_Receita!$N$2:$N$1099)</f>
        <v>0</v>
      </c>
      <c r="P24" s="13">
        <f>SUMIF(Mercado_Receita!$T$2:$T$1099,"44593B2Energia horáriaRuralCooperativa de eletrificação ruralNão se aplicaNão se aplicaPonta",Mercado_Receita!$N$2:$N$1099)</f>
        <v>0</v>
      </c>
      <c r="Q24" s="13">
        <f>SUMIF(Mercado_Receita!$T$2:$T$1099,"44621B2Energia horáriaRuralCooperativa de eletrificação ruralNão se aplicaNão se aplicaPonta",Mercado_Receita!$N$2:$N$1099)</f>
        <v>0</v>
      </c>
      <c r="R24" s="13">
        <f>SUMIF(Mercado_Receita!$T$2:$T$1099,"44652B2Energia horáriaRuralCooperativa de eletrificação ruralNão se aplicaNão se aplicaPonta",Mercado_Receita!$N$2:$N$1099)</f>
        <v>0</v>
      </c>
      <c r="S24" s="13">
        <f>SUMIF(Mercado_Receita!$T$2:$T$1099,"44682B2Energia horáriaRuralCooperativa de eletrificação ruralNão se aplicaNão se aplicaPonta",Mercado_Receita!$N$2:$N$1099)</f>
        <v>0</v>
      </c>
      <c r="T24" s="13">
        <f>SUMIF(Mercado_Receita!$T$2:$T$1099,"44713B2Energia horáriaRuralCooperativa de eletrificação ruralNão se aplicaNão se aplicaPonta",Mercado_Receita!$N$2:$N$1099)</f>
        <v>0</v>
      </c>
      <c r="U24" s="13">
        <f t="shared" si="0"/>
        <v>0</v>
      </c>
      <c r="V24" s="13"/>
      <c r="W24" s="13"/>
    </row>
    <row r="25" spans="1:23" ht="11.25" customHeight="1" x14ac:dyDescent="0.25">
      <c r="A25" s="95"/>
      <c r="B25" s="95"/>
      <c r="C25" s="95"/>
      <c r="D25" s="95"/>
      <c r="E25" s="95"/>
      <c r="F25" s="95"/>
      <c r="G25" s="13" t="s">
        <v>94</v>
      </c>
      <c r="H25" s="13" t="s">
        <v>82</v>
      </c>
      <c r="I25" s="13">
        <f>SUMIF(Mercado_Receita!$T$2:$T$1099,"44378B2Energia horáriaRuralCooperativa de eletrificação ruralNão se aplicaNão se aplicaIntermediário",Mercado_Receita!$N$2:$N$1099)</f>
        <v>0</v>
      </c>
      <c r="J25" s="13">
        <f>SUMIF(Mercado_Receita!$T$2:$T$1099,"44409B2Energia horáriaRuralCooperativa de eletrificação ruralNão se aplicaNão se aplicaIntermediário",Mercado_Receita!$N$2:$N$1099)</f>
        <v>0</v>
      </c>
      <c r="K25" s="13">
        <f>SUMIF(Mercado_Receita!$T$2:$T$1099,"44440B2Energia horáriaRuralCooperativa de eletrificação ruralNão se aplicaNão se aplicaIntermediário",Mercado_Receita!$N$2:$N$1099)</f>
        <v>0</v>
      </c>
      <c r="L25" s="13">
        <f>SUMIF(Mercado_Receita!$T$2:$T$1099,"44470B2Energia horáriaRuralCooperativa de eletrificação ruralNão se aplicaNão se aplicaIntermediário",Mercado_Receita!$N$2:$N$1099)</f>
        <v>0</v>
      </c>
      <c r="M25" s="13">
        <f>SUMIF(Mercado_Receita!$T$2:$T$1099,"44501B2Energia horáriaRuralCooperativa de eletrificação ruralNão se aplicaNão se aplicaIntermediário",Mercado_Receita!$N$2:$N$1099)</f>
        <v>0</v>
      </c>
      <c r="N25" s="13">
        <f>SUMIF(Mercado_Receita!$T$2:$T$1099,"44531B2Energia horáriaRuralCooperativa de eletrificação ruralNão se aplicaNão se aplicaIntermediário",Mercado_Receita!$N$2:$N$1099)</f>
        <v>0</v>
      </c>
      <c r="O25" s="13">
        <f>SUMIF(Mercado_Receita!$T$2:$T$1099,"44562B2Energia horáriaRuralCooperativa de eletrificação ruralNão se aplicaNão se aplicaIntermediário",Mercado_Receita!$N$2:$N$1099)</f>
        <v>0</v>
      </c>
      <c r="P25" s="13">
        <f>SUMIF(Mercado_Receita!$T$2:$T$1099,"44593B2Energia horáriaRuralCooperativa de eletrificação ruralNão se aplicaNão se aplicaIntermediário",Mercado_Receita!$N$2:$N$1099)</f>
        <v>0</v>
      </c>
      <c r="Q25" s="13">
        <f>SUMIF(Mercado_Receita!$T$2:$T$1099,"44621B2Energia horáriaRuralCooperativa de eletrificação ruralNão se aplicaNão se aplicaIntermediário",Mercado_Receita!$N$2:$N$1099)</f>
        <v>0</v>
      </c>
      <c r="R25" s="13">
        <f>SUMIF(Mercado_Receita!$T$2:$T$1099,"44652B2Energia horáriaRuralCooperativa de eletrificação ruralNão se aplicaNão se aplicaIntermediário",Mercado_Receita!$N$2:$N$1099)</f>
        <v>0</v>
      </c>
      <c r="S25" s="13">
        <f>SUMIF(Mercado_Receita!$T$2:$T$1099,"44682B2Energia horáriaRuralCooperativa de eletrificação ruralNão se aplicaNão se aplicaIntermediário",Mercado_Receita!$N$2:$N$1099)</f>
        <v>0</v>
      </c>
      <c r="T25" s="13">
        <f>SUMIF(Mercado_Receita!$T$2:$T$1099,"44713B2Energia horáriaRuralCooperativa de eletrificação ruralNão se aplicaNão se aplicaIntermediário",Mercado_Receita!$N$2:$N$1099)</f>
        <v>0</v>
      </c>
      <c r="U25" s="13">
        <f t="shared" si="0"/>
        <v>0</v>
      </c>
      <c r="V25" s="13"/>
      <c r="W25" s="13"/>
    </row>
    <row r="26" spans="1:23" ht="11.25" customHeight="1" x14ac:dyDescent="0.25">
      <c r="A26" s="95"/>
      <c r="B26" s="95"/>
      <c r="C26" s="95"/>
      <c r="D26" s="95"/>
      <c r="E26" s="95"/>
      <c r="F26" s="95"/>
      <c r="G26" s="13" t="s">
        <v>84</v>
      </c>
      <c r="H26" s="13" t="s">
        <v>82</v>
      </c>
      <c r="I26" s="13">
        <f>SUMIF(Mercado_Receita!$T$2:$T$1099,"44378B2Energia horáriaRuralCooperativa de eletrificação ruralNão se aplicaNão se aplicaFora ponta",Mercado_Receita!$N$2:$N$1099)</f>
        <v>0</v>
      </c>
      <c r="J26" s="13">
        <f>SUMIF(Mercado_Receita!$T$2:$T$1099,"44409B2Energia horáriaRuralCooperativa de eletrificação ruralNão se aplicaNão se aplicaFora ponta",Mercado_Receita!$N$2:$N$1099)</f>
        <v>0</v>
      </c>
      <c r="K26" s="13">
        <f>SUMIF(Mercado_Receita!$T$2:$T$1099,"44440B2Energia horáriaRuralCooperativa de eletrificação ruralNão se aplicaNão se aplicaFora ponta",Mercado_Receita!$N$2:$N$1099)</f>
        <v>0</v>
      </c>
      <c r="L26" s="13">
        <f>SUMIF(Mercado_Receita!$T$2:$T$1099,"44470B2Energia horáriaRuralCooperativa de eletrificação ruralNão se aplicaNão se aplicaFora ponta",Mercado_Receita!$N$2:$N$1099)</f>
        <v>0</v>
      </c>
      <c r="M26" s="13">
        <f>SUMIF(Mercado_Receita!$T$2:$T$1099,"44501B2Energia horáriaRuralCooperativa de eletrificação ruralNão se aplicaNão se aplicaFora ponta",Mercado_Receita!$N$2:$N$1099)</f>
        <v>0</v>
      </c>
      <c r="N26" s="13">
        <f>SUMIF(Mercado_Receita!$T$2:$T$1099,"44531B2Energia horáriaRuralCooperativa de eletrificação ruralNão se aplicaNão se aplicaFora ponta",Mercado_Receita!$N$2:$N$1099)</f>
        <v>0</v>
      </c>
      <c r="O26" s="13">
        <f>SUMIF(Mercado_Receita!$T$2:$T$1099,"44562B2Energia horáriaRuralCooperativa de eletrificação ruralNão se aplicaNão se aplicaFora ponta",Mercado_Receita!$N$2:$N$1099)</f>
        <v>0</v>
      </c>
      <c r="P26" s="13">
        <f>SUMIF(Mercado_Receita!$T$2:$T$1099,"44593B2Energia horáriaRuralCooperativa de eletrificação ruralNão se aplicaNão se aplicaFora ponta",Mercado_Receita!$N$2:$N$1099)</f>
        <v>0</v>
      </c>
      <c r="Q26" s="13">
        <f>SUMIF(Mercado_Receita!$T$2:$T$1099,"44621B2Energia horáriaRuralCooperativa de eletrificação ruralNão se aplicaNão se aplicaFora ponta",Mercado_Receita!$N$2:$N$1099)</f>
        <v>0</v>
      </c>
      <c r="R26" s="13">
        <f>SUMIF(Mercado_Receita!$T$2:$T$1099,"44652B2Energia horáriaRuralCooperativa de eletrificação ruralNão se aplicaNão se aplicaFora ponta",Mercado_Receita!$N$2:$N$1099)</f>
        <v>0</v>
      </c>
      <c r="S26" s="13">
        <f>SUMIF(Mercado_Receita!$T$2:$T$1099,"44682B2Energia horáriaRuralCooperativa de eletrificação ruralNão se aplicaNão se aplicaFora ponta",Mercado_Receita!$N$2:$N$1099)</f>
        <v>0</v>
      </c>
      <c r="T26" s="13">
        <f>SUMIF(Mercado_Receita!$T$2:$T$1099,"44713B2Energia horáriaRuralCooperativa de eletrificação ruralNão se aplicaNão se aplicaFora ponta",Mercado_Receita!$N$2:$N$1099)</f>
        <v>0</v>
      </c>
      <c r="U26" s="13">
        <f t="shared" si="0"/>
        <v>0</v>
      </c>
      <c r="V26" s="13"/>
      <c r="W26" s="13"/>
    </row>
    <row r="27" spans="1:23" ht="11.25" customHeight="1" x14ac:dyDescent="0.25">
      <c r="A27" s="95"/>
      <c r="B27" s="12" t="s">
        <v>90</v>
      </c>
      <c r="C27" s="12" t="s">
        <v>42</v>
      </c>
      <c r="D27" s="12" t="s">
        <v>98</v>
      </c>
      <c r="E27" s="12" t="s">
        <v>25</v>
      </c>
      <c r="F27" s="12" t="s">
        <v>25</v>
      </c>
      <c r="G27" s="13" t="s">
        <v>88</v>
      </c>
      <c r="H27" s="13" t="s">
        <v>82</v>
      </c>
      <c r="I27" s="13">
        <f>SUMIF(Mercado_Receita!$T$2:$T$1099,"44378B2Energia convencionalRuralCooperativa de eletrificação ruralNão se aplicaNão se aplicaNão se aplica",Mercado_Receita!$N$2:$N$1099)</f>
        <v>0</v>
      </c>
      <c r="J27" s="13">
        <f>SUMIF(Mercado_Receita!$T$2:$T$1099,"44409B2Energia convencionalRuralCooperativa de eletrificação ruralNão se aplicaNão se aplicaNão se aplica",Mercado_Receita!$N$2:$N$1099)</f>
        <v>0</v>
      </c>
      <c r="K27" s="13">
        <f>SUMIF(Mercado_Receita!$T$2:$T$1099,"44440B2Energia convencionalRuralCooperativa de eletrificação ruralNão se aplicaNão se aplicaNão se aplica",Mercado_Receita!$N$2:$N$1099)</f>
        <v>0</v>
      </c>
      <c r="L27" s="13">
        <f>SUMIF(Mercado_Receita!$T$2:$T$1099,"44470B2Energia convencionalRuralCooperativa de eletrificação ruralNão se aplicaNão se aplicaNão se aplica",Mercado_Receita!$N$2:$N$1099)</f>
        <v>0</v>
      </c>
      <c r="M27" s="13">
        <f>SUMIF(Mercado_Receita!$T$2:$T$1099,"44501B2Energia convencionalRuralCooperativa de eletrificação ruralNão se aplicaNão se aplicaNão se aplica",Mercado_Receita!$N$2:$N$1099)</f>
        <v>0</v>
      </c>
      <c r="N27" s="13">
        <f>SUMIF(Mercado_Receita!$T$2:$T$1099,"44531B2Energia convencionalRuralCooperativa de eletrificação ruralNão se aplicaNão se aplicaNão se aplica",Mercado_Receita!$N$2:$N$1099)</f>
        <v>0</v>
      </c>
      <c r="O27" s="13">
        <f>SUMIF(Mercado_Receita!$T$2:$T$1099,"44562B2Energia convencionalRuralCooperativa de eletrificação ruralNão se aplicaNão se aplicaNão se aplica",Mercado_Receita!$N$2:$N$1099)</f>
        <v>0</v>
      </c>
      <c r="P27" s="13">
        <f>SUMIF(Mercado_Receita!$T$2:$T$1099,"44593B2Energia convencionalRuralCooperativa de eletrificação ruralNão se aplicaNão se aplicaNão se aplica",Mercado_Receita!$N$2:$N$1099)</f>
        <v>0</v>
      </c>
      <c r="Q27" s="13">
        <f>SUMIF(Mercado_Receita!$T$2:$T$1099,"44621B2Energia convencionalRuralCooperativa de eletrificação ruralNão se aplicaNão se aplicaNão se aplica",Mercado_Receita!$N$2:$N$1099)</f>
        <v>0</v>
      </c>
      <c r="R27" s="13">
        <f>SUMIF(Mercado_Receita!$T$2:$T$1099,"44652B2Energia convencionalRuralCooperativa de eletrificação ruralNão se aplicaNão se aplicaNão se aplica",Mercado_Receita!$N$2:$N$1099)</f>
        <v>0</v>
      </c>
      <c r="S27" s="13">
        <f>SUMIF(Mercado_Receita!$T$2:$T$1099,"44682B2Energia convencionalRuralCooperativa de eletrificação ruralNão se aplicaNão se aplicaNão se aplica",Mercado_Receita!$N$2:$N$1099)</f>
        <v>0</v>
      </c>
      <c r="T27" s="13">
        <f>SUMIF(Mercado_Receita!$T$2:$T$1099,"44713B2Energia convencionalRuralCooperativa de eletrificação ruralNão se aplicaNão se aplicaNão se aplica",Mercado_Receita!$N$2:$N$1099)</f>
        <v>0</v>
      </c>
      <c r="U27" s="13">
        <f t="shared" si="0"/>
        <v>0</v>
      </c>
      <c r="V27" s="13"/>
      <c r="W27" s="13"/>
    </row>
    <row r="28" spans="1:23" ht="11.25" customHeight="1" x14ac:dyDescent="0.25">
      <c r="A28" s="95"/>
      <c r="B28" s="94" t="s">
        <v>81</v>
      </c>
      <c r="C28" s="94" t="s">
        <v>42</v>
      </c>
      <c r="D28" s="94" t="s">
        <v>99</v>
      </c>
      <c r="E28" s="94" t="s">
        <v>25</v>
      </c>
      <c r="F28" s="94" t="s">
        <v>25</v>
      </c>
      <c r="G28" s="13" t="s">
        <v>83</v>
      </c>
      <c r="H28" s="13" t="s">
        <v>82</v>
      </c>
      <c r="I28" s="13">
        <f>SUMIF(Mercado_Receita!$T$2:$T$1099,"44378B2Energia horáriaRuralServiço público de irrigação ruralNão se aplicaNão se aplicaPonta",Mercado_Receita!$N$2:$N$1099)</f>
        <v>0</v>
      </c>
      <c r="J28" s="13">
        <f>SUMIF(Mercado_Receita!$T$2:$T$1099,"44409B2Energia horáriaRuralServiço público de irrigação ruralNão se aplicaNão se aplicaPonta",Mercado_Receita!$N$2:$N$1099)</f>
        <v>0</v>
      </c>
      <c r="K28" s="13">
        <f>SUMIF(Mercado_Receita!$T$2:$T$1099,"44440B2Energia horáriaRuralServiço público de irrigação ruralNão se aplicaNão se aplicaPonta",Mercado_Receita!$N$2:$N$1099)</f>
        <v>0</v>
      </c>
      <c r="L28" s="13">
        <f>SUMIF(Mercado_Receita!$T$2:$T$1099,"44470B2Energia horáriaRuralServiço público de irrigação ruralNão se aplicaNão se aplicaPonta",Mercado_Receita!$N$2:$N$1099)</f>
        <v>0</v>
      </c>
      <c r="M28" s="13">
        <f>SUMIF(Mercado_Receita!$T$2:$T$1099,"44501B2Energia horáriaRuralServiço público de irrigação ruralNão se aplicaNão se aplicaPonta",Mercado_Receita!$N$2:$N$1099)</f>
        <v>0</v>
      </c>
      <c r="N28" s="13">
        <f>SUMIF(Mercado_Receita!$T$2:$T$1099,"44531B2Energia horáriaRuralServiço público de irrigação ruralNão se aplicaNão se aplicaPonta",Mercado_Receita!$N$2:$N$1099)</f>
        <v>0</v>
      </c>
      <c r="O28" s="13">
        <f>SUMIF(Mercado_Receita!$T$2:$T$1099,"44562B2Energia horáriaRuralServiço público de irrigação ruralNão se aplicaNão se aplicaPonta",Mercado_Receita!$N$2:$N$1099)</f>
        <v>0</v>
      </c>
      <c r="P28" s="13">
        <f>SUMIF(Mercado_Receita!$T$2:$T$1099,"44593B2Energia horáriaRuralServiço público de irrigação ruralNão se aplicaNão se aplicaPonta",Mercado_Receita!$N$2:$N$1099)</f>
        <v>0</v>
      </c>
      <c r="Q28" s="13">
        <f>SUMIF(Mercado_Receita!$T$2:$T$1099,"44621B2Energia horáriaRuralServiço público de irrigação ruralNão se aplicaNão se aplicaPonta",Mercado_Receita!$N$2:$N$1099)</f>
        <v>0</v>
      </c>
      <c r="R28" s="13">
        <f>SUMIF(Mercado_Receita!$T$2:$T$1099,"44652B2Energia horáriaRuralServiço público de irrigação ruralNão se aplicaNão se aplicaPonta",Mercado_Receita!$N$2:$N$1099)</f>
        <v>0</v>
      </c>
      <c r="S28" s="13">
        <f>SUMIF(Mercado_Receita!$T$2:$T$1099,"44682B2Energia horáriaRuralServiço público de irrigação ruralNão se aplicaNão se aplicaPonta",Mercado_Receita!$N$2:$N$1099)</f>
        <v>0</v>
      </c>
      <c r="T28" s="13">
        <f>SUMIF(Mercado_Receita!$T$2:$T$1099,"44713B2Energia horáriaRuralServiço público de irrigação ruralNão se aplicaNão se aplicaPonta",Mercado_Receita!$N$2:$N$1099)</f>
        <v>0</v>
      </c>
      <c r="U28" s="13">
        <f t="shared" si="0"/>
        <v>0</v>
      </c>
      <c r="V28" s="13"/>
      <c r="W28" s="13"/>
    </row>
    <row r="29" spans="1:23" ht="11.25" customHeight="1" x14ac:dyDescent="0.25">
      <c r="A29" s="95"/>
      <c r="B29" s="95"/>
      <c r="C29" s="95"/>
      <c r="D29" s="95"/>
      <c r="E29" s="95"/>
      <c r="F29" s="95"/>
      <c r="G29" s="13" t="s">
        <v>94</v>
      </c>
      <c r="H29" s="13" t="s">
        <v>82</v>
      </c>
      <c r="I29" s="13">
        <f>SUMIF(Mercado_Receita!$T$2:$T$1099,"44378B2Energia horáriaRuralServiço público de irrigação ruralNão se aplicaNão se aplicaIntermediário",Mercado_Receita!$N$2:$N$1099)</f>
        <v>0</v>
      </c>
      <c r="J29" s="13">
        <f>SUMIF(Mercado_Receita!$T$2:$T$1099,"44409B2Energia horáriaRuralServiço público de irrigação ruralNão se aplicaNão se aplicaIntermediário",Mercado_Receita!$N$2:$N$1099)</f>
        <v>0</v>
      </c>
      <c r="K29" s="13">
        <f>SUMIF(Mercado_Receita!$T$2:$T$1099,"44440B2Energia horáriaRuralServiço público de irrigação ruralNão se aplicaNão se aplicaIntermediário",Mercado_Receita!$N$2:$N$1099)</f>
        <v>0</v>
      </c>
      <c r="L29" s="13">
        <f>SUMIF(Mercado_Receita!$T$2:$T$1099,"44470B2Energia horáriaRuralServiço público de irrigação ruralNão se aplicaNão se aplicaIntermediário",Mercado_Receita!$N$2:$N$1099)</f>
        <v>0</v>
      </c>
      <c r="M29" s="13">
        <f>SUMIF(Mercado_Receita!$T$2:$T$1099,"44501B2Energia horáriaRuralServiço público de irrigação ruralNão se aplicaNão se aplicaIntermediário",Mercado_Receita!$N$2:$N$1099)</f>
        <v>0</v>
      </c>
      <c r="N29" s="13">
        <f>SUMIF(Mercado_Receita!$T$2:$T$1099,"44531B2Energia horáriaRuralServiço público de irrigação ruralNão se aplicaNão se aplicaIntermediário",Mercado_Receita!$N$2:$N$1099)</f>
        <v>0</v>
      </c>
      <c r="O29" s="13">
        <f>SUMIF(Mercado_Receita!$T$2:$T$1099,"44562B2Energia horáriaRuralServiço público de irrigação ruralNão se aplicaNão se aplicaIntermediário",Mercado_Receita!$N$2:$N$1099)</f>
        <v>0</v>
      </c>
      <c r="P29" s="13">
        <f>SUMIF(Mercado_Receita!$T$2:$T$1099,"44593B2Energia horáriaRuralServiço público de irrigação ruralNão se aplicaNão se aplicaIntermediário",Mercado_Receita!$N$2:$N$1099)</f>
        <v>0</v>
      </c>
      <c r="Q29" s="13">
        <f>SUMIF(Mercado_Receita!$T$2:$T$1099,"44621B2Energia horáriaRuralServiço público de irrigação ruralNão se aplicaNão se aplicaIntermediário",Mercado_Receita!$N$2:$N$1099)</f>
        <v>0</v>
      </c>
      <c r="R29" s="13">
        <f>SUMIF(Mercado_Receita!$T$2:$T$1099,"44652B2Energia horáriaRuralServiço público de irrigação ruralNão se aplicaNão se aplicaIntermediário",Mercado_Receita!$N$2:$N$1099)</f>
        <v>0</v>
      </c>
      <c r="S29" s="13">
        <f>SUMIF(Mercado_Receita!$T$2:$T$1099,"44682B2Energia horáriaRuralServiço público de irrigação ruralNão se aplicaNão se aplicaIntermediário",Mercado_Receita!$N$2:$N$1099)</f>
        <v>0</v>
      </c>
      <c r="T29" s="13">
        <f>SUMIF(Mercado_Receita!$T$2:$T$1099,"44713B2Energia horáriaRuralServiço público de irrigação ruralNão se aplicaNão se aplicaIntermediário",Mercado_Receita!$N$2:$N$1099)</f>
        <v>0</v>
      </c>
      <c r="U29" s="13">
        <f t="shared" si="0"/>
        <v>0</v>
      </c>
      <c r="V29" s="13"/>
      <c r="W29" s="13"/>
    </row>
    <row r="30" spans="1:23" ht="11.25" customHeight="1" x14ac:dyDescent="0.25">
      <c r="A30" s="95"/>
      <c r="B30" s="95"/>
      <c r="C30" s="95"/>
      <c r="D30" s="95"/>
      <c r="E30" s="95"/>
      <c r="F30" s="95"/>
      <c r="G30" s="13" t="s">
        <v>84</v>
      </c>
      <c r="H30" s="13" t="s">
        <v>82</v>
      </c>
      <c r="I30" s="13">
        <f>SUMIF(Mercado_Receita!$T$2:$T$1099,"44378B2Energia horáriaRuralServiço público de irrigação ruralNão se aplicaNão se aplicaFora ponta",Mercado_Receita!$N$2:$N$1099)</f>
        <v>0</v>
      </c>
      <c r="J30" s="13">
        <f>SUMIF(Mercado_Receita!$T$2:$T$1099,"44409B2Energia horáriaRuralServiço público de irrigação ruralNão se aplicaNão se aplicaFora ponta",Mercado_Receita!$N$2:$N$1099)</f>
        <v>0</v>
      </c>
      <c r="K30" s="13">
        <f>SUMIF(Mercado_Receita!$T$2:$T$1099,"44440B2Energia horáriaRuralServiço público de irrigação ruralNão se aplicaNão se aplicaFora ponta",Mercado_Receita!$N$2:$N$1099)</f>
        <v>0</v>
      </c>
      <c r="L30" s="13">
        <f>SUMIF(Mercado_Receita!$T$2:$T$1099,"44470B2Energia horáriaRuralServiço público de irrigação ruralNão se aplicaNão se aplicaFora ponta",Mercado_Receita!$N$2:$N$1099)</f>
        <v>0</v>
      </c>
      <c r="M30" s="13">
        <f>SUMIF(Mercado_Receita!$T$2:$T$1099,"44501B2Energia horáriaRuralServiço público de irrigação ruralNão se aplicaNão se aplicaFora ponta",Mercado_Receita!$N$2:$N$1099)</f>
        <v>0</v>
      </c>
      <c r="N30" s="13">
        <f>SUMIF(Mercado_Receita!$T$2:$T$1099,"44531B2Energia horáriaRuralServiço público de irrigação ruralNão se aplicaNão se aplicaFora ponta",Mercado_Receita!$N$2:$N$1099)</f>
        <v>0</v>
      </c>
      <c r="O30" s="13">
        <f>SUMIF(Mercado_Receita!$T$2:$T$1099,"44562B2Energia horáriaRuralServiço público de irrigação ruralNão se aplicaNão se aplicaFora ponta",Mercado_Receita!$N$2:$N$1099)</f>
        <v>0</v>
      </c>
      <c r="P30" s="13">
        <f>SUMIF(Mercado_Receita!$T$2:$T$1099,"44593B2Energia horáriaRuralServiço público de irrigação ruralNão se aplicaNão se aplicaFora ponta",Mercado_Receita!$N$2:$N$1099)</f>
        <v>0</v>
      </c>
      <c r="Q30" s="13">
        <f>SUMIF(Mercado_Receita!$T$2:$T$1099,"44621B2Energia horáriaRuralServiço público de irrigação ruralNão se aplicaNão se aplicaFora ponta",Mercado_Receita!$N$2:$N$1099)</f>
        <v>0</v>
      </c>
      <c r="R30" s="13">
        <f>SUMIF(Mercado_Receita!$T$2:$T$1099,"44652B2Energia horáriaRuralServiço público de irrigação ruralNão se aplicaNão se aplicaFora ponta",Mercado_Receita!$N$2:$N$1099)</f>
        <v>0</v>
      </c>
      <c r="S30" s="13">
        <f>SUMIF(Mercado_Receita!$T$2:$T$1099,"44682B2Energia horáriaRuralServiço público de irrigação ruralNão se aplicaNão se aplicaFora ponta",Mercado_Receita!$N$2:$N$1099)</f>
        <v>0</v>
      </c>
      <c r="T30" s="13">
        <f>SUMIF(Mercado_Receita!$T$2:$T$1099,"44713B2Energia horáriaRuralServiço público de irrigação ruralNão se aplicaNão se aplicaFora ponta",Mercado_Receita!$N$2:$N$1099)</f>
        <v>0</v>
      </c>
      <c r="U30" s="13">
        <f t="shared" si="0"/>
        <v>0</v>
      </c>
      <c r="V30" s="13"/>
      <c r="W30" s="13"/>
    </row>
    <row r="31" spans="1:23" ht="11.25" customHeight="1" x14ac:dyDescent="0.25">
      <c r="A31" s="95"/>
      <c r="B31" s="12" t="s">
        <v>90</v>
      </c>
      <c r="C31" s="12" t="s">
        <v>42</v>
      </c>
      <c r="D31" s="12" t="s">
        <v>99</v>
      </c>
      <c r="E31" s="12" t="s">
        <v>25</v>
      </c>
      <c r="F31" s="12" t="s">
        <v>25</v>
      </c>
      <c r="G31" s="13" t="s">
        <v>88</v>
      </c>
      <c r="H31" s="13" t="s">
        <v>82</v>
      </c>
      <c r="I31" s="13">
        <f>SUMIF(Mercado_Receita!$T$2:$T$1099,"44378B2Energia convencionalRuralServiço público de irrigação ruralNão se aplicaNão se aplicaNão se aplica",Mercado_Receita!$N$2:$N$1099)</f>
        <v>0</v>
      </c>
      <c r="J31" s="13">
        <f>SUMIF(Mercado_Receita!$T$2:$T$1099,"44409B2Energia convencionalRuralServiço público de irrigação ruralNão se aplicaNão se aplicaNão se aplica",Mercado_Receita!$N$2:$N$1099)</f>
        <v>0</v>
      </c>
      <c r="K31" s="13">
        <f>SUMIF(Mercado_Receita!$T$2:$T$1099,"44440B2Energia convencionalRuralServiço público de irrigação ruralNão se aplicaNão se aplicaNão se aplica",Mercado_Receita!$N$2:$N$1099)</f>
        <v>0</v>
      </c>
      <c r="L31" s="13">
        <f>SUMIF(Mercado_Receita!$T$2:$T$1099,"44470B2Energia convencionalRuralServiço público de irrigação ruralNão se aplicaNão se aplicaNão se aplica",Mercado_Receita!$N$2:$N$1099)</f>
        <v>0</v>
      </c>
      <c r="M31" s="13">
        <f>SUMIF(Mercado_Receita!$T$2:$T$1099,"44501B2Energia convencionalRuralServiço público de irrigação ruralNão se aplicaNão se aplicaNão se aplica",Mercado_Receita!$N$2:$N$1099)</f>
        <v>0</v>
      </c>
      <c r="N31" s="13">
        <f>SUMIF(Mercado_Receita!$T$2:$T$1099,"44531B2Energia convencionalRuralServiço público de irrigação ruralNão se aplicaNão se aplicaNão se aplica",Mercado_Receita!$N$2:$N$1099)</f>
        <v>0</v>
      </c>
      <c r="O31" s="13">
        <f>SUMIF(Mercado_Receita!$T$2:$T$1099,"44562B2Energia convencionalRuralServiço público de irrigação ruralNão se aplicaNão se aplicaNão se aplica",Mercado_Receita!$N$2:$N$1099)</f>
        <v>0</v>
      </c>
      <c r="P31" s="13">
        <f>SUMIF(Mercado_Receita!$T$2:$T$1099,"44593B2Energia convencionalRuralServiço público de irrigação ruralNão se aplicaNão se aplicaNão se aplica",Mercado_Receita!$N$2:$N$1099)</f>
        <v>0</v>
      </c>
      <c r="Q31" s="13">
        <f>SUMIF(Mercado_Receita!$T$2:$T$1099,"44621B2Energia convencionalRuralServiço público de irrigação ruralNão se aplicaNão se aplicaNão se aplica",Mercado_Receita!$N$2:$N$1099)</f>
        <v>0</v>
      </c>
      <c r="R31" s="13">
        <f>SUMIF(Mercado_Receita!$T$2:$T$1099,"44652B2Energia convencionalRuralServiço público de irrigação ruralNão se aplicaNão se aplicaNão se aplica",Mercado_Receita!$N$2:$N$1099)</f>
        <v>0</v>
      </c>
      <c r="S31" s="13">
        <f>SUMIF(Mercado_Receita!$T$2:$T$1099,"44682B2Energia convencionalRuralServiço público de irrigação ruralNão se aplicaNão se aplicaNão se aplica",Mercado_Receita!$N$2:$N$1099)</f>
        <v>0</v>
      </c>
      <c r="T31" s="13">
        <f>SUMIF(Mercado_Receita!$T$2:$T$1099,"44713B2Energia convencionalRuralServiço público de irrigação ruralNão se aplicaNão se aplicaNão se aplica",Mercado_Receita!$N$2:$N$1099)</f>
        <v>0</v>
      </c>
      <c r="U31" s="13">
        <f t="shared" si="0"/>
        <v>0</v>
      </c>
      <c r="V31" s="13"/>
      <c r="W31" s="13"/>
    </row>
    <row r="32" spans="1:23" ht="11.25" customHeight="1" x14ac:dyDescent="0.25">
      <c r="A32" s="95"/>
      <c r="B32" s="94" t="s">
        <v>96</v>
      </c>
      <c r="C32" s="94" t="s">
        <v>42</v>
      </c>
      <c r="D32" s="12" t="s">
        <v>25</v>
      </c>
      <c r="E32" s="12" t="s">
        <v>25</v>
      </c>
      <c r="F32" s="12" t="s">
        <v>25</v>
      </c>
      <c r="G32" s="13" t="s">
        <v>88</v>
      </c>
      <c r="H32" s="13" t="s">
        <v>82</v>
      </c>
      <c r="I32" s="13">
        <f>SUMIF(Mercado_Receita!$T$2:$T$1099,"44378B2Energia convencional pré-pagamentoRuralNão se aplicaNão se aplicaNão se aplicaNão se aplica",Mercado_Receita!$N$2:$N$1099)</f>
        <v>0</v>
      </c>
      <c r="J32" s="13">
        <f>SUMIF(Mercado_Receita!$T$2:$T$1099,"44409B2Energia convencional pré-pagamentoRuralNão se aplicaNão se aplicaNão se aplicaNão se aplica",Mercado_Receita!$N$2:$N$1099)</f>
        <v>0</v>
      </c>
      <c r="K32" s="13">
        <f>SUMIF(Mercado_Receita!$T$2:$T$1099,"44440B2Energia convencional pré-pagamentoRuralNão se aplicaNão se aplicaNão se aplicaNão se aplica",Mercado_Receita!$N$2:$N$1099)</f>
        <v>0</v>
      </c>
      <c r="L32" s="13">
        <f>SUMIF(Mercado_Receita!$T$2:$T$1099,"44470B2Energia convencional pré-pagamentoRuralNão se aplicaNão se aplicaNão se aplicaNão se aplica",Mercado_Receita!$N$2:$N$1099)</f>
        <v>0</v>
      </c>
      <c r="M32" s="13">
        <f>SUMIF(Mercado_Receita!$T$2:$T$1099,"44501B2Energia convencional pré-pagamentoRuralNão se aplicaNão se aplicaNão se aplicaNão se aplica",Mercado_Receita!$N$2:$N$1099)</f>
        <v>0</v>
      </c>
      <c r="N32" s="13">
        <f>SUMIF(Mercado_Receita!$T$2:$T$1099,"44531B2Energia convencional pré-pagamentoRuralNão se aplicaNão se aplicaNão se aplicaNão se aplica",Mercado_Receita!$N$2:$N$1099)</f>
        <v>0</v>
      </c>
      <c r="O32" s="13">
        <f>SUMIF(Mercado_Receita!$T$2:$T$1099,"44562B2Energia convencional pré-pagamentoRuralNão se aplicaNão se aplicaNão se aplicaNão se aplica",Mercado_Receita!$N$2:$N$1099)</f>
        <v>0</v>
      </c>
      <c r="P32" s="13">
        <f>SUMIF(Mercado_Receita!$T$2:$T$1099,"44593B2Energia convencional pré-pagamentoRuralNão se aplicaNão se aplicaNão se aplicaNão se aplica",Mercado_Receita!$N$2:$N$1099)</f>
        <v>0</v>
      </c>
      <c r="Q32" s="13">
        <f>SUMIF(Mercado_Receita!$T$2:$T$1099,"44621B2Energia convencional pré-pagamentoRuralNão se aplicaNão se aplicaNão se aplicaNão se aplica",Mercado_Receita!$N$2:$N$1099)</f>
        <v>0</v>
      </c>
      <c r="R32" s="13">
        <f>SUMIF(Mercado_Receita!$T$2:$T$1099,"44652B2Energia convencional pré-pagamentoRuralNão se aplicaNão se aplicaNão se aplicaNão se aplica",Mercado_Receita!$N$2:$N$1099)</f>
        <v>0</v>
      </c>
      <c r="S32" s="13">
        <f>SUMIF(Mercado_Receita!$T$2:$T$1099,"44682B2Energia convencional pré-pagamentoRuralNão se aplicaNão se aplicaNão se aplicaNão se aplica",Mercado_Receita!$N$2:$N$1099)</f>
        <v>0</v>
      </c>
      <c r="T32" s="13">
        <f>SUMIF(Mercado_Receita!$T$2:$T$1099,"44713B2Energia convencional pré-pagamentoRuralNão se aplicaNão se aplicaNão se aplicaNão se aplica",Mercado_Receita!$N$2:$N$1099)</f>
        <v>0</v>
      </c>
      <c r="U32" s="13">
        <f t="shared" si="0"/>
        <v>0</v>
      </c>
      <c r="V32" s="13"/>
      <c r="W32" s="13"/>
    </row>
    <row r="33" spans="1:23" ht="11.25" customHeight="1" x14ac:dyDescent="0.25">
      <c r="A33" s="95"/>
      <c r="B33" s="95"/>
      <c r="C33" s="95"/>
      <c r="D33" s="12" t="s">
        <v>98</v>
      </c>
      <c r="E33" s="12" t="s">
        <v>25</v>
      </c>
      <c r="F33" s="12" t="s">
        <v>25</v>
      </c>
      <c r="G33" s="13" t="s">
        <v>88</v>
      </c>
      <c r="H33" s="13" t="s">
        <v>82</v>
      </c>
      <c r="I33" s="13">
        <f>SUMIF(Mercado_Receita!$T$2:$T$1099,"44378B2Energia convencional pré-pagamentoRuralCooperativa de eletrificação ruralNão se aplicaNão se aplicaNão se aplica",Mercado_Receita!$N$2:$N$1099)</f>
        <v>0</v>
      </c>
      <c r="J33" s="13">
        <f>SUMIF(Mercado_Receita!$T$2:$T$1099,"44409B2Energia convencional pré-pagamentoRuralCooperativa de eletrificação ruralNão se aplicaNão se aplicaNão se aplica",Mercado_Receita!$N$2:$N$1099)</f>
        <v>0</v>
      </c>
      <c r="K33" s="13">
        <f>SUMIF(Mercado_Receita!$T$2:$T$1099,"44440B2Energia convencional pré-pagamentoRuralCooperativa de eletrificação ruralNão se aplicaNão se aplicaNão se aplica",Mercado_Receita!$N$2:$N$1099)</f>
        <v>0</v>
      </c>
      <c r="L33" s="13">
        <f>SUMIF(Mercado_Receita!$T$2:$T$1099,"44470B2Energia convencional pré-pagamentoRuralCooperativa de eletrificação ruralNão se aplicaNão se aplicaNão se aplica",Mercado_Receita!$N$2:$N$1099)</f>
        <v>0</v>
      </c>
      <c r="M33" s="13">
        <f>SUMIF(Mercado_Receita!$T$2:$T$1099,"44501B2Energia convencional pré-pagamentoRuralCooperativa de eletrificação ruralNão se aplicaNão se aplicaNão se aplica",Mercado_Receita!$N$2:$N$1099)</f>
        <v>0</v>
      </c>
      <c r="N33" s="13">
        <f>SUMIF(Mercado_Receita!$T$2:$T$1099,"44531B2Energia convencional pré-pagamentoRuralCooperativa de eletrificação ruralNão se aplicaNão se aplicaNão se aplica",Mercado_Receita!$N$2:$N$1099)</f>
        <v>0</v>
      </c>
      <c r="O33" s="13">
        <f>SUMIF(Mercado_Receita!$T$2:$T$1099,"44562B2Energia convencional pré-pagamentoRuralCooperativa de eletrificação ruralNão se aplicaNão se aplicaNão se aplica",Mercado_Receita!$N$2:$N$1099)</f>
        <v>0</v>
      </c>
      <c r="P33" s="13">
        <f>SUMIF(Mercado_Receita!$T$2:$T$1099,"44593B2Energia convencional pré-pagamentoRuralCooperativa de eletrificação ruralNão se aplicaNão se aplicaNão se aplica",Mercado_Receita!$N$2:$N$1099)</f>
        <v>0</v>
      </c>
      <c r="Q33" s="13">
        <f>SUMIF(Mercado_Receita!$T$2:$T$1099,"44621B2Energia convencional pré-pagamentoRuralCooperativa de eletrificação ruralNão se aplicaNão se aplicaNão se aplica",Mercado_Receita!$N$2:$N$1099)</f>
        <v>0</v>
      </c>
      <c r="R33" s="13">
        <f>SUMIF(Mercado_Receita!$T$2:$T$1099,"44652B2Energia convencional pré-pagamentoRuralCooperativa de eletrificação ruralNão se aplicaNão se aplicaNão se aplica",Mercado_Receita!$N$2:$N$1099)</f>
        <v>0</v>
      </c>
      <c r="S33" s="13">
        <f>SUMIF(Mercado_Receita!$T$2:$T$1099,"44682B2Energia convencional pré-pagamentoRuralCooperativa de eletrificação ruralNão se aplicaNão se aplicaNão se aplica",Mercado_Receita!$N$2:$N$1099)</f>
        <v>0</v>
      </c>
      <c r="T33" s="13">
        <f>SUMIF(Mercado_Receita!$T$2:$T$1099,"44713B2Energia convencional pré-pagamentoRuralCooperativa de eletrificação ruralNão se aplicaNão se aplicaNão se aplica",Mercado_Receita!$N$2:$N$1099)</f>
        <v>0</v>
      </c>
      <c r="U33" s="13">
        <f t="shared" si="0"/>
        <v>0</v>
      </c>
      <c r="V33" s="13"/>
      <c r="W33" s="13"/>
    </row>
    <row r="34" spans="1:23" ht="11.25" customHeight="1" x14ac:dyDescent="0.25">
      <c r="A34" s="95"/>
      <c r="B34" s="95"/>
      <c r="C34" s="95"/>
      <c r="D34" s="12" t="s">
        <v>99</v>
      </c>
      <c r="E34" s="12" t="s">
        <v>25</v>
      </c>
      <c r="F34" s="12" t="s">
        <v>25</v>
      </c>
      <c r="G34" s="13" t="s">
        <v>88</v>
      </c>
      <c r="H34" s="13" t="s">
        <v>82</v>
      </c>
      <c r="I34" s="13">
        <f>SUMIF(Mercado_Receita!$T$2:$T$1099,"44378B2Energia convencional pré-pagamentoRuralServiço público de irrigação ruralNão se aplicaNão se aplicaNão se aplica",Mercado_Receita!$N$2:$N$1099)</f>
        <v>0</v>
      </c>
      <c r="J34" s="13">
        <f>SUMIF(Mercado_Receita!$T$2:$T$1099,"44409B2Energia convencional pré-pagamentoRuralServiço público de irrigação ruralNão se aplicaNão se aplicaNão se aplica",Mercado_Receita!$N$2:$N$1099)</f>
        <v>0</v>
      </c>
      <c r="K34" s="13">
        <f>SUMIF(Mercado_Receita!$T$2:$T$1099,"44440B2Energia convencional pré-pagamentoRuralServiço público de irrigação ruralNão se aplicaNão se aplicaNão se aplica",Mercado_Receita!$N$2:$N$1099)</f>
        <v>0</v>
      </c>
      <c r="L34" s="13">
        <f>SUMIF(Mercado_Receita!$T$2:$T$1099,"44470B2Energia convencional pré-pagamentoRuralServiço público de irrigação ruralNão se aplicaNão se aplicaNão se aplica",Mercado_Receita!$N$2:$N$1099)</f>
        <v>0</v>
      </c>
      <c r="M34" s="13">
        <f>SUMIF(Mercado_Receita!$T$2:$T$1099,"44501B2Energia convencional pré-pagamentoRuralServiço público de irrigação ruralNão se aplicaNão se aplicaNão se aplica",Mercado_Receita!$N$2:$N$1099)</f>
        <v>0</v>
      </c>
      <c r="N34" s="13">
        <f>SUMIF(Mercado_Receita!$T$2:$T$1099,"44531B2Energia convencional pré-pagamentoRuralServiço público de irrigação ruralNão se aplicaNão se aplicaNão se aplica",Mercado_Receita!$N$2:$N$1099)</f>
        <v>0</v>
      </c>
      <c r="O34" s="13">
        <f>SUMIF(Mercado_Receita!$T$2:$T$1099,"44562B2Energia convencional pré-pagamentoRuralServiço público de irrigação ruralNão se aplicaNão se aplicaNão se aplica",Mercado_Receita!$N$2:$N$1099)</f>
        <v>0</v>
      </c>
      <c r="P34" s="13">
        <f>SUMIF(Mercado_Receita!$T$2:$T$1099,"44593B2Energia convencional pré-pagamentoRuralServiço público de irrigação ruralNão se aplicaNão se aplicaNão se aplica",Mercado_Receita!$N$2:$N$1099)</f>
        <v>0</v>
      </c>
      <c r="Q34" s="13">
        <f>SUMIF(Mercado_Receita!$T$2:$T$1099,"44621B2Energia convencional pré-pagamentoRuralServiço público de irrigação ruralNão se aplicaNão se aplicaNão se aplica",Mercado_Receita!$N$2:$N$1099)</f>
        <v>0</v>
      </c>
      <c r="R34" s="13">
        <f>SUMIF(Mercado_Receita!$T$2:$T$1099,"44652B2Energia convencional pré-pagamentoRuralServiço público de irrigação ruralNão se aplicaNão se aplicaNão se aplica",Mercado_Receita!$N$2:$N$1099)</f>
        <v>0</v>
      </c>
      <c r="S34" s="13">
        <f>SUMIF(Mercado_Receita!$T$2:$T$1099,"44682B2Energia convencional pré-pagamentoRuralServiço público de irrigação ruralNão se aplicaNão se aplicaNão se aplica",Mercado_Receita!$N$2:$N$1099)</f>
        <v>0</v>
      </c>
      <c r="T34" s="13">
        <f>SUMIF(Mercado_Receita!$T$2:$T$1099,"44713B2Energia convencional pré-pagamentoRuralServiço público de irrigação ruralNão se aplicaNão se aplicaNão se aplica",Mercado_Receita!$N$2:$N$1099)</f>
        <v>0</v>
      </c>
      <c r="U34" s="13">
        <f t="shared" si="0"/>
        <v>0</v>
      </c>
      <c r="V34" s="13"/>
      <c r="W34" s="13"/>
    </row>
    <row r="35" spans="1:23" ht="11.25" customHeight="1" x14ac:dyDescent="0.25">
      <c r="A35" s="94" t="s">
        <v>33</v>
      </c>
      <c r="B35" s="94" t="s">
        <v>81</v>
      </c>
      <c r="C35" s="94" t="s">
        <v>25</v>
      </c>
      <c r="D35" s="94" t="s">
        <v>25</v>
      </c>
      <c r="E35" s="94" t="s">
        <v>25</v>
      </c>
      <c r="F35" s="94" t="s">
        <v>25</v>
      </c>
      <c r="G35" s="13" t="s">
        <v>83</v>
      </c>
      <c r="H35" s="13" t="s">
        <v>82</v>
      </c>
      <c r="I35" s="13">
        <f>SUMIF(Mercado_Receita!$T$2:$T$1099,"44378B3Energia horáriaNão se aplicaNão se aplicaNão se aplicaNão se aplicaPonta",Mercado_Receita!$N$2:$N$1099)</f>
        <v>0</v>
      </c>
      <c r="J35" s="13">
        <f>SUMIF(Mercado_Receita!$T$2:$T$1099,"44409B3Energia horáriaNão se aplicaNão se aplicaNão se aplicaNão se aplicaPonta",Mercado_Receita!$N$2:$N$1099)</f>
        <v>0</v>
      </c>
      <c r="K35" s="13">
        <f>SUMIF(Mercado_Receita!$T$2:$T$1099,"44440B3Energia horáriaNão se aplicaNão se aplicaNão se aplicaNão se aplicaPonta",Mercado_Receita!$N$2:$N$1099)</f>
        <v>0</v>
      </c>
      <c r="L35" s="13">
        <f>SUMIF(Mercado_Receita!$T$2:$T$1099,"44470B3Energia horáriaNão se aplicaNão se aplicaNão se aplicaNão se aplicaPonta",Mercado_Receita!$N$2:$N$1099)</f>
        <v>0</v>
      </c>
      <c r="M35" s="13">
        <f>SUMIF(Mercado_Receita!$T$2:$T$1099,"44501B3Energia horáriaNão se aplicaNão se aplicaNão se aplicaNão se aplicaPonta",Mercado_Receita!$N$2:$N$1099)</f>
        <v>0</v>
      </c>
      <c r="N35" s="13">
        <f>SUMIF(Mercado_Receita!$T$2:$T$1099,"44531B3Energia horáriaNão se aplicaNão se aplicaNão se aplicaNão se aplicaPonta",Mercado_Receita!$N$2:$N$1099)</f>
        <v>0</v>
      </c>
      <c r="O35" s="13">
        <f>SUMIF(Mercado_Receita!$T$2:$T$1099,"44562B3Energia horáriaNão se aplicaNão se aplicaNão se aplicaNão se aplicaPonta",Mercado_Receita!$N$2:$N$1099)</f>
        <v>0</v>
      </c>
      <c r="P35" s="13">
        <f>SUMIF(Mercado_Receita!$T$2:$T$1099,"44593B3Energia horáriaNão se aplicaNão se aplicaNão se aplicaNão se aplicaPonta",Mercado_Receita!$N$2:$N$1099)</f>
        <v>0</v>
      </c>
      <c r="Q35" s="13">
        <f>SUMIF(Mercado_Receita!$T$2:$T$1099,"44621B3Energia horáriaNão se aplicaNão se aplicaNão se aplicaNão se aplicaPonta",Mercado_Receita!$N$2:$N$1099)</f>
        <v>0</v>
      </c>
      <c r="R35" s="13">
        <f>SUMIF(Mercado_Receita!$T$2:$T$1099,"44652B3Energia horáriaNão se aplicaNão se aplicaNão se aplicaNão se aplicaPonta",Mercado_Receita!$N$2:$N$1099)</f>
        <v>0</v>
      </c>
      <c r="S35" s="13">
        <f>SUMIF(Mercado_Receita!$T$2:$T$1099,"44682B3Energia horáriaNão se aplicaNão se aplicaNão se aplicaNão se aplicaPonta",Mercado_Receita!$N$2:$N$1099)</f>
        <v>0</v>
      </c>
      <c r="T35" s="13">
        <f>SUMIF(Mercado_Receita!$T$2:$T$1099,"44713B3Energia horáriaNão se aplicaNão se aplicaNão se aplicaNão se aplicaPonta",Mercado_Receita!$N$2:$N$1099)</f>
        <v>0</v>
      </c>
      <c r="U35" s="13">
        <f t="shared" si="0"/>
        <v>0</v>
      </c>
      <c r="V35" s="13"/>
      <c r="W35" s="13"/>
    </row>
    <row r="36" spans="1:23" ht="11.25" customHeight="1" x14ac:dyDescent="0.25">
      <c r="A36" s="95"/>
      <c r="B36" s="95"/>
      <c r="C36" s="95"/>
      <c r="D36" s="95"/>
      <c r="E36" s="95"/>
      <c r="F36" s="95"/>
      <c r="G36" s="13" t="s">
        <v>94</v>
      </c>
      <c r="H36" s="13" t="s">
        <v>82</v>
      </c>
      <c r="I36" s="13">
        <f>SUMIF(Mercado_Receita!$T$2:$T$1099,"44378B3Energia horáriaNão se aplicaNão se aplicaNão se aplicaNão se aplicaIntermediário",Mercado_Receita!$N$2:$N$1099)</f>
        <v>0</v>
      </c>
      <c r="J36" s="13">
        <f>SUMIF(Mercado_Receita!$T$2:$T$1099,"44409B3Energia horáriaNão se aplicaNão se aplicaNão se aplicaNão se aplicaIntermediário",Mercado_Receita!$N$2:$N$1099)</f>
        <v>0</v>
      </c>
      <c r="K36" s="13">
        <f>SUMIF(Mercado_Receita!$T$2:$T$1099,"44440B3Energia horáriaNão se aplicaNão se aplicaNão se aplicaNão se aplicaIntermediário",Mercado_Receita!$N$2:$N$1099)</f>
        <v>0</v>
      </c>
      <c r="L36" s="13">
        <f>SUMIF(Mercado_Receita!$T$2:$T$1099,"44470B3Energia horáriaNão se aplicaNão se aplicaNão se aplicaNão se aplicaIntermediário",Mercado_Receita!$N$2:$N$1099)</f>
        <v>0</v>
      </c>
      <c r="M36" s="13">
        <f>SUMIF(Mercado_Receita!$T$2:$T$1099,"44501B3Energia horáriaNão se aplicaNão se aplicaNão se aplicaNão se aplicaIntermediário",Mercado_Receita!$N$2:$N$1099)</f>
        <v>0</v>
      </c>
      <c r="N36" s="13">
        <f>SUMIF(Mercado_Receita!$T$2:$T$1099,"44531B3Energia horáriaNão se aplicaNão se aplicaNão se aplicaNão se aplicaIntermediário",Mercado_Receita!$N$2:$N$1099)</f>
        <v>0</v>
      </c>
      <c r="O36" s="13">
        <f>SUMIF(Mercado_Receita!$T$2:$T$1099,"44562B3Energia horáriaNão se aplicaNão se aplicaNão se aplicaNão se aplicaIntermediário",Mercado_Receita!$N$2:$N$1099)</f>
        <v>0</v>
      </c>
      <c r="P36" s="13">
        <f>SUMIF(Mercado_Receita!$T$2:$T$1099,"44593B3Energia horáriaNão se aplicaNão se aplicaNão se aplicaNão se aplicaIntermediário",Mercado_Receita!$N$2:$N$1099)</f>
        <v>0</v>
      </c>
      <c r="Q36" s="13">
        <f>SUMIF(Mercado_Receita!$T$2:$T$1099,"44621B3Energia horáriaNão se aplicaNão se aplicaNão se aplicaNão se aplicaIntermediário",Mercado_Receita!$N$2:$N$1099)</f>
        <v>0</v>
      </c>
      <c r="R36" s="13">
        <f>SUMIF(Mercado_Receita!$T$2:$T$1099,"44652B3Energia horáriaNão se aplicaNão se aplicaNão se aplicaNão se aplicaIntermediário",Mercado_Receita!$N$2:$N$1099)</f>
        <v>0</v>
      </c>
      <c r="S36" s="13">
        <f>SUMIF(Mercado_Receita!$T$2:$T$1099,"44682B3Energia horáriaNão se aplicaNão se aplicaNão se aplicaNão se aplicaIntermediário",Mercado_Receita!$N$2:$N$1099)</f>
        <v>0</v>
      </c>
      <c r="T36" s="13">
        <f>SUMIF(Mercado_Receita!$T$2:$T$1099,"44713B3Energia horáriaNão se aplicaNão se aplicaNão se aplicaNão se aplicaIntermediário",Mercado_Receita!$N$2:$N$1099)</f>
        <v>0</v>
      </c>
      <c r="U36" s="13">
        <f t="shared" si="0"/>
        <v>0</v>
      </c>
      <c r="V36" s="13"/>
      <c r="W36" s="13"/>
    </row>
    <row r="37" spans="1:23" ht="11.25" customHeight="1" x14ac:dyDescent="0.25">
      <c r="A37" s="95"/>
      <c r="B37" s="95"/>
      <c r="C37" s="95"/>
      <c r="D37" s="95"/>
      <c r="E37" s="95"/>
      <c r="F37" s="95"/>
      <c r="G37" s="13" t="s">
        <v>84</v>
      </c>
      <c r="H37" s="13" t="s">
        <v>82</v>
      </c>
      <c r="I37" s="13">
        <f>SUMIF(Mercado_Receita!$T$2:$T$1099,"44378B3Energia horáriaNão se aplicaNão se aplicaNão se aplicaNão se aplicaFora ponta",Mercado_Receita!$N$2:$N$1099)</f>
        <v>0</v>
      </c>
      <c r="J37" s="13">
        <f>SUMIF(Mercado_Receita!$T$2:$T$1099,"44409B3Energia horáriaNão se aplicaNão se aplicaNão se aplicaNão se aplicaFora ponta",Mercado_Receita!$N$2:$N$1099)</f>
        <v>0</v>
      </c>
      <c r="K37" s="13">
        <f>SUMIF(Mercado_Receita!$T$2:$T$1099,"44440B3Energia horáriaNão se aplicaNão se aplicaNão se aplicaNão se aplicaFora ponta",Mercado_Receita!$N$2:$N$1099)</f>
        <v>0</v>
      </c>
      <c r="L37" s="13">
        <f>SUMIF(Mercado_Receita!$T$2:$T$1099,"44470B3Energia horáriaNão se aplicaNão se aplicaNão se aplicaNão se aplicaFora ponta",Mercado_Receita!$N$2:$N$1099)</f>
        <v>0</v>
      </c>
      <c r="M37" s="13">
        <f>SUMIF(Mercado_Receita!$T$2:$T$1099,"44501B3Energia horáriaNão se aplicaNão se aplicaNão se aplicaNão se aplicaFora ponta",Mercado_Receita!$N$2:$N$1099)</f>
        <v>0</v>
      </c>
      <c r="N37" s="13">
        <f>SUMIF(Mercado_Receita!$T$2:$T$1099,"44531B3Energia horáriaNão se aplicaNão se aplicaNão se aplicaNão se aplicaFora ponta",Mercado_Receita!$N$2:$N$1099)</f>
        <v>0</v>
      </c>
      <c r="O37" s="13">
        <f>SUMIF(Mercado_Receita!$T$2:$T$1099,"44562B3Energia horáriaNão se aplicaNão se aplicaNão se aplicaNão se aplicaFora ponta",Mercado_Receita!$N$2:$N$1099)</f>
        <v>0</v>
      </c>
      <c r="P37" s="13">
        <f>SUMIF(Mercado_Receita!$T$2:$T$1099,"44593B3Energia horáriaNão se aplicaNão se aplicaNão se aplicaNão se aplicaFora ponta",Mercado_Receita!$N$2:$N$1099)</f>
        <v>0</v>
      </c>
      <c r="Q37" s="13">
        <f>SUMIF(Mercado_Receita!$T$2:$T$1099,"44621B3Energia horáriaNão se aplicaNão se aplicaNão se aplicaNão se aplicaFora ponta",Mercado_Receita!$N$2:$N$1099)</f>
        <v>0</v>
      </c>
      <c r="R37" s="13">
        <f>SUMIF(Mercado_Receita!$T$2:$T$1099,"44652B3Energia horáriaNão se aplicaNão se aplicaNão se aplicaNão se aplicaFora ponta",Mercado_Receita!$N$2:$N$1099)</f>
        <v>0</v>
      </c>
      <c r="S37" s="13">
        <f>SUMIF(Mercado_Receita!$T$2:$T$1099,"44682B3Energia horáriaNão se aplicaNão se aplicaNão se aplicaNão se aplicaFora ponta",Mercado_Receita!$N$2:$N$1099)</f>
        <v>0</v>
      </c>
      <c r="T37" s="13">
        <f>SUMIF(Mercado_Receita!$T$2:$T$1099,"44713B3Energia horáriaNão se aplicaNão se aplicaNão se aplicaNão se aplicaFora ponta",Mercado_Receita!$N$2:$N$1099)</f>
        <v>0</v>
      </c>
      <c r="U37" s="13">
        <f t="shared" si="0"/>
        <v>0</v>
      </c>
      <c r="V37" s="13"/>
      <c r="W37" s="13"/>
    </row>
    <row r="38" spans="1:23" ht="11.25" customHeight="1" x14ac:dyDescent="0.25">
      <c r="A38" s="95"/>
      <c r="B38" s="12" t="s">
        <v>90</v>
      </c>
      <c r="C38" s="12" t="s">
        <v>25</v>
      </c>
      <c r="D38" s="12" t="s">
        <v>25</v>
      </c>
      <c r="E38" s="12" t="s">
        <v>25</v>
      </c>
      <c r="F38" s="12" t="s">
        <v>25</v>
      </c>
      <c r="G38" s="13" t="s">
        <v>88</v>
      </c>
      <c r="H38" s="13" t="s">
        <v>82</v>
      </c>
      <c r="I38" s="13">
        <f>SUMIF(Mercado_Receita!$T$2:$T$1099,"44378B3Energia convencionalNão se aplicaNão se aplicaNão se aplicaNão se aplicaNão se aplica",Mercado_Receita!$N$2:$N$1099)</f>
        <v>2181.5669999999996</v>
      </c>
      <c r="J38" s="13">
        <f>SUMIF(Mercado_Receita!$T$2:$T$1099,"44409B3Energia convencionalNão se aplicaNão se aplicaNão se aplicaNão se aplicaNão se aplica",Mercado_Receita!$N$2:$N$1099)</f>
        <v>2300.9709999999995</v>
      </c>
      <c r="K38" s="13">
        <f>SUMIF(Mercado_Receita!$T$2:$T$1099,"44440B3Energia convencionalNão se aplicaNão se aplicaNão se aplicaNão se aplicaNão se aplica",Mercado_Receita!$N$2:$N$1099)</f>
        <v>2340.413</v>
      </c>
      <c r="L38" s="13">
        <f>SUMIF(Mercado_Receita!$T$2:$T$1099,"44470B3Energia convencionalNão se aplicaNão se aplicaNão se aplicaNão se aplicaNão se aplica",Mercado_Receita!$N$2:$N$1099)</f>
        <v>2219.7320000000004</v>
      </c>
      <c r="M38" s="13">
        <f>SUMIF(Mercado_Receita!$T$2:$T$1099,"44501B3Energia convencionalNão se aplicaNão se aplicaNão se aplicaNão se aplicaNão se aplica",Mercado_Receita!$N$2:$N$1099)</f>
        <v>2291.7069999999999</v>
      </c>
      <c r="N38" s="13">
        <f>SUMIF(Mercado_Receita!$T$2:$T$1099,"44531B3Energia convencionalNão se aplicaNão se aplicaNão se aplicaNão se aplicaNão se aplica",Mercado_Receita!$N$2:$N$1099)</f>
        <v>2215.6719999999996</v>
      </c>
      <c r="O38" s="13">
        <f>SUMIF(Mercado_Receita!$T$2:$T$1099,"44562B3Energia convencionalNão se aplicaNão se aplicaNão se aplicaNão se aplicaNão se aplica",Mercado_Receita!$N$2:$N$1099)</f>
        <v>2771.7950000000001</v>
      </c>
      <c r="P38" s="13">
        <f>SUMIF(Mercado_Receita!$T$2:$T$1099,"44593B3Energia convencionalNão se aplicaNão se aplicaNão se aplicaNão se aplicaNão se aplica",Mercado_Receita!$N$2:$N$1099)</f>
        <v>2578.6610000000001</v>
      </c>
      <c r="Q38" s="13">
        <f>SUMIF(Mercado_Receita!$T$2:$T$1099,"44621B3Energia convencionalNão se aplicaNão se aplicaNão se aplicaNão se aplicaNão se aplica",Mercado_Receita!$N$2:$N$1099)</f>
        <v>2544.3620000000001</v>
      </c>
      <c r="R38" s="13">
        <f>SUMIF(Mercado_Receita!$T$2:$T$1099,"44652B3Energia convencionalNão se aplicaNão se aplicaNão se aplicaNão se aplicaNão se aplica",Mercado_Receita!$N$2:$N$1099)</f>
        <v>2579.6460000000002</v>
      </c>
      <c r="S38" s="13">
        <f>SUMIF(Mercado_Receita!$T$2:$T$1099,"44682B3Energia convencionalNão se aplicaNão se aplicaNão se aplicaNão se aplicaNão se aplica",Mercado_Receita!$N$2:$N$1099)</f>
        <v>2361.8910000000001</v>
      </c>
      <c r="T38" s="13">
        <f>SUMIF(Mercado_Receita!$T$2:$T$1099,"44713B3Energia convencionalNão se aplicaNão se aplicaNão se aplicaNão se aplicaNão se aplica",Mercado_Receita!$N$2:$N$1099)</f>
        <v>2260.1749999999997</v>
      </c>
      <c r="U38" s="13">
        <f t="shared" si="0"/>
        <v>28646.591999999997</v>
      </c>
      <c r="V38" s="13"/>
      <c r="W38" s="13"/>
    </row>
    <row r="39" spans="1:23" ht="11.25" customHeight="1" x14ac:dyDescent="0.25">
      <c r="A39" s="95"/>
      <c r="B39" s="12" t="s">
        <v>96</v>
      </c>
      <c r="C39" s="12" t="s">
        <v>25</v>
      </c>
      <c r="D39" s="12" t="s">
        <v>25</v>
      </c>
      <c r="E39" s="12" t="s">
        <v>25</v>
      </c>
      <c r="F39" s="12" t="s">
        <v>25</v>
      </c>
      <c r="G39" s="13" t="s">
        <v>88</v>
      </c>
      <c r="H39" s="13" t="s">
        <v>82</v>
      </c>
      <c r="I39" s="13">
        <f>SUMIF(Mercado_Receita!$T$2:$T$1099,"44378B3Energia convencional pré-pagamentoNão se aplicaNão se aplicaNão se aplicaNão se aplicaNão se aplica",Mercado_Receita!$N$2:$N$1099)</f>
        <v>0</v>
      </c>
      <c r="J39" s="13">
        <f>SUMIF(Mercado_Receita!$T$2:$T$1099,"44409B3Energia convencional pré-pagamentoNão se aplicaNão se aplicaNão se aplicaNão se aplicaNão se aplica",Mercado_Receita!$N$2:$N$1099)</f>
        <v>0</v>
      </c>
      <c r="K39" s="13">
        <f>SUMIF(Mercado_Receita!$T$2:$T$1099,"44440B3Energia convencional pré-pagamentoNão se aplicaNão se aplicaNão se aplicaNão se aplicaNão se aplica",Mercado_Receita!$N$2:$N$1099)</f>
        <v>0</v>
      </c>
      <c r="L39" s="13">
        <f>SUMIF(Mercado_Receita!$T$2:$T$1099,"44470B3Energia convencional pré-pagamentoNão se aplicaNão se aplicaNão se aplicaNão se aplicaNão se aplica",Mercado_Receita!$N$2:$N$1099)</f>
        <v>0</v>
      </c>
      <c r="M39" s="13">
        <f>SUMIF(Mercado_Receita!$T$2:$T$1099,"44501B3Energia convencional pré-pagamentoNão se aplicaNão se aplicaNão se aplicaNão se aplicaNão se aplica",Mercado_Receita!$N$2:$N$1099)</f>
        <v>0</v>
      </c>
      <c r="N39" s="13">
        <f>SUMIF(Mercado_Receita!$T$2:$T$1099,"44531B3Energia convencional pré-pagamentoNão se aplicaNão se aplicaNão se aplicaNão se aplicaNão se aplica",Mercado_Receita!$N$2:$N$1099)</f>
        <v>0</v>
      </c>
      <c r="O39" s="13">
        <f>SUMIF(Mercado_Receita!$T$2:$T$1099,"44562B3Energia convencional pré-pagamentoNão se aplicaNão se aplicaNão se aplicaNão se aplicaNão se aplica",Mercado_Receita!$N$2:$N$1099)</f>
        <v>0</v>
      </c>
      <c r="P39" s="13">
        <f>SUMIF(Mercado_Receita!$T$2:$T$1099,"44593B3Energia convencional pré-pagamentoNão se aplicaNão se aplicaNão se aplicaNão se aplicaNão se aplica",Mercado_Receita!$N$2:$N$1099)</f>
        <v>0</v>
      </c>
      <c r="Q39" s="13">
        <f>SUMIF(Mercado_Receita!$T$2:$T$1099,"44621B3Energia convencional pré-pagamentoNão se aplicaNão se aplicaNão se aplicaNão se aplicaNão se aplica",Mercado_Receita!$N$2:$N$1099)</f>
        <v>0</v>
      </c>
      <c r="R39" s="13">
        <f>SUMIF(Mercado_Receita!$T$2:$T$1099,"44652B3Energia convencional pré-pagamentoNão se aplicaNão se aplicaNão se aplicaNão se aplicaNão se aplica",Mercado_Receita!$N$2:$N$1099)</f>
        <v>0</v>
      </c>
      <c r="S39" s="13">
        <f>SUMIF(Mercado_Receita!$T$2:$T$1099,"44682B3Energia convencional pré-pagamentoNão se aplicaNão se aplicaNão se aplicaNão se aplicaNão se aplica",Mercado_Receita!$N$2:$N$1099)</f>
        <v>0</v>
      </c>
      <c r="T39" s="13">
        <f>SUMIF(Mercado_Receita!$T$2:$T$1099,"44713B3Energia convencional pré-pagamentoNão se aplicaNão se aplicaNão se aplicaNão se aplicaNão se aplica",Mercado_Receita!$N$2:$N$1099)</f>
        <v>0</v>
      </c>
      <c r="U39" s="13">
        <f t="shared" si="0"/>
        <v>0</v>
      </c>
      <c r="V39" s="13"/>
      <c r="W39" s="13"/>
    </row>
    <row r="40" spans="1:23" ht="11.25" customHeight="1" x14ac:dyDescent="0.25">
      <c r="A40" s="94" t="s">
        <v>44</v>
      </c>
      <c r="B40" s="94" t="s">
        <v>90</v>
      </c>
      <c r="C40" s="94" t="s">
        <v>45</v>
      </c>
      <c r="D40" s="12" t="s">
        <v>46</v>
      </c>
      <c r="E40" s="12" t="s">
        <v>25</v>
      </c>
      <c r="F40" s="12" t="s">
        <v>25</v>
      </c>
      <c r="G40" s="13" t="s">
        <v>88</v>
      </c>
      <c r="H40" s="13" t="s">
        <v>82</v>
      </c>
      <c r="I40" s="13">
        <f>SUMIF(Mercado_Receita!$T$2:$T$1099,"44378B4Energia convencionalIluminação públicaIluminação pública – B4aNão se aplicaNão se aplicaNão se aplica",Mercado_Receita!$N$2:$N$1099)</f>
        <v>608.56500000000005</v>
      </c>
      <c r="J40" s="13">
        <f>SUMIF(Mercado_Receita!$T$2:$T$1099,"44409B4Energia convencionalIluminação públicaIluminação pública – B4aNão se aplicaNão se aplicaNão se aplica",Mercado_Receita!$N$2:$N$1099)</f>
        <v>204.94200000000001</v>
      </c>
      <c r="K40" s="13">
        <f>SUMIF(Mercado_Receita!$T$2:$T$1099,"44440B4Energia convencionalIluminação públicaIluminação pública – B4aNão se aplicaNão se aplicaNão se aplica",Mercado_Receita!$N$2:$N$1099)</f>
        <v>618.27200000000005</v>
      </c>
      <c r="L40" s="13">
        <f>SUMIF(Mercado_Receita!$T$2:$T$1099,"44470B4Energia convencionalIluminação públicaIluminação pública – B4aNão se aplicaNão se aplicaNão se aplica",Mercado_Receita!$N$2:$N$1099)</f>
        <v>600.58299999999997</v>
      </c>
      <c r="M40" s="13">
        <f>SUMIF(Mercado_Receita!$T$2:$T$1099,"44501B4Energia convencionalIluminação públicaIluminação pública – B4aNão se aplicaNão se aplicaNão se aplica",Mercado_Receita!$N$2:$N$1099)</f>
        <v>617.61400000000003</v>
      </c>
      <c r="N40" s="13">
        <f>SUMIF(Mercado_Receita!$T$2:$T$1099,"44531B4Energia convencionalIluminação públicaIluminação pública – B4aNão se aplicaNão se aplicaNão se aplica",Mercado_Receita!$N$2:$N$1099)</f>
        <v>563.05100000000004</v>
      </c>
      <c r="O40" s="13">
        <f>SUMIF(Mercado_Receita!$T$2:$T$1099,"44562B4Energia convencionalIluminação públicaIluminação pública – B4aNão se aplicaNão se aplicaNão se aplica",Mercado_Receita!$N$2:$N$1099)</f>
        <v>585.65700000000004</v>
      </c>
      <c r="P40" s="13">
        <f>SUMIF(Mercado_Receita!$T$2:$T$1099,"44593B4Energia convencionalIluminação públicaIluminação pública – B4aNão se aplicaNão se aplicaNão se aplica",Mercado_Receita!$N$2:$N$1099)</f>
        <v>578.75900000000001</v>
      </c>
      <c r="Q40" s="13">
        <f>SUMIF(Mercado_Receita!$T$2:$T$1099,"44621B4Energia convencionalIluminação públicaIluminação pública – B4aNão se aplicaNão se aplicaNão se aplica",Mercado_Receita!$N$2:$N$1099)</f>
        <v>527.00099999999998</v>
      </c>
      <c r="R40" s="13">
        <f>SUMIF(Mercado_Receita!$T$2:$T$1099,"44652B4Energia convencionalIluminação públicaIluminação pública – B4aNão se aplicaNão se aplicaNão se aplica",Mercado_Receita!$N$2:$N$1099)</f>
        <v>588.03899999999999</v>
      </c>
      <c r="S40" s="13">
        <f>SUMIF(Mercado_Receita!$T$2:$T$1099,"44682B4Energia convencionalIluminação públicaIluminação pública – B4aNão se aplicaNão se aplicaNão se aplica",Mercado_Receita!$N$2:$N$1099)</f>
        <v>561.97900000000004</v>
      </c>
      <c r="T40" s="13">
        <f>SUMIF(Mercado_Receita!$T$2:$T$1099,"44713B4Energia convencionalIluminação públicaIluminação pública – B4aNão se aplicaNão se aplicaNão se aplica",Mercado_Receita!$N$2:$N$1099)</f>
        <v>581.52800000000002</v>
      </c>
      <c r="U40" s="13">
        <f t="shared" si="0"/>
        <v>6635.9900000000007</v>
      </c>
      <c r="V40" s="13"/>
      <c r="W40" s="13"/>
    </row>
    <row r="41" spans="1:23" ht="11.25" customHeight="1" x14ac:dyDescent="0.25">
      <c r="A41" s="95"/>
      <c r="B41" s="95"/>
      <c r="C41" s="95"/>
      <c r="D41" s="13" t="s">
        <v>100</v>
      </c>
      <c r="E41" s="13" t="s">
        <v>25</v>
      </c>
      <c r="F41" s="13" t="s">
        <v>25</v>
      </c>
      <c r="G41" s="13" t="s">
        <v>88</v>
      </c>
      <c r="H41" s="13" t="s">
        <v>82</v>
      </c>
      <c r="I41" s="13">
        <f>SUMIF(Mercado_Receita!$T$2:$T$1099,"44378B4Energia convencionalIluminação públicaIluminação pública – B4bNão se aplicaNão se aplicaNão se aplica",Mercado_Receita!$N$2:$N$1099)</f>
        <v>0</v>
      </c>
      <c r="J41" s="13">
        <f>SUMIF(Mercado_Receita!$T$2:$T$1099,"44409B4Energia convencionalIluminação públicaIluminação pública – B4bNão se aplicaNão se aplicaNão se aplica",Mercado_Receita!$N$2:$N$1099)</f>
        <v>0</v>
      </c>
      <c r="K41" s="13">
        <f>SUMIF(Mercado_Receita!$T$2:$T$1099,"44440B4Energia convencionalIluminação públicaIluminação pública – B4bNão se aplicaNão se aplicaNão se aplica",Mercado_Receita!$N$2:$N$1099)</f>
        <v>0</v>
      </c>
      <c r="L41" s="13">
        <f>SUMIF(Mercado_Receita!$T$2:$T$1099,"44470B4Energia convencionalIluminação públicaIluminação pública – B4bNão se aplicaNão se aplicaNão se aplica",Mercado_Receita!$N$2:$N$1099)</f>
        <v>0</v>
      </c>
      <c r="M41" s="13">
        <f>SUMIF(Mercado_Receita!$T$2:$T$1099,"44501B4Energia convencionalIluminação públicaIluminação pública – B4bNão se aplicaNão se aplicaNão se aplica",Mercado_Receita!$N$2:$N$1099)</f>
        <v>0</v>
      </c>
      <c r="N41" s="13">
        <f>SUMIF(Mercado_Receita!$T$2:$T$1099,"44531B4Energia convencionalIluminação públicaIluminação pública – B4bNão se aplicaNão se aplicaNão se aplica",Mercado_Receita!$N$2:$N$1099)</f>
        <v>0</v>
      </c>
      <c r="O41" s="13">
        <f>SUMIF(Mercado_Receita!$T$2:$T$1099,"44562B4Energia convencionalIluminação públicaIluminação pública – B4bNão se aplicaNão se aplicaNão se aplica",Mercado_Receita!$N$2:$N$1099)</f>
        <v>0</v>
      </c>
      <c r="P41" s="13">
        <f>SUMIF(Mercado_Receita!$T$2:$T$1099,"44593B4Energia convencionalIluminação públicaIluminação pública – B4bNão se aplicaNão se aplicaNão se aplica",Mercado_Receita!$N$2:$N$1099)</f>
        <v>0</v>
      </c>
      <c r="Q41" s="13">
        <f>SUMIF(Mercado_Receita!$T$2:$T$1099,"44621B4Energia convencionalIluminação públicaIluminação pública – B4bNão se aplicaNão se aplicaNão se aplica",Mercado_Receita!$N$2:$N$1099)</f>
        <v>0</v>
      </c>
      <c r="R41" s="13">
        <f>SUMIF(Mercado_Receita!$T$2:$T$1099,"44652B4Energia convencionalIluminação públicaIluminação pública – B4bNão se aplicaNão se aplicaNão se aplica",Mercado_Receita!$N$2:$N$1099)</f>
        <v>0</v>
      </c>
      <c r="S41" s="13">
        <f>SUMIF(Mercado_Receita!$T$2:$T$1099,"44682B4Energia convencionalIluminação públicaIluminação pública – B4bNão se aplicaNão se aplicaNão se aplica",Mercado_Receita!$N$2:$N$1099)</f>
        <v>0</v>
      </c>
      <c r="T41" s="13">
        <f>SUMIF(Mercado_Receita!$T$2:$T$1099,"44713B4Energia convencionalIluminação públicaIluminação pública – B4bNão se aplicaNão se aplicaNão se aplica",Mercado_Receita!$N$2:$N$1099)</f>
        <v>0</v>
      </c>
      <c r="U41" s="13">
        <f t="shared" si="0"/>
        <v>0</v>
      </c>
      <c r="V41" s="13"/>
      <c r="W41" s="13"/>
    </row>
    <row r="42" spans="1:23" ht="11.25" customHeight="1" x14ac:dyDescent="0.25">
      <c r="A42" s="96" t="s">
        <v>443</v>
      </c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13"/>
      <c r="W42" s="13"/>
    </row>
  </sheetData>
  <mergeCells count="50">
    <mergeCell ref="A4:A6"/>
    <mergeCell ref="F2:F3"/>
    <mergeCell ref="E2:E3"/>
    <mergeCell ref="D2:D3"/>
    <mergeCell ref="C2:C3"/>
    <mergeCell ref="B2:B3"/>
    <mergeCell ref="A2:A3"/>
    <mergeCell ref="F4:F5"/>
    <mergeCell ref="E4:E5"/>
    <mergeCell ref="D4:D5"/>
    <mergeCell ref="C4:C5"/>
    <mergeCell ref="B4:B5"/>
    <mergeCell ref="C15:C19"/>
    <mergeCell ref="B15:B19"/>
    <mergeCell ref="A7:A19"/>
    <mergeCell ref="F20:F22"/>
    <mergeCell ref="E20:E22"/>
    <mergeCell ref="D20:D22"/>
    <mergeCell ref="C20:C22"/>
    <mergeCell ref="B20:B22"/>
    <mergeCell ref="F7:F9"/>
    <mergeCell ref="E7:E9"/>
    <mergeCell ref="D7:D9"/>
    <mergeCell ref="C7:C9"/>
    <mergeCell ref="B7:B9"/>
    <mergeCell ref="C10:C14"/>
    <mergeCell ref="B10:B14"/>
    <mergeCell ref="C24:C26"/>
    <mergeCell ref="B24:B26"/>
    <mergeCell ref="F28:F30"/>
    <mergeCell ref="E28:E30"/>
    <mergeCell ref="D28:D30"/>
    <mergeCell ref="C28:C30"/>
    <mergeCell ref="B28:B30"/>
    <mergeCell ref="A40:A41"/>
    <mergeCell ref="B40:B41"/>
    <mergeCell ref="C40:C41"/>
    <mergeCell ref="A42:U42"/>
    <mergeCell ref="C32:C34"/>
    <mergeCell ref="B32:B34"/>
    <mergeCell ref="A20:A34"/>
    <mergeCell ref="F35:F37"/>
    <mergeCell ref="E35:E37"/>
    <mergeCell ref="D35:D37"/>
    <mergeCell ref="C35:C37"/>
    <mergeCell ref="B35:B37"/>
    <mergeCell ref="A35:A39"/>
    <mergeCell ref="F24:F26"/>
    <mergeCell ref="E24:E26"/>
    <mergeCell ref="D24:D26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C5133-A7E0-4FC7-B997-1873819A1FF8}">
  <dimension ref="A1:AD200"/>
  <sheetViews>
    <sheetView showGridLines="0" topLeftCell="A27" workbookViewId="0">
      <selection activeCell="L48" sqref="L48:M51"/>
    </sheetView>
  </sheetViews>
  <sheetFormatPr defaultRowHeight="12" customHeight="1" x14ac:dyDescent="0.2"/>
  <cols>
    <col min="1" max="1" width="10.5703125" style="14" bestFit="1" customWidth="1"/>
    <col min="2" max="2" width="14.42578125" style="14" bestFit="1" customWidth="1"/>
    <col min="3" max="3" width="18.42578125" style="14" bestFit="1" customWidth="1"/>
    <col min="4" max="4" width="15" style="14" bestFit="1" customWidth="1"/>
    <col min="5" max="5" width="14.5703125" style="14" bestFit="1" customWidth="1"/>
    <col min="6" max="6" width="4.42578125" style="14" bestFit="1" customWidth="1"/>
    <col min="7" max="11" width="9.140625" style="14"/>
    <col min="12" max="12" width="34.140625" style="14" bestFit="1" customWidth="1"/>
    <col min="13" max="13" width="10.85546875" style="14" bestFit="1" customWidth="1"/>
    <col min="14" max="14" width="36.140625" style="14" bestFit="1" customWidth="1"/>
    <col min="15" max="15" width="30.7109375" style="14" customWidth="1"/>
    <col min="16" max="16" width="13.140625" style="14" bestFit="1" customWidth="1"/>
    <col min="17" max="17" width="10" style="14" bestFit="1" customWidth="1"/>
    <col min="18" max="18" width="11.28515625" style="14" bestFit="1" customWidth="1"/>
    <col min="19" max="19" width="12.5703125" style="14" bestFit="1" customWidth="1"/>
    <col min="20" max="20" width="15.42578125" style="14" bestFit="1" customWidth="1"/>
    <col min="21" max="21" width="10.85546875" style="14" bestFit="1" customWidth="1"/>
    <col min="22" max="22" width="13.28515625" style="14" bestFit="1" customWidth="1"/>
    <col min="23" max="23" width="5" style="14" bestFit="1" customWidth="1"/>
    <col min="24" max="24" width="49.85546875" style="14" bestFit="1" customWidth="1"/>
    <col min="25" max="26" width="5" style="14" bestFit="1" customWidth="1"/>
    <col min="27" max="27" width="5.7109375" style="14" bestFit="1" customWidth="1"/>
    <col min="28" max="16384" width="9.140625" style="14"/>
  </cols>
  <sheetData>
    <row r="1" spans="1:30" ht="12" customHeight="1" x14ac:dyDescent="0.2">
      <c r="A1" s="10" t="s">
        <v>483</v>
      </c>
      <c r="B1" s="10" t="s">
        <v>484</v>
      </c>
      <c r="C1" s="10" t="s">
        <v>485</v>
      </c>
      <c r="D1" s="10" t="s">
        <v>486</v>
      </c>
      <c r="E1" s="10" t="s">
        <v>487</v>
      </c>
      <c r="F1" s="10" t="s">
        <v>488</v>
      </c>
      <c r="G1" s="7"/>
      <c r="H1" s="7"/>
      <c r="I1" s="7"/>
      <c r="J1" s="7"/>
      <c r="K1" s="7"/>
      <c r="L1" s="107" t="s">
        <v>489</v>
      </c>
      <c r="M1" s="107"/>
      <c r="N1" s="7"/>
      <c r="O1" s="102" t="s">
        <v>570</v>
      </c>
      <c r="P1" s="103"/>
      <c r="Q1" s="103"/>
      <c r="R1" s="103"/>
      <c r="S1" s="103"/>
      <c r="T1" s="103"/>
      <c r="U1" s="103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98" t="s">
        <v>444</v>
      </c>
      <c r="B2" s="98" t="s">
        <v>445</v>
      </c>
      <c r="C2" s="16" t="s">
        <v>530</v>
      </c>
      <c r="D2" s="13">
        <v>0</v>
      </c>
      <c r="E2" s="13">
        <v>0</v>
      </c>
      <c r="F2" s="13">
        <v>0</v>
      </c>
      <c r="G2" s="15"/>
      <c r="H2" s="15"/>
      <c r="I2" s="15"/>
      <c r="J2" s="15"/>
      <c r="K2" s="15"/>
      <c r="L2" s="57" t="s">
        <v>490</v>
      </c>
      <c r="M2" s="82">
        <v>0.1147</v>
      </c>
      <c r="N2" s="15"/>
      <c r="O2" s="62" t="s">
        <v>571</v>
      </c>
      <c r="P2" s="62" t="s">
        <v>53</v>
      </c>
      <c r="Q2" s="62" t="s">
        <v>572</v>
      </c>
      <c r="R2" s="62" t="s">
        <v>35</v>
      </c>
      <c r="S2" s="62" t="s">
        <v>573</v>
      </c>
      <c r="T2" s="62" t="s">
        <v>91</v>
      </c>
      <c r="U2" s="62"/>
      <c r="V2" s="15"/>
      <c r="W2" s="15"/>
      <c r="X2" s="57" t="s">
        <v>543</v>
      </c>
      <c r="Y2" s="15"/>
      <c r="Z2" s="15"/>
      <c r="AA2" s="15" t="s">
        <v>581</v>
      </c>
      <c r="AB2" s="15"/>
      <c r="AC2" s="15"/>
      <c r="AD2" s="15"/>
    </row>
    <row r="3" spans="1:30" ht="12" customHeight="1" x14ac:dyDescent="0.2">
      <c r="A3" s="108"/>
      <c r="B3" s="108"/>
      <c r="C3" s="16" t="s">
        <v>446</v>
      </c>
      <c r="D3" s="13">
        <v>571750.29665963561</v>
      </c>
      <c r="E3" s="13">
        <v>-64281.700820421684</v>
      </c>
      <c r="F3" s="13">
        <v>0</v>
      </c>
      <c r="G3" s="15"/>
      <c r="H3" s="15"/>
      <c r="I3" s="15"/>
      <c r="J3" s="15"/>
      <c r="K3" s="15"/>
      <c r="L3" s="57" t="s">
        <v>491</v>
      </c>
      <c r="M3" s="82"/>
      <c r="N3" s="15"/>
      <c r="O3" s="63">
        <v>1</v>
      </c>
      <c r="P3" s="63">
        <v>1</v>
      </c>
      <c r="Q3" s="63">
        <v>1</v>
      </c>
      <c r="R3" s="64">
        <v>1</v>
      </c>
      <c r="S3" s="63">
        <v>1</v>
      </c>
      <c r="T3" s="63">
        <v>1</v>
      </c>
      <c r="U3" s="63" t="s">
        <v>574</v>
      </c>
      <c r="V3" s="15"/>
      <c r="W3" s="15"/>
      <c r="X3" s="57" t="s">
        <v>544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108"/>
      <c r="B4" s="108"/>
      <c r="C4" s="16" t="s">
        <v>447</v>
      </c>
      <c r="D4" s="13">
        <f>$M$22-D$30</f>
        <v>0</v>
      </c>
      <c r="E4" s="13">
        <f>IF((D4+D$30)&lt;&gt;0,$M$20*D4/(D4+D$30),0)</f>
        <v>0</v>
      </c>
      <c r="F4" s="13">
        <f>IF((D4+D$30)&lt;&gt;0,$M$21*D4/(D4+D$30),0)</f>
        <v>0</v>
      </c>
      <c r="G4" s="15"/>
      <c r="H4" s="15"/>
      <c r="I4" s="15"/>
      <c r="J4" s="15"/>
      <c r="K4" s="15"/>
      <c r="L4" s="57" t="s">
        <v>492</v>
      </c>
      <c r="M4" s="82">
        <v>0.10704236088323049</v>
      </c>
      <c r="N4" s="15"/>
      <c r="O4" s="63">
        <v>1</v>
      </c>
      <c r="P4" s="63">
        <v>1</v>
      </c>
      <c r="Q4" s="63">
        <v>1</v>
      </c>
      <c r="R4" s="64">
        <v>1</v>
      </c>
      <c r="S4" s="63">
        <v>1</v>
      </c>
      <c r="T4" s="63">
        <v>1</v>
      </c>
      <c r="U4" s="63" t="s">
        <v>56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108"/>
      <c r="B5" s="108"/>
      <c r="C5" s="16" t="s">
        <v>448</v>
      </c>
      <c r="D5" s="13">
        <v>0</v>
      </c>
      <c r="E5" s="13"/>
      <c r="F5" s="13"/>
      <c r="G5" s="15"/>
      <c r="H5" s="15"/>
      <c r="I5" s="15"/>
      <c r="J5" s="15"/>
      <c r="K5" s="15"/>
      <c r="L5" s="57" t="s">
        <v>493</v>
      </c>
      <c r="M5" s="82">
        <v>1E-14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108"/>
      <c r="B6" s="108"/>
      <c r="C6" s="16" t="s">
        <v>449</v>
      </c>
      <c r="D6" s="13">
        <v>0</v>
      </c>
      <c r="E6" s="13">
        <v>0</v>
      </c>
      <c r="F6" s="13">
        <v>0</v>
      </c>
      <c r="G6" s="15"/>
      <c r="H6" s="15"/>
      <c r="I6" s="15"/>
      <c r="J6" s="15"/>
      <c r="K6" s="15"/>
      <c r="L6" s="57" t="s">
        <v>494</v>
      </c>
      <c r="M6" s="82">
        <v>0</v>
      </c>
      <c r="N6" s="15"/>
      <c r="O6" s="15"/>
      <c r="P6" s="15"/>
      <c r="Q6" s="15"/>
      <c r="R6" s="30">
        <v>0.8</v>
      </c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108"/>
      <c r="B7" s="108"/>
      <c r="C7" s="16" t="s">
        <v>450</v>
      </c>
      <c r="D7" s="13">
        <v>41758936.660029978</v>
      </c>
      <c r="E7" s="13">
        <v>-2646021.415328952</v>
      </c>
      <c r="F7" s="13">
        <v>0</v>
      </c>
      <c r="G7" s="15"/>
      <c r="H7" s="15"/>
      <c r="I7" s="15"/>
      <c r="J7" s="15"/>
      <c r="K7" s="15"/>
      <c r="L7" s="57" t="s">
        <v>495</v>
      </c>
      <c r="M7" s="57">
        <f>M8+M9+M10+M11</f>
        <v>46890.779987931004</v>
      </c>
      <c r="N7" s="15"/>
      <c r="O7" s="15"/>
      <c r="P7" s="15"/>
      <c r="Q7" s="15"/>
      <c r="R7" s="30">
        <v>0.4</v>
      </c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108"/>
      <c r="B8" s="108"/>
      <c r="C8" s="16" t="s">
        <v>451</v>
      </c>
      <c r="D8" s="13">
        <v>7262217.1152899964</v>
      </c>
      <c r="E8" s="13">
        <v>-454323.12587125652</v>
      </c>
      <c r="F8" s="13">
        <v>0</v>
      </c>
      <c r="G8" s="15"/>
      <c r="H8" s="15"/>
      <c r="I8" s="15"/>
      <c r="J8" s="15"/>
      <c r="K8" s="15"/>
      <c r="L8" s="83" t="s">
        <v>496</v>
      </c>
      <c r="M8" s="57">
        <v>34791.794887931006</v>
      </c>
      <c r="N8" s="15"/>
      <c r="O8" s="57" t="s">
        <v>529</v>
      </c>
      <c r="P8" s="63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108"/>
      <c r="B9" s="108"/>
      <c r="C9" s="16" t="s">
        <v>452</v>
      </c>
      <c r="D9" s="13"/>
      <c r="E9" s="13"/>
      <c r="F9" s="13"/>
      <c r="G9" s="15"/>
      <c r="H9" s="15"/>
      <c r="I9" s="15"/>
      <c r="J9" s="15"/>
      <c r="K9" s="15"/>
      <c r="L9" s="84" t="s">
        <v>497</v>
      </c>
      <c r="M9" s="57">
        <v>0</v>
      </c>
      <c r="N9" s="15"/>
      <c r="O9" s="57" t="s">
        <v>534</v>
      </c>
      <c r="P9" s="63">
        <f>SUM(Mercado_Receita!$J$2:$J$1099)</f>
        <v>1543955</v>
      </c>
      <c r="Q9" s="63">
        <v>1543955</v>
      </c>
      <c r="R9" s="63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108"/>
      <c r="B10" s="99"/>
      <c r="C10" s="16" t="s">
        <v>453</v>
      </c>
      <c r="D10" s="13">
        <f>SUM(D$2:D9)</f>
        <v>49592904.071979605</v>
      </c>
      <c r="E10" s="13">
        <f>SUM(E$2:E9)</f>
        <v>-3164626.2420206303</v>
      </c>
      <c r="F10" s="13">
        <f>SUM(F$2:F9)</f>
        <v>0</v>
      </c>
      <c r="G10" s="15"/>
      <c r="H10" s="15"/>
      <c r="I10" s="15"/>
      <c r="J10" s="15"/>
      <c r="K10" s="15"/>
      <c r="L10" s="83" t="s">
        <v>498</v>
      </c>
      <c r="M10" s="57">
        <v>894.02698684681843</v>
      </c>
      <c r="N10" s="15"/>
      <c r="O10" s="57" t="s">
        <v>535</v>
      </c>
      <c r="P10" s="63">
        <f>SUM(Mercado_Receita!$L$2:$L$1099)</f>
        <v>514960.26699999976</v>
      </c>
      <c r="Q10" s="63">
        <v>514960.26699999999</v>
      </c>
      <c r="R10" s="63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108"/>
      <c r="B11" s="98" t="s">
        <v>454</v>
      </c>
      <c r="C11" s="16" t="s">
        <v>455</v>
      </c>
      <c r="D11" s="13">
        <v>5594748</v>
      </c>
      <c r="E11" s="13">
        <v>380279.93064310966</v>
      </c>
      <c r="F11" s="13">
        <f>IF((+$D$11+$D$12+$D$16+$D$17+$D$39)&lt;&gt;0,$M$19*$D$11/(+$D$11+$D$12+$D$16+$D$17+$D$39),0)</f>
        <v>0</v>
      </c>
      <c r="G11" s="15"/>
      <c r="H11" s="15"/>
      <c r="I11" s="15"/>
      <c r="J11" s="15"/>
      <c r="K11" s="15"/>
      <c r="L11" s="83" t="s">
        <v>499</v>
      </c>
      <c r="M11" s="57">
        <v>11204.958113153181</v>
      </c>
      <c r="N11" s="15"/>
      <c r="O11" s="57" t="s">
        <v>536</v>
      </c>
      <c r="P11" s="63">
        <f>SUM(Mercado_Receita!$N$2:$N$1099)</f>
        <v>436050.15299999993</v>
      </c>
      <c r="Q11" s="63">
        <v>436050.15299999999</v>
      </c>
      <c r="R11" s="63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108"/>
      <c r="B12" s="108"/>
      <c r="C12" s="16" t="s">
        <v>456</v>
      </c>
      <c r="D12" s="13">
        <v>5560982.4000000004</v>
      </c>
      <c r="E12" s="13">
        <v>377984.85318365612</v>
      </c>
      <c r="F12" s="13">
        <f>IF((+$D$11+$D$12+$D$16+$D$17+$D$39)&lt;&gt;0,$M$19*$D$12/(+$D$11+$D$12+$D$16+$D$17+$D$39),0)</f>
        <v>0</v>
      </c>
      <c r="G12" s="15"/>
      <c r="H12" s="15"/>
      <c r="I12" s="15"/>
      <c r="J12" s="15"/>
      <c r="K12" s="15"/>
      <c r="L12" s="57" t="s">
        <v>500</v>
      </c>
      <c r="M12" s="57">
        <v>482940.93298793072</v>
      </c>
      <c r="N12" s="15"/>
      <c r="O12" s="57" t="s">
        <v>537</v>
      </c>
      <c r="P12" s="63">
        <f>SUMIF('MERCADO TUSD'!$H$2:$H$52,"kW",'MERCADO TUSD'!$U$2:$U$52)</f>
        <v>1543955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108"/>
      <c r="B13" s="108"/>
      <c r="C13" s="16" t="s">
        <v>457</v>
      </c>
      <c r="D13" s="13">
        <f>-$M$51+1433901.88035344</f>
        <v>1433901.8803534401</v>
      </c>
      <c r="E13" s="13"/>
      <c r="F13" s="13"/>
      <c r="G13" s="15"/>
      <c r="H13" s="15"/>
      <c r="I13" s="15"/>
      <c r="J13" s="15"/>
      <c r="K13" s="15"/>
      <c r="L13" s="57" t="s">
        <v>501</v>
      </c>
      <c r="M13" s="57">
        <v>7125.5750477020829</v>
      </c>
      <c r="N13" s="15"/>
      <c r="O13" s="57" t="s">
        <v>538</v>
      </c>
      <c r="P13" s="63">
        <f>SUMIF('MERCADO TUSD'!$H$2:$H$52,"MWh",'MERCADO TUSD'!$U$2:$U$52)</f>
        <v>514960.26700000011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108"/>
      <c r="B14" s="108"/>
      <c r="C14" s="16" t="s">
        <v>458</v>
      </c>
      <c r="D14" s="13"/>
      <c r="E14" s="13"/>
      <c r="F14" s="13"/>
      <c r="G14" s="15"/>
      <c r="H14" s="15"/>
      <c r="I14" s="15"/>
      <c r="J14" s="15"/>
      <c r="K14" s="15"/>
      <c r="L14" s="57" t="s">
        <v>502</v>
      </c>
      <c r="M14" s="57">
        <v>175.99587200418659</v>
      </c>
      <c r="N14" s="15"/>
      <c r="O14" s="57" t="s">
        <v>539</v>
      </c>
      <c r="P14" s="63">
        <f>SUMIF('MERCADO TE'!$H$2:$H$41,"MWh",'MERCADO TE'!$U$2:$U$41)</f>
        <v>436050.15299999999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108"/>
      <c r="B15" s="108"/>
      <c r="C15" s="16" t="s">
        <v>459</v>
      </c>
      <c r="D15" s="13">
        <v>37990562.243483499</v>
      </c>
      <c r="E15" s="13">
        <v>1455858.1927852128</v>
      </c>
      <c r="F15" s="13">
        <v>0</v>
      </c>
      <c r="G15" s="15"/>
      <c r="H15" s="15"/>
      <c r="I15" s="15"/>
      <c r="J15" s="15"/>
      <c r="K15" s="15"/>
      <c r="L15" s="57" t="s">
        <v>503</v>
      </c>
      <c r="M15" s="57">
        <f>M14*M12</f>
        <v>84995610.627726316</v>
      </c>
      <c r="N15" s="15"/>
      <c r="O15" s="57" t="s">
        <v>540</v>
      </c>
      <c r="P15" s="63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108"/>
      <c r="B16" s="108"/>
      <c r="C16" s="16" t="s">
        <v>460</v>
      </c>
      <c r="D16" s="13">
        <v>0</v>
      </c>
      <c r="E16" s="13"/>
      <c r="F16" s="13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57" t="s">
        <v>504</v>
      </c>
      <c r="M16" s="57">
        <v>-3198237.7548170425</v>
      </c>
      <c r="N16" s="15"/>
      <c r="O16" s="57" t="s">
        <v>541</v>
      </c>
      <c r="P16" s="63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108"/>
      <c r="B17" s="108"/>
      <c r="C17" s="16" t="s">
        <v>461</v>
      </c>
      <c r="D17" s="13">
        <v>0</v>
      </c>
      <c r="E17" s="13"/>
      <c r="F17" s="13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57" t="s">
        <v>505</v>
      </c>
      <c r="M17" s="57">
        <v>0</v>
      </c>
      <c r="N17" s="15"/>
      <c r="O17" s="57" t="s">
        <v>542</v>
      </c>
      <c r="P17" s="63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108"/>
      <c r="B18" s="99"/>
      <c r="C18" s="16" t="s">
        <v>453</v>
      </c>
      <c r="D18" s="13">
        <f>SUM(D$11:D17)</f>
        <v>50580194.523836941</v>
      </c>
      <c r="E18" s="13">
        <f>SUM(E$11:E17)</f>
        <v>2214122.9766119784</v>
      </c>
      <c r="F18" s="13">
        <f>SUM(F$11:F17)</f>
        <v>0</v>
      </c>
      <c r="G18" s="15"/>
      <c r="H18" s="15"/>
      <c r="I18" s="15"/>
      <c r="J18" s="15"/>
      <c r="K18" s="15"/>
      <c r="L18" s="57" t="s">
        <v>506</v>
      </c>
      <c r="M18" s="57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108"/>
      <c r="B19" s="98" t="s">
        <v>462</v>
      </c>
      <c r="C19" s="16" t="s">
        <v>463</v>
      </c>
      <c r="D19" s="13">
        <v>120000000</v>
      </c>
      <c r="E19" s="13">
        <v>-71793285.037046626</v>
      </c>
      <c r="F19" s="13">
        <v>0</v>
      </c>
      <c r="G19" s="15"/>
      <c r="H19" s="15"/>
      <c r="I19" s="15"/>
      <c r="J19" s="15"/>
      <c r="K19" s="15"/>
      <c r="L19" s="57" t="s">
        <v>507</v>
      </c>
      <c r="M19" s="57">
        <v>0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108"/>
      <c r="B20" s="99"/>
      <c r="C20" s="16" t="s">
        <v>453</v>
      </c>
      <c r="D20" s="13">
        <f>SUM(D$19:D19)</f>
        <v>120000000</v>
      </c>
      <c r="E20" s="13">
        <f>SUM(E$19:E19)</f>
        <v>-71793285.037046626</v>
      </c>
      <c r="F20" s="13">
        <f>SUM(F$19:F19)</f>
        <v>0</v>
      </c>
      <c r="G20" s="15"/>
      <c r="H20" s="15"/>
      <c r="I20" s="15"/>
      <c r="J20" s="15"/>
      <c r="K20" s="15"/>
      <c r="L20" s="57" t="s">
        <v>508</v>
      </c>
      <c r="M20" s="57">
        <v>0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108"/>
      <c r="B21" s="98" t="s">
        <v>464</v>
      </c>
      <c r="C21" s="16" t="s">
        <v>465</v>
      </c>
      <c r="D21" s="13"/>
      <c r="E21" s="13">
        <f>IF($D$47&lt;&gt;0,(1-$D$46/$D$47)*-902617.282795905,0)+0</f>
        <v>-661953.25082248438</v>
      </c>
      <c r="F21" s="13"/>
      <c r="G21" s="15"/>
      <c r="H21" s="15"/>
      <c r="I21" s="15"/>
      <c r="J21" s="15"/>
      <c r="K21" s="15"/>
      <c r="L21" s="57" t="s">
        <v>509</v>
      </c>
      <c r="M21" s="57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108"/>
      <c r="B22" s="108"/>
      <c r="C22" s="16" t="s">
        <v>466</v>
      </c>
      <c r="D22" s="13"/>
      <c r="E22" s="13"/>
      <c r="F22" s="13"/>
      <c r="G22" s="15"/>
      <c r="H22" s="15"/>
      <c r="I22" s="15"/>
      <c r="J22" s="15"/>
      <c r="K22" s="15"/>
      <c r="L22" s="57" t="s">
        <v>531</v>
      </c>
      <c r="M22" s="57">
        <v>0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108"/>
      <c r="B23" s="99"/>
      <c r="C23" s="16" t="s">
        <v>453</v>
      </c>
      <c r="D23" s="13">
        <f>SUM(D$21:D22)</f>
        <v>0</v>
      </c>
      <c r="E23" s="13">
        <f>SUM(E$21:E22)</f>
        <v>-661953.25082248438</v>
      </c>
      <c r="F23" s="13">
        <f>SUM(F$21:F22)</f>
        <v>0</v>
      </c>
      <c r="G23" s="15"/>
      <c r="H23" s="15"/>
      <c r="I23" s="15"/>
      <c r="J23" s="15"/>
      <c r="K23" s="15"/>
      <c r="L23" s="57" t="s">
        <v>510</v>
      </c>
      <c r="M23" s="57">
        <v>40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108"/>
      <c r="B24" s="98" t="s">
        <v>467</v>
      </c>
      <c r="C24" s="16" t="s">
        <v>468</v>
      </c>
      <c r="D24" s="13">
        <f>$M$14*$M$8</f>
        <v>6123212.2798922192</v>
      </c>
      <c r="E24" s="13">
        <f>$M$16*$M$8/$M$12</f>
        <v>-230405.88272357595</v>
      </c>
      <c r="F24" s="13">
        <f>$M$17*$M$8/$M$12</f>
        <v>0</v>
      </c>
      <c r="G24" s="15"/>
      <c r="H24" s="15"/>
      <c r="I24" s="15"/>
      <c r="J24" s="15"/>
      <c r="K24" s="15"/>
      <c r="L24" s="57" t="s">
        <v>511</v>
      </c>
      <c r="M24" s="57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108"/>
      <c r="B25" s="108"/>
      <c r="C25" s="16" t="s">
        <v>469</v>
      </c>
      <c r="D25" s="13">
        <f>$M$14*$M$10</f>
        <v>157345.05914538127</v>
      </c>
      <c r="E25" s="13">
        <f>$M$16*$M$10/$M$12</f>
        <v>-5920.6223118599719</v>
      </c>
      <c r="F25" s="13">
        <f>$M$17*$M$10/$M$12</f>
        <v>0</v>
      </c>
      <c r="G25" s="15"/>
      <c r="H25" s="15"/>
      <c r="I25" s="15"/>
      <c r="J25" s="15"/>
      <c r="K25" s="15"/>
      <c r="L25" s="57" t="s">
        <v>512</v>
      </c>
      <c r="M25" s="57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108"/>
      <c r="B26" s="108"/>
      <c r="C26" s="16" t="s">
        <v>470</v>
      </c>
      <c r="D26" s="13">
        <f>$M$14*$M$9</f>
        <v>0</v>
      </c>
      <c r="E26" s="13">
        <f>$M$16*$M$9/$M$12</f>
        <v>0</v>
      </c>
      <c r="F26" s="13">
        <f>$M$17*$M$9/$M$12</f>
        <v>0</v>
      </c>
      <c r="G26" s="15"/>
      <c r="H26" s="15"/>
      <c r="I26" s="15"/>
      <c r="J26" s="15"/>
      <c r="K26" s="15"/>
      <c r="L26" s="57" t="s">
        <v>513</v>
      </c>
      <c r="M26" s="57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108"/>
      <c r="B27" s="108"/>
      <c r="C27" s="16" t="s">
        <v>471</v>
      </c>
      <c r="D27" s="13"/>
      <c r="E27" s="13"/>
      <c r="F27" s="13"/>
      <c r="G27" s="15"/>
      <c r="H27" s="15"/>
      <c r="I27" s="15"/>
      <c r="J27" s="15"/>
      <c r="K27" s="15"/>
      <c r="L27" s="57" t="s">
        <v>514</v>
      </c>
      <c r="M27" s="57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108"/>
      <c r="B28" s="99"/>
      <c r="C28" s="16" t="s">
        <v>453</v>
      </c>
      <c r="D28" s="13">
        <f>SUM(D$24:D27)</f>
        <v>6280557.3390376009</v>
      </c>
      <c r="E28" s="13">
        <f>SUM(E$24:E27)</f>
        <v>-236326.50503543593</v>
      </c>
      <c r="F28" s="13">
        <f>SUM(F$24:F27)</f>
        <v>0</v>
      </c>
      <c r="G28" s="15"/>
      <c r="H28" s="15"/>
      <c r="I28" s="15"/>
      <c r="J28" s="15"/>
      <c r="K28" s="15"/>
      <c r="L28" s="57" t="s">
        <v>515</v>
      </c>
      <c r="M28" s="57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99"/>
      <c r="B29" s="100" t="s">
        <v>453</v>
      </c>
      <c r="C29" s="101"/>
      <c r="D29" s="13">
        <f>SUMIF(C$2:C28,"SUBTOTAL",D$2:D28)</f>
        <v>226453655.93485415</v>
      </c>
      <c r="E29" s="13">
        <f>SUMIF(C$2:C28,"SUBTOTAL",E$2:E28)</f>
        <v>-73642068.058313191</v>
      </c>
      <c r="F29" s="13">
        <f>SUMIF(C$2:C28,"SUBTOTAL",F$2:F28)</f>
        <v>0</v>
      </c>
      <c r="G29" s="15"/>
      <c r="H29" s="15"/>
      <c r="I29" s="15"/>
      <c r="J29" s="15"/>
      <c r="K29" s="15"/>
      <c r="L29" s="57" t="s">
        <v>516</v>
      </c>
      <c r="M29" s="57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98" t="s">
        <v>472</v>
      </c>
      <c r="B30" s="98" t="s">
        <v>445</v>
      </c>
      <c r="C30" s="16" t="s">
        <v>447</v>
      </c>
      <c r="D30" s="13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0</v>
      </c>
      <c r="E30" s="13">
        <f>IF((D30+D$4)&lt;&gt;0,$M$20*D30/(D30+D$4),0)</f>
        <v>0</v>
      </c>
      <c r="F30" s="13">
        <f>IF((D30+D$4)&lt;&gt;0,$M$21*D30/(D30+D$4),0)</f>
        <v>0</v>
      </c>
      <c r="G30" s="15"/>
      <c r="H30" s="15"/>
      <c r="I30" s="15"/>
      <c r="J30" s="15"/>
      <c r="K30" s="15"/>
      <c r="L30" s="57" t="s">
        <v>517</v>
      </c>
      <c r="M30" s="57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108"/>
      <c r="B31" s="108"/>
      <c r="C31" s="16" t="s">
        <v>473</v>
      </c>
      <c r="D31" s="13">
        <v>10245911.661914382</v>
      </c>
      <c r="E31" s="13">
        <v>6697068.948998278</v>
      </c>
      <c r="F31" s="13">
        <v>0</v>
      </c>
      <c r="G31" s="15"/>
      <c r="H31" s="15"/>
      <c r="I31" s="15"/>
      <c r="J31" s="15"/>
      <c r="K31" s="15"/>
      <c r="L31" s="57" t="s">
        <v>518</v>
      </c>
      <c r="M31" s="57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108"/>
      <c r="B32" s="108"/>
      <c r="C32" s="16" t="s">
        <v>474</v>
      </c>
      <c r="D32" s="13">
        <v>0</v>
      </c>
      <c r="E32" s="13">
        <v>0</v>
      </c>
      <c r="F32" s="13">
        <v>0</v>
      </c>
      <c r="G32" s="15"/>
      <c r="H32" s="15"/>
      <c r="I32" s="15"/>
      <c r="J32" s="15"/>
      <c r="K32" s="15"/>
      <c r="L32" s="57" t="s">
        <v>519</v>
      </c>
      <c r="M32" s="57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108"/>
      <c r="B33" s="108"/>
      <c r="C33" s="16" t="s">
        <v>533</v>
      </c>
      <c r="D33" s="13"/>
      <c r="E33" s="13">
        <v>0</v>
      </c>
      <c r="F33" s="13">
        <v>0</v>
      </c>
      <c r="G33" s="15"/>
      <c r="H33" s="15"/>
      <c r="I33" s="15"/>
      <c r="J33" s="15"/>
      <c r="K33" s="15"/>
      <c r="L33" s="57" t="s">
        <v>520</v>
      </c>
      <c r="M33" s="57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108"/>
      <c r="B34" s="108"/>
      <c r="C34" s="16" t="s">
        <v>475</v>
      </c>
      <c r="D34" s="13">
        <v>-6630000</v>
      </c>
      <c r="E34" s="13">
        <v>0</v>
      </c>
      <c r="F34" s="13">
        <v>0</v>
      </c>
      <c r="G34" s="15"/>
      <c r="H34" s="15"/>
      <c r="I34" s="15"/>
      <c r="J34" s="15"/>
      <c r="K34" s="15"/>
      <c r="L34" s="57" t="s">
        <v>521</v>
      </c>
      <c r="M34" s="57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108"/>
      <c r="B35" s="99"/>
      <c r="C35" s="16" t="s">
        <v>453</v>
      </c>
      <c r="D35" s="13">
        <f>SUM(D$30:D34)</f>
        <v>3615911.6619143821</v>
      </c>
      <c r="E35" s="13">
        <f>SUM(E$30:E34)</f>
        <v>6697068.948998278</v>
      </c>
      <c r="F35" s="13">
        <f>SUM(F$30:F34)</f>
        <v>0</v>
      </c>
      <c r="G35" s="15"/>
      <c r="H35" s="15"/>
      <c r="I35" s="15"/>
      <c r="J35" s="15"/>
      <c r="K35" s="15"/>
      <c r="L35" s="57" t="s">
        <v>522</v>
      </c>
      <c r="M35" s="57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108"/>
      <c r="B36" s="98" t="s">
        <v>476</v>
      </c>
      <c r="C36" s="16" t="s">
        <v>477</v>
      </c>
      <c r="D36" s="13">
        <f>$M$14*($M$12-$M$7)</f>
        <v>76743026.914793923</v>
      </c>
      <c r="E36" s="13">
        <f>$M$16*($M$12-$M$7)/$M$12</f>
        <v>-2887707.3096498107</v>
      </c>
      <c r="F36" s="13">
        <f>$M$17*($M$12-$M$7)/$M$12</f>
        <v>0</v>
      </c>
      <c r="G36" s="15"/>
      <c r="H36" s="15"/>
      <c r="I36" s="15"/>
      <c r="J36" s="15"/>
      <c r="K36" s="15"/>
      <c r="L36" s="57" t="s">
        <v>523</v>
      </c>
      <c r="M36" s="57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108"/>
      <c r="B37" s="99"/>
      <c r="C37" s="16" t="s">
        <v>453</v>
      </c>
      <c r="D37" s="13">
        <f>SUM(D$36:D36)</f>
        <v>76743026.914793923</v>
      </c>
      <c r="E37" s="13">
        <f>SUM(E$36:E36)</f>
        <v>-2887707.3096498107</v>
      </c>
      <c r="F37" s="13">
        <f>SUM(F$36:F36)</f>
        <v>0</v>
      </c>
      <c r="G37" s="15"/>
      <c r="H37" s="15"/>
      <c r="I37" s="15"/>
      <c r="J37" s="15"/>
      <c r="K37" s="15"/>
      <c r="L37" s="57" t="s">
        <v>524</v>
      </c>
      <c r="M37" s="57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108"/>
      <c r="B38" s="98" t="s">
        <v>454</v>
      </c>
      <c r="C38" s="16" t="s">
        <v>478</v>
      </c>
      <c r="D38" s="13">
        <v>0</v>
      </c>
      <c r="E38" s="13">
        <v>0</v>
      </c>
      <c r="F38" s="13">
        <v>0</v>
      </c>
      <c r="G38" s="15"/>
      <c r="H38" s="15"/>
      <c r="I38" s="15"/>
      <c r="J38" s="15"/>
      <c r="K38" s="15"/>
      <c r="L38" s="57" t="s">
        <v>525</v>
      </c>
      <c r="M38" s="57">
        <f>IFERROR(VLOOKUP("Convencional1RuralNão se aplicaRURALB2",Descontos!B1:U88,VLOOKUP("Convencional1RuralNão se aplicaRURALB2",Descontos!B1:U88,20,FALSE)+12,FALSE),100)</f>
        <v>0.06</v>
      </c>
      <c r="N38" s="15" t="s">
        <v>575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108"/>
      <c r="B39" s="108"/>
      <c r="C39" s="16" t="s">
        <v>479</v>
      </c>
      <c r="D39" s="13">
        <v>0</v>
      </c>
      <c r="E39" s="13"/>
      <c r="F39" s="13">
        <f>IF((+$D$11+$D$12+$D$16+$D$17+$D$39)&lt;&gt;0,$M$19*$D$39/(+$D$11+$D$12+$D$16+$D$17+$D$39),0)</f>
        <v>0</v>
      </c>
      <c r="G39" s="15"/>
      <c r="H39" s="15"/>
      <c r="I39" s="15"/>
      <c r="J39" s="15"/>
      <c r="K39" s="15"/>
      <c r="L39" s="57" t="s">
        <v>526</v>
      </c>
      <c r="M39" s="57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0.06</v>
      </c>
      <c r="O39" s="15" t="s">
        <v>594</v>
      </c>
      <c r="P39" s="15" t="s">
        <v>595</v>
      </c>
      <c r="Q39" s="15" t="s">
        <v>596</v>
      </c>
      <c r="R39" s="15" t="s">
        <v>597</v>
      </c>
      <c r="S39" s="15" t="s">
        <v>1</v>
      </c>
      <c r="T39" s="15" t="s">
        <v>598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25">
      <c r="A40" s="108"/>
      <c r="B40" s="108"/>
      <c r="C40" s="16" t="s">
        <v>480</v>
      </c>
      <c r="D40" s="13"/>
      <c r="E40" s="13"/>
      <c r="F40" s="13"/>
      <c r="G40" s="15"/>
      <c r="H40" s="15"/>
      <c r="I40" s="15"/>
      <c r="J40" s="15"/>
      <c r="K40" s="15"/>
      <c r="L40" s="57" t="s">
        <v>527</v>
      </c>
      <c r="M40" s="57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0.08</v>
      </c>
      <c r="O40" s="68"/>
      <c r="P40" s="68"/>
      <c r="Q40" s="68"/>
      <c r="R40" s="68"/>
      <c r="S40" s="68"/>
      <c r="T40" s="68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25">
      <c r="A41" s="108"/>
      <c r="B41" s="99"/>
      <c r="C41" s="16" t="s">
        <v>453</v>
      </c>
      <c r="D41" s="13">
        <f>SUM(D$38:D40)</f>
        <v>0</v>
      </c>
      <c r="E41" s="13">
        <f>SUM(E$38:E40)</f>
        <v>0</v>
      </c>
      <c r="F41" s="13">
        <f>SUM(F$38:F40)</f>
        <v>0</v>
      </c>
      <c r="G41" s="15"/>
      <c r="H41" s="15"/>
      <c r="I41" s="15"/>
      <c r="J41" s="15"/>
      <c r="K41" s="15"/>
      <c r="L41" s="15"/>
      <c r="M41" s="15"/>
      <c r="N41" s="15"/>
      <c r="O41" s="68"/>
      <c r="P41" s="68"/>
      <c r="Q41" s="68"/>
      <c r="R41" s="68"/>
      <c r="S41" s="68"/>
      <c r="T41" s="68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25">
      <c r="A42" s="108"/>
      <c r="B42" s="98" t="s">
        <v>464</v>
      </c>
      <c r="C42" s="16" t="s">
        <v>465</v>
      </c>
      <c r="D42" s="13"/>
      <c r="E42" s="13">
        <f>IF($D$47&lt;&gt;0,($D$46/$D$47)* -902617.282795905,0)+0</f>
        <v>-240664.03197342064</v>
      </c>
      <c r="F42" s="13"/>
      <c r="G42" s="15"/>
      <c r="H42" s="15"/>
      <c r="I42" s="15"/>
      <c r="J42" s="15"/>
      <c r="K42" s="15"/>
      <c r="L42" s="15"/>
      <c r="M42" s="15"/>
      <c r="N42" s="15"/>
      <c r="O42" s="68"/>
      <c r="P42" s="68"/>
      <c r="Q42" s="68"/>
      <c r="R42" s="68"/>
      <c r="S42" s="68"/>
      <c r="T42" s="68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25">
      <c r="A43" s="108"/>
      <c r="B43" s="99"/>
      <c r="C43" s="16" t="s">
        <v>453</v>
      </c>
      <c r="D43" s="13">
        <f>SUM(D$42:D42)</f>
        <v>0</v>
      </c>
      <c r="E43" s="13">
        <f>SUM(E$42:E42)</f>
        <v>-240664.03197342064</v>
      </c>
      <c r="F43" s="13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68"/>
      <c r="P43" s="68"/>
      <c r="Q43" s="68"/>
      <c r="R43" s="68"/>
      <c r="S43" s="68"/>
      <c r="T43" s="68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25">
      <c r="A44" s="108"/>
      <c r="B44" s="98" t="s">
        <v>467</v>
      </c>
      <c r="C44" s="16" t="s">
        <v>481</v>
      </c>
      <c r="D44" s="13">
        <f>$M$14*$M$11</f>
        <v>1972026.3738947795</v>
      </c>
      <c r="E44" s="13">
        <f>$M$16*$M$11/$M$12</f>
        <v>-74203.94013179584</v>
      </c>
      <c r="F44" s="13">
        <f>$M$17*$M$11/$M$12</f>
        <v>0</v>
      </c>
      <c r="G44" s="15"/>
      <c r="H44" s="15"/>
      <c r="I44" s="15"/>
      <c r="J44" s="15"/>
      <c r="K44" s="15"/>
      <c r="L44" s="15"/>
      <c r="M44" s="15"/>
      <c r="N44" s="15"/>
      <c r="O44" s="68"/>
      <c r="P44" s="68"/>
      <c r="Q44" s="68"/>
      <c r="R44" s="68"/>
      <c r="S44" s="68"/>
      <c r="T44" s="68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25">
      <c r="A45" s="108"/>
      <c r="B45" s="99"/>
      <c r="C45" s="16" t="s">
        <v>453</v>
      </c>
      <c r="D45" s="13">
        <f>SUM(D$44:D44)</f>
        <v>1972026.3738947795</v>
      </c>
      <c r="E45" s="13">
        <f>SUM(E$44:E44)</f>
        <v>-74203.94013179584</v>
      </c>
      <c r="F45" s="13">
        <f>SUM(F$44:F44)</f>
        <v>0</v>
      </c>
      <c r="G45" s="15"/>
      <c r="H45" s="15"/>
      <c r="I45" s="15"/>
      <c r="J45" s="15"/>
      <c r="K45" s="15"/>
      <c r="L45" s="15"/>
      <c r="M45" s="15"/>
      <c r="N45" s="15"/>
      <c r="O45" s="68"/>
      <c r="P45" s="68"/>
      <c r="Q45" s="68"/>
      <c r="R45" s="68"/>
      <c r="S45" s="68"/>
      <c r="T45" s="68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25">
      <c r="A46" s="99"/>
      <c r="B46" s="100" t="s">
        <v>453</v>
      </c>
      <c r="C46" s="101"/>
      <c r="D46" s="13">
        <f>SUMIF(C$30:C45,"SUBTOTAL",D$30:D45)</f>
        <v>82330964.950603083</v>
      </c>
      <c r="E46" s="13">
        <f>SUMIF(C$30:C45,"SUBTOTAL",E$30:E45)</f>
        <v>3494493.6672432506</v>
      </c>
      <c r="F46" s="13">
        <f>SUMIF(C$30:C45,"SUBTOTAL",F$30:F45)</f>
        <v>0</v>
      </c>
      <c r="G46" s="15"/>
      <c r="H46" s="15"/>
      <c r="I46" s="15"/>
      <c r="J46" s="15"/>
      <c r="K46" s="15"/>
      <c r="L46" s="15"/>
      <c r="M46" s="15"/>
      <c r="N46" s="15"/>
      <c r="O46" s="68"/>
      <c r="P46" s="68"/>
      <c r="Q46" s="68"/>
      <c r="R46" s="68"/>
      <c r="S46" s="68"/>
      <c r="T46" s="68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25">
      <c r="A47" s="100" t="s">
        <v>482</v>
      </c>
      <c r="B47" s="106"/>
      <c r="C47" s="101"/>
      <c r="D47" s="13">
        <f>SUMIF(C$2:C46,"SUBTOTAL",D$2:D46)</f>
        <v>308784620.88545722</v>
      </c>
      <c r="E47" s="13">
        <f>SUMIF(C$2:C46,"SUBTOTAL",E$2:E46)</f>
        <v>-70147574.391069949</v>
      </c>
      <c r="F47" s="13">
        <f>SUMIF(C$2:C46,"SUBTOTAL",F$2:F46)</f>
        <v>0</v>
      </c>
      <c r="G47" s="15"/>
      <c r="H47" s="15"/>
      <c r="I47" s="15"/>
      <c r="J47" s="15"/>
      <c r="K47" s="15"/>
      <c r="L47" s="15"/>
      <c r="M47" s="15"/>
      <c r="N47" s="15"/>
      <c r="O47" s="68"/>
      <c r="P47" s="68"/>
      <c r="Q47" s="68"/>
      <c r="R47" s="68"/>
      <c r="S47" s="68"/>
      <c r="T47" s="68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25">
      <c r="A48" s="104" t="s">
        <v>568</v>
      </c>
      <c r="B48" s="105"/>
      <c r="C48" s="105"/>
      <c r="D48" s="60">
        <f ca="1">'TUSD BE'!$AM$57+'TUSD BE'!$AM$61+'TE BE'!$AB$46</f>
        <v>308784620.88545734</v>
      </c>
      <c r="E48" s="60">
        <f ca="1">'TUSD BF'!$AM$57+'TE BF'!$AB$46</f>
        <v>-70147574.391069949</v>
      </c>
      <c r="F48" s="60">
        <f ca="1">'TUSD CVA'!$AM$57+'TE CVA'!$AB$46</f>
        <v>0</v>
      </c>
      <c r="L48" s="81"/>
      <c r="M48" s="57"/>
      <c r="O48" s="68"/>
      <c r="P48" s="68"/>
      <c r="Q48" s="68"/>
      <c r="R48" s="68"/>
      <c r="S48" s="68"/>
      <c r="T48" s="68"/>
    </row>
    <row r="49" spans="1:20" ht="12" customHeight="1" x14ac:dyDescent="0.25">
      <c r="A49" s="104" t="s">
        <v>569</v>
      </c>
      <c r="B49" s="105"/>
      <c r="C49" s="105"/>
      <c r="D49" s="61" t="str">
        <f ca="1">IF(ABS(D48-D47)&gt;1,"ERRO","OK")</f>
        <v>OK</v>
      </c>
      <c r="E49" s="61" t="str">
        <f ca="1">IF(ABS(E48-E47)&gt;1,"ERRO","OK")</f>
        <v>OK</v>
      </c>
      <c r="F49" s="61" t="str">
        <f ca="1">IF(ABS(F48-F47)&gt;1,"ERRO","OK")</f>
        <v>OK</v>
      </c>
      <c r="L49" s="81"/>
      <c r="M49" s="57"/>
      <c r="O49" s="68"/>
      <c r="P49" s="68"/>
      <c r="Q49" s="68"/>
      <c r="R49" s="68"/>
      <c r="S49" s="68"/>
      <c r="T49" s="68"/>
    </row>
    <row r="50" spans="1:20" ht="12" customHeight="1" x14ac:dyDescent="0.25">
      <c r="L50" s="81"/>
      <c r="M50" s="57"/>
      <c r="O50" s="68"/>
      <c r="P50" s="68"/>
      <c r="Q50" s="68"/>
      <c r="R50" s="68"/>
      <c r="S50" s="68"/>
      <c r="T50" s="68"/>
    </row>
    <row r="51" spans="1:20" ht="12" customHeight="1" x14ac:dyDescent="0.25">
      <c r="L51" s="73" t="s">
        <v>528</v>
      </c>
      <c r="M51" s="79">
        <v>0</v>
      </c>
      <c r="O51" s="68"/>
      <c r="P51" s="68"/>
      <c r="Q51" s="68"/>
      <c r="R51" s="68"/>
      <c r="S51" s="68"/>
      <c r="T51" s="68"/>
    </row>
    <row r="52" spans="1:20" ht="12" customHeight="1" x14ac:dyDescent="0.25">
      <c r="O52" s="68"/>
      <c r="P52" s="68"/>
      <c r="Q52" s="68"/>
      <c r="R52" s="68"/>
      <c r="S52" s="68"/>
      <c r="T52" s="68"/>
    </row>
    <row r="53" spans="1:20" ht="12" customHeight="1" x14ac:dyDescent="0.25">
      <c r="O53" s="68"/>
      <c r="P53" s="68"/>
      <c r="Q53" s="68"/>
      <c r="R53" s="68"/>
      <c r="S53" s="68"/>
      <c r="T53" s="68"/>
    </row>
    <row r="54" spans="1:20" ht="12" customHeight="1" x14ac:dyDescent="0.25">
      <c r="O54" s="68"/>
      <c r="P54" s="68"/>
      <c r="Q54" s="68"/>
      <c r="R54" s="68"/>
      <c r="S54" s="68"/>
      <c r="T54" s="68"/>
    </row>
    <row r="55" spans="1:20" ht="12" customHeight="1" x14ac:dyDescent="0.25">
      <c r="O55" s="68"/>
      <c r="P55" s="68"/>
      <c r="Q55" s="68"/>
      <c r="R55" s="68"/>
      <c r="S55" s="68"/>
      <c r="T55" s="68"/>
    </row>
    <row r="56" spans="1:20" ht="12" customHeight="1" x14ac:dyDescent="0.25">
      <c r="O56" s="68"/>
      <c r="P56" s="68"/>
      <c r="Q56" s="68"/>
      <c r="R56" s="68"/>
      <c r="S56" s="68"/>
      <c r="T56" s="68"/>
    </row>
    <row r="57" spans="1:20" ht="12" customHeight="1" x14ac:dyDescent="0.25">
      <c r="O57" s="68"/>
      <c r="P57" s="68"/>
      <c r="Q57" s="68"/>
      <c r="R57" s="68"/>
      <c r="S57" s="68"/>
      <c r="T57" s="68"/>
    </row>
    <row r="58" spans="1:20" ht="12" customHeight="1" x14ac:dyDescent="0.25">
      <c r="O58" s="68"/>
      <c r="P58" s="68"/>
      <c r="Q58" s="68"/>
      <c r="R58" s="68"/>
      <c r="S58" s="68"/>
      <c r="T58" s="68"/>
    </row>
    <row r="59" spans="1:20" ht="12" customHeight="1" x14ac:dyDescent="0.25">
      <c r="O59" s="68"/>
      <c r="P59" s="68"/>
      <c r="Q59" s="68"/>
      <c r="R59" s="68"/>
      <c r="S59" s="68"/>
      <c r="T59" s="68"/>
    </row>
    <row r="60" spans="1:20" ht="12" customHeight="1" x14ac:dyDescent="0.25">
      <c r="O60" s="68"/>
      <c r="P60" s="68"/>
      <c r="Q60" s="68"/>
      <c r="R60" s="68"/>
      <c r="S60" s="68"/>
      <c r="T60" s="68"/>
    </row>
    <row r="61" spans="1:20" ht="12" customHeight="1" x14ac:dyDescent="0.25">
      <c r="O61" s="68"/>
      <c r="P61" s="68"/>
      <c r="Q61" s="68"/>
      <c r="R61" s="68"/>
      <c r="S61" s="68"/>
      <c r="T61" s="68"/>
    </row>
    <row r="62" spans="1:20" ht="12" customHeight="1" x14ac:dyDescent="0.25">
      <c r="O62" s="68"/>
      <c r="P62" s="68"/>
      <c r="Q62" s="68"/>
      <c r="R62" s="68"/>
      <c r="S62" s="68"/>
      <c r="T62" s="68"/>
    </row>
    <row r="63" spans="1:20" ht="12" customHeight="1" x14ac:dyDescent="0.25">
      <c r="O63" s="68"/>
      <c r="P63" s="68"/>
      <c r="Q63" s="68"/>
      <c r="R63" s="68"/>
      <c r="S63" s="68"/>
      <c r="T63" s="68"/>
    </row>
    <row r="64" spans="1:20" ht="12" customHeight="1" x14ac:dyDescent="0.25">
      <c r="O64" s="68"/>
      <c r="P64" s="68"/>
      <c r="Q64" s="68"/>
      <c r="R64" s="68"/>
      <c r="S64" s="68"/>
      <c r="T64" s="68"/>
    </row>
    <row r="65" spans="15:20" ht="12" customHeight="1" x14ac:dyDescent="0.25">
      <c r="O65" s="68"/>
      <c r="P65" s="68"/>
      <c r="Q65" s="68"/>
      <c r="R65" s="68"/>
      <c r="S65" s="68"/>
      <c r="T65" s="68"/>
    </row>
    <row r="66" spans="15:20" ht="12" customHeight="1" x14ac:dyDescent="0.25">
      <c r="O66" s="68"/>
      <c r="P66" s="68"/>
      <c r="Q66" s="68"/>
      <c r="R66" s="68"/>
      <c r="S66" s="68"/>
      <c r="T66" s="68"/>
    </row>
    <row r="67" spans="15:20" ht="12" customHeight="1" x14ac:dyDescent="0.25">
      <c r="O67" s="68"/>
      <c r="P67" s="68"/>
      <c r="Q67" s="68"/>
      <c r="R67" s="68"/>
      <c r="S67" s="68"/>
      <c r="T67" s="68"/>
    </row>
    <row r="68" spans="15:20" ht="12" customHeight="1" x14ac:dyDescent="0.25">
      <c r="O68" s="68"/>
      <c r="P68" s="68"/>
      <c r="Q68" s="68"/>
      <c r="R68" s="68"/>
      <c r="S68" s="68"/>
      <c r="T68" s="68"/>
    </row>
    <row r="69" spans="15:20" ht="12" customHeight="1" x14ac:dyDescent="0.25">
      <c r="O69" s="68"/>
      <c r="P69" s="68"/>
      <c r="Q69" s="68"/>
      <c r="R69" s="68"/>
      <c r="S69" s="68"/>
      <c r="T69" s="68"/>
    </row>
    <row r="70" spans="15:20" ht="12" customHeight="1" x14ac:dyDescent="0.25">
      <c r="O70" s="68"/>
      <c r="P70" s="68"/>
      <c r="Q70" s="68"/>
      <c r="R70" s="68"/>
      <c r="S70" s="68"/>
      <c r="T70" s="68"/>
    </row>
    <row r="71" spans="15:20" ht="12" customHeight="1" x14ac:dyDescent="0.25">
      <c r="O71" s="68"/>
      <c r="P71" s="68"/>
      <c r="Q71" s="68"/>
      <c r="R71" s="68"/>
      <c r="S71" s="68"/>
      <c r="T71" s="68"/>
    </row>
    <row r="72" spans="15:20" ht="12" customHeight="1" x14ac:dyDescent="0.25">
      <c r="O72" s="68"/>
      <c r="P72" s="68"/>
      <c r="Q72" s="68"/>
      <c r="R72" s="68"/>
      <c r="S72" s="68"/>
      <c r="T72" s="68"/>
    </row>
    <row r="73" spans="15:20" ht="12" customHeight="1" x14ac:dyDescent="0.25">
      <c r="O73" s="68"/>
      <c r="P73" s="68"/>
      <c r="Q73" s="68"/>
      <c r="R73" s="68"/>
      <c r="S73" s="68"/>
      <c r="T73" s="68"/>
    </row>
    <row r="74" spans="15:20" ht="12" customHeight="1" x14ac:dyDescent="0.25">
      <c r="O74" s="68"/>
      <c r="P74" s="68"/>
      <c r="Q74" s="68"/>
      <c r="R74" s="68"/>
      <c r="S74" s="68"/>
      <c r="T74" s="68"/>
    </row>
    <row r="75" spans="15:20" ht="12" customHeight="1" x14ac:dyDescent="0.25">
      <c r="O75" s="68"/>
      <c r="P75" s="68"/>
      <c r="Q75" s="68"/>
      <c r="R75" s="68"/>
      <c r="S75" s="68"/>
      <c r="T75" s="68"/>
    </row>
    <row r="76" spans="15:20" ht="12" customHeight="1" x14ac:dyDescent="0.25">
      <c r="O76" s="68"/>
      <c r="P76" s="68"/>
      <c r="Q76" s="68"/>
      <c r="R76" s="68"/>
      <c r="S76" s="68"/>
      <c r="T76" s="68"/>
    </row>
    <row r="77" spans="15:20" ht="12" customHeight="1" x14ac:dyDescent="0.25">
      <c r="O77" s="68"/>
      <c r="P77" s="68"/>
      <c r="Q77" s="68"/>
      <c r="R77" s="68"/>
      <c r="S77" s="68"/>
      <c r="T77" s="68"/>
    </row>
    <row r="78" spans="15:20" ht="12" customHeight="1" x14ac:dyDescent="0.25">
      <c r="O78" s="68"/>
      <c r="P78" s="68"/>
      <c r="Q78" s="68"/>
      <c r="R78" s="68"/>
      <c r="S78" s="68"/>
      <c r="T78" s="68"/>
    </row>
    <row r="79" spans="15:20" ht="12" customHeight="1" x14ac:dyDescent="0.25">
      <c r="O79" s="68"/>
      <c r="P79" s="68"/>
      <c r="Q79" s="68"/>
      <c r="R79" s="68"/>
      <c r="S79" s="68"/>
      <c r="T79" s="68"/>
    </row>
    <row r="80" spans="15:20" ht="12" customHeight="1" x14ac:dyDescent="0.25">
      <c r="O80" s="68"/>
      <c r="P80" s="68"/>
      <c r="Q80" s="68"/>
      <c r="R80" s="68"/>
      <c r="S80" s="68"/>
      <c r="T80" s="68"/>
    </row>
    <row r="81" spans="15:20" ht="12" customHeight="1" x14ac:dyDescent="0.25">
      <c r="O81" s="68"/>
      <c r="P81" s="68"/>
      <c r="Q81" s="68"/>
      <c r="R81" s="68"/>
      <c r="S81" s="68"/>
      <c r="T81" s="68"/>
    </row>
    <row r="82" spans="15:20" ht="12" customHeight="1" x14ac:dyDescent="0.25">
      <c r="O82" s="68"/>
      <c r="P82" s="68"/>
      <c r="Q82" s="68"/>
      <c r="R82" s="68"/>
      <c r="S82" s="68"/>
      <c r="T82" s="68"/>
    </row>
    <row r="83" spans="15:20" ht="12" customHeight="1" x14ac:dyDescent="0.25">
      <c r="O83" s="68"/>
      <c r="P83" s="68"/>
      <c r="Q83" s="68"/>
      <c r="R83" s="68"/>
      <c r="S83" s="68"/>
      <c r="T83" s="68"/>
    </row>
    <row r="84" spans="15:20" ht="12" customHeight="1" x14ac:dyDescent="0.25">
      <c r="O84" s="68"/>
      <c r="P84" s="68"/>
      <c r="Q84" s="68"/>
      <c r="R84" s="68"/>
      <c r="S84" s="68"/>
      <c r="T84" s="68"/>
    </row>
    <row r="85" spans="15:20" ht="12" customHeight="1" x14ac:dyDescent="0.25">
      <c r="O85" s="68"/>
      <c r="P85" s="68"/>
      <c r="Q85" s="68"/>
      <c r="R85" s="68"/>
      <c r="S85" s="68"/>
      <c r="T85" s="68"/>
    </row>
    <row r="86" spans="15:20" ht="12" customHeight="1" x14ac:dyDescent="0.25">
      <c r="O86" s="68"/>
      <c r="P86" s="68"/>
      <c r="Q86" s="68"/>
      <c r="R86" s="68"/>
      <c r="S86" s="68"/>
      <c r="T86" s="68"/>
    </row>
    <row r="87" spans="15:20" ht="12" customHeight="1" x14ac:dyDescent="0.25">
      <c r="O87" s="68"/>
      <c r="P87" s="68"/>
      <c r="Q87" s="68"/>
      <c r="R87" s="68"/>
      <c r="S87" s="68"/>
      <c r="T87" s="68"/>
    </row>
    <row r="88" spans="15:20" ht="12" customHeight="1" x14ac:dyDescent="0.25">
      <c r="O88" s="68"/>
      <c r="P88" s="68"/>
      <c r="Q88" s="68"/>
      <c r="R88" s="68"/>
      <c r="S88" s="68"/>
      <c r="T88" s="68"/>
    </row>
    <row r="89" spans="15:20" ht="12" customHeight="1" x14ac:dyDescent="0.25">
      <c r="O89" s="68"/>
      <c r="P89" s="68"/>
      <c r="Q89" s="68"/>
      <c r="R89" s="68"/>
      <c r="S89" s="68"/>
      <c r="T89" s="68"/>
    </row>
    <row r="90" spans="15:20" ht="12" customHeight="1" x14ac:dyDescent="0.25">
      <c r="O90" s="68"/>
      <c r="P90" s="68"/>
      <c r="Q90" s="68"/>
      <c r="R90" s="68"/>
      <c r="S90" s="68"/>
      <c r="T90" s="68"/>
    </row>
    <row r="91" spans="15:20" ht="12" customHeight="1" x14ac:dyDescent="0.25">
      <c r="O91" s="68"/>
      <c r="P91" s="68"/>
      <c r="Q91" s="68"/>
      <c r="R91" s="68"/>
      <c r="S91" s="68"/>
      <c r="T91" s="68"/>
    </row>
    <row r="92" spans="15:20" ht="12" customHeight="1" x14ac:dyDescent="0.25">
      <c r="O92" s="68"/>
      <c r="P92" s="68"/>
      <c r="Q92" s="68"/>
      <c r="R92" s="68"/>
      <c r="S92" s="68"/>
      <c r="T92" s="68"/>
    </row>
    <row r="93" spans="15:20" ht="12" customHeight="1" x14ac:dyDescent="0.25">
      <c r="O93" s="68"/>
      <c r="P93" s="68"/>
      <c r="Q93" s="68"/>
      <c r="R93" s="68"/>
      <c r="S93" s="68"/>
      <c r="T93" s="68"/>
    </row>
    <row r="94" spans="15:20" ht="12" customHeight="1" x14ac:dyDescent="0.25">
      <c r="O94" s="68"/>
      <c r="P94" s="68"/>
      <c r="Q94" s="68"/>
      <c r="R94" s="68"/>
      <c r="S94" s="68"/>
      <c r="T94" s="68"/>
    </row>
    <row r="95" spans="15:20" ht="12" customHeight="1" x14ac:dyDescent="0.25">
      <c r="O95" s="68"/>
      <c r="P95" s="68"/>
      <c r="Q95" s="68"/>
      <c r="R95" s="68"/>
      <c r="S95" s="68"/>
      <c r="T95" s="68"/>
    </row>
    <row r="96" spans="15:20" ht="12" customHeight="1" x14ac:dyDescent="0.25">
      <c r="O96" s="68"/>
      <c r="P96" s="68"/>
      <c r="Q96" s="68"/>
      <c r="R96" s="68"/>
      <c r="S96" s="68"/>
      <c r="T96" s="68"/>
    </row>
    <row r="97" spans="15:30" ht="12" customHeight="1" x14ac:dyDescent="0.25">
      <c r="O97" s="68"/>
      <c r="P97" s="68"/>
      <c r="Q97" s="68"/>
      <c r="R97" s="68"/>
      <c r="S97" s="68"/>
      <c r="T97" s="68"/>
    </row>
    <row r="98" spans="15:30" ht="12" customHeight="1" x14ac:dyDescent="0.25">
      <c r="O98" s="68"/>
      <c r="P98" s="68"/>
      <c r="Q98" s="68"/>
      <c r="R98" s="68"/>
      <c r="S98" s="68"/>
      <c r="T98" s="68"/>
    </row>
    <row r="99" spans="15:30" ht="12" customHeight="1" x14ac:dyDescent="0.25">
      <c r="O99" s="67"/>
      <c r="P99" s="67"/>
      <c r="Q99" s="67"/>
      <c r="R99" s="67"/>
      <c r="S99" s="67"/>
      <c r="T99" s="67"/>
    </row>
    <row r="100" spans="15:30" ht="12" customHeight="1" x14ac:dyDescent="0.25"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</row>
    <row r="101" spans="15:30" ht="12" customHeight="1" x14ac:dyDescent="0.25">
      <c r="O101" s="68" t="s">
        <v>594</v>
      </c>
      <c r="P101" s="68" t="s">
        <v>599</v>
      </c>
      <c r="Q101" s="68" t="s">
        <v>600</v>
      </c>
      <c r="R101" s="68" t="s">
        <v>601</v>
      </c>
      <c r="S101" s="68" t="s">
        <v>602</v>
      </c>
      <c r="T101" s="68" t="s">
        <v>603</v>
      </c>
      <c r="U101" s="68" t="s">
        <v>604</v>
      </c>
      <c r="V101" s="68" t="s">
        <v>605</v>
      </c>
      <c r="W101" s="68"/>
      <c r="X101" s="68"/>
      <c r="Y101" s="68"/>
      <c r="Z101" s="68"/>
      <c r="AA101" s="68"/>
      <c r="AB101" s="68"/>
      <c r="AC101" s="68"/>
      <c r="AD101" s="68"/>
    </row>
    <row r="102" spans="15:30" ht="12" customHeight="1" x14ac:dyDescent="0.25">
      <c r="O102" s="68" t="s">
        <v>34</v>
      </c>
      <c r="P102" s="68" t="s">
        <v>23</v>
      </c>
      <c r="Q102" s="68" t="s">
        <v>41</v>
      </c>
      <c r="R102" s="68" t="s">
        <v>42</v>
      </c>
      <c r="S102" s="68" t="s">
        <v>25</v>
      </c>
      <c r="T102" s="68" t="s">
        <v>42</v>
      </c>
      <c r="U102" s="68">
        <v>4</v>
      </c>
      <c r="V102" s="68">
        <v>0.3</v>
      </c>
      <c r="W102" s="68">
        <v>0.24</v>
      </c>
      <c r="X102" s="68">
        <v>0.18</v>
      </c>
      <c r="Y102" s="68">
        <v>0.12</v>
      </c>
      <c r="Z102" s="68">
        <v>0.06</v>
      </c>
      <c r="AA102" s="68">
        <v>0</v>
      </c>
      <c r="AB102" s="68"/>
      <c r="AC102" s="68"/>
      <c r="AD102" s="68"/>
    </row>
    <row r="103" spans="15:30" ht="12" customHeight="1" x14ac:dyDescent="0.25"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</row>
    <row r="104" spans="15:30" ht="12" customHeight="1" x14ac:dyDescent="0.25"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</row>
    <row r="105" spans="15:30" ht="12" customHeight="1" x14ac:dyDescent="0.25"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</row>
    <row r="106" spans="15:30" ht="12" customHeight="1" x14ac:dyDescent="0.25"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</row>
    <row r="107" spans="15:30" ht="12" customHeight="1" x14ac:dyDescent="0.25"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</row>
    <row r="108" spans="15:30" ht="12" customHeight="1" x14ac:dyDescent="0.25"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</row>
    <row r="109" spans="15:30" ht="12" customHeight="1" x14ac:dyDescent="0.25"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</row>
    <row r="110" spans="15:30" ht="12" customHeight="1" x14ac:dyDescent="0.25"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</row>
    <row r="111" spans="15:30" ht="12" customHeight="1" x14ac:dyDescent="0.25"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</row>
    <row r="112" spans="15:30" ht="12" customHeight="1" x14ac:dyDescent="0.25"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</row>
    <row r="113" spans="15:30" ht="12" customHeight="1" x14ac:dyDescent="0.25"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</row>
    <row r="114" spans="15:30" ht="12" customHeight="1" x14ac:dyDescent="0.25"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</row>
    <row r="115" spans="15:30" ht="12" customHeight="1" x14ac:dyDescent="0.25"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</row>
    <row r="116" spans="15:30" ht="12" customHeight="1" x14ac:dyDescent="0.25"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</row>
    <row r="117" spans="15:30" ht="12" customHeight="1" x14ac:dyDescent="0.25"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</row>
    <row r="118" spans="15:30" ht="12" customHeight="1" x14ac:dyDescent="0.25"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</row>
    <row r="119" spans="15:30" ht="12" customHeight="1" x14ac:dyDescent="0.25"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  <c r="AA119" s="68"/>
      <c r="AB119" s="68"/>
      <c r="AC119" s="68"/>
      <c r="AD119" s="68"/>
    </row>
    <row r="120" spans="15:30" ht="12" customHeight="1" x14ac:dyDescent="0.25"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</row>
    <row r="121" spans="15:30" ht="12" customHeight="1" x14ac:dyDescent="0.25"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</row>
    <row r="122" spans="15:30" ht="12" customHeight="1" x14ac:dyDescent="0.25"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68"/>
      <c r="AD122" s="68"/>
    </row>
    <row r="123" spans="15:30" ht="12" customHeight="1" x14ac:dyDescent="0.25"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68"/>
      <c r="AD123" s="68"/>
    </row>
    <row r="124" spans="15:30" ht="12" customHeight="1" x14ac:dyDescent="0.25"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</row>
    <row r="125" spans="15:30" ht="12" customHeight="1" x14ac:dyDescent="0.25"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68"/>
      <c r="AD125" s="68"/>
    </row>
    <row r="126" spans="15:30" ht="12" customHeight="1" x14ac:dyDescent="0.25"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</row>
    <row r="127" spans="15:30" ht="12" customHeight="1" x14ac:dyDescent="0.25"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</row>
    <row r="128" spans="15:30" ht="12" customHeight="1" x14ac:dyDescent="0.25"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</row>
    <row r="129" spans="15:30" ht="12" customHeight="1" x14ac:dyDescent="0.25"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</row>
    <row r="130" spans="15:30" ht="12" customHeight="1" x14ac:dyDescent="0.25"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</row>
    <row r="131" spans="15:30" ht="12" customHeight="1" x14ac:dyDescent="0.25"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8"/>
    </row>
    <row r="132" spans="15:30" ht="12" customHeight="1" x14ac:dyDescent="0.25"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</row>
    <row r="133" spans="15:30" ht="12" customHeight="1" x14ac:dyDescent="0.25"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</row>
    <row r="134" spans="15:30" ht="12" customHeight="1" x14ac:dyDescent="0.25"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</row>
    <row r="135" spans="15:30" ht="12" customHeight="1" x14ac:dyDescent="0.25"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</row>
    <row r="136" spans="15:30" ht="12" customHeight="1" x14ac:dyDescent="0.25"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</row>
    <row r="137" spans="15:30" ht="12" customHeight="1" x14ac:dyDescent="0.25"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</row>
    <row r="138" spans="15:30" ht="12" customHeight="1" x14ac:dyDescent="0.25"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</row>
    <row r="139" spans="15:30" ht="12" customHeight="1" x14ac:dyDescent="0.25"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</row>
    <row r="140" spans="15:30" ht="12" customHeight="1" x14ac:dyDescent="0.25"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</row>
    <row r="141" spans="15:30" ht="12" customHeight="1" x14ac:dyDescent="0.25"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</row>
    <row r="142" spans="15:30" ht="12" customHeight="1" x14ac:dyDescent="0.25"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8"/>
    </row>
    <row r="143" spans="15:30" ht="12" customHeight="1" x14ac:dyDescent="0.25"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  <c r="AA143" s="68"/>
      <c r="AB143" s="68"/>
      <c r="AC143" s="68"/>
      <c r="AD143" s="68"/>
    </row>
    <row r="144" spans="15:30" ht="12" customHeight="1" x14ac:dyDescent="0.25"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</row>
    <row r="145" spans="15:30" ht="12" customHeight="1" x14ac:dyDescent="0.25"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</row>
    <row r="146" spans="15:30" ht="12" customHeight="1" x14ac:dyDescent="0.25"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</row>
    <row r="147" spans="15:30" ht="12" customHeight="1" x14ac:dyDescent="0.25"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8"/>
    </row>
    <row r="148" spans="15:30" ht="12" customHeight="1" x14ac:dyDescent="0.25"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  <c r="AA148" s="68"/>
      <c r="AB148" s="68"/>
      <c r="AC148" s="68"/>
      <c r="AD148" s="68"/>
    </row>
    <row r="149" spans="15:30" ht="12" customHeight="1" x14ac:dyDescent="0.25"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</row>
    <row r="150" spans="15:30" ht="12" customHeight="1" x14ac:dyDescent="0.25"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  <c r="AA150" s="68"/>
      <c r="AB150" s="68"/>
      <c r="AC150" s="68"/>
      <c r="AD150" s="68"/>
    </row>
    <row r="151" spans="15:30" ht="12" customHeight="1" x14ac:dyDescent="0.25"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</row>
    <row r="152" spans="15:30" ht="12" customHeight="1" x14ac:dyDescent="0.25"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  <c r="AA152" s="68"/>
      <c r="AB152" s="68"/>
      <c r="AC152" s="68"/>
      <c r="AD152" s="68"/>
    </row>
    <row r="153" spans="15:30" ht="12" customHeight="1" x14ac:dyDescent="0.25"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  <c r="AA153" s="68"/>
      <c r="AB153" s="68"/>
      <c r="AC153" s="68"/>
      <c r="AD153" s="68"/>
    </row>
    <row r="154" spans="15:30" ht="12" customHeight="1" x14ac:dyDescent="0.25"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  <c r="AA154" s="68"/>
      <c r="AB154" s="68"/>
      <c r="AC154" s="68"/>
      <c r="AD154" s="68"/>
    </row>
    <row r="155" spans="15:30" ht="12" customHeight="1" x14ac:dyDescent="0.25"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</row>
    <row r="156" spans="15:30" ht="12" customHeight="1" x14ac:dyDescent="0.25"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  <c r="AB156" s="68"/>
      <c r="AC156" s="68"/>
      <c r="AD156" s="68"/>
    </row>
    <row r="157" spans="15:30" ht="12" customHeight="1" x14ac:dyDescent="0.25"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  <c r="AB157" s="68"/>
      <c r="AC157" s="68"/>
      <c r="AD157" s="68"/>
    </row>
    <row r="158" spans="15:30" ht="12" customHeight="1" x14ac:dyDescent="0.25"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  <c r="AA158" s="68"/>
      <c r="AB158" s="68"/>
      <c r="AC158" s="68"/>
      <c r="AD158" s="68"/>
    </row>
    <row r="159" spans="15:30" ht="12" customHeight="1" x14ac:dyDescent="0.25"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  <c r="AA159" s="68"/>
      <c r="AB159" s="68"/>
      <c r="AC159" s="68"/>
      <c r="AD159" s="68"/>
    </row>
    <row r="160" spans="15:30" ht="12" customHeight="1" x14ac:dyDescent="0.25"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  <c r="AC160" s="68"/>
      <c r="AD160" s="68"/>
    </row>
    <row r="161" spans="15:30" ht="12" customHeight="1" x14ac:dyDescent="0.25"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  <c r="AA161" s="68"/>
      <c r="AB161" s="68"/>
      <c r="AC161" s="68"/>
      <c r="AD161" s="68"/>
    </row>
    <row r="162" spans="15:30" ht="12" customHeight="1" x14ac:dyDescent="0.25"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68"/>
      <c r="AD162" s="68"/>
    </row>
    <row r="163" spans="15:30" ht="12" customHeight="1" x14ac:dyDescent="0.25"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68"/>
      <c r="AD163" s="68"/>
    </row>
    <row r="164" spans="15:30" ht="12" customHeight="1" x14ac:dyDescent="0.25"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</row>
    <row r="165" spans="15:30" ht="12" customHeight="1" x14ac:dyDescent="0.25"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</row>
    <row r="166" spans="15:30" ht="12" customHeight="1" x14ac:dyDescent="0.25"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8"/>
    </row>
    <row r="167" spans="15:30" ht="12" customHeight="1" x14ac:dyDescent="0.25"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  <c r="AA167" s="68"/>
      <c r="AB167" s="68"/>
      <c r="AC167" s="68"/>
      <c r="AD167" s="68"/>
    </row>
    <row r="168" spans="15:30" ht="12" customHeight="1" x14ac:dyDescent="0.25"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</row>
    <row r="169" spans="15:30" ht="12" customHeight="1" x14ac:dyDescent="0.25"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</row>
    <row r="170" spans="15:30" ht="12" customHeight="1" x14ac:dyDescent="0.25"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  <c r="AA170" s="68"/>
      <c r="AB170" s="68"/>
      <c r="AC170" s="68"/>
      <c r="AD170" s="68"/>
    </row>
    <row r="171" spans="15:30" ht="12" customHeight="1" x14ac:dyDescent="0.25"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68"/>
      <c r="AD171" s="68"/>
    </row>
    <row r="172" spans="15:30" ht="12" customHeight="1" x14ac:dyDescent="0.25"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</row>
    <row r="173" spans="15:30" ht="12" customHeight="1" x14ac:dyDescent="0.25"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8"/>
    </row>
    <row r="174" spans="15:30" ht="12" customHeight="1" x14ac:dyDescent="0.25"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</row>
    <row r="175" spans="15:30" ht="12" customHeight="1" x14ac:dyDescent="0.25"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68"/>
      <c r="AD175" s="68"/>
    </row>
    <row r="176" spans="15:30" ht="12" customHeight="1" x14ac:dyDescent="0.25"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68"/>
      <c r="AD176" s="68"/>
    </row>
    <row r="177" spans="15:30" ht="12" customHeight="1" x14ac:dyDescent="0.25"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68"/>
    </row>
    <row r="178" spans="15:30" ht="12" customHeight="1" x14ac:dyDescent="0.25"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</row>
    <row r="179" spans="15:30" ht="12" customHeight="1" x14ac:dyDescent="0.25"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</row>
    <row r="180" spans="15:30" ht="12" customHeight="1" x14ac:dyDescent="0.25"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</row>
    <row r="181" spans="15:30" ht="12" customHeight="1" x14ac:dyDescent="0.25"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68"/>
    </row>
    <row r="182" spans="15:30" ht="12" customHeight="1" x14ac:dyDescent="0.25"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68"/>
    </row>
    <row r="183" spans="15:30" ht="12" customHeight="1" x14ac:dyDescent="0.25"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</row>
    <row r="184" spans="15:30" ht="12" customHeight="1" x14ac:dyDescent="0.25"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</row>
    <row r="185" spans="15:30" ht="12" customHeight="1" x14ac:dyDescent="0.25"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</row>
    <row r="186" spans="15:30" ht="12" customHeight="1" x14ac:dyDescent="0.25"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  <c r="AA186" s="68"/>
      <c r="AB186" s="68"/>
      <c r="AC186" s="68"/>
      <c r="AD186" s="68"/>
    </row>
    <row r="187" spans="15:30" ht="12" customHeight="1" x14ac:dyDescent="0.25"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  <c r="AA187" s="68"/>
      <c r="AB187" s="68"/>
      <c r="AC187" s="68"/>
      <c r="AD187" s="68"/>
    </row>
    <row r="188" spans="15:30" ht="12" customHeight="1" x14ac:dyDescent="0.25"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  <c r="AB188" s="68"/>
      <c r="AC188" s="68"/>
      <c r="AD188" s="68"/>
    </row>
    <row r="189" spans="15:30" ht="12" customHeight="1" x14ac:dyDescent="0.25"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  <c r="AA189" s="68"/>
      <c r="AB189" s="68"/>
      <c r="AC189" s="68"/>
      <c r="AD189" s="68"/>
    </row>
    <row r="190" spans="15:30" ht="12" customHeight="1" x14ac:dyDescent="0.25"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  <c r="AA190" s="68"/>
      <c r="AB190" s="68"/>
      <c r="AC190" s="68"/>
      <c r="AD190" s="68"/>
    </row>
    <row r="191" spans="15:30" ht="12" customHeight="1" x14ac:dyDescent="0.25"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  <c r="AA191" s="68"/>
      <c r="AB191" s="68"/>
      <c r="AC191" s="68"/>
      <c r="AD191" s="68"/>
    </row>
    <row r="192" spans="15:30" ht="12" customHeight="1" x14ac:dyDescent="0.25"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  <c r="AA192" s="68"/>
      <c r="AB192" s="68"/>
      <c r="AC192" s="68"/>
      <c r="AD192" s="68"/>
    </row>
    <row r="193" spans="15:30" ht="12" customHeight="1" x14ac:dyDescent="0.25"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  <c r="AB193" s="68"/>
      <c r="AC193" s="68"/>
      <c r="AD193" s="68"/>
    </row>
    <row r="194" spans="15:30" ht="12" customHeight="1" x14ac:dyDescent="0.25"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  <c r="AA194" s="68"/>
      <c r="AB194" s="68"/>
      <c r="AC194" s="68"/>
      <c r="AD194" s="68"/>
    </row>
    <row r="195" spans="15:30" ht="12" customHeight="1" x14ac:dyDescent="0.25"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  <c r="AA195" s="68"/>
      <c r="AB195" s="68"/>
      <c r="AC195" s="68"/>
      <c r="AD195" s="68"/>
    </row>
    <row r="196" spans="15:30" ht="12" customHeight="1" x14ac:dyDescent="0.25"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  <c r="AB196" s="68"/>
      <c r="AC196" s="68"/>
      <c r="AD196" s="68"/>
    </row>
    <row r="197" spans="15:30" ht="12" customHeight="1" x14ac:dyDescent="0.25"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  <c r="AB197" s="68"/>
      <c r="AC197" s="68"/>
      <c r="AD197" s="68"/>
    </row>
    <row r="198" spans="15:30" ht="12" customHeight="1" x14ac:dyDescent="0.25"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8"/>
    </row>
    <row r="199" spans="15:30" ht="12" customHeight="1" x14ac:dyDescent="0.25"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  <c r="AB199" s="68"/>
      <c r="AC199" s="68"/>
      <c r="AD199" s="68"/>
    </row>
    <row r="200" spans="15:30" ht="12" customHeight="1" x14ac:dyDescent="0.25"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  <c r="AB200" s="68"/>
      <c r="AC200" s="68"/>
      <c r="AD200" s="68"/>
    </row>
  </sheetData>
  <mergeCells count="19">
    <mergeCell ref="B36:B37"/>
    <mergeCell ref="B38:B41"/>
    <mergeCell ref="B42:B43"/>
    <mergeCell ref="B44:B45"/>
    <mergeCell ref="B46:C46"/>
    <mergeCell ref="O1:U1"/>
    <mergeCell ref="A48:C48"/>
    <mergeCell ref="A49:C49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B27F9-600B-436B-B987-64208A268598}">
  <dimension ref="A1:AP55"/>
  <sheetViews>
    <sheetView showGridLines="0" topLeftCell="P1" workbookViewId="0">
      <selection activeCell="Q66" sqref="Q66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3" width="10" style="9" bestFit="1" customWidth="1"/>
    <col min="24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9.28515625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12" t="s">
        <v>72</v>
      </c>
      <c r="B1" s="112" t="s">
        <v>73</v>
      </c>
      <c r="C1" s="112" t="s">
        <v>74</v>
      </c>
      <c r="D1" s="112" t="s">
        <v>75</v>
      </c>
      <c r="E1" s="112" t="s">
        <v>76</v>
      </c>
      <c r="F1" s="112" t="s">
        <v>15</v>
      </c>
      <c r="G1" s="112" t="s">
        <v>78</v>
      </c>
      <c r="H1" s="112" t="s">
        <v>79</v>
      </c>
      <c r="I1" s="112" t="s">
        <v>545</v>
      </c>
      <c r="J1" s="102"/>
      <c r="L1" s="110" t="s">
        <v>546</v>
      </c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P1" s="110" t="s">
        <v>547</v>
      </c>
    </row>
    <row r="2" spans="1:42" ht="11.25" customHeight="1" x14ac:dyDescent="0.25">
      <c r="A2" s="112"/>
      <c r="B2" s="112"/>
      <c r="C2" s="112"/>
      <c r="D2" s="112"/>
      <c r="E2" s="112"/>
      <c r="F2" s="112"/>
      <c r="G2" s="112"/>
      <c r="H2" s="112"/>
      <c r="I2" s="112"/>
      <c r="J2" s="102"/>
      <c r="L2" s="110" t="s">
        <v>444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P2" s="113"/>
    </row>
    <row r="3" spans="1:42" ht="11.25" customHeight="1" x14ac:dyDescent="0.25">
      <c r="A3" s="112"/>
      <c r="B3" s="112"/>
      <c r="C3" s="112"/>
      <c r="D3" s="112"/>
      <c r="E3" s="112"/>
      <c r="F3" s="112"/>
      <c r="G3" s="112"/>
      <c r="H3" s="112"/>
      <c r="I3" s="112"/>
      <c r="J3" s="102"/>
      <c r="L3" s="110" t="s">
        <v>445</v>
      </c>
      <c r="M3" s="110"/>
      <c r="N3" s="110"/>
      <c r="O3" s="110"/>
      <c r="P3" s="110"/>
      <c r="Q3" s="110"/>
      <c r="R3" s="110"/>
      <c r="S3" s="110"/>
      <c r="T3" s="110"/>
      <c r="U3" s="110" t="s">
        <v>454</v>
      </c>
      <c r="V3" s="110"/>
      <c r="W3" s="110"/>
      <c r="X3" s="110"/>
      <c r="Y3" s="110"/>
      <c r="Z3" s="110"/>
      <c r="AA3" s="110"/>
      <c r="AB3" s="110"/>
      <c r="AC3" s="110" t="s">
        <v>462</v>
      </c>
      <c r="AD3" s="110"/>
      <c r="AE3" s="110" t="s">
        <v>464</v>
      </c>
      <c r="AF3" s="110"/>
      <c r="AG3" s="110"/>
      <c r="AH3" s="110" t="s">
        <v>467</v>
      </c>
      <c r="AI3" s="110"/>
      <c r="AJ3" s="110"/>
      <c r="AK3" s="110"/>
      <c r="AL3" s="110"/>
      <c r="AM3" s="110" t="s">
        <v>453</v>
      </c>
      <c r="AP3" s="113"/>
    </row>
    <row r="4" spans="1:42" ht="11.25" customHeight="1" x14ac:dyDescent="0.25">
      <c r="A4" s="112"/>
      <c r="B4" s="112"/>
      <c r="C4" s="112"/>
      <c r="D4" s="112"/>
      <c r="E4" s="112"/>
      <c r="F4" s="112"/>
      <c r="G4" s="112"/>
      <c r="H4" s="112"/>
      <c r="I4" s="112"/>
      <c r="J4" s="102"/>
      <c r="L4" s="49" t="s">
        <v>530</v>
      </c>
      <c r="M4" s="49" t="s">
        <v>446</v>
      </c>
      <c r="N4" s="49" t="s">
        <v>447</v>
      </c>
      <c r="O4" s="49" t="s">
        <v>448</v>
      </c>
      <c r="P4" s="49" t="s">
        <v>449</v>
      </c>
      <c r="Q4" s="49" t="s">
        <v>450</v>
      </c>
      <c r="R4" s="49" t="s">
        <v>451</v>
      </c>
      <c r="S4" s="49" t="s">
        <v>452</v>
      </c>
      <c r="T4" s="49" t="s">
        <v>453</v>
      </c>
      <c r="U4" s="49" t="s">
        <v>455</v>
      </c>
      <c r="V4" s="49" t="s">
        <v>456</v>
      </c>
      <c r="W4" s="49" t="s">
        <v>457</v>
      </c>
      <c r="X4" s="49" t="s">
        <v>458</v>
      </c>
      <c r="Y4" s="49" t="s">
        <v>459</v>
      </c>
      <c r="Z4" s="49" t="s">
        <v>460</v>
      </c>
      <c r="AA4" s="49" t="s">
        <v>461</v>
      </c>
      <c r="AB4" s="49" t="s">
        <v>453</v>
      </c>
      <c r="AC4" s="49" t="s">
        <v>463</v>
      </c>
      <c r="AD4" s="49" t="s">
        <v>453</v>
      </c>
      <c r="AE4" s="49" t="s">
        <v>465</v>
      </c>
      <c r="AF4" s="49" t="s">
        <v>466</v>
      </c>
      <c r="AG4" s="49" t="s">
        <v>453</v>
      </c>
      <c r="AH4" s="49" t="s">
        <v>468</v>
      </c>
      <c r="AI4" s="49" t="s">
        <v>469</v>
      </c>
      <c r="AJ4" s="49" t="s">
        <v>470</v>
      </c>
      <c r="AK4" s="49" t="s">
        <v>471</v>
      </c>
      <c r="AL4" s="49" t="s">
        <v>453</v>
      </c>
      <c r="AM4" s="111"/>
      <c r="AP4" s="113"/>
    </row>
    <row r="5" spans="1:42" ht="11.25" customHeight="1" x14ac:dyDescent="0.25">
      <c r="A5" s="109" t="s">
        <v>53</v>
      </c>
      <c r="B5" s="109" t="s">
        <v>36</v>
      </c>
      <c r="C5" s="109" t="s">
        <v>25</v>
      </c>
      <c r="D5" s="109" t="s">
        <v>25</v>
      </c>
      <c r="E5" s="109" t="s">
        <v>25</v>
      </c>
      <c r="F5" s="109" t="s">
        <v>25</v>
      </c>
      <c r="G5" s="52" t="s">
        <v>86</v>
      </c>
      <c r="H5" s="52" t="s">
        <v>85</v>
      </c>
      <c r="I5" s="52">
        <f>'MERCADO TUSD'!$U$2</f>
        <v>39600</v>
      </c>
      <c r="J5" s="15"/>
      <c r="L5" s="48"/>
      <c r="M5" s="48"/>
      <c r="N5" s="48"/>
      <c r="O5" s="48"/>
      <c r="P5" s="48"/>
      <c r="Q5" s="48"/>
      <c r="R5" s="48"/>
      <c r="S5" s="48"/>
      <c r="T5" s="48"/>
      <c r="U5" s="48">
        <v>2.8540999999999999</v>
      </c>
      <c r="V5" s="48">
        <v>1.2669999999999999</v>
      </c>
      <c r="W5" s="48">
        <v>0</v>
      </c>
      <c r="X5" s="48">
        <v>0</v>
      </c>
      <c r="Y5" s="48">
        <v>15.0581</v>
      </c>
      <c r="Z5" s="48">
        <v>0</v>
      </c>
      <c r="AA5" s="48">
        <v>0</v>
      </c>
      <c r="AB5" s="48"/>
      <c r="AC5" s="48">
        <v>1.3652</v>
      </c>
      <c r="AD5" s="48"/>
      <c r="AE5" s="48"/>
      <c r="AF5" s="48"/>
      <c r="AG5" s="48"/>
      <c r="AH5" s="48"/>
      <c r="AI5" s="48"/>
      <c r="AJ5" s="48"/>
      <c r="AK5" s="48"/>
      <c r="AL5" s="48"/>
      <c r="AM5" s="48"/>
      <c r="AP5" s="48">
        <v>1</v>
      </c>
    </row>
    <row r="6" spans="1:42" ht="11.25" customHeight="1" x14ac:dyDescent="0.25">
      <c r="A6" s="109"/>
      <c r="B6" s="109"/>
      <c r="C6" s="109"/>
      <c r="D6" s="109"/>
      <c r="E6" s="109"/>
      <c r="F6" s="109"/>
      <c r="G6" s="52" t="s">
        <v>87</v>
      </c>
      <c r="H6" s="52" t="s">
        <v>85</v>
      </c>
      <c r="I6" s="52">
        <f>'MERCADO TUSD'!$U$3</f>
        <v>39600</v>
      </c>
      <c r="J6" s="15"/>
      <c r="L6" s="48"/>
      <c r="M6" s="48"/>
      <c r="N6" s="48"/>
      <c r="O6" s="48"/>
      <c r="P6" s="48"/>
      <c r="Q6" s="48"/>
      <c r="R6" s="48"/>
      <c r="S6" s="48"/>
      <c r="T6" s="48"/>
      <c r="U6" s="48">
        <v>1.5855999999999999</v>
      </c>
      <c r="V6" s="48">
        <v>0.60780000000000001</v>
      </c>
      <c r="W6" s="48">
        <v>0</v>
      </c>
      <c r="X6" s="48">
        <v>0</v>
      </c>
      <c r="Y6" s="48">
        <v>6.2925000000000004</v>
      </c>
      <c r="Z6" s="48">
        <v>0</v>
      </c>
      <c r="AA6" s="48">
        <v>0</v>
      </c>
      <c r="AB6" s="48"/>
      <c r="AC6" s="48">
        <v>1.3652</v>
      </c>
      <c r="AD6" s="48"/>
      <c r="AE6" s="48"/>
      <c r="AF6" s="48"/>
      <c r="AG6" s="48"/>
      <c r="AH6" s="48"/>
      <c r="AI6" s="48"/>
      <c r="AJ6" s="48"/>
      <c r="AK6" s="48"/>
      <c r="AL6" s="48"/>
      <c r="AM6" s="48"/>
      <c r="AP6" s="48">
        <v>1</v>
      </c>
    </row>
    <row r="7" spans="1:42" ht="11.25" customHeight="1" x14ac:dyDescent="0.25">
      <c r="A7" s="109"/>
      <c r="B7" s="109"/>
      <c r="C7" s="109"/>
      <c r="D7" s="109"/>
      <c r="E7" s="109"/>
      <c r="F7" s="109"/>
      <c r="G7" s="52" t="s">
        <v>88</v>
      </c>
      <c r="H7" s="52" t="s">
        <v>82</v>
      </c>
      <c r="I7" s="52">
        <f>'MERCADO TUSD'!$U$4</f>
        <v>16873.752000000004</v>
      </c>
      <c r="J7" s="15"/>
      <c r="L7" s="48"/>
      <c r="M7" s="48"/>
      <c r="N7" s="48"/>
      <c r="O7" s="48"/>
      <c r="P7" s="48"/>
      <c r="Q7" s="48"/>
      <c r="R7" s="48"/>
      <c r="S7" s="48"/>
      <c r="T7" s="48"/>
      <c r="U7" s="48">
        <v>0</v>
      </c>
      <c r="V7" s="48">
        <v>0</v>
      </c>
      <c r="W7" s="48">
        <v>0</v>
      </c>
      <c r="X7" s="48">
        <v>0</v>
      </c>
      <c r="Y7" s="48">
        <v>0</v>
      </c>
      <c r="Z7" s="48">
        <v>0</v>
      </c>
      <c r="AA7" s="48">
        <v>0</v>
      </c>
      <c r="AB7" s="48"/>
      <c r="AC7" s="48">
        <v>0</v>
      </c>
      <c r="AD7" s="48"/>
      <c r="AE7" s="48"/>
      <c r="AF7" s="48"/>
      <c r="AG7" s="48"/>
      <c r="AH7" s="48"/>
      <c r="AI7" s="48"/>
      <c r="AJ7" s="48"/>
      <c r="AK7" s="48"/>
      <c r="AL7" s="48"/>
      <c r="AM7" s="48"/>
      <c r="AP7" s="48">
        <v>1</v>
      </c>
    </row>
    <row r="8" spans="1:42" ht="11.25" customHeight="1" x14ac:dyDescent="0.25">
      <c r="A8" s="109"/>
      <c r="B8" s="109"/>
      <c r="C8" s="109"/>
      <c r="D8" s="109"/>
      <c r="E8" s="51" t="s">
        <v>89</v>
      </c>
      <c r="F8" s="51" t="s">
        <v>25</v>
      </c>
      <c r="G8" s="52" t="s">
        <v>88</v>
      </c>
      <c r="H8" s="52" t="s">
        <v>82</v>
      </c>
      <c r="I8" s="52">
        <f>'MERCADO TUSD'!$U$5</f>
        <v>0</v>
      </c>
      <c r="J8" s="15"/>
      <c r="L8" s="48"/>
      <c r="M8" s="48"/>
      <c r="N8" s="48"/>
      <c r="O8" s="48"/>
      <c r="P8" s="48"/>
      <c r="Q8" s="48"/>
      <c r="R8" s="48"/>
      <c r="S8" s="48"/>
      <c r="T8" s="48"/>
      <c r="U8" s="48">
        <v>0</v>
      </c>
      <c r="V8" s="48">
        <v>0</v>
      </c>
      <c r="W8" s="48">
        <v>0</v>
      </c>
      <c r="X8" s="48">
        <v>0</v>
      </c>
      <c r="Y8" s="48">
        <v>0</v>
      </c>
      <c r="Z8" s="48">
        <v>0</v>
      </c>
      <c r="AA8" s="48">
        <v>0</v>
      </c>
      <c r="AB8" s="48"/>
      <c r="AC8" s="48">
        <v>0</v>
      </c>
      <c r="AD8" s="48"/>
      <c r="AE8" s="48"/>
      <c r="AF8" s="48"/>
      <c r="AG8" s="48"/>
      <c r="AH8" s="48"/>
      <c r="AI8" s="48"/>
      <c r="AJ8" s="48"/>
      <c r="AK8" s="48"/>
      <c r="AL8" s="48"/>
      <c r="AM8" s="48"/>
      <c r="AP8" s="48">
        <v>1</v>
      </c>
    </row>
    <row r="9" spans="1:42" ht="11.25" customHeight="1" x14ac:dyDescent="0.25">
      <c r="A9" s="109" t="s">
        <v>35</v>
      </c>
      <c r="B9" s="109" t="s">
        <v>36</v>
      </c>
      <c r="C9" s="109" t="s">
        <v>25</v>
      </c>
      <c r="D9" s="109" t="s">
        <v>25</v>
      </c>
      <c r="E9" s="109" t="s">
        <v>25</v>
      </c>
      <c r="F9" s="109" t="s">
        <v>25</v>
      </c>
      <c r="G9" s="52" t="s">
        <v>86</v>
      </c>
      <c r="H9" s="52" t="s">
        <v>85</v>
      </c>
      <c r="I9" s="52">
        <f>'MERCADO TUSD'!$U$6</f>
        <v>151587</v>
      </c>
      <c r="J9" s="15"/>
      <c r="L9" s="48"/>
      <c r="M9" s="48"/>
      <c r="N9" s="48"/>
      <c r="O9" s="48"/>
      <c r="P9" s="48"/>
      <c r="Q9" s="48"/>
      <c r="R9" s="48"/>
      <c r="S9" s="48"/>
      <c r="T9" s="48"/>
      <c r="U9" s="48">
        <v>1.4003000000000001</v>
      </c>
      <c r="V9" s="48">
        <v>1.1990000000000001</v>
      </c>
      <c r="W9" s="48">
        <v>9.6199999999999994E-2</v>
      </c>
      <c r="X9" s="48">
        <v>0</v>
      </c>
      <c r="Y9" s="48">
        <v>16.866099999999999</v>
      </c>
      <c r="Z9" s="48">
        <v>0</v>
      </c>
      <c r="AA9" s="48">
        <v>0</v>
      </c>
      <c r="AB9" s="48"/>
      <c r="AC9" s="48">
        <v>68.076700000000002</v>
      </c>
      <c r="AD9" s="48"/>
      <c r="AE9" s="48"/>
      <c r="AF9" s="48"/>
      <c r="AG9" s="48"/>
      <c r="AH9" s="48"/>
      <c r="AI9" s="48"/>
      <c r="AJ9" s="48"/>
      <c r="AK9" s="48"/>
      <c r="AL9" s="48"/>
      <c r="AM9" s="48"/>
      <c r="AP9" s="48">
        <v>1</v>
      </c>
    </row>
    <row r="10" spans="1:42" ht="11.25" customHeight="1" x14ac:dyDescent="0.25">
      <c r="A10" s="109"/>
      <c r="B10" s="109"/>
      <c r="C10" s="109"/>
      <c r="D10" s="109"/>
      <c r="E10" s="109"/>
      <c r="F10" s="109"/>
      <c r="G10" s="52" t="s">
        <v>87</v>
      </c>
      <c r="H10" s="52" t="s">
        <v>85</v>
      </c>
      <c r="I10" s="52">
        <f>'MERCADO TUSD'!$U$7</f>
        <v>195670</v>
      </c>
      <c r="J10" s="15"/>
      <c r="L10" s="48"/>
      <c r="M10" s="48"/>
      <c r="N10" s="48"/>
      <c r="O10" s="48"/>
      <c r="P10" s="48"/>
      <c r="Q10" s="48"/>
      <c r="R10" s="48"/>
      <c r="S10" s="48"/>
      <c r="T10" s="48"/>
      <c r="U10" s="48">
        <v>1.4179999999999999</v>
      </c>
      <c r="V10" s="48">
        <v>1.0719000000000001</v>
      </c>
      <c r="W10" s="48">
        <v>9.5299999999999996E-2</v>
      </c>
      <c r="X10" s="48">
        <v>0</v>
      </c>
      <c r="Y10" s="48">
        <v>9.0653000000000006</v>
      </c>
      <c r="Z10" s="48">
        <v>0</v>
      </c>
      <c r="AA10" s="48">
        <v>0</v>
      </c>
      <c r="AB10" s="48"/>
      <c r="AC10" s="48">
        <v>40.428600000000003</v>
      </c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P10" s="48">
        <v>1</v>
      </c>
    </row>
    <row r="11" spans="1:42" ht="11.25" customHeight="1" x14ac:dyDescent="0.25">
      <c r="A11" s="109"/>
      <c r="B11" s="109"/>
      <c r="C11" s="109"/>
      <c r="D11" s="109"/>
      <c r="E11" s="109"/>
      <c r="F11" s="109"/>
      <c r="G11" s="52" t="s">
        <v>88</v>
      </c>
      <c r="H11" s="52" t="s">
        <v>82</v>
      </c>
      <c r="I11" s="52">
        <f>'MERCADO TUSD'!$U$8</f>
        <v>82375.52900000001</v>
      </c>
      <c r="J11" s="15"/>
      <c r="L11" s="48"/>
      <c r="M11" s="48"/>
      <c r="N11" s="48"/>
      <c r="O11" s="48"/>
      <c r="P11" s="48"/>
      <c r="Q11" s="48"/>
      <c r="R11" s="48"/>
      <c r="S11" s="48"/>
      <c r="T11" s="48"/>
      <c r="U11" s="48">
        <v>0</v>
      </c>
      <c r="V11" s="48">
        <v>0</v>
      </c>
      <c r="W11" s="48">
        <v>0</v>
      </c>
      <c r="X11" s="48">
        <v>0</v>
      </c>
      <c r="Y11" s="48">
        <v>0</v>
      </c>
      <c r="Z11" s="48">
        <v>0</v>
      </c>
      <c r="AA11" s="48">
        <v>0</v>
      </c>
      <c r="AB11" s="48"/>
      <c r="AC11" s="48">
        <v>0</v>
      </c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P11" s="48">
        <v>1</v>
      </c>
    </row>
    <row r="12" spans="1:42" ht="11.25" customHeight="1" x14ac:dyDescent="0.25">
      <c r="A12" s="109"/>
      <c r="B12" s="109"/>
      <c r="C12" s="109"/>
      <c r="D12" s="109"/>
      <c r="E12" s="51" t="s">
        <v>89</v>
      </c>
      <c r="F12" s="51" t="s">
        <v>25</v>
      </c>
      <c r="G12" s="52" t="s">
        <v>88</v>
      </c>
      <c r="H12" s="52" t="s">
        <v>82</v>
      </c>
      <c r="I12" s="52">
        <f>'MERCADO TUSD'!$U$9</f>
        <v>0</v>
      </c>
      <c r="J12" s="15"/>
      <c r="L12" s="48"/>
      <c r="M12" s="48"/>
      <c r="N12" s="48"/>
      <c r="O12" s="48"/>
      <c r="P12" s="48"/>
      <c r="Q12" s="48"/>
      <c r="R12" s="48"/>
      <c r="S12" s="48"/>
      <c r="T12" s="48"/>
      <c r="U12" s="48">
        <v>0</v>
      </c>
      <c r="V12" s="48">
        <v>0</v>
      </c>
      <c r="W12" s="48">
        <v>0</v>
      </c>
      <c r="X12" s="48">
        <v>0</v>
      </c>
      <c r="Y12" s="48">
        <v>0</v>
      </c>
      <c r="Z12" s="48">
        <v>0</v>
      </c>
      <c r="AA12" s="48">
        <v>0</v>
      </c>
      <c r="AB12" s="48"/>
      <c r="AC12" s="48">
        <v>0</v>
      </c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P12" s="48">
        <v>1</v>
      </c>
    </row>
    <row r="13" spans="1:42" ht="11.25" customHeight="1" x14ac:dyDescent="0.25">
      <c r="A13" s="109"/>
      <c r="B13" s="51" t="s">
        <v>56</v>
      </c>
      <c r="C13" s="51" t="s">
        <v>25</v>
      </c>
      <c r="D13" s="51" t="s">
        <v>25</v>
      </c>
      <c r="E13" s="51" t="s">
        <v>25</v>
      </c>
      <c r="F13" s="51" t="s">
        <v>25</v>
      </c>
      <c r="G13" s="52" t="s">
        <v>9</v>
      </c>
      <c r="H13" s="52" t="s">
        <v>85</v>
      </c>
      <c r="I13" s="52">
        <f>'MERCADO TUSD'!$U$10</f>
        <v>130615</v>
      </c>
      <c r="J13" s="15"/>
      <c r="L13" s="48"/>
      <c r="M13" s="48"/>
      <c r="N13" s="48"/>
      <c r="O13" s="48"/>
      <c r="P13" s="48"/>
      <c r="Q13" s="48"/>
      <c r="R13" s="48"/>
      <c r="S13" s="48"/>
      <c r="T13" s="48"/>
      <c r="U13" s="48">
        <v>0</v>
      </c>
      <c r="V13" s="48">
        <v>0</v>
      </c>
      <c r="W13" s="48">
        <v>0</v>
      </c>
      <c r="X13" s="48">
        <v>0</v>
      </c>
      <c r="Y13" s="48">
        <v>0</v>
      </c>
      <c r="Z13" s="48">
        <v>0</v>
      </c>
      <c r="AA13" s="48">
        <v>0</v>
      </c>
      <c r="AB13" s="48"/>
      <c r="AC13" s="48">
        <v>41.239899999999999</v>
      </c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P13" s="48"/>
    </row>
    <row r="14" spans="1:42" ht="11.25" customHeight="1" x14ac:dyDescent="0.25">
      <c r="A14" s="109"/>
      <c r="B14" s="109" t="s">
        <v>39</v>
      </c>
      <c r="C14" s="109" t="s">
        <v>25</v>
      </c>
      <c r="D14" s="109" t="s">
        <v>25</v>
      </c>
      <c r="E14" s="109" t="s">
        <v>25</v>
      </c>
      <c r="F14" s="109" t="s">
        <v>25</v>
      </c>
      <c r="G14" s="52" t="s">
        <v>9</v>
      </c>
      <c r="H14" s="52" t="s">
        <v>85</v>
      </c>
      <c r="I14" s="52">
        <f>'MERCADO TUSD'!$U$11</f>
        <v>986883</v>
      </c>
      <c r="J14" s="15"/>
      <c r="L14" s="48"/>
      <c r="M14" s="48"/>
      <c r="N14" s="48"/>
      <c r="O14" s="48"/>
      <c r="P14" s="48"/>
      <c r="Q14" s="48"/>
      <c r="R14" s="48"/>
      <c r="S14" s="48"/>
      <c r="T14" s="48"/>
      <c r="U14" s="48">
        <v>1.4179999999999999</v>
      </c>
      <c r="V14" s="48">
        <v>1.0719000000000001</v>
      </c>
      <c r="W14" s="48">
        <v>9.5299999999999996E-2</v>
      </c>
      <c r="X14" s="48">
        <v>0</v>
      </c>
      <c r="Y14" s="48">
        <v>9.0653000000000006</v>
      </c>
      <c r="Z14" s="48">
        <v>0</v>
      </c>
      <c r="AA14" s="48">
        <v>0</v>
      </c>
      <c r="AB14" s="48"/>
      <c r="AC14" s="48">
        <v>40.428600000000003</v>
      </c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P14" s="48">
        <v>1</v>
      </c>
    </row>
    <row r="15" spans="1:42" ht="11.25" customHeight="1" x14ac:dyDescent="0.25">
      <c r="A15" s="109"/>
      <c r="B15" s="109"/>
      <c r="C15" s="109"/>
      <c r="D15" s="109"/>
      <c r="E15" s="109"/>
      <c r="F15" s="109"/>
      <c r="G15" s="52" t="s">
        <v>83</v>
      </c>
      <c r="H15" s="52" t="s">
        <v>82</v>
      </c>
      <c r="I15" s="52">
        <f>'MERCADO TUSD'!$U$12</f>
        <v>8416.530999999999</v>
      </c>
      <c r="J15" s="15"/>
      <c r="L15" s="48"/>
      <c r="M15" s="48"/>
      <c r="N15" s="48"/>
      <c r="O15" s="48"/>
      <c r="P15" s="48"/>
      <c r="Q15" s="48"/>
      <c r="R15" s="48"/>
      <c r="S15" s="48"/>
      <c r="T15" s="48"/>
      <c r="U15" s="48">
        <v>33.6768</v>
      </c>
      <c r="V15" s="48">
        <v>28.837700000000002</v>
      </c>
      <c r="W15" s="48">
        <v>2.3125</v>
      </c>
      <c r="X15" s="48">
        <v>0</v>
      </c>
      <c r="Y15" s="48">
        <v>405.62990000000002</v>
      </c>
      <c r="Z15" s="48">
        <v>0</v>
      </c>
      <c r="AA15" s="48">
        <v>0</v>
      </c>
      <c r="AB15" s="48"/>
      <c r="AC15" s="48">
        <v>1637.2454</v>
      </c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P15" s="48">
        <v>1</v>
      </c>
    </row>
    <row r="16" spans="1:42" ht="11.25" customHeight="1" x14ac:dyDescent="0.25">
      <c r="A16" s="109"/>
      <c r="B16" s="109"/>
      <c r="C16" s="109"/>
      <c r="D16" s="109"/>
      <c r="E16" s="109"/>
      <c r="F16" s="109"/>
      <c r="G16" s="52" t="s">
        <v>84</v>
      </c>
      <c r="H16" s="52" t="s">
        <v>82</v>
      </c>
      <c r="I16" s="52">
        <f>'MERCADO TUSD'!$U$13</f>
        <v>160452.66800000001</v>
      </c>
      <c r="J16" s="15"/>
      <c r="L16" s="48"/>
      <c r="M16" s="48"/>
      <c r="N16" s="48"/>
      <c r="O16" s="48"/>
      <c r="P16" s="48"/>
      <c r="Q16" s="48"/>
      <c r="R16" s="48"/>
      <c r="S16" s="48"/>
      <c r="T16" s="48"/>
      <c r="U16" s="48">
        <v>0</v>
      </c>
      <c r="V16" s="48">
        <v>0</v>
      </c>
      <c r="W16" s="48">
        <v>0</v>
      </c>
      <c r="X16" s="48">
        <v>0</v>
      </c>
      <c r="Y16" s="48">
        <v>0</v>
      </c>
      <c r="Z16" s="48">
        <v>0</v>
      </c>
      <c r="AA16" s="48">
        <v>0</v>
      </c>
      <c r="AB16" s="48"/>
      <c r="AC16" s="48">
        <v>0</v>
      </c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P16" s="48">
        <v>1</v>
      </c>
    </row>
    <row r="17" spans="1:42" ht="11.25" customHeight="1" x14ac:dyDescent="0.25">
      <c r="A17" s="109"/>
      <c r="B17" s="109"/>
      <c r="C17" s="109"/>
      <c r="D17" s="109"/>
      <c r="E17" s="109" t="s">
        <v>89</v>
      </c>
      <c r="F17" s="109" t="s">
        <v>25</v>
      </c>
      <c r="G17" s="52" t="s">
        <v>83</v>
      </c>
      <c r="H17" s="52" t="s">
        <v>82</v>
      </c>
      <c r="I17" s="52">
        <f>'MERCADO TUSD'!$U$14</f>
        <v>0</v>
      </c>
      <c r="J17" s="15"/>
      <c r="L17" s="48"/>
      <c r="M17" s="48"/>
      <c r="N17" s="48"/>
      <c r="O17" s="48"/>
      <c r="P17" s="48"/>
      <c r="Q17" s="48"/>
      <c r="R17" s="48"/>
      <c r="S17" s="48"/>
      <c r="T17" s="48"/>
      <c r="U17" s="48">
        <v>33.6768</v>
      </c>
      <c r="V17" s="48">
        <v>28.837700000000002</v>
      </c>
      <c r="W17" s="48">
        <v>2.3125</v>
      </c>
      <c r="X17" s="48">
        <v>0</v>
      </c>
      <c r="Y17" s="48">
        <v>405.62990000000002</v>
      </c>
      <c r="Z17" s="48">
        <v>0</v>
      </c>
      <c r="AA17" s="48">
        <v>0</v>
      </c>
      <c r="AB17" s="48"/>
      <c r="AC17" s="48">
        <v>1637.2454</v>
      </c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P17" s="48">
        <v>1</v>
      </c>
    </row>
    <row r="18" spans="1:42" ht="11.25" customHeight="1" x14ac:dyDescent="0.25">
      <c r="A18" s="109"/>
      <c r="B18" s="109"/>
      <c r="C18" s="109"/>
      <c r="D18" s="109"/>
      <c r="E18" s="109"/>
      <c r="F18" s="109"/>
      <c r="G18" s="52" t="s">
        <v>84</v>
      </c>
      <c r="H18" s="52" t="s">
        <v>82</v>
      </c>
      <c r="I18" s="52">
        <f>'MERCADO TUSD'!$U$15</f>
        <v>0</v>
      </c>
      <c r="J18" s="15"/>
      <c r="L18" s="48"/>
      <c r="M18" s="48"/>
      <c r="N18" s="48"/>
      <c r="O18" s="48"/>
      <c r="P18" s="48"/>
      <c r="Q18" s="48"/>
      <c r="R18" s="48"/>
      <c r="S18" s="48"/>
      <c r="T18" s="48"/>
      <c r="U18" s="48">
        <v>0</v>
      </c>
      <c r="V18" s="48">
        <v>0</v>
      </c>
      <c r="W18" s="48">
        <v>0</v>
      </c>
      <c r="X18" s="48">
        <v>0</v>
      </c>
      <c r="Y18" s="48">
        <v>0</v>
      </c>
      <c r="Z18" s="48">
        <v>0</v>
      </c>
      <c r="AA18" s="48">
        <v>0</v>
      </c>
      <c r="AB18" s="48"/>
      <c r="AC18" s="48">
        <v>0</v>
      </c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P18" s="48">
        <v>1</v>
      </c>
    </row>
    <row r="19" spans="1:42" ht="11.25" customHeight="1" x14ac:dyDescent="0.25">
      <c r="A19" s="109" t="s">
        <v>91</v>
      </c>
      <c r="B19" s="109" t="s">
        <v>56</v>
      </c>
      <c r="C19" s="109" t="s">
        <v>25</v>
      </c>
      <c r="D19" s="109" t="s">
        <v>25</v>
      </c>
      <c r="E19" s="51" t="s">
        <v>92</v>
      </c>
      <c r="F19" s="51" t="s">
        <v>25</v>
      </c>
      <c r="G19" s="52" t="s">
        <v>9</v>
      </c>
      <c r="H19" s="52" t="s">
        <v>85</v>
      </c>
      <c r="I19" s="52">
        <f>'MERCADO TUSD'!$U$16+0.00000001</f>
        <v>1E-8</v>
      </c>
      <c r="J19" s="15"/>
      <c r="L19" s="48"/>
      <c r="M19" s="48"/>
      <c r="N19" s="48"/>
      <c r="O19" s="48"/>
      <c r="P19" s="48"/>
      <c r="Q19" s="48"/>
      <c r="R19" s="48"/>
      <c r="S19" s="48"/>
      <c r="T19" s="48"/>
      <c r="U19" s="48">
        <v>0</v>
      </c>
      <c r="V19" s="48">
        <v>0</v>
      </c>
      <c r="W19" s="48">
        <v>0</v>
      </c>
      <c r="X19" s="48">
        <v>0</v>
      </c>
      <c r="Y19" s="48">
        <v>0</v>
      </c>
      <c r="Z19" s="48">
        <v>0</v>
      </c>
      <c r="AA19" s="48">
        <v>0</v>
      </c>
      <c r="AB19" s="48"/>
      <c r="AC19" s="48">
        <v>4.1242000000000001</v>
      </c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P19" s="48"/>
    </row>
    <row r="20" spans="1:42" ht="11.25" customHeight="1" x14ac:dyDescent="0.25">
      <c r="A20" s="109"/>
      <c r="B20" s="109"/>
      <c r="C20" s="109"/>
      <c r="D20" s="109"/>
      <c r="E20" s="51" t="s">
        <v>93</v>
      </c>
      <c r="F20" s="51" t="s">
        <v>25</v>
      </c>
      <c r="G20" s="52" t="s">
        <v>9</v>
      </c>
      <c r="H20" s="52" t="s">
        <v>85</v>
      </c>
      <c r="I20" s="52">
        <f>'MERCADO TUSD'!$U$17+0.00000001</f>
        <v>1E-8</v>
      </c>
      <c r="J20" s="15"/>
      <c r="L20" s="48"/>
      <c r="M20" s="48"/>
      <c r="N20" s="48"/>
      <c r="O20" s="48"/>
      <c r="P20" s="48"/>
      <c r="Q20" s="48"/>
      <c r="R20" s="48"/>
      <c r="S20" s="48"/>
      <c r="T20" s="48"/>
      <c r="U20" s="48">
        <v>0</v>
      </c>
      <c r="V20" s="48">
        <v>0</v>
      </c>
      <c r="W20" s="48">
        <v>0</v>
      </c>
      <c r="X20" s="48">
        <v>0</v>
      </c>
      <c r="Y20" s="48">
        <v>0</v>
      </c>
      <c r="Z20" s="48">
        <v>0</v>
      </c>
      <c r="AA20" s="48">
        <v>0</v>
      </c>
      <c r="AB20" s="48"/>
      <c r="AC20" s="48">
        <v>16.306899999999999</v>
      </c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P20" s="48"/>
    </row>
    <row r="21" spans="1:42" ht="11.25" customHeight="1" x14ac:dyDescent="0.25">
      <c r="A21" s="109" t="s">
        <v>22</v>
      </c>
      <c r="B21" s="109" t="s">
        <v>95</v>
      </c>
      <c r="C21" s="109" t="s">
        <v>24</v>
      </c>
      <c r="D21" s="109" t="s">
        <v>24</v>
      </c>
      <c r="E21" s="109" t="s">
        <v>25</v>
      </c>
      <c r="F21" s="109" t="s">
        <v>25</v>
      </c>
      <c r="G21" s="52" t="s">
        <v>83</v>
      </c>
      <c r="H21" s="52" t="s">
        <v>82</v>
      </c>
      <c r="I21" s="52">
        <f>'MERCADO TUSD'!$U$18</f>
        <v>0</v>
      </c>
      <c r="J21" s="15"/>
      <c r="L21" s="48"/>
      <c r="M21" s="48"/>
      <c r="N21" s="48"/>
      <c r="O21" s="48"/>
      <c r="P21" s="48"/>
      <c r="Q21" s="48"/>
      <c r="R21" s="48"/>
      <c r="S21" s="48"/>
      <c r="T21" s="48"/>
      <c r="U21" s="48">
        <v>17.702300000000001</v>
      </c>
      <c r="V21" s="48">
        <v>14.392200000000001</v>
      </c>
      <c r="W21" s="48">
        <v>1.2041999999999999</v>
      </c>
      <c r="X21" s="48">
        <v>0</v>
      </c>
      <c r="Y21" s="48">
        <v>157.38509999999999</v>
      </c>
      <c r="Z21" s="48">
        <v>0</v>
      </c>
      <c r="AA21" s="48">
        <v>0</v>
      </c>
      <c r="AB21" s="48"/>
      <c r="AC21" s="48">
        <v>430.60129999999998</v>
      </c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P21" s="48">
        <v>1</v>
      </c>
    </row>
    <row r="22" spans="1:42" ht="11.25" customHeight="1" x14ac:dyDescent="0.25">
      <c r="A22" s="109"/>
      <c r="B22" s="109"/>
      <c r="C22" s="109"/>
      <c r="D22" s="109"/>
      <c r="E22" s="109"/>
      <c r="F22" s="109"/>
      <c r="G22" s="52" t="s">
        <v>94</v>
      </c>
      <c r="H22" s="52" t="s">
        <v>82</v>
      </c>
      <c r="I22" s="52">
        <f>'MERCADO TUSD'!$U$19</f>
        <v>0</v>
      </c>
      <c r="J22" s="15"/>
      <c r="L22" s="48"/>
      <c r="M22" s="48"/>
      <c r="N22" s="48"/>
      <c r="O22" s="48"/>
      <c r="P22" s="48"/>
      <c r="Q22" s="48"/>
      <c r="R22" s="48"/>
      <c r="S22" s="48"/>
      <c r="T22" s="48"/>
      <c r="U22" s="48">
        <v>16.8172</v>
      </c>
      <c r="V22" s="48">
        <v>13.672599999999999</v>
      </c>
      <c r="W22" s="48">
        <v>1.1440999999999999</v>
      </c>
      <c r="X22" s="48">
        <v>0</v>
      </c>
      <c r="Y22" s="48">
        <v>149.51589999999999</v>
      </c>
      <c r="Z22" s="48">
        <v>0</v>
      </c>
      <c r="AA22" s="48">
        <v>0</v>
      </c>
      <c r="AB22" s="48"/>
      <c r="AC22" s="48">
        <v>409.07119999999998</v>
      </c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P22" s="48">
        <v>1</v>
      </c>
    </row>
    <row r="23" spans="1:42" ht="11.25" customHeight="1" x14ac:dyDescent="0.25">
      <c r="A23" s="109"/>
      <c r="B23" s="109"/>
      <c r="C23" s="109"/>
      <c r="D23" s="109"/>
      <c r="E23" s="109"/>
      <c r="F23" s="109"/>
      <c r="G23" s="52" t="s">
        <v>84</v>
      </c>
      <c r="H23" s="52" t="s">
        <v>82</v>
      </c>
      <c r="I23" s="52">
        <f>'MERCADO TUSD'!$U$20</f>
        <v>0</v>
      </c>
      <c r="J23" s="15"/>
      <c r="L23" s="48"/>
      <c r="M23" s="48"/>
      <c r="N23" s="48"/>
      <c r="O23" s="48"/>
      <c r="P23" s="48"/>
      <c r="Q23" s="48"/>
      <c r="R23" s="48"/>
      <c r="S23" s="48"/>
      <c r="T23" s="48"/>
      <c r="U23" s="48">
        <v>5.9006999999999996</v>
      </c>
      <c r="V23" s="48">
        <v>4.7973999999999997</v>
      </c>
      <c r="W23" s="48">
        <v>0.40139999999999998</v>
      </c>
      <c r="X23" s="48">
        <v>0</v>
      </c>
      <c r="Y23" s="48">
        <v>52.461599999999997</v>
      </c>
      <c r="Z23" s="48">
        <v>0</v>
      </c>
      <c r="AA23" s="48">
        <v>0</v>
      </c>
      <c r="AB23" s="48"/>
      <c r="AC23" s="48">
        <v>143.53380000000001</v>
      </c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P23" s="48">
        <v>1</v>
      </c>
    </row>
    <row r="24" spans="1:42" ht="11.25" customHeight="1" x14ac:dyDescent="0.25">
      <c r="A24" s="109"/>
      <c r="B24" s="109" t="s">
        <v>23</v>
      </c>
      <c r="C24" s="109" t="s">
        <v>24</v>
      </c>
      <c r="D24" s="51" t="s">
        <v>24</v>
      </c>
      <c r="E24" s="51" t="s">
        <v>25</v>
      </c>
      <c r="F24" s="51" t="s">
        <v>25</v>
      </c>
      <c r="G24" s="52" t="s">
        <v>88</v>
      </c>
      <c r="H24" s="52" t="s">
        <v>82</v>
      </c>
      <c r="I24" s="52">
        <f>'MERCADO TUSD'!$U$21</f>
        <v>24573.046999999999</v>
      </c>
      <c r="J24" s="15"/>
      <c r="L24" s="48"/>
      <c r="M24" s="48"/>
      <c r="N24" s="48"/>
      <c r="O24" s="48"/>
      <c r="P24" s="48"/>
      <c r="Q24" s="48"/>
      <c r="R24" s="48"/>
      <c r="S24" s="48"/>
      <c r="T24" s="48"/>
      <c r="U24" s="48">
        <v>7.7641999999999998</v>
      </c>
      <c r="V24" s="48">
        <v>6.3124000000000002</v>
      </c>
      <c r="W24" s="48">
        <v>0.5282</v>
      </c>
      <c r="X24" s="48">
        <v>0</v>
      </c>
      <c r="Y24" s="48">
        <v>69.028499999999994</v>
      </c>
      <c r="Z24" s="48">
        <v>0</v>
      </c>
      <c r="AA24" s="48">
        <v>0</v>
      </c>
      <c r="AB24" s="48"/>
      <c r="AC24" s="48">
        <v>188.86019999999999</v>
      </c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P24" s="48">
        <v>1</v>
      </c>
    </row>
    <row r="25" spans="1:42" ht="11.25" customHeight="1" x14ac:dyDescent="0.25">
      <c r="A25" s="109"/>
      <c r="B25" s="109"/>
      <c r="C25" s="109"/>
      <c r="D25" s="51" t="s">
        <v>29</v>
      </c>
      <c r="E25" s="51" t="s">
        <v>25</v>
      </c>
      <c r="F25" s="51" t="s">
        <v>25</v>
      </c>
      <c r="G25" s="52" t="s">
        <v>88</v>
      </c>
      <c r="H25" s="52" t="s">
        <v>82</v>
      </c>
      <c r="I25" s="52">
        <f>'MERCADO TUSD'!$U$22</f>
        <v>175.73700000000002</v>
      </c>
      <c r="J25" s="15"/>
      <c r="L25" s="48"/>
      <c r="M25" s="48"/>
      <c r="N25" s="48"/>
      <c r="O25" s="48"/>
      <c r="P25" s="48"/>
      <c r="Q25" s="48"/>
      <c r="R25" s="48"/>
      <c r="S25" s="48"/>
      <c r="T25" s="48"/>
      <c r="U25" s="48">
        <f>(1 - CUSTOS!$M$24)*7.7642</f>
        <v>7.7641999999999998</v>
      </c>
      <c r="V25" s="48">
        <f>(1 - CUSTOS!$M$24)*6.3124</f>
        <v>6.3124000000000002</v>
      </c>
      <c r="W25" s="48">
        <f>(1 - CUSTOS!$M$24)*0.5282</f>
        <v>0.5282</v>
      </c>
      <c r="X25" s="48">
        <v>0</v>
      </c>
      <c r="Y25" s="48">
        <f>(1 - CUSTOS!$M$24)*69.0285</f>
        <v>69.028499999999994</v>
      </c>
      <c r="Z25" s="48">
        <v>0</v>
      </c>
      <c r="AA25" s="48">
        <v>0</v>
      </c>
      <c r="AB25" s="48"/>
      <c r="AC25" s="48">
        <f>(1 - CUSTOS!$M$24)*188.8602</f>
        <v>188.86019999999999</v>
      </c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P25" s="48">
        <f>IF((1 - CUSTOS!$M$24)&lt;&gt;0,1/(1 - CUSTOS!$M$24),1)</f>
        <v>1</v>
      </c>
    </row>
    <row r="26" spans="1:42" ht="11.25" customHeight="1" x14ac:dyDescent="0.25">
      <c r="A26" s="109"/>
      <c r="B26" s="109"/>
      <c r="C26" s="109"/>
      <c r="D26" s="51" t="s">
        <v>30</v>
      </c>
      <c r="E26" s="51" t="s">
        <v>25</v>
      </c>
      <c r="F26" s="51" t="s">
        <v>25</v>
      </c>
      <c r="G26" s="52" t="s">
        <v>88</v>
      </c>
      <c r="H26" s="52" t="s">
        <v>82</v>
      </c>
      <c r="I26" s="52">
        <f>'MERCADO TUSD'!$U$23</f>
        <v>60.123000000000005</v>
      </c>
      <c r="J26" s="15"/>
      <c r="L26" s="48"/>
      <c r="M26" s="48"/>
      <c r="N26" s="48"/>
      <c r="O26" s="48"/>
      <c r="P26" s="48"/>
      <c r="Q26" s="48"/>
      <c r="R26" s="48"/>
      <c r="S26" s="48"/>
      <c r="T26" s="48"/>
      <c r="U26" s="48">
        <f>(1 - CUSTOS!$M$25)*7.7642</f>
        <v>7.7641999999999998</v>
      </c>
      <c r="V26" s="48">
        <f>(1 - CUSTOS!$M$25)*6.3124</f>
        <v>6.3124000000000002</v>
      </c>
      <c r="W26" s="48">
        <f>(1 - CUSTOS!$M$25)*0.5282</f>
        <v>0.5282</v>
      </c>
      <c r="X26" s="48">
        <v>0</v>
      </c>
      <c r="Y26" s="48">
        <f>(1 - CUSTOS!$M$25)*69.0285</f>
        <v>69.028499999999994</v>
      </c>
      <c r="Z26" s="48">
        <v>0</v>
      </c>
      <c r="AA26" s="48">
        <v>0</v>
      </c>
      <c r="AB26" s="48"/>
      <c r="AC26" s="48">
        <f>(1 - CUSTOS!$M$25)*188.8602</f>
        <v>188.86019999999999</v>
      </c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P26" s="48">
        <f>IF((1 - CUSTOS!$M$25)&lt;&gt;0,1/(1 - CUSTOS!$M$25),1)</f>
        <v>1</v>
      </c>
    </row>
    <row r="27" spans="1:42" ht="11.25" customHeight="1" x14ac:dyDescent="0.25">
      <c r="A27" s="109"/>
      <c r="B27" s="109"/>
      <c r="C27" s="109"/>
      <c r="D27" s="51" t="s">
        <v>31</v>
      </c>
      <c r="E27" s="51" t="s">
        <v>25</v>
      </c>
      <c r="F27" s="51" t="s">
        <v>25</v>
      </c>
      <c r="G27" s="52" t="s">
        <v>88</v>
      </c>
      <c r="H27" s="52" t="s">
        <v>82</v>
      </c>
      <c r="I27" s="52">
        <f>'MERCADO TUSD'!$U$24</f>
        <v>463.43299999999999</v>
      </c>
      <c r="J27" s="15"/>
      <c r="L27" s="48"/>
      <c r="M27" s="48"/>
      <c r="N27" s="48"/>
      <c r="O27" s="48"/>
      <c r="P27" s="48"/>
      <c r="Q27" s="48"/>
      <c r="R27" s="48"/>
      <c r="S27" s="48"/>
      <c r="T27" s="48"/>
      <c r="U27" s="48">
        <f>(1 - CUSTOS!$M$26)*7.7642</f>
        <v>7.7641999999999998</v>
      </c>
      <c r="V27" s="48">
        <f>(1 - CUSTOS!$M$26)*6.3124</f>
        <v>6.3124000000000002</v>
      </c>
      <c r="W27" s="48">
        <f>(1 - CUSTOS!$M$26)*0.5282</f>
        <v>0.5282</v>
      </c>
      <c r="X27" s="48">
        <v>0</v>
      </c>
      <c r="Y27" s="48">
        <f>(1 - CUSTOS!$M$26)*69.0285</f>
        <v>69.028499999999994</v>
      </c>
      <c r="Z27" s="48">
        <v>0</v>
      </c>
      <c r="AA27" s="48">
        <v>0</v>
      </c>
      <c r="AB27" s="48"/>
      <c r="AC27" s="48">
        <f>(1 - CUSTOS!$M$26)*188.8602</f>
        <v>188.86019999999999</v>
      </c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P27" s="48">
        <f>IF((1 - CUSTOS!$M$26)&lt;&gt;0,1/(1 - CUSTOS!$M$26),1)</f>
        <v>1</v>
      </c>
    </row>
    <row r="28" spans="1:42" ht="11.25" customHeight="1" x14ac:dyDescent="0.25">
      <c r="A28" s="109"/>
      <c r="B28" s="109"/>
      <c r="C28" s="109"/>
      <c r="D28" s="51" t="s">
        <v>32</v>
      </c>
      <c r="E28" s="51" t="s">
        <v>25</v>
      </c>
      <c r="F28" s="51" t="s">
        <v>25</v>
      </c>
      <c r="G28" s="52" t="s">
        <v>88</v>
      </c>
      <c r="H28" s="52" t="s">
        <v>82</v>
      </c>
      <c r="I28" s="52">
        <f>'MERCADO TUSD'!$U$25</f>
        <v>303.64100000000002</v>
      </c>
      <c r="J28" s="15"/>
      <c r="L28" s="48"/>
      <c r="M28" s="48"/>
      <c r="N28" s="48"/>
      <c r="O28" s="48"/>
      <c r="P28" s="48"/>
      <c r="Q28" s="48"/>
      <c r="R28" s="48"/>
      <c r="S28" s="48"/>
      <c r="T28" s="48"/>
      <c r="U28" s="48">
        <f>(1 - CUSTOS!$M$27)*7.7642</f>
        <v>7.7641999999999998</v>
      </c>
      <c r="V28" s="48">
        <f>(1 - CUSTOS!$M$27)*6.3124</f>
        <v>6.3124000000000002</v>
      </c>
      <c r="W28" s="48">
        <f>(1 - CUSTOS!$M$27)*0.5282</f>
        <v>0.5282</v>
      </c>
      <c r="X28" s="48">
        <v>0</v>
      </c>
      <c r="Y28" s="48">
        <f>(1 - CUSTOS!$M$27)*69.0285</f>
        <v>69.028499999999994</v>
      </c>
      <c r="Z28" s="48">
        <v>0</v>
      </c>
      <c r="AA28" s="48">
        <v>0</v>
      </c>
      <c r="AB28" s="48"/>
      <c r="AC28" s="48">
        <f>(1 - CUSTOS!$M$27)*188.8602</f>
        <v>188.86019999999999</v>
      </c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P28" s="48">
        <f>IF((1 - CUSTOS!$M$27)&lt;&gt;0,1/(1 - CUSTOS!$M$27),1)</f>
        <v>1</v>
      </c>
    </row>
    <row r="29" spans="1:42" ht="11.25" customHeight="1" x14ac:dyDescent="0.25">
      <c r="A29" s="109"/>
      <c r="B29" s="109" t="s">
        <v>97</v>
      </c>
      <c r="C29" s="109" t="s">
        <v>24</v>
      </c>
      <c r="D29" s="51" t="s">
        <v>24</v>
      </c>
      <c r="E29" s="51" t="s">
        <v>25</v>
      </c>
      <c r="F29" s="51" t="s">
        <v>25</v>
      </c>
      <c r="G29" s="52" t="s">
        <v>88</v>
      </c>
      <c r="H29" s="52" t="s">
        <v>82</v>
      </c>
      <c r="I29" s="52">
        <f>'MERCADO TUSD'!$U$26</f>
        <v>0</v>
      </c>
      <c r="J29" s="15"/>
      <c r="L29" s="48"/>
      <c r="M29" s="48"/>
      <c r="N29" s="48"/>
      <c r="O29" s="48"/>
      <c r="P29" s="48"/>
      <c r="Q29" s="48"/>
      <c r="R29" s="48"/>
      <c r="S29" s="48"/>
      <c r="T29" s="48"/>
      <c r="U29" s="48">
        <v>7.7641999999999998</v>
      </c>
      <c r="V29" s="48">
        <v>6.3124000000000002</v>
      </c>
      <c r="W29" s="48">
        <v>0.5282</v>
      </c>
      <c r="X29" s="48">
        <v>0</v>
      </c>
      <c r="Y29" s="48">
        <v>69.028499999999994</v>
      </c>
      <c r="Z29" s="48">
        <v>0</v>
      </c>
      <c r="AA29" s="48">
        <v>0</v>
      </c>
      <c r="AB29" s="48"/>
      <c r="AC29" s="48">
        <v>188.86019999999999</v>
      </c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P29" s="48">
        <v>1</v>
      </c>
    </row>
    <row r="30" spans="1:42" ht="11.25" customHeight="1" x14ac:dyDescent="0.25">
      <c r="A30" s="109"/>
      <c r="B30" s="109"/>
      <c r="C30" s="109"/>
      <c r="D30" s="51" t="s">
        <v>29</v>
      </c>
      <c r="E30" s="51" t="s">
        <v>25</v>
      </c>
      <c r="F30" s="51" t="s">
        <v>25</v>
      </c>
      <c r="G30" s="52" t="s">
        <v>88</v>
      </c>
      <c r="H30" s="52" t="s">
        <v>82</v>
      </c>
      <c r="I30" s="52">
        <f>'MERCADO TUSD'!$U$27</f>
        <v>0</v>
      </c>
      <c r="J30" s="15"/>
      <c r="L30" s="48"/>
      <c r="M30" s="48"/>
      <c r="N30" s="48"/>
      <c r="O30" s="48"/>
      <c r="P30" s="48"/>
      <c r="Q30" s="48"/>
      <c r="R30" s="48"/>
      <c r="S30" s="48"/>
      <c r="T30" s="48"/>
      <c r="U30" s="48">
        <f>(1 - CUSTOS!$M$24)*7.7642</f>
        <v>7.7641999999999998</v>
      </c>
      <c r="V30" s="48">
        <f>(1 - CUSTOS!$M$24)*6.3124</f>
        <v>6.3124000000000002</v>
      </c>
      <c r="W30" s="48">
        <f>(1 - CUSTOS!$M$24)*0.5282</f>
        <v>0.5282</v>
      </c>
      <c r="X30" s="48">
        <v>0</v>
      </c>
      <c r="Y30" s="48">
        <f>(1 - CUSTOS!$M$24)*69.0285</f>
        <v>69.028499999999994</v>
      </c>
      <c r="Z30" s="48">
        <v>0</v>
      </c>
      <c r="AA30" s="48">
        <v>0</v>
      </c>
      <c r="AB30" s="48"/>
      <c r="AC30" s="48">
        <f>(1 - CUSTOS!$M$24)*188.8602</f>
        <v>188.86019999999999</v>
      </c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P30" s="48">
        <f>IF((1 - CUSTOS!$M$24)&lt;&gt;0,1/(1 - CUSTOS!$M$24),1)</f>
        <v>1</v>
      </c>
    </row>
    <row r="31" spans="1:42" ht="11.25" customHeight="1" x14ac:dyDescent="0.25">
      <c r="A31" s="109"/>
      <c r="B31" s="109"/>
      <c r="C31" s="109"/>
      <c r="D31" s="51" t="s">
        <v>30</v>
      </c>
      <c r="E31" s="51" t="s">
        <v>25</v>
      </c>
      <c r="F31" s="51" t="s">
        <v>25</v>
      </c>
      <c r="G31" s="52" t="s">
        <v>88</v>
      </c>
      <c r="H31" s="52" t="s">
        <v>82</v>
      </c>
      <c r="I31" s="52">
        <f>'MERCADO TUSD'!$U$28</f>
        <v>0</v>
      </c>
      <c r="J31" s="15"/>
      <c r="L31" s="48"/>
      <c r="M31" s="48"/>
      <c r="N31" s="48"/>
      <c r="O31" s="48"/>
      <c r="P31" s="48"/>
      <c r="Q31" s="48"/>
      <c r="R31" s="48"/>
      <c r="S31" s="48"/>
      <c r="T31" s="48"/>
      <c r="U31" s="48">
        <f>(1 - CUSTOS!$M$25)*7.7642</f>
        <v>7.7641999999999998</v>
      </c>
      <c r="V31" s="48">
        <f>(1 - CUSTOS!$M$25)*6.3124</f>
        <v>6.3124000000000002</v>
      </c>
      <c r="W31" s="48">
        <f>(1 - CUSTOS!$M$25)*0.5282</f>
        <v>0.5282</v>
      </c>
      <c r="X31" s="48">
        <v>0</v>
      </c>
      <c r="Y31" s="48">
        <f>(1 - CUSTOS!$M$25)*69.0285</f>
        <v>69.028499999999994</v>
      </c>
      <c r="Z31" s="48">
        <v>0</v>
      </c>
      <c r="AA31" s="48">
        <v>0</v>
      </c>
      <c r="AB31" s="48"/>
      <c r="AC31" s="48">
        <f>(1 - CUSTOS!$M$25)*188.8602</f>
        <v>188.86019999999999</v>
      </c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P31" s="48">
        <f>IF((1 - CUSTOS!$M$25)&lt;&gt;0,1/(1 - CUSTOS!$M$25),1)</f>
        <v>1</v>
      </c>
    </row>
    <row r="32" spans="1:42" ht="11.25" customHeight="1" x14ac:dyDescent="0.25">
      <c r="A32" s="109"/>
      <c r="B32" s="109"/>
      <c r="C32" s="109"/>
      <c r="D32" s="51" t="s">
        <v>31</v>
      </c>
      <c r="E32" s="51" t="s">
        <v>25</v>
      </c>
      <c r="F32" s="51" t="s">
        <v>25</v>
      </c>
      <c r="G32" s="52" t="s">
        <v>88</v>
      </c>
      <c r="H32" s="52" t="s">
        <v>82</v>
      </c>
      <c r="I32" s="52">
        <f>'MERCADO TUSD'!$U$29</f>
        <v>0</v>
      </c>
      <c r="J32" s="15"/>
      <c r="L32" s="48"/>
      <c r="M32" s="48"/>
      <c r="N32" s="48"/>
      <c r="O32" s="48"/>
      <c r="P32" s="48"/>
      <c r="Q32" s="48"/>
      <c r="R32" s="48"/>
      <c r="S32" s="48"/>
      <c r="T32" s="48"/>
      <c r="U32" s="48">
        <f>(1 - CUSTOS!$M$26)*7.7642</f>
        <v>7.7641999999999998</v>
      </c>
      <c r="V32" s="48">
        <f>(1 - CUSTOS!$M$26)*6.3124</f>
        <v>6.3124000000000002</v>
      </c>
      <c r="W32" s="48">
        <f>(1 - CUSTOS!$M$26)*0.5282</f>
        <v>0.5282</v>
      </c>
      <c r="X32" s="48">
        <v>0</v>
      </c>
      <c r="Y32" s="48">
        <f>(1 - CUSTOS!$M$26)*69.0285</f>
        <v>69.028499999999994</v>
      </c>
      <c r="Z32" s="48">
        <v>0</v>
      </c>
      <c r="AA32" s="48">
        <v>0</v>
      </c>
      <c r="AB32" s="48"/>
      <c r="AC32" s="48">
        <f>(1 - CUSTOS!$M$26)*188.8602</f>
        <v>188.86019999999999</v>
      </c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P32" s="48">
        <f>IF((1 - CUSTOS!$M$26)&lt;&gt;0,1/(1 - CUSTOS!$M$26),1)</f>
        <v>1</v>
      </c>
    </row>
    <row r="33" spans="1:42" ht="11.25" customHeight="1" x14ac:dyDescent="0.25">
      <c r="A33" s="109"/>
      <c r="B33" s="109"/>
      <c r="C33" s="109"/>
      <c r="D33" s="51" t="s">
        <v>32</v>
      </c>
      <c r="E33" s="51" t="s">
        <v>25</v>
      </c>
      <c r="F33" s="51" t="s">
        <v>25</v>
      </c>
      <c r="G33" s="52" t="s">
        <v>88</v>
      </c>
      <c r="H33" s="52" t="s">
        <v>82</v>
      </c>
      <c r="I33" s="52">
        <f>'MERCADO TUSD'!$U$30</f>
        <v>0</v>
      </c>
      <c r="J33" s="15"/>
      <c r="L33" s="48"/>
      <c r="M33" s="48"/>
      <c r="N33" s="48"/>
      <c r="O33" s="48"/>
      <c r="P33" s="48"/>
      <c r="Q33" s="48"/>
      <c r="R33" s="48"/>
      <c r="S33" s="48"/>
      <c r="T33" s="48"/>
      <c r="U33" s="48">
        <f>(1 - CUSTOS!$M$27)*7.7642</f>
        <v>7.7641999999999998</v>
      </c>
      <c r="V33" s="48">
        <f>(1 - CUSTOS!$M$27)*6.3124</f>
        <v>6.3124000000000002</v>
      </c>
      <c r="W33" s="48">
        <f>(1 - CUSTOS!$M$27)*0.5282</f>
        <v>0.5282</v>
      </c>
      <c r="X33" s="48">
        <v>0</v>
      </c>
      <c r="Y33" s="48">
        <f>(1 - CUSTOS!$M$27)*69.0285</f>
        <v>69.028499999999994</v>
      </c>
      <c r="Z33" s="48">
        <v>0</v>
      </c>
      <c r="AA33" s="48">
        <v>0</v>
      </c>
      <c r="AB33" s="48"/>
      <c r="AC33" s="48">
        <f>(1 - CUSTOS!$M$27)*188.8602</f>
        <v>188.86019999999999</v>
      </c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P33" s="48">
        <f>IF((1 - CUSTOS!$M$27)&lt;&gt;0,1/(1 - CUSTOS!$M$27),1)</f>
        <v>1</v>
      </c>
    </row>
    <row r="34" spans="1:42" ht="11.25" customHeight="1" x14ac:dyDescent="0.25">
      <c r="A34" s="109" t="s">
        <v>41</v>
      </c>
      <c r="B34" s="109" t="s">
        <v>95</v>
      </c>
      <c r="C34" s="109" t="s">
        <v>42</v>
      </c>
      <c r="D34" s="109" t="s">
        <v>25</v>
      </c>
      <c r="E34" s="109" t="s">
        <v>25</v>
      </c>
      <c r="F34" s="109" t="s">
        <v>25</v>
      </c>
      <c r="G34" s="52" t="s">
        <v>83</v>
      </c>
      <c r="H34" s="52" t="s">
        <v>82</v>
      </c>
      <c r="I34" s="52">
        <f>'MERCADO TUSD'!$U$31</f>
        <v>0</v>
      </c>
      <c r="J34" s="15"/>
      <c r="L34" s="48"/>
      <c r="M34" s="48"/>
      <c r="N34" s="48"/>
      <c r="O34" s="48"/>
      <c r="P34" s="48"/>
      <c r="Q34" s="48"/>
      <c r="R34" s="48"/>
      <c r="S34" s="48"/>
      <c r="T34" s="48"/>
      <c r="U34" s="48">
        <f>(1 - CUSTOS!$M$28)*18.0564</f>
        <v>18.0564</v>
      </c>
      <c r="V34" s="48">
        <f>(1 - CUSTOS!$M$28)*14.68</f>
        <v>14.68</v>
      </c>
      <c r="W34" s="48">
        <f>(1 - CUSTOS!$M$28)*1.2284</f>
        <v>1.2283999999999999</v>
      </c>
      <c r="X34" s="48">
        <v>0</v>
      </c>
      <c r="Y34" s="48">
        <f>(1 - CUSTOS!$M$28)*160.5328</f>
        <v>160.53280000000001</v>
      </c>
      <c r="Z34" s="48">
        <v>0</v>
      </c>
      <c r="AA34" s="48">
        <v>0</v>
      </c>
      <c r="AB34" s="48"/>
      <c r="AC34" s="48">
        <f>(1 - CUSTOS!$M$28)*439.2133</f>
        <v>439.2133</v>
      </c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P34" s="48">
        <f>IF((1 - CUSTOS!$M$28)&lt;&gt;0,1/(1 - CUSTOS!$M$28),1)</f>
        <v>1</v>
      </c>
    </row>
    <row r="35" spans="1:42" ht="11.25" customHeight="1" x14ac:dyDescent="0.25">
      <c r="A35" s="109"/>
      <c r="B35" s="109"/>
      <c r="C35" s="109"/>
      <c r="D35" s="109"/>
      <c r="E35" s="109"/>
      <c r="F35" s="109"/>
      <c r="G35" s="52" t="s">
        <v>94</v>
      </c>
      <c r="H35" s="52" t="s">
        <v>82</v>
      </c>
      <c r="I35" s="52">
        <f>'MERCADO TUSD'!$U$32</f>
        <v>0</v>
      </c>
      <c r="J35" s="15"/>
      <c r="L35" s="48"/>
      <c r="M35" s="48"/>
      <c r="N35" s="48"/>
      <c r="O35" s="48"/>
      <c r="P35" s="48"/>
      <c r="Q35" s="48"/>
      <c r="R35" s="48"/>
      <c r="S35" s="48"/>
      <c r="T35" s="48"/>
      <c r="U35" s="48">
        <f>(1 - CUSTOS!$M$28)*9.2052</f>
        <v>9.2051999999999996</v>
      </c>
      <c r="V35" s="48">
        <f>(1 - CUSTOS!$M$28)*7.484</f>
        <v>7.484</v>
      </c>
      <c r="W35" s="48">
        <f>(1 - CUSTOS!$M$28)*0.6263</f>
        <v>0.62629999999999997</v>
      </c>
      <c r="X35" s="48">
        <v>0</v>
      </c>
      <c r="Y35" s="48">
        <f>(1 - CUSTOS!$M$28)*81.8403</f>
        <v>81.840299999999999</v>
      </c>
      <c r="Z35" s="48">
        <v>0</v>
      </c>
      <c r="AA35" s="48">
        <v>0</v>
      </c>
      <c r="AB35" s="48"/>
      <c r="AC35" s="48">
        <f>(1 - CUSTOS!$M$28)*223.9127</f>
        <v>223.9127</v>
      </c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P35" s="48">
        <f>IF((1 - CUSTOS!$M$28)&lt;&gt;0,1/(1 - CUSTOS!$M$28),1)</f>
        <v>1</v>
      </c>
    </row>
    <row r="36" spans="1:42" ht="11.25" customHeight="1" x14ac:dyDescent="0.25">
      <c r="A36" s="109"/>
      <c r="B36" s="109"/>
      <c r="C36" s="109"/>
      <c r="D36" s="109"/>
      <c r="E36" s="109"/>
      <c r="F36" s="109"/>
      <c r="G36" s="52" t="s">
        <v>84</v>
      </c>
      <c r="H36" s="52" t="s">
        <v>82</v>
      </c>
      <c r="I36" s="52">
        <f>'MERCADO TUSD'!$U$33</f>
        <v>0</v>
      </c>
      <c r="J36" s="15"/>
      <c r="L36" s="48"/>
      <c r="M36" s="48"/>
      <c r="N36" s="48"/>
      <c r="O36" s="48"/>
      <c r="P36" s="48"/>
      <c r="Q36" s="48"/>
      <c r="R36" s="48"/>
      <c r="S36" s="48"/>
      <c r="T36" s="48"/>
      <c r="U36" s="48">
        <f>(1 - CUSTOS!$M$28)*5.9007</f>
        <v>5.9006999999999996</v>
      </c>
      <c r="V36" s="48">
        <f>(1 - CUSTOS!$M$28)*4.7974</f>
        <v>4.7973999999999997</v>
      </c>
      <c r="W36" s="48">
        <f>(1 - CUSTOS!$M$28)*0.4014</f>
        <v>0.40139999999999998</v>
      </c>
      <c r="X36" s="48">
        <v>0</v>
      </c>
      <c r="Y36" s="48">
        <f>(1 - CUSTOS!$M$28)*52.4616</f>
        <v>52.461599999999997</v>
      </c>
      <c r="Z36" s="48">
        <v>0</v>
      </c>
      <c r="AA36" s="48">
        <v>0</v>
      </c>
      <c r="AB36" s="48"/>
      <c r="AC36" s="48">
        <f>(1 - CUSTOS!$M$28)*143.5338</f>
        <v>143.53380000000001</v>
      </c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P36" s="48">
        <f>IF((1 - CUSTOS!$M$28)&lt;&gt;0,1/(1 - CUSTOS!$M$28),1)</f>
        <v>1</v>
      </c>
    </row>
    <row r="37" spans="1:42" ht="11.25" customHeight="1" x14ac:dyDescent="0.25">
      <c r="A37" s="109"/>
      <c r="B37" s="51" t="s">
        <v>23</v>
      </c>
      <c r="C37" s="51" t="s">
        <v>42</v>
      </c>
      <c r="D37" s="51" t="s">
        <v>25</v>
      </c>
      <c r="E37" s="51" t="s">
        <v>25</v>
      </c>
      <c r="F37" s="51" t="s">
        <v>25</v>
      </c>
      <c r="G37" s="52" t="s">
        <v>88</v>
      </c>
      <c r="H37" s="52" t="s">
        <v>82</v>
      </c>
      <c r="I37" s="52">
        <f>'MERCADO TUSD'!$U$34</f>
        <v>185983.22399999999</v>
      </c>
      <c r="J37" s="15"/>
      <c r="L37" s="48"/>
      <c r="M37" s="48"/>
      <c r="N37" s="48"/>
      <c r="O37" s="48"/>
      <c r="P37" s="48"/>
      <c r="Q37" s="48"/>
      <c r="R37" s="48"/>
      <c r="S37" s="48"/>
      <c r="T37" s="48"/>
      <c r="U37" s="48">
        <f>(1 - CUSTOS!$M$28)*7.7642</f>
        <v>7.7641999999999998</v>
      </c>
      <c r="V37" s="48">
        <f>(1 - CUSTOS!$M$28)*6.3124</f>
        <v>6.3124000000000002</v>
      </c>
      <c r="W37" s="48">
        <f>(1 - CUSTOS!$M$28)*0.5282</f>
        <v>0.5282</v>
      </c>
      <c r="X37" s="48">
        <v>0</v>
      </c>
      <c r="Y37" s="48">
        <f>(1 - CUSTOS!$M$28)*69.0285</f>
        <v>69.028499999999994</v>
      </c>
      <c r="Z37" s="48">
        <v>0</v>
      </c>
      <c r="AA37" s="48">
        <v>0</v>
      </c>
      <c r="AB37" s="48"/>
      <c r="AC37" s="48">
        <f>(1 - CUSTOS!$M$28)*188.8602</f>
        <v>188.86019999999999</v>
      </c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P37" s="48">
        <f>IF((1 - CUSTOS!$M$28)&lt;&gt;0,1/(1 - CUSTOS!$M$28),1)</f>
        <v>1</v>
      </c>
    </row>
    <row r="38" spans="1:42" ht="11.25" customHeight="1" x14ac:dyDescent="0.25">
      <c r="A38" s="109"/>
      <c r="B38" s="109" t="s">
        <v>95</v>
      </c>
      <c r="C38" s="109" t="s">
        <v>42</v>
      </c>
      <c r="D38" s="109" t="s">
        <v>98</v>
      </c>
      <c r="E38" s="109" t="s">
        <v>25</v>
      </c>
      <c r="F38" s="109" t="s">
        <v>25</v>
      </c>
      <c r="G38" s="52" t="s">
        <v>83</v>
      </c>
      <c r="H38" s="52" t="s">
        <v>82</v>
      </c>
      <c r="I38" s="52">
        <f>'MERCADO TUSD'!$U$35</f>
        <v>0</v>
      </c>
      <c r="J38" s="15"/>
      <c r="L38" s="48"/>
      <c r="M38" s="48"/>
      <c r="N38" s="48"/>
      <c r="O38" s="48"/>
      <c r="P38" s="48"/>
      <c r="Q38" s="48"/>
      <c r="R38" s="48"/>
      <c r="S38" s="48"/>
      <c r="T38" s="48"/>
      <c r="U38" s="48">
        <f>(1 - CUSTOS!$M$29)*18.0564</f>
        <v>18.0564</v>
      </c>
      <c r="V38" s="48">
        <f>(1 - CUSTOS!$M$29)*14.68</f>
        <v>14.68</v>
      </c>
      <c r="W38" s="48">
        <f>(1 - CUSTOS!$M$29)*1.2284</f>
        <v>1.2283999999999999</v>
      </c>
      <c r="X38" s="48">
        <v>0</v>
      </c>
      <c r="Y38" s="48">
        <f>(1 - CUSTOS!$M$29)*160.5328</f>
        <v>160.53280000000001</v>
      </c>
      <c r="Z38" s="48">
        <v>0</v>
      </c>
      <c r="AA38" s="48">
        <v>0</v>
      </c>
      <c r="AB38" s="48"/>
      <c r="AC38" s="48">
        <f>(1 - CUSTOS!$M$29)*439.2133</f>
        <v>439.2133</v>
      </c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P38" s="48">
        <f>IF((1 - CUSTOS!$M$29)&lt;&gt;0,1/(1 - CUSTOS!$M$29),1)</f>
        <v>1</v>
      </c>
    </row>
    <row r="39" spans="1:42" ht="11.25" customHeight="1" x14ac:dyDescent="0.25">
      <c r="A39" s="109"/>
      <c r="B39" s="109"/>
      <c r="C39" s="109"/>
      <c r="D39" s="109"/>
      <c r="E39" s="109"/>
      <c r="F39" s="109"/>
      <c r="G39" s="52" t="s">
        <v>94</v>
      </c>
      <c r="H39" s="52" t="s">
        <v>82</v>
      </c>
      <c r="I39" s="52">
        <f>'MERCADO TUSD'!$U$36</f>
        <v>0</v>
      </c>
      <c r="J39" s="15"/>
      <c r="L39" s="48"/>
      <c r="M39" s="48"/>
      <c r="N39" s="48"/>
      <c r="O39" s="48"/>
      <c r="P39" s="48"/>
      <c r="Q39" s="48"/>
      <c r="R39" s="48"/>
      <c r="S39" s="48"/>
      <c r="T39" s="48"/>
      <c r="U39" s="48">
        <f>(1 - CUSTOS!$M$29)*9.2052</f>
        <v>9.2051999999999996</v>
      </c>
      <c r="V39" s="48">
        <f>(1 - CUSTOS!$M$29)*7.484</f>
        <v>7.484</v>
      </c>
      <c r="W39" s="48">
        <f>(1 - CUSTOS!$M$29)*0.6263</f>
        <v>0.62629999999999997</v>
      </c>
      <c r="X39" s="48">
        <v>0</v>
      </c>
      <c r="Y39" s="48">
        <f>(1 - CUSTOS!$M$29)*81.8403</f>
        <v>81.840299999999999</v>
      </c>
      <c r="Z39" s="48">
        <v>0</v>
      </c>
      <c r="AA39" s="48">
        <v>0</v>
      </c>
      <c r="AB39" s="48"/>
      <c r="AC39" s="48">
        <f>(1 - CUSTOS!$M$29)*223.9127</f>
        <v>223.9127</v>
      </c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P39" s="48">
        <f>IF((1 - CUSTOS!$M$29)&lt;&gt;0,1/(1 - CUSTOS!$M$29),1)</f>
        <v>1</v>
      </c>
    </row>
    <row r="40" spans="1:42" ht="11.25" customHeight="1" x14ac:dyDescent="0.25">
      <c r="A40" s="109"/>
      <c r="B40" s="109"/>
      <c r="C40" s="109"/>
      <c r="D40" s="109"/>
      <c r="E40" s="109"/>
      <c r="F40" s="109"/>
      <c r="G40" s="52" t="s">
        <v>84</v>
      </c>
      <c r="H40" s="52" t="s">
        <v>82</v>
      </c>
      <c r="I40" s="52">
        <f>'MERCADO TUSD'!$U$37</f>
        <v>0</v>
      </c>
      <c r="J40" s="15"/>
      <c r="L40" s="48"/>
      <c r="M40" s="48"/>
      <c r="N40" s="48"/>
      <c r="O40" s="48"/>
      <c r="P40" s="48"/>
      <c r="Q40" s="48"/>
      <c r="R40" s="48"/>
      <c r="S40" s="48"/>
      <c r="T40" s="48"/>
      <c r="U40" s="48">
        <f>(1 - CUSTOS!$M$29)*5.9007</f>
        <v>5.9006999999999996</v>
      </c>
      <c r="V40" s="48">
        <f>(1 - CUSTOS!$M$29)*4.7974</f>
        <v>4.7973999999999997</v>
      </c>
      <c r="W40" s="48">
        <f>(1 - CUSTOS!$M$29)*0.4014</f>
        <v>0.40139999999999998</v>
      </c>
      <c r="X40" s="48">
        <v>0</v>
      </c>
      <c r="Y40" s="48">
        <f>(1 - CUSTOS!$M$29)*52.4616</f>
        <v>52.461599999999997</v>
      </c>
      <c r="Z40" s="48">
        <v>0</v>
      </c>
      <c r="AA40" s="48">
        <v>0</v>
      </c>
      <c r="AB40" s="48"/>
      <c r="AC40" s="48">
        <f>(1 - CUSTOS!$M$29)*143.5338</f>
        <v>143.53380000000001</v>
      </c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P40" s="48">
        <f>IF((1 - CUSTOS!$M$29)&lt;&gt;0,1/(1 - CUSTOS!$M$29),1)</f>
        <v>1</v>
      </c>
    </row>
    <row r="41" spans="1:42" ht="11.25" customHeight="1" x14ac:dyDescent="0.25">
      <c r="A41" s="109"/>
      <c r="B41" s="51" t="s">
        <v>23</v>
      </c>
      <c r="C41" s="51" t="s">
        <v>42</v>
      </c>
      <c r="D41" s="51" t="s">
        <v>98</v>
      </c>
      <c r="E41" s="51" t="s">
        <v>25</v>
      </c>
      <c r="F41" s="51" t="s">
        <v>25</v>
      </c>
      <c r="G41" s="52" t="s">
        <v>88</v>
      </c>
      <c r="H41" s="52" t="s">
        <v>82</v>
      </c>
      <c r="I41" s="52">
        <f>'MERCADO TUSD'!$U$38</f>
        <v>0</v>
      </c>
      <c r="J41" s="15"/>
      <c r="L41" s="48"/>
      <c r="M41" s="48"/>
      <c r="N41" s="48"/>
      <c r="O41" s="48"/>
      <c r="P41" s="48"/>
      <c r="Q41" s="48"/>
      <c r="R41" s="48"/>
      <c r="S41" s="48"/>
      <c r="T41" s="48"/>
      <c r="U41" s="48">
        <f>(1 - CUSTOS!$M$29)*7.7642</f>
        <v>7.7641999999999998</v>
      </c>
      <c r="V41" s="48">
        <f>(1 - CUSTOS!$M$29)*6.3124</f>
        <v>6.3124000000000002</v>
      </c>
      <c r="W41" s="48">
        <f>(1 - CUSTOS!$M$29)*0.5282</f>
        <v>0.5282</v>
      </c>
      <c r="X41" s="48">
        <v>0</v>
      </c>
      <c r="Y41" s="48">
        <f>(1 - CUSTOS!$M$29)*69.0285</f>
        <v>69.028499999999994</v>
      </c>
      <c r="Z41" s="48">
        <v>0</v>
      </c>
      <c r="AA41" s="48">
        <v>0</v>
      </c>
      <c r="AB41" s="48"/>
      <c r="AC41" s="48">
        <f>(1 - CUSTOS!$M$29)*188.8602</f>
        <v>188.86019999999999</v>
      </c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P41" s="48">
        <f>IF((1 - CUSTOS!$M$29)&lt;&gt;0,1/(1 - CUSTOS!$M$29),1)</f>
        <v>1</v>
      </c>
    </row>
    <row r="42" spans="1:42" ht="11.25" customHeight="1" x14ac:dyDescent="0.25">
      <c r="A42" s="109"/>
      <c r="B42" s="109" t="s">
        <v>95</v>
      </c>
      <c r="C42" s="109" t="s">
        <v>42</v>
      </c>
      <c r="D42" s="109" t="s">
        <v>99</v>
      </c>
      <c r="E42" s="109" t="s">
        <v>25</v>
      </c>
      <c r="F42" s="109" t="s">
        <v>25</v>
      </c>
      <c r="G42" s="52" t="s">
        <v>83</v>
      </c>
      <c r="H42" s="52" t="s">
        <v>82</v>
      </c>
      <c r="I42" s="52">
        <f>'MERCADO TUSD'!$U$39</f>
        <v>0</v>
      </c>
      <c r="J42" s="15"/>
      <c r="L42" s="48"/>
      <c r="M42" s="48"/>
      <c r="N42" s="48"/>
      <c r="O42" s="48"/>
      <c r="P42" s="48"/>
      <c r="Q42" s="48"/>
      <c r="R42" s="48"/>
      <c r="S42" s="48"/>
      <c r="T42" s="48"/>
      <c r="U42" s="48">
        <f>(1 - CUSTOS!$M$30)*18.0564</f>
        <v>18.0564</v>
      </c>
      <c r="V42" s="48">
        <f>(1 - CUSTOS!$M$30)*14.68</f>
        <v>14.68</v>
      </c>
      <c r="W42" s="48">
        <f>(1 - CUSTOS!$M$30)*1.2284</f>
        <v>1.2283999999999999</v>
      </c>
      <c r="X42" s="48">
        <v>0</v>
      </c>
      <c r="Y42" s="48">
        <f>(1 - CUSTOS!$M$30)*160.5328</f>
        <v>160.53280000000001</v>
      </c>
      <c r="Z42" s="48">
        <v>0</v>
      </c>
      <c r="AA42" s="48">
        <v>0</v>
      </c>
      <c r="AB42" s="48"/>
      <c r="AC42" s="48">
        <f>(1 - CUSTOS!$M$30)*439.2133</f>
        <v>439.2133</v>
      </c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P42" s="48">
        <f>IF((1 - CUSTOS!$M$30)&lt;&gt;0,1/(1 - CUSTOS!$M$30),1)</f>
        <v>1</v>
      </c>
    </row>
    <row r="43" spans="1:42" ht="11.25" customHeight="1" x14ac:dyDescent="0.25">
      <c r="A43" s="109"/>
      <c r="B43" s="109"/>
      <c r="C43" s="109"/>
      <c r="D43" s="109"/>
      <c r="E43" s="109"/>
      <c r="F43" s="109"/>
      <c r="G43" s="52" t="s">
        <v>94</v>
      </c>
      <c r="H43" s="52" t="s">
        <v>82</v>
      </c>
      <c r="I43" s="52">
        <f>'MERCADO TUSD'!$U$40</f>
        <v>0</v>
      </c>
      <c r="J43" s="15"/>
      <c r="L43" s="48"/>
      <c r="M43" s="48"/>
      <c r="N43" s="48"/>
      <c r="O43" s="48"/>
      <c r="P43" s="48"/>
      <c r="Q43" s="48"/>
      <c r="R43" s="48"/>
      <c r="S43" s="48"/>
      <c r="T43" s="48"/>
      <c r="U43" s="48">
        <f>(1 - CUSTOS!$M$30)*9.2052</f>
        <v>9.2051999999999996</v>
      </c>
      <c r="V43" s="48">
        <f>(1 - CUSTOS!$M$30)*7.484</f>
        <v>7.484</v>
      </c>
      <c r="W43" s="48">
        <f>(1 - CUSTOS!$M$30)*0.6263</f>
        <v>0.62629999999999997</v>
      </c>
      <c r="X43" s="48">
        <v>0</v>
      </c>
      <c r="Y43" s="48">
        <f>(1 - CUSTOS!$M$30)*81.8403</f>
        <v>81.840299999999999</v>
      </c>
      <c r="Z43" s="48">
        <v>0</v>
      </c>
      <c r="AA43" s="48">
        <v>0</v>
      </c>
      <c r="AB43" s="48"/>
      <c r="AC43" s="48">
        <f>(1 - CUSTOS!$M$30)*223.9127</f>
        <v>223.9127</v>
      </c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P43" s="48">
        <f>IF((1 - CUSTOS!$M$30)&lt;&gt;0,1/(1 - CUSTOS!$M$30),1)</f>
        <v>1</v>
      </c>
    </row>
    <row r="44" spans="1:42" ht="11.25" customHeight="1" x14ac:dyDescent="0.25">
      <c r="A44" s="109"/>
      <c r="B44" s="109"/>
      <c r="C44" s="109"/>
      <c r="D44" s="109"/>
      <c r="E44" s="109"/>
      <c r="F44" s="109"/>
      <c r="G44" s="52" t="s">
        <v>84</v>
      </c>
      <c r="H44" s="52" t="s">
        <v>82</v>
      </c>
      <c r="I44" s="52">
        <f>'MERCADO TUSD'!$U$41</f>
        <v>0</v>
      </c>
      <c r="J44" s="15"/>
      <c r="L44" s="48"/>
      <c r="M44" s="48"/>
      <c r="N44" s="48"/>
      <c r="O44" s="48"/>
      <c r="P44" s="48"/>
      <c r="Q44" s="48"/>
      <c r="R44" s="48"/>
      <c r="S44" s="48"/>
      <c r="T44" s="48"/>
      <c r="U44" s="48">
        <f>(1 - CUSTOS!$M$30)*5.9007</f>
        <v>5.9006999999999996</v>
      </c>
      <c r="V44" s="48">
        <f>(1 - CUSTOS!$M$30)*4.7974</f>
        <v>4.7973999999999997</v>
      </c>
      <c r="W44" s="48">
        <f>(1 - CUSTOS!$M$30)*0.4014</f>
        <v>0.40139999999999998</v>
      </c>
      <c r="X44" s="48">
        <v>0</v>
      </c>
      <c r="Y44" s="48">
        <f>(1 - CUSTOS!$M$30)*52.4616</f>
        <v>52.461599999999997</v>
      </c>
      <c r="Z44" s="48">
        <v>0</v>
      </c>
      <c r="AA44" s="48">
        <v>0</v>
      </c>
      <c r="AB44" s="48"/>
      <c r="AC44" s="48">
        <f>(1 - CUSTOS!$M$30)*143.5338</f>
        <v>143.53380000000001</v>
      </c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P44" s="48">
        <f>IF((1 - CUSTOS!$M$30)&lt;&gt;0,1/(1 - CUSTOS!$M$30),1)</f>
        <v>1</v>
      </c>
    </row>
    <row r="45" spans="1:42" ht="11.25" customHeight="1" x14ac:dyDescent="0.25">
      <c r="A45" s="109"/>
      <c r="B45" s="51" t="s">
        <v>23</v>
      </c>
      <c r="C45" s="51" t="s">
        <v>42</v>
      </c>
      <c r="D45" s="51" t="s">
        <v>99</v>
      </c>
      <c r="E45" s="51" t="s">
        <v>25</v>
      </c>
      <c r="F45" s="51" t="s">
        <v>25</v>
      </c>
      <c r="G45" s="52" t="s">
        <v>88</v>
      </c>
      <c r="H45" s="52" t="s">
        <v>82</v>
      </c>
      <c r="I45" s="52">
        <f>'MERCADO TUSD'!$U$42</f>
        <v>0</v>
      </c>
      <c r="J45" s="15"/>
      <c r="L45" s="48"/>
      <c r="M45" s="48"/>
      <c r="N45" s="48"/>
      <c r="O45" s="48"/>
      <c r="P45" s="48"/>
      <c r="Q45" s="48"/>
      <c r="R45" s="48"/>
      <c r="S45" s="48"/>
      <c r="T45" s="48"/>
      <c r="U45" s="48">
        <f>(1 - CUSTOS!$M$30)*7.7642</f>
        <v>7.7641999999999998</v>
      </c>
      <c r="V45" s="48">
        <f>(1 - CUSTOS!$M$30)*6.3124</f>
        <v>6.3124000000000002</v>
      </c>
      <c r="W45" s="48">
        <f>(1 - CUSTOS!$M$30)*0.5282</f>
        <v>0.5282</v>
      </c>
      <c r="X45" s="48">
        <v>0</v>
      </c>
      <c r="Y45" s="48">
        <f>(1 - CUSTOS!$M$30)*69.0285</f>
        <v>69.028499999999994</v>
      </c>
      <c r="Z45" s="48">
        <v>0</v>
      </c>
      <c r="AA45" s="48">
        <v>0</v>
      </c>
      <c r="AB45" s="48"/>
      <c r="AC45" s="48">
        <f>(1 - CUSTOS!$M$30)*188.8602</f>
        <v>188.86019999999999</v>
      </c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P45" s="48">
        <f>IF((1 - CUSTOS!$M$30)&lt;&gt;0,1/(1 - CUSTOS!$M$30),1)</f>
        <v>1</v>
      </c>
    </row>
    <row r="46" spans="1:42" ht="11.25" customHeight="1" x14ac:dyDescent="0.25">
      <c r="A46" s="109"/>
      <c r="B46" s="109" t="s">
        <v>97</v>
      </c>
      <c r="C46" s="109" t="s">
        <v>42</v>
      </c>
      <c r="D46" s="51" t="s">
        <v>25</v>
      </c>
      <c r="E46" s="51" t="s">
        <v>25</v>
      </c>
      <c r="F46" s="51" t="s">
        <v>25</v>
      </c>
      <c r="G46" s="52" t="s">
        <v>88</v>
      </c>
      <c r="H46" s="52" t="s">
        <v>82</v>
      </c>
      <c r="I46" s="52">
        <f>'MERCADO TUSD'!$U$43</f>
        <v>0</v>
      </c>
      <c r="J46" s="15"/>
      <c r="L46" s="48"/>
      <c r="M46" s="48"/>
      <c r="N46" s="48"/>
      <c r="O46" s="48"/>
      <c r="P46" s="48"/>
      <c r="Q46" s="48"/>
      <c r="R46" s="48"/>
      <c r="S46" s="48"/>
      <c r="T46" s="48"/>
      <c r="U46" s="48">
        <f>(1 - CUSTOS!$M$28)*7.7642</f>
        <v>7.7641999999999998</v>
      </c>
      <c r="V46" s="48">
        <f>(1 - CUSTOS!$M$28)*6.3124</f>
        <v>6.3124000000000002</v>
      </c>
      <c r="W46" s="48">
        <f>(1 - CUSTOS!$M$28)*0.5282</f>
        <v>0.5282</v>
      </c>
      <c r="X46" s="48">
        <v>0</v>
      </c>
      <c r="Y46" s="48">
        <f>(1 - CUSTOS!$M$28)*69.0285</f>
        <v>69.028499999999994</v>
      </c>
      <c r="Z46" s="48">
        <v>0</v>
      </c>
      <c r="AA46" s="48">
        <v>0</v>
      </c>
      <c r="AB46" s="48"/>
      <c r="AC46" s="48">
        <f>(1 - CUSTOS!$M$28)*188.8602</f>
        <v>188.86019999999999</v>
      </c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P46" s="48">
        <f>IF((1 - CUSTOS!$M$28)&lt;&gt;0,1/(1 - CUSTOS!$M$28),1)</f>
        <v>1</v>
      </c>
    </row>
    <row r="47" spans="1:42" ht="11.25" customHeight="1" x14ac:dyDescent="0.25">
      <c r="A47" s="109"/>
      <c r="B47" s="109"/>
      <c r="C47" s="109"/>
      <c r="D47" s="51" t="s">
        <v>98</v>
      </c>
      <c r="E47" s="51" t="s">
        <v>25</v>
      </c>
      <c r="F47" s="51" t="s">
        <v>25</v>
      </c>
      <c r="G47" s="52" t="s">
        <v>88</v>
      </c>
      <c r="H47" s="52" t="s">
        <v>82</v>
      </c>
      <c r="I47" s="52">
        <f>'MERCADO TUSD'!$U$44</f>
        <v>0</v>
      </c>
      <c r="J47" s="15"/>
      <c r="L47" s="48"/>
      <c r="M47" s="48"/>
      <c r="N47" s="48"/>
      <c r="O47" s="48"/>
      <c r="P47" s="48"/>
      <c r="Q47" s="48"/>
      <c r="R47" s="48"/>
      <c r="S47" s="48"/>
      <c r="T47" s="48"/>
      <c r="U47" s="48">
        <f>(1 - CUSTOS!$M$29)*7.7642</f>
        <v>7.7641999999999998</v>
      </c>
      <c r="V47" s="48">
        <f>(1 - CUSTOS!$M$29)*6.3124</f>
        <v>6.3124000000000002</v>
      </c>
      <c r="W47" s="48">
        <f>(1 - CUSTOS!$M$29)*0.5282</f>
        <v>0.5282</v>
      </c>
      <c r="X47" s="48">
        <v>0</v>
      </c>
      <c r="Y47" s="48">
        <f>(1 - CUSTOS!$M$29)*69.0285</f>
        <v>69.028499999999994</v>
      </c>
      <c r="Z47" s="48">
        <v>0</v>
      </c>
      <c r="AA47" s="48">
        <v>0</v>
      </c>
      <c r="AB47" s="48"/>
      <c r="AC47" s="48">
        <f>(1 - CUSTOS!$M$29)*188.8602</f>
        <v>188.86019999999999</v>
      </c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P47" s="48">
        <f>IF((1 - CUSTOS!$M$29)&lt;&gt;0,1/(1 - CUSTOS!$M$29),1)</f>
        <v>1</v>
      </c>
    </row>
    <row r="48" spans="1:42" ht="11.25" customHeight="1" x14ac:dyDescent="0.25">
      <c r="A48" s="109"/>
      <c r="B48" s="109"/>
      <c r="C48" s="109"/>
      <c r="D48" s="51" t="s">
        <v>99</v>
      </c>
      <c r="E48" s="51" t="s">
        <v>25</v>
      </c>
      <c r="F48" s="51" t="s">
        <v>25</v>
      </c>
      <c r="G48" s="52" t="s">
        <v>88</v>
      </c>
      <c r="H48" s="52" t="s">
        <v>82</v>
      </c>
      <c r="I48" s="52">
        <f>'MERCADO TUSD'!$U$45</f>
        <v>0</v>
      </c>
      <c r="J48" s="15"/>
      <c r="L48" s="48"/>
      <c r="M48" s="48"/>
      <c r="N48" s="48"/>
      <c r="O48" s="48"/>
      <c r="P48" s="48"/>
      <c r="Q48" s="48"/>
      <c r="R48" s="48"/>
      <c r="S48" s="48"/>
      <c r="T48" s="48"/>
      <c r="U48" s="48">
        <f>(1 - CUSTOS!$M$30)*7.7642</f>
        <v>7.7641999999999998</v>
      </c>
      <c r="V48" s="48">
        <f>(1 - CUSTOS!$M$30)*6.3124</f>
        <v>6.3124000000000002</v>
      </c>
      <c r="W48" s="48">
        <f>(1 - CUSTOS!$M$30)*0.5282</f>
        <v>0.5282</v>
      </c>
      <c r="X48" s="48">
        <v>0</v>
      </c>
      <c r="Y48" s="48">
        <f>(1 - CUSTOS!$M$30)*69.0285</f>
        <v>69.028499999999994</v>
      </c>
      <c r="Z48" s="48">
        <v>0</v>
      </c>
      <c r="AA48" s="48">
        <v>0</v>
      </c>
      <c r="AB48" s="48"/>
      <c r="AC48" s="48">
        <f>(1 - CUSTOS!$M$30)*188.8602</f>
        <v>188.86019999999999</v>
      </c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P48" s="48">
        <f>IF((1 - CUSTOS!$M$30)&lt;&gt;0,1/(1 - CUSTOS!$M$30),1)</f>
        <v>1</v>
      </c>
    </row>
    <row r="49" spans="1:42" ht="11.25" customHeight="1" x14ac:dyDescent="0.25">
      <c r="A49" s="109" t="s">
        <v>33</v>
      </c>
      <c r="B49" s="109" t="s">
        <v>95</v>
      </c>
      <c r="C49" s="109" t="s">
        <v>25</v>
      </c>
      <c r="D49" s="109" t="s">
        <v>25</v>
      </c>
      <c r="E49" s="109" t="s">
        <v>25</v>
      </c>
      <c r="F49" s="109" t="s">
        <v>25</v>
      </c>
      <c r="G49" s="52" t="s">
        <v>83</v>
      </c>
      <c r="H49" s="52" t="s">
        <v>82</v>
      </c>
      <c r="I49" s="52">
        <f>'MERCADO TUSD'!$U$46</f>
        <v>0</v>
      </c>
      <c r="J49" s="15"/>
      <c r="L49" s="48"/>
      <c r="M49" s="48"/>
      <c r="N49" s="48"/>
      <c r="O49" s="48"/>
      <c r="P49" s="48"/>
      <c r="Q49" s="48"/>
      <c r="R49" s="48"/>
      <c r="S49" s="48"/>
      <c r="T49" s="48"/>
      <c r="U49" s="48">
        <f>(1 - CUSTOS!$M$31)*19.5657</f>
        <v>19.5657</v>
      </c>
      <c r="V49" s="48">
        <f>(1 - CUSTOS!$M$31)*15.9071</f>
        <v>15.9071</v>
      </c>
      <c r="W49" s="48">
        <f>(1 - CUSTOS!$M$31)*1.3311</f>
        <v>1.3310999999999999</v>
      </c>
      <c r="X49" s="48">
        <v>0</v>
      </c>
      <c r="Y49" s="48">
        <f>(1 - CUSTOS!$M$31)*173.9519</f>
        <v>173.95189999999999</v>
      </c>
      <c r="Z49" s="48">
        <v>0</v>
      </c>
      <c r="AA49" s="48">
        <v>0</v>
      </c>
      <c r="AB49" s="48"/>
      <c r="AC49" s="48">
        <f>(1 - CUSTOS!$M$31)*475.9277</f>
        <v>475.92770000000002</v>
      </c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P49" s="48">
        <f>IF((1 - CUSTOS!$M$31)&lt;&gt;0,1/(1 - CUSTOS!$M$31),1)</f>
        <v>1</v>
      </c>
    </row>
    <row r="50" spans="1:42" ht="11.25" customHeight="1" x14ac:dyDescent="0.25">
      <c r="A50" s="109"/>
      <c r="B50" s="109"/>
      <c r="C50" s="109"/>
      <c r="D50" s="109"/>
      <c r="E50" s="109"/>
      <c r="F50" s="109"/>
      <c r="G50" s="52" t="s">
        <v>94</v>
      </c>
      <c r="H50" s="52" t="s">
        <v>82</v>
      </c>
      <c r="I50" s="52">
        <f>'MERCADO TUSD'!$U$47</f>
        <v>0</v>
      </c>
      <c r="J50" s="15"/>
      <c r="L50" s="48"/>
      <c r="M50" s="48"/>
      <c r="N50" s="48"/>
      <c r="O50" s="48"/>
      <c r="P50" s="48"/>
      <c r="Q50" s="48"/>
      <c r="R50" s="48"/>
      <c r="S50" s="48"/>
      <c r="T50" s="48"/>
      <c r="U50" s="48">
        <f>(1 - CUSTOS!$M$31)*9.7829</f>
        <v>9.7828999999999997</v>
      </c>
      <c r="V50" s="48">
        <f>(1 - CUSTOS!$M$31)*7.9536</f>
        <v>7.9535999999999998</v>
      </c>
      <c r="W50" s="48">
        <f>(1 - CUSTOS!$M$31)*0.6655</f>
        <v>0.66549999999999998</v>
      </c>
      <c r="X50" s="48">
        <v>0</v>
      </c>
      <c r="Y50" s="48">
        <f>(1 - CUSTOS!$M$31)*86.976</f>
        <v>86.975999999999999</v>
      </c>
      <c r="Z50" s="48">
        <v>0</v>
      </c>
      <c r="AA50" s="48">
        <v>0</v>
      </c>
      <c r="AB50" s="48"/>
      <c r="AC50" s="48">
        <f>(1 - CUSTOS!$M$31)*237.9638</f>
        <v>237.96379999999999</v>
      </c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P50" s="48">
        <f>IF((1 - CUSTOS!$M$31)&lt;&gt;0,1/(1 - CUSTOS!$M$31),1)</f>
        <v>1</v>
      </c>
    </row>
    <row r="51" spans="1:42" ht="11.25" customHeight="1" x14ac:dyDescent="0.25">
      <c r="A51" s="109"/>
      <c r="B51" s="109"/>
      <c r="C51" s="109"/>
      <c r="D51" s="109"/>
      <c r="E51" s="109"/>
      <c r="F51" s="109"/>
      <c r="G51" s="52" t="s">
        <v>84</v>
      </c>
      <c r="H51" s="52" t="s">
        <v>82</v>
      </c>
      <c r="I51" s="52">
        <f>'MERCADO TUSD'!$U$48</f>
        <v>0</v>
      </c>
      <c r="J51" s="15"/>
      <c r="L51" s="48"/>
      <c r="M51" s="48"/>
      <c r="N51" s="48"/>
      <c r="O51" s="48"/>
      <c r="P51" s="48"/>
      <c r="Q51" s="48"/>
      <c r="R51" s="48"/>
      <c r="S51" s="48"/>
      <c r="T51" s="48"/>
      <c r="U51" s="48">
        <f>(1 - CUSTOS!$M$31)*6.5219</f>
        <v>6.5218999999999996</v>
      </c>
      <c r="V51" s="48">
        <f>(1 - CUSTOS!$M$31)*5.3024</f>
        <v>5.3023999999999996</v>
      </c>
      <c r="W51" s="48">
        <f>(1 - CUSTOS!$M$31)*0.4437</f>
        <v>0.44369999999999998</v>
      </c>
      <c r="X51" s="48">
        <v>0</v>
      </c>
      <c r="Y51" s="48">
        <f>(1 - CUSTOS!$M$31)*57.984</f>
        <v>57.984000000000002</v>
      </c>
      <c r="Z51" s="48">
        <v>0</v>
      </c>
      <c r="AA51" s="48">
        <v>0</v>
      </c>
      <c r="AB51" s="48"/>
      <c r="AC51" s="48">
        <f>(1 - CUSTOS!$M$31)*158.6426</f>
        <v>158.64259999999999</v>
      </c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P51" s="48">
        <f>IF((1 - CUSTOS!$M$31)&lt;&gt;0,1/(1 - CUSTOS!$M$31),1)</f>
        <v>1</v>
      </c>
    </row>
    <row r="52" spans="1:42" ht="11.25" customHeight="1" x14ac:dyDescent="0.25">
      <c r="A52" s="109"/>
      <c r="B52" s="51" t="s">
        <v>23</v>
      </c>
      <c r="C52" s="51" t="s">
        <v>25</v>
      </c>
      <c r="D52" s="51" t="s">
        <v>25</v>
      </c>
      <c r="E52" s="51" t="s">
        <v>25</v>
      </c>
      <c r="F52" s="51" t="s">
        <v>25</v>
      </c>
      <c r="G52" s="52" t="s">
        <v>88</v>
      </c>
      <c r="H52" s="52" t="s">
        <v>82</v>
      </c>
      <c r="I52" s="52">
        <f>'MERCADO TUSD'!$U$49</f>
        <v>28646.591999999997</v>
      </c>
      <c r="J52" s="15"/>
      <c r="L52" s="48"/>
      <c r="M52" s="48"/>
      <c r="N52" s="48"/>
      <c r="O52" s="48"/>
      <c r="P52" s="48"/>
      <c r="Q52" s="48"/>
      <c r="R52" s="48"/>
      <c r="S52" s="48"/>
      <c r="T52" s="48"/>
      <c r="U52" s="48">
        <f>(1 - CUSTOS!$M$31)*7.7642</f>
        <v>7.7641999999999998</v>
      </c>
      <c r="V52" s="48">
        <f>(1 - CUSTOS!$M$31)*6.3124</f>
        <v>6.3124000000000002</v>
      </c>
      <c r="W52" s="48">
        <f>(1 - CUSTOS!$M$31)*0.5282</f>
        <v>0.5282</v>
      </c>
      <c r="X52" s="48">
        <v>0</v>
      </c>
      <c r="Y52" s="48">
        <f>(1 - CUSTOS!$M$31)*69.0285</f>
        <v>69.028499999999994</v>
      </c>
      <c r="Z52" s="48">
        <v>0</v>
      </c>
      <c r="AA52" s="48">
        <v>0</v>
      </c>
      <c r="AB52" s="48"/>
      <c r="AC52" s="48">
        <f>(1 - CUSTOS!$M$31)*188.8602</f>
        <v>188.86019999999999</v>
      </c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P52" s="48">
        <f>IF((1 - CUSTOS!$M$31)&lt;&gt;0,1/(1 - CUSTOS!$M$31),1)</f>
        <v>1</v>
      </c>
    </row>
    <row r="53" spans="1:42" ht="11.25" customHeight="1" x14ac:dyDescent="0.25">
      <c r="A53" s="109"/>
      <c r="B53" s="51" t="s">
        <v>97</v>
      </c>
      <c r="C53" s="51" t="s">
        <v>25</v>
      </c>
      <c r="D53" s="51" t="s">
        <v>25</v>
      </c>
      <c r="E53" s="51" t="s">
        <v>25</v>
      </c>
      <c r="F53" s="51" t="s">
        <v>25</v>
      </c>
      <c r="G53" s="52" t="s">
        <v>88</v>
      </c>
      <c r="H53" s="52" t="s">
        <v>82</v>
      </c>
      <c r="I53" s="52">
        <f>'MERCADO TUSD'!$U$50</f>
        <v>0</v>
      </c>
      <c r="J53" s="15"/>
      <c r="L53" s="48"/>
      <c r="M53" s="48"/>
      <c r="N53" s="48"/>
      <c r="O53" s="48"/>
      <c r="P53" s="48"/>
      <c r="Q53" s="48"/>
      <c r="R53" s="48"/>
      <c r="S53" s="48"/>
      <c r="T53" s="48"/>
      <c r="U53" s="48">
        <f>(1 - CUSTOS!$M$31)*7.7642</f>
        <v>7.7641999999999998</v>
      </c>
      <c r="V53" s="48">
        <f>(1 - CUSTOS!$M$31)*6.3124</f>
        <v>6.3124000000000002</v>
      </c>
      <c r="W53" s="48">
        <f>(1 - CUSTOS!$M$31)*0.5282</f>
        <v>0.5282</v>
      </c>
      <c r="X53" s="48">
        <v>0</v>
      </c>
      <c r="Y53" s="48">
        <f>(1 - CUSTOS!$M$31)*69.0285</f>
        <v>69.028499999999994</v>
      </c>
      <c r="Z53" s="48">
        <v>0</v>
      </c>
      <c r="AA53" s="48">
        <v>0</v>
      </c>
      <c r="AB53" s="48"/>
      <c r="AC53" s="48">
        <f>(1 - CUSTOS!$M$31)*188.8602</f>
        <v>188.86019999999999</v>
      </c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P53" s="48">
        <f>IF((1 - CUSTOS!$M$31)&lt;&gt;0,1/(1 - CUSTOS!$M$31),1)</f>
        <v>1</v>
      </c>
    </row>
    <row r="54" spans="1:42" ht="11.25" customHeight="1" x14ac:dyDescent="0.25">
      <c r="A54" s="109" t="s">
        <v>44</v>
      </c>
      <c r="B54" s="109" t="s">
        <v>23</v>
      </c>
      <c r="C54" s="109" t="s">
        <v>45</v>
      </c>
      <c r="D54" s="51" t="s">
        <v>46</v>
      </c>
      <c r="E54" s="51" t="s">
        <v>25</v>
      </c>
      <c r="F54" s="51" t="s">
        <v>25</v>
      </c>
      <c r="G54" s="52" t="s">
        <v>88</v>
      </c>
      <c r="H54" s="52" t="s">
        <v>82</v>
      </c>
      <c r="I54" s="52">
        <f>'MERCADO TUSD'!$U$51</f>
        <v>6635.9900000000007</v>
      </c>
      <c r="J54" s="15"/>
      <c r="L54" s="48"/>
      <c r="M54" s="48"/>
      <c r="N54" s="48"/>
      <c r="O54" s="48"/>
      <c r="P54" s="48"/>
      <c r="Q54" s="48"/>
      <c r="R54" s="48"/>
      <c r="S54" s="48"/>
      <c r="T54" s="48"/>
      <c r="U54" s="48">
        <f>(1 - CUSTOS!$M$32)*7.7642</f>
        <v>4.2703100000000003</v>
      </c>
      <c r="V54" s="48">
        <f>(1 - CUSTOS!$M$32)*6.3124</f>
        <v>3.4718200000000006</v>
      </c>
      <c r="W54" s="48">
        <f>(1 - CUSTOS!$M$32)*0.5282</f>
        <v>0.29051000000000005</v>
      </c>
      <c r="X54" s="48">
        <v>0</v>
      </c>
      <c r="Y54" s="48">
        <f>(1 - CUSTOS!$M$32)*69.0285</f>
        <v>37.965674999999997</v>
      </c>
      <c r="Z54" s="48">
        <v>0</v>
      </c>
      <c r="AA54" s="48">
        <v>0</v>
      </c>
      <c r="AB54" s="48"/>
      <c r="AC54" s="48">
        <f>(1 - CUSTOS!$M$32)*188.8602</f>
        <v>103.87311</v>
      </c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P54" s="48">
        <f>IF((1 - CUSTOS!$M$32)&lt;&gt;0,1/(1 - CUSTOS!$M$32),1)</f>
        <v>1.8181818181818181</v>
      </c>
    </row>
    <row r="55" spans="1:42" ht="11.25" customHeight="1" x14ac:dyDescent="0.25">
      <c r="A55" s="109"/>
      <c r="B55" s="109"/>
      <c r="C55" s="109"/>
      <c r="D55" s="52" t="s">
        <v>100</v>
      </c>
      <c r="E55" s="52" t="s">
        <v>25</v>
      </c>
      <c r="F55" s="52" t="s">
        <v>25</v>
      </c>
      <c r="G55" s="52" t="s">
        <v>88</v>
      </c>
      <c r="H55" s="52" t="s">
        <v>82</v>
      </c>
      <c r="I55" s="52">
        <f>'MERCADO TUSD'!$U$52</f>
        <v>0</v>
      </c>
      <c r="J55" s="15"/>
      <c r="L55" s="48"/>
      <c r="M55" s="48"/>
      <c r="N55" s="48"/>
      <c r="O55" s="48"/>
      <c r="P55" s="48"/>
      <c r="Q55" s="48"/>
      <c r="R55" s="48"/>
      <c r="S55" s="48"/>
      <c r="T55" s="48"/>
      <c r="U55" s="48">
        <f>(1 - CUSTOS!$M$33)*7.7642</f>
        <v>4.6585199999999993</v>
      </c>
      <c r="V55" s="48">
        <f>(1 - CUSTOS!$M$33)*6.3124</f>
        <v>3.7874400000000001</v>
      </c>
      <c r="W55" s="48">
        <f>(1 - CUSTOS!$M$33)*0.5282</f>
        <v>0.31691999999999998</v>
      </c>
      <c r="X55" s="48">
        <v>0</v>
      </c>
      <c r="Y55" s="48">
        <f>(1 - CUSTOS!$M$33)*69.0285</f>
        <v>41.417099999999998</v>
      </c>
      <c r="Z55" s="48">
        <v>0</v>
      </c>
      <c r="AA55" s="48">
        <v>0</v>
      </c>
      <c r="AB55" s="48"/>
      <c r="AC55" s="48">
        <f>(1 - CUSTOS!$M$33)*188.8602</f>
        <v>113.31612</v>
      </c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P55" s="48">
        <f>IF((1 - CUSTOS!$M$33)&lt;&gt;0,1/(1 - CUSTOS!$M$33),1)</f>
        <v>1.6666666666666667</v>
      </c>
    </row>
  </sheetData>
  <mergeCells count="79"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E14:E16"/>
    <mergeCell ref="AE3:AG3"/>
    <mergeCell ref="AH3:AL3"/>
    <mergeCell ref="AM3:AM4"/>
    <mergeCell ref="A5:A8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A1:A4"/>
    <mergeCell ref="F14:F16"/>
    <mergeCell ref="E17:E18"/>
    <mergeCell ref="F17:F18"/>
    <mergeCell ref="A19:A20"/>
    <mergeCell ref="B19:B20"/>
    <mergeCell ref="C19:C20"/>
    <mergeCell ref="D19:D20"/>
    <mergeCell ref="A9:A18"/>
    <mergeCell ref="B9:B12"/>
    <mergeCell ref="C9:C12"/>
    <mergeCell ref="D9:D12"/>
    <mergeCell ref="E9:E11"/>
    <mergeCell ref="F9:F11"/>
    <mergeCell ref="B14:B18"/>
    <mergeCell ref="C14:C18"/>
    <mergeCell ref="D14:D18"/>
    <mergeCell ref="F21:F23"/>
    <mergeCell ref="B24:B28"/>
    <mergeCell ref="C24:C28"/>
    <mergeCell ref="B29:B33"/>
    <mergeCell ref="C29:C33"/>
    <mergeCell ref="A21:A33"/>
    <mergeCell ref="B21:B23"/>
    <mergeCell ref="C21:C23"/>
    <mergeCell ref="D21:D23"/>
    <mergeCell ref="E21:E23"/>
    <mergeCell ref="D42:D44"/>
    <mergeCell ref="E42:E44"/>
    <mergeCell ref="F42:F44"/>
    <mergeCell ref="D34:D36"/>
    <mergeCell ref="E34:E36"/>
    <mergeCell ref="F34:F36"/>
    <mergeCell ref="D38:D40"/>
    <mergeCell ref="E38:E40"/>
    <mergeCell ref="F38:F40"/>
    <mergeCell ref="B46:B48"/>
    <mergeCell ref="C46:C48"/>
    <mergeCell ref="A49:A53"/>
    <mergeCell ref="B49:B51"/>
    <mergeCell ref="C49:C51"/>
    <mergeCell ref="A34:A48"/>
    <mergeCell ref="B34:B36"/>
    <mergeCell ref="C34:C36"/>
    <mergeCell ref="B42:B44"/>
    <mergeCell ref="C42:C44"/>
    <mergeCell ref="B38:B40"/>
    <mergeCell ref="C38:C40"/>
    <mergeCell ref="E49:E51"/>
    <mergeCell ref="F49:F51"/>
    <mergeCell ref="A54:A55"/>
    <mergeCell ref="B54:B55"/>
    <mergeCell ref="C54:C55"/>
    <mergeCell ref="D49:D5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BE86-A3D8-4133-91CE-848D1AF879AC}">
  <dimension ref="A1:AP75"/>
  <sheetViews>
    <sheetView showGridLines="0" topLeftCell="D38" workbookViewId="0">
      <selection activeCell="K66" sqref="K66:P66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3" width="10" style="9" bestFit="1" customWidth="1"/>
    <col min="24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9.28515625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12" t="s">
        <v>72</v>
      </c>
      <c r="B1" s="112" t="s">
        <v>73</v>
      </c>
      <c r="C1" s="112" t="s">
        <v>74</v>
      </c>
      <c r="D1" s="112" t="s">
        <v>75</v>
      </c>
      <c r="E1" s="112" t="s">
        <v>76</v>
      </c>
      <c r="F1" s="112" t="s">
        <v>15</v>
      </c>
      <c r="G1" s="112" t="s">
        <v>78</v>
      </c>
      <c r="H1" s="112" t="s">
        <v>79</v>
      </c>
      <c r="I1" s="112" t="s">
        <v>545</v>
      </c>
      <c r="J1" s="102"/>
      <c r="L1" s="110" t="s">
        <v>546</v>
      </c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P1" s="110" t="s">
        <v>547</v>
      </c>
    </row>
    <row r="2" spans="1:42" ht="11.25" customHeight="1" x14ac:dyDescent="0.25">
      <c r="A2" s="112"/>
      <c r="B2" s="112"/>
      <c r="C2" s="112"/>
      <c r="D2" s="112"/>
      <c r="E2" s="112"/>
      <c r="F2" s="112"/>
      <c r="G2" s="112"/>
      <c r="H2" s="112"/>
      <c r="I2" s="112"/>
      <c r="J2" s="102"/>
      <c r="L2" s="110" t="s">
        <v>444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P2" s="113"/>
    </row>
    <row r="3" spans="1:42" ht="11.25" customHeight="1" x14ac:dyDescent="0.25">
      <c r="A3" s="112"/>
      <c r="B3" s="112"/>
      <c r="C3" s="112"/>
      <c r="D3" s="112"/>
      <c r="E3" s="112"/>
      <c r="F3" s="112"/>
      <c r="G3" s="112"/>
      <c r="H3" s="112"/>
      <c r="I3" s="112"/>
      <c r="J3" s="102"/>
      <c r="L3" s="110" t="s">
        <v>445</v>
      </c>
      <c r="M3" s="110"/>
      <c r="N3" s="110"/>
      <c r="O3" s="110"/>
      <c r="P3" s="110"/>
      <c r="Q3" s="110"/>
      <c r="R3" s="110"/>
      <c r="S3" s="110"/>
      <c r="T3" s="110"/>
      <c r="U3" s="110" t="s">
        <v>454</v>
      </c>
      <c r="V3" s="110"/>
      <c r="W3" s="110"/>
      <c r="X3" s="110"/>
      <c r="Y3" s="110"/>
      <c r="Z3" s="110"/>
      <c r="AA3" s="110"/>
      <c r="AB3" s="110"/>
      <c r="AC3" s="110" t="s">
        <v>462</v>
      </c>
      <c r="AD3" s="110"/>
      <c r="AE3" s="110" t="s">
        <v>464</v>
      </c>
      <c r="AF3" s="110"/>
      <c r="AG3" s="110"/>
      <c r="AH3" s="110" t="s">
        <v>467</v>
      </c>
      <c r="AI3" s="110"/>
      <c r="AJ3" s="110"/>
      <c r="AK3" s="110"/>
      <c r="AL3" s="110"/>
      <c r="AM3" s="110" t="s">
        <v>453</v>
      </c>
      <c r="AP3" s="113"/>
    </row>
    <row r="4" spans="1:42" ht="11.25" customHeight="1" x14ac:dyDescent="0.25">
      <c r="A4" s="112"/>
      <c r="B4" s="112"/>
      <c r="C4" s="112"/>
      <c r="D4" s="112"/>
      <c r="E4" s="112"/>
      <c r="F4" s="112"/>
      <c r="G4" s="112"/>
      <c r="H4" s="112"/>
      <c r="I4" s="112"/>
      <c r="J4" s="102"/>
      <c r="L4" s="49" t="s">
        <v>530</v>
      </c>
      <c r="M4" s="49" t="s">
        <v>446</v>
      </c>
      <c r="N4" s="49" t="s">
        <v>447</v>
      </c>
      <c r="O4" s="49" t="s">
        <v>448</v>
      </c>
      <c r="P4" s="49" t="s">
        <v>449</v>
      </c>
      <c r="Q4" s="49" t="s">
        <v>450</v>
      </c>
      <c r="R4" s="49" t="s">
        <v>451</v>
      </c>
      <c r="S4" s="49" t="s">
        <v>452</v>
      </c>
      <c r="T4" s="49" t="s">
        <v>453</v>
      </c>
      <c r="U4" s="49" t="s">
        <v>455</v>
      </c>
      <c r="V4" s="49" t="s">
        <v>456</v>
      </c>
      <c r="W4" s="49" t="s">
        <v>457</v>
      </c>
      <c r="X4" s="49" t="s">
        <v>458</v>
      </c>
      <c r="Y4" s="49" t="s">
        <v>459</v>
      </c>
      <c r="Z4" s="49" t="s">
        <v>460</v>
      </c>
      <c r="AA4" s="49" t="s">
        <v>461</v>
      </c>
      <c r="AB4" s="49" t="s">
        <v>453</v>
      </c>
      <c r="AC4" s="49" t="s">
        <v>463</v>
      </c>
      <c r="AD4" s="49" t="s">
        <v>453</v>
      </c>
      <c r="AE4" s="49" t="s">
        <v>465</v>
      </c>
      <c r="AF4" s="49" t="s">
        <v>466</v>
      </c>
      <c r="AG4" s="49" t="s">
        <v>453</v>
      </c>
      <c r="AH4" s="49" t="s">
        <v>468</v>
      </c>
      <c r="AI4" s="49" t="s">
        <v>469</v>
      </c>
      <c r="AJ4" s="49" t="s">
        <v>470</v>
      </c>
      <c r="AK4" s="49" t="s">
        <v>471</v>
      </c>
      <c r="AL4" s="49" t="s">
        <v>453</v>
      </c>
      <c r="AM4" s="111"/>
      <c r="AP4" s="113"/>
    </row>
    <row r="5" spans="1:42" ht="11.25" customHeight="1" x14ac:dyDescent="0.25">
      <c r="A5" s="109" t="s">
        <v>53</v>
      </c>
      <c r="B5" s="109" t="s">
        <v>36</v>
      </c>
      <c r="C5" s="109" t="s">
        <v>25</v>
      </c>
      <c r="D5" s="109" t="s">
        <v>25</v>
      </c>
      <c r="E5" s="109" t="s">
        <v>25</v>
      </c>
      <c r="F5" s="109" t="s">
        <v>25</v>
      </c>
      <c r="G5" s="52" t="s">
        <v>86</v>
      </c>
      <c r="H5" s="52" t="s">
        <v>85</v>
      </c>
      <c r="I5" s="52">
        <f>'MERCADO TUSD'!$U$2</f>
        <v>39600</v>
      </c>
      <c r="J5" s="15"/>
      <c r="L5" s="48">
        <v>0</v>
      </c>
      <c r="M5" s="48">
        <v>0</v>
      </c>
      <c r="N5" s="48">
        <v>0</v>
      </c>
      <c r="O5" s="48">
        <v>0</v>
      </c>
      <c r="P5" s="48">
        <v>0</v>
      </c>
      <c r="Q5" s="48">
        <v>0</v>
      </c>
      <c r="R5" s="48">
        <v>0</v>
      </c>
      <c r="S5" s="48">
        <v>0</v>
      </c>
      <c r="T5" s="48"/>
      <c r="U5" s="48">
        <f>TRANSICAO!$U$5*CUSTOS!$P$3</f>
        <v>2.8540999999999999</v>
      </c>
      <c r="V5" s="48">
        <f>TRANSICAO!$V$5*CUSTOS!$P$3</f>
        <v>1.2669999999999999</v>
      </c>
      <c r="W5" s="48">
        <f>TRANSICAO!$W$5*CUSTOS!$P$3</f>
        <v>0</v>
      </c>
      <c r="X5" s="48">
        <f>TRANSICAO!$X$5*CUSTOS!$P$3</f>
        <v>0</v>
      </c>
      <c r="Y5" s="48">
        <f>TRANSICAO!$Y$5*CUSTOS!$P$3</f>
        <v>15.0581</v>
      </c>
      <c r="Z5" s="48">
        <f>TRANSICAO!$Z$5*CUSTOS!$P$3</f>
        <v>0</v>
      </c>
      <c r="AA5" s="48">
        <f>TRANSICAO!$AA$5*CUSTOS!$P$3</f>
        <v>0</v>
      </c>
      <c r="AB5" s="48">
        <f>TRANSICAO!$AB$5*CUSTOS!$P$3</f>
        <v>0</v>
      </c>
      <c r="AC5" s="48">
        <f>TRANSICAO!$AC$5*CUSTOS!$P$3</f>
        <v>1.3652</v>
      </c>
      <c r="AD5" s="48">
        <f>TRANSICAO!$AD$5*CUSTOS!$P$3</f>
        <v>0</v>
      </c>
      <c r="AE5" s="48">
        <v>0</v>
      </c>
      <c r="AF5" s="48">
        <v>0</v>
      </c>
      <c r="AG5" s="48"/>
      <c r="AH5" s="48">
        <v>0</v>
      </c>
      <c r="AI5" s="48">
        <v>0</v>
      </c>
      <c r="AJ5" s="48">
        <v>0</v>
      </c>
      <c r="AK5" s="48">
        <f t="shared" ref="AK5:AK36" si="0">AJ5</f>
        <v>0</v>
      </c>
      <c r="AL5" s="48"/>
      <c r="AM5" s="48"/>
      <c r="AP5" s="48">
        <v>1</v>
      </c>
    </row>
    <row r="6" spans="1:42" ht="11.25" customHeight="1" x14ac:dyDescent="0.25">
      <c r="A6" s="109"/>
      <c r="B6" s="109"/>
      <c r="C6" s="109"/>
      <c r="D6" s="109"/>
      <c r="E6" s="109"/>
      <c r="F6" s="109"/>
      <c r="G6" s="52" t="s">
        <v>87</v>
      </c>
      <c r="H6" s="52" t="s">
        <v>85</v>
      </c>
      <c r="I6" s="52">
        <f>'MERCADO TUSD'!$U$3</f>
        <v>39600</v>
      </c>
      <c r="J6" s="15"/>
      <c r="L6" s="48">
        <v>0</v>
      </c>
      <c r="M6" s="48">
        <v>0</v>
      </c>
      <c r="N6" s="48">
        <v>0</v>
      </c>
      <c r="O6" s="48">
        <v>0</v>
      </c>
      <c r="P6" s="48">
        <v>0</v>
      </c>
      <c r="Q6" s="48">
        <v>0</v>
      </c>
      <c r="R6" s="48">
        <v>0</v>
      </c>
      <c r="S6" s="48">
        <v>0</v>
      </c>
      <c r="T6" s="48"/>
      <c r="U6" s="48">
        <f>TRANSICAO!$U$6*CUSTOS!$P$3</f>
        <v>1.5855999999999999</v>
      </c>
      <c r="V6" s="48">
        <f>TRANSICAO!$V$6*CUSTOS!$P$3</f>
        <v>0.60780000000000001</v>
      </c>
      <c r="W6" s="48">
        <f>TRANSICAO!$W$6*CUSTOS!$P$3</f>
        <v>0</v>
      </c>
      <c r="X6" s="48">
        <f>TRANSICAO!$X$6*CUSTOS!$P$3</f>
        <v>0</v>
      </c>
      <c r="Y6" s="48">
        <f>TRANSICAO!$Y$6*CUSTOS!$P$3</f>
        <v>6.2925000000000004</v>
      </c>
      <c r="Z6" s="48">
        <f>TRANSICAO!$Z$6*CUSTOS!$P$3</f>
        <v>0</v>
      </c>
      <c r="AA6" s="48">
        <f>TRANSICAO!$AA$6*CUSTOS!$P$3</f>
        <v>0</v>
      </c>
      <c r="AB6" s="48">
        <f>TRANSICAO!$AB$6*CUSTOS!$P$3</f>
        <v>0</v>
      </c>
      <c r="AC6" s="48">
        <f>TRANSICAO!$AC$6*CUSTOS!$P$3</f>
        <v>1.3652</v>
      </c>
      <c r="AD6" s="48">
        <f>TRANSICAO!$AD$6*CUSTOS!$P$3</f>
        <v>0</v>
      </c>
      <c r="AE6" s="48">
        <v>0</v>
      </c>
      <c r="AF6" s="48">
        <v>0</v>
      </c>
      <c r="AG6" s="48"/>
      <c r="AH6" s="48">
        <v>0</v>
      </c>
      <c r="AI6" s="48">
        <v>0</v>
      </c>
      <c r="AJ6" s="48">
        <v>0</v>
      </c>
      <c r="AK6" s="48">
        <f t="shared" si="0"/>
        <v>0</v>
      </c>
      <c r="AL6" s="48"/>
      <c r="AM6" s="48"/>
      <c r="AP6" s="48">
        <v>1</v>
      </c>
    </row>
    <row r="7" spans="1:42" ht="11.25" customHeight="1" x14ac:dyDescent="0.25">
      <c r="A7" s="109"/>
      <c r="B7" s="109"/>
      <c r="C7" s="109"/>
      <c r="D7" s="109"/>
      <c r="E7" s="109"/>
      <c r="F7" s="109"/>
      <c r="G7" s="52" t="s">
        <v>88</v>
      </c>
      <c r="H7" s="52" t="s">
        <v>82</v>
      </c>
      <c r="I7" s="52">
        <f>'MERCADO TUSD'!$U$4</f>
        <v>16873.752000000004</v>
      </c>
      <c r="J7" s="15"/>
      <c r="L7" s="48">
        <f>0.62</f>
        <v>0.62</v>
      </c>
      <c r="M7" s="48">
        <f>IF(AND((+$I$7+$I$8)&lt;&gt;0,SUMPRODUCT($I$5:$I$55,$AC$5:$AC$55,$AP$5:$AP$55)&lt;&gt;0),$M$60*SUMPRODUCT($I$5:$I$8,$AC$5:$AC$8,$AP$5:$AP$8)/SUMPRODUCT($I$5:$I$55,$AC$5:$AC$55,$AP$5:$AP$55)/(+$I$7+$I$8),0)</f>
        <v>3.0881816187570008E-2</v>
      </c>
      <c r="N7" s="48">
        <f ca="1">(+M7+O7+R7+U7+V7+W7+X7+Y7+Z7+AA7+AC7+AH7+AI7+AJ7+AK7)*CUSTOS!$M$5</f>
        <v>2.07528181618757E-14</v>
      </c>
      <c r="O7" s="48">
        <v>1</v>
      </c>
      <c r="P7" s="48">
        <v>1</v>
      </c>
      <c r="Q7" s="48">
        <f>0.62</f>
        <v>0.62</v>
      </c>
      <c r="R7" s="48">
        <v>1</v>
      </c>
      <c r="S7" s="48">
        <v>1</v>
      </c>
      <c r="T7" s="48"/>
      <c r="U7" s="48">
        <f>TRANSICAO!$U$7*CUSTOS!$P$3</f>
        <v>0</v>
      </c>
      <c r="V7" s="48">
        <f>TRANSICAO!$V$7*CUSTOS!$P$3</f>
        <v>0</v>
      </c>
      <c r="W7" s="48">
        <f>TRANSICAO!$W$7*CUSTOS!$P$3</f>
        <v>0</v>
      </c>
      <c r="X7" s="48">
        <f>TRANSICAO!$X$7*CUSTOS!$P$3</f>
        <v>0</v>
      </c>
      <c r="Y7" s="48">
        <f>TRANSICAO!$Y$7*CUSTOS!$P$3</f>
        <v>0</v>
      </c>
      <c r="Z7" s="48">
        <f>TRANSICAO!$Z$7*CUSTOS!$P$3</f>
        <v>0</v>
      </c>
      <c r="AA7" s="48">
        <f>TRANSICAO!$AA$7*CUSTOS!$P$3</f>
        <v>0</v>
      </c>
      <c r="AB7" s="48">
        <f>TRANSICAO!$AB$7*CUSTOS!$P$3</f>
        <v>0</v>
      </c>
      <c r="AC7" s="48">
        <f>TRANSICAO!$AC$7*CUSTOS!$P$3</f>
        <v>0</v>
      </c>
      <c r="AD7" s="48">
        <f>TRANSICAO!$AD$7*CUSTOS!$P$3</f>
        <v>0</v>
      </c>
      <c r="AE7" s="48">
        <v>0</v>
      </c>
      <c r="AF7" s="48">
        <v>0</v>
      </c>
      <c r="AG7" s="48"/>
      <c r="AH7" s="48">
        <v>4.4400000000000002E-2</v>
      </c>
      <c r="AI7" s="48">
        <v>0</v>
      </c>
      <c r="AJ7" s="48">
        <f ca="1">$N$67</f>
        <v>0</v>
      </c>
      <c r="AK7" s="48">
        <f t="shared" ca="1" si="0"/>
        <v>0</v>
      </c>
      <c r="AL7" s="48"/>
      <c r="AM7" s="48"/>
      <c r="AP7" s="48">
        <v>1</v>
      </c>
    </row>
    <row r="8" spans="1:42" ht="11.25" customHeight="1" x14ac:dyDescent="0.25">
      <c r="A8" s="109"/>
      <c r="B8" s="109"/>
      <c r="C8" s="109"/>
      <c r="D8" s="109"/>
      <c r="E8" s="51" t="s">
        <v>89</v>
      </c>
      <c r="F8" s="51" t="s">
        <v>25</v>
      </c>
      <c r="G8" s="52" t="s">
        <v>88</v>
      </c>
      <c r="H8" s="52" t="s">
        <v>82</v>
      </c>
      <c r="I8" s="52">
        <f>'MERCADO TUSD'!$U$5</f>
        <v>0</v>
      </c>
      <c r="J8" s="15"/>
      <c r="L8" s="48">
        <v>0</v>
      </c>
      <c r="M8" s="48">
        <f>IF(AND((+$I$7+$I$8)&lt;&gt;0,SUMPRODUCT($I$5:$I$55,$AC$5:$AC$55,$AP$5:$AP$55)&lt;&gt;0),$M$60*SUMPRODUCT($I$5:$I$8,$AC$5:$AC$8,$AP$5:$AP$8)/SUMPRODUCT($I$5:$I$55,$AC$5:$AC$55,$AP$5:$AP$55)/(+$I$7+$I$8),0)</f>
        <v>3.0881816187570008E-2</v>
      </c>
      <c r="N8" s="48">
        <f ca="1">(+M8+O8+R8+U8+V8+W8+X8+Y8+Z8+AA8+AC8+AH8+AI8+AJ8+AK8)*CUSTOS!$M$5</f>
        <v>1.0752818161875699E-14</v>
      </c>
      <c r="O8" s="48">
        <v>1</v>
      </c>
      <c r="P8" s="48">
        <v>0</v>
      </c>
      <c r="Q8" s="48">
        <v>0</v>
      </c>
      <c r="R8" s="48">
        <v>0</v>
      </c>
      <c r="S8" s="48">
        <v>0</v>
      </c>
      <c r="T8" s="48"/>
      <c r="U8" s="48">
        <f>TRANSICAO!$U$8*CUSTOS!$P$3</f>
        <v>0</v>
      </c>
      <c r="V8" s="48">
        <f>TRANSICAO!$V$8*CUSTOS!$P$3</f>
        <v>0</v>
      </c>
      <c r="W8" s="48">
        <f>TRANSICAO!$W$8*CUSTOS!$P$3</f>
        <v>0</v>
      </c>
      <c r="X8" s="48">
        <f>TRANSICAO!$X$8*CUSTOS!$P$3</f>
        <v>0</v>
      </c>
      <c r="Y8" s="48">
        <f>TRANSICAO!$Y$8*CUSTOS!$P$3</f>
        <v>0</v>
      </c>
      <c r="Z8" s="48">
        <f>TRANSICAO!$Z$8*CUSTOS!$P$3</f>
        <v>0</v>
      </c>
      <c r="AA8" s="48">
        <f>TRANSICAO!$AA$8*CUSTOS!$P$3</f>
        <v>0</v>
      </c>
      <c r="AB8" s="48">
        <f>TRANSICAO!$AB$8*CUSTOS!$P$3</f>
        <v>0</v>
      </c>
      <c r="AC8" s="48">
        <f>TRANSICAO!$AC$8*CUSTOS!$P$3</f>
        <v>0</v>
      </c>
      <c r="AD8" s="48">
        <f>TRANSICAO!$AD$8*CUSTOS!$P$3</f>
        <v>0</v>
      </c>
      <c r="AE8" s="48">
        <v>0</v>
      </c>
      <c r="AF8" s="48">
        <v>0</v>
      </c>
      <c r="AG8" s="48"/>
      <c r="AH8" s="48">
        <v>4.4400000000000002E-2</v>
      </c>
      <c r="AI8" s="48">
        <v>0</v>
      </c>
      <c r="AJ8" s="48">
        <f ca="1">$N$67</f>
        <v>0</v>
      </c>
      <c r="AK8" s="48">
        <f t="shared" ca="1" si="0"/>
        <v>0</v>
      </c>
      <c r="AL8" s="48"/>
      <c r="AM8" s="48"/>
      <c r="AP8" s="48">
        <v>1</v>
      </c>
    </row>
    <row r="9" spans="1:42" ht="11.25" customHeight="1" x14ac:dyDescent="0.25">
      <c r="A9" s="109" t="s">
        <v>35</v>
      </c>
      <c r="B9" s="109" t="s">
        <v>36</v>
      </c>
      <c r="C9" s="109" t="s">
        <v>25</v>
      </c>
      <c r="D9" s="109" t="s">
        <v>25</v>
      </c>
      <c r="E9" s="109" t="s">
        <v>25</v>
      </c>
      <c r="F9" s="109" t="s">
        <v>25</v>
      </c>
      <c r="G9" s="52" t="s">
        <v>86</v>
      </c>
      <c r="H9" s="52" t="s">
        <v>85</v>
      </c>
      <c r="I9" s="52">
        <f>'MERCADO TUSD'!$U$6</f>
        <v>151587</v>
      </c>
      <c r="J9" s="15"/>
      <c r="L9" s="48">
        <v>0</v>
      </c>
      <c r="M9" s="48">
        <v>0</v>
      </c>
      <c r="N9" s="48">
        <v>0</v>
      </c>
      <c r="O9" s="48">
        <v>0</v>
      </c>
      <c r="P9" s="48">
        <v>0</v>
      </c>
      <c r="Q9" s="48">
        <v>0</v>
      </c>
      <c r="R9" s="48">
        <v>0</v>
      </c>
      <c r="S9" s="48">
        <v>0</v>
      </c>
      <c r="T9" s="48"/>
      <c r="U9" s="48">
        <f>TRANSICAO!$U$9*CUSTOS!$R$3</f>
        <v>1.4003000000000001</v>
      </c>
      <c r="V9" s="48">
        <f>TRANSICAO!$V$9*CUSTOS!$R$3</f>
        <v>1.1990000000000001</v>
      </c>
      <c r="W9" s="48">
        <f>TRANSICAO!$W$9*CUSTOS!$R$3</f>
        <v>9.6199999999999994E-2</v>
      </c>
      <c r="X9" s="48">
        <f>TRANSICAO!$X$9*CUSTOS!$R$3</f>
        <v>0</v>
      </c>
      <c r="Y9" s="48">
        <f>TRANSICAO!$Y$9*CUSTOS!$R$3</f>
        <v>16.866099999999999</v>
      </c>
      <c r="Z9" s="48">
        <f>TRANSICAO!$Z$9*CUSTOS!$R$3</f>
        <v>0</v>
      </c>
      <c r="AA9" s="48">
        <f>TRANSICAO!$AA$9*CUSTOS!$R$3</f>
        <v>0</v>
      </c>
      <c r="AB9" s="48">
        <f>TRANSICAO!$AB$9*CUSTOS!$R$3</f>
        <v>0</v>
      </c>
      <c r="AC9" s="48">
        <f>TRANSICAO!$AC$9*CUSTOS!$R$3</f>
        <v>68.076700000000002</v>
      </c>
      <c r="AD9" s="48">
        <f>TRANSICAO!$AD$9*CUSTOS!$R$3</f>
        <v>0</v>
      </c>
      <c r="AE9" s="48">
        <v>0</v>
      </c>
      <c r="AF9" s="48">
        <v>0</v>
      </c>
      <c r="AG9" s="48"/>
      <c r="AH9" s="48">
        <v>0</v>
      </c>
      <c r="AI9" s="48">
        <v>0</v>
      </c>
      <c r="AJ9" s="48">
        <v>0</v>
      </c>
      <c r="AK9" s="48">
        <f t="shared" si="0"/>
        <v>0</v>
      </c>
      <c r="AL9" s="48"/>
      <c r="AM9" s="48"/>
      <c r="AP9" s="48">
        <v>1</v>
      </c>
    </row>
    <row r="10" spans="1:42" ht="11.25" customHeight="1" x14ac:dyDescent="0.25">
      <c r="A10" s="109"/>
      <c r="B10" s="109"/>
      <c r="C10" s="109"/>
      <c r="D10" s="109"/>
      <c r="E10" s="109"/>
      <c r="F10" s="109"/>
      <c r="G10" s="52" t="s">
        <v>87</v>
      </c>
      <c r="H10" s="52" t="s">
        <v>85</v>
      </c>
      <c r="I10" s="52">
        <f>'MERCADO TUSD'!$U$7</f>
        <v>195670</v>
      </c>
      <c r="J10" s="15"/>
      <c r="L10" s="48">
        <v>0</v>
      </c>
      <c r="M10" s="48">
        <v>0</v>
      </c>
      <c r="N10" s="48">
        <v>0</v>
      </c>
      <c r="O10" s="48">
        <v>0</v>
      </c>
      <c r="P10" s="48">
        <v>0</v>
      </c>
      <c r="Q10" s="48">
        <v>0</v>
      </c>
      <c r="R10" s="48">
        <v>0</v>
      </c>
      <c r="S10" s="48">
        <v>0</v>
      </c>
      <c r="T10" s="48"/>
      <c r="U10" s="48">
        <f>TRANSICAO!$U$10*CUSTOS!$R$3</f>
        <v>1.4179999999999999</v>
      </c>
      <c r="V10" s="48">
        <f>TRANSICAO!$V$10*CUSTOS!$R$3</f>
        <v>1.0719000000000001</v>
      </c>
      <c r="W10" s="48">
        <f>TRANSICAO!$W$10*CUSTOS!$R$3</f>
        <v>9.5299999999999996E-2</v>
      </c>
      <c r="X10" s="48">
        <f>TRANSICAO!$X$10*CUSTOS!$R$3</f>
        <v>0</v>
      </c>
      <c r="Y10" s="48">
        <f>TRANSICAO!$Y$10*CUSTOS!$R$3</f>
        <v>9.0653000000000006</v>
      </c>
      <c r="Z10" s="48">
        <f>TRANSICAO!$Z$10*CUSTOS!$R$3</f>
        <v>0</v>
      </c>
      <c r="AA10" s="48">
        <f>TRANSICAO!$AA$10*CUSTOS!$R$3</f>
        <v>0</v>
      </c>
      <c r="AB10" s="48">
        <f>TRANSICAO!$AB$10*CUSTOS!$R$3</f>
        <v>0</v>
      </c>
      <c r="AC10" s="48">
        <f>TRANSICAO!$AC$10*CUSTOS!$R$3</f>
        <v>40.428600000000003</v>
      </c>
      <c r="AD10" s="48">
        <f>TRANSICAO!$AD$10*CUSTOS!$R$3</f>
        <v>0</v>
      </c>
      <c r="AE10" s="48">
        <v>0</v>
      </c>
      <c r="AF10" s="48">
        <v>0</v>
      </c>
      <c r="AG10" s="48"/>
      <c r="AH10" s="48">
        <v>0</v>
      </c>
      <c r="AI10" s="48">
        <v>0</v>
      </c>
      <c r="AJ10" s="48">
        <v>0</v>
      </c>
      <c r="AK10" s="48">
        <f t="shared" si="0"/>
        <v>0</v>
      </c>
      <c r="AL10" s="48"/>
      <c r="AM10" s="48"/>
      <c r="AP10" s="48">
        <v>1</v>
      </c>
    </row>
    <row r="11" spans="1:42" ht="11.25" customHeight="1" x14ac:dyDescent="0.25">
      <c r="A11" s="109"/>
      <c r="B11" s="109"/>
      <c r="C11" s="109"/>
      <c r="D11" s="109"/>
      <c r="E11" s="109"/>
      <c r="F11" s="109"/>
      <c r="G11" s="52" t="s">
        <v>88</v>
      </c>
      <c r="H11" s="52" t="s">
        <v>82</v>
      </c>
      <c r="I11" s="52">
        <f>'MERCADO TUSD'!$U$8</f>
        <v>82375.52900000001</v>
      </c>
      <c r="J11" s="15"/>
      <c r="L11" s="48">
        <f>0.84</f>
        <v>0.84</v>
      </c>
      <c r="M11" s="48">
        <f>IF(AND((+$I$11+$I$12+$I$15+$I$16+$I$17+$I$18)&lt;&gt;0,SUMPRODUCT($I$5:$I$55,$AC$5:$AC$55,$AP$5:$AP$55)&lt;&gt;0),$M$60*SUMPRODUCT($I$9:$I$18,$AC$9:$AC$18,$AP$9:$AP$18)/SUMPRODUCT($I$5:$I$55,$AC$5:$AC$55,$AP$5:$AP$55)/(+$I$11+$I$12+$I$15+$I$16+$I$17+$I$18),0)</f>
        <v>1.3793544910598554</v>
      </c>
      <c r="N11" s="48">
        <f ca="1">(+M11+O11+R11+U11+V11+W11+X11+Y11+Z11+AA11+AC11+AH11+AI11+AJ11+AK11)*CUSTOS!$M$5</f>
        <v>1.0746454491059856E-13</v>
      </c>
      <c r="O11" s="48">
        <v>1</v>
      </c>
      <c r="P11" s="48">
        <v>1</v>
      </c>
      <c r="Q11" s="48">
        <f>0.84</f>
        <v>0.84</v>
      </c>
      <c r="R11" s="48">
        <v>1</v>
      </c>
      <c r="S11" s="48">
        <v>1</v>
      </c>
      <c r="T11" s="48"/>
      <c r="U11" s="48">
        <f>TRANSICAO!$U$11*CUSTOS!$R$3</f>
        <v>0</v>
      </c>
      <c r="V11" s="48">
        <f>TRANSICAO!$V$11*CUSTOS!$R$3</f>
        <v>0</v>
      </c>
      <c r="W11" s="48">
        <f>TRANSICAO!$W$11*CUSTOS!$R$3</f>
        <v>0</v>
      </c>
      <c r="X11" s="48">
        <f>TRANSICAO!$X$11*CUSTOS!$R$3</f>
        <v>0</v>
      </c>
      <c r="Y11" s="48">
        <f>TRANSICAO!$Y$11*CUSTOS!$R$3</f>
        <v>0</v>
      </c>
      <c r="Z11" s="48">
        <f>TRANSICAO!$Z$11*CUSTOS!$R$3</f>
        <v>0</v>
      </c>
      <c r="AA11" s="48">
        <f>TRANSICAO!$AA$11*CUSTOS!$R$3</f>
        <v>0</v>
      </c>
      <c r="AB11" s="48">
        <f>TRANSICAO!$AB$11*CUSTOS!$R$3</f>
        <v>0</v>
      </c>
      <c r="AC11" s="48">
        <f>TRANSICAO!$AC$11*CUSTOS!$R$3</f>
        <v>0</v>
      </c>
      <c r="AD11" s="48">
        <f>TRANSICAO!$AD$11*CUSTOS!$R$3</f>
        <v>0</v>
      </c>
      <c r="AE11" s="48">
        <v>0</v>
      </c>
      <c r="AF11" s="48">
        <v>0</v>
      </c>
      <c r="AG11" s="48"/>
      <c r="AH11" s="48">
        <v>7.1653000000000002</v>
      </c>
      <c r="AI11" s="48">
        <v>0.20180000000000001</v>
      </c>
      <c r="AJ11" s="48">
        <f ca="1">$N$68</f>
        <v>0</v>
      </c>
      <c r="AK11" s="48">
        <f t="shared" ca="1" si="0"/>
        <v>0</v>
      </c>
      <c r="AL11" s="48"/>
      <c r="AM11" s="48"/>
      <c r="AP11" s="48">
        <v>1</v>
      </c>
    </row>
    <row r="12" spans="1:42" ht="11.25" customHeight="1" x14ac:dyDescent="0.25">
      <c r="A12" s="109"/>
      <c r="B12" s="109"/>
      <c r="C12" s="109"/>
      <c r="D12" s="109"/>
      <c r="E12" s="51" t="s">
        <v>89</v>
      </c>
      <c r="F12" s="51" t="s">
        <v>25</v>
      </c>
      <c r="G12" s="52" t="s">
        <v>88</v>
      </c>
      <c r="H12" s="52" t="s">
        <v>82</v>
      </c>
      <c r="I12" s="52">
        <f>'MERCADO TUSD'!$U$9</f>
        <v>0</v>
      </c>
      <c r="J12" s="15"/>
      <c r="L12" s="48">
        <v>0</v>
      </c>
      <c r="M12" s="48">
        <f>IF(AND((+$I$11+$I$12+$I$15+$I$16+$I$17+$I$18)&lt;&gt;0,SUMPRODUCT($I$5:$I$55,$AC$5:$AC$55,$AP$5:$AP$55)&lt;&gt;0),$M$60*SUMPRODUCT($I$9:$I$18,$AC$9:$AC$18,$AP$9:$AP$18)/SUMPRODUCT($I$5:$I$55,$AC$5:$AC$55,$AP$5:$AP$55)/(+$I$11+$I$12+$I$15+$I$16+$I$17+$I$18),0)</f>
        <v>1.3793544910598554</v>
      </c>
      <c r="N12" s="48">
        <f ca="1">(+M12+O12+R12+U12+V12+W12+X12+Y12+Z12+AA12+AC12+AH12+AI12+AJ12+AK12)*CUSTOS!$M$5</f>
        <v>9.7464544910598562E-14</v>
      </c>
      <c r="O12" s="48">
        <v>1</v>
      </c>
      <c r="P12" s="48">
        <v>0</v>
      </c>
      <c r="Q12" s="48">
        <v>0</v>
      </c>
      <c r="R12" s="48">
        <v>0</v>
      </c>
      <c r="S12" s="48">
        <v>0</v>
      </c>
      <c r="T12" s="48"/>
      <c r="U12" s="48">
        <f>TRANSICAO!$U$12*CUSTOS!$R$3</f>
        <v>0</v>
      </c>
      <c r="V12" s="48">
        <f>TRANSICAO!$V$12*CUSTOS!$R$3</f>
        <v>0</v>
      </c>
      <c r="W12" s="48">
        <f>TRANSICAO!$W$12*CUSTOS!$R$3</f>
        <v>0</v>
      </c>
      <c r="X12" s="48">
        <f>TRANSICAO!$X$12*CUSTOS!$R$3</f>
        <v>0</v>
      </c>
      <c r="Y12" s="48">
        <f>TRANSICAO!$Y$12*CUSTOS!$R$3</f>
        <v>0</v>
      </c>
      <c r="Z12" s="48">
        <f>TRANSICAO!$Z$12*CUSTOS!$R$3</f>
        <v>0</v>
      </c>
      <c r="AA12" s="48">
        <f>TRANSICAO!$AA$12*CUSTOS!$R$3</f>
        <v>0</v>
      </c>
      <c r="AB12" s="48">
        <f>TRANSICAO!$AB$12*CUSTOS!$R$3</f>
        <v>0</v>
      </c>
      <c r="AC12" s="48">
        <f>TRANSICAO!$AC$12*CUSTOS!$R$3</f>
        <v>0</v>
      </c>
      <c r="AD12" s="48">
        <f>TRANSICAO!$AD$12*CUSTOS!$R$3</f>
        <v>0</v>
      </c>
      <c r="AE12" s="48">
        <v>0</v>
      </c>
      <c r="AF12" s="48">
        <v>0</v>
      </c>
      <c r="AG12" s="48"/>
      <c r="AH12" s="48">
        <v>7.1653000000000002</v>
      </c>
      <c r="AI12" s="48">
        <v>0.20180000000000001</v>
      </c>
      <c r="AJ12" s="48">
        <f ca="1">$N$68</f>
        <v>0</v>
      </c>
      <c r="AK12" s="48">
        <f t="shared" ca="1" si="0"/>
        <v>0</v>
      </c>
      <c r="AL12" s="48"/>
      <c r="AM12" s="48"/>
      <c r="AP12" s="48">
        <v>1</v>
      </c>
    </row>
    <row r="13" spans="1:42" ht="11.25" customHeight="1" x14ac:dyDescent="0.25">
      <c r="A13" s="109"/>
      <c r="B13" s="51" t="s">
        <v>56</v>
      </c>
      <c r="C13" s="51" t="s">
        <v>25</v>
      </c>
      <c r="D13" s="51" t="s">
        <v>25</v>
      </c>
      <c r="E13" s="51" t="s">
        <v>25</v>
      </c>
      <c r="F13" s="51" t="s">
        <v>25</v>
      </c>
      <c r="G13" s="52" t="s">
        <v>9</v>
      </c>
      <c r="H13" s="52" t="s">
        <v>85</v>
      </c>
      <c r="I13" s="52">
        <f>'MERCADO TUSD'!$U$10</f>
        <v>130615</v>
      </c>
      <c r="J13" s="15"/>
      <c r="L13" s="48">
        <v>0</v>
      </c>
      <c r="M13" s="48">
        <v>0.16600000000000001</v>
      </c>
      <c r="N13" s="48">
        <v>0</v>
      </c>
      <c r="O13" s="48">
        <v>0</v>
      </c>
      <c r="P13" s="48">
        <v>0</v>
      </c>
      <c r="Q13" s="48">
        <v>0</v>
      </c>
      <c r="R13" s="48">
        <v>0</v>
      </c>
      <c r="S13" s="48">
        <v>0</v>
      </c>
      <c r="T13" s="48"/>
      <c r="U13" s="48">
        <f>TRANSICAO!$U$13*CUSTOS!$R$4</f>
        <v>0</v>
      </c>
      <c r="V13" s="48">
        <f>TRANSICAO!$V$13*CUSTOS!$R$4</f>
        <v>0</v>
      </c>
      <c r="W13" s="48">
        <f>TRANSICAO!$W$13*CUSTOS!$R$4</f>
        <v>0</v>
      </c>
      <c r="X13" s="48">
        <f>TRANSICAO!$X$13*CUSTOS!$R$4</f>
        <v>0</v>
      </c>
      <c r="Y13" s="48">
        <f>TRANSICAO!$Y$13*CUSTOS!$R$4</f>
        <v>0</v>
      </c>
      <c r="Z13" s="48">
        <f>TRANSICAO!$Z$13*CUSTOS!$R$4</f>
        <v>0</v>
      </c>
      <c r="AA13" s="48">
        <f>TRANSICAO!$AA$13*CUSTOS!$R$4</f>
        <v>0</v>
      </c>
      <c r="AB13" s="48">
        <f>TRANSICAO!$AB$13*CUSTOS!$R$4</f>
        <v>0</v>
      </c>
      <c r="AC13" s="48">
        <f>TRANSICAO!$AC$13*CUSTOS!$R$4</f>
        <v>41.239899999999999</v>
      </c>
      <c r="AD13" s="48">
        <f>TRANSICAO!$AD$13*CUSTOS!$R$4</f>
        <v>0</v>
      </c>
      <c r="AE13" s="48">
        <v>0</v>
      </c>
      <c r="AF13" s="48">
        <v>0</v>
      </c>
      <c r="AG13" s="48"/>
      <c r="AH13" s="48">
        <v>0</v>
      </c>
      <c r="AI13" s="48">
        <v>0</v>
      </c>
      <c r="AJ13" s="48">
        <v>0</v>
      </c>
      <c r="AK13" s="48">
        <f t="shared" si="0"/>
        <v>0</v>
      </c>
      <c r="AL13" s="48"/>
      <c r="AM13" s="48"/>
      <c r="AP13" s="48"/>
    </row>
    <row r="14" spans="1:42" ht="11.25" customHeight="1" x14ac:dyDescent="0.25">
      <c r="A14" s="109"/>
      <c r="B14" s="109" t="s">
        <v>39</v>
      </c>
      <c r="C14" s="109" t="s">
        <v>25</v>
      </c>
      <c r="D14" s="109" t="s">
        <v>25</v>
      </c>
      <c r="E14" s="109" t="s">
        <v>25</v>
      </c>
      <c r="F14" s="109" t="s">
        <v>25</v>
      </c>
      <c r="G14" s="52" t="s">
        <v>9</v>
      </c>
      <c r="H14" s="52" t="s">
        <v>85</v>
      </c>
      <c r="I14" s="52">
        <f>'MERCADO TUSD'!$U$11</f>
        <v>986883</v>
      </c>
      <c r="J14" s="15"/>
      <c r="L14" s="48">
        <v>0</v>
      </c>
      <c r="M14" s="48">
        <v>0</v>
      </c>
      <c r="N14" s="48">
        <v>0</v>
      </c>
      <c r="O14" s="48">
        <v>0</v>
      </c>
      <c r="P14" s="48">
        <v>0</v>
      </c>
      <c r="Q14" s="48">
        <v>0</v>
      </c>
      <c r="R14" s="48">
        <v>0</v>
      </c>
      <c r="S14" s="48">
        <v>0</v>
      </c>
      <c r="T14" s="48"/>
      <c r="U14" s="48">
        <f>TRANSICAO!$U$14*CUSTOS!$R$3</f>
        <v>1.4179999999999999</v>
      </c>
      <c r="V14" s="48">
        <f>TRANSICAO!$V$14*CUSTOS!$R$3</f>
        <v>1.0719000000000001</v>
      </c>
      <c r="W14" s="48">
        <f>TRANSICAO!$W$14*CUSTOS!$R$3</f>
        <v>9.5299999999999996E-2</v>
      </c>
      <c r="X14" s="48">
        <f>TRANSICAO!$X$14*CUSTOS!$R$3</f>
        <v>0</v>
      </c>
      <c r="Y14" s="48">
        <f>TRANSICAO!$Y$14*CUSTOS!$R$3</f>
        <v>9.0653000000000006</v>
      </c>
      <c r="Z14" s="48">
        <f>TRANSICAO!$Z$14*CUSTOS!$R$3</f>
        <v>0</v>
      </c>
      <c r="AA14" s="48">
        <f>TRANSICAO!$AA$14*CUSTOS!$R$3</f>
        <v>0</v>
      </c>
      <c r="AB14" s="48">
        <f>TRANSICAO!$AB$14*CUSTOS!$R$3</f>
        <v>0</v>
      </c>
      <c r="AC14" s="48">
        <f>TRANSICAO!$AC$14*CUSTOS!$R$3</f>
        <v>40.428600000000003</v>
      </c>
      <c r="AD14" s="48">
        <f>TRANSICAO!$AD$14*CUSTOS!$R$3</f>
        <v>0</v>
      </c>
      <c r="AE14" s="48">
        <v>0</v>
      </c>
      <c r="AF14" s="48">
        <v>0</v>
      </c>
      <c r="AG14" s="48"/>
      <c r="AH14" s="48">
        <v>0</v>
      </c>
      <c r="AI14" s="48">
        <v>0</v>
      </c>
      <c r="AJ14" s="48">
        <v>0</v>
      </c>
      <c r="AK14" s="48">
        <f t="shared" si="0"/>
        <v>0</v>
      </c>
      <c r="AL14" s="48"/>
      <c r="AM14" s="48"/>
      <c r="AP14" s="48">
        <v>1</v>
      </c>
    </row>
    <row r="15" spans="1:42" ht="11.25" customHeight="1" x14ac:dyDescent="0.25">
      <c r="A15" s="109"/>
      <c r="B15" s="109"/>
      <c r="C15" s="109"/>
      <c r="D15" s="109"/>
      <c r="E15" s="109"/>
      <c r="F15" s="109"/>
      <c r="G15" s="52" t="s">
        <v>83</v>
      </c>
      <c r="H15" s="52" t="s">
        <v>82</v>
      </c>
      <c r="I15" s="52">
        <f>'MERCADO TUSD'!$U$12</f>
        <v>8416.530999999999</v>
      </c>
      <c r="J15" s="15"/>
      <c r="L15" s="48">
        <f>0.84</f>
        <v>0.84</v>
      </c>
      <c r="M15" s="48">
        <f>IF(AND((+$I$11+$I$12+$I$15+$I$16+$I$17+$I$18)&lt;&gt;0,SUMPRODUCT($I$5:$I$55,$AC$5:$AC$55,$AP$5:$AP$55)&lt;&gt;0),$M$60*SUMPRODUCT($I$9:$I$18,$AC$9:$AC$18,$AP$9:$AP$18)/SUMPRODUCT($I$5:$I$55,$AC$5:$AC$55,$AP$5:$AP$55)/(+$I$11+$I$12+$I$15+$I$16+$I$17+$I$18),0)</f>
        <v>1.3793544910598554</v>
      </c>
      <c r="N15" s="48">
        <f ca="1">(+M15+O15+R15+U15+V15+W15+X15+Y15+Z15+AA15+AC15+AH15+AI15+AJ15+AK15)*CUSTOS!$M$5</f>
        <v>2.1184487544910599E-11</v>
      </c>
      <c r="O15" s="48">
        <v>1</v>
      </c>
      <c r="P15" s="48">
        <v>1</v>
      </c>
      <c r="Q15" s="48">
        <f>0.84</f>
        <v>0.84</v>
      </c>
      <c r="R15" s="48">
        <v>1</v>
      </c>
      <c r="S15" s="48">
        <v>1</v>
      </c>
      <c r="T15" s="48"/>
      <c r="U15" s="48">
        <f>TRANSICAO!$U$15*CUSTOS!$R$3</f>
        <v>33.6768</v>
      </c>
      <c r="V15" s="48">
        <f>TRANSICAO!$V$15*CUSTOS!$R$3</f>
        <v>28.837700000000002</v>
      </c>
      <c r="W15" s="48">
        <f>TRANSICAO!$W$15*CUSTOS!$R$3</f>
        <v>2.3125</v>
      </c>
      <c r="X15" s="48">
        <f>TRANSICAO!$X$15*CUSTOS!$R$3</f>
        <v>0</v>
      </c>
      <c r="Y15" s="48">
        <f>TRANSICAO!$Y$15*CUSTOS!$R$3</f>
        <v>405.62990000000002</v>
      </c>
      <c r="Z15" s="48">
        <f>TRANSICAO!$Z$15*CUSTOS!$R$3</f>
        <v>0</v>
      </c>
      <c r="AA15" s="48">
        <f>TRANSICAO!$AA$15*CUSTOS!$R$3</f>
        <v>0</v>
      </c>
      <c r="AB15" s="48">
        <f>TRANSICAO!$AB$15*CUSTOS!$R$3</f>
        <v>0</v>
      </c>
      <c r="AC15" s="48">
        <f>TRANSICAO!$AC$15*CUSTOS!$R$3</f>
        <v>1637.2454</v>
      </c>
      <c r="AD15" s="48">
        <f>TRANSICAO!$AD$15*CUSTOS!$R$3</f>
        <v>0</v>
      </c>
      <c r="AE15" s="48">
        <v>0</v>
      </c>
      <c r="AF15" s="48">
        <v>0</v>
      </c>
      <c r="AG15" s="48"/>
      <c r="AH15" s="48">
        <v>7.1653000000000002</v>
      </c>
      <c r="AI15" s="48">
        <v>0.20180000000000001</v>
      </c>
      <c r="AJ15" s="48">
        <f ca="1">$N$68</f>
        <v>0</v>
      </c>
      <c r="AK15" s="48">
        <f t="shared" ca="1" si="0"/>
        <v>0</v>
      </c>
      <c r="AL15" s="48"/>
      <c r="AM15" s="48"/>
      <c r="AP15" s="48">
        <v>1</v>
      </c>
    </row>
    <row r="16" spans="1:42" ht="11.25" customHeight="1" x14ac:dyDescent="0.25">
      <c r="A16" s="109"/>
      <c r="B16" s="109"/>
      <c r="C16" s="109"/>
      <c r="D16" s="109"/>
      <c r="E16" s="109"/>
      <c r="F16" s="109"/>
      <c r="G16" s="52" t="s">
        <v>84</v>
      </c>
      <c r="H16" s="52" t="s">
        <v>82</v>
      </c>
      <c r="I16" s="52">
        <f>'MERCADO TUSD'!$U$13</f>
        <v>160452.66800000001</v>
      </c>
      <c r="J16" s="15"/>
      <c r="L16" s="48">
        <f>0.84</f>
        <v>0.84</v>
      </c>
      <c r="M16" s="48">
        <f>IF(AND((+$I$11+$I$12+$I$15+$I$16+$I$17+$I$18)&lt;&gt;0,SUMPRODUCT($I$5:$I$55,$AC$5:$AC$55,$AP$5:$AP$55)&lt;&gt;0),$M$60*SUMPRODUCT($I$9:$I$18,$AC$9:$AC$18,$AP$9:$AP$18)/SUMPRODUCT($I$5:$I$55,$AC$5:$AC$55,$AP$5:$AP$55)/(+$I$11+$I$12+$I$15+$I$16+$I$17+$I$18),0)</f>
        <v>1.3793544910598554</v>
      </c>
      <c r="N16" s="48">
        <f ca="1">(+M16+O16+R16+U16+V16+W16+X16+Y16+Z16+AA16+AC16+AH16+AI16+AJ16+AK16)*CUSTOS!$M$5</f>
        <v>1.0746454491059856E-13</v>
      </c>
      <c r="O16" s="48">
        <v>1</v>
      </c>
      <c r="P16" s="48">
        <v>1</v>
      </c>
      <c r="Q16" s="48">
        <f>0.84</f>
        <v>0.84</v>
      </c>
      <c r="R16" s="48">
        <v>1</v>
      </c>
      <c r="S16" s="48">
        <v>1</v>
      </c>
      <c r="T16" s="48"/>
      <c r="U16" s="48">
        <f>TRANSICAO!$U$16*CUSTOS!$R$3</f>
        <v>0</v>
      </c>
      <c r="V16" s="48">
        <f>TRANSICAO!$V$16*CUSTOS!$R$3</f>
        <v>0</v>
      </c>
      <c r="W16" s="48">
        <f>TRANSICAO!$W$16*CUSTOS!$R$3</f>
        <v>0</v>
      </c>
      <c r="X16" s="48">
        <f>TRANSICAO!$X$16*CUSTOS!$R$3</f>
        <v>0</v>
      </c>
      <c r="Y16" s="48">
        <f>TRANSICAO!$Y$16*CUSTOS!$R$3</f>
        <v>0</v>
      </c>
      <c r="Z16" s="48">
        <f>TRANSICAO!$Z$16*CUSTOS!$R$3</f>
        <v>0</v>
      </c>
      <c r="AA16" s="48">
        <f>TRANSICAO!$AA$16*CUSTOS!$R$3</f>
        <v>0</v>
      </c>
      <c r="AB16" s="48">
        <f>TRANSICAO!$AB$16*CUSTOS!$R$3</f>
        <v>0</v>
      </c>
      <c r="AC16" s="48">
        <f>TRANSICAO!$AC$16*CUSTOS!$R$3</f>
        <v>0</v>
      </c>
      <c r="AD16" s="48">
        <f>TRANSICAO!$AD$16*CUSTOS!$R$3</f>
        <v>0</v>
      </c>
      <c r="AE16" s="48">
        <v>0</v>
      </c>
      <c r="AF16" s="48">
        <v>0</v>
      </c>
      <c r="AG16" s="48"/>
      <c r="AH16" s="48">
        <v>7.1653000000000002</v>
      </c>
      <c r="AI16" s="48">
        <v>0.20180000000000001</v>
      </c>
      <c r="AJ16" s="48">
        <f ca="1">$N$68</f>
        <v>0</v>
      </c>
      <c r="AK16" s="48">
        <f t="shared" ca="1" si="0"/>
        <v>0</v>
      </c>
      <c r="AL16" s="48"/>
      <c r="AM16" s="48"/>
      <c r="AP16" s="48">
        <v>1</v>
      </c>
    </row>
    <row r="17" spans="1:42" ht="11.25" customHeight="1" x14ac:dyDescent="0.25">
      <c r="A17" s="109"/>
      <c r="B17" s="109"/>
      <c r="C17" s="109"/>
      <c r="D17" s="109"/>
      <c r="E17" s="109" t="s">
        <v>89</v>
      </c>
      <c r="F17" s="109" t="s">
        <v>25</v>
      </c>
      <c r="G17" s="52" t="s">
        <v>83</v>
      </c>
      <c r="H17" s="52" t="s">
        <v>82</v>
      </c>
      <c r="I17" s="52">
        <f>'MERCADO TUSD'!$U$14</f>
        <v>0</v>
      </c>
      <c r="J17" s="15"/>
      <c r="L17" s="48">
        <v>0</v>
      </c>
      <c r="M17" s="48">
        <f>IF(AND((+$I$11+$I$12+$I$15+$I$16+$I$17+$I$18)&lt;&gt;0,SUMPRODUCT($I$5:$I$55,$AC$5:$AC$55,$AP$5:$AP$55)&lt;&gt;0),$M$60*SUMPRODUCT($I$9:$I$18,$AC$9:$AC$18,$AP$9:$AP$18)/SUMPRODUCT($I$5:$I$55,$AC$5:$AC$55,$AP$5:$AP$55)/(+$I$11+$I$12+$I$15+$I$16+$I$17+$I$18),0)</f>
        <v>1.3793544910598554</v>
      </c>
      <c r="N17" s="48">
        <f ca="1">(+M17+O17+R17+U17+V17+W17+X17+Y17+Z17+AA17+AC17+AH17+AI17+AJ17+AK17)*CUSTOS!$M$5</f>
        <v>2.1174487544910597E-11</v>
      </c>
      <c r="O17" s="48">
        <v>1</v>
      </c>
      <c r="P17" s="48">
        <v>0</v>
      </c>
      <c r="Q17" s="48">
        <v>0</v>
      </c>
      <c r="R17" s="48">
        <v>0</v>
      </c>
      <c r="S17" s="48">
        <v>0</v>
      </c>
      <c r="T17" s="48"/>
      <c r="U17" s="48">
        <f>TRANSICAO!$U$17*CUSTOS!$R$3</f>
        <v>33.6768</v>
      </c>
      <c r="V17" s="48">
        <f>TRANSICAO!$V$17*CUSTOS!$R$3</f>
        <v>28.837700000000002</v>
      </c>
      <c r="W17" s="48">
        <f>TRANSICAO!$W$17*CUSTOS!$R$3</f>
        <v>2.3125</v>
      </c>
      <c r="X17" s="48">
        <f>TRANSICAO!$X$17*CUSTOS!$R$3</f>
        <v>0</v>
      </c>
      <c r="Y17" s="48">
        <f>TRANSICAO!$Y$17*CUSTOS!$R$3</f>
        <v>405.62990000000002</v>
      </c>
      <c r="Z17" s="48">
        <f>TRANSICAO!$Z$17*CUSTOS!$R$3</f>
        <v>0</v>
      </c>
      <c r="AA17" s="48">
        <f>TRANSICAO!$AA$17*CUSTOS!$R$3</f>
        <v>0</v>
      </c>
      <c r="AB17" s="48">
        <f>TRANSICAO!$AB$17*CUSTOS!$R$3</f>
        <v>0</v>
      </c>
      <c r="AC17" s="48">
        <f>TRANSICAO!$AC$17*CUSTOS!$R$3</f>
        <v>1637.2454</v>
      </c>
      <c r="AD17" s="48">
        <f>TRANSICAO!$AD$17*CUSTOS!$R$3</f>
        <v>0</v>
      </c>
      <c r="AE17" s="48">
        <v>0</v>
      </c>
      <c r="AF17" s="48">
        <v>0</v>
      </c>
      <c r="AG17" s="48"/>
      <c r="AH17" s="48">
        <v>7.1653000000000002</v>
      </c>
      <c r="AI17" s="48">
        <v>0.20180000000000001</v>
      </c>
      <c r="AJ17" s="48">
        <f ca="1">$N$68</f>
        <v>0</v>
      </c>
      <c r="AK17" s="48">
        <f t="shared" ca="1" si="0"/>
        <v>0</v>
      </c>
      <c r="AL17" s="48"/>
      <c r="AM17" s="48"/>
      <c r="AP17" s="48">
        <v>1</v>
      </c>
    </row>
    <row r="18" spans="1:42" ht="11.25" customHeight="1" x14ac:dyDescent="0.25">
      <c r="A18" s="109"/>
      <c r="B18" s="109"/>
      <c r="C18" s="109"/>
      <c r="D18" s="109"/>
      <c r="E18" s="109"/>
      <c r="F18" s="109"/>
      <c r="G18" s="52" t="s">
        <v>84</v>
      </c>
      <c r="H18" s="52" t="s">
        <v>82</v>
      </c>
      <c r="I18" s="52">
        <f>'MERCADO TUSD'!$U$15</f>
        <v>0</v>
      </c>
      <c r="J18" s="15"/>
      <c r="L18" s="48">
        <v>0</v>
      </c>
      <c r="M18" s="48">
        <f>IF(AND((+$I$11+$I$12+$I$15+$I$16+$I$17+$I$18)&lt;&gt;0,SUMPRODUCT($I$5:$I$55,$AC$5:$AC$55,$AP$5:$AP$55)&lt;&gt;0),$M$60*SUMPRODUCT($I$9:$I$18,$AC$9:$AC$18,$AP$9:$AP$18)/SUMPRODUCT($I$5:$I$55,$AC$5:$AC$55,$AP$5:$AP$55)/(+$I$11+$I$12+$I$15+$I$16+$I$17+$I$18),0)</f>
        <v>1.3793544910598554</v>
      </c>
      <c r="N18" s="48">
        <f ca="1">(+M18+O18+R18+U18+V18+W18+X18+Y18+Z18+AA18+AC18+AH18+AI18+AJ18+AK18)*CUSTOS!$M$5</f>
        <v>9.7464544910598562E-14</v>
      </c>
      <c r="O18" s="48">
        <v>1</v>
      </c>
      <c r="P18" s="48">
        <v>0</v>
      </c>
      <c r="Q18" s="48">
        <v>0</v>
      </c>
      <c r="R18" s="48">
        <v>0</v>
      </c>
      <c r="S18" s="48">
        <v>0</v>
      </c>
      <c r="T18" s="48"/>
      <c r="U18" s="48">
        <f>TRANSICAO!$U$18*CUSTOS!$R$3</f>
        <v>0</v>
      </c>
      <c r="V18" s="48">
        <f>TRANSICAO!$V$18*CUSTOS!$R$3</f>
        <v>0</v>
      </c>
      <c r="W18" s="48">
        <f>TRANSICAO!$W$18*CUSTOS!$R$3</f>
        <v>0</v>
      </c>
      <c r="X18" s="48">
        <f>TRANSICAO!$X$18*CUSTOS!$R$3</f>
        <v>0</v>
      </c>
      <c r="Y18" s="48">
        <f>TRANSICAO!$Y$18*CUSTOS!$R$3</f>
        <v>0</v>
      </c>
      <c r="Z18" s="48">
        <f>TRANSICAO!$Z$18*CUSTOS!$R$3</f>
        <v>0</v>
      </c>
      <c r="AA18" s="48">
        <f>TRANSICAO!$AA$18*CUSTOS!$R$3</f>
        <v>0</v>
      </c>
      <c r="AB18" s="48">
        <f>TRANSICAO!$AB$18*CUSTOS!$R$3</f>
        <v>0</v>
      </c>
      <c r="AC18" s="48">
        <f>TRANSICAO!$AC$18*CUSTOS!$R$3</f>
        <v>0</v>
      </c>
      <c r="AD18" s="48">
        <f>TRANSICAO!$AD$18*CUSTOS!$R$3</f>
        <v>0</v>
      </c>
      <c r="AE18" s="48">
        <v>0</v>
      </c>
      <c r="AF18" s="48">
        <v>0</v>
      </c>
      <c r="AG18" s="48"/>
      <c r="AH18" s="48">
        <v>7.1653000000000002</v>
      </c>
      <c r="AI18" s="48">
        <v>0.20180000000000001</v>
      </c>
      <c r="AJ18" s="48">
        <f ca="1">$N$68</f>
        <v>0</v>
      </c>
      <c r="AK18" s="48">
        <f t="shared" ca="1" si="0"/>
        <v>0</v>
      </c>
      <c r="AL18" s="48"/>
      <c r="AM18" s="48"/>
      <c r="AP18" s="48">
        <v>1</v>
      </c>
    </row>
    <row r="19" spans="1:42" ht="11.25" customHeight="1" x14ac:dyDescent="0.25">
      <c r="A19" s="109" t="s">
        <v>91</v>
      </c>
      <c r="B19" s="109" t="s">
        <v>56</v>
      </c>
      <c r="C19" s="109" t="s">
        <v>25</v>
      </c>
      <c r="D19" s="109" t="s">
        <v>25</v>
      </c>
      <c r="E19" s="51" t="s">
        <v>92</v>
      </c>
      <c r="F19" s="51" t="s">
        <v>25</v>
      </c>
      <c r="G19" s="52" t="s">
        <v>9</v>
      </c>
      <c r="H19" s="52" t="s">
        <v>85</v>
      </c>
      <c r="I19" s="52">
        <f>'MERCADO TUSD'!$U$16+0.00000001</f>
        <v>1E-8</v>
      </c>
      <c r="J19" s="15"/>
      <c r="L19" s="48">
        <v>0</v>
      </c>
      <c r="M19" s="48">
        <v>1.66E-2</v>
      </c>
      <c r="N19" s="48">
        <v>0</v>
      </c>
      <c r="O19" s="48">
        <v>0</v>
      </c>
      <c r="P19" s="48">
        <v>0</v>
      </c>
      <c r="Q19" s="48">
        <v>0</v>
      </c>
      <c r="R19" s="48">
        <v>0</v>
      </c>
      <c r="S19" s="48">
        <v>0</v>
      </c>
      <c r="T19" s="48"/>
      <c r="U19" s="48">
        <f>TRANSICAO!$U$19*CUSTOS!$T$4</f>
        <v>0</v>
      </c>
      <c r="V19" s="48">
        <f>TRANSICAO!$V$19*CUSTOS!$T$4</f>
        <v>0</v>
      </c>
      <c r="W19" s="48">
        <f>TRANSICAO!$W$19*CUSTOS!$T$4</f>
        <v>0</v>
      </c>
      <c r="X19" s="48">
        <f>TRANSICAO!$X$19*CUSTOS!$T$4</f>
        <v>0</v>
      </c>
      <c r="Y19" s="48">
        <f>TRANSICAO!$Y$19*CUSTOS!$T$4</f>
        <v>0</v>
      </c>
      <c r="Z19" s="48">
        <f>TRANSICAO!$Z$19*CUSTOS!$T$4</f>
        <v>0</v>
      </c>
      <c r="AA19" s="48">
        <f>TRANSICAO!$AA$19*CUSTOS!$T$4</f>
        <v>0</v>
      </c>
      <c r="AB19" s="48">
        <f>TRANSICAO!$AB$19*CUSTOS!$T$4</f>
        <v>0</v>
      </c>
      <c r="AC19" s="48">
        <f>TRANSICAO!$AC$19*CUSTOS!$T$4</f>
        <v>4.1242000000000001</v>
      </c>
      <c r="AD19" s="48">
        <f>TRANSICAO!$AD$19*CUSTOS!$T$4</f>
        <v>0</v>
      </c>
      <c r="AE19" s="48">
        <v>0</v>
      </c>
      <c r="AF19" s="48">
        <v>0</v>
      </c>
      <c r="AG19" s="48"/>
      <c r="AH19" s="48">
        <v>0</v>
      </c>
      <c r="AI19" s="48">
        <v>0</v>
      </c>
      <c r="AJ19" s="48">
        <v>0</v>
      </c>
      <c r="AK19" s="48">
        <f t="shared" si="0"/>
        <v>0</v>
      </c>
      <c r="AL19" s="48"/>
      <c r="AM19" s="48"/>
      <c r="AP19" s="48"/>
    </row>
    <row r="20" spans="1:42" ht="11.25" customHeight="1" x14ac:dyDescent="0.25">
      <c r="A20" s="109"/>
      <c r="B20" s="109"/>
      <c r="C20" s="109"/>
      <c r="D20" s="109"/>
      <c r="E20" s="51" t="s">
        <v>93</v>
      </c>
      <c r="F20" s="51" t="s">
        <v>25</v>
      </c>
      <c r="G20" s="52" t="s">
        <v>9</v>
      </c>
      <c r="H20" s="52" t="s">
        <v>85</v>
      </c>
      <c r="I20" s="52">
        <f>'MERCADO TUSD'!$U$17+0.00000001</f>
        <v>1E-8</v>
      </c>
      <c r="J20" s="15"/>
      <c r="L20" s="48">
        <v>0</v>
      </c>
      <c r="M20" s="48">
        <v>1.66E-2</v>
      </c>
      <c r="N20" s="48">
        <v>0</v>
      </c>
      <c r="O20" s="48">
        <v>0</v>
      </c>
      <c r="P20" s="48">
        <v>0</v>
      </c>
      <c r="Q20" s="48">
        <v>0</v>
      </c>
      <c r="R20" s="48">
        <v>0</v>
      </c>
      <c r="S20" s="48">
        <v>0</v>
      </c>
      <c r="T20" s="48"/>
      <c r="U20" s="48">
        <f>TRANSICAO!$U$20*CUSTOS!$T$4</f>
        <v>0</v>
      </c>
      <c r="V20" s="48">
        <f>TRANSICAO!$V$20*CUSTOS!$T$4</f>
        <v>0</v>
      </c>
      <c r="W20" s="48">
        <f>TRANSICAO!$W$20*CUSTOS!$T$4</f>
        <v>0</v>
      </c>
      <c r="X20" s="48">
        <f>TRANSICAO!$X$20*CUSTOS!$T$4</f>
        <v>0</v>
      </c>
      <c r="Y20" s="48">
        <f>TRANSICAO!$Y$20*CUSTOS!$T$4</f>
        <v>0</v>
      </c>
      <c r="Z20" s="48">
        <f>TRANSICAO!$Z$20*CUSTOS!$T$4</f>
        <v>0</v>
      </c>
      <c r="AA20" s="48">
        <f>TRANSICAO!$AA$20*CUSTOS!$T$4</f>
        <v>0</v>
      </c>
      <c r="AB20" s="48">
        <f>TRANSICAO!$AB$20*CUSTOS!$T$4</f>
        <v>0</v>
      </c>
      <c r="AC20" s="48">
        <f>TRANSICAO!$AC$20*CUSTOS!$T$4</f>
        <v>16.306899999999999</v>
      </c>
      <c r="AD20" s="48">
        <f>TRANSICAO!$AD$20*CUSTOS!$T$4</f>
        <v>0</v>
      </c>
      <c r="AE20" s="48">
        <v>0</v>
      </c>
      <c r="AF20" s="48">
        <v>0</v>
      </c>
      <c r="AG20" s="48"/>
      <c r="AH20" s="48">
        <v>0</v>
      </c>
      <c r="AI20" s="48">
        <v>0</v>
      </c>
      <c r="AJ20" s="48">
        <v>0</v>
      </c>
      <c r="AK20" s="48">
        <f t="shared" si="0"/>
        <v>0</v>
      </c>
      <c r="AL20" s="48"/>
      <c r="AM20" s="48"/>
      <c r="AP20" s="48"/>
    </row>
    <row r="21" spans="1:42" ht="11.25" customHeight="1" x14ac:dyDescent="0.25">
      <c r="A21" s="109" t="s">
        <v>22</v>
      </c>
      <c r="B21" s="109" t="s">
        <v>95</v>
      </c>
      <c r="C21" s="109" t="s">
        <v>24</v>
      </c>
      <c r="D21" s="109" t="s">
        <v>24</v>
      </c>
      <c r="E21" s="109" t="s">
        <v>25</v>
      </c>
      <c r="F21" s="109" t="s">
        <v>25</v>
      </c>
      <c r="G21" s="52" t="s">
        <v>83</v>
      </c>
      <c r="H21" s="52" t="s">
        <v>82</v>
      </c>
      <c r="I21" s="52">
        <f>'MERCADO TUSD'!$U$18</f>
        <v>0</v>
      </c>
      <c r="J21" s="15"/>
      <c r="L21" s="48">
        <f>1</f>
        <v>1</v>
      </c>
      <c r="M21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</f>
        <v>0.91019297567338175</v>
      </c>
      <c r="N21" s="48">
        <f ca="1">(+M21+O21+R21+U21+V21+W21+X21+Y21+Z21+AA21+AC21+AH21+AI21+AJ21+AK21)*CUSTOS!$M$5</f>
        <v>6.4084359297567334E-12</v>
      </c>
      <c r="O21" s="48">
        <v>1</v>
      </c>
      <c r="P21" s="48">
        <v>1</v>
      </c>
      <c r="Q21" s="48">
        <f>1</f>
        <v>1</v>
      </c>
      <c r="R21" s="48">
        <v>1</v>
      </c>
      <c r="S21" s="48">
        <v>1</v>
      </c>
      <c r="T21" s="48"/>
      <c r="U21" s="48">
        <f>TRANSICAO!$U$21*CUSTOS!$T$3</f>
        <v>17.702300000000001</v>
      </c>
      <c r="V21" s="48">
        <f>TRANSICAO!$V$21*CUSTOS!$T$3</f>
        <v>14.392200000000001</v>
      </c>
      <c r="W21" s="48">
        <f>TRANSICAO!$W$21*CUSTOS!$T$3</f>
        <v>1.2041999999999999</v>
      </c>
      <c r="X21" s="48">
        <f>TRANSICAO!$X$21*CUSTOS!$T$3</f>
        <v>0</v>
      </c>
      <c r="Y21" s="48">
        <f>TRANSICAO!$Y$21*CUSTOS!$T$3</f>
        <v>157.38509999999999</v>
      </c>
      <c r="Z21" s="48">
        <f>TRANSICAO!$Z$21*CUSTOS!$T$3</f>
        <v>0</v>
      </c>
      <c r="AA21" s="48">
        <f>TRANSICAO!$AA$21*CUSTOS!$T$3</f>
        <v>0</v>
      </c>
      <c r="AB21" s="48">
        <f>TRANSICAO!$AB$21*CUSTOS!$T$3</f>
        <v>0</v>
      </c>
      <c r="AC21" s="48">
        <f>TRANSICAO!$AC$21*CUSTOS!$T$3</f>
        <v>430.60129999999998</v>
      </c>
      <c r="AD21" s="48">
        <f>TRANSICAO!$AD$21*CUSTOS!$T$3</f>
        <v>0</v>
      </c>
      <c r="AE21" s="48">
        <v>0</v>
      </c>
      <c r="AF21" s="48">
        <v>0</v>
      </c>
      <c r="AG21" s="48"/>
      <c r="AH21" s="48">
        <v>16.1922</v>
      </c>
      <c r="AI21" s="48">
        <v>0.45610000000000001</v>
      </c>
      <c r="AJ21" s="48">
        <f ca="1">$N$69</f>
        <v>0</v>
      </c>
      <c r="AK21" s="48">
        <f t="shared" ca="1" si="0"/>
        <v>0</v>
      </c>
      <c r="AL21" s="48"/>
      <c r="AM21" s="48"/>
      <c r="AP21" s="48">
        <v>1</v>
      </c>
    </row>
    <row r="22" spans="1:42" ht="11.25" customHeight="1" x14ac:dyDescent="0.25">
      <c r="A22" s="109"/>
      <c r="B22" s="109"/>
      <c r="C22" s="109"/>
      <c r="D22" s="109"/>
      <c r="E22" s="109"/>
      <c r="F22" s="109"/>
      <c r="G22" s="52" t="s">
        <v>94</v>
      </c>
      <c r="H22" s="52" t="s">
        <v>82</v>
      </c>
      <c r="I22" s="52">
        <f>'MERCADO TUSD'!$U$19</f>
        <v>0</v>
      </c>
      <c r="J22" s="15"/>
      <c r="L22" s="48">
        <f>1</f>
        <v>1</v>
      </c>
      <c r="M22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</f>
        <v>0.91019297567338175</v>
      </c>
      <c r="N22" s="48">
        <f ca="1">(+M22+O22+R22+U22+V22+W22+X22+Y22+Z22+AA22+AC22+AH22+AI22+AJ22+AK22)*CUSTOS!$M$5</f>
        <v>6.0977949297567332E-12</v>
      </c>
      <c r="O22" s="48">
        <v>1</v>
      </c>
      <c r="P22" s="48">
        <v>1</v>
      </c>
      <c r="Q22" s="48">
        <f>1</f>
        <v>1</v>
      </c>
      <c r="R22" s="48">
        <v>1</v>
      </c>
      <c r="S22" s="48">
        <v>1</v>
      </c>
      <c r="T22" s="48"/>
      <c r="U22" s="48">
        <f>TRANSICAO!$U$22*CUSTOS!$T$3</f>
        <v>16.8172</v>
      </c>
      <c r="V22" s="48">
        <f>TRANSICAO!$V$22*CUSTOS!$T$3</f>
        <v>13.672599999999999</v>
      </c>
      <c r="W22" s="48">
        <f>TRANSICAO!$W$22*CUSTOS!$T$3</f>
        <v>1.1440999999999999</v>
      </c>
      <c r="X22" s="48">
        <f>TRANSICAO!$X$22*CUSTOS!$T$3</f>
        <v>0</v>
      </c>
      <c r="Y22" s="48">
        <f>TRANSICAO!$Y$22*CUSTOS!$T$3</f>
        <v>149.51589999999999</v>
      </c>
      <c r="Z22" s="48">
        <f>TRANSICAO!$Z$22*CUSTOS!$T$3</f>
        <v>0</v>
      </c>
      <c r="AA22" s="48">
        <f>TRANSICAO!$AA$22*CUSTOS!$T$3</f>
        <v>0</v>
      </c>
      <c r="AB22" s="48">
        <f>TRANSICAO!$AB$22*CUSTOS!$T$3</f>
        <v>0</v>
      </c>
      <c r="AC22" s="48">
        <f>TRANSICAO!$AC$22*CUSTOS!$T$3</f>
        <v>409.07119999999998</v>
      </c>
      <c r="AD22" s="48">
        <f>TRANSICAO!$AD$22*CUSTOS!$T$3</f>
        <v>0</v>
      </c>
      <c r="AE22" s="48">
        <v>0</v>
      </c>
      <c r="AF22" s="48">
        <v>0</v>
      </c>
      <c r="AG22" s="48"/>
      <c r="AH22" s="48">
        <v>16.1922</v>
      </c>
      <c r="AI22" s="48">
        <v>0.45610000000000001</v>
      </c>
      <c r="AJ22" s="48">
        <f ca="1">$N$69</f>
        <v>0</v>
      </c>
      <c r="AK22" s="48">
        <f t="shared" ca="1" si="0"/>
        <v>0</v>
      </c>
      <c r="AL22" s="48"/>
      <c r="AM22" s="48"/>
      <c r="AP22" s="48">
        <v>1</v>
      </c>
    </row>
    <row r="23" spans="1:42" ht="11.25" customHeight="1" x14ac:dyDescent="0.25">
      <c r="A23" s="109"/>
      <c r="B23" s="109"/>
      <c r="C23" s="109"/>
      <c r="D23" s="109"/>
      <c r="E23" s="109"/>
      <c r="F23" s="109"/>
      <c r="G23" s="52" t="s">
        <v>84</v>
      </c>
      <c r="H23" s="52" t="s">
        <v>82</v>
      </c>
      <c r="I23" s="52">
        <f>'MERCADO TUSD'!$U$20</f>
        <v>0</v>
      </c>
      <c r="J23" s="15"/>
      <c r="L23" s="48">
        <f>1</f>
        <v>1</v>
      </c>
      <c r="M23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</f>
        <v>0.91019297567338175</v>
      </c>
      <c r="N23" s="48">
        <f ca="1">(+M23+O23+R23+U23+V23+W23+X23+Y23+Z23+AA23+AC23+AH23+AI23+AJ23+AK23)*CUSTOS!$M$5</f>
        <v>2.2665339297567339E-12</v>
      </c>
      <c r="O23" s="48">
        <v>1</v>
      </c>
      <c r="P23" s="48">
        <v>1</v>
      </c>
      <c r="Q23" s="48">
        <f>1</f>
        <v>1</v>
      </c>
      <c r="R23" s="48">
        <v>1</v>
      </c>
      <c r="S23" s="48">
        <v>1</v>
      </c>
      <c r="T23" s="48"/>
      <c r="U23" s="48">
        <f>TRANSICAO!$U$23*CUSTOS!$T$3</f>
        <v>5.9006999999999996</v>
      </c>
      <c r="V23" s="48">
        <f>TRANSICAO!$V$23*CUSTOS!$T$3</f>
        <v>4.7973999999999997</v>
      </c>
      <c r="W23" s="48">
        <f>TRANSICAO!$W$23*CUSTOS!$T$3</f>
        <v>0.40139999999999998</v>
      </c>
      <c r="X23" s="48">
        <f>TRANSICAO!$X$23*CUSTOS!$T$3</f>
        <v>0</v>
      </c>
      <c r="Y23" s="48">
        <f>TRANSICAO!$Y$23*CUSTOS!$T$3</f>
        <v>52.461599999999997</v>
      </c>
      <c r="Z23" s="48">
        <f>TRANSICAO!$Z$23*CUSTOS!$T$3</f>
        <v>0</v>
      </c>
      <c r="AA23" s="48">
        <f>TRANSICAO!$AA$23*CUSTOS!$T$3</f>
        <v>0</v>
      </c>
      <c r="AB23" s="48">
        <f>TRANSICAO!$AB$23*CUSTOS!$T$3</f>
        <v>0</v>
      </c>
      <c r="AC23" s="48">
        <f>TRANSICAO!$AC$23*CUSTOS!$T$3</f>
        <v>143.53380000000001</v>
      </c>
      <c r="AD23" s="48">
        <f>TRANSICAO!$AD$23*CUSTOS!$T$3</f>
        <v>0</v>
      </c>
      <c r="AE23" s="48">
        <v>0</v>
      </c>
      <c r="AF23" s="48">
        <v>0</v>
      </c>
      <c r="AG23" s="48"/>
      <c r="AH23" s="48">
        <v>16.1922</v>
      </c>
      <c r="AI23" s="48">
        <v>0.45610000000000001</v>
      </c>
      <c r="AJ23" s="48">
        <f ca="1">$N$69</f>
        <v>0</v>
      </c>
      <c r="AK23" s="48">
        <f t="shared" ca="1" si="0"/>
        <v>0</v>
      </c>
      <c r="AL23" s="48"/>
      <c r="AM23" s="48"/>
      <c r="AP23" s="48">
        <v>1</v>
      </c>
    </row>
    <row r="24" spans="1:42" ht="11.25" customHeight="1" x14ac:dyDescent="0.25">
      <c r="A24" s="109"/>
      <c r="B24" s="109" t="s">
        <v>23</v>
      </c>
      <c r="C24" s="109" t="s">
        <v>24</v>
      </c>
      <c r="D24" s="51" t="s">
        <v>24</v>
      </c>
      <c r="E24" s="51" t="s">
        <v>25</v>
      </c>
      <c r="F24" s="51" t="s">
        <v>25</v>
      </c>
      <c r="G24" s="52" t="s">
        <v>88</v>
      </c>
      <c r="H24" s="52" t="s">
        <v>82</v>
      </c>
      <c r="I24" s="52">
        <f>'MERCADO TUSD'!$U$21</f>
        <v>24573.046999999999</v>
      </c>
      <c r="J24" s="15"/>
      <c r="L24" s="48">
        <f>1</f>
        <v>1</v>
      </c>
      <c r="M24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</f>
        <v>0.91019297567338175</v>
      </c>
      <c r="N24" s="48">
        <f ca="1">(+M24+O24+R24+U24+V24+W24+X24+Y24+Z24+AA24+AC24+AH24+AI24+AJ24+AK24)*CUSTOS!$M$5</f>
        <v>2.9205199297567337E-12</v>
      </c>
      <c r="O24" s="48">
        <v>1</v>
      </c>
      <c r="P24" s="48">
        <v>1</v>
      </c>
      <c r="Q24" s="48">
        <f>1</f>
        <v>1</v>
      </c>
      <c r="R24" s="48">
        <v>1</v>
      </c>
      <c r="S24" s="48">
        <v>1</v>
      </c>
      <c r="T24" s="48"/>
      <c r="U24" s="48">
        <f>TRANSICAO!$U$24*CUSTOS!$T$3</f>
        <v>7.7641999999999998</v>
      </c>
      <c r="V24" s="48">
        <f>TRANSICAO!$V$24*CUSTOS!$T$3</f>
        <v>6.3124000000000002</v>
      </c>
      <c r="W24" s="48">
        <f>TRANSICAO!$W$24*CUSTOS!$T$3</f>
        <v>0.5282</v>
      </c>
      <c r="X24" s="48">
        <f>TRANSICAO!$X$24*CUSTOS!$T$3</f>
        <v>0</v>
      </c>
      <c r="Y24" s="48">
        <f>TRANSICAO!$Y$24*CUSTOS!$T$3</f>
        <v>69.028499999999994</v>
      </c>
      <c r="Z24" s="48">
        <f>TRANSICAO!$Z$24*CUSTOS!$T$3</f>
        <v>0</v>
      </c>
      <c r="AA24" s="48">
        <f>TRANSICAO!$AA$24*CUSTOS!$T$3</f>
        <v>0</v>
      </c>
      <c r="AB24" s="48">
        <f>TRANSICAO!$AB$24*CUSTOS!$T$3</f>
        <v>0</v>
      </c>
      <c r="AC24" s="48">
        <f>TRANSICAO!$AC$24*CUSTOS!$T$3</f>
        <v>188.86019999999999</v>
      </c>
      <c r="AD24" s="48">
        <f>TRANSICAO!$AD$24*CUSTOS!$T$3</f>
        <v>0</v>
      </c>
      <c r="AE24" s="48">
        <v>0</v>
      </c>
      <c r="AF24" s="48">
        <v>0</v>
      </c>
      <c r="AG24" s="48"/>
      <c r="AH24" s="48">
        <v>16.1922</v>
      </c>
      <c r="AI24" s="48">
        <v>0.45610000000000001</v>
      </c>
      <c r="AJ24" s="48">
        <f ca="1">$N$69</f>
        <v>0</v>
      </c>
      <c r="AK24" s="48">
        <f t="shared" ca="1" si="0"/>
        <v>0</v>
      </c>
      <c r="AL24" s="48"/>
      <c r="AM24" s="48"/>
      <c r="AP24" s="48">
        <v>1</v>
      </c>
    </row>
    <row r="25" spans="1:42" ht="11.25" customHeight="1" x14ac:dyDescent="0.25">
      <c r="A25" s="109"/>
      <c r="B25" s="109"/>
      <c r="C25" s="109"/>
      <c r="D25" s="51" t="s">
        <v>29</v>
      </c>
      <c r="E25" s="51" t="s">
        <v>25</v>
      </c>
      <c r="F25" s="51" t="s">
        <v>25</v>
      </c>
      <c r="G25" s="52" t="s">
        <v>88</v>
      </c>
      <c r="H25" s="52" t="s">
        <v>82</v>
      </c>
      <c r="I25" s="52">
        <f>'MERCADO TUSD'!$U$22</f>
        <v>175.73700000000002</v>
      </c>
      <c r="J25" s="15"/>
      <c r="L25" s="48">
        <v>0</v>
      </c>
      <c r="M25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CUSTOS!$M$24)</f>
        <v>0.91019297567338175</v>
      </c>
      <c r="N25" s="48">
        <f ca="1">(+M25+O25+R25+U25+V25+W25+X25+Y25+Z25+AA25+AC25+AH25+AI25+AJ25+AK25)*CUSTOS!$M$5</f>
        <v>2.910519929756734E-12</v>
      </c>
      <c r="O25" s="48">
        <f>1 - CUSTOS!$M$24</f>
        <v>1</v>
      </c>
      <c r="P25" s="48">
        <v>0</v>
      </c>
      <c r="Q25" s="48">
        <v>0</v>
      </c>
      <c r="R25" s="48">
        <v>0</v>
      </c>
      <c r="S25" s="48">
        <f>1 - CUSTOS!$M$24</f>
        <v>1</v>
      </c>
      <c r="T25" s="48"/>
      <c r="U25" s="48">
        <f>TRANSICAO!$U$25*CUSTOS!$T$3</f>
        <v>7.7641999999999998</v>
      </c>
      <c r="V25" s="48">
        <f>TRANSICAO!$V$25*CUSTOS!$T$3</f>
        <v>6.3124000000000002</v>
      </c>
      <c r="W25" s="48">
        <f>TRANSICAO!$W$25*CUSTOS!$T$3</f>
        <v>0.5282</v>
      </c>
      <c r="X25" s="48">
        <f>TRANSICAO!$X$25*CUSTOS!$T$3</f>
        <v>0</v>
      </c>
      <c r="Y25" s="48">
        <f>TRANSICAO!$Y$25*CUSTOS!$T$3</f>
        <v>69.028499999999994</v>
      </c>
      <c r="Z25" s="48">
        <f>TRANSICAO!$Z$25*CUSTOS!$T$3</f>
        <v>0</v>
      </c>
      <c r="AA25" s="48">
        <f>TRANSICAO!$AA$25*CUSTOS!$T$3</f>
        <v>0</v>
      </c>
      <c r="AB25" s="48">
        <f>TRANSICAO!$AB$25*CUSTOS!$T$3</f>
        <v>0</v>
      </c>
      <c r="AC25" s="48">
        <f>TRANSICAO!$AC$25*CUSTOS!$T$3</f>
        <v>188.86019999999999</v>
      </c>
      <c r="AD25" s="48">
        <f>TRANSICAO!$AD$25*CUSTOS!$T$3</f>
        <v>0</v>
      </c>
      <c r="AE25" s="48">
        <v>0</v>
      </c>
      <c r="AF25" s="48">
        <v>0</v>
      </c>
      <c r="AG25" s="48"/>
      <c r="AH25" s="48">
        <f>(1 - CUSTOS!$M$24)*16.1922</f>
        <v>16.1922</v>
      </c>
      <c r="AI25" s="48">
        <f>(1 - CUSTOS!$M$24)*0.4561</f>
        <v>0.45610000000000001</v>
      </c>
      <c r="AJ25" s="48">
        <f ca="1">$N$69*(1-CUSTOS!$M$24)</f>
        <v>0</v>
      </c>
      <c r="AK25" s="48">
        <f t="shared" ca="1" si="0"/>
        <v>0</v>
      </c>
      <c r="AL25" s="48"/>
      <c r="AM25" s="48"/>
      <c r="AP25" s="48">
        <f>IF((1 - CUSTOS!$M$24)&lt;&gt;0,1/(1 - CUSTOS!$M$24),1)</f>
        <v>1</v>
      </c>
    </row>
    <row r="26" spans="1:42" ht="11.25" customHeight="1" x14ac:dyDescent="0.25">
      <c r="A26" s="109"/>
      <c r="B26" s="109"/>
      <c r="C26" s="109"/>
      <c r="D26" s="51" t="s">
        <v>30</v>
      </c>
      <c r="E26" s="51" t="s">
        <v>25</v>
      </c>
      <c r="F26" s="51" t="s">
        <v>25</v>
      </c>
      <c r="G26" s="52" t="s">
        <v>88</v>
      </c>
      <c r="H26" s="52" t="s">
        <v>82</v>
      </c>
      <c r="I26" s="52">
        <f>'MERCADO TUSD'!$U$23</f>
        <v>60.123000000000005</v>
      </c>
      <c r="J26" s="15"/>
      <c r="L26" s="48">
        <v>0</v>
      </c>
      <c r="M26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CUSTOS!$M$25)</f>
        <v>0.91019297567338175</v>
      </c>
      <c r="N26" s="48">
        <f ca="1">(+M26+O26+R26+U26+V26+W26+X26+Y26+Z26+AA26+AC26+AH26+AI26+AJ26+AK26)*CUSTOS!$M$5</f>
        <v>2.910519929756734E-12</v>
      </c>
      <c r="O26" s="48">
        <f>1 - CUSTOS!$M$25</f>
        <v>1</v>
      </c>
      <c r="P26" s="48">
        <v>0</v>
      </c>
      <c r="Q26" s="48">
        <v>0</v>
      </c>
      <c r="R26" s="48">
        <v>0</v>
      </c>
      <c r="S26" s="48">
        <f>1 - CUSTOS!$M$25</f>
        <v>1</v>
      </c>
      <c r="T26" s="48"/>
      <c r="U26" s="48">
        <f>TRANSICAO!$U$26*CUSTOS!$T$3</f>
        <v>7.7641999999999998</v>
      </c>
      <c r="V26" s="48">
        <f>TRANSICAO!$V$26*CUSTOS!$T$3</f>
        <v>6.3124000000000002</v>
      </c>
      <c r="W26" s="48">
        <f>TRANSICAO!$W$26*CUSTOS!$T$3</f>
        <v>0.5282</v>
      </c>
      <c r="X26" s="48">
        <f>TRANSICAO!$X$26*CUSTOS!$T$3</f>
        <v>0</v>
      </c>
      <c r="Y26" s="48">
        <f>TRANSICAO!$Y$26*CUSTOS!$T$3</f>
        <v>69.028499999999994</v>
      </c>
      <c r="Z26" s="48">
        <f>TRANSICAO!$Z$26*CUSTOS!$T$3</f>
        <v>0</v>
      </c>
      <c r="AA26" s="48">
        <f>TRANSICAO!$AA$26*CUSTOS!$T$3</f>
        <v>0</v>
      </c>
      <c r="AB26" s="48">
        <f>TRANSICAO!$AB$26*CUSTOS!$T$3</f>
        <v>0</v>
      </c>
      <c r="AC26" s="48">
        <f>TRANSICAO!$AC$26*CUSTOS!$T$3</f>
        <v>188.86019999999999</v>
      </c>
      <c r="AD26" s="48">
        <f>TRANSICAO!$AD$26*CUSTOS!$T$3</f>
        <v>0</v>
      </c>
      <c r="AE26" s="48">
        <v>0</v>
      </c>
      <c r="AF26" s="48">
        <v>0</v>
      </c>
      <c r="AG26" s="48"/>
      <c r="AH26" s="48">
        <f>(1 - CUSTOS!$M$25)*16.1922</f>
        <v>16.1922</v>
      </c>
      <c r="AI26" s="48">
        <f>(1 - CUSTOS!$M$25)*0.4561</f>
        <v>0.45610000000000001</v>
      </c>
      <c r="AJ26" s="48">
        <f ca="1">$N$69*(1-CUSTOS!$M$25)</f>
        <v>0</v>
      </c>
      <c r="AK26" s="48">
        <f t="shared" ca="1" si="0"/>
        <v>0</v>
      </c>
      <c r="AL26" s="48"/>
      <c r="AM26" s="48"/>
      <c r="AP26" s="48">
        <f>IF((1 - CUSTOS!$M$25)&lt;&gt;0,1/(1 - CUSTOS!$M$25),1)</f>
        <v>1</v>
      </c>
    </row>
    <row r="27" spans="1:42" ht="11.25" customHeight="1" x14ac:dyDescent="0.25">
      <c r="A27" s="109"/>
      <c r="B27" s="109"/>
      <c r="C27" s="109"/>
      <c r="D27" s="51" t="s">
        <v>31</v>
      </c>
      <c r="E27" s="51" t="s">
        <v>25</v>
      </c>
      <c r="F27" s="51" t="s">
        <v>25</v>
      </c>
      <c r="G27" s="52" t="s">
        <v>88</v>
      </c>
      <c r="H27" s="52" t="s">
        <v>82</v>
      </c>
      <c r="I27" s="52">
        <f>'MERCADO TUSD'!$U$24</f>
        <v>463.43299999999999</v>
      </c>
      <c r="J27" s="15"/>
      <c r="L27" s="48">
        <v>0</v>
      </c>
      <c r="M27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CUSTOS!$M$26)</f>
        <v>0.91019297567338175</v>
      </c>
      <c r="N27" s="48">
        <f ca="1">(+M27+O27+R27+U27+V27+W27+X27+Y27+Z27+AA27+AC27+AH27+AI27+AJ27+AK27)*CUSTOS!$M$5</f>
        <v>2.910519929756734E-12</v>
      </c>
      <c r="O27" s="48">
        <f>1 - CUSTOS!$M$26</f>
        <v>1</v>
      </c>
      <c r="P27" s="48">
        <v>0</v>
      </c>
      <c r="Q27" s="48">
        <v>0</v>
      </c>
      <c r="R27" s="48">
        <v>0</v>
      </c>
      <c r="S27" s="48">
        <f>1 - CUSTOS!$M$26</f>
        <v>1</v>
      </c>
      <c r="T27" s="48"/>
      <c r="U27" s="48">
        <f>TRANSICAO!$U$27*CUSTOS!$T$3</f>
        <v>7.7641999999999998</v>
      </c>
      <c r="V27" s="48">
        <f>TRANSICAO!$V$27*CUSTOS!$T$3</f>
        <v>6.3124000000000002</v>
      </c>
      <c r="W27" s="48">
        <f>TRANSICAO!$W$27*CUSTOS!$T$3</f>
        <v>0.5282</v>
      </c>
      <c r="X27" s="48">
        <f>TRANSICAO!$X$27*CUSTOS!$T$3</f>
        <v>0</v>
      </c>
      <c r="Y27" s="48">
        <f>TRANSICAO!$Y$27*CUSTOS!$T$3</f>
        <v>69.028499999999994</v>
      </c>
      <c r="Z27" s="48">
        <f>TRANSICAO!$Z$27*CUSTOS!$T$3</f>
        <v>0</v>
      </c>
      <c r="AA27" s="48">
        <f>TRANSICAO!$AA$27*CUSTOS!$T$3</f>
        <v>0</v>
      </c>
      <c r="AB27" s="48">
        <f>TRANSICAO!$AB$27*CUSTOS!$T$3</f>
        <v>0</v>
      </c>
      <c r="AC27" s="48">
        <f>TRANSICAO!$AC$27*CUSTOS!$T$3</f>
        <v>188.86019999999999</v>
      </c>
      <c r="AD27" s="48">
        <f>TRANSICAO!$AD$27*CUSTOS!$T$3</f>
        <v>0</v>
      </c>
      <c r="AE27" s="48">
        <v>0</v>
      </c>
      <c r="AF27" s="48">
        <v>0</v>
      </c>
      <c r="AG27" s="48"/>
      <c r="AH27" s="48">
        <f>(1 - CUSTOS!$M$26)*16.1922</f>
        <v>16.1922</v>
      </c>
      <c r="AI27" s="48">
        <f>(1 - CUSTOS!$M$26)*0.4561</f>
        <v>0.45610000000000001</v>
      </c>
      <c r="AJ27" s="48">
        <f ca="1">$N$69*(1-CUSTOS!$M$26)</f>
        <v>0</v>
      </c>
      <c r="AK27" s="48">
        <f t="shared" ca="1" si="0"/>
        <v>0</v>
      </c>
      <c r="AL27" s="48"/>
      <c r="AM27" s="48"/>
      <c r="AP27" s="48">
        <f>IF((1 - CUSTOS!$M$26)&lt;&gt;0,1/(1 - CUSTOS!$M$26),1)</f>
        <v>1</v>
      </c>
    </row>
    <row r="28" spans="1:42" ht="11.25" customHeight="1" x14ac:dyDescent="0.25">
      <c r="A28" s="109"/>
      <c r="B28" s="109"/>
      <c r="C28" s="109"/>
      <c r="D28" s="51" t="s">
        <v>32</v>
      </c>
      <c r="E28" s="51" t="s">
        <v>25</v>
      </c>
      <c r="F28" s="51" t="s">
        <v>25</v>
      </c>
      <c r="G28" s="52" t="s">
        <v>88</v>
      </c>
      <c r="H28" s="52" t="s">
        <v>82</v>
      </c>
      <c r="I28" s="52">
        <f>'MERCADO TUSD'!$U$25</f>
        <v>303.64100000000002</v>
      </c>
      <c r="J28" s="15"/>
      <c r="L28" s="48">
        <v>0</v>
      </c>
      <c r="M28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CUSTOS!$M$27)</f>
        <v>0.91019297567338175</v>
      </c>
      <c r="N28" s="48">
        <f ca="1">(+M28+O28+R28+U28+V28+W28+X28+Y28+Z28+AA28+AC28+AH28+AI28+AJ28+AK28)*CUSTOS!$M$5</f>
        <v>2.910519929756734E-12</v>
      </c>
      <c r="O28" s="48">
        <f>1 - CUSTOS!$M$27</f>
        <v>1</v>
      </c>
      <c r="P28" s="48">
        <v>0</v>
      </c>
      <c r="Q28" s="48">
        <v>0</v>
      </c>
      <c r="R28" s="48">
        <v>0</v>
      </c>
      <c r="S28" s="48">
        <f>1 - CUSTOS!$M$27</f>
        <v>1</v>
      </c>
      <c r="T28" s="48"/>
      <c r="U28" s="48">
        <f>TRANSICAO!$U$28*CUSTOS!$T$3</f>
        <v>7.7641999999999998</v>
      </c>
      <c r="V28" s="48">
        <f>TRANSICAO!$V$28*CUSTOS!$T$3</f>
        <v>6.3124000000000002</v>
      </c>
      <c r="W28" s="48">
        <f>TRANSICAO!$W$28*CUSTOS!$T$3</f>
        <v>0.5282</v>
      </c>
      <c r="X28" s="48">
        <f>TRANSICAO!$X$28*CUSTOS!$T$3</f>
        <v>0</v>
      </c>
      <c r="Y28" s="48">
        <f>TRANSICAO!$Y$28*CUSTOS!$T$3</f>
        <v>69.028499999999994</v>
      </c>
      <c r="Z28" s="48">
        <f>TRANSICAO!$Z$28*CUSTOS!$T$3</f>
        <v>0</v>
      </c>
      <c r="AA28" s="48">
        <f>TRANSICAO!$AA$28*CUSTOS!$T$3</f>
        <v>0</v>
      </c>
      <c r="AB28" s="48">
        <f>TRANSICAO!$AB$28*CUSTOS!$T$3</f>
        <v>0</v>
      </c>
      <c r="AC28" s="48">
        <f>TRANSICAO!$AC$28*CUSTOS!$T$3</f>
        <v>188.86019999999999</v>
      </c>
      <c r="AD28" s="48">
        <f>TRANSICAO!$AD$28*CUSTOS!$T$3</f>
        <v>0</v>
      </c>
      <c r="AE28" s="48">
        <v>0</v>
      </c>
      <c r="AF28" s="48">
        <v>0</v>
      </c>
      <c r="AG28" s="48"/>
      <c r="AH28" s="48">
        <f>(1 - CUSTOS!$M$27)*16.1922</f>
        <v>16.1922</v>
      </c>
      <c r="AI28" s="48">
        <f>(1 - CUSTOS!$M$27)*0.4561</f>
        <v>0.45610000000000001</v>
      </c>
      <c r="AJ28" s="48">
        <f ca="1">$N$69*(1-CUSTOS!$M$27)</f>
        <v>0</v>
      </c>
      <c r="AK28" s="48">
        <f t="shared" ca="1" si="0"/>
        <v>0</v>
      </c>
      <c r="AL28" s="48"/>
      <c r="AM28" s="48"/>
      <c r="AP28" s="48">
        <f>IF((1 - CUSTOS!$M$27)&lt;&gt;0,1/(1 - CUSTOS!$M$27),1)</f>
        <v>1</v>
      </c>
    </row>
    <row r="29" spans="1:42" ht="11.25" customHeight="1" x14ac:dyDescent="0.25">
      <c r="A29" s="109"/>
      <c r="B29" s="109" t="s">
        <v>97</v>
      </c>
      <c r="C29" s="109" t="s">
        <v>24</v>
      </c>
      <c r="D29" s="51" t="s">
        <v>24</v>
      </c>
      <c r="E29" s="51" t="s">
        <v>25</v>
      </c>
      <c r="F29" s="51" t="s">
        <v>25</v>
      </c>
      <c r="G29" s="52" t="s">
        <v>88</v>
      </c>
      <c r="H29" s="52" t="s">
        <v>82</v>
      </c>
      <c r="I29" s="52">
        <f>'MERCADO TUSD'!$U$26</f>
        <v>0</v>
      </c>
      <c r="J29" s="15"/>
      <c r="L29" s="48">
        <f>1</f>
        <v>1</v>
      </c>
      <c r="M29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</f>
        <v>0.91019297567338175</v>
      </c>
      <c r="N29" s="48">
        <f ca="1">(+M29+O29+R29+U29+V29+W29+X29+Y29+Z29+AA29+AC29+AH29+AI29+AJ29+AK29)*CUSTOS!$M$5</f>
        <v>2.9205199297567337E-12</v>
      </c>
      <c r="O29" s="48">
        <v>1</v>
      </c>
      <c r="P29" s="48">
        <v>1</v>
      </c>
      <c r="Q29" s="48">
        <f>1</f>
        <v>1</v>
      </c>
      <c r="R29" s="48">
        <v>1</v>
      </c>
      <c r="S29" s="48">
        <v>1</v>
      </c>
      <c r="T29" s="48"/>
      <c r="U29" s="48">
        <f>TRANSICAO!$U$29*CUSTOS!$T$3</f>
        <v>7.7641999999999998</v>
      </c>
      <c r="V29" s="48">
        <f>TRANSICAO!$V$29*CUSTOS!$T$3</f>
        <v>6.3124000000000002</v>
      </c>
      <c r="W29" s="48">
        <f>TRANSICAO!$W$29*CUSTOS!$T$3</f>
        <v>0.5282</v>
      </c>
      <c r="X29" s="48">
        <f>TRANSICAO!$X$29*CUSTOS!$T$3</f>
        <v>0</v>
      </c>
      <c r="Y29" s="48">
        <f>TRANSICAO!$Y$29*CUSTOS!$T$3</f>
        <v>69.028499999999994</v>
      </c>
      <c r="Z29" s="48">
        <f>TRANSICAO!$Z$29*CUSTOS!$T$3</f>
        <v>0</v>
      </c>
      <c r="AA29" s="48">
        <f>TRANSICAO!$AA$29*CUSTOS!$T$3</f>
        <v>0</v>
      </c>
      <c r="AB29" s="48">
        <f>TRANSICAO!$AB$29*CUSTOS!$T$3</f>
        <v>0</v>
      </c>
      <c r="AC29" s="48">
        <f>TRANSICAO!$AC$29*CUSTOS!$T$3</f>
        <v>188.86019999999999</v>
      </c>
      <c r="AD29" s="48">
        <f>TRANSICAO!$AD$29*CUSTOS!$T$3</f>
        <v>0</v>
      </c>
      <c r="AE29" s="48">
        <v>0</v>
      </c>
      <c r="AF29" s="48">
        <v>0</v>
      </c>
      <c r="AG29" s="48"/>
      <c r="AH29" s="48">
        <v>16.1922</v>
      </c>
      <c r="AI29" s="48">
        <v>0.45610000000000001</v>
      </c>
      <c r="AJ29" s="48">
        <f ca="1">$N$69</f>
        <v>0</v>
      </c>
      <c r="AK29" s="48">
        <f t="shared" ca="1" si="0"/>
        <v>0</v>
      </c>
      <c r="AL29" s="48"/>
      <c r="AM29" s="48"/>
      <c r="AP29" s="48">
        <v>1</v>
      </c>
    </row>
    <row r="30" spans="1:42" ht="11.25" customHeight="1" x14ac:dyDescent="0.25">
      <c r="A30" s="109"/>
      <c r="B30" s="109"/>
      <c r="C30" s="109"/>
      <c r="D30" s="51" t="s">
        <v>29</v>
      </c>
      <c r="E30" s="51" t="s">
        <v>25</v>
      </c>
      <c r="F30" s="51" t="s">
        <v>25</v>
      </c>
      <c r="G30" s="52" t="s">
        <v>88</v>
      </c>
      <c r="H30" s="52" t="s">
        <v>82</v>
      </c>
      <c r="I30" s="52">
        <f>'MERCADO TUSD'!$U$27</f>
        <v>0</v>
      </c>
      <c r="J30" s="15"/>
      <c r="L30" s="48">
        <v>0</v>
      </c>
      <c r="M30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CUSTOS!$M$24)</f>
        <v>0.91019297567338175</v>
      </c>
      <c r="N30" s="48">
        <f ca="1">(+M30+O30+R30+U30+V30+W30+X30+Y30+Z30+AA30+AC30+AH30+AI30+AJ30+AK30)*CUSTOS!$M$5</f>
        <v>2.910519929756734E-12</v>
      </c>
      <c r="O30" s="48">
        <f>1 - CUSTOS!$M$24</f>
        <v>1</v>
      </c>
      <c r="P30" s="48">
        <v>0</v>
      </c>
      <c r="Q30" s="48">
        <v>0</v>
      </c>
      <c r="R30" s="48">
        <v>0</v>
      </c>
      <c r="S30" s="48">
        <f>1 - CUSTOS!$M$24</f>
        <v>1</v>
      </c>
      <c r="T30" s="48"/>
      <c r="U30" s="48">
        <f>TRANSICAO!$U$30*CUSTOS!$T$3</f>
        <v>7.7641999999999998</v>
      </c>
      <c r="V30" s="48">
        <f>TRANSICAO!$V$30*CUSTOS!$T$3</f>
        <v>6.3124000000000002</v>
      </c>
      <c r="W30" s="48">
        <f>TRANSICAO!$W$30*CUSTOS!$T$3</f>
        <v>0.5282</v>
      </c>
      <c r="X30" s="48">
        <f>TRANSICAO!$X$30*CUSTOS!$T$3</f>
        <v>0</v>
      </c>
      <c r="Y30" s="48">
        <f>TRANSICAO!$Y$30*CUSTOS!$T$3</f>
        <v>69.028499999999994</v>
      </c>
      <c r="Z30" s="48">
        <f>TRANSICAO!$Z$30*CUSTOS!$T$3</f>
        <v>0</v>
      </c>
      <c r="AA30" s="48">
        <f>TRANSICAO!$AA$30*CUSTOS!$T$3</f>
        <v>0</v>
      </c>
      <c r="AB30" s="48">
        <f>TRANSICAO!$AB$30*CUSTOS!$T$3</f>
        <v>0</v>
      </c>
      <c r="AC30" s="48">
        <f>TRANSICAO!$AC$30*CUSTOS!$T$3</f>
        <v>188.86019999999999</v>
      </c>
      <c r="AD30" s="48">
        <f>TRANSICAO!$AD$30*CUSTOS!$T$3</f>
        <v>0</v>
      </c>
      <c r="AE30" s="48">
        <v>0</v>
      </c>
      <c r="AF30" s="48">
        <v>0</v>
      </c>
      <c r="AG30" s="48"/>
      <c r="AH30" s="48">
        <f>(1 - CUSTOS!$M$24)*16.1922</f>
        <v>16.1922</v>
      </c>
      <c r="AI30" s="48">
        <f>(1 - CUSTOS!$M$24)*0.4561</f>
        <v>0.45610000000000001</v>
      </c>
      <c r="AJ30" s="48">
        <f ca="1">$N$69*(1-CUSTOS!$M$24)</f>
        <v>0</v>
      </c>
      <c r="AK30" s="48">
        <f t="shared" ca="1" si="0"/>
        <v>0</v>
      </c>
      <c r="AL30" s="48"/>
      <c r="AM30" s="48"/>
      <c r="AP30" s="48">
        <f>IF((1 - CUSTOS!$M$24)&lt;&gt;0,1/(1 - CUSTOS!$M$24),1)</f>
        <v>1</v>
      </c>
    </row>
    <row r="31" spans="1:42" ht="11.25" customHeight="1" x14ac:dyDescent="0.25">
      <c r="A31" s="109"/>
      <c r="B31" s="109"/>
      <c r="C31" s="109"/>
      <c r="D31" s="51" t="s">
        <v>30</v>
      </c>
      <c r="E31" s="51" t="s">
        <v>25</v>
      </c>
      <c r="F31" s="51" t="s">
        <v>25</v>
      </c>
      <c r="G31" s="52" t="s">
        <v>88</v>
      </c>
      <c r="H31" s="52" t="s">
        <v>82</v>
      </c>
      <c r="I31" s="52">
        <f>'MERCADO TUSD'!$U$28</f>
        <v>0</v>
      </c>
      <c r="J31" s="15"/>
      <c r="L31" s="48">
        <v>0</v>
      </c>
      <c r="M31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CUSTOS!$M$25)</f>
        <v>0.91019297567338175</v>
      </c>
      <c r="N31" s="48">
        <f ca="1">(+M31+O31+R31+U31+V31+W31+X31+Y31+Z31+AA31+AC31+AH31+AI31+AJ31+AK31)*CUSTOS!$M$5</f>
        <v>2.910519929756734E-12</v>
      </c>
      <c r="O31" s="48">
        <f>1 - CUSTOS!$M$25</f>
        <v>1</v>
      </c>
      <c r="P31" s="48">
        <v>0</v>
      </c>
      <c r="Q31" s="48">
        <v>0</v>
      </c>
      <c r="R31" s="48">
        <v>0</v>
      </c>
      <c r="S31" s="48">
        <f>1 - CUSTOS!$M$25</f>
        <v>1</v>
      </c>
      <c r="T31" s="48"/>
      <c r="U31" s="48">
        <f>TRANSICAO!$U$31*CUSTOS!$T$3</f>
        <v>7.7641999999999998</v>
      </c>
      <c r="V31" s="48">
        <f>TRANSICAO!$V$31*CUSTOS!$T$3</f>
        <v>6.3124000000000002</v>
      </c>
      <c r="W31" s="48">
        <f>TRANSICAO!$W$31*CUSTOS!$T$3</f>
        <v>0.5282</v>
      </c>
      <c r="X31" s="48">
        <f>TRANSICAO!$X$31*CUSTOS!$T$3</f>
        <v>0</v>
      </c>
      <c r="Y31" s="48">
        <f>TRANSICAO!$Y$31*CUSTOS!$T$3</f>
        <v>69.028499999999994</v>
      </c>
      <c r="Z31" s="48">
        <f>TRANSICAO!$Z$31*CUSTOS!$T$3</f>
        <v>0</v>
      </c>
      <c r="AA31" s="48">
        <f>TRANSICAO!$AA$31*CUSTOS!$T$3</f>
        <v>0</v>
      </c>
      <c r="AB31" s="48">
        <f>TRANSICAO!$AB$31*CUSTOS!$T$3</f>
        <v>0</v>
      </c>
      <c r="AC31" s="48">
        <f>TRANSICAO!$AC$31*CUSTOS!$T$3</f>
        <v>188.86019999999999</v>
      </c>
      <c r="AD31" s="48">
        <f>TRANSICAO!$AD$31*CUSTOS!$T$3</f>
        <v>0</v>
      </c>
      <c r="AE31" s="48">
        <v>0</v>
      </c>
      <c r="AF31" s="48">
        <v>0</v>
      </c>
      <c r="AG31" s="48"/>
      <c r="AH31" s="48">
        <f>(1 - CUSTOS!$M$25)*16.1922</f>
        <v>16.1922</v>
      </c>
      <c r="AI31" s="48">
        <f>(1 - CUSTOS!$M$25)*0.4561</f>
        <v>0.45610000000000001</v>
      </c>
      <c r="AJ31" s="48">
        <f ca="1">$N$69*(1-CUSTOS!$M$25)</f>
        <v>0</v>
      </c>
      <c r="AK31" s="48">
        <f t="shared" ca="1" si="0"/>
        <v>0</v>
      </c>
      <c r="AL31" s="48"/>
      <c r="AM31" s="48"/>
      <c r="AP31" s="48">
        <f>IF((1 - CUSTOS!$M$25)&lt;&gt;0,1/(1 - CUSTOS!$M$25),1)</f>
        <v>1</v>
      </c>
    </row>
    <row r="32" spans="1:42" ht="11.25" customHeight="1" x14ac:dyDescent="0.25">
      <c r="A32" s="109"/>
      <c r="B32" s="109"/>
      <c r="C32" s="109"/>
      <c r="D32" s="51" t="s">
        <v>31</v>
      </c>
      <c r="E32" s="51" t="s">
        <v>25</v>
      </c>
      <c r="F32" s="51" t="s">
        <v>25</v>
      </c>
      <c r="G32" s="52" t="s">
        <v>88</v>
      </c>
      <c r="H32" s="52" t="s">
        <v>82</v>
      </c>
      <c r="I32" s="52">
        <f>'MERCADO TUSD'!$U$29</f>
        <v>0</v>
      </c>
      <c r="J32" s="15"/>
      <c r="L32" s="48">
        <v>0</v>
      </c>
      <c r="M32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CUSTOS!$M$26)</f>
        <v>0.91019297567338175</v>
      </c>
      <c r="N32" s="48">
        <f ca="1">(+M32+O32+R32+U32+V32+W32+X32+Y32+Z32+AA32+AC32+AH32+AI32+AJ32+AK32)*CUSTOS!$M$5</f>
        <v>2.910519929756734E-12</v>
      </c>
      <c r="O32" s="48">
        <f>1 - CUSTOS!$M$26</f>
        <v>1</v>
      </c>
      <c r="P32" s="48">
        <v>0</v>
      </c>
      <c r="Q32" s="48">
        <v>0</v>
      </c>
      <c r="R32" s="48">
        <v>0</v>
      </c>
      <c r="S32" s="48">
        <f>1 - CUSTOS!$M$26</f>
        <v>1</v>
      </c>
      <c r="T32" s="48"/>
      <c r="U32" s="48">
        <f>TRANSICAO!$U$32*CUSTOS!$T$3</f>
        <v>7.7641999999999998</v>
      </c>
      <c r="V32" s="48">
        <f>TRANSICAO!$V$32*CUSTOS!$T$3</f>
        <v>6.3124000000000002</v>
      </c>
      <c r="W32" s="48">
        <f>TRANSICAO!$W$32*CUSTOS!$T$3</f>
        <v>0.5282</v>
      </c>
      <c r="X32" s="48">
        <f>TRANSICAO!$X$32*CUSTOS!$T$3</f>
        <v>0</v>
      </c>
      <c r="Y32" s="48">
        <f>TRANSICAO!$Y$32*CUSTOS!$T$3</f>
        <v>69.028499999999994</v>
      </c>
      <c r="Z32" s="48">
        <f>TRANSICAO!$Z$32*CUSTOS!$T$3</f>
        <v>0</v>
      </c>
      <c r="AA32" s="48">
        <f>TRANSICAO!$AA$32*CUSTOS!$T$3</f>
        <v>0</v>
      </c>
      <c r="AB32" s="48">
        <f>TRANSICAO!$AB$32*CUSTOS!$T$3</f>
        <v>0</v>
      </c>
      <c r="AC32" s="48">
        <f>TRANSICAO!$AC$32*CUSTOS!$T$3</f>
        <v>188.86019999999999</v>
      </c>
      <c r="AD32" s="48">
        <f>TRANSICAO!$AD$32*CUSTOS!$T$3</f>
        <v>0</v>
      </c>
      <c r="AE32" s="48">
        <v>0</v>
      </c>
      <c r="AF32" s="48">
        <v>0</v>
      </c>
      <c r="AG32" s="48"/>
      <c r="AH32" s="48">
        <f>(1 - CUSTOS!$M$26)*16.1922</f>
        <v>16.1922</v>
      </c>
      <c r="AI32" s="48">
        <f>(1 - CUSTOS!$M$26)*0.4561</f>
        <v>0.45610000000000001</v>
      </c>
      <c r="AJ32" s="48">
        <f ca="1">$N$69*(1-CUSTOS!$M$26)</f>
        <v>0</v>
      </c>
      <c r="AK32" s="48">
        <f t="shared" ca="1" si="0"/>
        <v>0</v>
      </c>
      <c r="AL32" s="48"/>
      <c r="AM32" s="48"/>
      <c r="AP32" s="48">
        <f>IF((1 - CUSTOS!$M$26)&lt;&gt;0,1/(1 - CUSTOS!$M$26),1)</f>
        <v>1</v>
      </c>
    </row>
    <row r="33" spans="1:42" ht="11.25" customHeight="1" x14ac:dyDescent="0.25">
      <c r="A33" s="109"/>
      <c r="B33" s="109"/>
      <c r="C33" s="109"/>
      <c r="D33" s="51" t="s">
        <v>32</v>
      </c>
      <c r="E33" s="51" t="s">
        <v>25</v>
      </c>
      <c r="F33" s="51" t="s">
        <v>25</v>
      </c>
      <c r="G33" s="52" t="s">
        <v>88</v>
      </c>
      <c r="H33" s="52" t="s">
        <v>82</v>
      </c>
      <c r="I33" s="52">
        <f>'MERCADO TUSD'!$U$30</f>
        <v>0</v>
      </c>
      <c r="J33" s="15"/>
      <c r="L33" s="48">
        <v>0</v>
      </c>
      <c r="M33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CUSTOS!$M$27)</f>
        <v>0.91019297567338175</v>
      </c>
      <c r="N33" s="48">
        <f ca="1">(+M33+O33+R33+U33+V33+W33+X33+Y33+Z33+AA33+AC33+AH33+AI33+AJ33+AK33)*CUSTOS!$M$5</f>
        <v>2.910519929756734E-12</v>
      </c>
      <c r="O33" s="48">
        <f>1 - CUSTOS!$M$27</f>
        <v>1</v>
      </c>
      <c r="P33" s="48">
        <v>0</v>
      </c>
      <c r="Q33" s="48">
        <v>0</v>
      </c>
      <c r="R33" s="48">
        <v>0</v>
      </c>
      <c r="S33" s="48">
        <f>1 - CUSTOS!$M$27</f>
        <v>1</v>
      </c>
      <c r="T33" s="48"/>
      <c r="U33" s="48">
        <f>TRANSICAO!$U$33*CUSTOS!$T$3</f>
        <v>7.7641999999999998</v>
      </c>
      <c r="V33" s="48">
        <f>TRANSICAO!$V$33*CUSTOS!$T$3</f>
        <v>6.3124000000000002</v>
      </c>
      <c r="W33" s="48">
        <f>TRANSICAO!$W$33*CUSTOS!$T$3</f>
        <v>0.5282</v>
      </c>
      <c r="X33" s="48">
        <f>TRANSICAO!$X$33*CUSTOS!$T$3</f>
        <v>0</v>
      </c>
      <c r="Y33" s="48">
        <f>TRANSICAO!$Y$33*CUSTOS!$T$3</f>
        <v>69.028499999999994</v>
      </c>
      <c r="Z33" s="48">
        <f>TRANSICAO!$Z$33*CUSTOS!$T$3</f>
        <v>0</v>
      </c>
      <c r="AA33" s="48">
        <f>TRANSICAO!$AA$33*CUSTOS!$T$3</f>
        <v>0</v>
      </c>
      <c r="AB33" s="48">
        <f>TRANSICAO!$AB$33*CUSTOS!$T$3</f>
        <v>0</v>
      </c>
      <c r="AC33" s="48">
        <f>TRANSICAO!$AC$33*CUSTOS!$T$3</f>
        <v>188.86019999999999</v>
      </c>
      <c r="AD33" s="48">
        <f>TRANSICAO!$AD$33*CUSTOS!$T$3</f>
        <v>0</v>
      </c>
      <c r="AE33" s="48">
        <v>0</v>
      </c>
      <c r="AF33" s="48">
        <v>0</v>
      </c>
      <c r="AG33" s="48"/>
      <c r="AH33" s="48">
        <f>(1 - CUSTOS!$M$27)*16.1922</f>
        <v>16.1922</v>
      </c>
      <c r="AI33" s="48">
        <f>(1 - CUSTOS!$M$27)*0.4561</f>
        <v>0.45610000000000001</v>
      </c>
      <c r="AJ33" s="48">
        <f ca="1">$N$69*(1-CUSTOS!$M$27)</f>
        <v>0</v>
      </c>
      <c r="AK33" s="48">
        <f t="shared" ca="1" si="0"/>
        <v>0</v>
      </c>
      <c r="AL33" s="48"/>
      <c r="AM33" s="48"/>
      <c r="AP33" s="48">
        <f>IF((1 - CUSTOS!$M$27)&lt;&gt;0,1/(1 - CUSTOS!$M$27),1)</f>
        <v>1</v>
      </c>
    </row>
    <row r="34" spans="1:42" ht="11.25" customHeight="1" x14ac:dyDescent="0.25">
      <c r="A34" s="109" t="s">
        <v>41</v>
      </c>
      <c r="B34" s="109" t="s">
        <v>95</v>
      </c>
      <c r="C34" s="109" t="s">
        <v>42</v>
      </c>
      <c r="D34" s="109" t="s">
        <v>25</v>
      </c>
      <c r="E34" s="109" t="s">
        <v>25</v>
      </c>
      <c r="F34" s="109" t="s">
        <v>25</v>
      </c>
      <c r="G34" s="52" t="s">
        <v>83</v>
      </c>
      <c r="H34" s="52" t="s">
        <v>82</v>
      </c>
      <c r="I34" s="52">
        <f>'MERCADO TUSD'!$U$31</f>
        <v>0</v>
      </c>
      <c r="J34" s="15"/>
      <c r="L34" s="48">
        <f>1*(1 - CUSTOS!$M$28)</f>
        <v>1</v>
      </c>
      <c r="M34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CUSTOS!$M$28)</f>
        <v>0.91019297567338175</v>
      </c>
      <c r="N34" s="48">
        <f ca="1">(+M34+O34+R34+U34+V34+W34+X34+Y34+Z34+AA34+AC34+AH34+AI34+AJ34+AK34)*CUSTOS!$M$5</f>
        <v>6.5326939297567336E-12</v>
      </c>
      <c r="O34" s="48">
        <f>1 - CUSTOS!$M$28</f>
        <v>1</v>
      </c>
      <c r="P34" s="48">
        <f>1 - CUSTOS!$M$28</f>
        <v>1</v>
      </c>
      <c r="Q34" s="48">
        <f>1*(1 - CUSTOS!$M$28)</f>
        <v>1</v>
      </c>
      <c r="R34" s="48">
        <f>1 - CUSTOS!$M$28</f>
        <v>1</v>
      </c>
      <c r="S34" s="48">
        <f>1 - CUSTOS!$M$28</f>
        <v>1</v>
      </c>
      <c r="T34" s="48"/>
      <c r="U34" s="48">
        <f>TRANSICAO!$U$34*CUSTOS!$T$3</f>
        <v>18.0564</v>
      </c>
      <c r="V34" s="48">
        <f>TRANSICAO!$V$34*CUSTOS!$T$3</f>
        <v>14.68</v>
      </c>
      <c r="W34" s="48">
        <f>TRANSICAO!$W$34*CUSTOS!$T$3</f>
        <v>1.2283999999999999</v>
      </c>
      <c r="X34" s="48">
        <f>TRANSICAO!$X$34*CUSTOS!$T$3</f>
        <v>0</v>
      </c>
      <c r="Y34" s="48">
        <f>TRANSICAO!$Y$34*CUSTOS!$T$3</f>
        <v>160.53280000000001</v>
      </c>
      <c r="Z34" s="48">
        <f>TRANSICAO!$Z$34*CUSTOS!$T$3</f>
        <v>0</v>
      </c>
      <c r="AA34" s="48">
        <f>TRANSICAO!$AA$34*CUSTOS!$T$3</f>
        <v>0</v>
      </c>
      <c r="AB34" s="48">
        <f>TRANSICAO!$AB$34*CUSTOS!$T$3</f>
        <v>0</v>
      </c>
      <c r="AC34" s="48">
        <f>TRANSICAO!$AC$34*CUSTOS!$T$3</f>
        <v>439.2133</v>
      </c>
      <c r="AD34" s="48">
        <f>TRANSICAO!$AD$34*CUSTOS!$T$3</f>
        <v>0</v>
      </c>
      <c r="AE34" s="48">
        <v>0</v>
      </c>
      <c r="AF34" s="48">
        <v>0</v>
      </c>
      <c r="AG34" s="48"/>
      <c r="AH34" s="48">
        <f>(1 - CUSTOS!$M$28)*16.1922</f>
        <v>16.1922</v>
      </c>
      <c r="AI34" s="48">
        <f>(1 - CUSTOS!$M$28)*0.4561</f>
        <v>0.45610000000000001</v>
      </c>
      <c r="AJ34" s="48">
        <f ca="1">$N$69*(1-CUSTOS!$M$28)</f>
        <v>0</v>
      </c>
      <c r="AK34" s="48">
        <f t="shared" ca="1" si="0"/>
        <v>0</v>
      </c>
      <c r="AL34" s="48"/>
      <c r="AM34" s="48"/>
      <c r="AP34" s="48">
        <f>IF((1 - CUSTOS!$M$28)&lt;&gt;0,1/(1 - CUSTOS!$M$28),1)</f>
        <v>1</v>
      </c>
    </row>
    <row r="35" spans="1:42" ht="11.25" customHeight="1" x14ac:dyDescent="0.25">
      <c r="A35" s="109"/>
      <c r="B35" s="109"/>
      <c r="C35" s="109"/>
      <c r="D35" s="109"/>
      <c r="E35" s="109"/>
      <c r="F35" s="109"/>
      <c r="G35" s="52" t="s">
        <v>94</v>
      </c>
      <c r="H35" s="52" t="s">
        <v>82</v>
      </c>
      <c r="I35" s="52">
        <f>'MERCADO TUSD'!$U$32</f>
        <v>0</v>
      </c>
      <c r="J35" s="15"/>
      <c r="L35" s="48">
        <f>1*(1 - CUSTOS!$M$28)</f>
        <v>1</v>
      </c>
      <c r="M35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CUSTOS!$M$28)</f>
        <v>0.91019297567338175</v>
      </c>
      <c r="N35" s="48">
        <f ca="1">(+M35+O35+R35+U35+V35+W35+X35+Y35+Z35+AA35+AC35+AH35+AI35+AJ35+AK35)*CUSTOS!$M$5</f>
        <v>3.4262699297567337E-12</v>
      </c>
      <c r="O35" s="48">
        <f>1 - CUSTOS!$M$28</f>
        <v>1</v>
      </c>
      <c r="P35" s="48">
        <f>1 - CUSTOS!$M$28</f>
        <v>1</v>
      </c>
      <c r="Q35" s="48">
        <f>1*(1 - CUSTOS!$M$28)</f>
        <v>1</v>
      </c>
      <c r="R35" s="48">
        <f>1 - CUSTOS!$M$28</f>
        <v>1</v>
      </c>
      <c r="S35" s="48">
        <f>1 - CUSTOS!$M$28</f>
        <v>1</v>
      </c>
      <c r="T35" s="48"/>
      <c r="U35" s="48">
        <f>TRANSICAO!$U$35*CUSTOS!$T$3</f>
        <v>9.2051999999999996</v>
      </c>
      <c r="V35" s="48">
        <f>TRANSICAO!$V$35*CUSTOS!$T$3</f>
        <v>7.484</v>
      </c>
      <c r="W35" s="48">
        <f>TRANSICAO!$W$35*CUSTOS!$T$3</f>
        <v>0.62629999999999997</v>
      </c>
      <c r="X35" s="48">
        <f>TRANSICAO!$X$35*CUSTOS!$T$3</f>
        <v>0</v>
      </c>
      <c r="Y35" s="48">
        <f>TRANSICAO!$Y$35*CUSTOS!$T$3</f>
        <v>81.840299999999999</v>
      </c>
      <c r="Z35" s="48">
        <f>TRANSICAO!$Z$35*CUSTOS!$T$3</f>
        <v>0</v>
      </c>
      <c r="AA35" s="48">
        <f>TRANSICAO!$AA$35*CUSTOS!$T$3</f>
        <v>0</v>
      </c>
      <c r="AB35" s="48">
        <f>TRANSICAO!$AB$35*CUSTOS!$T$3</f>
        <v>0</v>
      </c>
      <c r="AC35" s="48">
        <f>TRANSICAO!$AC$35*CUSTOS!$T$3</f>
        <v>223.9127</v>
      </c>
      <c r="AD35" s="48">
        <f>TRANSICAO!$AD$35*CUSTOS!$T$3</f>
        <v>0</v>
      </c>
      <c r="AE35" s="48">
        <v>0</v>
      </c>
      <c r="AF35" s="48">
        <v>0</v>
      </c>
      <c r="AG35" s="48"/>
      <c r="AH35" s="48">
        <f>(1 - CUSTOS!$M$28)*16.1922</f>
        <v>16.1922</v>
      </c>
      <c r="AI35" s="48">
        <f>(1 - CUSTOS!$M$28)*0.4561</f>
        <v>0.45610000000000001</v>
      </c>
      <c r="AJ35" s="48">
        <f ca="1">$N$69*(1-CUSTOS!$M$28)</f>
        <v>0</v>
      </c>
      <c r="AK35" s="48">
        <f t="shared" ca="1" si="0"/>
        <v>0</v>
      </c>
      <c r="AL35" s="48"/>
      <c r="AM35" s="48"/>
      <c r="AP35" s="48">
        <f>IF((1 - CUSTOS!$M$28)&lt;&gt;0,1/(1 - CUSTOS!$M$28),1)</f>
        <v>1</v>
      </c>
    </row>
    <row r="36" spans="1:42" ht="11.25" customHeight="1" x14ac:dyDescent="0.25">
      <c r="A36" s="109"/>
      <c r="B36" s="109"/>
      <c r="C36" s="109"/>
      <c r="D36" s="109"/>
      <c r="E36" s="109"/>
      <c r="F36" s="109"/>
      <c r="G36" s="52" t="s">
        <v>84</v>
      </c>
      <c r="H36" s="52" t="s">
        <v>82</v>
      </c>
      <c r="I36" s="52">
        <f>'MERCADO TUSD'!$U$33</f>
        <v>0</v>
      </c>
      <c r="J36" s="15"/>
      <c r="L36" s="48">
        <f>1*(1 - CUSTOS!$M$28)</f>
        <v>1</v>
      </c>
      <c r="M36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CUSTOS!$M$28)</f>
        <v>0.91019297567338175</v>
      </c>
      <c r="N36" s="48">
        <f ca="1">(+M36+O36+R36+U36+V36+W36+X36+Y36+Z36+AA36+AC36+AH36+AI36+AJ36+AK36)*CUSTOS!$M$5</f>
        <v>2.2665339297567339E-12</v>
      </c>
      <c r="O36" s="48">
        <f>1 - CUSTOS!$M$28</f>
        <v>1</v>
      </c>
      <c r="P36" s="48">
        <f>1 - CUSTOS!$M$28</f>
        <v>1</v>
      </c>
      <c r="Q36" s="48">
        <f>1*(1 - CUSTOS!$M$28)</f>
        <v>1</v>
      </c>
      <c r="R36" s="48">
        <f>1 - CUSTOS!$M$28</f>
        <v>1</v>
      </c>
      <c r="S36" s="48">
        <f>1 - CUSTOS!$M$28</f>
        <v>1</v>
      </c>
      <c r="T36" s="48"/>
      <c r="U36" s="48">
        <f>TRANSICAO!$U$36*CUSTOS!$T$3</f>
        <v>5.9006999999999996</v>
      </c>
      <c r="V36" s="48">
        <f>TRANSICAO!$V$36*CUSTOS!$T$3</f>
        <v>4.7973999999999997</v>
      </c>
      <c r="W36" s="48">
        <f>TRANSICAO!$W$36*CUSTOS!$T$3</f>
        <v>0.40139999999999998</v>
      </c>
      <c r="X36" s="48">
        <f>TRANSICAO!$X$36*CUSTOS!$T$3</f>
        <v>0</v>
      </c>
      <c r="Y36" s="48">
        <f>TRANSICAO!$Y$36*CUSTOS!$T$3</f>
        <v>52.461599999999997</v>
      </c>
      <c r="Z36" s="48">
        <f>TRANSICAO!$Z$36*CUSTOS!$T$3</f>
        <v>0</v>
      </c>
      <c r="AA36" s="48">
        <f>TRANSICAO!$AA$36*CUSTOS!$T$3</f>
        <v>0</v>
      </c>
      <c r="AB36" s="48">
        <f>TRANSICAO!$AB$36*CUSTOS!$T$3</f>
        <v>0</v>
      </c>
      <c r="AC36" s="48">
        <f>TRANSICAO!$AC$36*CUSTOS!$T$3</f>
        <v>143.53380000000001</v>
      </c>
      <c r="AD36" s="48">
        <f>TRANSICAO!$AD$36*CUSTOS!$T$3</f>
        <v>0</v>
      </c>
      <c r="AE36" s="48">
        <v>0</v>
      </c>
      <c r="AF36" s="48">
        <v>0</v>
      </c>
      <c r="AG36" s="48"/>
      <c r="AH36" s="48">
        <f>(1 - CUSTOS!$M$28)*16.1922</f>
        <v>16.1922</v>
      </c>
      <c r="AI36" s="48">
        <f>(1 - CUSTOS!$M$28)*0.4561</f>
        <v>0.45610000000000001</v>
      </c>
      <c r="AJ36" s="48">
        <f ca="1">$N$69*(1-CUSTOS!$M$28)</f>
        <v>0</v>
      </c>
      <c r="AK36" s="48">
        <f t="shared" ca="1" si="0"/>
        <v>0</v>
      </c>
      <c r="AL36" s="48"/>
      <c r="AM36" s="48"/>
      <c r="AP36" s="48">
        <f>IF((1 - CUSTOS!$M$28)&lt;&gt;0,1/(1 - CUSTOS!$M$28),1)</f>
        <v>1</v>
      </c>
    </row>
    <row r="37" spans="1:42" ht="11.25" customHeight="1" x14ac:dyDescent="0.25">
      <c r="A37" s="109"/>
      <c r="B37" s="51" t="s">
        <v>23</v>
      </c>
      <c r="C37" s="51" t="s">
        <v>42</v>
      </c>
      <c r="D37" s="51" t="s">
        <v>25</v>
      </c>
      <c r="E37" s="51" t="s">
        <v>25</v>
      </c>
      <c r="F37" s="51" t="s">
        <v>25</v>
      </c>
      <c r="G37" s="52" t="s">
        <v>88</v>
      </c>
      <c r="H37" s="52" t="s">
        <v>82</v>
      </c>
      <c r="I37" s="52">
        <f>'MERCADO TUSD'!$U$34</f>
        <v>185983.22399999999</v>
      </c>
      <c r="J37" s="15"/>
      <c r="L37" s="48">
        <f>1*(1 - CUSTOS!$M$28)</f>
        <v>1</v>
      </c>
      <c r="M37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CUSTOS!$M$28)</f>
        <v>0.91019297567338175</v>
      </c>
      <c r="N37" s="48">
        <f ca="1">(+M37+O37+R37+U37+V37+W37+X37+Y37+Z37+AA37+AC37+AH37+AI37+AJ37+AK37)*CUSTOS!$M$5</f>
        <v>2.9205199297567337E-12</v>
      </c>
      <c r="O37" s="48">
        <f>1 - CUSTOS!$M$28</f>
        <v>1</v>
      </c>
      <c r="P37" s="48">
        <f>1 - CUSTOS!$M$28</f>
        <v>1</v>
      </c>
      <c r="Q37" s="48">
        <f>1*(1 - CUSTOS!$M$28)</f>
        <v>1</v>
      </c>
      <c r="R37" s="48">
        <f>1 - CUSTOS!$M$28</f>
        <v>1</v>
      </c>
      <c r="S37" s="48">
        <f>1 - CUSTOS!$M$28</f>
        <v>1</v>
      </c>
      <c r="T37" s="48"/>
      <c r="U37" s="48">
        <f>TRANSICAO!$U$37*CUSTOS!$T$3</f>
        <v>7.7641999999999998</v>
      </c>
      <c r="V37" s="48">
        <f>TRANSICAO!$V$37*CUSTOS!$T$3</f>
        <v>6.3124000000000002</v>
      </c>
      <c r="W37" s="48">
        <f>TRANSICAO!$W$37*CUSTOS!$T$3</f>
        <v>0.5282</v>
      </c>
      <c r="X37" s="48">
        <f>TRANSICAO!$X$37*CUSTOS!$T$3</f>
        <v>0</v>
      </c>
      <c r="Y37" s="48">
        <f>TRANSICAO!$Y$37*CUSTOS!$T$3</f>
        <v>69.028499999999994</v>
      </c>
      <c r="Z37" s="48">
        <f>TRANSICAO!$Z$37*CUSTOS!$T$3</f>
        <v>0</v>
      </c>
      <c r="AA37" s="48">
        <f>TRANSICAO!$AA$37*CUSTOS!$T$3</f>
        <v>0</v>
      </c>
      <c r="AB37" s="48">
        <f>TRANSICAO!$AB$37*CUSTOS!$T$3</f>
        <v>0</v>
      </c>
      <c r="AC37" s="48">
        <f>TRANSICAO!$AC$37*CUSTOS!$T$3</f>
        <v>188.86019999999999</v>
      </c>
      <c r="AD37" s="48">
        <f>TRANSICAO!$AD$37*CUSTOS!$T$3</f>
        <v>0</v>
      </c>
      <c r="AE37" s="48">
        <v>0</v>
      </c>
      <c r="AF37" s="48">
        <v>0</v>
      </c>
      <c r="AG37" s="48"/>
      <c r="AH37" s="48">
        <f>(1 - CUSTOS!$M$28)*16.1922</f>
        <v>16.1922</v>
      </c>
      <c r="AI37" s="48">
        <f>(1 - CUSTOS!$M$28)*0.4561</f>
        <v>0.45610000000000001</v>
      </c>
      <c r="AJ37" s="48">
        <f ca="1">$N$69*(1-CUSTOS!$M$28)</f>
        <v>0</v>
      </c>
      <c r="AK37" s="48">
        <f t="shared" ref="AK37:AK55" ca="1" si="1">AJ37</f>
        <v>0</v>
      </c>
      <c r="AL37" s="48"/>
      <c r="AM37" s="48"/>
      <c r="AP37" s="48">
        <f>IF((1 - CUSTOS!$M$28)&lt;&gt;0,1/(1 - CUSTOS!$M$28),1)</f>
        <v>1</v>
      </c>
    </row>
    <row r="38" spans="1:42" ht="11.25" customHeight="1" x14ac:dyDescent="0.25">
      <c r="A38" s="109"/>
      <c r="B38" s="109" t="s">
        <v>95</v>
      </c>
      <c r="C38" s="109" t="s">
        <v>42</v>
      </c>
      <c r="D38" s="109" t="s">
        <v>98</v>
      </c>
      <c r="E38" s="109" t="s">
        <v>25</v>
      </c>
      <c r="F38" s="109" t="s">
        <v>25</v>
      </c>
      <c r="G38" s="52" t="s">
        <v>83</v>
      </c>
      <c r="H38" s="52" t="s">
        <v>82</v>
      </c>
      <c r="I38" s="52">
        <f>'MERCADO TUSD'!$U$35</f>
        <v>0</v>
      </c>
      <c r="J38" s="15"/>
      <c r="L38" s="48">
        <f>1*(1 - CUSTOS!$M$29)</f>
        <v>1</v>
      </c>
      <c r="M38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CUSTOS!$M$29)</f>
        <v>0.91019297567338175</v>
      </c>
      <c r="N38" s="48">
        <f ca="1">(+M38+O38+R38+U38+V38+W38+X38+Y38+Z38+AA38+AC38+AH38+AI38+AJ38+AK38)*CUSTOS!$M$5</f>
        <v>6.5326939297567336E-12</v>
      </c>
      <c r="O38" s="48">
        <f>1 - CUSTOS!$M$29</f>
        <v>1</v>
      </c>
      <c r="P38" s="48">
        <f>1 - CUSTOS!$M$29</f>
        <v>1</v>
      </c>
      <c r="Q38" s="48">
        <f>1*(1 - CUSTOS!$M$29)</f>
        <v>1</v>
      </c>
      <c r="R38" s="48">
        <f>1 - CUSTOS!$M$29</f>
        <v>1</v>
      </c>
      <c r="S38" s="48">
        <f>1 - CUSTOS!$M$29</f>
        <v>1</v>
      </c>
      <c r="T38" s="48"/>
      <c r="U38" s="48">
        <f>TRANSICAO!$U$38*CUSTOS!$T$3</f>
        <v>18.0564</v>
      </c>
      <c r="V38" s="48">
        <f>TRANSICAO!$V$38*CUSTOS!$T$3</f>
        <v>14.68</v>
      </c>
      <c r="W38" s="48">
        <f>TRANSICAO!$W$38*CUSTOS!$T$3</f>
        <v>1.2283999999999999</v>
      </c>
      <c r="X38" s="48">
        <f>TRANSICAO!$X$38*CUSTOS!$T$3</f>
        <v>0</v>
      </c>
      <c r="Y38" s="48">
        <f>TRANSICAO!$Y$38*CUSTOS!$T$3</f>
        <v>160.53280000000001</v>
      </c>
      <c r="Z38" s="48">
        <f>TRANSICAO!$Z$38*CUSTOS!$T$3</f>
        <v>0</v>
      </c>
      <c r="AA38" s="48">
        <f>TRANSICAO!$AA$38*CUSTOS!$T$3</f>
        <v>0</v>
      </c>
      <c r="AB38" s="48">
        <f>TRANSICAO!$AB$38*CUSTOS!$T$3</f>
        <v>0</v>
      </c>
      <c r="AC38" s="48">
        <f>TRANSICAO!$AC$38*CUSTOS!$T$3</f>
        <v>439.2133</v>
      </c>
      <c r="AD38" s="48">
        <f>TRANSICAO!$AD$38*CUSTOS!$T$3</f>
        <v>0</v>
      </c>
      <c r="AE38" s="48">
        <v>0</v>
      </c>
      <c r="AF38" s="48">
        <v>0</v>
      </c>
      <c r="AG38" s="48"/>
      <c r="AH38" s="48">
        <f>(1 - CUSTOS!$M$29)*16.1922</f>
        <v>16.1922</v>
      </c>
      <c r="AI38" s="48">
        <f>(1 - CUSTOS!$M$29)*0.4561</f>
        <v>0.45610000000000001</v>
      </c>
      <c r="AJ38" s="48">
        <f ca="1">$N$69*(1-CUSTOS!$M$29)</f>
        <v>0</v>
      </c>
      <c r="AK38" s="48">
        <f t="shared" ca="1" si="1"/>
        <v>0</v>
      </c>
      <c r="AL38" s="48"/>
      <c r="AM38" s="48"/>
      <c r="AP38" s="48">
        <f>IF((1 - CUSTOS!$M$29)&lt;&gt;0,1/(1 - CUSTOS!$M$29),1)</f>
        <v>1</v>
      </c>
    </row>
    <row r="39" spans="1:42" ht="11.25" customHeight="1" x14ac:dyDescent="0.25">
      <c r="A39" s="109"/>
      <c r="B39" s="109"/>
      <c r="C39" s="109"/>
      <c r="D39" s="109"/>
      <c r="E39" s="109"/>
      <c r="F39" s="109"/>
      <c r="G39" s="52" t="s">
        <v>94</v>
      </c>
      <c r="H39" s="52" t="s">
        <v>82</v>
      </c>
      <c r="I39" s="52">
        <f>'MERCADO TUSD'!$U$36</f>
        <v>0</v>
      </c>
      <c r="J39" s="15"/>
      <c r="L39" s="48">
        <f>1*(1 - CUSTOS!$M$29)</f>
        <v>1</v>
      </c>
      <c r="M39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CUSTOS!$M$29)</f>
        <v>0.91019297567338175</v>
      </c>
      <c r="N39" s="48">
        <f ca="1">(+M39+O39+R39+U39+V39+W39+X39+Y39+Z39+AA39+AC39+AH39+AI39+AJ39+AK39)*CUSTOS!$M$5</f>
        <v>3.4262699297567337E-12</v>
      </c>
      <c r="O39" s="48">
        <f>1 - CUSTOS!$M$29</f>
        <v>1</v>
      </c>
      <c r="P39" s="48">
        <f>1 - CUSTOS!$M$29</f>
        <v>1</v>
      </c>
      <c r="Q39" s="48">
        <f>1*(1 - CUSTOS!$M$29)</f>
        <v>1</v>
      </c>
      <c r="R39" s="48">
        <f>1 - CUSTOS!$M$29</f>
        <v>1</v>
      </c>
      <c r="S39" s="48">
        <f>1 - CUSTOS!$M$29</f>
        <v>1</v>
      </c>
      <c r="T39" s="48"/>
      <c r="U39" s="48">
        <f>TRANSICAO!$U$39*CUSTOS!$T$3</f>
        <v>9.2051999999999996</v>
      </c>
      <c r="V39" s="48">
        <f>TRANSICAO!$V$39*CUSTOS!$T$3</f>
        <v>7.484</v>
      </c>
      <c r="W39" s="48">
        <f>TRANSICAO!$W$39*CUSTOS!$T$3</f>
        <v>0.62629999999999997</v>
      </c>
      <c r="X39" s="48">
        <f>TRANSICAO!$X$39*CUSTOS!$T$3</f>
        <v>0</v>
      </c>
      <c r="Y39" s="48">
        <f>TRANSICAO!$Y$39*CUSTOS!$T$3</f>
        <v>81.840299999999999</v>
      </c>
      <c r="Z39" s="48">
        <f>TRANSICAO!$Z$39*CUSTOS!$T$3</f>
        <v>0</v>
      </c>
      <c r="AA39" s="48">
        <f>TRANSICAO!$AA$39*CUSTOS!$T$3</f>
        <v>0</v>
      </c>
      <c r="AB39" s="48">
        <f>TRANSICAO!$AB$39*CUSTOS!$T$3</f>
        <v>0</v>
      </c>
      <c r="AC39" s="48">
        <f>TRANSICAO!$AC$39*CUSTOS!$T$3</f>
        <v>223.9127</v>
      </c>
      <c r="AD39" s="48">
        <f>TRANSICAO!$AD$39*CUSTOS!$T$3</f>
        <v>0</v>
      </c>
      <c r="AE39" s="48">
        <v>0</v>
      </c>
      <c r="AF39" s="48">
        <v>0</v>
      </c>
      <c r="AG39" s="48"/>
      <c r="AH39" s="48">
        <f>(1 - CUSTOS!$M$29)*16.1922</f>
        <v>16.1922</v>
      </c>
      <c r="AI39" s="48">
        <f>(1 - CUSTOS!$M$29)*0.4561</f>
        <v>0.45610000000000001</v>
      </c>
      <c r="AJ39" s="48">
        <f ca="1">$N$69*(1-CUSTOS!$M$29)</f>
        <v>0</v>
      </c>
      <c r="AK39" s="48">
        <f t="shared" ca="1" si="1"/>
        <v>0</v>
      </c>
      <c r="AL39" s="48"/>
      <c r="AM39" s="48"/>
      <c r="AP39" s="48">
        <f>IF((1 - CUSTOS!$M$29)&lt;&gt;0,1/(1 - CUSTOS!$M$29),1)</f>
        <v>1</v>
      </c>
    </row>
    <row r="40" spans="1:42" ht="11.25" customHeight="1" x14ac:dyDescent="0.25">
      <c r="A40" s="109"/>
      <c r="B40" s="109"/>
      <c r="C40" s="109"/>
      <c r="D40" s="109"/>
      <c r="E40" s="109"/>
      <c r="F40" s="109"/>
      <c r="G40" s="52" t="s">
        <v>84</v>
      </c>
      <c r="H40" s="52" t="s">
        <v>82</v>
      </c>
      <c r="I40" s="52">
        <f>'MERCADO TUSD'!$U$37</f>
        <v>0</v>
      </c>
      <c r="J40" s="15"/>
      <c r="L40" s="48">
        <f>1*(1 - CUSTOS!$M$29)</f>
        <v>1</v>
      </c>
      <c r="M40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CUSTOS!$M$29)</f>
        <v>0.91019297567338175</v>
      </c>
      <c r="N40" s="48">
        <f ca="1">(+M40+O40+R40+U40+V40+W40+X40+Y40+Z40+AA40+AC40+AH40+AI40+AJ40+AK40)*CUSTOS!$M$5</f>
        <v>2.2665339297567339E-12</v>
      </c>
      <c r="O40" s="48">
        <f>1 - CUSTOS!$M$29</f>
        <v>1</v>
      </c>
      <c r="P40" s="48">
        <f>1 - CUSTOS!$M$29</f>
        <v>1</v>
      </c>
      <c r="Q40" s="48">
        <f>1*(1 - CUSTOS!$M$29)</f>
        <v>1</v>
      </c>
      <c r="R40" s="48">
        <f>1 - CUSTOS!$M$29</f>
        <v>1</v>
      </c>
      <c r="S40" s="48">
        <f>1 - CUSTOS!$M$29</f>
        <v>1</v>
      </c>
      <c r="T40" s="48"/>
      <c r="U40" s="48">
        <f>TRANSICAO!$U$40*CUSTOS!$T$3</f>
        <v>5.9006999999999996</v>
      </c>
      <c r="V40" s="48">
        <f>TRANSICAO!$V$40*CUSTOS!$T$3</f>
        <v>4.7973999999999997</v>
      </c>
      <c r="W40" s="48">
        <f>TRANSICAO!$W$40*CUSTOS!$T$3</f>
        <v>0.40139999999999998</v>
      </c>
      <c r="X40" s="48">
        <f>TRANSICAO!$X$40*CUSTOS!$T$3</f>
        <v>0</v>
      </c>
      <c r="Y40" s="48">
        <f>TRANSICAO!$Y$40*CUSTOS!$T$3</f>
        <v>52.461599999999997</v>
      </c>
      <c r="Z40" s="48">
        <f>TRANSICAO!$Z$40*CUSTOS!$T$3</f>
        <v>0</v>
      </c>
      <c r="AA40" s="48">
        <f>TRANSICAO!$AA$40*CUSTOS!$T$3</f>
        <v>0</v>
      </c>
      <c r="AB40" s="48">
        <f>TRANSICAO!$AB$40*CUSTOS!$T$3</f>
        <v>0</v>
      </c>
      <c r="AC40" s="48">
        <f>TRANSICAO!$AC$40*CUSTOS!$T$3</f>
        <v>143.53380000000001</v>
      </c>
      <c r="AD40" s="48">
        <f>TRANSICAO!$AD$40*CUSTOS!$T$3</f>
        <v>0</v>
      </c>
      <c r="AE40" s="48">
        <v>0</v>
      </c>
      <c r="AF40" s="48">
        <v>0</v>
      </c>
      <c r="AG40" s="48"/>
      <c r="AH40" s="48">
        <f>(1 - CUSTOS!$M$29)*16.1922</f>
        <v>16.1922</v>
      </c>
      <c r="AI40" s="48">
        <f>(1 - CUSTOS!$M$29)*0.4561</f>
        <v>0.45610000000000001</v>
      </c>
      <c r="AJ40" s="48">
        <f ca="1">$N$69*(1-CUSTOS!$M$29)</f>
        <v>0</v>
      </c>
      <c r="AK40" s="48">
        <f t="shared" ca="1" si="1"/>
        <v>0</v>
      </c>
      <c r="AL40" s="48"/>
      <c r="AM40" s="48"/>
      <c r="AP40" s="48">
        <f>IF((1 - CUSTOS!$M$29)&lt;&gt;0,1/(1 - CUSTOS!$M$29),1)</f>
        <v>1</v>
      </c>
    </row>
    <row r="41" spans="1:42" ht="11.25" customHeight="1" x14ac:dyDescent="0.25">
      <c r="A41" s="109"/>
      <c r="B41" s="51" t="s">
        <v>23</v>
      </c>
      <c r="C41" s="51" t="s">
        <v>42</v>
      </c>
      <c r="D41" s="51" t="s">
        <v>98</v>
      </c>
      <c r="E41" s="51" t="s">
        <v>25</v>
      </c>
      <c r="F41" s="51" t="s">
        <v>25</v>
      </c>
      <c r="G41" s="52" t="s">
        <v>88</v>
      </c>
      <c r="H41" s="52" t="s">
        <v>82</v>
      </c>
      <c r="I41" s="52">
        <f>'MERCADO TUSD'!$U$38</f>
        <v>0</v>
      </c>
      <c r="J41" s="15"/>
      <c r="L41" s="48">
        <f>1*(1 - CUSTOS!$M$29)</f>
        <v>1</v>
      </c>
      <c r="M41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CUSTOS!$M$29)</f>
        <v>0.91019297567338175</v>
      </c>
      <c r="N41" s="48">
        <f ca="1">(+M41+O41+R41+U41+V41+W41+X41+Y41+Z41+AA41+AC41+AH41+AI41+AJ41+AK41)*CUSTOS!$M$5</f>
        <v>2.9205199297567337E-12</v>
      </c>
      <c r="O41" s="48">
        <f>1 - CUSTOS!$M$29</f>
        <v>1</v>
      </c>
      <c r="P41" s="48">
        <f>1 - CUSTOS!$M$29</f>
        <v>1</v>
      </c>
      <c r="Q41" s="48">
        <f>1*(1 - CUSTOS!$M$29)</f>
        <v>1</v>
      </c>
      <c r="R41" s="48">
        <f>1 - CUSTOS!$M$29</f>
        <v>1</v>
      </c>
      <c r="S41" s="48">
        <f>1 - CUSTOS!$M$29</f>
        <v>1</v>
      </c>
      <c r="T41" s="48"/>
      <c r="U41" s="48">
        <f>TRANSICAO!$U$41*CUSTOS!$T$3</f>
        <v>7.7641999999999998</v>
      </c>
      <c r="V41" s="48">
        <f>TRANSICAO!$V$41*CUSTOS!$T$3</f>
        <v>6.3124000000000002</v>
      </c>
      <c r="W41" s="48">
        <f>TRANSICAO!$W$41*CUSTOS!$T$3</f>
        <v>0.5282</v>
      </c>
      <c r="X41" s="48">
        <f>TRANSICAO!$X$41*CUSTOS!$T$3</f>
        <v>0</v>
      </c>
      <c r="Y41" s="48">
        <f>TRANSICAO!$Y$41*CUSTOS!$T$3</f>
        <v>69.028499999999994</v>
      </c>
      <c r="Z41" s="48">
        <f>TRANSICAO!$Z$41*CUSTOS!$T$3</f>
        <v>0</v>
      </c>
      <c r="AA41" s="48">
        <f>TRANSICAO!$AA$41*CUSTOS!$T$3</f>
        <v>0</v>
      </c>
      <c r="AB41" s="48">
        <f>TRANSICAO!$AB$41*CUSTOS!$T$3</f>
        <v>0</v>
      </c>
      <c r="AC41" s="48">
        <f>TRANSICAO!$AC$41*CUSTOS!$T$3</f>
        <v>188.86019999999999</v>
      </c>
      <c r="AD41" s="48">
        <f>TRANSICAO!$AD$41*CUSTOS!$T$3</f>
        <v>0</v>
      </c>
      <c r="AE41" s="48">
        <v>0</v>
      </c>
      <c r="AF41" s="48">
        <v>0</v>
      </c>
      <c r="AG41" s="48"/>
      <c r="AH41" s="48">
        <f>(1 - CUSTOS!$M$29)*16.1922</f>
        <v>16.1922</v>
      </c>
      <c r="AI41" s="48">
        <f>(1 - CUSTOS!$M$29)*0.4561</f>
        <v>0.45610000000000001</v>
      </c>
      <c r="AJ41" s="48">
        <f ca="1">$N$69*(1-CUSTOS!$M$29)</f>
        <v>0</v>
      </c>
      <c r="AK41" s="48">
        <f t="shared" ca="1" si="1"/>
        <v>0</v>
      </c>
      <c r="AL41" s="48"/>
      <c r="AM41" s="48"/>
      <c r="AP41" s="48">
        <f>IF((1 - CUSTOS!$M$29)&lt;&gt;0,1/(1 - CUSTOS!$M$29),1)</f>
        <v>1</v>
      </c>
    </row>
    <row r="42" spans="1:42" ht="11.25" customHeight="1" x14ac:dyDescent="0.25">
      <c r="A42" s="109"/>
      <c r="B42" s="109" t="s">
        <v>95</v>
      </c>
      <c r="C42" s="109" t="s">
        <v>42</v>
      </c>
      <c r="D42" s="109" t="s">
        <v>99</v>
      </c>
      <c r="E42" s="109" t="s">
        <v>25</v>
      </c>
      <c r="F42" s="109" t="s">
        <v>25</v>
      </c>
      <c r="G42" s="52" t="s">
        <v>83</v>
      </c>
      <c r="H42" s="52" t="s">
        <v>82</v>
      </c>
      <c r="I42" s="52">
        <f>'MERCADO TUSD'!$U$39</f>
        <v>0</v>
      </c>
      <c r="J42" s="15"/>
      <c r="L42" s="48">
        <f>1*(1 - CUSTOS!$M$30)</f>
        <v>1</v>
      </c>
      <c r="M42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CUSTOS!$M$30)</f>
        <v>0.91019297567338175</v>
      </c>
      <c r="N42" s="48">
        <f ca="1">(+M42+O42+R42+U42+V42+W42+X42+Y42+Z42+AA42+AC42+AH42+AI42+AJ42+AK42)*CUSTOS!$M$5</f>
        <v>6.5326939297567336E-12</v>
      </c>
      <c r="O42" s="48">
        <f>1 - CUSTOS!$M$30</f>
        <v>1</v>
      </c>
      <c r="P42" s="48">
        <f>1 - CUSTOS!$M$30</f>
        <v>1</v>
      </c>
      <c r="Q42" s="48">
        <f>1*(1 - CUSTOS!$M$30)</f>
        <v>1</v>
      </c>
      <c r="R42" s="48">
        <f>1 - CUSTOS!$M$30</f>
        <v>1</v>
      </c>
      <c r="S42" s="48">
        <f>1 - CUSTOS!$M$30</f>
        <v>1</v>
      </c>
      <c r="T42" s="48"/>
      <c r="U42" s="48">
        <f>TRANSICAO!$U$42*CUSTOS!$T$3</f>
        <v>18.0564</v>
      </c>
      <c r="V42" s="48">
        <f>TRANSICAO!$V$42*CUSTOS!$T$3</f>
        <v>14.68</v>
      </c>
      <c r="W42" s="48">
        <f>TRANSICAO!$W$42*CUSTOS!$T$3</f>
        <v>1.2283999999999999</v>
      </c>
      <c r="X42" s="48">
        <f>TRANSICAO!$X$42*CUSTOS!$T$3</f>
        <v>0</v>
      </c>
      <c r="Y42" s="48">
        <f>TRANSICAO!$Y$42*CUSTOS!$T$3</f>
        <v>160.53280000000001</v>
      </c>
      <c r="Z42" s="48">
        <f>TRANSICAO!$Z$42*CUSTOS!$T$3</f>
        <v>0</v>
      </c>
      <c r="AA42" s="48">
        <f>TRANSICAO!$AA$42*CUSTOS!$T$3</f>
        <v>0</v>
      </c>
      <c r="AB42" s="48">
        <f>TRANSICAO!$AB$42*CUSTOS!$T$3</f>
        <v>0</v>
      </c>
      <c r="AC42" s="48">
        <f>TRANSICAO!$AC$42*CUSTOS!$T$3</f>
        <v>439.2133</v>
      </c>
      <c r="AD42" s="48">
        <f>TRANSICAO!$AD$42*CUSTOS!$T$3</f>
        <v>0</v>
      </c>
      <c r="AE42" s="48">
        <v>0</v>
      </c>
      <c r="AF42" s="48">
        <v>0</v>
      </c>
      <c r="AG42" s="48"/>
      <c r="AH42" s="48">
        <f>(1 - CUSTOS!$M$30)*16.1922</f>
        <v>16.1922</v>
      </c>
      <c r="AI42" s="48">
        <f>(1 - CUSTOS!$M$30)*0.4561</f>
        <v>0.45610000000000001</v>
      </c>
      <c r="AJ42" s="48">
        <f ca="1">$N$69*(1-CUSTOS!$M$30)</f>
        <v>0</v>
      </c>
      <c r="AK42" s="48">
        <f t="shared" ca="1" si="1"/>
        <v>0</v>
      </c>
      <c r="AL42" s="48"/>
      <c r="AM42" s="48"/>
      <c r="AP42" s="48">
        <f>IF((1 - CUSTOS!$M$30)&lt;&gt;0,1/(1 - CUSTOS!$M$30),1)</f>
        <v>1</v>
      </c>
    </row>
    <row r="43" spans="1:42" ht="11.25" customHeight="1" x14ac:dyDescent="0.25">
      <c r="A43" s="109"/>
      <c r="B43" s="109"/>
      <c r="C43" s="109"/>
      <c r="D43" s="109"/>
      <c r="E43" s="109"/>
      <c r="F43" s="109"/>
      <c r="G43" s="52" t="s">
        <v>94</v>
      </c>
      <c r="H43" s="52" t="s">
        <v>82</v>
      </c>
      <c r="I43" s="52">
        <f>'MERCADO TUSD'!$U$40</f>
        <v>0</v>
      </c>
      <c r="J43" s="15"/>
      <c r="L43" s="48">
        <f>1*(1 - CUSTOS!$M$30)</f>
        <v>1</v>
      </c>
      <c r="M43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CUSTOS!$M$30)</f>
        <v>0.91019297567338175</v>
      </c>
      <c r="N43" s="48">
        <f ca="1">(+M43+O43+R43+U43+V43+W43+X43+Y43+Z43+AA43+AC43+AH43+AI43+AJ43+AK43)*CUSTOS!$M$5</f>
        <v>3.4262699297567337E-12</v>
      </c>
      <c r="O43" s="48">
        <f>1 - CUSTOS!$M$30</f>
        <v>1</v>
      </c>
      <c r="P43" s="48">
        <f>1 - CUSTOS!$M$30</f>
        <v>1</v>
      </c>
      <c r="Q43" s="48">
        <f>1*(1 - CUSTOS!$M$30)</f>
        <v>1</v>
      </c>
      <c r="R43" s="48">
        <f>1 - CUSTOS!$M$30</f>
        <v>1</v>
      </c>
      <c r="S43" s="48">
        <f>1 - CUSTOS!$M$30</f>
        <v>1</v>
      </c>
      <c r="T43" s="48"/>
      <c r="U43" s="48">
        <f>TRANSICAO!$U$43*CUSTOS!$T$3</f>
        <v>9.2051999999999996</v>
      </c>
      <c r="V43" s="48">
        <f>TRANSICAO!$V$43*CUSTOS!$T$3</f>
        <v>7.484</v>
      </c>
      <c r="W43" s="48">
        <f>TRANSICAO!$W$43*CUSTOS!$T$3</f>
        <v>0.62629999999999997</v>
      </c>
      <c r="X43" s="48">
        <f>TRANSICAO!$X$43*CUSTOS!$T$3</f>
        <v>0</v>
      </c>
      <c r="Y43" s="48">
        <f>TRANSICAO!$Y$43*CUSTOS!$T$3</f>
        <v>81.840299999999999</v>
      </c>
      <c r="Z43" s="48">
        <f>TRANSICAO!$Z$43*CUSTOS!$T$3</f>
        <v>0</v>
      </c>
      <c r="AA43" s="48">
        <f>TRANSICAO!$AA$43*CUSTOS!$T$3</f>
        <v>0</v>
      </c>
      <c r="AB43" s="48">
        <f>TRANSICAO!$AB$43*CUSTOS!$T$3</f>
        <v>0</v>
      </c>
      <c r="AC43" s="48">
        <f>TRANSICAO!$AC$43*CUSTOS!$T$3</f>
        <v>223.9127</v>
      </c>
      <c r="AD43" s="48">
        <f>TRANSICAO!$AD$43*CUSTOS!$T$3</f>
        <v>0</v>
      </c>
      <c r="AE43" s="48">
        <v>0</v>
      </c>
      <c r="AF43" s="48">
        <v>0</v>
      </c>
      <c r="AG43" s="48"/>
      <c r="AH43" s="48">
        <f>(1 - CUSTOS!$M$30)*16.1922</f>
        <v>16.1922</v>
      </c>
      <c r="AI43" s="48">
        <f>(1 - CUSTOS!$M$30)*0.4561</f>
        <v>0.45610000000000001</v>
      </c>
      <c r="AJ43" s="48">
        <f ca="1">$N$69*(1-CUSTOS!$M$30)</f>
        <v>0</v>
      </c>
      <c r="AK43" s="48">
        <f t="shared" ca="1" si="1"/>
        <v>0</v>
      </c>
      <c r="AL43" s="48"/>
      <c r="AM43" s="48"/>
      <c r="AP43" s="48">
        <f>IF((1 - CUSTOS!$M$30)&lt;&gt;0,1/(1 - CUSTOS!$M$30),1)</f>
        <v>1</v>
      </c>
    </row>
    <row r="44" spans="1:42" ht="11.25" customHeight="1" x14ac:dyDescent="0.25">
      <c r="A44" s="109"/>
      <c r="B44" s="109"/>
      <c r="C44" s="109"/>
      <c r="D44" s="109"/>
      <c r="E44" s="109"/>
      <c r="F44" s="109"/>
      <c r="G44" s="52" t="s">
        <v>84</v>
      </c>
      <c r="H44" s="52" t="s">
        <v>82</v>
      </c>
      <c r="I44" s="52">
        <f>'MERCADO TUSD'!$U$41</f>
        <v>0</v>
      </c>
      <c r="J44" s="15"/>
      <c r="L44" s="48">
        <f>1*(1 - CUSTOS!$M$30)</f>
        <v>1</v>
      </c>
      <c r="M44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CUSTOS!$M$30)</f>
        <v>0.91019297567338175</v>
      </c>
      <c r="N44" s="48">
        <f ca="1">(+M44+O44+R44+U44+V44+W44+X44+Y44+Z44+AA44+AC44+AH44+AI44+AJ44+AK44)*CUSTOS!$M$5</f>
        <v>2.2665339297567339E-12</v>
      </c>
      <c r="O44" s="48">
        <f>1 - CUSTOS!$M$30</f>
        <v>1</v>
      </c>
      <c r="P44" s="48">
        <f>1 - CUSTOS!$M$30</f>
        <v>1</v>
      </c>
      <c r="Q44" s="48">
        <f>1*(1 - CUSTOS!$M$30)</f>
        <v>1</v>
      </c>
      <c r="R44" s="48">
        <f>1 - CUSTOS!$M$30</f>
        <v>1</v>
      </c>
      <c r="S44" s="48">
        <f>1 - CUSTOS!$M$30</f>
        <v>1</v>
      </c>
      <c r="T44" s="48"/>
      <c r="U44" s="48">
        <f>TRANSICAO!$U$44*CUSTOS!$T$3</f>
        <v>5.9006999999999996</v>
      </c>
      <c r="V44" s="48">
        <f>TRANSICAO!$V$44*CUSTOS!$T$3</f>
        <v>4.7973999999999997</v>
      </c>
      <c r="W44" s="48">
        <f>TRANSICAO!$W$44*CUSTOS!$T$3</f>
        <v>0.40139999999999998</v>
      </c>
      <c r="X44" s="48">
        <f>TRANSICAO!$X$44*CUSTOS!$T$3</f>
        <v>0</v>
      </c>
      <c r="Y44" s="48">
        <f>TRANSICAO!$Y$44*CUSTOS!$T$3</f>
        <v>52.461599999999997</v>
      </c>
      <c r="Z44" s="48">
        <f>TRANSICAO!$Z$44*CUSTOS!$T$3</f>
        <v>0</v>
      </c>
      <c r="AA44" s="48">
        <f>TRANSICAO!$AA$44*CUSTOS!$T$3</f>
        <v>0</v>
      </c>
      <c r="AB44" s="48">
        <f>TRANSICAO!$AB$44*CUSTOS!$T$3</f>
        <v>0</v>
      </c>
      <c r="AC44" s="48">
        <f>TRANSICAO!$AC$44*CUSTOS!$T$3</f>
        <v>143.53380000000001</v>
      </c>
      <c r="AD44" s="48">
        <f>TRANSICAO!$AD$44*CUSTOS!$T$3</f>
        <v>0</v>
      </c>
      <c r="AE44" s="48">
        <v>0</v>
      </c>
      <c r="AF44" s="48">
        <v>0</v>
      </c>
      <c r="AG44" s="48"/>
      <c r="AH44" s="48">
        <f>(1 - CUSTOS!$M$30)*16.1922</f>
        <v>16.1922</v>
      </c>
      <c r="AI44" s="48">
        <f>(1 - CUSTOS!$M$30)*0.4561</f>
        <v>0.45610000000000001</v>
      </c>
      <c r="AJ44" s="48">
        <f ca="1">$N$69*(1-CUSTOS!$M$30)</f>
        <v>0</v>
      </c>
      <c r="AK44" s="48">
        <f t="shared" ca="1" si="1"/>
        <v>0</v>
      </c>
      <c r="AL44" s="48"/>
      <c r="AM44" s="48"/>
      <c r="AP44" s="48">
        <f>IF((1 - CUSTOS!$M$30)&lt;&gt;0,1/(1 - CUSTOS!$M$30),1)</f>
        <v>1</v>
      </c>
    </row>
    <row r="45" spans="1:42" ht="11.25" customHeight="1" x14ac:dyDescent="0.25">
      <c r="A45" s="109"/>
      <c r="B45" s="51" t="s">
        <v>23</v>
      </c>
      <c r="C45" s="51" t="s">
        <v>42</v>
      </c>
      <c r="D45" s="51" t="s">
        <v>99</v>
      </c>
      <c r="E45" s="51" t="s">
        <v>25</v>
      </c>
      <c r="F45" s="51" t="s">
        <v>25</v>
      </c>
      <c r="G45" s="52" t="s">
        <v>88</v>
      </c>
      <c r="H45" s="52" t="s">
        <v>82</v>
      </c>
      <c r="I45" s="52">
        <f>'MERCADO TUSD'!$U$42</f>
        <v>0</v>
      </c>
      <c r="J45" s="15"/>
      <c r="L45" s="48">
        <f>1*(1 - CUSTOS!$M$30)</f>
        <v>1</v>
      </c>
      <c r="M45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CUSTOS!$M$30)</f>
        <v>0.91019297567338175</v>
      </c>
      <c r="N45" s="48">
        <f ca="1">(+M45+O45+R45+U45+V45+W45+X45+Y45+Z45+AA45+AC45+AH45+AI45+AJ45+AK45)*CUSTOS!$M$5</f>
        <v>2.9205199297567337E-12</v>
      </c>
      <c r="O45" s="48">
        <f>1 - CUSTOS!$M$30</f>
        <v>1</v>
      </c>
      <c r="P45" s="48">
        <f>1 - CUSTOS!$M$30</f>
        <v>1</v>
      </c>
      <c r="Q45" s="48">
        <f>1*(1 - CUSTOS!$M$30)</f>
        <v>1</v>
      </c>
      <c r="R45" s="48">
        <f>1 - CUSTOS!$M$30</f>
        <v>1</v>
      </c>
      <c r="S45" s="48">
        <f>1 - CUSTOS!$M$30</f>
        <v>1</v>
      </c>
      <c r="T45" s="48"/>
      <c r="U45" s="48">
        <f>TRANSICAO!$U$45*CUSTOS!$T$3</f>
        <v>7.7641999999999998</v>
      </c>
      <c r="V45" s="48">
        <f>TRANSICAO!$V$45*CUSTOS!$T$3</f>
        <v>6.3124000000000002</v>
      </c>
      <c r="W45" s="48">
        <f>TRANSICAO!$W$45*CUSTOS!$T$3</f>
        <v>0.5282</v>
      </c>
      <c r="X45" s="48">
        <f>TRANSICAO!$X$45*CUSTOS!$T$3</f>
        <v>0</v>
      </c>
      <c r="Y45" s="48">
        <f>TRANSICAO!$Y$45*CUSTOS!$T$3</f>
        <v>69.028499999999994</v>
      </c>
      <c r="Z45" s="48">
        <f>TRANSICAO!$Z$45*CUSTOS!$T$3</f>
        <v>0</v>
      </c>
      <c r="AA45" s="48">
        <f>TRANSICAO!$AA$45*CUSTOS!$T$3</f>
        <v>0</v>
      </c>
      <c r="AB45" s="48">
        <f>TRANSICAO!$AB$45*CUSTOS!$T$3</f>
        <v>0</v>
      </c>
      <c r="AC45" s="48">
        <f>TRANSICAO!$AC$45*CUSTOS!$T$3</f>
        <v>188.86019999999999</v>
      </c>
      <c r="AD45" s="48">
        <f>TRANSICAO!$AD$45*CUSTOS!$T$3</f>
        <v>0</v>
      </c>
      <c r="AE45" s="48">
        <v>0</v>
      </c>
      <c r="AF45" s="48">
        <v>0</v>
      </c>
      <c r="AG45" s="48"/>
      <c r="AH45" s="48">
        <f>(1 - CUSTOS!$M$30)*16.1922</f>
        <v>16.1922</v>
      </c>
      <c r="AI45" s="48">
        <f>(1 - CUSTOS!$M$30)*0.4561</f>
        <v>0.45610000000000001</v>
      </c>
      <c r="AJ45" s="48">
        <f ca="1">$N$69*(1-CUSTOS!$M$30)</f>
        <v>0</v>
      </c>
      <c r="AK45" s="48">
        <f t="shared" ca="1" si="1"/>
        <v>0</v>
      </c>
      <c r="AL45" s="48"/>
      <c r="AM45" s="48"/>
      <c r="AP45" s="48">
        <f>IF((1 - CUSTOS!$M$30)&lt;&gt;0,1/(1 - CUSTOS!$M$30),1)</f>
        <v>1</v>
      </c>
    </row>
    <row r="46" spans="1:42" ht="11.25" customHeight="1" x14ac:dyDescent="0.25">
      <c r="A46" s="109"/>
      <c r="B46" s="109" t="s">
        <v>97</v>
      </c>
      <c r="C46" s="109" t="s">
        <v>42</v>
      </c>
      <c r="D46" s="51" t="s">
        <v>25</v>
      </c>
      <c r="E46" s="51" t="s">
        <v>25</v>
      </c>
      <c r="F46" s="51" t="s">
        <v>25</v>
      </c>
      <c r="G46" s="52" t="s">
        <v>88</v>
      </c>
      <c r="H46" s="52" t="s">
        <v>82</v>
      </c>
      <c r="I46" s="52">
        <f>'MERCADO TUSD'!$U$43</f>
        <v>0</v>
      </c>
      <c r="J46" s="15"/>
      <c r="L46" s="48">
        <f>1*(1 - CUSTOS!$M$28)</f>
        <v>1</v>
      </c>
      <c r="M46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CUSTOS!$M$28)</f>
        <v>0.91019297567338175</v>
      </c>
      <c r="N46" s="48">
        <f ca="1">(+M46+O46+R46+U46+V46+W46+X46+Y46+Z46+AA46+AC46+AH46+AI46+AJ46+AK46)*CUSTOS!$M$5</f>
        <v>2.9205199297567337E-12</v>
      </c>
      <c r="O46" s="48">
        <f>1 - CUSTOS!$M$28</f>
        <v>1</v>
      </c>
      <c r="P46" s="48">
        <f>1 - CUSTOS!$M$28</f>
        <v>1</v>
      </c>
      <c r="Q46" s="48">
        <f>1*(1 - CUSTOS!$M$28)</f>
        <v>1</v>
      </c>
      <c r="R46" s="48">
        <f>1 - CUSTOS!$M$28</f>
        <v>1</v>
      </c>
      <c r="S46" s="48">
        <f>1 - CUSTOS!$M$28</f>
        <v>1</v>
      </c>
      <c r="T46" s="48"/>
      <c r="U46" s="48">
        <f>TRANSICAO!$U$46*CUSTOS!$T$3</f>
        <v>7.7641999999999998</v>
      </c>
      <c r="V46" s="48">
        <f>TRANSICAO!$V$46*CUSTOS!$T$3</f>
        <v>6.3124000000000002</v>
      </c>
      <c r="W46" s="48">
        <f>TRANSICAO!$W$46*CUSTOS!$T$3</f>
        <v>0.5282</v>
      </c>
      <c r="X46" s="48">
        <f>TRANSICAO!$X$46*CUSTOS!$T$3</f>
        <v>0</v>
      </c>
      <c r="Y46" s="48">
        <f>TRANSICAO!$Y$46*CUSTOS!$T$3</f>
        <v>69.028499999999994</v>
      </c>
      <c r="Z46" s="48">
        <f>TRANSICAO!$Z$46*CUSTOS!$T$3</f>
        <v>0</v>
      </c>
      <c r="AA46" s="48">
        <f>TRANSICAO!$AA$46*CUSTOS!$T$3</f>
        <v>0</v>
      </c>
      <c r="AB46" s="48">
        <f>TRANSICAO!$AB$46*CUSTOS!$T$3</f>
        <v>0</v>
      </c>
      <c r="AC46" s="48">
        <f>TRANSICAO!$AC$46*CUSTOS!$T$3</f>
        <v>188.86019999999999</v>
      </c>
      <c r="AD46" s="48">
        <f>TRANSICAO!$AD$46*CUSTOS!$T$3</f>
        <v>0</v>
      </c>
      <c r="AE46" s="48">
        <v>0</v>
      </c>
      <c r="AF46" s="48">
        <v>0</v>
      </c>
      <c r="AG46" s="48"/>
      <c r="AH46" s="48">
        <f>(1 - CUSTOS!$M$28)*16.1922</f>
        <v>16.1922</v>
      </c>
      <c r="AI46" s="48">
        <f>(1 - CUSTOS!$M$28)*0.4561</f>
        <v>0.45610000000000001</v>
      </c>
      <c r="AJ46" s="48">
        <f ca="1">$N$69*(1-CUSTOS!$M$28)</f>
        <v>0</v>
      </c>
      <c r="AK46" s="48">
        <f t="shared" ca="1" si="1"/>
        <v>0</v>
      </c>
      <c r="AL46" s="48"/>
      <c r="AM46" s="48"/>
      <c r="AP46" s="48">
        <f>IF((1 - CUSTOS!$M$28)&lt;&gt;0,1/(1 - CUSTOS!$M$28),1)</f>
        <v>1</v>
      </c>
    </row>
    <row r="47" spans="1:42" ht="11.25" customHeight="1" x14ac:dyDescent="0.25">
      <c r="A47" s="109"/>
      <c r="B47" s="109"/>
      <c r="C47" s="109"/>
      <c r="D47" s="51" t="s">
        <v>98</v>
      </c>
      <c r="E47" s="51" t="s">
        <v>25</v>
      </c>
      <c r="F47" s="51" t="s">
        <v>25</v>
      </c>
      <c r="G47" s="52" t="s">
        <v>88</v>
      </c>
      <c r="H47" s="52" t="s">
        <v>82</v>
      </c>
      <c r="I47" s="52">
        <f>'MERCADO TUSD'!$U$44</f>
        <v>0</v>
      </c>
      <c r="J47" s="15"/>
      <c r="L47" s="48">
        <f>1*(1 - CUSTOS!$M$29)</f>
        <v>1</v>
      </c>
      <c r="M47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CUSTOS!$M$29)</f>
        <v>0.91019297567338175</v>
      </c>
      <c r="N47" s="48">
        <f ca="1">(+M47+O47+R47+U47+V47+W47+X47+Y47+Z47+AA47+AC47+AH47+AI47+AJ47+AK47)*CUSTOS!$M$5</f>
        <v>2.9205199297567337E-12</v>
      </c>
      <c r="O47" s="48">
        <f>1 - CUSTOS!$M$29</f>
        <v>1</v>
      </c>
      <c r="P47" s="48">
        <f>1 - CUSTOS!$M$29</f>
        <v>1</v>
      </c>
      <c r="Q47" s="48">
        <f>1*(1 - CUSTOS!$M$29)</f>
        <v>1</v>
      </c>
      <c r="R47" s="48">
        <f>1 - CUSTOS!$M$29</f>
        <v>1</v>
      </c>
      <c r="S47" s="48">
        <f>1 - CUSTOS!$M$29</f>
        <v>1</v>
      </c>
      <c r="T47" s="48"/>
      <c r="U47" s="48">
        <f>TRANSICAO!$U$47*CUSTOS!$T$3</f>
        <v>7.7641999999999998</v>
      </c>
      <c r="V47" s="48">
        <f>TRANSICAO!$V$47*CUSTOS!$T$3</f>
        <v>6.3124000000000002</v>
      </c>
      <c r="W47" s="48">
        <f>TRANSICAO!$W$47*CUSTOS!$T$3</f>
        <v>0.5282</v>
      </c>
      <c r="X47" s="48">
        <f>TRANSICAO!$X$47*CUSTOS!$T$3</f>
        <v>0</v>
      </c>
      <c r="Y47" s="48">
        <f>TRANSICAO!$Y$47*CUSTOS!$T$3</f>
        <v>69.028499999999994</v>
      </c>
      <c r="Z47" s="48">
        <f>TRANSICAO!$Z$47*CUSTOS!$T$3</f>
        <v>0</v>
      </c>
      <c r="AA47" s="48">
        <f>TRANSICAO!$AA$47*CUSTOS!$T$3</f>
        <v>0</v>
      </c>
      <c r="AB47" s="48">
        <f>TRANSICAO!$AB$47*CUSTOS!$T$3</f>
        <v>0</v>
      </c>
      <c r="AC47" s="48">
        <f>TRANSICAO!$AC$47*CUSTOS!$T$3</f>
        <v>188.86019999999999</v>
      </c>
      <c r="AD47" s="48">
        <f>TRANSICAO!$AD$47*CUSTOS!$T$3</f>
        <v>0</v>
      </c>
      <c r="AE47" s="48">
        <v>0</v>
      </c>
      <c r="AF47" s="48">
        <v>0</v>
      </c>
      <c r="AG47" s="48"/>
      <c r="AH47" s="48">
        <f>(1 - CUSTOS!$M$29)*16.1922</f>
        <v>16.1922</v>
      </c>
      <c r="AI47" s="48">
        <f>(1 - CUSTOS!$M$29)*0.4561</f>
        <v>0.45610000000000001</v>
      </c>
      <c r="AJ47" s="48">
        <f ca="1">$N$69*(1-CUSTOS!$M$29)</f>
        <v>0</v>
      </c>
      <c r="AK47" s="48">
        <f t="shared" ca="1" si="1"/>
        <v>0</v>
      </c>
      <c r="AL47" s="48"/>
      <c r="AM47" s="48"/>
      <c r="AP47" s="48">
        <f>IF((1 - CUSTOS!$M$29)&lt;&gt;0,1/(1 - CUSTOS!$M$29),1)</f>
        <v>1</v>
      </c>
    </row>
    <row r="48" spans="1:42" ht="11.25" customHeight="1" x14ac:dyDescent="0.25">
      <c r="A48" s="109"/>
      <c r="B48" s="109"/>
      <c r="C48" s="109"/>
      <c r="D48" s="51" t="s">
        <v>99</v>
      </c>
      <c r="E48" s="51" t="s">
        <v>25</v>
      </c>
      <c r="F48" s="51" t="s">
        <v>25</v>
      </c>
      <c r="G48" s="52" t="s">
        <v>88</v>
      </c>
      <c r="H48" s="52" t="s">
        <v>82</v>
      </c>
      <c r="I48" s="52">
        <f>'MERCADO TUSD'!$U$45</f>
        <v>0</v>
      </c>
      <c r="J48" s="15"/>
      <c r="L48" s="48">
        <f>1*(1 - CUSTOS!$M$30)</f>
        <v>1</v>
      </c>
      <c r="M48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CUSTOS!$M$30)</f>
        <v>0.91019297567338175</v>
      </c>
      <c r="N48" s="48">
        <f ca="1">(+M48+O48+R48+U48+V48+W48+X48+Y48+Z48+AA48+AC48+AH48+AI48+AJ48+AK48)*CUSTOS!$M$5</f>
        <v>2.9205199297567337E-12</v>
      </c>
      <c r="O48" s="48">
        <f>1 - CUSTOS!$M$30</f>
        <v>1</v>
      </c>
      <c r="P48" s="48">
        <f>1 - CUSTOS!$M$30</f>
        <v>1</v>
      </c>
      <c r="Q48" s="48">
        <f>1*(1 - CUSTOS!$M$30)</f>
        <v>1</v>
      </c>
      <c r="R48" s="48">
        <f>1 - CUSTOS!$M$30</f>
        <v>1</v>
      </c>
      <c r="S48" s="48">
        <f>1 - CUSTOS!$M$30</f>
        <v>1</v>
      </c>
      <c r="T48" s="48"/>
      <c r="U48" s="48">
        <f>TRANSICAO!$U$48*CUSTOS!$T$3</f>
        <v>7.7641999999999998</v>
      </c>
      <c r="V48" s="48">
        <f>TRANSICAO!$V$48*CUSTOS!$T$3</f>
        <v>6.3124000000000002</v>
      </c>
      <c r="W48" s="48">
        <f>TRANSICAO!$W$48*CUSTOS!$T$3</f>
        <v>0.5282</v>
      </c>
      <c r="X48" s="48">
        <f>TRANSICAO!$X$48*CUSTOS!$T$3</f>
        <v>0</v>
      </c>
      <c r="Y48" s="48">
        <f>TRANSICAO!$Y$48*CUSTOS!$T$3</f>
        <v>69.028499999999994</v>
      </c>
      <c r="Z48" s="48">
        <f>TRANSICAO!$Z$48*CUSTOS!$T$3</f>
        <v>0</v>
      </c>
      <c r="AA48" s="48">
        <f>TRANSICAO!$AA$48*CUSTOS!$T$3</f>
        <v>0</v>
      </c>
      <c r="AB48" s="48">
        <f>TRANSICAO!$AB$48*CUSTOS!$T$3</f>
        <v>0</v>
      </c>
      <c r="AC48" s="48">
        <f>TRANSICAO!$AC$48*CUSTOS!$T$3</f>
        <v>188.86019999999999</v>
      </c>
      <c r="AD48" s="48">
        <f>TRANSICAO!$AD$48*CUSTOS!$T$3</f>
        <v>0</v>
      </c>
      <c r="AE48" s="48">
        <v>0</v>
      </c>
      <c r="AF48" s="48">
        <v>0</v>
      </c>
      <c r="AG48" s="48"/>
      <c r="AH48" s="48">
        <f>(1 - CUSTOS!$M$30)*16.1922</f>
        <v>16.1922</v>
      </c>
      <c r="AI48" s="48">
        <f>(1 - CUSTOS!$M$30)*0.4561</f>
        <v>0.45610000000000001</v>
      </c>
      <c r="AJ48" s="48">
        <f ca="1">$N$69*(1-CUSTOS!$M$30)</f>
        <v>0</v>
      </c>
      <c r="AK48" s="48">
        <f t="shared" ca="1" si="1"/>
        <v>0</v>
      </c>
      <c r="AL48" s="48"/>
      <c r="AM48" s="48"/>
      <c r="AP48" s="48">
        <f>IF((1 - CUSTOS!$M$30)&lt;&gt;0,1/(1 - CUSTOS!$M$30),1)</f>
        <v>1</v>
      </c>
    </row>
    <row r="49" spans="1:42" ht="11.25" customHeight="1" x14ac:dyDescent="0.25">
      <c r="A49" s="109" t="s">
        <v>33</v>
      </c>
      <c r="B49" s="109" t="s">
        <v>95</v>
      </c>
      <c r="C49" s="109" t="s">
        <v>25</v>
      </c>
      <c r="D49" s="109" t="s">
        <v>25</v>
      </c>
      <c r="E49" s="109" t="s">
        <v>25</v>
      </c>
      <c r="F49" s="109" t="s">
        <v>25</v>
      </c>
      <c r="G49" s="52" t="s">
        <v>83</v>
      </c>
      <c r="H49" s="52" t="s">
        <v>82</v>
      </c>
      <c r="I49" s="52">
        <f>'MERCADO TUSD'!$U$46</f>
        <v>0</v>
      </c>
      <c r="J49" s="15"/>
      <c r="L49" s="48">
        <f>1*(1 - CUSTOS!$M$31)</f>
        <v>1</v>
      </c>
      <c r="M49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CUSTOS!$M$31)</f>
        <v>0.91019297567338175</v>
      </c>
      <c r="N49" s="48">
        <f ca="1">(+M49+O49+R49+U49+V49+W49+X49+Y49+Z49+AA49+AC49+AH49+AI49+AJ49+AK49)*CUSTOS!$M$5</f>
        <v>7.0624199297567325E-12</v>
      </c>
      <c r="O49" s="48">
        <f>1 - CUSTOS!$M$31</f>
        <v>1</v>
      </c>
      <c r="P49" s="48">
        <f>1 - CUSTOS!$M$31</f>
        <v>1</v>
      </c>
      <c r="Q49" s="48">
        <f>1*(1 - CUSTOS!$M$31)</f>
        <v>1</v>
      </c>
      <c r="R49" s="48">
        <f>1 - CUSTOS!$M$31</f>
        <v>1</v>
      </c>
      <c r="S49" s="48">
        <f>1 - CUSTOS!$M$31</f>
        <v>1</v>
      </c>
      <c r="T49" s="48"/>
      <c r="U49" s="48">
        <f>TRANSICAO!$U$49*CUSTOS!$T$3</f>
        <v>19.5657</v>
      </c>
      <c r="V49" s="48">
        <f>TRANSICAO!$V$49*CUSTOS!$T$3</f>
        <v>15.9071</v>
      </c>
      <c r="W49" s="48">
        <f>TRANSICAO!$W$49*CUSTOS!$T$3</f>
        <v>1.3310999999999999</v>
      </c>
      <c r="X49" s="48">
        <f>TRANSICAO!$X$49*CUSTOS!$T$3</f>
        <v>0</v>
      </c>
      <c r="Y49" s="48">
        <f>TRANSICAO!$Y$49*CUSTOS!$T$3</f>
        <v>173.95189999999999</v>
      </c>
      <c r="Z49" s="48">
        <f>TRANSICAO!$Z$49*CUSTOS!$T$3</f>
        <v>0</v>
      </c>
      <c r="AA49" s="48">
        <f>TRANSICAO!$AA$49*CUSTOS!$T$3</f>
        <v>0</v>
      </c>
      <c r="AB49" s="48">
        <f>TRANSICAO!$AB$49*CUSTOS!$T$3</f>
        <v>0</v>
      </c>
      <c r="AC49" s="48">
        <f>TRANSICAO!$AC$49*CUSTOS!$T$3</f>
        <v>475.92770000000002</v>
      </c>
      <c r="AD49" s="48">
        <f>TRANSICAO!$AD$49*CUSTOS!$T$3</f>
        <v>0</v>
      </c>
      <c r="AE49" s="48">
        <v>0</v>
      </c>
      <c r="AF49" s="48">
        <v>0</v>
      </c>
      <c r="AG49" s="48"/>
      <c r="AH49" s="48">
        <f>(1 - CUSTOS!$M$31)*16.1922</f>
        <v>16.1922</v>
      </c>
      <c r="AI49" s="48">
        <f>(1 - CUSTOS!$M$31)*0.4561</f>
        <v>0.45610000000000001</v>
      </c>
      <c r="AJ49" s="48">
        <f ca="1">$N$69*(1-CUSTOS!$M$31)</f>
        <v>0</v>
      </c>
      <c r="AK49" s="48">
        <f t="shared" ca="1" si="1"/>
        <v>0</v>
      </c>
      <c r="AL49" s="48"/>
      <c r="AM49" s="48"/>
      <c r="AP49" s="48">
        <f>IF((1 - CUSTOS!$M$31)&lt;&gt;0,1/(1 - CUSTOS!$M$31),1)</f>
        <v>1</v>
      </c>
    </row>
    <row r="50" spans="1:42" ht="11.25" customHeight="1" x14ac:dyDescent="0.25">
      <c r="A50" s="109"/>
      <c r="B50" s="109"/>
      <c r="C50" s="109"/>
      <c r="D50" s="109"/>
      <c r="E50" s="109"/>
      <c r="F50" s="109"/>
      <c r="G50" s="52" t="s">
        <v>94</v>
      </c>
      <c r="H50" s="52" t="s">
        <v>82</v>
      </c>
      <c r="I50" s="52">
        <f>'MERCADO TUSD'!$U$47</f>
        <v>0</v>
      </c>
      <c r="J50" s="15"/>
      <c r="L50" s="48">
        <f>1*(1 - CUSTOS!$M$31)</f>
        <v>1</v>
      </c>
      <c r="M50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CUSTOS!$M$31)</f>
        <v>0.91019297567338175</v>
      </c>
      <c r="N50" s="48">
        <f ca="1">(+M50+O50+R50+U50+V50+W50+X50+Y50+Z50+AA50+AC50+AH50+AI50+AJ50+AK50)*CUSTOS!$M$5</f>
        <v>3.6290029297567337E-12</v>
      </c>
      <c r="O50" s="48">
        <f>1 - CUSTOS!$M$31</f>
        <v>1</v>
      </c>
      <c r="P50" s="48">
        <f>1 - CUSTOS!$M$31</f>
        <v>1</v>
      </c>
      <c r="Q50" s="48">
        <f>1*(1 - CUSTOS!$M$31)</f>
        <v>1</v>
      </c>
      <c r="R50" s="48">
        <f>1 - CUSTOS!$M$31</f>
        <v>1</v>
      </c>
      <c r="S50" s="48">
        <f>1 - CUSTOS!$M$31</f>
        <v>1</v>
      </c>
      <c r="T50" s="48"/>
      <c r="U50" s="48">
        <f>TRANSICAO!$U$50*CUSTOS!$T$3</f>
        <v>9.7828999999999997</v>
      </c>
      <c r="V50" s="48">
        <f>TRANSICAO!$V$50*CUSTOS!$T$3</f>
        <v>7.9535999999999998</v>
      </c>
      <c r="W50" s="48">
        <f>TRANSICAO!$W$50*CUSTOS!$T$3</f>
        <v>0.66549999999999998</v>
      </c>
      <c r="X50" s="48">
        <f>TRANSICAO!$X$50*CUSTOS!$T$3</f>
        <v>0</v>
      </c>
      <c r="Y50" s="48">
        <f>TRANSICAO!$Y$50*CUSTOS!$T$3</f>
        <v>86.975999999999999</v>
      </c>
      <c r="Z50" s="48">
        <f>TRANSICAO!$Z$50*CUSTOS!$T$3</f>
        <v>0</v>
      </c>
      <c r="AA50" s="48">
        <f>TRANSICAO!$AA$50*CUSTOS!$T$3</f>
        <v>0</v>
      </c>
      <c r="AB50" s="48">
        <f>TRANSICAO!$AB$50*CUSTOS!$T$3</f>
        <v>0</v>
      </c>
      <c r="AC50" s="48">
        <f>TRANSICAO!$AC$50*CUSTOS!$T$3</f>
        <v>237.96379999999999</v>
      </c>
      <c r="AD50" s="48">
        <f>TRANSICAO!$AD$50*CUSTOS!$T$3</f>
        <v>0</v>
      </c>
      <c r="AE50" s="48">
        <v>0</v>
      </c>
      <c r="AF50" s="48">
        <v>0</v>
      </c>
      <c r="AG50" s="48"/>
      <c r="AH50" s="48">
        <f>(1 - CUSTOS!$M$31)*16.1922</f>
        <v>16.1922</v>
      </c>
      <c r="AI50" s="48">
        <f>(1 - CUSTOS!$M$31)*0.4561</f>
        <v>0.45610000000000001</v>
      </c>
      <c r="AJ50" s="48">
        <f ca="1">$N$69*(1-CUSTOS!$M$31)</f>
        <v>0</v>
      </c>
      <c r="AK50" s="48">
        <f t="shared" ca="1" si="1"/>
        <v>0</v>
      </c>
      <c r="AL50" s="48"/>
      <c r="AM50" s="48"/>
      <c r="AP50" s="48">
        <f>IF((1 - CUSTOS!$M$31)&lt;&gt;0,1/(1 - CUSTOS!$M$31),1)</f>
        <v>1</v>
      </c>
    </row>
    <row r="51" spans="1:42" ht="11.25" customHeight="1" x14ac:dyDescent="0.25">
      <c r="A51" s="109"/>
      <c r="B51" s="109"/>
      <c r="C51" s="109"/>
      <c r="D51" s="109"/>
      <c r="E51" s="109"/>
      <c r="F51" s="109"/>
      <c r="G51" s="52" t="s">
        <v>84</v>
      </c>
      <c r="H51" s="52" t="s">
        <v>82</v>
      </c>
      <c r="I51" s="52">
        <f>'MERCADO TUSD'!$U$48</f>
        <v>0</v>
      </c>
      <c r="J51" s="15"/>
      <c r="L51" s="48">
        <f>1*(1 - CUSTOS!$M$31)</f>
        <v>1</v>
      </c>
      <c r="M51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CUSTOS!$M$31)</f>
        <v>0.91019297567338175</v>
      </c>
      <c r="N51" s="48">
        <f ca="1">(+M51+O51+R51+U51+V51+W51+X51+Y51+Z51+AA51+AC51+AH51+AI51+AJ51+AK51)*CUSTOS!$M$5</f>
        <v>2.4845309297567339E-12</v>
      </c>
      <c r="O51" s="48">
        <f>1 - CUSTOS!$M$31</f>
        <v>1</v>
      </c>
      <c r="P51" s="48">
        <f>1 - CUSTOS!$M$31</f>
        <v>1</v>
      </c>
      <c r="Q51" s="48">
        <f>1*(1 - CUSTOS!$M$31)</f>
        <v>1</v>
      </c>
      <c r="R51" s="48">
        <f>1 - CUSTOS!$M$31</f>
        <v>1</v>
      </c>
      <c r="S51" s="48">
        <f>1 - CUSTOS!$M$31</f>
        <v>1</v>
      </c>
      <c r="T51" s="48"/>
      <c r="U51" s="48">
        <f>TRANSICAO!$U$51*CUSTOS!$T$3</f>
        <v>6.5218999999999996</v>
      </c>
      <c r="V51" s="48">
        <f>TRANSICAO!$V$51*CUSTOS!$T$3</f>
        <v>5.3023999999999996</v>
      </c>
      <c r="W51" s="48">
        <f>TRANSICAO!$W$51*CUSTOS!$T$3</f>
        <v>0.44369999999999998</v>
      </c>
      <c r="X51" s="48">
        <f>TRANSICAO!$X$51*CUSTOS!$T$3</f>
        <v>0</v>
      </c>
      <c r="Y51" s="48">
        <f>TRANSICAO!$Y$51*CUSTOS!$T$3</f>
        <v>57.984000000000002</v>
      </c>
      <c r="Z51" s="48">
        <f>TRANSICAO!$Z$51*CUSTOS!$T$3</f>
        <v>0</v>
      </c>
      <c r="AA51" s="48">
        <f>TRANSICAO!$AA$51*CUSTOS!$T$3</f>
        <v>0</v>
      </c>
      <c r="AB51" s="48">
        <f>TRANSICAO!$AB$51*CUSTOS!$T$3</f>
        <v>0</v>
      </c>
      <c r="AC51" s="48">
        <f>TRANSICAO!$AC$51*CUSTOS!$T$3</f>
        <v>158.64259999999999</v>
      </c>
      <c r="AD51" s="48">
        <f>TRANSICAO!$AD$51*CUSTOS!$T$3</f>
        <v>0</v>
      </c>
      <c r="AE51" s="48">
        <v>0</v>
      </c>
      <c r="AF51" s="48">
        <v>0</v>
      </c>
      <c r="AG51" s="48"/>
      <c r="AH51" s="48">
        <f>(1 - CUSTOS!$M$31)*16.1922</f>
        <v>16.1922</v>
      </c>
      <c r="AI51" s="48">
        <f>(1 - CUSTOS!$M$31)*0.4561</f>
        <v>0.45610000000000001</v>
      </c>
      <c r="AJ51" s="48">
        <f ca="1">$N$69*(1-CUSTOS!$M$31)</f>
        <v>0</v>
      </c>
      <c r="AK51" s="48">
        <f t="shared" ca="1" si="1"/>
        <v>0</v>
      </c>
      <c r="AL51" s="48"/>
      <c r="AM51" s="48"/>
      <c r="AP51" s="48">
        <f>IF((1 - CUSTOS!$M$31)&lt;&gt;0,1/(1 - CUSTOS!$M$31),1)</f>
        <v>1</v>
      </c>
    </row>
    <row r="52" spans="1:42" ht="11.25" customHeight="1" x14ac:dyDescent="0.25">
      <c r="A52" s="109"/>
      <c r="B52" s="51" t="s">
        <v>23</v>
      </c>
      <c r="C52" s="51" t="s">
        <v>25</v>
      </c>
      <c r="D52" s="51" t="s">
        <v>25</v>
      </c>
      <c r="E52" s="51" t="s">
        <v>25</v>
      </c>
      <c r="F52" s="51" t="s">
        <v>25</v>
      </c>
      <c r="G52" s="52" t="s">
        <v>88</v>
      </c>
      <c r="H52" s="52" t="s">
        <v>82</v>
      </c>
      <c r="I52" s="52">
        <f>'MERCADO TUSD'!$U$49</f>
        <v>28646.591999999997</v>
      </c>
      <c r="J52" s="15"/>
      <c r="L52" s="48">
        <f>1*(1 - CUSTOS!$M$31)</f>
        <v>1</v>
      </c>
      <c r="M52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CUSTOS!$M$31)</f>
        <v>0.91019297567338175</v>
      </c>
      <c r="N52" s="48">
        <f ca="1">(+M52+O52+R52+U52+V52+W52+X52+Y52+Z52+AA52+AC52+AH52+AI52+AJ52+AK52)*CUSTOS!$M$5</f>
        <v>2.9205199297567337E-12</v>
      </c>
      <c r="O52" s="48">
        <f>1 - CUSTOS!$M$31</f>
        <v>1</v>
      </c>
      <c r="P52" s="48">
        <f>1 - CUSTOS!$M$31</f>
        <v>1</v>
      </c>
      <c r="Q52" s="48">
        <f>1*(1 - CUSTOS!$M$31)</f>
        <v>1</v>
      </c>
      <c r="R52" s="48">
        <f>1 - CUSTOS!$M$31</f>
        <v>1</v>
      </c>
      <c r="S52" s="48">
        <f>1 - CUSTOS!$M$31</f>
        <v>1</v>
      </c>
      <c r="T52" s="48"/>
      <c r="U52" s="48">
        <f>TRANSICAO!$U$52*CUSTOS!$T$3</f>
        <v>7.7641999999999998</v>
      </c>
      <c r="V52" s="48">
        <f>TRANSICAO!$V$52*CUSTOS!$T$3</f>
        <v>6.3124000000000002</v>
      </c>
      <c r="W52" s="48">
        <f>TRANSICAO!$W$52*CUSTOS!$T$3</f>
        <v>0.5282</v>
      </c>
      <c r="X52" s="48">
        <f>TRANSICAO!$X$52*CUSTOS!$T$3</f>
        <v>0</v>
      </c>
      <c r="Y52" s="48">
        <f>TRANSICAO!$Y$52*CUSTOS!$T$3</f>
        <v>69.028499999999994</v>
      </c>
      <c r="Z52" s="48">
        <f>TRANSICAO!$Z$52*CUSTOS!$T$3</f>
        <v>0</v>
      </c>
      <c r="AA52" s="48">
        <f>TRANSICAO!$AA$52*CUSTOS!$T$3</f>
        <v>0</v>
      </c>
      <c r="AB52" s="48">
        <f>TRANSICAO!$AB$52*CUSTOS!$T$3</f>
        <v>0</v>
      </c>
      <c r="AC52" s="48">
        <f>TRANSICAO!$AC$52*CUSTOS!$T$3</f>
        <v>188.86019999999999</v>
      </c>
      <c r="AD52" s="48">
        <f>TRANSICAO!$AD$52*CUSTOS!$T$3</f>
        <v>0</v>
      </c>
      <c r="AE52" s="48">
        <v>0</v>
      </c>
      <c r="AF52" s="48">
        <v>0</v>
      </c>
      <c r="AG52" s="48"/>
      <c r="AH52" s="48">
        <f>(1 - CUSTOS!$M$31)*16.1922</f>
        <v>16.1922</v>
      </c>
      <c r="AI52" s="48">
        <f>(1 - CUSTOS!$M$31)*0.4561</f>
        <v>0.45610000000000001</v>
      </c>
      <c r="AJ52" s="48">
        <f ca="1">$N$69*(1-CUSTOS!$M$31)</f>
        <v>0</v>
      </c>
      <c r="AK52" s="48">
        <f t="shared" ca="1" si="1"/>
        <v>0</v>
      </c>
      <c r="AL52" s="48"/>
      <c r="AM52" s="48"/>
      <c r="AP52" s="48">
        <f>IF((1 - CUSTOS!$M$31)&lt;&gt;0,1/(1 - CUSTOS!$M$31),1)</f>
        <v>1</v>
      </c>
    </row>
    <row r="53" spans="1:42" ht="11.25" customHeight="1" x14ac:dyDescent="0.25">
      <c r="A53" s="109"/>
      <c r="B53" s="51" t="s">
        <v>97</v>
      </c>
      <c r="C53" s="51" t="s">
        <v>25</v>
      </c>
      <c r="D53" s="51" t="s">
        <v>25</v>
      </c>
      <c r="E53" s="51" t="s">
        <v>25</v>
      </c>
      <c r="F53" s="51" t="s">
        <v>25</v>
      </c>
      <c r="G53" s="52" t="s">
        <v>88</v>
      </c>
      <c r="H53" s="52" t="s">
        <v>82</v>
      </c>
      <c r="I53" s="52">
        <f>'MERCADO TUSD'!$U$50</f>
        <v>0</v>
      </c>
      <c r="J53" s="15"/>
      <c r="L53" s="48">
        <f>1*(1 - CUSTOS!$M$31)</f>
        <v>1</v>
      </c>
      <c r="M53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CUSTOS!$M$31)</f>
        <v>0.91019297567338175</v>
      </c>
      <c r="N53" s="48">
        <f ca="1">(+M53+O53+R53+U53+V53+W53+X53+Y53+Z53+AA53+AC53+AH53+AI53+AJ53+AK53)*CUSTOS!$M$5</f>
        <v>2.9205199297567337E-12</v>
      </c>
      <c r="O53" s="48">
        <f>1 - CUSTOS!$M$31</f>
        <v>1</v>
      </c>
      <c r="P53" s="48">
        <f>1 - CUSTOS!$M$31</f>
        <v>1</v>
      </c>
      <c r="Q53" s="48">
        <f>1*(1 - CUSTOS!$M$31)</f>
        <v>1</v>
      </c>
      <c r="R53" s="48">
        <f>1 - CUSTOS!$M$31</f>
        <v>1</v>
      </c>
      <c r="S53" s="48">
        <f>1 - CUSTOS!$M$31</f>
        <v>1</v>
      </c>
      <c r="T53" s="48"/>
      <c r="U53" s="48">
        <f>TRANSICAO!$U$53*CUSTOS!$T$3</f>
        <v>7.7641999999999998</v>
      </c>
      <c r="V53" s="48">
        <f>TRANSICAO!$V$53*CUSTOS!$T$3</f>
        <v>6.3124000000000002</v>
      </c>
      <c r="W53" s="48">
        <f>TRANSICAO!$W$53*CUSTOS!$T$3</f>
        <v>0.5282</v>
      </c>
      <c r="X53" s="48">
        <f>TRANSICAO!$X$53*CUSTOS!$T$3</f>
        <v>0</v>
      </c>
      <c r="Y53" s="48">
        <f>TRANSICAO!$Y$53*CUSTOS!$T$3</f>
        <v>69.028499999999994</v>
      </c>
      <c r="Z53" s="48">
        <f>TRANSICAO!$Z$53*CUSTOS!$T$3</f>
        <v>0</v>
      </c>
      <c r="AA53" s="48">
        <f>TRANSICAO!$AA$53*CUSTOS!$T$3</f>
        <v>0</v>
      </c>
      <c r="AB53" s="48">
        <f>TRANSICAO!$AB$53*CUSTOS!$T$3</f>
        <v>0</v>
      </c>
      <c r="AC53" s="48">
        <f>TRANSICAO!$AC$53*CUSTOS!$T$3</f>
        <v>188.86019999999999</v>
      </c>
      <c r="AD53" s="48">
        <f>TRANSICAO!$AD$53*CUSTOS!$T$3</f>
        <v>0</v>
      </c>
      <c r="AE53" s="48">
        <v>0</v>
      </c>
      <c r="AF53" s="48">
        <v>0</v>
      </c>
      <c r="AG53" s="48"/>
      <c r="AH53" s="48">
        <f>(1 - CUSTOS!$M$31)*16.1922</f>
        <v>16.1922</v>
      </c>
      <c r="AI53" s="48">
        <f>(1 - CUSTOS!$M$31)*0.4561</f>
        <v>0.45610000000000001</v>
      </c>
      <c r="AJ53" s="48">
        <f ca="1">$N$69*(1-CUSTOS!$M$31)</f>
        <v>0</v>
      </c>
      <c r="AK53" s="48">
        <f t="shared" ca="1" si="1"/>
        <v>0</v>
      </c>
      <c r="AL53" s="48"/>
      <c r="AM53" s="48"/>
      <c r="AP53" s="48">
        <f>IF((1 - CUSTOS!$M$31)&lt;&gt;0,1/(1 - CUSTOS!$M$31),1)</f>
        <v>1</v>
      </c>
    </row>
    <row r="54" spans="1:42" ht="11.25" customHeight="1" x14ac:dyDescent="0.25">
      <c r="A54" s="109" t="s">
        <v>44</v>
      </c>
      <c r="B54" s="109" t="s">
        <v>23</v>
      </c>
      <c r="C54" s="109" t="s">
        <v>45</v>
      </c>
      <c r="D54" s="51" t="s">
        <v>46</v>
      </c>
      <c r="E54" s="51" t="s">
        <v>25</v>
      </c>
      <c r="F54" s="51" t="s">
        <v>25</v>
      </c>
      <c r="G54" s="52" t="s">
        <v>88</v>
      </c>
      <c r="H54" s="52" t="s">
        <v>82</v>
      </c>
      <c r="I54" s="52">
        <f>'MERCADO TUSD'!$U$51</f>
        <v>6635.9900000000007</v>
      </c>
      <c r="J54" s="15"/>
      <c r="L54" s="48">
        <f>1*(1 - CUSTOS!$M$32)</f>
        <v>0.55000000000000004</v>
      </c>
      <c r="M54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CUSTOS!$M$32)</f>
        <v>0.50060613662036002</v>
      </c>
      <c r="N54" s="48">
        <f ca="1">(+M54+O54+R54+U54+V54+W54+X54+Y54+Z54+AA54+AC54+AH54+AI54+AJ54+AK54)*CUSTOS!$M$5</f>
        <v>1.6062859613662037E-12</v>
      </c>
      <c r="O54" s="48">
        <f>1 - CUSTOS!$M$32</f>
        <v>0.55000000000000004</v>
      </c>
      <c r="P54" s="48">
        <f>1 - CUSTOS!$M$32</f>
        <v>0.55000000000000004</v>
      </c>
      <c r="Q54" s="48">
        <f>1*(1 - CUSTOS!$M$32)</f>
        <v>0.55000000000000004</v>
      </c>
      <c r="R54" s="48">
        <f>1 - CUSTOS!$M$32</f>
        <v>0.55000000000000004</v>
      </c>
      <c r="S54" s="48">
        <f>1 - CUSTOS!$M$32</f>
        <v>0.55000000000000004</v>
      </c>
      <c r="T54" s="48"/>
      <c r="U54" s="48">
        <f>TRANSICAO!$U$54*CUSTOS!$T$3</f>
        <v>4.2703100000000003</v>
      </c>
      <c r="V54" s="48">
        <f>TRANSICAO!$V$54*CUSTOS!$T$3</f>
        <v>3.4718200000000006</v>
      </c>
      <c r="W54" s="48">
        <f>TRANSICAO!$W$54*CUSTOS!$T$3</f>
        <v>0.29051000000000005</v>
      </c>
      <c r="X54" s="48">
        <f>TRANSICAO!$X$54*CUSTOS!$T$3</f>
        <v>0</v>
      </c>
      <c r="Y54" s="48">
        <f>TRANSICAO!$Y$54*CUSTOS!$T$3</f>
        <v>37.965674999999997</v>
      </c>
      <c r="Z54" s="48">
        <f>TRANSICAO!$Z$54*CUSTOS!$T$3</f>
        <v>0</v>
      </c>
      <c r="AA54" s="48">
        <f>TRANSICAO!$AA$54*CUSTOS!$T$3</f>
        <v>0</v>
      </c>
      <c r="AB54" s="48">
        <f>TRANSICAO!$AB$54*CUSTOS!$T$3</f>
        <v>0</v>
      </c>
      <c r="AC54" s="48">
        <f>TRANSICAO!$AC$54*CUSTOS!$T$3</f>
        <v>103.87311</v>
      </c>
      <c r="AD54" s="48">
        <f>TRANSICAO!$AD$54*CUSTOS!$T$3</f>
        <v>0</v>
      </c>
      <c r="AE54" s="48">
        <v>0</v>
      </c>
      <c r="AF54" s="48">
        <v>0</v>
      </c>
      <c r="AG54" s="48"/>
      <c r="AH54" s="48">
        <f>(1 - CUSTOS!$M$32)*16.1922</f>
        <v>8.9057100000000009</v>
      </c>
      <c r="AI54" s="48">
        <f>(1 - CUSTOS!$M$32)*0.4561</f>
        <v>0.25085500000000005</v>
      </c>
      <c r="AJ54" s="48">
        <f ca="1">$N$69*(1-CUSTOS!$M$32)</f>
        <v>0</v>
      </c>
      <c r="AK54" s="48">
        <f t="shared" ca="1" si="1"/>
        <v>0</v>
      </c>
      <c r="AL54" s="48"/>
      <c r="AM54" s="48"/>
      <c r="AP54" s="48">
        <f>IF((1 - CUSTOS!$M$32)&lt;&gt;0,1/(1 - CUSTOS!$M$32),1)</f>
        <v>1.8181818181818181</v>
      </c>
    </row>
    <row r="55" spans="1:42" ht="11.25" customHeight="1" x14ac:dyDescent="0.25">
      <c r="A55" s="109"/>
      <c r="B55" s="109"/>
      <c r="C55" s="109"/>
      <c r="D55" s="52" t="s">
        <v>100</v>
      </c>
      <c r="E55" s="52" t="s">
        <v>25</v>
      </c>
      <c r="F55" s="52" t="s">
        <v>25</v>
      </c>
      <c r="G55" s="52" t="s">
        <v>88</v>
      </c>
      <c r="H55" s="52" t="s">
        <v>82</v>
      </c>
      <c r="I55" s="52">
        <f>'MERCADO TUSD'!$U$52</f>
        <v>0</v>
      </c>
      <c r="J55" s="15"/>
      <c r="L55" s="48">
        <f>1*(1 - CUSTOS!$M$33)</f>
        <v>0.6</v>
      </c>
      <c r="M55" s="48">
        <f>IF(AND((+$I$21+$I$22+$I$23+$I$24+$I$25+$I$26+$I$27+$I$28+$I$29+$I$30+$I$31+$I$32+$I$33+$I$34+$I$35+$I$36+$I$37+$I$38+$I$39+$I$40+$I$41+$I$42+$I$43+$I$44+$I$45+$I$46+$I$47+$I$48+$I$49+$I$50+$I$51+$I$52+$I$53+$I$54+$I$55)&lt;&gt;0,SUMPRODUCT($I$5:$I$55,$AC$5:$AC$55,$AP$5:$AP$55)&lt;&gt;0),$M$60*SUMPRODUCT($I$21:$I$55,$AC$21:$AC$55,$AP$21:$AP$55)/SUMPRODUCT($I$5:$I$55,$AC$5:$AC$55,$AP$5:$AP$55)/(+$I$21+$I$22+$I$23+$I$24+$I$25+$I$26+$I$27+$I$28+$I$29+$I$30+$I$31+$I$32+$I$33+$I$34+$I$35+$I$36+$I$37+$I$38+$I$39+$I$40+$I$41+$I$42+$I$43+$I$44+$I$45+$I$46+$I$47+$I$48+$I$49+$I$50+$I$51+$I$52+$I$53+$I$54+$I$55),0)*(1 - CUSTOS!$M$33)</f>
        <v>0.54611578540402905</v>
      </c>
      <c r="N55" s="48">
        <f ca="1">(+M55+O55+R55+U55+V55+W55+X55+Y55+Z55+AA55+AC55+AH55+AI55+AJ55+AK55)*CUSTOS!$M$5</f>
        <v>1.7523119578540403E-12</v>
      </c>
      <c r="O55" s="48">
        <f>1 - CUSTOS!$M$33</f>
        <v>0.6</v>
      </c>
      <c r="P55" s="48">
        <f>1 - CUSTOS!$M$33</f>
        <v>0.6</v>
      </c>
      <c r="Q55" s="48">
        <f>1*(1 - CUSTOS!$M$33)</f>
        <v>0.6</v>
      </c>
      <c r="R55" s="48">
        <f>1 - CUSTOS!$M$33</f>
        <v>0.6</v>
      </c>
      <c r="S55" s="48">
        <f>1 - CUSTOS!$M$33</f>
        <v>0.6</v>
      </c>
      <c r="T55" s="48"/>
      <c r="U55" s="48">
        <f>TRANSICAO!$U$55*CUSTOS!$T$3</f>
        <v>4.6585199999999993</v>
      </c>
      <c r="V55" s="48">
        <f>TRANSICAO!$V$55*CUSTOS!$T$3</f>
        <v>3.7874400000000001</v>
      </c>
      <c r="W55" s="48">
        <f>TRANSICAO!$W$55*CUSTOS!$T$3</f>
        <v>0.31691999999999998</v>
      </c>
      <c r="X55" s="48">
        <f>TRANSICAO!$X$55*CUSTOS!$T$3</f>
        <v>0</v>
      </c>
      <c r="Y55" s="48">
        <f>TRANSICAO!$Y$55*CUSTOS!$T$3</f>
        <v>41.417099999999998</v>
      </c>
      <c r="Z55" s="48">
        <f>TRANSICAO!$Z$55*CUSTOS!$T$3</f>
        <v>0</v>
      </c>
      <c r="AA55" s="48">
        <f>TRANSICAO!$AA$55*CUSTOS!$T$3</f>
        <v>0</v>
      </c>
      <c r="AB55" s="48">
        <f>TRANSICAO!$AB$55*CUSTOS!$T$3</f>
        <v>0</v>
      </c>
      <c r="AC55" s="48">
        <f>TRANSICAO!$AC$55*CUSTOS!$T$3</f>
        <v>113.31612</v>
      </c>
      <c r="AD55" s="48">
        <f>TRANSICAO!$AD$55*CUSTOS!$T$3</f>
        <v>0</v>
      </c>
      <c r="AE55" s="48">
        <v>0</v>
      </c>
      <c r="AF55" s="48">
        <v>0</v>
      </c>
      <c r="AG55" s="48"/>
      <c r="AH55" s="48">
        <f>(1 - CUSTOS!$M$33)*16.1922</f>
        <v>9.7153200000000002</v>
      </c>
      <c r="AI55" s="48">
        <f>(1 - CUSTOS!$M$33)*0.4561</f>
        <v>0.27366000000000001</v>
      </c>
      <c r="AJ55" s="48">
        <f ca="1">$N$69*(1-CUSTOS!$M$33)</f>
        <v>0</v>
      </c>
      <c r="AK55" s="48">
        <f t="shared" ca="1" si="1"/>
        <v>0</v>
      </c>
      <c r="AL55" s="48"/>
      <c r="AM55" s="48"/>
      <c r="AP55" s="48">
        <f>IF((1 - CUSTOS!$M$33)&lt;&gt;0,1/(1 - CUSTOS!$M$33),1)</f>
        <v>1.6666666666666667</v>
      </c>
    </row>
    <row r="57" spans="1:42" ht="11.25" customHeight="1" x14ac:dyDescent="0.25">
      <c r="K57" s="50" t="s">
        <v>548</v>
      </c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</row>
    <row r="58" spans="1:42" ht="11.25" customHeight="1" x14ac:dyDescent="0.25">
      <c r="K58" s="50" t="s">
        <v>549</v>
      </c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</row>
    <row r="59" spans="1:42" ht="11.25" customHeight="1" x14ac:dyDescent="0.25">
      <c r="K59" s="50" t="s">
        <v>550</v>
      </c>
      <c r="L59" s="48">
        <f>IF(ISERROR(+SUMPRODUCT($L$5:$L$8,$I$5:$I$8)+SUMPRODUCT($L$9:$L$12,$I$9:$I$12)+SUMPRODUCT($L$13:$L$13,$I$13:$I$13)+SUMPRODUCT($L$14:$L$18,$I$14:$I$18)+SUMPRODUCT($L$19:$L$20,$I$19:$I$20)+SUMPRODUCT($L$21:$L$23,$I$21:$I$23)+SUMPRODUCT($L$24:$L$28,$I$24:$I$28)+SUMPRODUCT($L$29:$L$33,$I$29:$I$33)+SUMPRODUCT($L$34:$L$36,$I$34:$I$36)+SUMPRODUCT($L$37:$L$37,$I$37:$I$37)+SUMPRODUCT($L$38:$L$40,$I$38:$I$40)+SUMPRODUCT($L$41:$L$41,$I$41:$I$41)+SUMPRODUCT($L$42:$L$44,$I$42:$I$44)+SUMPRODUCT($L$45:$L$45,$I$45:$I$45)+SUMPRODUCT($L$46:$L$48,$I$46:$I$48)+SUMPRODUCT($L$49:$L$51,$I$49:$I$51)+SUMPRODUCT($L$52:$L$52,$I$52:$I$52)+SUMPRODUCT($L$53:$L$53,$I$53:$I$53)+SUMPRODUCT($L$54:$L$55,$I$54:$I$55)),0,+SUMPRODUCT($L$5:$L$8,$I$5:$I$8)+SUMPRODUCT($L$9:$L$12,$I$9:$I$12)+SUMPRODUCT($L$13:$L$13,$I$13:$I$13)+SUMPRODUCT($L$14:$L$18,$I$14:$I$18)+SUMPRODUCT($L$19:$L$20,$I$19:$I$20)+SUMPRODUCT($L$21:$L$23,$I$21:$I$23)+SUMPRODUCT($L$24:$L$28,$I$24:$I$28)+SUMPRODUCT($L$29:$L$33,$I$29:$I$33)+SUMPRODUCT($L$34:$L$36,$I$34:$I$36)+SUMPRODUCT($L$37:$L$37,$I$37:$I$37)+SUMPRODUCT($L$38:$L$40,$I$38:$I$40)+SUMPRODUCT($L$41:$L$41,$I$41:$I$41)+SUMPRODUCT($L$42:$L$44,$I$42:$I$44)+SUMPRODUCT($L$45:$L$45,$I$45:$I$45)+SUMPRODUCT($L$46:$L$48,$I$46:$I$48)+SUMPRODUCT($L$49:$L$51,$I$49:$I$51)+SUMPRODUCT($L$52:$L$52,$I$52:$I$52)+SUMPRODUCT($L$53:$L$53,$I$53:$I$53)+SUMPRODUCT($L$54:$L$55,$I$54:$I$55))</f>
        <v>464359.95526000002</v>
      </c>
      <c r="M59" s="48">
        <f>IF(ISERROR(+SUMPRODUCT($M$5:$M$8,$I$5:$I$8)+SUMPRODUCT($M$9:$M$12,$I$9:$I$12)+SUMPRODUCT($M$13:$M$13,$I$13:$I$13)+SUMPRODUCT($M$14:$M$18,$I$14:$I$18)+SUMPRODUCT($M$19:$M$20,$I$19:$I$20)+SUMPRODUCT($M$21:$M$23,$I$21:$I$23)+SUMPRODUCT($M$24:$M$28,$I$24:$I$28)+SUMPRODUCT($M$29:$M$33,$I$29:$I$33)+SUMPRODUCT($M$34:$M$36,$I$34:$I$36)+SUMPRODUCT($M$37:$M$37,$I$37:$I$37)+SUMPRODUCT($M$38:$M$40,$I$38:$I$40)+SUMPRODUCT($M$41:$M$41,$I$41:$I$41)+SUMPRODUCT($M$42:$M$44,$I$42:$I$44)+SUMPRODUCT($M$45:$M$45,$I$45:$I$45)+SUMPRODUCT($M$46:$M$48,$I$46:$I$48)+SUMPRODUCT($M$49:$M$51,$I$49:$I$51)+SUMPRODUCT($M$52:$M$52,$I$52:$I$52)+SUMPRODUCT($M$53:$M$53,$I$53:$I$53)+SUMPRODUCT($M$54:$M$55,$I$54:$I$55)),0,+SUMPRODUCT($M$5:$M$8,$I$5:$I$8)+SUMPRODUCT($M$9:$M$12,$I$9:$I$12)+SUMPRODUCT($M$13:$M$13,$I$13:$I$13)+SUMPRODUCT($M$14:$M$18,$I$14:$I$18)+SUMPRODUCT($M$19:$M$20,$I$19:$I$20)+SUMPRODUCT($M$21:$M$23,$I$21:$I$23)+SUMPRODUCT($M$24:$M$28,$I$24:$I$28)+SUMPRODUCT($M$29:$M$33,$I$29:$I$33)+SUMPRODUCT($M$34:$M$36,$I$34:$I$36)+SUMPRODUCT($M$37:$M$37,$I$37:$I$37)+SUMPRODUCT($M$38:$M$40,$I$38:$I$40)+SUMPRODUCT($M$41:$M$41,$I$41:$I$41)+SUMPRODUCT($M$42:$M$44,$I$42:$I$44)+SUMPRODUCT($M$45:$M$45,$I$45:$I$45)+SUMPRODUCT($M$46:$M$48,$I$46:$I$48)+SUMPRODUCT($M$49:$M$51,$I$49:$I$51)+SUMPRODUCT($M$52:$M$52,$I$52:$I$52)+SUMPRODUCT($M$53:$M$53,$I$53:$I$53)+SUMPRODUCT($M$54:$M$55,$I$54:$I$55))</f>
        <v>590714.3724915483</v>
      </c>
      <c r="N59" s="48">
        <f ca="1">IF(ISERROR(+SUMPRODUCT($N$5:$N$8,$I$5:$I$8)+SUMPRODUCT($N$9:$N$12,$I$9:$I$12)+SUMPRODUCT($N$13:$N$13,$I$13:$I$13)+SUMPRODUCT($N$14:$N$18,$I$14:$I$18)+SUMPRODUCT($N$19:$N$20,$I$19:$I$20)+SUMPRODUCT($N$21:$N$23,$I$21:$I$23)+SUMPRODUCT($N$24:$N$28,$I$24:$I$28)+SUMPRODUCT($N$29:$N$33,$I$29:$I$33)+SUMPRODUCT($N$34:$N$36,$I$34:$I$36)+SUMPRODUCT($N$37:$N$37,$I$37:$I$37)+SUMPRODUCT($N$38:$N$40,$I$38:$I$40)+SUMPRODUCT($N$41:$N$41,$I$41:$I$41)+SUMPRODUCT($N$42:$N$44,$I$42:$I$44)+SUMPRODUCT($N$45:$N$45,$I$45:$I$45)+SUMPRODUCT($N$46:$N$48,$I$46:$I$48)+SUMPRODUCT($N$49:$N$51,$I$49:$I$51)+SUMPRODUCT($N$52:$N$52,$I$52:$I$52)+SUMPRODUCT($N$53:$N$53,$I$53:$I$53)+SUMPRODUCT($N$54:$N$55,$I$54:$I$55)),0,+SUMPRODUCT($N$5:$N$8,$I$5:$I$8)+SUMPRODUCT($N$9:$N$12,$I$9:$I$12)+SUMPRODUCT($N$13:$N$13,$I$13:$I$13)+SUMPRODUCT($N$14:$N$18,$I$14:$I$18)+SUMPRODUCT($N$19:$N$20,$I$19:$I$20)+SUMPRODUCT($N$21:$N$23,$I$21:$I$23)+SUMPRODUCT($N$24:$N$28,$I$24:$I$28)+SUMPRODUCT($N$29:$N$33,$I$29:$I$33)+SUMPRODUCT($N$34:$N$36,$I$34:$I$36)+SUMPRODUCT($N$37:$N$37,$I$37:$I$37)+SUMPRODUCT($N$38:$N$40,$I$38:$I$40)+SUMPRODUCT($N$41:$N$41,$I$41:$I$41)+SUMPRODUCT($N$42:$N$44,$I$42:$I$44)+SUMPRODUCT($N$45:$N$45,$I$45:$I$45)+SUMPRODUCT($N$46:$N$48,$I$46:$I$48)+SUMPRODUCT($N$49:$N$51,$I$49:$I$51)+SUMPRODUCT($N$52:$N$52,$I$52:$I$52)+SUMPRODUCT($N$53:$N$53,$I$53:$I$53)+SUMPRODUCT($N$54:$N$55,$I$54:$I$55))</f>
        <v>9.1692058134825143E-7</v>
      </c>
      <c r="O59" s="48">
        <f>IF(ISERROR(+SUMPRODUCT($O$5:$O$8,$I$5:$I$8)+SUMPRODUCT($O$9:$O$12,$I$9:$I$12)+SUMPRODUCT($O$13:$O$13,$I$13:$I$13)+SUMPRODUCT($O$14:$O$18,$I$14:$I$18)+SUMPRODUCT($O$19:$O$20,$I$19:$I$20)+SUMPRODUCT($O$21:$O$23,$I$21:$I$23)+SUMPRODUCT($O$24:$O$28,$I$24:$I$28)+SUMPRODUCT($O$29:$O$33,$I$29:$I$33)+SUMPRODUCT($O$34:$O$36,$I$34:$I$36)+SUMPRODUCT($O$37:$O$37,$I$37:$I$37)+SUMPRODUCT($O$38:$O$40,$I$38:$I$40)+SUMPRODUCT($O$41:$O$41,$I$41:$I$41)+SUMPRODUCT($O$42:$O$44,$I$42:$I$44)+SUMPRODUCT($O$45:$O$45,$I$45:$I$45)+SUMPRODUCT($O$46:$O$48,$I$46:$I$48)+SUMPRODUCT($O$49:$O$51,$I$49:$I$51)+SUMPRODUCT($O$52:$O$52,$I$52:$I$52)+SUMPRODUCT($O$53:$O$53,$I$53:$I$53)+SUMPRODUCT($O$54:$O$55,$I$54:$I$55)),0,+SUMPRODUCT($O$5:$O$8,$I$5:$I$8)+SUMPRODUCT($O$9:$O$12,$I$9:$I$12)+SUMPRODUCT($O$13:$O$13,$I$13:$I$13)+SUMPRODUCT($O$14:$O$18,$I$14:$I$18)+SUMPRODUCT($O$19:$O$20,$I$19:$I$20)+SUMPRODUCT($O$21:$O$23,$I$21:$I$23)+SUMPRODUCT($O$24:$O$28,$I$24:$I$28)+SUMPRODUCT($O$29:$O$33,$I$29:$I$33)+SUMPRODUCT($O$34:$O$36,$I$34:$I$36)+SUMPRODUCT($O$37:$O$37,$I$37:$I$37)+SUMPRODUCT($O$38:$O$40,$I$38:$I$40)+SUMPRODUCT($O$41:$O$41,$I$41:$I$41)+SUMPRODUCT($O$42:$O$44,$I$42:$I$44)+SUMPRODUCT($O$45:$O$45,$I$45:$I$45)+SUMPRODUCT($O$46:$O$48,$I$46:$I$48)+SUMPRODUCT($O$49:$O$51,$I$49:$I$51)+SUMPRODUCT($O$52:$O$52,$I$52:$I$52)+SUMPRODUCT($O$53:$O$53,$I$53:$I$53)+SUMPRODUCT($O$54:$O$55,$I$54:$I$55))</f>
        <v>511974.07150000002</v>
      </c>
      <c r="P59" s="48">
        <f>IF(ISERROR(+SUMPRODUCT($P$5:$P$8,$I$5:$I$8)+SUMPRODUCT($P$9:$P$12,$I$9:$I$12)+SUMPRODUCT($P$13:$P$13,$I$13:$I$13)+SUMPRODUCT($P$14:$P$18,$I$14:$I$18)+SUMPRODUCT($P$19:$P$20,$I$19:$I$20)+SUMPRODUCT($P$21:$P$23,$I$21:$I$23)+SUMPRODUCT($P$24:$P$28,$I$24:$I$28)+SUMPRODUCT($P$29:$P$33,$I$29:$I$33)+SUMPRODUCT($P$34:$P$36,$I$34:$I$36)+SUMPRODUCT($P$37:$P$37,$I$37:$I$37)+SUMPRODUCT($P$38:$P$40,$I$38:$I$40)+SUMPRODUCT($P$41:$P$41,$I$41:$I$41)+SUMPRODUCT($P$42:$P$44,$I$42:$I$44)+SUMPRODUCT($P$45:$P$45,$I$45:$I$45)+SUMPRODUCT($P$46:$P$48,$I$46:$I$48)+SUMPRODUCT($P$49:$P$51,$I$49:$I$51)+SUMPRODUCT($P$52:$P$52,$I$52:$I$52)+SUMPRODUCT($P$53:$P$53,$I$53:$I$53)+SUMPRODUCT($P$54:$P$55,$I$54:$I$55)),0,+SUMPRODUCT($P$5:$P$8,$I$5:$I$8)+SUMPRODUCT($P$9:$P$12,$I$9:$I$12)+SUMPRODUCT($P$13:$P$13,$I$13:$I$13)+SUMPRODUCT($P$14:$P$18,$I$14:$I$18)+SUMPRODUCT($P$19:$P$20,$I$19:$I$20)+SUMPRODUCT($P$21:$P$23,$I$21:$I$23)+SUMPRODUCT($P$24:$P$28,$I$24:$I$28)+SUMPRODUCT($P$29:$P$33,$I$29:$I$33)+SUMPRODUCT($P$34:$P$36,$I$34:$I$36)+SUMPRODUCT($P$37:$P$37,$I$37:$I$37)+SUMPRODUCT($P$38:$P$40,$I$38:$I$40)+SUMPRODUCT($P$41:$P$41,$I$41:$I$41)+SUMPRODUCT($P$42:$P$44,$I$42:$I$44)+SUMPRODUCT($P$45:$P$45,$I$45:$I$45)+SUMPRODUCT($P$46:$P$48,$I$46:$I$48)+SUMPRODUCT($P$49:$P$51,$I$49:$I$51)+SUMPRODUCT($P$52:$P$52,$I$52:$I$52)+SUMPRODUCT($P$53:$P$53,$I$53:$I$53)+SUMPRODUCT($P$54:$P$55,$I$54:$I$55))</f>
        <v>510971.13750000001</v>
      </c>
      <c r="Q59" s="48">
        <f>IF(ISERROR(+SUMPRODUCT($Q$5:$Q$8,$I$5:$I$8)+SUMPRODUCT($Q$9:$Q$12,$I$9:$I$12)+SUMPRODUCT($Q$13:$Q$13,$I$13:$I$13)+SUMPRODUCT($Q$14:$Q$18,$I$14:$I$18)+SUMPRODUCT($Q$19:$Q$20,$I$19:$I$20)+SUMPRODUCT($Q$21:$Q$23,$I$21:$I$23)+SUMPRODUCT($Q$24:$Q$28,$I$24:$I$28)+SUMPRODUCT($Q$29:$Q$33,$I$29:$I$33)+SUMPRODUCT($Q$34:$Q$36,$I$34:$I$36)+SUMPRODUCT($Q$37:$Q$37,$I$37:$I$37)+SUMPRODUCT($Q$38:$Q$40,$I$38:$I$40)+SUMPRODUCT($Q$41:$Q$41,$I$41:$I$41)+SUMPRODUCT($Q$42:$Q$44,$I$42:$I$44)+SUMPRODUCT($Q$45:$Q$45,$I$45:$I$45)+SUMPRODUCT($Q$46:$Q$48,$I$46:$I$48)+SUMPRODUCT($Q$49:$Q$51,$I$49:$I$51)+SUMPRODUCT($Q$52:$Q$52,$I$52:$I$52)+SUMPRODUCT($Q$53:$Q$53,$I$53:$I$53)+SUMPRODUCT($Q$54:$Q$55,$I$54:$I$55)),0,+SUMPRODUCT($Q$5:$Q$8,$I$5:$I$8)+SUMPRODUCT($Q$9:$Q$12,$I$9:$I$12)+SUMPRODUCT($Q$13:$Q$13,$I$13:$I$13)+SUMPRODUCT($Q$14:$Q$18,$I$14:$I$18)+SUMPRODUCT($Q$19:$Q$20,$I$19:$I$20)+SUMPRODUCT($Q$21:$Q$23,$I$21:$I$23)+SUMPRODUCT($Q$24:$Q$28,$I$24:$I$28)+SUMPRODUCT($Q$29:$Q$33,$I$29:$I$33)+SUMPRODUCT($Q$34:$Q$36,$I$34:$I$36)+SUMPRODUCT($Q$37:$Q$37,$I$37:$I$37)+SUMPRODUCT($Q$38:$Q$40,$I$38:$I$40)+SUMPRODUCT($Q$41:$Q$41,$I$41:$I$41)+SUMPRODUCT($Q$42:$Q$44,$I$42:$I$44)+SUMPRODUCT($Q$45:$Q$45,$I$45:$I$45)+SUMPRODUCT($Q$46:$Q$48,$I$46:$I$48)+SUMPRODUCT($Q$49:$Q$51,$I$49:$I$51)+SUMPRODUCT($Q$52:$Q$52,$I$52:$I$52)+SUMPRODUCT($Q$53:$Q$53,$I$53:$I$53)+SUMPRODUCT($Q$54:$Q$55,$I$54:$I$55))</f>
        <v>464359.95526000002</v>
      </c>
      <c r="R59" s="48">
        <f>IF(ISERROR(+SUMPRODUCT($R$5:$R$8,$I$5:$I$8)+SUMPRODUCT($R$9:$R$12,$I$9:$I$12)+SUMPRODUCT($R$13:$R$13,$I$13:$I$13)+SUMPRODUCT($R$14:$R$18,$I$14:$I$18)+SUMPRODUCT($R$19:$R$20,$I$19:$I$20)+SUMPRODUCT($R$21:$R$23,$I$21:$I$23)+SUMPRODUCT($R$24:$R$28,$I$24:$I$28)+SUMPRODUCT($R$29:$R$33,$I$29:$I$33)+SUMPRODUCT($R$34:$R$36,$I$34:$I$36)+SUMPRODUCT($R$37:$R$37,$I$37:$I$37)+SUMPRODUCT($R$38:$R$40,$I$38:$I$40)+SUMPRODUCT($R$41:$R$41,$I$41:$I$41)+SUMPRODUCT($R$42:$R$44,$I$42:$I$44)+SUMPRODUCT($R$45:$R$45,$I$45:$I$45)+SUMPRODUCT($R$46:$R$48,$I$46:$I$48)+SUMPRODUCT($R$49:$R$51,$I$49:$I$51)+SUMPRODUCT($R$52:$R$52,$I$52:$I$52)+SUMPRODUCT($R$53:$R$53,$I$53:$I$53)+SUMPRODUCT($R$54:$R$55,$I$54:$I$55)),0,+SUMPRODUCT($R$5:$R$8,$I$5:$I$8)+SUMPRODUCT($R$9:$R$12,$I$9:$I$12)+SUMPRODUCT($R$13:$R$13,$I$13:$I$13)+SUMPRODUCT($R$14:$R$18,$I$14:$I$18)+SUMPRODUCT($R$19:$R$20,$I$19:$I$20)+SUMPRODUCT($R$21:$R$23,$I$21:$I$23)+SUMPRODUCT($R$24:$R$28,$I$24:$I$28)+SUMPRODUCT($R$29:$R$33,$I$29:$I$33)+SUMPRODUCT($R$34:$R$36,$I$34:$I$36)+SUMPRODUCT($R$37:$R$37,$I$37:$I$37)+SUMPRODUCT($R$38:$R$40,$I$38:$I$40)+SUMPRODUCT($R$41:$R$41,$I$41:$I$41)+SUMPRODUCT($R$42:$R$44,$I$42:$I$44)+SUMPRODUCT($R$45:$R$45,$I$45:$I$45)+SUMPRODUCT($R$46:$R$48,$I$46:$I$48)+SUMPRODUCT($R$49:$R$51,$I$49:$I$51)+SUMPRODUCT($R$52:$R$52,$I$52:$I$52)+SUMPRODUCT($R$53:$R$53,$I$53:$I$53)+SUMPRODUCT($R$54:$R$55,$I$54:$I$55))</f>
        <v>510971.13750000001</v>
      </c>
      <c r="S59" s="48">
        <f>IF(ISERROR(+SUMPRODUCT($S$5:$S$8,$I$5:$I$8)+SUMPRODUCT($S$9:$S$12,$I$9:$I$12)+SUMPRODUCT($S$13:$S$13,$I$13:$I$13)+SUMPRODUCT($S$14:$S$18,$I$14:$I$18)+SUMPRODUCT($S$19:$S$20,$I$19:$I$20)+SUMPRODUCT($S$21:$S$23,$I$21:$I$23)+SUMPRODUCT($S$24:$S$28,$I$24:$I$28)+SUMPRODUCT($S$29:$S$33,$I$29:$I$33)+SUMPRODUCT($S$34:$S$36,$I$34:$I$36)+SUMPRODUCT($S$37:$S$37,$I$37:$I$37)+SUMPRODUCT($S$38:$S$40,$I$38:$I$40)+SUMPRODUCT($S$41:$S$41,$I$41:$I$41)+SUMPRODUCT($S$42:$S$44,$I$42:$I$44)+SUMPRODUCT($S$45:$S$45,$I$45:$I$45)+SUMPRODUCT($S$46:$S$48,$I$46:$I$48)+SUMPRODUCT($S$49:$S$51,$I$49:$I$51)+SUMPRODUCT($S$52:$S$52,$I$52:$I$52)+SUMPRODUCT($S$53:$S$53,$I$53:$I$53)+SUMPRODUCT($S$54:$S$55,$I$54:$I$55)),0,+SUMPRODUCT($S$5:$S$8,$I$5:$I$8)+SUMPRODUCT($S$9:$S$12,$I$9:$I$12)+SUMPRODUCT($S$13:$S$13,$I$13:$I$13)+SUMPRODUCT($S$14:$S$18,$I$14:$I$18)+SUMPRODUCT($S$19:$S$20,$I$19:$I$20)+SUMPRODUCT($S$21:$S$23,$I$21:$I$23)+SUMPRODUCT($S$24:$S$28,$I$24:$I$28)+SUMPRODUCT($S$29:$S$33,$I$29:$I$33)+SUMPRODUCT($S$34:$S$36,$I$34:$I$36)+SUMPRODUCT($S$37:$S$37,$I$37:$I$37)+SUMPRODUCT($S$38:$S$40,$I$38:$I$40)+SUMPRODUCT($S$41:$S$41,$I$41:$I$41)+SUMPRODUCT($S$42:$S$44,$I$42:$I$44)+SUMPRODUCT($S$45:$S$45,$I$45:$I$45)+SUMPRODUCT($S$46:$S$48,$I$46:$I$48)+SUMPRODUCT($S$49:$S$51,$I$49:$I$51)+SUMPRODUCT($S$52:$S$52,$I$52:$I$52)+SUMPRODUCT($S$53:$S$53,$I$53:$I$53)+SUMPRODUCT($S$54:$S$55,$I$54:$I$55))</f>
        <v>511974.07150000002</v>
      </c>
      <c r="T59" s="48"/>
      <c r="U59" s="48">
        <f>IF(ISERROR(+SUMPRODUCT($U$5:$U$8,$I$5:$I$8)+SUMPRODUCT($U$9:$U$12,$I$9:$I$12)+SUMPRODUCT($U$13:$U$13,$I$13:$I$13)+SUMPRODUCT($U$14:$U$18,$I$14:$I$18)+SUMPRODUCT($U$19:$U$20,$I$19:$I$20)+SUMPRODUCT($U$21:$U$23,$I$21:$I$23)+SUMPRODUCT($U$24:$U$28,$I$24:$I$28)+SUMPRODUCT($U$29:$U$33,$I$29:$I$33)+SUMPRODUCT($U$34:$U$36,$I$34:$I$36)+SUMPRODUCT($U$37:$U$37,$I$37:$I$37)+SUMPRODUCT($U$38:$U$40,$I$38:$I$40)+SUMPRODUCT($U$41:$U$41,$I$41:$I$41)+SUMPRODUCT($U$42:$U$44,$I$42:$I$44)+SUMPRODUCT($U$45:$U$45,$I$45:$I$45)+SUMPRODUCT($U$46:$U$48,$I$46:$I$48)+SUMPRODUCT($U$49:$U$51,$I$49:$I$51)+SUMPRODUCT($U$52:$U$52,$I$52:$I$52)+SUMPRODUCT($U$53:$U$53,$I$53:$I$53)+SUMPRODUCT($U$54:$U$55,$I$54:$I$55)),0,+SUMPRODUCT($U$5:$U$8,$I$5:$I$8)+SUMPRODUCT($U$9:$U$12,$I$9:$I$12)+SUMPRODUCT($U$13:$U$13,$I$13:$I$13)+SUMPRODUCT($U$14:$U$18,$I$14:$I$18)+SUMPRODUCT($U$19:$U$20,$I$19:$I$20)+SUMPRODUCT($U$21:$U$23,$I$21:$I$23)+SUMPRODUCT($U$24:$U$28,$I$24:$I$28)+SUMPRODUCT($U$29:$U$33,$I$29:$I$33)+SUMPRODUCT($U$34:$U$36,$I$34:$I$36)+SUMPRODUCT($U$37:$U$37,$I$37:$I$37)+SUMPRODUCT($U$38:$U$40,$I$38:$I$40)+SUMPRODUCT($U$41:$U$41,$I$41:$I$41)+SUMPRODUCT($U$42:$U$44,$I$42:$I$44)+SUMPRODUCT($U$45:$U$45,$I$45:$I$45)+SUMPRODUCT($U$46:$U$48,$I$46:$I$48)+SUMPRODUCT($U$49:$U$51,$I$49:$I$51)+SUMPRODUCT($U$52:$U$52,$I$52:$I$52)+SUMPRODUCT($U$53:$U$53,$I$53:$I$53)+SUMPRODUCT($U$54:$U$55,$I$54:$I$55))</f>
        <v>4241724.9648050992</v>
      </c>
      <c r="V59" s="48">
        <f>IF(ISERROR(+SUMPRODUCT($V$5:$V$8,$I$5:$I$8)+SUMPRODUCT($V$9:$V$12,$I$9:$I$12)+SUMPRODUCT($V$13:$V$13,$I$13:$I$13)+SUMPRODUCT($V$14:$V$18,$I$14:$I$18)+SUMPRODUCT($V$19:$V$20,$I$19:$I$20)+SUMPRODUCT($V$21:$V$23,$I$21:$I$23)+SUMPRODUCT($V$24:$V$28,$I$24:$I$28)+SUMPRODUCT($V$29:$V$33,$I$29:$I$33)+SUMPRODUCT($V$34:$V$36,$I$34:$I$36)+SUMPRODUCT($V$37:$V$37,$I$37:$I$37)+SUMPRODUCT($V$38:$V$40,$I$38:$I$40)+SUMPRODUCT($V$41:$V$41,$I$41:$I$41)+SUMPRODUCT($V$42:$V$44,$I$42:$I$44)+SUMPRODUCT($V$45:$V$45,$I$45:$I$45)+SUMPRODUCT($V$46:$V$48,$I$46:$I$48)+SUMPRODUCT($V$49:$V$51,$I$49:$I$51)+SUMPRODUCT($V$52:$V$52,$I$52:$I$52)+SUMPRODUCT($V$53:$V$53,$I$53:$I$53)+SUMPRODUCT($V$54:$V$55,$I$54:$I$55)),0,+SUMPRODUCT($V$5:$V$8,$I$5:$I$8)+SUMPRODUCT($V$9:$V$12,$I$9:$I$12)+SUMPRODUCT($V$13:$V$13,$I$13:$I$13)+SUMPRODUCT($V$14:$V$18,$I$14:$I$18)+SUMPRODUCT($V$19:$V$20,$I$19:$I$20)+SUMPRODUCT($V$21:$V$23,$I$21:$I$23)+SUMPRODUCT($V$24:$V$28,$I$24:$I$28)+SUMPRODUCT($V$29:$V$33,$I$29:$I$33)+SUMPRODUCT($V$34:$V$36,$I$34:$I$36)+SUMPRODUCT($V$37:$V$37,$I$37:$I$37)+SUMPRODUCT($V$38:$V$40,$I$38:$I$40)+SUMPRODUCT($V$41:$V$41,$I$41:$I$41)+SUMPRODUCT($V$42:$V$44,$I$42:$I$44)+SUMPRODUCT($V$45:$V$45,$I$45:$I$45)+SUMPRODUCT($V$46:$V$48,$I$46:$I$48)+SUMPRODUCT($V$49:$V$51,$I$49:$I$51)+SUMPRODUCT($V$52:$V$52,$I$52:$I$52)+SUMPRODUCT($V$53:$V$53,$I$53:$I$53)+SUMPRODUCT($V$54:$V$55,$I$54:$I$55))</f>
        <v>3305600.8855033</v>
      </c>
      <c r="W59" s="48">
        <f>IF(ISERROR(+SUMPRODUCT($W$5:$W$8,$I$5:$I$8)+SUMPRODUCT($W$9:$W$12,$I$9:$I$12)+SUMPRODUCT($W$13:$W$13,$I$13:$I$13)+SUMPRODUCT($W$14:$W$18,$I$14:$I$18)+SUMPRODUCT($W$19:$W$20,$I$19:$I$20)+SUMPRODUCT($W$21:$W$23,$I$21:$I$23)+SUMPRODUCT($W$24:$W$28,$I$24:$I$28)+SUMPRODUCT($W$29:$W$33,$I$29:$I$33)+SUMPRODUCT($W$34:$W$36,$I$34:$I$36)+SUMPRODUCT($W$37:$W$37,$I$37:$I$37)+SUMPRODUCT($W$38:$W$40,$I$38:$I$40)+SUMPRODUCT($W$41:$W$41,$I$41:$I$41)+SUMPRODUCT($W$42:$W$44,$I$42:$I$44)+SUMPRODUCT($W$45:$W$45,$I$45:$I$45)+SUMPRODUCT($W$46:$W$48,$I$46:$I$48)+SUMPRODUCT($W$49:$W$51,$I$49:$I$51)+SUMPRODUCT($W$52:$W$52,$I$52:$I$52)+SUMPRODUCT($W$53:$W$53,$I$53:$I$53)+SUMPRODUCT($W$54:$W$55,$I$54:$I$55)),0,+SUMPRODUCT($W$5:$W$8,$I$5:$I$8)+SUMPRODUCT($W$9:$W$12,$I$9:$I$12)+SUMPRODUCT($W$13:$W$13,$I$13:$I$13)+SUMPRODUCT($W$14:$W$18,$I$14:$I$18)+SUMPRODUCT($W$19:$W$20,$I$19:$I$20)+SUMPRODUCT($W$21:$W$23,$I$21:$I$23)+SUMPRODUCT($W$24:$W$28,$I$24:$I$28)+SUMPRODUCT($W$29:$W$33,$I$29:$I$33)+SUMPRODUCT($W$34:$W$36,$I$34:$I$36)+SUMPRODUCT($W$37:$W$37,$I$37:$I$37)+SUMPRODUCT($W$38:$W$40,$I$38:$I$40)+SUMPRODUCT($W$41:$W$41,$I$41:$I$41)+SUMPRODUCT($W$42:$W$44,$I$42:$I$44)+SUMPRODUCT($W$45:$W$45,$I$45:$I$45)+SUMPRODUCT($W$46:$W$48,$I$46:$I$48)+SUMPRODUCT($W$49:$W$51,$I$49:$I$51)+SUMPRODUCT($W$52:$W$52,$I$52:$I$52)+SUMPRODUCT($W$53:$W$53,$I$53:$I$53)+SUMPRODUCT($W$54:$W$55,$I$54:$I$55))</f>
        <v>275547.72166780004</v>
      </c>
      <c r="X59" s="48">
        <f>IF(ISERROR(+SUMPRODUCT($X$5:$X$8,$I$5:$I$8)+SUMPRODUCT($X$9:$X$12,$I$9:$I$12)+SUMPRODUCT($X$13:$X$13,$I$13:$I$13)+SUMPRODUCT($X$14:$X$18,$I$14:$I$18)+SUMPRODUCT($X$19:$X$20,$I$19:$I$20)+SUMPRODUCT($X$21:$X$23,$I$21:$I$23)+SUMPRODUCT($X$24:$X$28,$I$24:$I$28)+SUMPRODUCT($X$29:$X$33,$I$29:$I$33)+SUMPRODUCT($X$34:$X$36,$I$34:$I$36)+SUMPRODUCT($X$37:$X$37,$I$37:$I$37)+SUMPRODUCT($X$38:$X$40,$I$38:$I$40)+SUMPRODUCT($X$41:$X$41,$I$41:$I$41)+SUMPRODUCT($X$42:$X$44,$I$42:$I$44)+SUMPRODUCT($X$45:$X$45,$I$45:$I$45)+SUMPRODUCT($X$46:$X$48,$I$46:$I$48)+SUMPRODUCT($X$49:$X$51,$I$49:$I$51)+SUMPRODUCT($X$52:$X$52,$I$52:$I$52)+SUMPRODUCT($X$53:$X$53,$I$53:$I$53)+SUMPRODUCT($X$54:$X$55,$I$54:$I$55)),0,+SUMPRODUCT($X$5:$X$8,$I$5:$I$8)+SUMPRODUCT($X$9:$X$12,$I$9:$I$12)+SUMPRODUCT($X$13:$X$13,$I$13:$I$13)+SUMPRODUCT($X$14:$X$18,$I$14:$I$18)+SUMPRODUCT($X$19:$X$20,$I$19:$I$20)+SUMPRODUCT($X$21:$X$23,$I$21:$I$23)+SUMPRODUCT($X$24:$X$28,$I$24:$I$28)+SUMPRODUCT($X$29:$X$33,$I$29:$I$33)+SUMPRODUCT($X$34:$X$36,$I$34:$I$36)+SUMPRODUCT($X$37:$X$37,$I$37:$I$37)+SUMPRODUCT($X$38:$X$40,$I$38:$I$40)+SUMPRODUCT($X$41:$X$41,$I$41:$I$41)+SUMPRODUCT($X$42:$X$44,$I$42:$I$44)+SUMPRODUCT($X$45:$X$45,$I$45:$I$45)+SUMPRODUCT($X$46:$X$48,$I$46:$I$48)+SUMPRODUCT($X$49:$X$51,$I$49:$I$51)+SUMPRODUCT($X$52:$X$52,$I$52:$I$52)+SUMPRODUCT($X$53:$X$53,$I$53:$I$53)+SUMPRODUCT($X$54:$X$55,$I$54:$I$55))</f>
        <v>0</v>
      </c>
      <c r="Y59" s="48">
        <f>IF(ISERROR(+SUMPRODUCT($Y$5:$Y$8,$I$5:$I$8)+SUMPRODUCT($Y$9:$Y$12,$I$9:$I$12)+SUMPRODUCT($Y$13:$Y$13,$I$13:$I$13)+SUMPRODUCT($Y$14:$Y$18,$I$14:$I$18)+SUMPRODUCT($Y$19:$Y$20,$I$19:$I$20)+SUMPRODUCT($Y$21:$Y$23,$I$21:$I$23)+SUMPRODUCT($Y$24:$Y$28,$I$24:$I$28)+SUMPRODUCT($Y$29:$Y$33,$I$29:$I$33)+SUMPRODUCT($Y$34:$Y$36,$I$34:$I$36)+SUMPRODUCT($Y$37:$Y$37,$I$37:$I$37)+SUMPRODUCT($Y$38:$Y$40,$I$38:$I$40)+SUMPRODUCT($Y$41:$Y$41,$I$41:$I$41)+SUMPRODUCT($Y$42:$Y$44,$I$42:$I$44)+SUMPRODUCT($Y$45:$Y$45,$I$45:$I$45)+SUMPRODUCT($Y$46:$Y$48,$I$46:$I$48)+SUMPRODUCT($Y$49:$Y$51,$I$49:$I$51)+SUMPRODUCT($Y$52:$Y$52,$I$52:$I$52)+SUMPRODUCT($Y$53:$Y$53,$I$53:$I$53)+SUMPRODUCT($Y$54:$Y$55,$I$54:$I$55)),0,+SUMPRODUCT($Y$5:$Y$8,$I$5:$I$8)+SUMPRODUCT($Y$9:$Y$12,$I$9:$I$12)+SUMPRODUCT($Y$13:$Y$13,$I$13:$I$13)+SUMPRODUCT($Y$14:$Y$18,$I$14:$I$18)+SUMPRODUCT($Y$19:$Y$20,$I$19:$I$20)+SUMPRODUCT($Y$21:$Y$23,$I$21:$I$23)+SUMPRODUCT($Y$24:$Y$28,$I$24:$I$28)+SUMPRODUCT($Y$29:$Y$33,$I$29:$I$33)+SUMPRODUCT($Y$34:$Y$36,$I$34:$I$36)+SUMPRODUCT($Y$37:$Y$37,$I$37:$I$37)+SUMPRODUCT($Y$38:$Y$40,$I$38:$I$40)+SUMPRODUCT($Y$41:$Y$41,$I$41:$I$41)+SUMPRODUCT($Y$42:$Y$44,$I$42:$I$44)+SUMPRODUCT($Y$45:$Y$45,$I$45:$I$45)+SUMPRODUCT($Y$46:$Y$48,$I$46:$I$48)+SUMPRODUCT($Y$49:$Y$51,$I$49:$I$51)+SUMPRODUCT($Y$52:$Y$52,$I$52:$I$52)+SUMPRODUCT($Y$53:$Y$53,$I$53:$I$53)+SUMPRODUCT($Y$54:$Y$55,$I$54:$I$55))</f>
        <v>34369345.297334649</v>
      </c>
      <c r="Z59" s="48">
        <f>IF(ISERROR(+SUMPRODUCT($Z$5:$Z$8,$I$5:$I$8)+SUMPRODUCT($Z$9:$Z$12,$I$9:$I$12)+SUMPRODUCT($Z$13:$Z$13,$I$13:$I$13)+SUMPRODUCT($Z$14:$Z$18,$I$14:$I$18)+SUMPRODUCT($Z$19:$Z$20,$I$19:$I$20)+SUMPRODUCT($Z$21:$Z$23,$I$21:$I$23)+SUMPRODUCT($Z$24:$Z$28,$I$24:$I$28)+SUMPRODUCT($Z$29:$Z$33,$I$29:$I$33)+SUMPRODUCT($Z$34:$Z$36,$I$34:$I$36)+SUMPRODUCT($Z$37:$Z$37,$I$37:$I$37)+SUMPRODUCT($Z$38:$Z$40,$I$38:$I$40)+SUMPRODUCT($Z$41:$Z$41,$I$41:$I$41)+SUMPRODUCT($Z$42:$Z$44,$I$42:$I$44)+SUMPRODUCT($Z$45:$Z$45,$I$45:$I$45)+SUMPRODUCT($Z$46:$Z$48,$I$46:$I$48)+SUMPRODUCT($Z$49:$Z$51,$I$49:$I$51)+SUMPRODUCT($Z$52:$Z$52,$I$52:$I$52)+SUMPRODUCT($Z$53:$Z$53,$I$53:$I$53)+SUMPRODUCT($Z$54:$Z$55,$I$54:$I$55)),0,+SUMPRODUCT($Z$5:$Z$8,$I$5:$I$8)+SUMPRODUCT($Z$9:$Z$12,$I$9:$I$12)+SUMPRODUCT($Z$13:$Z$13,$I$13:$I$13)+SUMPRODUCT($Z$14:$Z$18,$I$14:$I$18)+SUMPRODUCT($Z$19:$Z$20,$I$19:$I$20)+SUMPRODUCT($Z$21:$Z$23,$I$21:$I$23)+SUMPRODUCT($Z$24:$Z$28,$I$24:$I$28)+SUMPRODUCT($Z$29:$Z$33,$I$29:$I$33)+SUMPRODUCT($Z$34:$Z$36,$I$34:$I$36)+SUMPRODUCT($Z$37:$Z$37,$I$37:$I$37)+SUMPRODUCT($Z$38:$Z$40,$I$38:$I$40)+SUMPRODUCT($Z$41:$Z$41,$I$41:$I$41)+SUMPRODUCT($Z$42:$Z$44,$I$42:$I$44)+SUMPRODUCT($Z$45:$Z$45,$I$45:$I$45)+SUMPRODUCT($Z$46:$Z$48,$I$46:$I$48)+SUMPRODUCT($Z$49:$Z$51,$I$49:$I$51)+SUMPRODUCT($Z$52:$Z$52,$I$52:$I$52)+SUMPRODUCT($Z$53:$Z$53,$I$53:$I$53)+SUMPRODUCT($Z$54:$Z$55,$I$54:$I$55))</f>
        <v>0</v>
      </c>
      <c r="AA59" s="48">
        <f>IF(ISERROR(+SUMPRODUCT($AA$5:$AA$8,$I$5:$I$8)+SUMPRODUCT($AA$9:$AA$12,$I$9:$I$12)+SUMPRODUCT($AA$13:$AA$13,$I$13:$I$13)+SUMPRODUCT($AA$14:$AA$18,$I$14:$I$18)+SUMPRODUCT($AA$19:$AA$20,$I$19:$I$20)+SUMPRODUCT($AA$21:$AA$23,$I$21:$I$23)+SUMPRODUCT($AA$24:$AA$28,$I$24:$I$28)+SUMPRODUCT($AA$29:$AA$33,$I$29:$I$33)+SUMPRODUCT($AA$34:$AA$36,$I$34:$I$36)+SUMPRODUCT($AA$37:$AA$37,$I$37:$I$37)+SUMPRODUCT($AA$38:$AA$40,$I$38:$I$40)+SUMPRODUCT($AA$41:$AA$41,$I$41:$I$41)+SUMPRODUCT($AA$42:$AA$44,$I$42:$I$44)+SUMPRODUCT($AA$45:$AA$45,$I$45:$I$45)+SUMPRODUCT($AA$46:$AA$48,$I$46:$I$48)+SUMPRODUCT($AA$49:$AA$51,$I$49:$I$51)+SUMPRODUCT($AA$52:$AA$52,$I$52:$I$52)+SUMPRODUCT($AA$53:$AA$53,$I$53:$I$53)+SUMPRODUCT($AA$54:$AA$55,$I$54:$I$55)),0,+SUMPRODUCT($AA$5:$AA$8,$I$5:$I$8)+SUMPRODUCT($AA$9:$AA$12,$I$9:$I$12)+SUMPRODUCT($AA$13:$AA$13,$I$13:$I$13)+SUMPRODUCT($AA$14:$AA$18,$I$14:$I$18)+SUMPRODUCT($AA$19:$AA$20,$I$19:$I$20)+SUMPRODUCT($AA$21:$AA$23,$I$21:$I$23)+SUMPRODUCT($AA$24:$AA$28,$I$24:$I$28)+SUMPRODUCT($AA$29:$AA$33,$I$29:$I$33)+SUMPRODUCT($AA$34:$AA$36,$I$34:$I$36)+SUMPRODUCT($AA$37:$AA$37,$I$37:$I$37)+SUMPRODUCT($AA$38:$AA$40,$I$38:$I$40)+SUMPRODUCT($AA$41:$AA$41,$I$41:$I$41)+SUMPRODUCT($AA$42:$AA$44,$I$42:$I$44)+SUMPRODUCT($AA$45:$AA$45,$I$45:$I$45)+SUMPRODUCT($AA$46:$AA$48,$I$46:$I$48)+SUMPRODUCT($AA$49:$AA$51,$I$49:$I$51)+SUMPRODUCT($AA$52:$AA$52,$I$52:$I$52)+SUMPRODUCT($AA$53:$AA$53,$I$53:$I$53)+SUMPRODUCT($AA$54:$AA$55,$I$54:$I$55))</f>
        <v>0</v>
      </c>
      <c r="AB59" s="48"/>
      <c r="AC59" s="48">
        <f>IF(ISERROR(+SUMPRODUCT($AC$5:$AC$8,$I$5:$I$8)+SUMPRODUCT($AC$9:$AC$12,$I$9:$I$12)+SUMPRODUCT($AC$13:$AC$13,$I$13:$I$13)+SUMPRODUCT($AC$14:$AC$18,$I$14:$I$18)+SUMPRODUCT($AC$19:$AC$20,$I$19:$I$20)+SUMPRODUCT($AC$21:$AC$23,$I$21:$I$23)+SUMPRODUCT($AC$24:$AC$28,$I$24:$I$28)+SUMPRODUCT($AC$29:$AC$33,$I$29:$I$33)+SUMPRODUCT($AC$34:$AC$36,$I$34:$I$36)+SUMPRODUCT($AC$37:$AC$37,$I$37:$I$37)+SUMPRODUCT($AC$38:$AC$40,$I$38:$I$40)+SUMPRODUCT($AC$41:$AC$41,$I$41:$I$41)+SUMPRODUCT($AC$42:$AC$44,$I$42:$I$44)+SUMPRODUCT($AC$45:$AC$45,$I$45:$I$45)+SUMPRODUCT($AC$46:$AC$48,$I$46:$I$48)+SUMPRODUCT($AC$49:$AC$51,$I$49:$I$51)+SUMPRODUCT($AC$52:$AC$52,$I$52:$I$52)+SUMPRODUCT($AC$53:$AC$53,$I$53:$I$53)+SUMPRODUCT($AC$54:$AC$55,$I$54:$I$55)),0,+SUMPRODUCT($AC$5:$AC$8,$I$5:$I$8)+SUMPRODUCT($AC$9:$AC$12,$I$9:$I$12)+SUMPRODUCT($AC$13:$AC$13,$I$13:$I$13)+SUMPRODUCT($AC$14:$AC$18,$I$14:$I$18)+SUMPRODUCT($AC$19:$AC$20,$I$19:$I$20)+SUMPRODUCT($AC$21:$AC$23,$I$21:$I$23)+SUMPRODUCT($AC$24:$AC$28,$I$24:$I$28)+SUMPRODUCT($AC$29:$AC$33,$I$29:$I$33)+SUMPRODUCT($AC$34:$AC$36,$I$34:$I$36)+SUMPRODUCT($AC$37:$AC$37,$I$37:$I$37)+SUMPRODUCT($AC$38:$AC$40,$I$38:$I$40)+SUMPRODUCT($AC$41:$AC$41,$I$41:$I$41)+SUMPRODUCT($AC$42:$AC$44,$I$42:$I$44)+SUMPRODUCT($AC$45:$AC$45,$I$45:$I$45)+SUMPRODUCT($AC$46:$AC$48,$I$46:$I$48)+SUMPRODUCT($AC$49:$AC$51,$I$49:$I$51)+SUMPRODUCT($AC$52:$AC$52,$I$52:$I$52)+SUMPRODUCT($AC$53:$AC$53,$I$53:$I$53)+SUMPRODUCT($AC$54:$AC$55,$I$54:$I$55))</f>
        <v>123457720.76271589</v>
      </c>
      <c r="AD59" s="48"/>
      <c r="AE59" s="48">
        <f>IF(ISERROR(+SUMPRODUCT($AE$5:$AE$8,$I$5:$I$8)+SUMPRODUCT($AE$9:$AE$12,$I$9:$I$12)+SUMPRODUCT($AE$13:$AE$13,$I$13:$I$13)+SUMPRODUCT($AE$14:$AE$18,$I$14:$I$18)+SUMPRODUCT($AE$19:$AE$20,$I$19:$I$20)+SUMPRODUCT($AE$21:$AE$23,$I$21:$I$23)+SUMPRODUCT($AE$24:$AE$28,$I$24:$I$28)+SUMPRODUCT($AE$29:$AE$33,$I$29:$I$33)+SUMPRODUCT($AE$34:$AE$36,$I$34:$I$36)+SUMPRODUCT($AE$37:$AE$37,$I$37:$I$37)+SUMPRODUCT($AE$38:$AE$40,$I$38:$I$40)+SUMPRODUCT($AE$41:$AE$41,$I$41:$I$41)+SUMPRODUCT($AE$42:$AE$44,$I$42:$I$44)+SUMPRODUCT($AE$45:$AE$45,$I$45:$I$45)+SUMPRODUCT($AE$46:$AE$48,$I$46:$I$48)+SUMPRODUCT($AE$49:$AE$51,$I$49:$I$51)+SUMPRODUCT($AE$52:$AE$52,$I$52:$I$52)+SUMPRODUCT($AE$53:$AE$53,$I$53:$I$53)+SUMPRODUCT($AE$54:$AE$55,$I$54:$I$55)),0,+SUMPRODUCT($AE$5:$AE$8,$I$5:$I$8)+SUMPRODUCT($AE$9:$AE$12,$I$9:$I$12)+SUMPRODUCT($AE$13:$AE$13,$I$13:$I$13)+SUMPRODUCT($AE$14:$AE$18,$I$14:$I$18)+SUMPRODUCT($AE$19:$AE$20,$I$19:$I$20)+SUMPRODUCT($AE$21:$AE$23,$I$21:$I$23)+SUMPRODUCT($AE$24:$AE$28,$I$24:$I$28)+SUMPRODUCT($AE$29:$AE$33,$I$29:$I$33)+SUMPRODUCT($AE$34:$AE$36,$I$34:$I$36)+SUMPRODUCT($AE$37:$AE$37,$I$37:$I$37)+SUMPRODUCT($AE$38:$AE$40,$I$38:$I$40)+SUMPRODUCT($AE$41:$AE$41,$I$41:$I$41)+SUMPRODUCT($AE$42:$AE$44,$I$42:$I$44)+SUMPRODUCT($AE$45:$AE$45,$I$45:$I$45)+SUMPRODUCT($AE$46:$AE$48,$I$46:$I$48)+SUMPRODUCT($AE$49:$AE$51,$I$49:$I$51)+SUMPRODUCT($AE$52:$AE$52,$I$52:$I$52)+SUMPRODUCT($AE$53:$AE$53,$I$53:$I$53)+SUMPRODUCT($AE$54:$AE$55,$I$54:$I$55))</f>
        <v>0</v>
      </c>
      <c r="AF59" s="48">
        <f>IF(ISERROR(+SUMPRODUCT($AF$5:$AF$8,$I$5:$I$8)+SUMPRODUCT($AF$9:$AF$12,$I$9:$I$12)+SUMPRODUCT($AF$13:$AF$13,$I$13:$I$13)+SUMPRODUCT($AF$14:$AF$18,$I$14:$I$18)+SUMPRODUCT($AF$19:$AF$20,$I$19:$I$20)+SUMPRODUCT($AF$21:$AF$23,$I$21:$I$23)+SUMPRODUCT($AF$24:$AF$28,$I$24:$I$28)+SUMPRODUCT($AF$29:$AF$33,$I$29:$I$33)+SUMPRODUCT($AF$34:$AF$36,$I$34:$I$36)+SUMPRODUCT($AF$37:$AF$37,$I$37:$I$37)+SUMPRODUCT($AF$38:$AF$40,$I$38:$I$40)+SUMPRODUCT($AF$41:$AF$41,$I$41:$I$41)+SUMPRODUCT($AF$42:$AF$44,$I$42:$I$44)+SUMPRODUCT($AF$45:$AF$45,$I$45:$I$45)+SUMPRODUCT($AF$46:$AF$48,$I$46:$I$48)+SUMPRODUCT($AF$49:$AF$51,$I$49:$I$51)+SUMPRODUCT($AF$52:$AF$52,$I$52:$I$52)+SUMPRODUCT($AF$53:$AF$53,$I$53:$I$53)+SUMPRODUCT($AF$54:$AF$55,$I$54:$I$55)),0,+SUMPRODUCT($AF$5:$AF$8,$I$5:$I$8)+SUMPRODUCT($AF$9:$AF$12,$I$9:$I$12)+SUMPRODUCT($AF$13:$AF$13,$I$13:$I$13)+SUMPRODUCT($AF$14:$AF$18,$I$14:$I$18)+SUMPRODUCT($AF$19:$AF$20,$I$19:$I$20)+SUMPRODUCT($AF$21:$AF$23,$I$21:$I$23)+SUMPRODUCT($AF$24:$AF$28,$I$24:$I$28)+SUMPRODUCT($AF$29:$AF$33,$I$29:$I$33)+SUMPRODUCT($AF$34:$AF$36,$I$34:$I$36)+SUMPRODUCT($AF$37:$AF$37,$I$37:$I$37)+SUMPRODUCT($AF$38:$AF$40,$I$38:$I$40)+SUMPRODUCT($AF$41:$AF$41,$I$41:$I$41)+SUMPRODUCT($AF$42:$AF$44,$I$42:$I$44)+SUMPRODUCT($AF$45:$AF$45,$I$45:$I$45)+SUMPRODUCT($AF$46:$AF$48,$I$46:$I$48)+SUMPRODUCT($AF$49:$AF$51,$I$49:$I$51)+SUMPRODUCT($AF$52:$AF$52,$I$52:$I$52)+SUMPRODUCT($AF$53:$AF$53,$I$53:$I$53)+SUMPRODUCT($AF$54:$AF$55,$I$54:$I$55))</f>
        <v>0</v>
      </c>
      <c r="AG59" s="48"/>
      <c r="AH59" s="48">
        <f>IF(ISERROR(+SUMPRODUCT($AH$5:$AH$8,$I$5:$I$8)+SUMPRODUCT($AH$9:$AH$12,$I$9:$I$12)+SUMPRODUCT($AH$13:$AH$13,$I$13:$I$13)+SUMPRODUCT($AH$14:$AH$18,$I$14:$I$18)+SUMPRODUCT($AH$19:$AH$20,$I$19:$I$20)+SUMPRODUCT($AH$21:$AH$23,$I$21:$I$23)+SUMPRODUCT($AH$24:$AH$28,$I$24:$I$28)+SUMPRODUCT($AH$29:$AH$33,$I$29:$I$33)+SUMPRODUCT($AH$34:$AH$36,$I$34:$I$36)+SUMPRODUCT($AH$37:$AH$37,$I$37:$I$37)+SUMPRODUCT($AH$38:$AH$40,$I$38:$I$40)+SUMPRODUCT($AH$41:$AH$41,$I$41:$I$41)+SUMPRODUCT($AH$42:$AH$44,$I$42:$I$44)+SUMPRODUCT($AH$45:$AH$45,$I$45:$I$45)+SUMPRODUCT($AH$46:$AH$48,$I$46:$I$48)+SUMPRODUCT($AH$49:$AH$51,$I$49:$I$51)+SUMPRODUCT($AH$52:$AH$52,$I$52:$I$52)+SUMPRODUCT($AH$53:$AH$53,$I$53:$I$53)+SUMPRODUCT($AH$54:$AH$55,$I$54:$I$55)),0,+SUMPRODUCT($AH$5:$AH$8,$I$5:$I$8)+SUMPRODUCT($AH$9:$AH$12,$I$9:$I$12)+SUMPRODUCT($AH$13:$AH$13,$I$13:$I$13)+SUMPRODUCT($AH$14:$AH$18,$I$14:$I$18)+SUMPRODUCT($AH$19:$AH$20,$I$19:$I$20)+SUMPRODUCT($AH$21:$AH$23,$I$21:$I$23)+SUMPRODUCT($AH$24:$AH$28,$I$24:$I$28)+SUMPRODUCT($AH$29:$AH$33,$I$29:$I$33)+SUMPRODUCT($AH$34:$AH$36,$I$34:$I$36)+SUMPRODUCT($AH$37:$AH$37,$I$37:$I$37)+SUMPRODUCT($AH$38:$AH$40,$I$38:$I$40)+SUMPRODUCT($AH$41:$AH$41,$I$41:$I$41)+SUMPRODUCT($AH$42:$AH$44,$I$42:$I$44)+SUMPRODUCT($AH$45:$AH$45,$I$45:$I$45)+SUMPRODUCT($AH$46:$AH$48,$I$46:$I$48)+SUMPRODUCT($AH$49:$AH$51,$I$49:$I$51)+SUMPRODUCT($AH$52:$AH$52,$I$52:$I$52)+SUMPRODUCT($AH$53:$AH$53,$I$53:$I$53)+SUMPRODUCT($AH$54:$AH$55,$I$54:$I$55))</f>
        <v>5749551.5528135002</v>
      </c>
      <c r="AI59" s="48">
        <f>IF(ISERROR(+SUMPRODUCT($AI$5:$AI$8,$I$5:$I$8)+SUMPRODUCT($AI$9:$AI$12,$I$9:$I$12)+SUMPRODUCT($AI$13:$AI$13,$I$13:$I$13)+SUMPRODUCT($AI$14:$AI$18,$I$14:$I$18)+SUMPRODUCT($AI$19:$AI$20,$I$19:$I$20)+SUMPRODUCT($AI$21:$AI$23,$I$21:$I$23)+SUMPRODUCT($AI$24:$AI$28,$I$24:$I$28)+SUMPRODUCT($AI$29:$AI$33,$I$29:$I$33)+SUMPRODUCT($AI$34:$AI$36,$I$34:$I$36)+SUMPRODUCT($AI$37:$AI$37,$I$37:$I$37)+SUMPRODUCT($AI$38:$AI$40,$I$38:$I$40)+SUMPRODUCT($AI$41:$AI$41,$I$41:$I$41)+SUMPRODUCT($AI$42:$AI$44,$I$42:$I$44)+SUMPRODUCT($AI$45:$AI$45,$I$45:$I$45)+SUMPRODUCT($AI$46:$AI$48,$I$46:$I$48)+SUMPRODUCT($AI$49:$AI$51,$I$49:$I$51)+SUMPRODUCT($AI$52:$AI$52,$I$52:$I$52)+SUMPRODUCT($AI$53:$AI$53,$I$53:$I$53)+SUMPRODUCT($AI$54:$AI$55,$I$54:$I$55)),0,+SUMPRODUCT($AI$5:$AI$8,$I$5:$I$8)+SUMPRODUCT($AI$9:$AI$12,$I$9:$I$12)+SUMPRODUCT($AI$13:$AI$13,$I$13:$I$13)+SUMPRODUCT($AI$14:$AI$18,$I$14:$I$18)+SUMPRODUCT($AI$19:$AI$20,$I$19:$I$20)+SUMPRODUCT($AI$21:$AI$23,$I$21:$I$23)+SUMPRODUCT($AI$24:$AI$28,$I$24:$I$28)+SUMPRODUCT($AI$29:$AI$33,$I$29:$I$33)+SUMPRODUCT($AI$34:$AI$36,$I$34:$I$36)+SUMPRODUCT($AI$37:$AI$37,$I$37:$I$37)+SUMPRODUCT($AI$38:$AI$40,$I$38:$I$40)+SUMPRODUCT($AI$41:$AI$41,$I$41:$I$41)+SUMPRODUCT($AI$42:$AI$44,$I$42:$I$44)+SUMPRODUCT($AI$45:$AI$45,$I$45:$I$45)+SUMPRODUCT($AI$46:$AI$48,$I$46:$I$48)+SUMPRODUCT($AI$49:$AI$51,$I$49:$I$51)+SUMPRODUCT($AI$52:$AI$52,$I$52:$I$52)+SUMPRODUCT($AI$53:$AI$53,$I$53:$I$53)+SUMPRODUCT($AI$54:$AI$55,$I$54:$I$55))</f>
        <v>161923.72139354999</v>
      </c>
      <c r="AJ59" s="48">
        <f ca="1">IF(ISERROR(+SUMPRODUCT($AJ$5:$AJ$8,$I$5:$I$8)+SUMPRODUCT($AJ$9:$AJ$12,$I$9:$I$12)+SUMPRODUCT($AJ$13:$AJ$13,$I$13:$I$13)+SUMPRODUCT($AJ$14:$AJ$18,$I$14:$I$18)+SUMPRODUCT($AJ$19:$AJ$20,$I$19:$I$20)+SUMPRODUCT($AJ$21:$AJ$23,$I$21:$I$23)+SUMPRODUCT($AJ$24:$AJ$28,$I$24:$I$28)+SUMPRODUCT($AJ$29:$AJ$33,$I$29:$I$33)+SUMPRODUCT($AJ$34:$AJ$36,$I$34:$I$36)+SUMPRODUCT($AJ$37:$AJ$37,$I$37:$I$37)+SUMPRODUCT($AJ$38:$AJ$40,$I$38:$I$40)+SUMPRODUCT($AJ$41:$AJ$41,$I$41:$I$41)+SUMPRODUCT($AJ$42:$AJ$44,$I$42:$I$44)+SUMPRODUCT($AJ$45:$AJ$45,$I$45:$I$45)+SUMPRODUCT($AJ$46:$AJ$48,$I$46:$I$48)+SUMPRODUCT($AJ$49:$AJ$51,$I$49:$I$51)+SUMPRODUCT($AJ$52:$AJ$52,$I$52:$I$52)+SUMPRODUCT($AJ$53:$AJ$53,$I$53:$I$53)+SUMPRODUCT($AJ$54:$AJ$55,$I$54:$I$55)),0,+SUMPRODUCT($AJ$5:$AJ$8,$I$5:$I$8)+SUMPRODUCT($AJ$9:$AJ$12,$I$9:$I$12)+SUMPRODUCT($AJ$13:$AJ$13,$I$13:$I$13)+SUMPRODUCT($AJ$14:$AJ$18,$I$14:$I$18)+SUMPRODUCT($AJ$19:$AJ$20,$I$19:$I$20)+SUMPRODUCT($AJ$21:$AJ$23,$I$21:$I$23)+SUMPRODUCT($AJ$24:$AJ$28,$I$24:$I$28)+SUMPRODUCT($AJ$29:$AJ$33,$I$29:$I$33)+SUMPRODUCT($AJ$34:$AJ$36,$I$34:$I$36)+SUMPRODUCT($AJ$37:$AJ$37,$I$37:$I$37)+SUMPRODUCT($AJ$38:$AJ$40,$I$38:$I$40)+SUMPRODUCT($AJ$41:$AJ$41,$I$41:$I$41)+SUMPRODUCT($AJ$42:$AJ$44,$I$42:$I$44)+SUMPRODUCT($AJ$45:$AJ$45,$I$45:$I$45)+SUMPRODUCT($AJ$46:$AJ$48,$I$46:$I$48)+SUMPRODUCT($AJ$49:$AJ$51,$I$49:$I$51)+SUMPRODUCT($AJ$52:$AJ$52,$I$52:$I$52)+SUMPRODUCT($AJ$53:$AJ$53,$I$53:$I$53)+SUMPRODUCT($AJ$54:$AJ$55,$I$54:$I$55))</f>
        <v>0</v>
      </c>
      <c r="AK59" s="48">
        <f ca="1">IF(ISERROR(+SUMPRODUCT($AK$5:$AK$8,$I$5:$I$8)+SUMPRODUCT($AK$9:$AK$12,$I$9:$I$12)+SUMPRODUCT($AK$13:$AK$13,$I$13:$I$13)+SUMPRODUCT($AK$14:$AK$18,$I$14:$I$18)+SUMPRODUCT($AK$19:$AK$20,$I$19:$I$20)+SUMPRODUCT($AK$21:$AK$23,$I$21:$I$23)+SUMPRODUCT($AK$24:$AK$28,$I$24:$I$28)+SUMPRODUCT($AK$29:$AK$33,$I$29:$I$33)+SUMPRODUCT($AK$34:$AK$36,$I$34:$I$36)+SUMPRODUCT($AK$37:$AK$37,$I$37:$I$37)+SUMPRODUCT($AK$38:$AK$40,$I$38:$I$40)+SUMPRODUCT($AK$41:$AK$41,$I$41:$I$41)+SUMPRODUCT($AK$42:$AK$44,$I$42:$I$44)+SUMPRODUCT($AK$45:$AK$45,$I$45:$I$45)+SUMPRODUCT($AK$46:$AK$48,$I$46:$I$48)+SUMPRODUCT($AK$49:$AK$51,$I$49:$I$51)+SUMPRODUCT($AK$52:$AK$52,$I$52:$I$52)+SUMPRODUCT($AK$53:$AK$53,$I$53:$I$53)+SUMPRODUCT($AK$54:$AK$55,$I$54:$I$55)),0,+SUMPRODUCT($AK$5:$AK$8,$I$5:$I$8)+SUMPRODUCT($AK$9:$AK$12,$I$9:$I$12)+SUMPRODUCT($AK$13:$AK$13,$I$13:$I$13)+SUMPRODUCT($AK$14:$AK$18,$I$14:$I$18)+SUMPRODUCT($AK$19:$AK$20,$I$19:$I$20)+SUMPRODUCT($AK$21:$AK$23,$I$21:$I$23)+SUMPRODUCT($AK$24:$AK$28,$I$24:$I$28)+SUMPRODUCT($AK$29:$AK$33,$I$29:$I$33)+SUMPRODUCT($AK$34:$AK$36,$I$34:$I$36)+SUMPRODUCT($AK$37:$AK$37,$I$37:$I$37)+SUMPRODUCT($AK$38:$AK$40,$I$38:$I$40)+SUMPRODUCT($AK$41:$AK$41,$I$41:$I$41)+SUMPRODUCT($AK$42:$AK$44,$I$42:$I$44)+SUMPRODUCT($AK$45:$AK$45,$I$45:$I$45)+SUMPRODUCT($AK$46:$AK$48,$I$46:$I$48)+SUMPRODUCT($AK$49:$AK$51,$I$49:$I$51)+SUMPRODUCT($AK$52:$AK$52,$I$52:$I$52)+SUMPRODUCT($AK$53:$AK$53,$I$53:$I$53)+SUMPRODUCT($AK$54:$AK$55,$I$54:$I$55))</f>
        <v>0</v>
      </c>
      <c r="AL59" s="48"/>
      <c r="AM59" s="48"/>
    </row>
    <row r="60" spans="1:42" ht="11.25" customHeight="1" x14ac:dyDescent="0.25">
      <c r="K60" s="50" t="s">
        <v>486</v>
      </c>
      <c r="L60" s="48">
        <f>CUSTOS!$D$2</f>
        <v>0</v>
      </c>
      <c r="M60" s="48">
        <f>CUSTOS!$D$3</f>
        <v>571750.29665963561</v>
      </c>
      <c r="N60" s="48">
        <f>CUSTOS!$D$4</f>
        <v>0</v>
      </c>
      <c r="O60" s="48">
        <f>CUSTOS!$D$5</f>
        <v>0</v>
      </c>
      <c r="P60" s="48">
        <f>CUSTOS!$D$6</f>
        <v>0</v>
      </c>
      <c r="Q60" s="48">
        <f>CUSTOS!$D$7</f>
        <v>41758936.660029978</v>
      </c>
      <c r="R60" s="48">
        <f>CUSTOS!$D$8</f>
        <v>7262217.1152899964</v>
      </c>
      <c r="S60" s="48">
        <f>CUSTOS!$D$9</f>
        <v>0</v>
      </c>
      <c r="T60" s="48">
        <f>CUSTOS!$D$10</f>
        <v>49592904.071979605</v>
      </c>
      <c r="U60" s="48">
        <f>CUSTOS!$D$11</f>
        <v>5594748</v>
      </c>
      <c r="V60" s="48">
        <f>IF(SUM(V57:V59)&lt;&gt;0,CUSTOS!$D$12+CUSTOS!$D$16+CUSTOS!$D$17-'TR TUSD'!$Z$58-'TR TUSD'!$AA$58,0)</f>
        <v>5560982.4000000004</v>
      </c>
      <c r="W60" s="48">
        <f>CUSTOS!$D$13</f>
        <v>1433901.8803534401</v>
      </c>
      <c r="X60" s="48">
        <f>CUSTOS!$D$14</f>
        <v>0</v>
      </c>
      <c r="Y60" s="48">
        <f>IF(SUM(V57:V59)=0,CUSTOS!$D$15+CUSTOS!$D$16+CUSTOS!$D$17-'TR TUSD'!$Z$58-'TR TUSD'!$AA$58,CUSTOS!$D$15)</f>
        <v>37990562.243483499</v>
      </c>
      <c r="Z60" s="48">
        <f>Z58</f>
        <v>0</v>
      </c>
      <c r="AA60" s="48">
        <f>AA58</f>
        <v>0</v>
      </c>
      <c r="AB60" s="48">
        <f>CUSTOS!$D$18</f>
        <v>50580194.523836941</v>
      </c>
      <c r="AC60" s="48">
        <f>CUSTOS!$D$19</f>
        <v>120000000</v>
      </c>
      <c r="AD60" s="48">
        <f>CUSTOS!$D$20</f>
        <v>120000000</v>
      </c>
      <c r="AE60" s="48">
        <f>CUSTOS!$D$21</f>
        <v>0</v>
      </c>
      <c r="AF60" s="48">
        <f>CUSTOS!$D$22</f>
        <v>0</v>
      </c>
      <c r="AG60" s="48">
        <f>CUSTOS!$D$23</f>
        <v>0</v>
      </c>
      <c r="AH60" s="48">
        <f>CUSTOS!$D$24</f>
        <v>6123212.2798922192</v>
      </c>
      <c r="AI60" s="48">
        <f>CUSTOS!$D$25</f>
        <v>157345.05914538127</v>
      </c>
      <c r="AJ60" s="48">
        <f>CUSTOS!$D$26</f>
        <v>0</v>
      </c>
      <c r="AK60" s="48">
        <f>CUSTOS!$D$27</f>
        <v>0</v>
      </c>
      <c r="AL60" s="48">
        <f>CUSTOS!$D$28</f>
        <v>6280557.3390376009</v>
      </c>
      <c r="AM60" s="48">
        <f>CUSTOS!$D$29</f>
        <v>226453655.93485415</v>
      </c>
    </row>
    <row r="61" spans="1:42" ht="11.25" customHeight="1" x14ac:dyDescent="0.25">
      <c r="K61" s="50" t="s">
        <v>487</v>
      </c>
      <c r="L61" s="48">
        <f>CUSTOS!$E$2</f>
        <v>0</v>
      </c>
      <c r="M61" s="48">
        <f>CUSTOS!$E$3</f>
        <v>-64281.700820421684</v>
      </c>
      <c r="N61" s="48">
        <f>CUSTOS!$E$4</f>
        <v>0</v>
      </c>
      <c r="O61" s="48">
        <f>CUSTOS!$E$5</f>
        <v>0</v>
      </c>
      <c r="P61" s="48">
        <f>CUSTOS!$E$6</f>
        <v>0</v>
      </c>
      <c r="Q61" s="48">
        <f>CUSTOS!$E$7</f>
        <v>-2646021.415328952</v>
      </c>
      <c r="R61" s="48">
        <f>CUSTOS!$E$8</f>
        <v>-454323.12587125652</v>
      </c>
      <c r="S61" s="48">
        <f>CUSTOS!$E$9</f>
        <v>0</v>
      </c>
      <c r="T61" s="48">
        <f>CUSTOS!$E$10</f>
        <v>-3164626.2420206303</v>
      </c>
      <c r="U61" s="48">
        <f>CUSTOS!$E$11</f>
        <v>380279.93064310966</v>
      </c>
      <c r="V61" s="48">
        <f>CUSTOS!$E$12</f>
        <v>377984.85318365612</v>
      </c>
      <c r="W61" s="48">
        <f>CUSTOS!$E$13</f>
        <v>0</v>
      </c>
      <c r="X61" s="48">
        <f>CUSTOS!$E$14</f>
        <v>0</v>
      </c>
      <c r="Y61" s="48">
        <f>CUSTOS!$E$15</f>
        <v>1455858.1927852128</v>
      </c>
      <c r="Z61" s="48">
        <f>CUSTOS!$E$16</f>
        <v>0</v>
      </c>
      <c r="AA61" s="48">
        <f>CUSTOS!$E$17</f>
        <v>0</v>
      </c>
      <c r="AB61" s="48">
        <f>CUSTOS!$E$18</f>
        <v>2214122.9766119784</v>
      </c>
      <c r="AC61" s="48">
        <f>CUSTOS!$E$19</f>
        <v>-71793285.037046626</v>
      </c>
      <c r="AD61" s="48">
        <f>CUSTOS!$E$20</f>
        <v>-71793285.037046626</v>
      </c>
      <c r="AE61" s="48">
        <f>CUSTOS!$E$21</f>
        <v>-661953.25082248438</v>
      </c>
      <c r="AF61" s="48">
        <f>CUSTOS!$E$22</f>
        <v>0</v>
      </c>
      <c r="AG61" s="48">
        <f>CUSTOS!$E$23</f>
        <v>-661953.25082248438</v>
      </c>
      <c r="AH61" s="48">
        <f>CUSTOS!$E$24</f>
        <v>-230405.88272357595</v>
      </c>
      <c r="AI61" s="48">
        <f>CUSTOS!$E$25</f>
        <v>-5920.6223118599719</v>
      </c>
      <c r="AJ61" s="48">
        <f>CUSTOS!$E$26</f>
        <v>0</v>
      </c>
      <c r="AK61" s="48">
        <f>CUSTOS!$E$27</f>
        <v>0</v>
      </c>
      <c r="AL61" s="48">
        <f>CUSTOS!$E$28</f>
        <v>-236326.50503543593</v>
      </c>
      <c r="AM61" s="48">
        <f>CUSTOS!$E$29</f>
        <v>-73642068.058313191</v>
      </c>
    </row>
    <row r="62" spans="1:42" ht="11.25" customHeight="1" x14ac:dyDescent="0.25">
      <c r="K62" s="50" t="s">
        <v>488</v>
      </c>
      <c r="L62" s="48">
        <f>CUSTOS!$F$2</f>
        <v>0</v>
      </c>
      <c r="M62" s="48">
        <f>CUSTOS!$F$3</f>
        <v>0</v>
      </c>
      <c r="N62" s="48">
        <f>CUSTOS!$F$4</f>
        <v>0</v>
      </c>
      <c r="O62" s="48">
        <f>CUSTOS!$F$5</f>
        <v>0</v>
      </c>
      <c r="P62" s="48">
        <f>CUSTOS!$F$6</f>
        <v>0</v>
      </c>
      <c r="Q62" s="48">
        <f>CUSTOS!$F$7</f>
        <v>0</v>
      </c>
      <c r="R62" s="48">
        <f>CUSTOS!$F$8</f>
        <v>0</v>
      </c>
      <c r="S62" s="48">
        <f>CUSTOS!$F$9</f>
        <v>0</v>
      </c>
      <c r="T62" s="48">
        <f>CUSTOS!$F$10</f>
        <v>0</v>
      </c>
      <c r="U62" s="48">
        <f>CUSTOS!$F$11</f>
        <v>0</v>
      </c>
      <c r="V62" s="48">
        <f>CUSTOS!$F$12</f>
        <v>0</v>
      </c>
      <c r="W62" s="48">
        <f>CUSTOS!$F$13</f>
        <v>0</v>
      </c>
      <c r="X62" s="48">
        <f>CUSTOS!$F$14</f>
        <v>0</v>
      </c>
      <c r="Y62" s="48">
        <f>CUSTOS!$F$15</f>
        <v>0</v>
      </c>
      <c r="Z62" s="48">
        <f>CUSTOS!$F$16</f>
        <v>0</v>
      </c>
      <c r="AA62" s="48">
        <f>CUSTOS!$F$17</f>
        <v>0</v>
      </c>
      <c r="AB62" s="48">
        <f>CUSTOS!$F$18</f>
        <v>0</v>
      </c>
      <c r="AC62" s="48">
        <f>CUSTOS!$F$19</f>
        <v>0</v>
      </c>
      <c r="AD62" s="48">
        <f>CUSTOS!$F$20</f>
        <v>0</v>
      </c>
      <c r="AE62" s="48">
        <f>CUSTOS!$F$21</f>
        <v>0</v>
      </c>
      <c r="AF62" s="48">
        <f>CUSTOS!$F$22</f>
        <v>0</v>
      </c>
      <c r="AG62" s="48">
        <f>CUSTOS!$F$23</f>
        <v>0</v>
      </c>
      <c r="AH62" s="48">
        <f>CUSTOS!$F$24</f>
        <v>0</v>
      </c>
      <c r="AI62" s="48">
        <f>CUSTOS!$F$25</f>
        <v>0</v>
      </c>
      <c r="AJ62" s="48">
        <f>CUSTOS!$F$26</f>
        <v>0</v>
      </c>
      <c r="AK62" s="48">
        <f>CUSTOS!$F$27</f>
        <v>0</v>
      </c>
      <c r="AL62" s="48">
        <f>CUSTOS!$F$28</f>
        <v>0</v>
      </c>
      <c r="AM62" s="48">
        <f>CUSTOS!$F$29</f>
        <v>0</v>
      </c>
    </row>
    <row r="63" spans="1:42" ht="11.25" customHeight="1" x14ac:dyDescent="0.25">
      <c r="K63" s="50" t="s">
        <v>551</v>
      </c>
      <c r="L63" s="48">
        <v>0</v>
      </c>
      <c r="M63" s="48">
        <v>0</v>
      </c>
      <c r="N63" s="48">
        <v>0</v>
      </c>
      <c r="O63" s="48">
        <v>0</v>
      </c>
      <c r="P63" s="48">
        <v>0</v>
      </c>
      <c r="Q63" s="48">
        <v>0</v>
      </c>
      <c r="R63" s="48">
        <v>0</v>
      </c>
      <c r="S63" s="48">
        <v>0</v>
      </c>
      <c r="T63" s="48"/>
      <c r="U63" s="48">
        <v>0</v>
      </c>
      <c r="V63" s="48">
        <v>0</v>
      </c>
      <c r="W63" s="48">
        <v>0</v>
      </c>
      <c r="X63" s="48">
        <v>0</v>
      </c>
      <c r="Y63" s="48">
        <v>0</v>
      </c>
      <c r="Z63" s="48">
        <v>0</v>
      </c>
      <c r="AA63" s="48">
        <v>0</v>
      </c>
      <c r="AB63" s="48"/>
      <c r="AC63" s="48">
        <v>0</v>
      </c>
      <c r="AD63" s="48"/>
      <c r="AE63" s="48">
        <v>0</v>
      </c>
      <c r="AF63" s="48">
        <v>0</v>
      </c>
      <c r="AG63" s="48"/>
      <c r="AH63" s="48">
        <v>0</v>
      </c>
      <c r="AI63" s="48">
        <v>0</v>
      </c>
      <c r="AJ63" s="48">
        <v>0</v>
      </c>
      <c r="AK63" s="48">
        <v>0</v>
      </c>
      <c r="AL63" s="48"/>
      <c r="AM63" s="48"/>
    </row>
    <row r="64" spans="1:42" ht="11.25" customHeight="1" x14ac:dyDescent="0.25">
      <c r="K64" s="50" t="s">
        <v>552</v>
      </c>
      <c r="L64" s="48">
        <f t="shared" ref="L64:S64" si="2">IF((L59+L57)&lt;&gt;0,(L60-L58-L63)/(L59+L57),0)</f>
        <v>0</v>
      </c>
      <c r="M64" s="48">
        <f t="shared" si="2"/>
        <v>0.96789636969230164</v>
      </c>
      <c r="N64" s="48">
        <f t="shared" ca="1" si="2"/>
        <v>0</v>
      </c>
      <c r="O64" s="48">
        <f t="shared" si="2"/>
        <v>0</v>
      </c>
      <c r="P64" s="48">
        <f t="shared" si="2"/>
        <v>0</v>
      </c>
      <c r="Q64" s="48">
        <f t="shared" si="2"/>
        <v>89.927945308394882</v>
      </c>
      <c r="R64" s="48">
        <f t="shared" si="2"/>
        <v>14.212577937026817</v>
      </c>
      <c r="S64" s="48">
        <f t="shared" si="2"/>
        <v>0</v>
      </c>
      <c r="T64" s="48"/>
      <c r="U64" s="48">
        <f>IF(U59&lt;&gt;0,(U60-U58-U57-U63)/U59,0)</f>
        <v>1.3189794355884341</v>
      </c>
      <c r="V64" s="48">
        <f>IF(V59&lt;&gt;0,(V60-V58-V57-V63)/V59,0)</f>
        <v>1.682290933665848</v>
      </c>
      <c r="W64" s="48">
        <f>IF(W59&lt;&gt;0,(W60-W58-W57-W63)/W59,0)</f>
        <v>5.2038241204626985</v>
      </c>
      <c r="X64" s="48">
        <f>IF(X59&lt;&gt;0,(X60-X58-X57-X63)/X59,0)</f>
        <v>0</v>
      </c>
      <c r="Y64" s="48">
        <f>IF(Y59&lt;&gt;0,(Y60-Y58-Y57-Y63)/Y59,0)</f>
        <v>1.1053618250455786</v>
      </c>
      <c r="Z64" s="48"/>
      <c r="AA64" s="48"/>
      <c r="AB64" s="48"/>
      <c r="AC64" s="48">
        <f>IF(AC59&lt;&gt;0,(AC60-AC58-AC57-AC63)/AC59,0)</f>
        <v>0.97199267294621783</v>
      </c>
      <c r="AD64" s="48"/>
      <c r="AE64" s="48">
        <f>IF((AE59+AE57)&lt;&gt;0,(AE60-AE58-AE63)/(AE59+AE57),0)</f>
        <v>0</v>
      </c>
      <c r="AF64" s="48">
        <f>IF((AF59+AF57)&lt;&gt;0,(AF60-AF58-AF63)/(AF59+AF57),0)</f>
        <v>0</v>
      </c>
      <c r="AG64" s="48"/>
      <c r="AH64" s="48">
        <f>IF(AH59&lt;&gt;0,(AH60-AH58-AH57-AH63)/AH59,0)</f>
        <v>1.0649895428619769</v>
      </c>
      <c r="AI64" s="48">
        <f>IF(AI59&lt;&gt;0,(AI60-AI58-AI57-AI63)/AI59,0)</f>
        <v>0.97172333856482684</v>
      </c>
      <c r="AJ64" s="48">
        <f ca="1">IF((AJ59+AJ57)&lt;&gt;0,(AJ60-AJ58-AJ63)/(AJ59+AJ57),0)</f>
        <v>0</v>
      </c>
      <c r="AK64" s="48">
        <f ca="1">IF((AK59+AK57)&lt;&gt;0,(AK60-AK58-AK63)/(AK59+AK57),0)</f>
        <v>0</v>
      </c>
      <c r="AL64" s="48"/>
      <c r="AM64" s="48"/>
    </row>
    <row r="66" spans="11:16" ht="11.25" customHeight="1" x14ac:dyDescent="0.25">
      <c r="K66" s="53" t="s">
        <v>1137</v>
      </c>
      <c r="L66" s="53" t="s">
        <v>1138</v>
      </c>
      <c r="M66" s="53" t="s">
        <v>1139</v>
      </c>
      <c r="N66" s="53" t="s">
        <v>1140</v>
      </c>
      <c r="O66" s="53" t="s">
        <v>1141</v>
      </c>
      <c r="P66" s="53" t="s">
        <v>1142</v>
      </c>
    </row>
    <row r="67" spans="11:16" ht="11.25" customHeight="1" x14ac:dyDescent="0.25">
      <c r="K67" s="52" t="s">
        <v>53</v>
      </c>
      <c r="L67" s="52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</f>
        <v>2578373.7092326088</v>
      </c>
      <c r="M67" s="52">
        <f>+'TUSD BE'!$I$7+'TUSD BE'!$I$8</f>
        <v>16873.752000000004</v>
      </c>
      <c r="N67" s="52">
        <f ca="1">IF(AND($L$75&lt;&gt;0,M67&lt;&gt;0),(L67/$L$75*$AJ$60)/M67,0)</f>
        <v>0</v>
      </c>
      <c r="O67" s="52"/>
      <c r="P67" s="52"/>
    </row>
    <row r="68" spans="11:16" ht="11.25" customHeight="1" x14ac:dyDescent="0.25">
      <c r="K68" s="52" t="s">
        <v>35</v>
      </c>
      <c r="L68" s="52">
        <f ca="1">+(+'TUSD BE'!$L$9+'TUSD BE'!$M$9+'TUSD BE'!$N$9+'TUSD BE'!$O$9+'TUSD BE'!$P$9+'TUSD BE'!$Q$9+'TUSD BE'!$R$9+'TUSD BE'!$S$9+'TUSD BE'!$U$9+'TUSD BE'!$V$9+'TUSD BE'!$W$9+'TUSD BE'!$X$9+'TUSD BE'!$Y$9+'TUSD BE'!$Z$9+'TUSD BE'!$AA$9+'TUSD BE'!$AC$9+'TUSD BE'!$AH$9+'TUSD BE'!$AI$9)*'TUSD BE'!$I$9+(+'TUSD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BE'!$I$14+(+'TUSD BE'!$L$15+'TUSD BE'!$M$15+'TUSD BE'!$N$15+'TUSD BE'!$O$15+'TUSD BE'!$P$15+'TUSD BE'!$Q$15+'TUSD BE'!$R$15+'TUSD BE'!$S$15+'TUSD BE'!$U$15+'TUSD BE'!$V$15+'TUSD BE'!$W$15+'TUSD BE'!$X$15+'TUSD BE'!$Y$15+'TUSD BE'!$Z$15+'TUSD BE'!$AA$15+'TUSD BE'!$AC$15+'TUSD BE'!$AH$15+'TUSD BE'!$AI$15)*'TUSD BE'!$I$15+(+'TUSD BE'!$L$16+'TUSD BE'!$M$16+'TUSD BE'!$N$16+'TUSD BE'!$O$16+'TUSD BE'!$P$16+'TUSD BE'!$Q$16+'TUSD BE'!$R$16+'TUSD BE'!$S$16+'TUSD BE'!$U$16+'TUSD BE'!$V$16+'TUSD BE'!$W$16+'TUSD BE'!$X$16+'TUSD BE'!$Y$16+'TUSD BE'!$Z$16+'TUSD BE'!$AA$16+'TUSD BE'!$AC$16+'TUSD BE'!$AH$16+'TUSD BE'!$AI$16)*'TUSD BE'!$I$16+(+'TUSD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</f>
        <v>119671305.31235689</v>
      </c>
      <c r="M68" s="52">
        <f>+'TUSD BE'!$I$11+'TUSD BE'!$I$12+'TUSD BE'!$I$15+'TUSD BE'!$I$16+'TUSD BE'!$I$17+'TUSD BE'!$I$18</f>
        <v>251244.728</v>
      </c>
      <c r="N68" s="52">
        <f ca="1">IF(AND($L$75&lt;&gt;0,M68&lt;&gt;0),(L68/$L$75*$AJ$60)/M68,0)</f>
        <v>0</v>
      </c>
      <c r="O68" s="52"/>
      <c r="P68" s="52"/>
    </row>
    <row r="69" spans="11:16" ht="11.25" customHeight="1" x14ac:dyDescent="0.25">
      <c r="K69" s="52" t="s">
        <v>91</v>
      </c>
      <c r="L69" s="52">
        <f ca="1">+$L$70+$L$71+$L$72+$L$73+$L$74</f>
        <v>98947304.213182285</v>
      </c>
      <c r="M69" s="52">
        <f>+$M$70+$M$71+$M$72+$M$73+$M$74</f>
        <v>246841.78699999998</v>
      </c>
      <c r="N69" s="52">
        <f ca="1">IF(AND($L$75&lt;&gt;0,M69&lt;&gt;0),(L69/$L$75*$AJ$60)/M69,0)</f>
        <v>0</v>
      </c>
      <c r="O69" s="52"/>
      <c r="P69" s="52"/>
    </row>
    <row r="70" spans="11:16" ht="11.25" customHeight="1" x14ac:dyDescent="0.25">
      <c r="K70" s="52" t="s">
        <v>91</v>
      </c>
      <c r="L70" s="52"/>
      <c r="M70" s="52"/>
      <c r="N70" s="52">
        <f ca="1">IF(AND($L$75&lt;&gt;0,M70&lt;&gt;0),(L70/$L$75*$AJ$60)/M70,0)</f>
        <v>0</v>
      </c>
      <c r="O70" s="52"/>
      <c r="P70" s="52"/>
    </row>
    <row r="71" spans="11:16" ht="11.25" customHeight="1" x14ac:dyDescent="0.25">
      <c r="K71" s="52" t="s">
        <v>22</v>
      </c>
      <c r="L71" s="52">
        <f ca="1">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</f>
        <v>10284266.640420372</v>
      </c>
      <c r="M71" s="52">
        <f>+'TUSD BE'!$I$21+'TUSD BE'!$I$22+'TUSD BE'!$I$23+'TUSD BE'!$I$24+'TUSD BE'!$I$25+'TUSD BE'!$I$26+'TUSD BE'!$I$27+'TUSD BE'!$I$28+'TUSD BE'!$I$29+'TUSD BE'!$I$30+'TUSD BE'!$I$31+'TUSD BE'!$I$32+'TUSD BE'!$I$33</f>
        <v>25575.981</v>
      </c>
      <c r="N71" s="52"/>
      <c r="O71" s="52"/>
      <c r="P71" s="52"/>
    </row>
    <row r="72" spans="11:16" ht="11.25" customHeight="1" x14ac:dyDescent="0.25">
      <c r="K72" s="52" t="s">
        <v>41</v>
      </c>
      <c r="L72" s="52">
        <f ca="1">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</f>
        <v>75544562.039684385</v>
      </c>
      <c r="M72" s="52">
        <f>+'TUSD BE'!$I$34+'TUSD BE'!$I$35+'TUSD BE'!$I$36+'TUSD BE'!$I$37+'TUSD BE'!$I$38+'TUSD BE'!$I$39+'TUSD BE'!$I$40+'TUSD BE'!$I$41+'TUSD BE'!$I$42+'TUSD BE'!$I$43+'TUSD BE'!$I$44+'TUSD BE'!$I$45+'TUSD BE'!$I$46+'TUSD BE'!$I$47+'TUSD BE'!$I$48</f>
        <v>185983.22399999999</v>
      </c>
      <c r="N72" s="52"/>
      <c r="O72" s="52"/>
      <c r="P72" s="52"/>
    </row>
    <row r="73" spans="11:16" ht="11.25" customHeight="1" x14ac:dyDescent="0.25">
      <c r="K73" s="52" t="s">
        <v>33</v>
      </c>
      <c r="L73" s="52">
        <f ca="1">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BE'!$I$52+(+'TUSD BE'!$L$53+'TUSD BE'!$M$53+'TUSD BE'!$N$53+'TUSD BE'!$O$53+'TUSD BE'!$P$53+'TUSD BE'!$Q$53+'TUSD BE'!$R$53+'TUSD BE'!$S$53+'TUSD BE'!$U$53+'TUSD BE'!$V$53+'TUSD BE'!$W$53+'TUSD BE'!$X$53+'TUSD BE'!$Y$53+'TUSD BE'!$Z$53+'TUSD BE'!$AA$53+'TUSD BE'!$AC$53+'TUSD BE'!$AH$53+'TUSD BE'!$AI$53)*'TUSD BE'!$I$53</f>
        <v>11635964.793090835</v>
      </c>
      <c r="M73" s="52">
        <f>+'TUSD BE'!$I$49+'TUSD BE'!$I$50+'TUSD BE'!$I$51+'TUSD BE'!$I$52+'TUSD BE'!$I$53</f>
        <v>28646.591999999997</v>
      </c>
      <c r="N73" s="52"/>
      <c r="O73" s="52"/>
      <c r="P73" s="52"/>
    </row>
    <row r="74" spans="11:16" ht="11.25" customHeight="1" x14ac:dyDescent="0.25">
      <c r="K74" s="52" t="s">
        <v>44</v>
      </c>
      <c r="L74" s="52">
        <f ca="1">+(+'TUSD BE'!$L$54+'TUSD BE'!$M$54+'TUSD BE'!$N$54+'TUSD BE'!$O$54+'TUSD BE'!$P$54+'TUSD BE'!$Q$54+'TUSD BE'!$R$54+'TUSD BE'!$S$54+'TUSD BE'!$U$54+'TUSD BE'!$V$54+'TUSD BE'!$W$54+'TUSD BE'!$X$54+'TUSD BE'!$Y$54+'TUSD BE'!$Z$54+'TUSD BE'!$AA$54+'TUSD BE'!$AC$54+'TUSD BE'!$AH$54+'TUSD BE'!$AI$54)*'TUSD BE'!$I$54+(+'TUSD BE'!$L$55+'TUSD BE'!$M$55+'TUSD BE'!$N$55+'TUSD BE'!$O$55+'TUSD BE'!$P$55+'TUSD BE'!$Q$55+'TUSD BE'!$R$55+'TUSD BE'!$S$55+'TUSD BE'!$U$55+'TUSD BE'!$V$55+'TUSD BE'!$W$55+'TUSD BE'!$X$55+'TUSD BE'!$Y$55+'TUSD BE'!$Z$55+'TUSD BE'!$AA$55+'TUSD BE'!$AC$55+'TUSD BE'!$AH$55+'TUSD BE'!$AI$55)*'TUSD BE'!$I$55</f>
        <v>1482510.7399866823</v>
      </c>
      <c r="M74" s="52">
        <f>+'TUSD BE'!$I$54+'TUSD BE'!$I$55</f>
        <v>6635.9900000000007</v>
      </c>
      <c r="N74" s="52"/>
      <c r="O74" s="52"/>
      <c r="P74" s="52"/>
    </row>
    <row r="75" spans="11:16" ht="11.25" customHeight="1" x14ac:dyDescent="0.25">
      <c r="K75" s="52"/>
      <c r="L75" s="52">
        <f ca="1">SUM($L$67:$L$74,-$L$69)</f>
        <v>221196983.23477179</v>
      </c>
      <c r="M75" s="52">
        <f>SUM($M$67:$M$74,-$M$69)</f>
        <v>514960.26699999999</v>
      </c>
      <c r="N75" s="52"/>
      <c r="O75" s="52"/>
      <c r="P75" s="52"/>
    </row>
  </sheetData>
  <mergeCells count="79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49:E51"/>
    <mergeCell ref="F49:F51"/>
    <mergeCell ref="A54:A55"/>
    <mergeCell ref="B54:B55"/>
    <mergeCell ref="C54:C55"/>
    <mergeCell ref="B46:B48"/>
    <mergeCell ref="C46:C48"/>
    <mergeCell ref="A49:A53"/>
    <mergeCell ref="B49:B51"/>
    <mergeCell ref="C49:C51"/>
    <mergeCell ref="D49:D51"/>
    <mergeCell ref="F38:F40"/>
    <mergeCell ref="B42:B44"/>
    <mergeCell ref="C42:C44"/>
    <mergeCell ref="D42:D44"/>
    <mergeCell ref="E42:E44"/>
    <mergeCell ref="F42:F44"/>
    <mergeCell ref="A34:A48"/>
    <mergeCell ref="B34:B36"/>
    <mergeCell ref="C34:C36"/>
    <mergeCell ref="D34:D36"/>
    <mergeCell ref="E34:E36"/>
    <mergeCell ref="F34:F36"/>
    <mergeCell ref="B38:B40"/>
    <mergeCell ref="C38:C40"/>
    <mergeCell ref="D38:D40"/>
    <mergeCell ref="E38:E40"/>
    <mergeCell ref="A21:A33"/>
    <mergeCell ref="B21:B23"/>
    <mergeCell ref="C21:C23"/>
    <mergeCell ref="D21:D23"/>
    <mergeCell ref="E21:E23"/>
    <mergeCell ref="F21:F23"/>
    <mergeCell ref="B24:B28"/>
    <mergeCell ref="C24:C28"/>
    <mergeCell ref="B29:B33"/>
    <mergeCell ref="C29:C33"/>
    <mergeCell ref="E17:E18"/>
    <mergeCell ref="F17:F18"/>
    <mergeCell ref="A19:A20"/>
    <mergeCell ref="B19:B20"/>
    <mergeCell ref="C19:C20"/>
    <mergeCell ref="D19:D20"/>
    <mergeCell ref="A9:A18"/>
    <mergeCell ref="B9:B12"/>
    <mergeCell ref="C9:C12"/>
    <mergeCell ref="D9:D12"/>
    <mergeCell ref="E9:E11"/>
    <mergeCell ref="F9:F11"/>
    <mergeCell ref="B14:B18"/>
    <mergeCell ref="C14:C18"/>
    <mergeCell ref="D14:D18"/>
    <mergeCell ref="F5:F7"/>
    <mergeCell ref="E14:E16"/>
    <mergeCell ref="A5:A8"/>
    <mergeCell ref="B5:B8"/>
    <mergeCell ref="C5:C8"/>
    <mergeCell ref="D5:D8"/>
    <mergeCell ref="E5:E7"/>
    <mergeCell ref="F14:F1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0996B-2B78-4944-B9E9-B90AB50FBB20}">
  <dimension ref="A1:AP62"/>
  <sheetViews>
    <sheetView showGridLines="0" topLeftCell="Z1" workbookViewId="0">
      <selection activeCell="AC10" sqref="AC10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3" width="10" style="9" bestFit="1" customWidth="1"/>
    <col min="24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9.28515625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12" t="s">
        <v>72</v>
      </c>
      <c r="B1" s="112" t="s">
        <v>73</v>
      </c>
      <c r="C1" s="112" t="s">
        <v>74</v>
      </c>
      <c r="D1" s="112" t="s">
        <v>75</v>
      </c>
      <c r="E1" s="112" t="s">
        <v>76</v>
      </c>
      <c r="F1" s="112" t="s">
        <v>15</v>
      </c>
      <c r="G1" s="112" t="s">
        <v>78</v>
      </c>
      <c r="H1" s="112" t="s">
        <v>79</v>
      </c>
      <c r="I1" s="112" t="s">
        <v>545</v>
      </c>
      <c r="J1" s="102"/>
      <c r="L1" s="110" t="s">
        <v>553</v>
      </c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P1" s="110" t="s">
        <v>547</v>
      </c>
    </row>
    <row r="2" spans="1:42" ht="11.25" customHeight="1" x14ac:dyDescent="0.25">
      <c r="A2" s="112"/>
      <c r="B2" s="112"/>
      <c r="C2" s="112"/>
      <c r="D2" s="112"/>
      <c r="E2" s="112"/>
      <c r="F2" s="112"/>
      <c r="G2" s="112"/>
      <c r="H2" s="112"/>
      <c r="I2" s="112"/>
      <c r="J2" s="102"/>
      <c r="L2" s="110" t="s">
        <v>444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P2" s="113"/>
    </row>
    <row r="3" spans="1:42" ht="11.25" customHeight="1" x14ac:dyDescent="0.25">
      <c r="A3" s="112"/>
      <c r="B3" s="112"/>
      <c r="C3" s="112"/>
      <c r="D3" s="112"/>
      <c r="E3" s="112"/>
      <c r="F3" s="112"/>
      <c r="G3" s="112"/>
      <c r="H3" s="112"/>
      <c r="I3" s="112"/>
      <c r="J3" s="102"/>
      <c r="L3" s="110" t="s">
        <v>445</v>
      </c>
      <c r="M3" s="110"/>
      <c r="N3" s="110"/>
      <c r="O3" s="110"/>
      <c r="P3" s="110"/>
      <c r="Q3" s="110"/>
      <c r="R3" s="110"/>
      <c r="S3" s="110"/>
      <c r="T3" s="110"/>
      <c r="U3" s="110" t="s">
        <v>454</v>
      </c>
      <c r="V3" s="110"/>
      <c r="W3" s="110"/>
      <c r="X3" s="110"/>
      <c r="Y3" s="110"/>
      <c r="Z3" s="110"/>
      <c r="AA3" s="110"/>
      <c r="AB3" s="110"/>
      <c r="AC3" s="110" t="s">
        <v>462</v>
      </c>
      <c r="AD3" s="110"/>
      <c r="AE3" s="110" t="s">
        <v>464</v>
      </c>
      <c r="AF3" s="110"/>
      <c r="AG3" s="110"/>
      <c r="AH3" s="110" t="s">
        <v>467</v>
      </c>
      <c r="AI3" s="110"/>
      <c r="AJ3" s="110"/>
      <c r="AK3" s="110"/>
      <c r="AL3" s="110"/>
      <c r="AM3" s="110" t="s">
        <v>453</v>
      </c>
      <c r="AP3" s="113"/>
    </row>
    <row r="4" spans="1:42" ht="11.25" customHeight="1" x14ac:dyDescent="0.25">
      <c r="A4" s="112"/>
      <c r="B4" s="112"/>
      <c r="C4" s="112"/>
      <c r="D4" s="112"/>
      <c r="E4" s="112"/>
      <c r="F4" s="112"/>
      <c r="G4" s="112"/>
      <c r="H4" s="112"/>
      <c r="I4" s="112"/>
      <c r="J4" s="102"/>
      <c r="L4" s="49" t="s">
        <v>530</v>
      </c>
      <c r="M4" s="49" t="s">
        <v>446</v>
      </c>
      <c r="N4" s="49" t="s">
        <v>447</v>
      </c>
      <c r="O4" s="49" t="s">
        <v>448</v>
      </c>
      <c r="P4" s="49" t="s">
        <v>449</v>
      </c>
      <c r="Q4" s="49" t="s">
        <v>450</v>
      </c>
      <c r="R4" s="49" t="s">
        <v>451</v>
      </c>
      <c r="S4" s="49" t="s">
        <v>452</v>
      </c>
      <c r="T4" s="49" t="s">
        <v>453</v>
      </c>
      <c r="U4" s="49" t="s">
        <v>455</v>
      </c>
      <c r="V4" s="49" t="s">
        <v>456</v>
      </c>
      <c r="W4" s="49" t="s">
        <v>457</v>
      </c>
      <c r="X4" s="49" t="s">
        <v>458</v>
      </c>
      <c r="Y4" s="49" t="s">
        <v>459</v>
      </c>
      <c r="Z4" s="49" t="s">
        <v>460</v>
      </c>
      <c r="AA4" s="49" t="s">
        <v>461</v>
      </c>
      <c r="AB4" s="49" t="s">
        <v>453</v>
      </c>
      <c r="AC4" s="49" t="s">
        <v>463</v>
      </c>
      <c r="AD4" s="49" t="s">
        <v>453</v>
      </c>
      <c r="AE4" s="49" t="s">
        <v>465</v>
      </c>
      <c r="AF4" s="49" t="s">
        <v>466</v>
      </c>
      <c r="AG4" s="49" t="s">
        <v>453</v>
      </c>
      <c r="AH4" s="49" t="s">
        <v>468</v>
      </c>
      <c r="AI4" s="49" t="s">
        <v>469</v>
      </c>
      <c r="AJ4" s="49" t="s">
        <v>470</v>
      </c>
      <c r="AK4" s="49" t="s">
        <v>471</v>
      </c>
      <c r="AL4" s="49" t="s">
        <v>453</v>
      </c>
      <c r="AM4" s="111"/>
      <c r="AP4" s="113"/>
    </row>
    <row r="5" spans="1:42" ht="11.25" customHeight="1" x14ac:dyDescent="0.25">
      <c r="A5" s="109" t="s">
        <v>53</v>
      </c>
      <c r="B5" s="109" t="s">
        <v>36</v>
      </c>
      <c r="C5" s="109" t="s">
        <v>25</v>
      </c>
      <c r="D5" s="109" t="s">
        <v>25</v>
      </c>
      <c r="E5" s="109" t="s">
        <v>25</v>
      </c>
      <c r="F5" s="109" t="s">
        <v>25</v>
      </c>
      <c r="G5" s="52" t="s">
        <v>86</v>
      </c>
      <c r="H5" s="52" t="s">
        <v>85</v>
      </c>
      <c r="I5" s="52">
        <f>'MERCADO TUSD'!$U$2</f>
        <v>39600</v>
      </c>
      <c r="J5" s="15"/>
      <c r="L5" s="48">
        <f>'TR TUSD'!$L$5*'TR TUSD'!$L$64</f>
        <v>0</v>
      </c>
      <c r="M5" s="48">
        <f>'TR TUSD'!$M$5*'TR TUSD'!$M$64</f>
        <v>0</v>
      </c>
      <c r="N5" s="48">
        <f ca="1">'TR TUSD'!$N$5*'TR TUSD'!$N$64</f>
        <v>0</v>
      </c>
      <c r="O5" s="48">
        <f>'TR TUSD'!$O$5*'TR TUSD'!$O$64</f>
        <v>0</v>
      </c>
      <c r="P5" s="48">
        <f>'TR TUSD'!$P$5*'TR TUSD'!$P$64</f>
        <v>0</v>
      </c>
      <c r="Q5" s="48">
        <f>'TR TUSD'!$Q$5*'TR TUSD'!$Q$64</f>
        <v>0</v>
      </c>
      <c r="R5" s="48">
        <f>'TR TUSD'!$R$5*'TR TUSD'!$R$64</f>
        <v>0</v>
      </c>
      <c r="S5" s="48">
        <f>'TR TUSD'!$S$5*'TR TUSD'!$S$64</f>
        <v>0</v>
      </c>
      <c r="T5" s="48">
        <f ca="1">SUM($L$5:$S$5)</f>
        <v>0</v>
      </c>
      <c r="U5" s="48">
        <f>'TR TUSD'!$U$5*'TR TUSD'!$U$64</f>
        <v>3.7644992071129497</v>
      </c>
      <c r="V5" s="48">
        <f>'TR TUSD'!$V$5*'TR TUSD'!$V$64</f>
        <v>2.1314626129546292</v>
      </c>
      <c r="W5" s="48">
        <f>'TR TUSD'!$W$5*'TR TUSD'!$W$64</f>
        <v>0</v>
      </c>
      <c r="X5" s="48">
        <f>'TR TUSD'!$X$5*'TR TUSD'!$X$64</f>
        <v>0</v>
      </c>
      <c r="Y5" s="48">
        <f>'TR TUSD'!$Y$5*'TR TUSD'!$Y$64</f>
        <v>16.644648897718827</v>
      </c>
      <c r="Z5" s="48">
        <f>'TR TUSD'!$Z$5</f>
        <v>0</v>
      </c>
      <c r="AA5" s="48">
        <f>'TR TUSD'!$AA$5</f>
        <v>0</v>
      </c>
      <c r="AB5" s="48">
        <f>SUM($U$5:$AA$5)</f>
        <v>22.540610717786407</v>
      </c>
      <c r="AC5" s="48">
        <f>'TR TUSD'!$AC$5*'TR TUSD'!$AC$64</f>
        <v>1.3269643971061766</v>
      </c>
      <c r="AD5" s="48">
        <f>SUM($AC$5:$AC$5)</f>
        <v>1.3269643971061766</v>
      </c>
      <c r="AE5" s="48">
        <v>0</v>
      </c>
      <c r="AF5" s="48">
        <v>0</v>
      </c>
      <c r="AG5" s="48">
        <f>SUM($AE$5:$AF$5)</f>
        <v>0</v>
      </c>
      <c r="AH5" s="48">
        <f>'TR TUSD'!$AH$5*'TR TUSD'!$AH$64</f>
        <v>0</v>
      </c>
      <c r="AI5" s="48">
        <f>'TR TUSD'!$AI$5*'TR TUSD'!$AI$64</f>
        <v>0</v>
      </c>
      <c r="AJ5" s="48">
        <f ca="1">'TR TUSD'!$AJ$5*'TR TUSD'!$AJ$64</f>
        <v>0</v>
      </c>
      <c r="AK5" s="48">
        <f ca="1">'TR TUSD'!$AK$5*'TR TUSD'!$AK$64</f>
        <v>0</v>
      </c>
      <c r="AL5" s="48">
        <f ca="1">SUM($AH$5:$AK$5)</f>
        <v>0</v>
      </c>
      <c r="AM5" s="48">
        <f ca="1">SUMIF($L$4:$AL$4,"SUBTOTAL",$L$5:$AL$5)</f>
        <v>23.867575114892585</v>
      </c>
      <c r="AP5" s="48">
        <v>1</v>
      </c>
    </row>
    <row r="6" spans="1:42" ht="11.25" customHeight="1" x14ac:dyDescent="0.25">
      <c r="A6" s="109"/>
      <c r="B6" s="109"/>
      <c r="C6" s="109"/>
      <c r="D6" s="109"/>
      <c r="E6" s="109"/>
      <c r="F6" s="109"/>
      <c r="G6" s="52" t="s">
        <v>87</v>
      </c>
      <c r="H6" s="52" t="s">
        <v>85</v>
      </c>
      <c r="I6" s="52">
        <f>'MERCADO TUSD'!$U$3</f>
        <v>39600</v>
      </c>
      <c r="J6" s="15"/>
      <c r="L6" s="48">
        <f>'TR TUSD'!$L$6*'TR TUSD'!$L$64</f>
        <v>0</v>
      </c>
      <c r="M6" s="48">
        <f>'TR TUSD'!$M$6*'TR TUSD'!$M$64</f>
        <v>0</v>
      </c>
      <c r="N6" s="48">
        <f ca="1">'TR TUSD'!$N$6*'TR TUSD'!$N$64</f>
        <v>0</v>
      </c>
      <c r="O6" s="48">
        <f>'TR TUSD'!$O$6*'TR TUSD'!$O$64</f>
        <v>0</v>
      </c>
      <c r="P6" s="48">
        <f>'TR TUSD'!$P$6*'TR TUSD'!$P$64</f>
        <v>0</v>
      </c>
      <c r="Q6" s="48">
        <f>'TR TUSD'!$Q$6*'TR TUSD'!$Q$64</f>
        <v>0</v>
      </c>
      <c r="R6" s="48">
        <f>'TR TUSD'!$R$6*'TR TUSD'!$R$64</f>
        <v>0</v>
      </c>
      <c r="S6" s="48">
        <f>'TR TUSD'!$S$6*'TR TUSD'!$S$64</f>
        <v>0</v>
      </c>
      <c r="T6" s="48">
        <f ca="1">SUM($L$6:$S$6)</f>
        <v>0</v>
      </c>
      <c r="U6" s="48">
        <f>'TR TUSD'!$U$6*'TR TUSD'!$U$64</f>
        <v>2.091373793069021</v>
      </c>
      <c r="V6" s="48">
        <f>'TR TUSD'!$V$6*'TR TUSD'!$V$64</f>
        <v>1.0224964294821024</v>
      </c>
      <c r="W6" s="48">
        <f>'TR TUSD'!$W$6*'TR TUSD'!$W$64</f>
        <v>0</v>
      </c>
      <c r="X6" s="48">
        <f>'TR TUSD'!$X$6*'TR TUSD'!$X$64</f>
        <v>0</v>
      </c>
      <c r="Y6" s="48">
        <f>'TR TUSD'!$Y$6*'TR TUSD'!$Y$64</f>
        <v>6.9554892840993032</v>
      </c>
      <c r="Z6" s="48">
        <f>'TR TUSD'!$Z$6</f>
        <v>0</v>
      </c>
      <c r="AA6" s="48">
        <f>'TR TUSD'!$AA$6</f>
        <v>0</v>
      </c>
      <c r="AB6" s="48">
        <f>SUM($U$6:$AA$6)</f>
        <v>10.069359506650427</v>
      </c>
      <c r="AC6" s="48">
        <f>'TR TUSD'!$AC$6*'TR TUSD'!$AC$64</f>
        <v>1.3269643971061766</v>
      </c>
      <c r="AD6" s="48">
        <f>SUM($AC$6:$AC$6)</f>
        <v>1.3269643971061766</v>
      </c>
      <c r="AE6" s="48">
        <v>0</v>
      </c>
      <c r="AF6" s="48">
        <v>0</v>
      </c>
      <c r="AG6" s="48">
        <f>SUM($AE$6:$AF$6)</f>
        <v>0</v>
      </c>
      <c r="AH6" s="48">
        <f>'TR TUSD'!$AH$6*'TR TUSD'!$AH$64</f>
        <v>0</v>
      </c>
      <c r="AI6" s="48">
        <f>'TR TUSD'!$AI$6*'TR TUSD'!$AI$64</f>
        <v>0</v>
      </c>
      <c r="AJ6" s="48">
        <f ca="1">'TR TUSD'!$AJ$6*'TR TUSD'!$AJ$64</f>
        <v>0</v>
      </c>
      <c r="AK6" s="48">
        <f ca="1">'TR TUSD'!$AK$6*'TR TUSD'!$AK$64</f>
        <v>0</v>
      </c>
      <c r="AL6" s="48">
        <f ca="1">SUM($AH$6:$AK$6)</f>
        <v>0</v>
      </c>
      <c r="AM6" s="48">
        <f ca="1">SUMIF($L$4:$AL$4,"SUBTOTAL",$L$6:$AL$6)</f>
        <v>11.396323903756603</v>
      </c>
      <c r="AP6" s="48">
        <v>1</v>
      </c>
    </row>
    <row r="7" spans="1:42" ht="11.25" customHeight="1" x14ac:dyDescent="0.25">
      <c r="A7" s="109"/>
      <c r="B7" s="109"/>
      <c r="C7" s="109"/>
      <c r="D7" s="109"/>
      <c r="E7" s="109"/>
      <c r="F7" s="109"/>
      <c r="G7" s="52" t="s">
        <v>88</v>
      </c>
      <c r="H7" s="52" t="s">
        <v>82</v>
      </c>
      <c r="I7" s="52">
        <f>'MERCADO TUSD'!$U$4</f>
        <v>16873.752000000004</v>
      </c>
      <c r="J7" s="15"/>
      <c r="L7" s="48">
        <f>'TR TUSD'!$L$7*'TR TUSD'!$L$64</f>
        <v>0</v>
      </c>
      <c r="M7" s="48">
        <f>'TR TUSD'!$M$7*'TR TUSD'!$M$64</f>
        <v>2.9890397777453965E-2</v>
      </c>
      <c r="N7" s="48">
        <f ca="1">'TR TUSD'!$N$7*'TR TUSD'!$N$64</f>
        <v>0</v>
      </c>
      <c r="O7" s="48">
        <f>'TR TUSD'!$O$7*'TR TUSD'!$O$64</f>
        <v>0</v>
      </c>
      <c r="P7" s="48">
        <f>'TR TUSD'!$P$7*'TR TUSD'!$P$64</f>
        <v>0</v>
      </c>
      <c r="Q7" s="48">
        <f>'TR TUSD'!$Q$7*'TR TUSD'!$Q$64</f>
        <v>55.755326091204829</v>
      </c>
      <c r="R7" s="48">
        <f>'TR TUSD'!$R$7*'TR TUSD'!$R$64</f>
        <v>14.212577937026817</v>
      </c>
      <c r="S7" s="48">
        <f>'TR TUSD'!$S$7*'TR TUSD'!$S$64</f>
        <v>0</v>
      </c>
      <c r="T7" s="48">
        <f ca="1">SUM($L$7:$S$7)</f>
        <v>69.997794426009108</v>
      </c>
      <c r="U7" s="48">
        <f>'TR TUSD'!$U$7*'TR TUSD'!$U$64</f>
        <v>0</v>
      </c>
      <c r="V7" s="48">
        <f>'TR TUSD'!$V$7*'TR TUSD'!$V$64</f>
        <v>0</v>
      </c>
      <c r="W7" s="48">
        <f>'TR TUSD'!$W$7*'TR TUSD'!$W$64</f>
        <v>0</v>
      </c>
      <c r="X7" s="48">
        <f>'TR TUSD'!$X$7*'TR TUSD'!$X$64</f>
        <v>0</v>
      </c>
      <c r="Y7" s="48">
        <f>'TR TUSD'!$Y$7*'TR TUSD'!$Y$64</f>
        <v>0</v>
      </c>
      <c r="Z7" s="48">
        <f>'TR TUSD'!$Z$7</f>
        <v>0</v>
      </c>
      <c r="AA7" s="48">
        <f>'TR TUSD'!$AA$7</f>
        <v>0</v>
      </c>
      <c r="AB7" s="48">
        <f>SUM($U$7:$AA$7)</f>
        <v>0</v>
      </c>
      <c r="AC7" s="48">
        <f>'TR TUSD'!$AC$7*'TR TUSD'!$AC$64</f>
        <v>0</v>
      </c>
      <c r="AD7" s="48">
        <f>SUM($AC$7:$AC$7)</f>
        <v>0</v>
      </c>
      <c r="AE7" s="48">
        <v>0</v>
      </c>
      <c r="AF7" s="48">
        <v>0</v>
      </c>
      <c r="AG7" s="48">
        <f>SUM($AE$7:$AF$7)</f>
        <v>0</v>
      </c>
      <c r="AH7" s="48">
        <f>'TR TUSD'!$AH$7*'TR TUSD'!$AH$64</f>
        <v>4.7285535703071778E-2</v>
      </c>
      <c r="AI7" s="48">
        <f>'TR TUSD'!$AI$7*'TR TUSD'!$AI$64</f>
        <v>0</v>
      </c>
      <c r="AJ7" s="48">
        <f ca="1">'TR TUSD'!$AJ$7*'TR TUSD'!$AJ$64</f>
        <v>0</v>
      </c>
      <c r="AK7" s="48">
        <f ca="1">'TR TUSD'!$AK$7*'TR TUSD'!$AK$64</f>
        <v>0</v>
      </c>
      <c r="AL7" s="48">
        <f ca="1">SUM($AH$7:$AK$7)</f>
        <v>4.7285535703071778E-2</v>
      </c>
      <c r="AM7" s="48">
        <f ca="1">SUMIF($L$4:$AL$4,"SUBTOTAL",$L$7:$AL$7)</f>
        <v>70.045079961712176</v>
      </c>
      <c r="AP7" s="48">
        <v>1</v>
      </c>
    </row>
    <row r="8" spans="1:42" ht="11.25" customHeight="1" x14ac:dyDescent="0.25">
      <c r="A8" s="109"/>
      <c r="B8" s="109"/>
      <c r="C8" s="109"/>
      <c r="D8" s="109"/>
      <c r="E8" s="51" t="s">
        <v>89</v>
      </c>
      <c r="F8" s="51" t="s">
        <v>25</v>
      </c>
      <c r="G8" s="52" t="s">
        <v>88</v>
      </c>
      <c r="H8" s="52" t="s">
        <v>82</v>
      </c>
      <c r="I8" s="52">
        <f>'MERCADO TUSD'!$U$5</f>
        <v>0</v>
      </c>
      <c r="J8" s="15"/>
      <c r="L8" s="48">
        <f>'TR TUSD'!$L$8*'TR TUSD'!$L$64</f>
        <v>0</v>
      </c>
      <c r="M8" s="48">
        <f>'TR TUSD'!$M$8*'TR TUSD'!$M$64</f>
        <v>2.9890397777453965E-2</v>
      </c>
      <c r="N8" s="48">
        <f ca="1">'TR TUSD'!$N$8*'TR TUSD'!$N$64</f>
        <v>0</v>
      </c>
      <c r="O8" s="48">
        <f>'TR TUSD'!$O$8*'TR TUSD'!$O$64</f>
        <v>0</v>
      </c>
      <c r="P8" s="48">
        <f>'TR TUSD'!$P$8*'TR TUSD'!$P$64</f>
        <v>0</v>
      </c>
      <c r="Q8" s="48">
        <f>'TR TUSD'!$Q$8*'TR TUSD'!$Q$64</f>
        <v>0</v>
      </c>
      <c r="R8" s="48">
        <f>'TR TUSD'!$R$8*'TR TUSD'!$R$64</f>
        <v>0</v>
      </c>
      <c r="S8" s="48">
        <f>'TR TUSD'!$S$8*'TR TUSD'!$S$64</f>
        <v>0</v>
      </c>
      <c r="T8" s="48">
        <f ca="1">SUM($L$8:$S$8)</f>
        <v>2.9890397777453965E-2</v>
      </c>
      <c r="U8" s="48">
        <f>'TR TUSD'!$U$8*'TR TUSD'!$U$64</f>
        <v>0</v>
      </c>
      <c r="V8" s="48">
        <f>'TR TUSD'!$V$8*'TR TUSD'!$V$64</f>
        <v>0</v>
      </c>
      <c r="W8" s="48">
        <f>'TR TUSD'!$W$8*'TR TUSD'!$W$64</f>
        <v>0</v>
      </c>
      <c r="X8" s="48">
        <f>'TR TUSD'!$X$8*'TR TUSD'!$X$64</f>
        <v>0</v>
      </c>
      <c r="Y8" s="48">
        <f>'TR TUSD'!$Y$8*'TR TUSD'!$Y$64</f>
        <v>0</v>
      </c>
      <c r="Z8" s="48">
        <f>'TR TUSD'!$Z$8</f>
        <v>0</v>
      </c>
      <c r="AA8" s="48">
        <f>'TR TUSD'!$AA$8</f>
        <v>0</v>
      </c>
      <c r="AB8" s="48">
        <f>SUM($U$8:$AA$8)</f>
        <v>0</v>
      </c>
      <c r="AC8" s="48">
        <f>'TR TUSD'!$AC$8*'TR TUSD'!$AC$64</f>
        <v>0</v>
      </c>
      <c r="AD8" s="48">
        <f>SUM($AC$8:$AC$8)</f>
        <v>0</v>
      </c>
      <c r="AE8" s="48">
        <v>0</v>
      </c>
      <c r="AF8" s="48">
        <v>0</v>
      </c>
      <c r="AG8" s="48">
        <f>SUM($AE$8:$AF$8)</f>
        <v>0</v>
      </c>
      <c r="AH8" s="48">
        <f>'TR TUSD'!$AH$8*'TR TUSD'!$AH$64</f>
        <v>4.7285535703071778E-2</v>
      </c>
      <c r="AI8" s="48">
        <f>'TR TUSD'!$AI$8*'TR TUSD'!$AI$64</f>
        <v>0</v>
      </c>
      <c r="AJ8" s="48">
        <f ca="1">'TR TUSD'!$AJ$8*'TR TUSD'!$AJ$64</f>
        <v>0</v>
      </c>
      <c r="AK8" s="48">
        <f ca="1">'TR TUSD'!$AK$8*'TR TUSD'!$AK$64</f>
        <v>0</v>
      </c>
      <c r="AL8" s="48">
        <f ca="1">SUM($AH$8:$AK$8)</f>
        <v>4.7285535703071778E-2</v>
      </c>
      <c r="AM8" s="48">
        <f ca="1">SUMIF($L$4:$AL$4,"SUBTOTAL",$L$8:$AL$8)</f>
        <v>7.7175933480525746E-2</v>
      </c>
      <c r="AP8" s="48">
        <v>1</v>
      </c>
    </row>
    <row r="9" spans="1:42" ht="11.25" customHeight="1" x14ac:dyDescent="0.25">
      <c r="A9" s="109" t="s">
        <v>35</v>
      </c>
      <c r="B9" s="109" t="s">
        <v>36</v>
      </c>
      <c r="C9" s="109" t="s">
        <v>25</v>
      </c>
      <c r="D9" s="109" t="s">
        <v>25</v>
      </c>
      <c r="E9" s="109" t="s">
        <v>25</v>
      </c>
      <c r="F9" s="109" t="s">
        <v>25</v>
      </c>
      <c r="G9" s="52" t="s">
        <v>86</v>
      </c>
      <c r="H9" s="52" t="s">
        <v>85</v>
      </c>
      <c r="I9" s="52">
        <f>'MERCADO TUSD'!$U$6</f>
        <v>151587</v>
      </c>
      <c r="J9" s="15"/>
      <c r="L9" s="48">
        <f>'TR TUSD'!$L$9*'TR TUSD'!$L$64</f>
        <v>0</v>
      </c>
      <c r="M9" s="48">
        <f>'TR TUSD'!$M$9*'TR TUSD'!$M$64</f>
        <v>0</v>
      </c>
      <c r="N9" s="48">
        <f ca="1">'TR TUSD'!$N$9*'TR TUSD'!$N$64</f>
        <v>0</v>
      </c>
      <c r="O9" s="48">
        <f>'TR TUSD'!$O$9*'TR TUSD'!$O$64</f>
        <v>0</v>
      </c>
      <c r="P9" s="48">
        <f>'TR TUSD'!$P$9*'TR TUSD'!$P$64</f>
        <v>0</v>
      </c>
      <c r="Q9" s="48">
        <f>'TR TUSD'!$Q$9*'TR TUSD'!$Q$64</f>
        <v>0</v>
      </c>
      <c r="R9" s="48">
        <f>'TR TUSD'!$R$9*'TR TUSD'!$R$64</f>
        <v>0</v>
      </c>
      <c r="S9" s="48">
        <f>'TR TUSD'!$S$9*'TR TUSD'!$S$64</f>
        <v>0</v>
      </c>
      <c r="T9" s="48">
        <f ca="1">SUM($L$9:$S$9)</f>
        <v>0</v>
      </c>
      <c r="U9" s="48">
        <f>'TR TUSD'!$U$9*'TR TUSD'!$U$64</f>
        <v>1.8469669036544845</v>
      </c>
      <c r="V9" s="48">
        <f>'TR TUSD'!$V$9*'TR TUSD'!$V$64</f>
        <v>2.0170668294653518</v>
      </c>
      <c r="W9" s="48">
        <f>'TR TUSD'!$W$9*'TR TUSD'!$W$64</f>
        <v>0.50060788038851156</v>
      </c>
      <c r="X9" s="48">
        <f>'TR TUSD'!$X$9*'TR TUSD'!$X$64</f>
        <v>0</v>
      </c>
      <c r="Y9" s="48">
        <f>'TR TUSD'!$Y$9*'TR TUSD'!$Y$64</f>
        <v>18.643143077401231</v>
      </c>
      <c r="Z9" s="48">
        <f>'TR TUSD'!$Z$9</f>
        <v>0</v>
      </c>
      <c r="AA9" s="48">
        <f>'TR TUSD'!$AA$9</f>
        <v>0</v>
      </c>
      <c r="AB9" s="48">
        <f>SUM($U$9:$AA$9)</f>
        <v>23.007784690909578</v>
      </c>
      <c r="AC9" s="48">
        <f>'TR TUSD'!$AC$9*'TR TUSD'!$AC$64</f>
        <v>66.170053598357796</v>
      </c>
      <c r="AD9" s="48">
        <f>SUM($AC$9:$AC$9)</f>
        <v>66.170053598357796</v>
      </c>
      <c r="AE9" s="48">
        <v>0</v>
      </c>
      <c r="AF9" s="48">
        <v>0</v>
      </c>
      <c r="AG9" s="48">
        <f>SUM($AE$9:$AF$9)</f>
        <v>0</v>
      </c>
      <c r="AH9" s="48">
        <f>'TR TUSD'!$AH$9*'TR TUSD'!$AH$64</f>
        <v>0</v>
      </c>
      <c r="AI9" s="48">
        <f>'TR TUSD'!$AI$9*'TR TUSD'!$AI$64</f>
        <v>0</v>
      </c>
      <c r="AJ9" s="48">
        <f ca="1">'TR TUSD'!$AJ$9*'TR TUSD'!$AJ$64</f>
        <v>0</v>
      </c>
      <c r="AK9" s="48">
        <f ca="1">'TR TUSD'!$AK$9*'TR TUSD'!$AK$64</f>
        <v>0</v>
      </c>
      <c r="AL9" s="48">
        <f ca="1">SUM($AH$9:$AK$9)</f>
        <v>0</v>
      </c>
      <c r="AM9" s="48">
        <f ca="1">SUMIF($L$4:$AL$4,"SUBTOTAL",$L$9:$AL$9)</f>
        <v>89.17783828926737</v>
      </c>
      <c r="AP9" s="48">
        <v>1</v>
      </c>
    </row>
    <row r="10" spans="1:42" ht="11.25" customHeight="1" x14ac:dyDescent="0.25">
      <c r="A10" s="109"/>
      <c r="B10" s="109"/>
      <c r="C10" s="109"/>
      <c r="D10" s="109"/>
      <c r="E10" s="109"/>
      <c r="F10" s="109"/>
      <c r="G10" s="52" t="s">
        <v>87</v>
      </c>
      <c r="H10" s="52" t="s">
        <v>85</v>
      </c>
      <c r="I10" s="52">
        <f>'MERCADO TUSD'!$U$7</f>
        <v>195670</v>
      </c>
      <c r="J10" s="15"/>
      <c r="L10" s="48">
        <f>'TR TUSD'!$L$10*'TR TUSD'!$L$64</f>
        <v>0</v>
      </c>
      <c r="M10" s="48">
        <f>'TR TUSD'!$M$10*'TR TUSD'!$M$64</f>
        <v>0</v>
      </c>
      <c r="N10" s="48">
        <f ca="1">'TR TUSD'!$N$10*'TR TUSD'!$N$64</f>
        <v>0</v>
      </c>
      <c r="O10" s="48">
        <f>'TR TUSD'!$O$10*'TR TUSD'!$O$64</f>
        <v>0</v>
      </c>
      <c r="P10" s="48">
        <f>'TR TUSD'!$P$10*'TR TUSD'!$P$64</f>
        <v>0</v>
      </c>
      <c r="Q10" s="48">
        <f>'TR TUSD'!$Q$10*'TR TUSD'!$Q$64</f>
        <v>0</v>
      </c>
      <c r="R10" s="48">
        <f>'TR TUSD'!$R$10*'TR TUSD'!$R$64</f>
        <v>0</v>
      </c>
      <c r="S10" s="48">
        <f>'TR TUSD'!$S$10*'TR TUSD'!$S$64</f>
        <v>0</v>
      </c>
      <c r="T10" s="48">
        <f ca="1">SUM($L$10:$S$10)</f>
        <v>0</v>
      </c>
      <c r="U10" s="48">
        <f>'TR TUSD'!$U$10*'TR TUSD'!$U$64</f>
        <v>1.8703128396643995</v>
      </c>
      <c r="V10" s="48">
        <f>'TR TUSD'!$V$10*'TR TUSD'!$V$64</f>
        <v>1.8032476517964227</v>
      </c>
      <c r="W10" s="48">
        <f>'TR TUSD'!$W$10*'TR TUSD'!$W$64</f>
        <v>0.49592443868009517</v>
      </c>
      <c r="X10" s="48">
        <f>'TR TUSD'!$X$10*'TR TUSD'!$X$64</f>
        <v>0</v>
      </c>
      <c r="Y10" s="48">
        <f>'TR TUSD'!$Y$10*'TR TUSD'!$Y$64</f>
        <v>10.020436552585684</v>
      </c>
      <c r="Z10" s="48">
        <f>'TR TUSD'!$Z$10</f>
        <v>0</v>
      </c>
      <c r="AA10" s="48">
        <f>'TR TUSD'!$AA$10</f>
        <v>0</v>
      </c>
      <c r="AB10" s="48">
        <f>SUM($U$10:$AA$10)</f>
        <v>14.189921482726602</v>
      </c>
      <c r="AC10" s="48">
        <f>'TR TUSD'!$AC$10*'TR TUSD'!$AC$64</f>
        <v>39.296302977473466</v>
      </c>
      <c r="AD10" s="48">
        <f>SUM($AC$10:$AC$10)</f>
        <v>39.296302977473466</v>
      </c>
      <c r="AE10" s="48">
        <v>0</v>
      </c>
      <c r="AF10" s="48">
        <v>0</v>
      </c>
      <c r="AG10" s="48">
        <f>SUM($AE$10:$AF$10)</f>
        <v>0</v>
      </c>
      <c r="AH10" s="48">
        <f>'TR TUSD'!$AH$10*'TR TUSD'!$AH$64</f>
        <v>0</v>
      </c>
      <c r="AI10" s="48">
        <f>'TR TUSD'!$AI$10*'TR TUSD'!$AI$64</f>
        <v>0</v>
      </c>
      <c r="AJ10" s="48">
        <f ca="1">'TR TUSD'!$AJ$10*'TR TUSD'!$AJ$64</f>
        <v>0</v>
      </c>
      <c r="AK10" s="48">
        <f ca="1">'TR TUSD'!$AK$10*'TR TUSD'!$AK$64</f>
        <v>0</v>
      </c>
      <c r="AL10" s="48">
        <f ca="1">SUM($AH$10:$AK$10)</f>
        <v>0</v>
      </c>
      <c r="AM10" s="48">
        <f ca="1">SUMIF($L$4:$AL$4,"SUBTOTAL",$L$10:$AL$10)</f>
        <v>53.48622446020007</v>
      </c>
      <c r="AP10" s="48">
        <v>1</v>
      </c>
    </row>
    <row r="11" spans="1:42" ht="11.25" customHeight="1" x14ac:dyDescent="0.25">
      <c r="A11" s="109"/>
      <c r="B11" s="109"/>
      <c r="C11" s="109"/>
      <c r="D11" s="109"/>
      <c r="E11" s="109"/>
      <c r="F11" s="109"/>
      <c r="G11" s="52" t="s">
        <v>88</v>
      </c>
      <c r="H11" s="52" t="s">
        <v>82</v>
      </c>
      <c r="I11" s="52">
        <f>'MERCADO TUSD'!$U$8</f>
        <v>82375.52900000001</v>
      </c>
      <c r="J11" s="15"/>
      <c r="L11" s="48">
        <f>'TR TUSD'!$L$11*'TR TUSD'!$L$64</f>
        <v>0</v>
      </c>
      <c r="M11" s="48">
        <f>'TR TUSD'!$M$11*'TR TUSD'!$M$64</f>
        <v>1.3350722044156065</v>
      </c>
      <c r="N11" s="48">
        <f ca="1">'TR TUSD'!$N$11*'TR TUSD'!$N$64</f>
        <v>0</v>
      </c>
      <c r="O11" s="48">
        <f>'TR TUSD'!$O$11*'TR TUSD'!$O$64</f>
        <v>0</v>
      </c>
      <c r="P11" s="48">
        <f>'TR TUSD'!$P$11*'TR TUSD'!$P$64</f>
        <v>0</v>
      </c>
      <c r="Q11" s="48">
        <f>'TR TUSD'!$Q$11*'TR TUSD'!$Q$64</f>
        <v>75.539474059051699</v>
      </c>
      <c r="R11" s="48">
        <f>'TR TUSD'!$R$11*'TR TUSD'!$R$64</f>
        <v>14.212577937026817</v>
      </c>
      <c r="S11" s="48">
        <f>'TR TUSD'!$S$11*'TR TUSD'!$S$64</f>
        <v>0</v>
      </c>
      <c r="T11" s="48">
        <f ca="1">SUM($L$11:$S$11)</f>
        <v>91.087124200494131</v>
      </c>
      <c r="U11" s="48">
        <f>'TR TUSD'!$U$11*'TR TUSD'!$U$64</f>
        <v>0</v>
      </c>
      <c r="V11" s="48">
        <f>'TR TUSD'!$V$11*'TR TUSD'!$V$64</f>
        <v>0</v>
      </c>
      <c r="W11" s="48">
        <f>'TR TUSD'!$W$11*'TR TUSD'!$W$64</f>
        <v>0</v>
      </c>
      <c r="X11" s="48">
        <f>'TR TUSD'!$X$11*'TR TUSD'!$X$64</f>
        <v>0</v>
      </c>
      <c r="Y11" s="48">
        <f>'TR TUSD'!$Y$11*'TR TUSD'!$Y$64</f>
        <v>0</v>
      </c>
      <c r="Z11" s="48">
        <f>'TR TUSD'!$Z$11</f>
        <v>0</v>
      </c>
      <c r="AA11" s="48">
        <f>'TR TUSD'!$AA$11</f>
        <v>0</v>
      </c>
      <c r="AB11" s="48">
        <f>SUM($U$11:$AA$11)</f>
        <v>0</v>
      </c>
      <c r="AC11" s="48">
        <f>'TR TUSD'!$AC$11*'TR TUSD'!$AC$64</f>
        <v>0</v>
      </c>
      <c r="AD11" s="48">
        <f>SUM($AC$11:$AC$11)</f>
        <v>0</v>
      </c>
      <c r="AE11" s="48">
        <v>0</v>
      </c>
      <c r="AF11" s="48">
        <v>0</v>
      </c>
      <c r="AG11" s="48">
        <f>SUM($AE$11:$AF$11)</f>
        <v>0</v>
      </c>
      <c r="AH11" s="48">
        <f>'TR TUSD'!$AH$11*'TR TUSD'!$AH$64</f>
        <v>7.6309695714689232</v>
      </c>
      <c r="AI11" s="48">
        <f>'TR TUSD'!$AI$11*'TR TUSD'!$AI$64</f>
        <v>0.19609376972238207</v>
      </c>
      <c r="AJ11" s="48">
        <f ca="1">'TR TUSD'!$AJ$11*'TR TUSD'!$AJ$64</f>
        <v>0</v>
      </c>
      <c r="AK11" s="48">
        <f ca="1">'TR TUSD'!$AK$11*'TR TUSD'!$AK$64</f>
        <v>0</v>
      </c>
      <c r="AL11" s="48">
        <f ca="1">SUM($AH$11:$AK$11)</f>
        <v>7.8270633411913053</v>
      </c>
      <c r="AM11" s="48">
        <f ca="1">SUMIF($L$4:$AL$4,"SUBTOTAL",$L$11:$AL$11)</f>
        <v>98.914187541685436</v>
      </c>
      <c r="AP11" s="48">
        <v>1</v>
      </c>
    </row>
    <row r="12" spans="1:42" ht="11.25" customHeight="1" x14ac:dyDescent="0.25">
      <c r="A12" s="109"/>
      <c r="B12" s="109"/>
      <c r="C12" s="109"/>
      <c r="D12" s="109"/>
      <c r="E12" s="51" t="s">
        <v>89</v>
      </c>
      <c r="F12" s="51" t="s">
        <v>25</v>
      </c>
      <c r="G12" s="52" t="s">
        <v>88</v>
      </c>
      <c r="H12" s="52" t="s">
        <v>82</v>
      </c>
      <c r="I12" s="52">
        <f>'MERCADO TUSD'!$U$9</f>
        <v>0</v>
      </c>
      <c r="J12" s="15"/>
      <c r="L12" s="48">
        <f>'TR TUSD'!$L$12*'TR TUSD'!$L$64</f>
        <v>0</v>
      </c>
      <c r="M12" s="48">
        <f>'TR TUSD'!$M$12*'TR TUSD'!$M$64</f>
        <v>1.3350722044156065</v>
      </c>
      <c r="N12" s="48">
        <f ca="1">'TR TUSD'!$N$12*'TR TUSD'!$N$64</f>
        <v>0</v>
      </c>
      <c r="O12" s="48">
        <f>'TR TUSD'!$O$12*'TR TUSD'!$O$64</f>
        <v>0</v>
      </c>
      <c r="P12" s="48">
        <f>'TR TUSD'!$P$12*'TR TUSD'!$P$64</f>
        <v>0</v>
      </c>
      <c r="Q12" s="48">
        <f>'TR TUSD'!$Q$12*'TR TUSD'!$Q$64</f>
        <v>0</v>
      </c>
      <c r="R12" s="48">
        <f>'TR TUSD'!$R$12*'TR TUSD'!$R$64</f>
        <v>0</v>
      </c>
      <c r="S12" s="48">
        <f>'TR TUSD'!$S$12*'TR TUSD'!$S$64</f>
        <v>0</v>
      </c>
      <c r="T12" s="48">
        <f ca="1">SUM($L$12:$S$12)</f>
        <v>1.3350722044156065</v>
      </c>
      <c r="U12" s="48">
        <f>'TR TUSD'!$U$12*'TR TUSD'!$U$64</f>
        <v>0</v>
      </c>
      <c r="V12" s="48">
        <f>'TR TUSD'!$V$12*'TR TUSD'!$V$64</f>
        <v>0</v>
      </c>
      <c r="W12" s="48">
        <f>'TR TUSD'!$W$12*'TR TUSD'!$W$64</f>
        <v>0</v>
      </c>
      <c r="X12" s="48">
        <f>'TR TUSD'!$X$12*'TR TUSD'!$X$64</f>
        <v>0</v>
      </c>
      <c r="Y12" s="48">
        <f>'TR TUSD'!$Y$12*'TR TUSD'!$Y$64</f>
        <v>0</v>
      </c>
      <c r="Z12" s="48">
        <f>'TR TUSD'!$Z$12</f>
        <v>0</v>
      </c>
      <c r="AA12" s="48">
        <f>'TR TUSD'!$AA$12</f>
        <v>0</v>
      </c>
      <c r="AB12" s="48">
        <f>SUM($U$12:$AA$12)</f>
        <v>0</v>
      </c>
      <c r="AC12" s="48">
        <f>'TR TUSD'!$AC$12*'TR TUSD'!$AC$64</f>
        <v>0</v>
      </c>
      <c r="AD12" s="48">
        <f>SUM($AC$12:$AC$12)</f>
        <v>0</v>
      </c>
      <c r="AE12" s="48">
        <v>0</v>
      </c>
      <c r="AF12" s="48">
        <v>0</v>
      </c>
      <c r="AG12" s="48">
        <f>SUM($AE$12:$AF$12)</f>
        <v>0</v>
      </c>
      <c r="AH12" s="48">
        <f>'TR TUSD'!$AH$12*'TR TUSD'!$AH$64</f>
        <v>7.6309695714689232</v>
      </c>
      <c r="AI12" s="48">
        <f>'TR TUSD'!$AI$12*'TR TUSD'!$AI$64</f>
        <v>0.19609376972238207</v>
      </c>
      <c r="AJ12" s="48">
        <f ca="1">'TR TUSD'!$AJ$12*'TR TUSD'!$AJ$64</f>
        <v>0</v>
      </c>
      <c r="AK12" s="48">
        <f ca="1">'TR TUSD'!$AK$12*'TR TUSD'!$AK$64</f>
        <v>0</v>
      </c>
      <c r="AL12" s="48">
        <f ca="1">SUM($AH$12:$AK$12)</f>
        <v>7.8270633411913053</v>
      </c>
      <c r="AM12" s="48">
        <f ca="1">SUMIF($L$4:$AL$4,"SUBTOTAL",$L$12:$AL$12)</f>
        <v>9.1621355456069118</v>
      </c>
      <c r="AP12" s="48">
        <v>1</v>
      </c>
    </row>
    <row r="13" spans="1:42" ht="11.25" customHeight="1" x14ac:dyDescent="0.25">
      <c r="A13" s="109"/>
      <c r="B13" s="51" t="s">
        <v>56</v>
      </c>
      <c r="C13" s="51" t="s">
        <v>25</v>
      </c>
      <c r="D13" s="51" t="s">
        <v>25</v>
      </c>
      <c r="E13" s="51" t="s">
        <v>25</v>
      </c>
      <c r="F13" s="51" t="s">
        <v>25</v>
      </c>
      <c r="G13" s="52" t="s">
        <v>9</v>
      </c>
      <c r="H13" s="52" t="s">
        <v>85</v>
      </c>
      <c r="I13" s="52">
        <f>'MERCADO TUSD'!$U$10</f>
        <v>130615</v>
      </c>
      <c r="J13" s="15"/>
      <c r="L13" s="48">
        <f>'TR TUSD'!$L$13*'TR TUSD'!$L$64</f>
        <v>0</v>
      </c>
      <c r="M13" s="48">
        <f>'TR TUSD'!$M$13*'TR TUSD'!$M$64</f>
        <v>0.16067079736892209</v>
      </c>
      <c r="N13" s="48">
        <f ca="1">'TR TUSD'!$N$13*'TR TUSD'!$N$64</f>
        <v>0</v>
      </c>
      <c r="O13" s="48">
        <f>'TR TUSD'!$O$13*'TR TUSD'!$O$64</f>
        <v>0</v>
      </c>
      <c r="P13" s="48">
        <f>'TR TUSD'!$P$13*'TR TUSD'!$P$64</f>
        <v>0</v>
      </c>
      <c r="Q13" s="48">
        <f>'TR TUSD'!$Q$13*'TR TUSD'!$Q$64</f>
        <v>0</v>
      </c>
      <c r="R13" s="48">
        <f>'TR TUSD'!$R$13*'TR TUSD'!$R$64</f>
        <v>0</v>
      </c>
      <c r="S13" s="48">
        <f>'TR TUSD'!$S$13*'TR TUSD'!$S$64</f>
        <v>0</v>
      </c>
      <c r="T13" s="48">
        <f ca="1">SUM($L$13:$S$13)</f>
        <v>0.16067079736892209</v>
      </c>
      <c r="U13" s="48">
        <f>'TR TUSD'!$U$13*'TR TUSD'!$U$64</f>
        <v>0</v>
      </c>
      <c r="V13" s="48">
        <f>'TR TUSD'!$V$13*'TR TUSD'!$V$64</f>
        <v>0</v>
      </c>
      <c r="W13" s="48">
        <f>'TR TUSD'!$W$13*'TR TUSD'!$W$64</f>
        <v>0</v>
      </c>
      <c r="X13" s="48">
        <f>'TR TUSD'!$X$13*'TR TUSD'!$X$64</f>
        <v>0</v>
      </c>
      <c r="Y13" s="48">
        <f>'TR TUSD'!$Y$13*'TR TUSD'!$Y$64</f>
        <v>0</v>
      </c>
      <c r="Z13" s="48">
        <f>'TR TUSD'!$Z$13*'TR TUSD'!$Z$64</f>
        <v>0</v>
      </c>
      <c r="AA13" s="48">
        <f>'TR TUSD'!$AA$13*'TR TUSD'!$AA$64</f>
        <v>0</v>
      </c>
      <c r="AB13" s="48">
        <f>SUM($U$13:$AA$13)</f>
        <v>0</v>
      </c>
      <c r="AC13" s="48">
        <f>'TR TUSD'!$AC$13*'TR TUSD'!$AC$64</f>
        <v>40.084880633034729</v>
      </c>
      <c r="AD13" s="48">
        <f>SUM($AC$13:$AC$13)</f>
        <v>40.084880633034729</v>
      </c>
      <c r="AE13" s="48">
        <v>0</v>
      </c>
      <c r="AF13" s="48">
        <v>0</v>
      </c>
      <c r="AG13" s="48">
        <f>SUM($AE$13:$AF$13)</f>
        <v>0</v>
      </c>
      <c r="AH13" s="48">
        <f>'TR TUSD'!$AH$13*'TR TUSD'!$AH$64</f>
        <v>0</v>
      </c>
      <c r="AI13" s="48">
        <f>'TR TUSD'!$AI$13*'TR TUSD'!$AI$64</f>
        <v>0</v>
      </c>
      <c r="AJ13" s="48">
        <f ca="1">'TR TUSD'!$AJ$13*'TR TUSD'!$AJ$64</f>
        <v>0</v>
      </c>
      <c r="AK13" s="48">
        <f ca="1">'TR TUSD'!$AK$13*'TR TUSD'!$AK$64</f>
        <v>0</v>
      </c>
      <c r="AL13" s="48">
        <f ca="1">SUM($AH$13:$AK$13)</f>
        <v>0</v>
      </c>
      <c r="AM13" s="48">
        <f ca="1">SUMIF($L$4:$AL$4,"SUBTOTAL",$L$13:$AL$13)</f>
        <v>40.245551430403651</v>
      </c>
      <c r="AP13" s="48"/>
    </row>
    <row r="14" spans="1:42" ht="11.25" customHeight="1" x14ac:dyDescent="0.25">
      <c r="A14" s="109"/>
      <c r="B14" s="109" t="s">
        <v>39</v>
      </c>
      <c r="C14" s="109" t="s">
        <v>25</v>
      </c>
      <c r="D14" s="109" t="s">
        <v>25</v>
      </c>
      <c r="E14" s="109" t="s">
        <v>25</v>
      </c>
      <c r="F14" s="109" t="s">
        <v>25</v>
      </c>
      <c r="G14" s="52" t="s">
        <v>9</v>
      </c>
      <c r="H14" s="52" t="s">
        <v>85</v>
      </c>
      <c r="I14" s="52">
        <f>'MERCADO TUSD'!$U$11</f>
        <v>986883</v>
      </c>
      <c r="J14" s="15"/>
      <c r="L14" s="48">
        <f>'TR TUSD'!$L$14*'TR TUSD'!$L$64</f>
        <v>0</v>
      </c>
      <c r="M14" s="48">
        <f>'TR TUSD'!$M$14*'TR TUSD'!$M$64</f>
        <v>0</v>
      </c>
      <c r="N14" s="48">
        <f ca="1">'TR TUSD'!$N$14*'TR TUSD'!$N$64</f>
        <v>0</v>
      </c>
      <c r="O14" s="48">
        <f>'TR TUSD'!$O$14*'TR TUSD'!$O$64</f>
        <v>0</v>
      </c>
      <c r="P14" s="48">
        <f>'TR TUSD'!$P$14*'TR TUSD'!$P$64</f>
        <v>0</v>
      </c>
      <c r="Q14" s="48">
        <f>'TR TUSD'!$Q$14*'TR TUSD'!$Q$64</f>
        <v>0</v>
      </c>
      <c r="R14" s="48">
        <f>'TR TUSD'!$R$14*'TR TUSD'!$R$64</f>
        <v>0</v>
      </c>
      <c r="S14" s="48">
        <f>'TR TUSD'!$S$14*'TR TUSD'!$S$64</f>
        <v>0</v>
      </c>
      <c r="T14" s="48">
        <f ca="1">SUM($L$14:$S$14)</f>
        <v>0</v>
      </c>
      <c r="U14" s="48">
        <f>'TR TUSD'!$U$14*'TR TUSD'!$U$64</f>
        <v>1.8703128396643995</v>
      </c>
      <c r="V14" s="48">
        <f>'TR TUSD'!$V$14*'TR TUSD'!$V$64</f>
        <v>1.8032476517964227</v>
      </c>
      <c r="W14" s="48">
        <f>'TR TUSD'!$W$14*'TR TUSD'!$W$64</f>
        <v>0.49592443868009517</v>
      </c>
      <c r="X14" s="48">
        <f>'TR TUSD'!$X$14*'TR TUSD'!$X$64</f>
        <v>0</v>
      </c>
      <c r="Y14" s="48">
        <f>'TR TUSD'!$Y$14*'TR TUSD'!$Y$64</f>
        <v>10.020436552585684</v>
      </c>
      <c r="Z14" s="48">
        <f>'TR TUSD'!$Z$14</f>
        <v>0</v>
      </c>
      <c r="AA14" s="48">
        <f>'TR TUSD'!$AA$14</f>
        <v>0</v>
      </c>
      <c r="AB14" s="48">
        <f>SUM($U$14:$AA$14)</f>
        <v>14.189921482726602</v>
      </c>
      <c r="AC14" s="48">
        <f>'TR TUSD'!$AC$14*'TR TUSD'!$AC$64</f>
        <v>39.296302977473466</v>
      </c>
      <c r="AD14" s="48">
        <f>SUM($AC$14:$AC$14)</f>
        <v>39.296302977473466</v>
      </c>
      <c r="AE14" s="48">
        <v>0</v>
      </c>
      <c r="AF14" s="48">
        <v>0</v>
      </c>
      <c r="AG14" s="48">
        <f>SUM($AE$14:$AF$14)</f>
        <v>0</v>
      </c>
      <c r="AH14" s="48">
        <f>'TR TUSD'!$AH$14*'TR TUSD'!$AH$64</f>
        <v>0</v>
      </c>
      <c r="AI14" s="48">
        <f>'TR TUSD'!$AI$14*'TR TUSD'!$AI$64</f>
        <v>0</v>
      </c>
      <c r="AJ14" s="48">
        <f ca="1">'TR TUSD'!$AJ$14*'TR TUSD'!$AJ$64</f>
        <v>0</v>
      </c>
      <c r="AK14" s="48">
        <f ca="1">'TR TUSD'!$AK$14*'TR TUSD'!$AK$64</f>
        <v>0</v>
      </c>
      <c r="AL14" s="48">
        <f ca="1">SUM($AH$14:$AK$14)</f>
        <v>0</v>
      </c>
      <c r="AM14" s="48">
        <f ca="1">SUMIF($L$4:$AL$4,"SUBTOTAL",$L$14:$AL$14)</f>
        <v>53.48622446020007</v>
      </c>
      <c r="AP14" s="48">
        <v>1</v>
      </c>
    </row>
    <row r="15" spans="1:42" ht="11.25" customHeight="1" x14ac:dyDescent="0.25">
      <c r="A15" s="109"/>
      <c r="B15" s="109"/>
      <c r="C15" s="109"/>
      <c r="D15" s="109"/>
      <c r="E15" s="109"/>
      <c r="F15" s="109"/>
      <c r="G15" s="52" t="s">
        <v>83</v>
      </c>
      <c r="H15" s="52" t="s">
        <v>82</v>
      </c>
      <c r="I15" s="52">
        <f>'MERCADO TUSD'!$U$12</f>
        <v>8416.530999999999</v>
      </c>
      <c r="J15" s="15"/>
      <c r="L15" s="48">
        <f>'TR TUSD'!$L$15*'TR TUSD'!$L$64</f>
        <v>0</v>
      </c>
      <c r="M15" s="48">
        <f>'TR TUSD'!$M$15*'TR TUSD'!$M$64</f>
        <v>1.3350722044156065</v>
      </c>
      <c r="N15" s="48">
        <f ca="1">'TR TUSD'!$N$15*'TR TUSD'!$N$64</f>
        <v>0</v>
      </c>
      <c r="O15" s="48">
        <f>'TR TUSD'!$O$15*'TR TUSD'!$O$64</f>
        <v>0</v>
      </c>
      <c r="P15" s="48">
        <f>'TR TUSD'!$P$15*'TR TUSD'!$P$64</f>
        <v>0</v>
      </c>
      <c r="Q15" s="48">
        <f>'TR TUSD'!$Q$15*'TR TUSD'!$Q$64</f>
        <v>75.539474059051699</v>
      </c>
      <c r="R15" s="48">
        <f>'TR TUSD'!$R$15*'TR TUSD'!$R$64</f>
        <v>14.212577937026817</v>
      </c>
      <c r="S15" s="48">
        <f>'TR TUSD'!$S$15*'TR TUSD'!$S$64</f>
        <v>0</v>
      </c>
      <c r="T15" s="48">
        <f ca="1">SUM($L$15:$S$15)</f>
        <v>91.087124200494131</v>
      </c>
      <c r="U15" s="48">
        <f>'TR TUSD'!$U$15*'TR TUSD'!$U$64</f>
        <v>44.419006656424578</v>
      </c>
      <c r="V15" s="48">
        <f>'TR TUSD'!$V$15*'TR TUSD'!$V$64</f>
        <v>48.513401257775627</v>
      </c>
      <c r="W15" s="48">
        <f>'TR TUSD'!$W$15*'TR TUSD'!$W$64</f>
        <v>12.033843278569989</v>
      </c>
      <c r="X15" s="48">
        <f>'TR TUSD'!$X$15*'TR TUSD'!$X$64</f>
        <v>0</v>
      </c>
      <c r="Y15" s="48">
        <f>'TR TUSD'!$Y$15*'TR TUSD'!$Y$64</f>
        <v>448.36780655705553</v>
      </c>
      <c r="Z15" s="48">
        <f>'TR TUSD'!$Z$15</f>
        <v>0</v>
      </c>
      <c r="AA15" s="48">
        <f>'TR TUSD'!$AA$15</f>
        <v>0</v>
      </c>
      <c r="AB15" s="48">
        <f>SUM($U$15:$AA$15)</f>
        <v>553.33405774982577</v>
      </c>
      <c r="AC15" s="48">
        <f>'TR TUSD'!$AC$15*'TR TUSD'!$AC$64</f>
        <v>1591.3905326148997</v>
      </c>
      <c r="AD15" s="48">
        <f>SUM($AC$15:$AC$15)</f>
        <v>1591.3905326148997</v>
      </c>
      <c r="AE15" s="48">
        <v>0</v>
      </c>
      <c r="AF15" s="48">
        <v>0</v>
      </c>
      <c r="AG15" s="48">
        <f>SUM($AE$15:$AF$15)</f>
        <v>0</v>
      </c>
      <c r="AH15" s="48">
        <f>'TR TUSD'!$AH$15*'TR TUSD'!$AH$64</f>
        <v>7.6309695714689232</v>
      </c>
      <c r="AI15" s="48">
        <f>'TR TUSD'!$AI$15*'TR TUSD'!$AI$64</f>
        <v>0.19609376972238207</v>
      </c>
      <c r="AJ15" s="48">
        <f ca="1">'TR TUSD'!$AJ$15*'TR TUSD'!$AJ$64</f>
        <v>0</v>
      </c>
      <c r="AK15" s="48">
        <f ca="1">'TR TUSD'!$AK$15*'TR TUSD'!$AK$64</f>
        <v>0</v>
      </c>
      <c r="AL15" s="48">
        <f ca="1">SUM($AH$15:$AK$15)</f>
        <v>7.8270633411913053</v>
      </c>
      <c r="AM15" s="48">
        <f ca="1">SUMIF($L$4:$AL$4,"SUBTOTAL",$L$15:$AL$15)</f>
        <v>2243.6387779064107</v>
      </c>
      <c r="AP15" s="48">
        <v>1</v>
      </c>
    </row>
    <row r="16" spans="1:42" ht="11.25" customHeight="1" x14ac:dyDescent="0.25">
      <c r="A16" s="109"/>
      <c r="B16" s="109"/>
      <c r="C16" s="109"/>
      <c r="D16" s="109"/>
      <c r="E16" s="109"/>
      <c r="F16" s="109"/>
      <c r="G16" s="52" t="s">
        <v>84</v>
      </c>
      <c r="H16" s="52" t="s">
        <v>82</v>
      </c>
      <c r="I16" s="52">
        <f>'MERCADO TUSD'!$U$13</f>
        <v>160452.66800000001</v>
      </c>
      <c r="J16" s="15"/>
      <c r="L16" s="48">
        <f>'TR TUSD'!$L$16*'TR TUSD'!$L$64</f>
        <v>0</v>
      </c>
      <c r="M16" s="48">
        <f>'TR TUSD'!$M$16*'TR TUSD'!$M$64</f>
        <v>1.3350722044156065</v>
      </c>
      <c r="N16" s="48">
        <f ca="1">'TR TUSD'!$N$16*'TR TUSD'!$N$64</f>
        <v>0</v>
      </c>
      <c r="O16" s="48">
        <f>'TR TUSD'!$O$16*'TR TUSD'!$O$64</f>
        <v>0</v>
      </c>
      <c r="P16" s="48">
        <f>'TR TUSD'!$P$16*'TR TUSD'!$P$64</f>
        <v>0</v>
      </c>
      <c r="Q16" s="48">
        <f>'TR TUSD'!$Q$16*'TR TUSD'!$Q$64</f>
        <v>75.539474059051699</v>
      </c>
      <c r="R16" s="48">
        <f>'TR TUSD'!$R$16*'TR TUSD'!$R$64</f>
        <v>14.212577937026817</v>
      </c>
      <c r="S16" s="48">
        <f>'TR TUSD'!$S$16*'TR TUSD'!$S$64</f>
        <v>0</v>
      </c>
      <c r="T16" s="48">
        <f ca="1">SUM($L$16:$S$16)</f>
        <v>91.087124200494131</v>
      </c>
      <c r="U16" s="48">
        <f>'TR TUSD'!$U$16*'TR TUSD'!$U$64</f>
        <v>0</v>
      </c>
      <c r="V16" s="48">
        <f>'TR TUSD'!$V$16*'TR TUSD'!$V$64</f>
        <v>0</v>
      </c>
      <c r="W16" s="48">
        <f>'TR TUSD'!$W$16*'TR TUSD'!$W$64</f>
        <v>0</v>
      </c>
      <c r="X16" s="48">
        <f>'TR TUSD'!$X$16*'TR TUSD'!$X$64</f>
        <v>0</v>
      </c>
      <c r="Y16" s="48">
        <f>'TR TUSD'!$Y$16*'TR TUSD'!$Y$64</f>
        <v>0</v>
      </c>
      <c r="Z16" s="48">
        <f>'TR TUSD'!$Z$16</f>
        <v>0</v>
      </c>
      <c r="AA16" s="48">
        <f>'TR TUSD'!$AA$16</f>
        <v>0</v>
      </c>
      <c r="AB16" s="48">
        <f>SUM($U$16:$AA$16)</f>
        <v>0</v>
      </c>
      <c r="AC16" s="48">
        <f>'TR TUSD'!$AC$16*'TR TUSD'!$AC$64</f>
        <v>0</v>
      </c>
      <c r="AD16" s="48">
        <f>SUM($AC$16:$AC$16)</f>
        <v>0</v>
      </c>
      <c r="AE16" s="48">
        <v>0</v>
      </c>
      <c r="AF16" s="48">
        <v>0</v>
      </c>
      <c r="AG16" s="48">
        <f>SUM($AE$16:$AF$16)</f>
        <v>0</v>
      </c>
      <c r="AH16" s="48">
        <f>'TR TUSD'!$AH$16*'TR TUSD'!$AH$64</f>
        <v>7.6309695714689232</v>
      </c>
      <c r="AI16" s="48">
        <f>'TR TUSD'!$AI$16*'TR TUSD'!$AI$64</f>
        <v>0.19609376972238207</v>
      </c>
      <c r="AJ16" s="48">
        <f ca="1">'TR TUSD'!$AJ$16*'TR TUSD'!$AJ$64</f>
        <v>0</v>
      </c>
      <c r="AK16" s="48">
        <f ca="1">'TR TUSD'!$AK$16*'TR TUSD'!$AK$64</f>
        <v>0</v>
      </c>
      <c r="AL16" s="48">
        <f ca="1">SUM($AH$16:$AK$16)</f>
        <v>7.8270633411913053</v>
      </c>
      <c r="AM16" s="48">
        <f ca="1">SUMIF($L$4:$AL$4,"SUBTOTAL",$L$16:$AL$16)</f>
        <v>98.914187541685436</v>
      </c>
      <c r="AP16" s="48">
        <v>1</v>
      </c>
    </row>
    <row r="17" spans="1:42" ht="11.25" customHeight="1" x14ac:dyDescent="0.25">
      <c r="A17" s="109"/>
      <c r="B17" s="109"/>
      <c r="C17" s="109"/>
      <c r="D17" s="109"/>
      <c r="E17" s="109" t="s">
        <v>89</v>
      </c>
      <c r="F17" s="109" t="s">
        <v>25</v>
      </c>
      <c r="G17" s="52" t="s">
        <v>83</v>
      </c>
      <c r="H17" s="52" t="s">
        <v>82</v>
      </c>
      <c r="I17" s="52">
        <f>'MERCADO TUSD'!$U$14</f>
        <v>0</v>
      </c>
      <c r="J17" s="15"/>
      <c r="L17" s="48">
        <f>'TR TUSD'!$L$17*'TR TUSD'!$L$64</f>
        <v>0</v>
      </c>
      <c r="M17" s="48">
        <f>'TR TUSD'!$M$17*'TR TUSD'!$M$64</f>
        <v>1.3350722044156065</v>
      </c>
      <c r="N17" s="48">
        <f ca="1">'TR TUSD'!$N$17*'TR TUSD'!$N$64</f>
        <v>0</v>
      </c>
      <c r="O17" s="48">
        <f>'TR TUSD'!$O$17*'TR TUSD'!$O$64</f>
        <v>0</v>
      </c>
      <c r="P17" s="48">
        <f>'TR TUSD'!$P$17*'TR TUSD'!$P$64</f>
        <v>0</v>
      </c>
      <c r="Q17" s="48">
        <f>'TR TUSD'!$Q$17*'TR TUSD'!$Q$64</f>
        <v>0</v>
      </c>
      <c r="R17" s="48">
        <f>'TR TUSD'!$R$17*'TR TUSD'!$R$64</f>
        <v>0</v>
      </c>
      <c r="S17" s="48">
        <f>'TR TUSD'!$S$17*'TR TUSD'!$S$64</f>
        <v>0</v>
      </c>
      <c r="T17" s="48">
        <f ca="1">SUM($L$17:$S$17)</f>
        <v>1.3350722044156065</v>
      </c>
      <c r="U17" s="48">
        <f>'TR TUSD'!$U$17*'TR TUSD'!$U$64</f>
        <v>44.419006656424578</v>
      </c>
      <c r="V17" s="48">
        <f>'TR TUSD'!$V$17*'TR TUSD'!$V$64</f>
        <v>48.513401257775627</v>
      </c>
      <c r="W17" s="48">
        <f>'TR TUSD'!$W$17*'TR TUSD'!$W$64</f>
        <v>12.033843278569989</v>
      </c>
      <c r="X17" s="48">
        <f>'TR TUSD'!$X$17*'TR TUSD'!$X$64</f>
        <v>0</v>
      </c>
      <c r="Y17" s="48">
        <f>'TR TUSD'!$Y$17*'TR TUSD'!$Y$64</f>
        <v>448.36780655705553</v>
      </c>
      <c r="Z17" s="48">
        <f>'TR TUSD'!$Z$17</f>
        <v>0</v>
      </c>
      <c r="AA17" s="48">
        <f>'TR TUSD'!$AA$17</f>
        <v>0</v>
      </c>
      <c r="AB17" s="48">
        <f>SUM($U$17:$AA$17)</f>
        <v>553.33405774982577</v>
      </c>
      <c r="AC17" s="48">
        <f>'TR TUSD'!$AC$17*'TR TUSD'!$AC$64</f>
        <v>1591.3905326148997</v>
      </c>
      <c r="AD17" s="48">
        <f>SUM($AC$17:$AC$17)</f>
        <v>1591.3905326148997</v>
      </c>
      <c r="AE17" s="48">
        <v>0</v>
      </c>
      <c r="AF17" s="48">
        <v>0</v>
      </c>
      <c r="AG17" s="48">
        <f>SUM($AE$17:$AF$17)</f>
        <v>0</v>
      </c>
      <c r="AH17" s="48">
        <f>'TR TUSD'!$AH$17*'TR TUSD'!$AH$64</f>
        <v>7.6309695714689232</v>
      </c>
      <c r="AI17" s="48">
        <f>'TR TUSD'!$AI$17*'TR TUSD'!$AI$64</f>
        <v>0.19609376972238207</v>
      </c>
      <c r="AJ17" s="48">
        <f ca="1">'TR TUSD'!$AJ$17*'TR TUSD'!$AJ$64</f>
        <v>0</v>
      </c>
      <c r="AK17" s="48">
        <f ca="1">'TR TUSD'!$AK$17*'TR TUSD'!$AK$64</f>
        <v>0</v>
      </c>
      <c r="AL17" s="48">
        <f ca="1">SUM($AH$17:$AK$17)</f>
        <v>7.8270633411913053</v>
      </c>
      <c r="AM17" s="48">
        <f ca="1">SUMIF($L$4:$AL$4,"SUBTOTAL",$L$17:$AL$17)</f>
        <v>2153.8867259103322</v>
      </c>
      <c r="AP17" s="48">
        <v>1</v>
      </c>
    </row>
    <row r="18" spans="1:42" ht="11.25" customHeight="1" x14ac:dyDescent="0.25">
      <c r="A18" s="109"/>
      <c r="B18" s="109"/>
      <c r="C18" s="109"/>
      <c r="D18" s="109"/>
      <c r="E18" s="109"/>
      <c r="F18" s="109"/>
      <c r="G18" s="52" t="s">
        <v>84</v>
      </c>
      <c r="H18" s="52" t="s">
        <v>82</v>
      </c>
      <c r="I18" s="52">
        <f>'MERCADO TUSD'!$U$15</f>
        <v>0</v>
      </c>
      <c r="J18" s="15"/>
      <c r="L18" s="48">
        <f>'TR TUSD'!$L$18*'TR TUSD'!$L$64</f>
        <v>0</v>
      </c>
      <c r="M18" s="48">
        <f>'TR TUSD'!$M$18*'TR TUSD'!$M$64</f>
        <v>1.3350722044156065</v>
      </c>
      <c r="N18" s="48">
        <f ca="1">'TR TUSD'!$N$18*'TR TUSD'!$N$64</f>
        <v>0</v>
      </c>
      <c r="O18" s="48">
        <f>'TR TUSD'!$O$18*'TR TUSD'!$O$64</f>
        <v>0</v>
      </c>
      <c r="P18" s="48">
        <f>'TR TUSD'!$P$18*'TR TUSD'!$P$64</f>
        <v>0</v>
      </c>
      <c r="Q18" s="48">
        <f>'TR TUSD'!$Q$18*'TR TUSD'!$Q$64</f>
        <v>0</v>
      </c>
      <c r="R18" s="48">
        <f>'TR TUSD'!$R$18*'TR TUSD'!$R$64</f>
        <v>0</v>
      </c>
      <c r="S18" s="48">
        <f>'TR TUSD'!$S$18*'TR TUSD'!$S$64</f>
        <v>0</v>
      </c>
      <c r="T18" s="48">
        <f ca="1">SUM($L$18:$S$18)</f>
        <v>1.3350722044156065</v>
      </c>
      <c r="U18" s="48">
        <f>'TR TUSD'!$U$18*'TR TUSD'!$U$64</f>
        <v>0</v>
      </c>
      <c r="V18" s="48">
        <f>'TR TUSD'!$V$18*'TR TUSD'!$V$64</f>
        <v>0</v>
      </c>
      <c r="W18" s="48">
        <f>'TR TUSD'!$W$18*'TR TUSD'!$W$64</f>
        <v>0</v>
      </c>
      <c r="X18" s="48">
        <f>'TR TUSD'!$X$18*'TR TUSD'!$X$64</f>
        <v>0</v>
      </c>
      <c r="Y18" s="48">
        <f>'TR TUSD'!$Y$18*'TR TUSD'!$Y$64</f>
        <v>0</v>
      </c>
      <c r="Z18" s="48">
        <f>'TR TUSD'!$Z$18</f>
        <v>0</v>
      </c>
      <c r="AA18" s="48">
        <f>'TR TUSD'!$AA$18</f>
        <v>0</v>
      </c>
      <c r="AB18" s="48">
        <f>SUM($U$18:$AA$18)</f>
        <v>0</v>
      </c>
      <c r="AC18" s="48">
        <f>'TR TUSD'!$AC$18*'TR TUSD'!$AC$64</f>
        <v>0</v>
      </c>
      <c r="AD18" s="48">
        <f>SUM($AC$18:$AC$18)</f>
        <v>0</v>
      </c>
      <c r="AE18" s="48">
        <v>0</v>
      </c>
      <c r="AF18" s="48">
        <v>0</v>
      </c>
      <c r="AG18" s="48">
        <f>SUM($AE$18:$AF$18)</f>
        <v>0</v>
      </c>
      <c r="AH18" s="48">
        <f>'TR TUSD'!$AH$18*'TR TUSD'!$AH$64</f>
        <v>7.6309695714689232</v>
      </c>
      <c r="AI18" s="48">
        <f>'TR TUSD'!$AI$18*'TR TUSD'!$AI$64</f>
        <v>0.19609376972238207</v>
      </c>
      <c r="AJ18" s="48">
        <f ca="1">'TR TUSD'!$AJ$18*'TR TUSD'!$AJ$64</f>
        <v>0</v>
      </c>
      <c r="AK18" s="48">
        <f ca="1">'TR TUSD'!$AK$18*'TR TUSD'!$AK$64</f>
        <v>0</v>
      </c>
      <c r="AL18" s="48">
        <f ca="1">SUM($AH$18:$AK$18)</f>
        <v>7.8270633411913053</v>
      </c>
      <c r="AM18" s="48">
        <f ca="1">SUMIF($L$4:$AL$4,"SUBTOTAL",$L$18:$AL$18)</f>
        <v>9.1621355456069118</v>
      </c>
      <c r="AP18" s="48">
        <v>1</v>
      </c>
    </row>
    <row r="19" spans="1:42" ht="11.25" customHeight="1" x14ac:dyDescent="0.25">
      <c r="A19" s="109" t="s">
        <v>91</v>
      </c>
      <c r="B19" s="109" t="s">
        <v>56</v>
      </c>
      <c r="C19" s="109" t="s">
        <v>25</v>
      </c>
      <c r="D19" s="109" t="s">
        <v>25</v>
      </c>
      <c r="E19" s="51" t="s">
        <v>92</v>
      </c>
      <c r="F19" s="51" t="s">
        <v>25</v>
      </c>
      <c r="G19" s="52" t="s">
        <v>9</v>
      </c>
      <c r="H19" s="52" t="s">
        <v>85</v>
      </c>
      <c r="I19" s="52">
        <f>'MERCADO TUSD'!$U$16+0.00000001</f>
        <v>1E-8</v>
      </c>
      <c r="J19" s="15"/>
      <c r="L19" s="48">
        <f>'TR TUSD'!$L$19*'TR TUSD'!$L$64</f>
        <v>0</v>
      </c>
      <c r="M19" s="48">
        <f>'TR TUSD'!$M$19*'TR TUSD'!$M$64</f>
        <v>1.6067079736892208E-2</v>
      </c>
      <c r="N19" s="48">
        <f ca="1">'TR TUSD'!$N$19*'TR TUSD'!$N$64</f>
        <v>0</v>
      </c>
      <c r="O19" s="48">
        <f>'TR TUSD'!$O$19*'TR TUSD'!$O$64</f>
        <v>0</v>
      </c>
      <c r="P19" s="48">
        <f>'TR TUSD'!$P$19*'TR TUSD'!$P$64</f>
        <v>0</v>
      </c>
      <c r="Q19" s="48">
        <f>'TR TUSD'!$Q$19*'TR TUSD'!$Q$64</f>
        <v>0</v>
      </c>
      <c r="R19" s="48">
        <f>'TR TUSD'!$R$19*'TR TUSD'!$R$64</f>
        <v>0</v>
      </c>
      <c r="S19" s="48">
        <f>'TR TUSD'!$S$19*'TR TUSD'!$S$64</f>
        <v>0</v>
      </c>
      <c r="T19" s="48">
        <f ca="1">SUM($L$19:$S$19)</f>
        <v>1.6067079736892208E-2</v>
      </c>
      <c r="U19" s="48">
        <f>'TR TUSD'!$U$19*'TR TUSD'!$U$64</f>
        <v>0</v>
      </c>
      <c r="V19" s="48">
        <f>'TR TUSD'!$V$19*'TR TUSD'!$V$64</f>
        <v>0</v>
      </c>
      <c r="W19" s="48">
        <f>'TR TUSD'!$W$19*'TR TUSD'!$W$64</f>
        <v>0</v>
      </c>
      <c r="X19" s="48">
        <f>'TR TUSD'!$X$19*'TR TUSD'!$X$64</f>
        <v>0</v>
      </c>
      <c r="Y19" s="48">
        <f>'TR TUSD'!$Y$19*'TR TUSD'!$Y$64</f>
        <v>0</v>
      </c>
      <c r="Z19" s="48">
        <f>'TR TUSD'!$Z$19*'TR TUSD'!$Z$64</f>
        <v>0</v>
      </c>
      <c r="AA19" s="48">
        <f>'TR TUSD'!$AA$19*'TR TUSD'!$AA$64</f>
        <v>0</v>
      </c>
      <c r="AB19" s="48">
        <f>SUM($U$19:$AA$19)</f>
        <v>0</v>
      </c>
      <c r="AC19" s="48">
        <f>'TR TUSD'!$AC$19*'TR TUSD'!$AC$64</f>
        <v>4.0086921817647916</v>
      </c>
      <c r="AD19" s="48">
        <f>SUM($AC$19:$AC$19)</f>
        <v>4.0086921817647916</v>
      </c>
      <c r="AE19" s="48">
        <v>0</v>
      </c>
      <c r="AF19" s="48">
        <v>0</v>
      </c>
      <c r="AG19" s="48">
        <f>SUM($AE$19:$AF$19)</f>
        <v>0</v>
      </c>
      <c r="AH19" s="48">
        <f>'TR TUSD'!$AH$19*'TR TUSD'!$AH$64</f>
        <v>0</v>
      </c>
      <c r="AI19" s="48">
        <f>'TR TUSD'!$AI$19*'TR TUSD'!$AI$64</f>
        <v>0</v>
      </c>
      <c r="AJ19" s="48">
        <f ca="1">'TR TUSD'!$AJ$19*'TR TUSD'!$AJ$64</f>
        <v>0</v>
      </c>
      <c r="AK19" s="48">
        <f ca="1">'TR TUSD'!$AK$19*'TR TUSD'!$AK$64</f>
        <v>0</v>
      </c>
      <c r="AL19" s="48">
        <f ca="1">SUM($AH$19:$AK$19)</f>
        <v>0</v>
      </c>
      <c r="AM19" s="48">
        <f ca="1">SUMIF($L$4:$AL$4,"SUBTOTAL",$L$19:$AL$19)</f>
        <v>4.0247592615016838</v>
      </c>
      <c r="AP19" s="48"/>
    </row>
    <row r="20" spans="1:42" ht="11.25" customHeight="1" x14ac:dyDescent="0.25">
      <c r="A20" s="109"/>
      <c r="B20" s="109"/>
      <c r="C20" s="109"/>
      <c r="D20" s="109"/>
      <c r="E20" s="51" t="s">
        <v>93</v>
      </c>
      <c r="F20" s="51" t="s">
        <v>25</v>
      </c>
      <c r="G20" s="52" t="s">
        <v>9</v>
      </c>
      <c r="H20" s="52" t="s">
        <v>85</v>
      </c>
      <c r="I20" s="52">
        <f>'MERCADO TUSD'!$U$17+0.00000001</f>
        <v>1E-8</v>
      </c>
      <c r="J20" s="15"/>
      <c r="L20" s="48">
        <f>'TR TUSD'!$L$20*'TR TUSD'!$L$64</f>
        <v>0</v>
      </c>
      <c r="M20" s="48">
        <f>'TR TUSD'!$M$20*'TR TUSD'!$M$64</f>
        <v>1.6067079736892208E-2</v>
      </c>
      <c r="N20" s="48">
        <f ca="1">'TR TUSD'!$N$20*'TR TUSD'!$N$64</f>
        <v>0</v>
      </c>
      <c r="O20" s="48">
        <f>'TR TUSD'!$O$20*'TR TUSD'!$O$64</f>
        <v>0</v>
      </c>
      <c r="P20" s="48">
        <f>'TR TUSD'!$P$20*'TR TUSD'!$P$64</f>
        <v>0</v>
      </c>
      <c r="Q20" s="48">
        <f>'TR TUSD'!$Q$20*'TR TUSD'!$Q$64</f>
        <v>0</v>
      </c>
      <c r="R20" s="48">
        <f>'TR TUSD'!$R$20*'TR TUSD'!$R$64</f>
        <v>0</v>
      </c>
      <c r="S20" s="48">
        <f>'TR TUSD'!$S$20*'TR TUSD'!$S$64</f>
        <v>0</v>
      </c>
      <c r="T20" s="48">
        <f ca="1">SUM($L$20:$S$20)</f>
        <v>1.6067079736892208E-2</v>
      </c>
      <c r="U20" s="48">
        <f>'TR TUSD'!$U$20*'TR TUSD'!$U$64</f>
        <v>0</v>
      </c>
      <c r="V20" s="48">
        <f>'TR TUSD'!$V$20*'TR TUSD'!$V$64</f>
        <v>0</v>
      </c>
      <c r="W20" s="48">
        <f>'TR TUSD'!$W$20*'TR TUSD'!$W$64</f>
        <v>0</v>
      </c>
      <c r="X20" s="48">
        <f>'TR TUSD'!$X$20*'TR TUSD'!$X$64</f>
        <v>0</v>
      </c>
      <c r="Y20" s="48">
        <f>'TR TUSD'!$Y$20*'TR TUSD'!$Y$64</f>
        <v>0</v>
      </c>
      <c r="Z20" s="48">
        <f>'TR TUSD'!$Z$20*'TR TUSD'!$Z$64</f>
        <v>0</v>
      </c>
      <c r="AA20" s="48">
        <f>'TR TUSD'!$AA$20*'TR TUSD'!$AA$64</f>
        <v>0</v>
      </c>
      <c r="AB20" s="48">
        <f>SUM($U$20:$AA$20)</f>
        <v>0</v>
      </c>
      <c r="AC20" s="48">
        <f>'TR TUSD'!$AC$20*'TR TUSD'!$AC$64</f>
        <v>15.850187318466679</v>
      </c>
      <c r="AD20" s="48">
        <f>SUM($AC$20:$AC$20)</f>
        <v>15.850187318466679</v>
      </c>
      <c r="AE20" s="48">
        <v>0</v>
      </c>
      <c r="AF20" s="48">
        <v>0</v>
      </c>
      <c r="AG20" s="48">
        <f>SUM($AE$20:$AF$20)</f>
        <v>0</v>
      </c>
      <c r="AH20" s="48">
        <f>'TR TUSD'!$AH$20*'TR TUSD'!$AH$64</f>
        <v>0</v>
      </c>
      <c r="AI20" s="48">
        <f>'TR TUSD'!$AI$20*'TR TUSD'!$AI$64</f>
        <v>0</v>
      </c>
      <c r="AJ20" s="48">
        <f ca="1">'TR TUSD'!$AJ$20*'TR TUSD'!$AJ$64</f>
        <v>0</v>
      </c>
      <c r="AK20" s="48">
        <f ca="1">'TR TUSD'!$AK$20*'TR TUSD'!$AK$64</f>
        <v>0</v>
      </c>
      <c r="AL20" s="48">
        <f ca="1">SUM($AH$20:$AK$20)</f>
        <v>0</v>
      </c>
      <c r="AM20" s="48">
        <f ca="1">SUMIF($L$4:$AL$4,"SUBTOTAL",$L$20:$AL$20)</f>
        <v>15.866254398203571</v>
      </c>
      <c r="AP20" s="48"/>
    </row>
    <row r="21" spans="1:42" ht="11.25" customHeight="1" x14ac:dyDescent="0.25">
      <c r="A21" s="109" t="s">
        <v>22</v>
      </c>
      <c r="B21" s="109" t="s">
        <v>95</v>
      </c>
      <c r="C21" s="109" t="s">
        <v>24</v>
      </c>
      <c r="D21" s="109" t="s">
        <v>24</v>
      </c>
      <c r="E21" s="109" t="s">
        <v>25</v>
      </c>
      <c r="F21" s="109" t="s">
        <v>25</v>
      </c>
      <c r="G21" s="52" t="s">
        <v>83</v>
      </c>
      <c r="H21" s="52" t="s">
        <v>82</v>
      </c>
      <c r="I21" s="52">
        <f>'MERCADO TUSD'!$U$18</f>
        <v>0</v>
      </c>
      <c r="J21" s="15"/>
      <c r="L21" s="48">
        <f>'TR TUSD'!$L$21*'TR TUSD'!$L$64</f>
        <v>0</v>
      </c>
      <c r="M21" s="48">
        <f>'TR TUSD'!$M$21*'TR TUSD'!$M$64</f>
        <v>0.88097247687369962</v>
      </c>
      <c r="N21" s="48">
        <f ca="1">'TR TUSD'!$N$21*'TR TUSD'!$N$64</f>
        <v>0</v>
      </c>
      <c r="O21" s="48">
        <f>'TR TUSD'!$O$21*'TR TUSD'!$O$64</f>
        <v>0</v>
      </c>
      <c r="P21" s="48">
        <f>'TR TUSD'!$P$21*'TR TUSD'!$P$64</f>
        <v>0</v>
      </c>
      <c r="Q21" s="48">
        <f>'TR TUSD'!$Q$21*'TR TUSD'!$Q$64</f>
        <v>89.927945308394882</v>
      </c>
      <c r="R21" s="48">
        <f>'TR TUSD'!$R$21*'TR TUSD'!$R$64</f>
        <v>14.212577937026817</v>
      </c>
      <c r="S21" s="48">
        <f>'TR TUSD'!$S$21*'TR TUSD'!$S$64</f>
        <v>0</v>
      </c>
      <c r="T21" s="48">
        <f ca="1">SUM($L$21:$S$21)</f>
        <v>105.0214957222954</v>
      </c>
      <c r="U21" s="48">
        <f>'TR TUSD'!$U$21*'TR TUSD'!$U$64</f>
        <v>23.34896966261714</v>
      </c>
      <c r="V21" s="48">
        <f>'TR TUSD'!$V$21*'TR TUSD'!$V$64</f>
        <v>24.211867575505618</v>
      </c>
      <c r="W21" s="48">
        <f>'TR TUSD'!$W$21*'TR TUSD'!$W$64</f>
        <v>6.2664450058611809</v>
      </c>
      <c r="X21" s="48">
        <f>'TR TUSD'!$X$21*'TR TUSD'!$X$64</f>
        <v>0</v>
      </c>
      <c r="Y21" s="48">
        <f>'TR TUSD'!$Y$21*'TR TUSD'!$Y$64</f>
        <v>173.96748137098089</v>
      </c>
      <c r="Z21" s="48">
        <f>'TR TUSD'!$Z$21</f>
        <v>0</v>
      </c>
      <c r="AA21" s="48">
        <f>'TR TUSD'!$AA$21</f>
        <v>0</v>
      </c>
      <c r="AB21" s="48">
        <f>SUM($U$21:$AA$21)</f>
        <v>227.79476361496484</v>
      </c>
      <c r="AC21" s="48">
        <f>'TR TUSD'!$AC$21*'TR TUSD'!$AC$64</f>
        <v>418.54130856111618</v>
      </c>
      <c r="AD21" s="48">
        <f>SUM($AC$21:$AC$21)</f>
        <v>418.54130856111618</v>
      </c>
      <c r="AE21" s="48">
        <v>0</v>
      </c>
      <c r="AF21" s="48">
        <v>0</v>
      </c>
      <c r="AG21" s="48">
        <f>SUM($AE$21:$AF$21)</f>
        <v>0</v>
      </c>
      <c r="AH21" s="48">
        <f>'TR TUSD'!$AH$21*'TR TUSD'!$AH$64</f>
        <v>17.244523675929702</v>
      </c>
      <c r="AI21" s="48">
        <f>'TR TUSD'!$AI$21*'TR TUSD'!$AI$64</f>
        <v>0.44320301471941753</v>
      </c>
      <c r="AJ21" s="48">
        <f ca="1">'TR TUSD'!$AJ$21*'TR TUSD'!$AJ$64</f>
        <v>0</v>
      </c>
      <c r="AK21" s="48">
        <f ca="1">'TR TUSD'!$AK$21*'TR TUSD'!$AK$64</f>
        <v>0</v>
      </c>
      <c r="AL21" s="48">
        <f ca="1">SUM($AH$21:$AK$21)</f>
        <v>17.687726690649122</v>
      </c>
      <c r="AM21" s="48">
        <f ca="1">SUMIF($L$4:$AL$4,"SUBTOTAL",$L$21:$AL$21)</f>
        <v>769.0452945890255</v>
      </c>
      <c r="AP21" s="48">
        <v>1</v>
      </c>
    </row>
    <row r="22" spans="1:42" ht="11.25" customHeight="1" x14ac:dyDescent="0.25">
      <c r="A22" s="109"/>
      <c r="B22" s="109"/>
      <c r="C22" s="109"/>
      <c r="D22" s="109"/>
      <c r="E22" s="109"/>
      <c r="F22" s="109"/>
      <c r="G22" s="52" t="s">
        <v>94</v>
      </c>
      <c r="H22" s="52" t="s">
        <v>82</v>
      </c>
      <c r="I22" s="52">
        <f>'MERCADO TUSD'!$U$19</f>
        <v>0</v>
      </c>
      <c r="J22" s="15"/>
      <c r="L22" s="48">
        <f>'TR TUSD'!$L$22*'TR TUSD'!$L$64</f>
        <v>0</v>
      </c>
      <c r="M22" s="48">
        <f>'TR TUSD'!$M$22*'TR TUSD'!$M$64</f>
        <v>0.88097247687369962</v>
      </c>
      <c r="N22" s="48">
        <f ca="1">'TR TUSD'!$N$22*'TR TUSD'!$N$64</f>
        <v>0</v>
      </c>
      <c r="O22" s="48">
        <f>'TR TUSD'!$O$22*'TR TUSD'!$O$64</f>
        <v>0</v>
      </c>
      <c r="P22" s="48">
        <f>'TR TUSD'!$P$22*'TR TUSD'!$P$64</f>
        <v>0</v>
      </c>
      <c r="Q22" s="48">
        <f>'TR TUSD'!$Q$22*'TR TUSD'!$Q$64</f>
        <v>89.927945308394882</v>
      </c>
      <c r="R22" s="48">
        <f>'TR TUSD'!$R$22*'TR TUSD'!$R$64</f>
        <v>14.212577937026817</v>
      </c>
      <c r="S22" s="48">
        <f>'TR TUSD'!$S$22*'TR TUSD'!$S$64</f>
        <v>0</v>
      </c>
      <c r="T22" s="48">
        <f ca="1">SUM($L$22:$S$22)</f>
        <v>105.0214957222954</v>
      </c>
      <c r="U22" s="48">
        <f>'TR TUSD'!$U$22*'TR TUSD'!$U$64</f>
        <v>22.181540964177813</v>
      </c>
      <c r="V22" s="48">
        <f>'TR TUSD'!$V$22*'TR TUSD'!$V$64</f>
        <v>23.001291019639673</v>
      </c>
      <c r="W22" s="48">
        <f>'TR TUSD'!$W$22*'TR TUSD'!$W$64</f>
        <v>5.9536951762213732</v>
      </c>
      <c r="X22" s="48">
        <f>'TR TUSD'!$X$22*'TR TUSD'!$X$64</f>
        <v>0</v>
      </c>
      <c r="Y22" s="48">
        <f>'TR TUSD'!$Y$22*'TR TUSD'!$Y$64</f>
        <v>165.2691680973322</v>
      </c>
      <c r="Z22" s="48">
        <f>'TR TUSD'!$Z$22</f>
        <v>0</v>
      </c>
      <c r="AA22" s="48">
        <f>'TR TUSD'!$AA$22</f>
        <v>0</v>
      </c>
      <c r="AB22" s="48">
        <f>SUM($U$22:$AA$22)</f>
        <v>216.40569525737106</v>
      </c>
      <c r="AC22" s="48">
        <f>'TR TUSD'!$AC$22*'TR TUSD'!$AC$64</f>
        <v>397.61420911331686</v>
      </c>
      <c r="AD22" s="48">
        <f>SUM($AC$22:$AC$22)</f>
        <v>397.61420911331686</v>
      </c>
      <c r="AE22" s="48">
        <v>0</v>
      </c>
      <c r="AF22" s="48">
        <v>0</v>
      </c>
      <c r="AG22" s="48">
        <f>SUM($AE$22:$AF$22)</f>
        <v>0</v>
      </c>
      <c r="AH22" s="48">
        <f>'TR TUSD'!$AH$22*'TR TUSD'!$AH$64</f>
        <v>17.244523675929702</v>
      </c>
      <c r="AI22" s="48">
        <f>'TR TUSD'!$AI$22*'TR TUSD'!$AI$64</f>
        <v>0.44320301471941753</v>
      </c>
      <c r="AJ22" s="48">
        <f ca="1">'TR TUSD'!$AJ$22*'TR TUSD'!$AJ$64</f>
        <v>0</v>
      </c>
      <c r="AK22" s="48">
        <f ca="1">'TR TUSD'!$AK$22*'TR TUSD'!$AK$64</f>
        <v>0</v>
      </c>
      <c r="AL22" s="48">
        <f ca="1">SUM($AH$22:$AK$22)</f>
        <v>17.687726690649122</v>
      </c>
      <c r="AM22" s="48">
        <f ca="1">SUMIF($L$4:$AL$4,"SUBTOTAL",$L$22:$AL$22)</f>
        <v>736.72912678363252</v>
      </c>
      <c r="AP22" s="48">
        <v>1</v>
      </c>
    </row>
    <row r="23" spans="1:42" ht="11.25" customHeight="1" x14ac:dyDescent="0.25">
      <c r="A23" s="109"/>
      <c r="B23" s="109"/>
      <c r="C23" s="109"/>
      <c r="D23" s="109"/>
      <c r="E23" s="109"/>
      <c r="F23" s="109"/>
      <c r="G23" s="52" t="s">
        <v>84</v>
      </c>
      <c r="H23" s="52" t="s">
        <v>82</v>
      </c>
      <c r="I23" s="52">
        <f>'MERCADO TUSD'!$U$20</f>
        <v>0</v>
      </c>
      <c r="J23" s="15"/>
      <c r="L23" s="48">
        <f>'TR TUSD'!$L$23*'TR TUSD'!$L$64</f>
        <v>0</v>
      </c>
      <c r="M23" s="48">
        <f>'TR TUSD'!$M$23*'TR TUSD'!$M$64</f>
        <v>0.88097247687369962</v>
      </c>
      <c r="N23" s="48">
        <f ca="1">'TR TUSD'!$N$23*'TR TUSD'!$N$64</f>
        <v>0</v>
      </c>
      <c r="O23" s="48">
        <f>'TR TUSD'!$O$23*'TR TUSD'!$O$64</f>
        <v>0</v>
      </c>
      <c r="P23" s="48">
        <f>'TR TUSD'!$P$23*'TR TUSD'!$P$64</f>
        <v>0</v>
      </c>
      <c r="Q23" s="48">
        <f>'TR TUSD'!$Q$23*'TR TUSD'!$Q$64</f>
        <v>89.927945308394882</v>
      </c>
      <c r="R23" s="48">
        <f>'TR TUSD'!$R$23*'TR TUSD'!$R$64</f>
        <v>14.212577937026817</v>
      </c>
      <c r="S23" s="48">
        <f>'TR TUSD'!$S$23*'TR TUSD'!$S$64</f>
        <v>0</v>
      </c>
      <c r="T23" s="48">
        <f ca="1">SUM($L$23:$S$23)</f>
        <v>105.0214957222954</v>
      </c>
      <c r="U23" s="48">
        <f>'TR TUSD'!$U$23*'TR TUSD'!$U$64</f>
        <v>7.7829019555766727</v>
      </c>
      <c r="V23" s="48">
        <f>'TR TUSD'!$V$23*'TR TUSD'!$V$64</f>
        <v>8.0706225251685382</v>
      </c>
      <c r="W23" s="48">
        <f>'TR TUSD'!$W$23*'TR TUSD'!$W$64</f>
        <v>2.0888150019537273</v>
      </c>
      <c r="X23" s="48">
        <f>'TR TUSD'!$X$23*'TR TUSD'!$X$64</f>
        <v>0</v>
      </c>
      <c r="Y23" s="48">
        <f>'TR TUSD'!$Y$23*'TR TUSD'!$Y$64</f>
        <v>57.989049920811119</v>
      </c>
      <c r="Z23" s="48">
        <f>'TR TUSD'!$Z$23</f>
        <v>0</v>
      </c>
      <c r="AA23" s="48">
        <f>'TR TUSD'!$AA$23</f>
        <v>0</v>
      </c>
      <c r="AB23" s="48">
        <f>SUM($U$23:$AA$23)</f>
        <v>75.931389403510053</v>
      </c>
      <c r="AC23" s="48">
        <f>'TR TUSD'!$AC$23*'TR TUSD'!$AC$64</f>
        <v>139.51380192012786</v>
      </c>
      <c r="AD23" s="48">
        <f>SUM($AC$23:$AC$23)</f>
        <v>139.51380192012786</v>
      </c>
      <c r="AE23" s="48">
        <v>0</v>
      </c>
      <c r="AF23" s="48">
        <v>0</v>
      </c>
      <c r="AG23" s="48">
        <f>SUM($AE$23:$AF$23)</f>
        <v>0</v>
      </c>
      <c r="AH23" s="48">
        <f>'TR TUSD'!$AH$23*'TR TUSD'!$AH$64</f>
        <v>17.244523675929702</v>
      </c>
      <c r="AI23" s="48">
        <f>'TR TUSD'!$AI$23*'TR TUSD'!$AI$64</f>
        <v>0.44320301471941753</v>
      </c>
      <c r="AJ23" s="48">
        <f ca="1">'TR TUSD'!$AJ$23*'TR TUSD'!$AJ$64</f>
        <v>0</v>
      </c>
      <c r="AK23" s="48">
        <f ca="1">'TR TUSD'!$AK$23*'TR TUSD'!$AK$64</f>
        <v>0</v>
      </c>
      <c r="AL23" s="48">
        <f ca="1">SUM($AH$23:$AK$23)</f>
        <v>17.687726690649122</v>
      </c>
      <c r="AM23" s="48">
        <f ca="1">SUMIF($L$4:$AL$4,"SUBTOTAL",$L$23:$AL$23)</f>
        <v>338.15441373658246</v>
      </c>
      <c r="AP23" s="48">
        <v>1</v>
      </c>
    </row>
    <row r="24" spans="1:42" ht="11.25" customHeight="1" x14ac:dyDescent="0.25">
      <c r="A24" s="109"/>
      <c r="B24" s="109" t="s">
        <v>23</v>
      </c>
      <c r="C24" s="109" t="s">
        <v>24</v>
      </c>
      <c r="D24" s="51" t="s">
        <v>24</v>
      </c>
      <c r="E24" s="51" t="s">
        <v>25</v>
      </c>
      <c r="F24" s="51" t="s">
        <v>25</v>
      </c>
      <c r="G24" s="52" t="s">
        <v>88</v>
      </c>
      <c r="H24" s="52" t="s">
        <v>82</v>
      </c>
      <c r="I24" s="52">
        <f>'MERCADO TUSD'!$U$21</f>
        <v>24573.046999999999</v>
      </c>
      <c r="J24" s="15"/>
      <c r="L24" s="48">
        <f>'TR TUSD'!$L$24*'TR TUSD'!$L$64</f>
        <v>0</v>
      </c>
      <c r="M24" s="48">
        <f>'TR TUSD'!$M$24*'TR TUSD'!$M$64</f>
        <v>0.88097247687369962</v>
      </c>
      <c r="N24" s="48">
        <f ca="1">'TR TUSD'!$N$24*'TR TUSD'!$N$64</f>
        <v>0</v>
      </c>
      <c r="O24" s="48">
        <f>'TR TUSD'!$O$24*'TR TUSD'!$O$64</f>
        <v>0</v>
      </c>
      <c r="P24" s="48">
        <f>'TR TUSD'!$P$24*'TR TUSD'!$P$64</f>
        <v>0</v>
      </c>
      <c r="Q24" s="48">
        <f>'TR TUSD'!$Q$24*'TR TUSD'!$Q$64</f>
        <v>89.927945308394882</v>
      </c>
      <c r="R24" s="48">
        <f>'TR TUSD'!$R$24*'TR TUSD'!$R$64</f>
        <v>14.212577937026817</v>
      </c>
      <c r="S24" s="48">
        <f>'TR TUSD'!$S$24*'TR TUSD'!$S$64</f>
        <v>0</v>
      </c>
      <c r="T24" s="48">
        <f ca="1">SUM($L$24:$S$24)</f>
        <v>105.0214957222954</v>
      </c>
      <c r="U24" s="48">
        <f>'TR TUSD'!$U$24*'TR TUSD'!$U$64</f>
        <v>10.240820133795721</v>
      </c>
      <c r="V24" s="48">
        <f>'TR TUSD'!$V$24*'TR TUSD'!$V$64</f>
        <v>10.619293289672299</v>
      </c>
      <c r="W24" s="48">
        <f>'TR TUSD'!$W$24*'TR TUSD'!$W$64</f>
        <v>2.7486599004283971</v>
      </c>
      <c r="X24" s="48">
        <f>'TR TUSD'!$X$24*'TR TUSD'!$X$64</f>
        <v>0</v>
      </c>
      <c r="Y24" s="48">
        <f>'TR TUSD'!$Y$24*'TR TUSD'!$Y$64</f>
        <v>76.301468740158711</v>
      </c>
      <c r="Z24" s="48">
        <f>'TR TUSD'!$Z$24</f>
        <v>0</v>
      </c>
      <c r="AA24" s="48">
        <f>'TR TUSD'!$AA$24</f>
        <v>0</v>
      </c>
      <c r="AB24" s="48">
        <f>SUM($U$24:$AA$24)</f>
        <v>99.910242064055126</v>
      </c>
      <c r="AC24" s="48">
        <f>'TR TUSD'!$AC$24*'TR TUSD'!$AC$64</f>
        <v>183.57073061115727</v>
      </c>
      <c r="AD24" s="48">
        <f>SUM($AC$24:$AC$24)</f>
        <v>183.57073061115727</v>
      </c>
      <c r="AE24" s="48">
        <v>0</v>
      </c>
      <c r="AF24" s="48">
        <v>0</v>
      </c>
      <c r="AG24" s="48">
        <f>SUM($AE$24:$AF$24)</f>
        <v>0</v>
      </c>
      <c r="AH24" s="48">
        <f>'TR TUSD'!$AH$24*'TR TUSD'!$AH$64</f>
        <v>17.244523675929702</v>
      </c>
      <c r="AI24" s="48">
        <f>'TR TUSD'!$AI$24*'TR TUSD'!$AI$64</f>
        <v>0.44320301471941753</v>
      </c>
      <c r="AJ24" s="48">
        <f ca="1">'TR TUSD'!$AJ$24*'TR TUSD'!$AJ$64</f>
        <v>0</v>
      </c>
      <c r="AK24" s="48">
        <f ca="1">'TR TUSD'!$AK$24*'TR TUSD'!$AK$64</f>
        <v>0</v>
      </c>
      <c r="AL24" s="48">
        <f ca="1">SUM($AH$24:$AK$24)</f>
        <v>17.687726690649122</v>
      </c>
      <c r="AM24" s="48">
        <f ca="1">SUMIF($L$4:$AL$4,"SUBTOTAL",$L$24:$AL$24)</f>
        <v>406.19019508815694</v>
      </c>
      <c r="AP24" s="48">
        <v>1</v>
      </c>
    </row>
    <row r="25" spans="1:42" ht="11.25" customHeight="1" x14ac:dyDescent="0.25">
      <c r="A25" s="109"/>
      <c r="B25" s="109"/>
      <c r="C25" s="109"/>
      <c r="D25" s="51" t="s">
        <v>29</v>
      </c>
      <c r="E25" s="51" t="s">
        <v>25</v>
      </c>
      <c r="F25" s="51" t="s">
        <v>25</v>
      </c>
      <c r="G25" s="52" t="s">
        <v>88</v>
      </c>
      <c r="H25" s="52" t="s">
        <v>82</v>
      </c>
      <c r="I25" s="52">
        <f>'MERCADO TUSD'!$U$22</f>
        <v>175.73700000000002</v>
      </c>
      <c r="J25" s="15"/>
      <c r="L25" s="48">
        <f>'TR TUSD'!$L$25*'TR TUSD'!$L$64</f>
        <v>0</v>
      </c>
      <c r="M25" s="48">
        <f>'TR TUSD'!$M$25*'TR TUSD'!$M$64</f>
        <v>0.88097247687369962</v>
      </c>
      <c r="N25" s="48">
        <f ca="1">'TR TUSD'!$N$25*'TR TUSD'!$N$64</f>
        <v>0</v>
      </c>
      <c r="O25" s="48">
        <f>'TR TUSD'!$O$25*'TR TUSD'!$O$64</f>
        <v>0</v>
      </c>
      <c r="P25" s="48">
        <f>'TR TUSD'!$P$25*'TR TUSD'!$P$64</f>
        <v>0</v>
      </c>
      <c r="Q25" s="48">
        <f>'TR TUSD'!$Q$25*'TR TUSD'!$Q$64</f>
        <v>0</v>
      </c>
      <c r="R25" s="48">
        <f>'TR TUSD'!$R$25*'TR TUSD'!$R$64</f>
        <v>0</v>
      </c>
      <c r="S25" s="48">
        <f>'TR TUSD'!$S$25*'TR TUSD'!$S$64</f>
        <v>0</v>
      </c>
      <c r="T25" s="48">
        <f ca="1">SUM($L$25:$S$25)</f>
        <v>0.88097247687369962</v>
      </c>
      <c r="U25" s="48">
        <f>'TR TUSD'!$U$25*'TR TUSD'!$U$64</f>
        <v>10.240820133795721</v>
      </c>
      <c r="V25" s="48">
        <f>'TR TUSD'!$V$25*'TR TUSD'!$V$64</f>
        <v>10.619293289672299</v>
      </c>
      <c r="W25" s="48">
        <f>'TR TUSD'!$W$25*'TR TUSD'!$W$64</f>
        <v>2.7486599004283971</v>
      </c>
      <c r="X25" s="48">
        <f>'TR TUSD'!$X$25*'TR TUSD'!$X$64</f>
        <v>0</v>
      </c>
      <c r="Y25" s="48">
        <f>'TR TUSD'!$Y$25*'TR TUSD'!$Y$64</f>
        <v>76.301468740158711</v>
      </c>
      <c r="Z25" s="48">
        <f>'TR TUSD'!$Z$25</f>
        <v>0</v>
      </c>
      <c r="AA25" s="48">
        <f>'TR TUSD'!$AA$25</f>
        <v>0</v>
      </c>
      <c r="AB25" s="48">
        <f>SUM($U$25:$AA$25)</f>
        <v>99.910242064055126</v>
      </c>
      <c r="AC25" s="48">
        <f>'TR TUSD'!$AC$25*'TR TUSD'!$AC$64</f>
        <v>183.57073061115727</v>
      </c>
      <c r="AD25" s="48">
        <f>SUM($AC$25:$AC$25)</f>
        <v>183.57073061115727</v>
      </c>
      <c r="AE25" s="48">
        <v>0</v>
      </c>
      <c r="AF25" s="48">
        <v>0</v>
      </c>
      <c r="AG25" s="48">
        <f>SUM($AE$25:$AF$25)</f>
        <v>0</v>
      </c>
      <c r="AH25" s="48">
        <f>'TR TUSD'!$AH$25*'TR TUSD'!$AH$64</f>
        <v>17.244523675929702</v>
      </c>
      <c r="AI25" s="48">
        <f>'TR TUSD'!$AI$25*'TR TUSD'!$AI$64</f>
        <v>0.44320301471941753</v>
      </c>
      <c r="AJ25" s="48">
        <f ca="1">'TR TUSD'!$AJ$25*'TR TUSD'!$AJ$64</f>
        <v>0</v>
      </c>
      <c r="AK25" s="48">
        <f ca="1">'TR TUSD'!$AK$25*'TR TUSD'!$AK$64</f>
        <v>0</v>
      </c>
      <c r="AL25" s="48">
        <f ca="1">SUM($AH$25:$AK$25)</f>
        <v>17.687726690649122</v>
      </c>
      <c r="AM25" s="48">
        <f ca="1">SUMIF($L$4:$AL$4,"SUBTOTAL",$L$25:$AL$25)</f>
        <v>302.04967184273522</v>
      </c>
      <c r="AP25" s="48">
        <f>IF((1 - CUSTOS!$M$24)&lt;&gt;0,1/(1 - CUSTOS!$M$24),1)</f>
        <v>1</v>
      </c>
    </row>
    <row r="26" spans="1:42" ht="11.25" customHeight="1" x14ac:dyDescent="0.25">
      <c r="A26" s="109"/>
      <c r="B26" s="109"/>
      <c r="C26" s="109"/>
      <c r="D26" s="51" t="s">
        <v>30</v>
      </c>
      <c r="E26" s="51" t="s">
        <v>25</v>
      </c>
      <c r="F26" s="51" t="s">
        <v>25</v>
      </c>
      <c r="G26" s="52" t="s">
        <v>88</v>
      </c>
      <c r="H26" s="52" t="s">
        <v>82</v>
      </c>
      <c r="I26" s="52">
        <f>'MERCADO TUSD'!$U$23</f>
        <v>60.123000000000005</v>
      </c>
      <c r="J26" s="15"/>
      <c r="L26" s="48">
        <f>'TR TUSD'!$L$26*'TR TUSD'!$L$64</f>
        <v>0</v>
      </c>
      <c r="M26" s="48">
        <f>'TR TUSD'!$M$26*'TR TUSD'!$M$64</f>
        <v>0.88097247687369962</v>
      </c>
      <c r="N26" s="48">
        <f ca="1">'TR TUSD'!$N$26*'TR TUSD'!$N$64</f>
        <v>0</v>
      </c>
      <c r="O26" s="48">
        <f>'TR TUSD'!$O$26*'TR TUSD'!$O$64</f>
        <v>0</v>
      </c>
      <c r="P26" s="48">
        <f>'TR TUSD'!$P$26*'TR TUSD'!$P$64</f>
        <v>0</v>
      </c>
      <c r="Q26" s="48">
        <f>'TR TUSD'!$Q$26*'TR TUSD'!$Q$64</f>
        <v>0</v>
      </c>
      <c r="R26" s="48">
        <f>'TR TUSD'!$R$26*'TR TUSD'!$R$64</f>
        <v>0</v>
      </c>
      <c r="S26" s="48">
        <f>'TR TUSD'!$S$26*'TR TUSD'!$S$64</f>
        <v>0</v>
      </c>
      <c r="T26" s="48">
        <f ca="1">SUM($L$26:$S$26)</f>
        <v>0.88097247687369962</v>
      </c>
      <c r="U26" s="48">
        <f>'TR TUSD'!$U$26*'TR TUSD'!$U$64</f>
        <v>10.240820133795721</v>
      </c>
      <c r="V26" s="48">
        <f>'TR TUSD'!$V$26*'TR TUSD'!$V$64</f>
        <v>10.619293289672299</v>
      </c>
      <c r="W26" s="48">
        <f>'TR TUSD'!$W$26*'TR TUSD'!$W$64</f>
        <v>2.7486599004283971</v>
      </c>
      <c r="X26" s="48">
        <f>'TR TUSD'!$X$26*'TR TUSD'!$X$64</f>
        <v>0</v>
      </c>
      <c r="Y26" s="48">
        <f>'TR TUSD'!$Y$26*'TR TUSD'!$Y$64</f>
        <v>76.301468740158711</v>
      </c>
      <c r="Z26" s="48">
        <f>'TR TUSD'!$Z$26</f>
        <v>0</v>
      </c>
      <c r="AA26" s="48">
        <f>'TR TUSD'!$AA$26</f>
        <v>0</v>
      </c>
      <c r="AB26" s="48">
        <f>SUM($U$26:$AA$26)</f>
        <v>99.910242064055126</v>
      </c>
      <c r="AC26" s="48">
        <f>'TR TUSD'!$AC$26*'TR TUSD'!$AC$64</f>
        <v>183.57073061115727</v>
      </c>
      <c r="AD26" s="48">
        <f>SUM($AC$26:$AC$26)</f>
        <v>183.57073061115727</v>
      </c>
      <c r="AE26" s="48">
        <v>0</v>
      </c>
      <c r="AF26" s="48">
        <v>0</v>
      </c>
      <c r="AG26" s="48">
        <f>SUM($AE$26:$AF$26)</f>
        <v>0</v>
      </c>
      <c r="AH26" s="48">
        <f>'TR TUSD'!$AH$26*'TR TUSD'!$AH$64</f>
        <v>17.244523675929702</v>
      </c>
      <c r="AI26" s="48">
        <f>'TR TUSD'!$AI$26*'TR TUSD'!$AI$64</f>
        <v>0.44320301471941753</v>
      </c>
      <c r="AJ26" s="48">
        <f ca="1">'TR TUSD'!$AJ$26*'TR TUSD'!$AJ$64</f>
        <v>0</v>
      </c>
      <c r="AK26" s="48">
        <f ca="1">'TR TUSD'!$AK$26*'TR TUSD'!$AK$64</f>
        <v>0</v>
      </c>
      <c r="AL26" s="48">
        <f ca="1">SUM($AH$26:$AK$26)</f>
        <v>17.687726690649122</v>
      </c>
      <c r="AM26" s="48">
        <f ca="1">SUMIF($L$4:$AL$4,"SUBTOTAL",$L$26:$AL$26)</f>
        <v>302.04967184273522</v>
      </c>
      <c r="AP26" s="48">
        <f>IF((1 - CUSTOS!$M$25)&lt;&gt;0,1/(1 - CUSTOS!$M$25),1)</f>
        <v>1</v>
      </c>
    </row>
    <row r="27" spans="1:42" ht="11.25" customHeight="1" x14ac:dyDescent="0.25">
      <c r="A27" s="109"/>
      <c r="B27" s="109"/>
      <c r="C27" s="109"/>
      <c r="D27" s="51" t="s">
        <v>31</v>
      </c>
      <c r="E27" s="51" t="s">
        <v>25</v>
      </c>
      <c r="F27" s="51" t="s">
        <v>25</v>
      </c>
      <c r="G27" s="52" t="s">
        <v>88</v>
      </c>
      <c r="H27" s="52" t="s">
        <v>82</v>
      </c>
      <c r="I27" s="52">
        <f>'MERCADO TUSD'!$U$24</f>
        <v>463.43299999999999</v>
      </c>
      <c r="J27" s="15"/>
      <c r="L27" s="48">
        <f>'TR TUSD'!$L$27*'TR TUSD'!$L$64</f>
        <v>0</v>
      </c>
      <c r="M27" s="48">
        <f>'TR TUSD'!$M$27*'TR TUSD'!$M$64</f>
        <v>0.88097247687369962</v>
      </c>
      <c r="N27" s="48">
        <f ca="1">'TR TUSD'!$N$27*'TR TUSD'!$N$64</f>
        <v>0</v>
      </c>
      <c r="O27" s="48">
        <f>'TR TUSD'!$O$27*'TR TUSD'!$O$64</f>
        <v>0</v>
      </c>
      <c r="P27" s="48">
        <f>'TR TUSD'!$P$27*'TR TUSD'!$P$64</f>
        <v>0</v>
      </c>
      <c r="Q27" s="48">
        <f>'TR TUSD'!$Q$27*'TR TUSD'!$Q$64</f>
        <v>0</v>
      </c>
      <c r="R27" s="48">
        <f>'TR TUSD'!$R$27*'TR TUSD'!$R$64</f>
        <v>0</v>
      </c>
      <c r="S27" s="48">
        <f>'TR TUSD'!$S$27*'TR TUSD'!$S$64</f>
        <v>0</v>
      </c>
      <c r="T27" s="48">
        <f ca="1">SUM($L$27:$S$27)</f>
        <v>0.88097247687369962</v>
      </c>
      <c r="U27" s="48">
        <f>'TR TUSD'!$U$27*'TR TUSD'!$U$64</f>
        <v>10.240820133795721</v>
      </c>
      <c r="V27" s="48">
        <f>'TR TUSD'!$V$27*'TR TUSD'!$V$64</f>
        <v>10.619293289672299</v>
      </c>
      <c r="W27" s="48">
        <f>'TR TUSD'!$W$27*'TR TUSD'!$W$64</f>
        <v>2.7486599004283971</v>
      </c>
      <c r="X27" s="48">
        <f>'TR TUSD'!$X$27*'TR TUSD'!$X$64</f>
        <v>0</v>
      </c>
      <c r="Y27" s="48">
        <f>'TR TUSD'!$Y$27*'TR TUSD'!$Y$64</f>
        <v>76.301468740158711</v>
      </c>
      <c r="Z27" s="48">
        <f>'TR TUSD'!$Z$27</f>
        <v>0</v>
      </c>
      <c r="AA27" s="48">
        <f>'TR TUSD'!$AA$27</f>
        <v>0</v>
      </c>
      <c r="AB27" s="48">
        <f>SUM($U$27:$AA$27)</f>
        <v>99.910242064055126</v>
      </c>
      <c r="AC27" s="48">
        <f>'TR TUSD'!$AC$27*'TR TUSD'!$AC$64</f>
        <v>183.57073061115727</v>
      </c>
      <c r="AD27" s="48">
        <f>SUM($AC$27:$AC$27)</f>
        <v>183.57073061115727</v>
      </c>
      <c r="AE27" s="48">
        <v>0</v>
      </c>
      <c r="AF27" s="48">
        <v>0</v>
      </c>
      <c r="AG27" s="48">
        <f>SUM($AE$27:$AF$27)</f>
        <v>0</v>
      </c>
      <c r="AH27" s="48">
        <f>'TR TUSD'!$AH$27*'TR TUSD'!$AH$64</f>
        <v>17.244523675929702</v>
      </c>
      <c r="AI27" s="48">
        <f>'TR TUSD'!$AI$27*'TR TUSD'!$AI$64</f>
        <v>0.44320301471941753</v>
      </c>
      <c r="AJ27" s="48">
        <f ca="1">'TR TUSD'!$AJ$27*'TR TUSD'!$AJ$64</f>
        <v>0</v>
      </c>
      <c r="AK27" s="48">
        <f ca="1">'TR TUSD'!$AK$27*'TR TUSD'!$AK$64</f>
        <v>0</v>
      </c>
      <c r="AL27" s="48">
        <f ca="1">SUM($AH$27:$AK$27)</f>
        <v>17.687726690649122</v>
      </c>
      <c r="AM27" s="48">
        <f ca="1">SUMIF($L$4:$AL$4,"SUBTOTAL",$L$27:$AL$27)</f>
        <v>302.04967184273522</v>
      </c>
      <c r="AP27" s="48">
        <f>IF((1 - CUSTOS!$M$26)&lt;&gt;0,1/(1 - CUSTOS!$M$26),1)</f>
        <v>1</v>
      </c>
    </row>
    <row r="28" spans="1:42" ht="11.25" customHeight="1" x14ac:dyDescent="0.25">
      <c r="A28" s="109"/>
      <c r="B28" s="109"/>
      <c r="C28" s="109"/>
      <c r="D28" s="51" t="s">
        <v>32</v>
      </c>
      <c r="E28" s="51" t="s">
        <v>25</v>
      </c>
      <c r="F28" s="51" t="s">
        <v>25</v>
      </c>
      <c r="G28" s="52" t="s">
        <v>88</v>
      </c>
      <c r="H28" s="52" t="s">
        <v>82</v>
      </c>
      <c r="I28" s="52">
        <f>'MERCADO TUSD'!$U$25</f>
        <v>303.64100000000002</v>
      </c>
      <c r="J28" s="15"/>
      <c r="L28" s="48">
        <f>'TR TUSD'!$L$28*'TR TUSD'!$L$64</f>
        <v>0</v>
      </c>
      <c r="M28" s="48">
        <f>'TR TUSD'!$M$28*'TR TUSD'!$M$64</f>
        <v>0.88097247687369962</v>
      </c>
      <c r="N28" s="48">
        <f ca="1">'TR TUSD'!$N$28*'TR TUSD'!$N$64</f>
        <v>0</v>
      </c>
      <c r="O28" s="48">
        <f>'TR TUSD'!$O$28*'TR TUSD'!$O$64</f>
        <v>0</v>
      </c>
      <c r="P28" s="48">
        <f>'TR TUSD'!$P$28*'TR TUSD'!$P$64</f>
        <v>0</v>
      </c>
      <c r="Q28" s="48">
        <f>'TR TUSD'!$Q$28*'TR TUSD'!$Q$64</f>
        <v>0</v>
      </c>
      <c r="R28" s="48">
        <f>'TR TUSD'!$R$28*'TR TUSD'!$R$64</f>
        <v>0</v>
      </c>
      <c r="S28" s="48">
        <f>'TR TUSD'!$S$28*'TR TUSD'!$S$64</f>
        <v>0</v>
      </c>
      <c r="T28" s="48">
        <f ca="1">SUM($L$28:$S$28)</f>
        <v>0.88097247687369962</v>
      </c>
      <c r="U28" s="48">
        <f>'TR TUSD'!$U$28*'TR TUSD'!$U$64</f>
        <v>10.240820133795721</v>
      </c>
      <c r="V28" s="48">
        <f>'TR TUSD'!$V$28*'TR TUSD'!$V$64</f>
        <v>10.619293289672299</v>
      </c>
      <c r="W28" s="48">
        <f>'TR TUSD'!$W$28*'TR TUSD'!$W$64</f>
        <v>2.7486599004283971</v>
      </c>
      <c r="X28" s="48">
        <f>'TR TUSD'!$X$28*'TR TUSD'!$X$64</f>
        <v>0</v>
      </c>
      <c r="Y28" s="48">
        <f>'TR TUSD'!$Y$28*'TR TUSD'!$Y$64</f>
        <v>76.301468740158711</v>
      </c>
      <c r="Z28" s="48">
        <f>'TR TUSD'!$Z$28</f>
        <v>0</v>
      </c>
      <c r="AA28" s="48">
        <f>'TR TUSD'!$AA$28</f>
        <v>0</v>
      </c>
      <c r="AB28" s="48">
        <f>SUM($U$28:$AA$28)</f>
        <v>99.910242064055126</v>
      </c>
      <c r="AC28" s="48">
        <f>'TR TUSD'!$AC$28*'TR TUSD'!$AC$64</f>
        <v>183.57073061115727</v>
      </c>
      <c r="AD28" s="48">
        <f>SUM($AC$28:$AC$28)</f>
        <v>183.57073061115727</v>
      </c>
      <c r="AE28" s="48">
        <v>0</v>
      </c>
      <c r="AF28" s="48">
        <v>0</v>
      </c>
      <c r="AG28" s="48">
        <f>SUM($AE$28:$AF$28)</f>
        <v>0</v>
      </c>
      <c r="AH28" s="48">
        <f>'TR TUSD'!$AH$28*'TR TUSD'!$AH$64</f>
        <v>17.244523675929702</v>
      </c>
      <c r="AI28" s="48">
        <f>'TR TUSD'!$AI$28*'TR TUSD'!$AI$64</f>
        <v>0.44320301471941753</v>
      </c>
      <c r="AJ28" s="48">
        <f ca="1">'TR TUSD'!$AJ$28*'TR TUSD'!$AJ$64</f>
        <v>0</v>
      </c>
      <c r="AK28" s="48">
        <f ca="1">'TR TUSD'!$AK$28*'TR TUSD'!$AK$64</f>
        <v>0</v>
      </c>
      <c r="AL28" s="48">
        <f ca="1">SUM($AH$28:$AK$28)</f>
        <v>17.687726690649122</v>
      </c>
      <c r="AM28" s="48">
        <f ca="1">SUMIF($L$4:$AL$4,"SUBTOTAL",$L$28:$AL$28)</f>
        <v>302.04967184273522</v>
      </c>
      <c r="AP28" s="48">
        <f>IF((1 - CUSTOS!$M$27)&lt;&gt;0,1/(1 - CUSTOS!$M$27),1)</f>
        <v>1</v>
      </c>
    </row>
    <row r="29" spans="1:42" ht="11.25" customHeight="1" x14ac:dyDescent="0.25">
      <c r="A29" s="109"/>
      <c r="B29" s="109" t="s">
        <v>97</v>
      </c>
      <c r="C29" s="109" t="s">
        <v>24</v>
      </c>
      <c r="D29" s="51" t="s">
        <v>24</v>
      </c>
      <c r="E29" s="51" t="s">
        <v>25</v>
      </c>
      <c r="F29" s="51" t="s">
        <v>25</v>
      </c>
      <c r="G29" s="52" t="s">
        <v>88</v>
      </c>
      <c r="H29" s="52" t="s">
        <v>82</v>
      </c>
      <c r="I29" s="52">
        <f>'MERCADO TUSD'!$U$26</f>
        <v>0</v>
      </c>
      <c r="J29" s="15"/>
      <c r="L29" s="48">
        <f>'TR TUSD'!$L$29*'TR TUSD'!$L$64</f>
        <v>0</v>
      </c>
      <c r="M29" s="48">
        <f>'TR TUSD'!$M$29*'TR TUSD'!$M$64</f>
        <v>0.88097247687369962</v>
      </c>
      <c r="N29" s="48">
        <f ca="1">'TR TUSD'!$N$29*'TR TUSD'!$N$64</f>
        <v>0</v>
      </c>
      <c r="O29" s="48">
        <f>'TR TUSD'!$O$29*'TR TUSD'!$O$64</f>
        <v>0</v>
      </c>
      <c r="P29" s="48">
        <f>'TR TUSD'!$P$29*'TR TUSD'!$P$64</f>
        <v>0</v>
      </c>
      <c r="Q29" s="48">
        <f>'TR TUSD'!$Q$29*'TR TUSD'!$Q$64</f>
        <v>89.927945308394882</v>
      </c>
      <c r="R29" s="48">
        <f>'TR TUSD'!$R$29*'TR TUSD'!$R$64</f>
        <v>14.212577937026817</v>
      </c>
      <c r="S29" s="48">
        <f>'TR TUSD'!$S$29*'TR TUSD'!$S$64</f>
        <v>0</v>
      </c>
      <c r="T29" s="48">
        <f ca="1">SUM($L$29:$S$29)</f>
        <v>105.0214957222954</v>
      </c>
      <c r="U29" s="48">
        <f>'TR TUSD'!$U$29*'TR TUSD'!$U$64</f>
        <v>10.240820133795721</v>
      </c>
      <c r="V29" s="48">
        <f>'TR TUSD'!$V$29*'TR TUSD'!$V$64</f>
        <v>10.619293289672299</v>
      </c>
      <c r="W29" s="48">
        <f>'TR TUSD'!$W$29*'TR TUSD'!$W$64</f>
        <v>2.7486599004283971</v>
      </c>
      <c r="X29" s="48">
        <f>'TR TUSD'!$X$29*'TR TUSD'!$X$64</f>
        <v>0</v>
      </c>
      <c r="Y29" s="48">
        <f>'TR TUSD'!$Y$29*'TR TUSD'!$Y$64</f>
        <v>76.301468740158711</v>
      </c>
      <c r="Z29" s="48">
        <f>'TR TUSD'!$Z$29</f>
        <v>0</v>
      </c>
      <c r="AA29" s="48">
        <f>'TR TUSD'!$AA$29</f>
        <v>0</v>
      </c>
      <c r="AB29" s="48">
        <f>SUM($U$29:$AA$29)</f>
        <v>99.910242064055126</v>
      </c>
      <c r="AC29" s="48">
        <f>'TR TUSD'!$AC$29*'TR TUSD'!$AC$64</f>
        <v>183.57073061115727</v>
      </c>
      <c r="AD29" s="48">
        <f>SUM($AC$29:$AC$29)</f>
        <v>183.57073061115727</v>
      </c>
      <c r="AE29" s="48">
        <v>0</v>
      </c>
      <c r="AF29" s="48">
        <v>0</v>
      </c>
      <c r="AG29" s="48">
        <f>SUM($AE$29:$AF$29)</f>
        <v>0</v>
      </c>
      <c r="AH29" s="48">
        <f>'TR TUSD'!$AH$29*'TR TUSD'!$AH$64</f>
        <v>17.244523675929702</v>
      </c>
      <c r="AI29" s="48">
        <f>'TR TUSD'!$AI$29*'TR TUSD'!$AI$64</f>
        <v>0.44320301471941753</v>
      </c>
      <c r="AJ29" s="48">
        <f ca="1">'TR TUSD'!$AJ$29*'TR TUSD'!$AJ$64</f>
        <v>0</v>
      </c>
      <c r="AK29" s="48">
        <f ca="1">'TR TUSD'!$AK$29*'TR TUSD'!$AK$64</f>
        <v>0</v>
      </c>
      <c r="AL29" s="48">
        <f ca="1">SUM($AH$29:$AK$29)</f>
        <v>17.687726690649122</v>
      </c>
      <c r="AM29" s="48">
        <f ca="1">SUMIF($L$4:$AL$4,"SUBTOTAL",$L$29:$AL$29)</f>
        <v>406.19019508815694</v>
      </c>
      <c r="AP29" s="48">
        <v>1</v>
      </c>
    </row>
    <row r="30" spans="1:42" ht="11.25" customHeight="1" x14ac:dyDescent="0.25">
      <c r="A30" s="109"/>
      <c r="B30" s="109"/>
      <c r="C30" s="109"/>
      <c r="D30" s="51" t="s">
        <v>29</v>
      </c>
      <c r="E30" s="51" t="s">
        <v>25</v>
      </c>
      <c r="F30" s="51" t="s">
        <v>25</v>
      </c>
      <c r="G30" s="52" t="s">
        <v>88</v>
      </c>
      <c r="H30" s="52" t="s">
        <v>82</v>
      </c>
      <c r="I30" s="52">
        <f>'MERCADO TUSD'!$U$27</f>
        <v>0</v>
      </c>
      <c r="J30" s="15"/>
      <c r="L30" s="48">
        <f>'TR TUSD'!$L$30*'TR TUSD'!$L$64</f>
        <v>0</v>
      </c>
      <c r="M30" s="48">
        <f>'TR TUSD'!$M$30*'TR TUSD'!$M$64</f>
        <v>0.88097247687369962</v>
      </c>
      <c r="N30" s="48">
        <f ca="1">'TR TUSD'!$N$30*'TR TUSD'!$N$64</f>
        <v>0</v>
      </c>
      <c r="O30" s="48">
        <f>'TR TUSD'!$O$30*'TR TUSD'!$O$64</f>
        <v>0</v>
      </c>
      <c r="P30" s="48">
        <f>'TR TUSD'!$P$30*'TR TUSD'!$P$64</f>
        <v>0</v>
      </c>
      <c r="Q30" s="48">
        <f>'TR TUSD'!$Q$30*'TR TUSD'!$Q$64</f>
        <v>0</v>
      </c>
      <c r="R30" s="48">
        <f>'TR TUSD'!$R$30*'TR TUSD'!$R$64</f>
        <v>0</v>
      </c>
      <c r="S30" s="48">
        <f>'TR TUSD'!$S$30*'TR TUSD'!$S$64</f>
        <v>0</v>
      </c>
      <c r="T30" s="48">
        <f ca="1">SUM($L$30:$S$30)</f>
        <v>0.88097247687369962</v>
      </c>
      <c r="U30" s="48">
        <f>'TR TUSD'!$U$30*'TR TUSD'!$U$64</f>
        <v>10.240820133795721</v>
      </c>
      <c r="V30" s="48">
        <f>'TR TUSD'!$V$30*'TR TUSD'!$V$64</f>
        <v>10.619293289672299</v>
      </c>
      <c r="W30" s="48">
        <f>'TR TUSD'!$W$30*'TR TUSD'!$W$64</f>
        <v>2.7486599004283971</v>
      </c>
      <c r="X30" s="48">
        <f>'TR TUSD'!$X$30*'TR TUSD'!$X$64</f>
        <v>0</v>
      </c>
      <c r="Y30" s="48">
        <f>'TR TUSD'!$Y$30*'TR TUSD'!$Y$64</f>
        <v>76.301468740158711</v>
      </c>
      <c r="Z30" s="48">
        <f>'TR TUSD'!$Z$30</f>
        <v>0</v>
      </c>
      <c r="AA30" s="48">
        <f>'TR TUSD'!$AA$30</f>
        <v>0</v>
      </c>
      <c r="AB30" s="48">
        <f>SUM($U$30:$AA$30)</f>
        <v>99.910242064055126</v>
      </c>
      <c r="AC30" s="48">
        <f>'TR TUSD'!$AC$30*'TR TUSD'!$AC$64</f>
        <v>183.57073061115727</v>
      </c>
      <c r="AD30" s="48">
        <f>SUM($AC$30:$AC$30)</f>
        <v>183.57073061115727</v>
      </c>
      <c r="AE30" s="48">
        <v>0</v>
      </c>
      <c r="AF30" s="48">
        <v>0</v>
      </c>
      <c r="AG30" s="48">
        <f>SUM($AE$30:$AF$30)</f>
        <v>0</v>
      </c>
      <c r="AH30" s="48">
        <f>'TR TUSD'!$AH$30*'TR TUSD'!$AH$64</f>
        <v>17.244523675929702</v>
      </c>
      <c r="AI30" s="48">
        <f>'TR TUSD'!$AI$30*'TR TUSD'!$AI$64</f>
        <v>0.44320301471941753</v>
      </c>
      <c r="AJ30" s="48">
        <f ca="1">'TR TUSD'!$AJ$30*'TR TUSD'!$AJ$64</f>
        <v>0</v>
      </c>
      <c r="AK30" s="48">
        <f ca="1">'TR TUSD'!$AK$30*'TR TUSD'!$AK$64</f>
        <v>0</v>
      </c>
      <c r="AL30" s="48">
        <f ca="1">SUM($AH$30:$AK$30)</f>
        <v>17.687726690649122</v>
      </c>
      <c r="AM30" s="48">
        <f ca="1">SUMIF($L$4:$AL$4,"SUBTOTAL",$L$30:$AL$30)</f>
        <v>302.04967184273522</v>
      </c>
      <c r="AP30" s="48">
        <f>IF((1 - CUSTOS!$M$24)&lt;&gt;0,1/(1 - CUSTOS!$M$24),1)</f>
        <v>1</v>
      </c>
    </row>
    <row r="31" spans="1:42" ht="11.25" customHeight="1" x14ac:dyDescent="0.25">
      <c r="A31" s="109"/>
      <c r="B31" s="109"/>
      <c r="C31" s="109"/>
      <c r="D31" s="51" t="s">
        <v>30</v>
      </c>
      <c r="E31" s="51" t="s">
        <v>25</v>
      </c>
      <c r="F31" s="51" t="s">
        <v>25</v>
      </c>
      <c r="G31" s="52" t="s">
        <v>88</v>
      </c>
      <c r="H31" s="52" t="s">
        <v>82</v>
      </c>
      <c r="I31" s="52">
        <f>'MERCADO TUSD'!$U$28</f>
        <v>0</v>
      </c>
      <c r="J31" s="15"/>
      <c r="L31" s="48">
        <f>'TR TUSD'!$L$31*'TR TUSD'!$L$64</f>
        <v>0</v>
      </c>
      <c r="M31" s="48">
        <f>'TR TUSD'!$M$31*'TR TUSD'!$M$64</f>
        <v>0.88097247687369962</v>
      </c>
      <c r="N31" s="48">
        <f ca="1">'TR TUSD'!$N$31*'TR TUSD'!$N$64</f>
        <v>0</v>
      </c>
      <c r="O31" s="48">
        <f>'TR TUSD'!$O$31*'TR TUSD'!$O$64</f>
        <v>0</v>
      </c>
      <c r="P31" s="48">
        <f>'TR TUSD'!$P$31*'TR TUSD'!$P$64</f>
        <v>0</v>
      </c>
      <c r="Q31" s="48">
        <f>'TR TUSD'!$Q$31*'TR TUSD'!$Q$64</f>
        <v>0</v>
      </c>
      <c r="R31" s="48">
        <f>'TR TUSD'!$R$31*'TR TUSD'!$R$64</f>
        <v>0</v>
      </c>
      <c r="S31" s="48">
        <f>'TR TUSD'!$S$31*'TR TUSD'!$S$64</f>
        <v>0</v>
      </c>
      <c r="T31" s="48">
        <f ca="1">SUM($L$31:$S$31)</f>
        <v>0.88097247687369962</v>
      </c>
      <c r="U31" s="48">
        <f>'TR TUSD'!$U$31*'TR TUSD'!$U$64</f>
        <v>10.240820133795721</v>
      </c>
      <c r="V31" s="48">
        <f>'TR TUSD'!$V$31*'TR TUSD'!$V$64</f>
        <v>10.619293289672299</v>
      </c>
      <c r="W31" s="48">
        <f>'TR TUSD'!$W$31*'TR TUSD'!$W$64</f>
        <v>2.7486599004283971</v>
      </c>
      <c r="X31" s="48">
        <f>'TR TUSD'!$X$31*'TR TUSD'!$X$64</f>
        <v>0</v>
      </c>
      <c r="Y31" s="48">
        <f>'TR TUSD'!$Y$31*'TR TUSD'!$Y$64</f>
        <v>76.301468740158711</v>
      </c>
      <c r="Z31" s="48">
        <f>'TR TUSD'!$Z$31</f>
        <v>0</v>
      </c>
      <c r="AA31" s="48">
        <f>'TR TUSD'!$AA$31</f>
        <v>0</v>
      </c>
      <c r="AB31" s="48">
        <f>SUM($U$31:$AA$31)</f>
        <v>99.910242064055126</v>
      </c>
      <c r="AC31" s="48">
        <f>'TR TUSD'!$AC$31*'TR TUSD'!$AC$64</f>
        <v>183.57073061115727</v>
      </c>
      <c r="AD31" s="48">
        <f>SUM($AC$31:$AC$31)</f>
        <v>183.57073061115727</v>
      </c>
      <c r="AE31" s="48">
        <v>0</v>
      </c>
      <c r="AF31" s="48">
        <v>0</v>
      </c>
      <c r="AG31" s="48">
        <f>SUM($AE$31:$AF$31)</f>
        <v>0</v>
      </c>
      <c r="AH31" s="48">
        <f>'TR TUSD'!$AH$31*'TR TUSD'!$AH$64</f>
        <v>17.244523675929702</v>
      </c>
      <c r="AI31" s="48">
        <f>'TR TUSD'!$AI$31*'TR TUSD'!$AI$64</f>
        <v>0.44320301471941753</v>
      </c>
      <c r="AJ31" s="48">
        <f ca="1">'TR TUSD'!$AJ$31*'TR TUSD'!$AJ$64</f>
        <v>0</v>
      </c>
      <c r="AK31" s="48">
        <f ca="1">'TR TUSD'!$AK$31*'TR TUSD'!$AK$64</f>
        <v>0</v>
      </c>
      <c r="AL31" s="48">
        <f ca="1">SUM($AH$31:$AK$31)</f>
        <v>17.687726690649122</v>
      </c>
      <c r="AM31" s="48">
        <f ca="1">SUMIF($L$4:$AL$4,"SUBTOTAL",$L$31:$AL$31)</f>
        <v>302.04967184273522</v>
      </c>
      <c r="AP31" s="48">
        <f>IF((1 - CUSTOS!$M$25)&lt;&gt;0,1/(1 - CUSTOS!$M$25),1)</f>
        <v>1</v>
      </c>
    </row>
    <row r="32" spans="1:42" ht="11.25" customHeight="1" x14ac:dyDescent="0.25">
      <c r="A32" s="109"/>
      <c r="B32" s="109"/>
      <c r="C32" s="109"/>
      <c r="D32" s="51" t="s">
        <v>31</v>
      </c>
      <c r="E32" s="51" t="s">
        <v>25</v>
      </c>
      <c r="F32" s="51" t="s">
        <v>25</v>
      </c>
      <c r="G32" s="52" t="s">
        <v>88</v>
      </c>
      <c r="H32" s="52" t="s">
        <v>82</v>
      </c>
      <c r="I32" s="52">
        <f>'MERCADO TUSD'!$U$29</f>
        <v>0</v>
      </c>
      <c r="J32" s="15"/>
      <c r="L32" s="48">
        <f>'TR TUSD'!$L$32*'TR TUSD'!$L$64</f>
        <v>0</v>
      </c>
      <c r="M32" s="48">
        <f>'TR TUSD'!$M$32*'TR TUSD'!$M$64</f>
        <v>0.88097247687369962</v>
      </c>
      <c r="N32" s="48">
        <f ca="1">'TR TUSD'!$N$32*'TR TUSD'!$N$64</f>
        <v>0</v>
      </c>
      <c r="O32" s="48">
        <f>'TR TUSD'!$O$32*'TR TUSD'!$O$64</f>
        <v>0</v>
      </c>
      <c r="P32" s="48">
        <f>'TR TUSD'!$P$32*'TR TUSD'!$P$64</f>
        <v>0</v>
      </c>
      <c r="Q32" s="48">
        <f>'TR TUSD'!$Q$32*'TR TUSD'!$Q$64</f>
        <v>0</v>
      </c>
      <c r="R32" s="48">
        <f>'TR TUSD'!$R$32*'TR TUSD'!$R$64</f>
        <v>0</v>
      </c>
      <c r="S32" s="48">
        <f>'TR TUSD'!$S$32*'TR TUSD'!$S$64</f>
        <v>0</v>
      </c>
      <c r="T32" s="48">
        <f ca="1">SUM($L$32:$S$32)</f>
        <v>0.88097247687369962</v>
      </c>
      <c r="U32" s="48">
        <f>'TR TUSD'!$U$32*'TR TUSD'!$U$64</f>
        <v>10.240820133795721</v>
      </c>
      <c r="V32" s="48">
        <f>'TR TUSD'!$V$32*'TR TUSD'!$V$64</f>
        <v>10.619293289672299</v>
      </c>
      <c r="W32" s="48">
        <f>'TR TUSD'!$W$32*'TR TUSD'!$W$64</f>
        <v>2.7486599004283971</v>
      </c>
      <c r="X32" s="48">
        <f>'TR TUSD'!$X$32*'TR TUSD'!$X$64</f>
        <v>0</v>
      </c>
      <c r="Y32" s="48">
        <f>'TR TUSD'!$Y$32*'TR TUSD'!$Y$64</f>
        <v>76.301468740158711</v>
      </c>
      <c r="Z32" s="48">
        <f>'TR TUSD'!$Z$32</f>
        <v>0</v>
      </c>
      <c r="AA32" s="48">
        <f>'TR TUSD'!$AA$32</f>
        <v>0</v>
      </c>
      <c r="AB32" s="48">
        <f>SUM($U$32:$AA$32)</f>
        <v>99.910242064055126</v>
      </c>
      <c r="AC32" s="48">
        <f>'TR TUSD'!$AC$32*'TR TUSD'!$AC$64</f>
        <v>183.57073061115727</v>
      </c>
      <c r="AD32" s="48">
        <f>SUM($AC$32:$AC$32)</f>
        <v>183.57073061115727</v>
      </c>
      <c r="AE32" s="48">
        <v>0</v>
      </c>
      <c r="AF32" s="48">
        <v>0</v>
      </c>
      <c r="AG32" s="48">
        <f>SUM($AE$32:$AF$32)</f>
        <v>0</v>
      </c>
      <c r="AH32" s="48">
        <f>'TR TUSD'!$AH$32*'TR TUSD'!$AH$64</f>
        <v>17.244523675929702</v>
      </c>
      <c r="AI32" s="48">
        <f>'TR TUSD'!$AI$32*'TR TUSD'!$AI$64</f>
        <v>0.44320301471941753</v>
      </c>
      <c r="AJ32" s="48">
        <f ca="1">'TR TUSD'!$AJ$32*'TR TUSD'!$AJ$64</f>
        <v>0</v>
      </c>
      <c r="AK32" s="48">
        <f ca="1">'TR TUSD'!$AK$32*'TR TUSD'!$AK$64</f>
        <v>0</v>
      </c>
      <c r="AL32" s="48">
        <f ca="1">SUM($AH$32:$AK$32)</f>
        <v>17.687726690649122</v>
      </c>
      <c r="AM32" s="48">
        <f ca="1">SUMIF($L$4:$AL$4,"SUBTOTAL",$L$32:$AL$32)</f>
        <v>302.04967184273522</v>
      </c>
      <c r="AP32" s="48">
        <f>IF((1 - CUSTOS!$M$26)&lt;&gt;0,1/(1 - CUSTOS!$M$26),1)</f>
        <v>1</v>
      </c>
    </row>
    <row r="33" spans="1:42" ht="11.25" customHeight="1" x14ac:dyDescent="0.25">
      <c r="A33" s="109"/>
      <c r="B33" s="109"/>
      <c r="C33" s="109"/>
      <c r="D33" s="51" t="s">
        <v>32</v>
      </c>
      <c r="E33" s="51" t="s">
        <v>25</v>
      </c>
      <c r="F33" s="51" t="s">
        <v>25</v>
      </c>
      <c r="G33" s="52" t="s">
        <v>88</v>
      </c>
      <c r="H33" s="52" t="s">
        <v>82</v>
      </c>
      <c r="I33" s="52">
        <f>'MERCADO TUSD'!$U$30</f>
        <v>0</v>
      </c>
      <c r="J33" s="15"/>
      <c r="L33" s="48">
        <f>'TR TUSD'!$L$33*'TR TUSD'!$L$64</f>
        <v>0</v>
      </c>
      <c r="M33" s="48">
        <f>'TR TUSD'!$M$33*'TR TUSD'!$M$64</f>
        <v>0.88097247687369962</v>
      </c>
      <c r="N33" s="48">
        <f ca="1">'TR TUSD'!$N$33*'TR TUSD'!$N$64</f>
        <v>0</v>
      </c>
      <c r="O33" s="48">
        <f>'TR TUSD'!$O$33*'TR TUSD'!$O$64</f>
        <v>0</v>
      </c>
      <c r="P33" s="48">
        <f>'TR TUSD'!$P$33*'TR TUSD'!$P$64</f>
        <v>0</v>
      </c>
      <c r="Q33" s="48">
        <f>'TR TUSD'!$Q$33*'TR TUSD'!$Q$64</f>
        <v>0</v>
      </c>
      <c r="R33" s="48">
        <f>'TR TUSD'!$R$33*'TR TUSD'!$R$64</f>
        <v>0</v>
      </c>
      <c r="S33" s="48">
        <f>'TR TUSD'!$S$33*'TR TUSD'!$S$64</f>
        <v>0</v>
      </c>
      <c r="T33" s="48">
        <f ca="1">SUM($L$33:$S$33)</f>
        <v>0.88097247687369962</v>
      </c>
      <c r="U33" s="48">
        <f>'TR TUSD'!$U$33*'TR TUSD'!$U$64</f>
        <v>10.240820133795721</v>
      </c>
      <c r="V33" s="48">
        <f>'TR TUSD'!$V$33*'TR TUSD'!$V$64</f>
        <v>10.619293289672299</v>
      </c>
      <c r="W33" s="48">
        <f>'TR TUSD'!$W$33*'TR TUSD'!$W$64</f>
        <v>2.7486599004283971</v>
      </c>
      <c r="X33" s="48">
        <f>'TR TUSD'!$X$33*'TR TUSD'!$X$64</f>
        <v>0</v>
      </c>
      <c r="Y33" s="48">
        <f>'TR TUSD'!$Y$33*'TR TUSD'!$Y$64</f>
        <v>76.301468740158711</v>
      </c>
      <c r="Z33" s="48">
        <f>'TR TUSD'!$Z$33</f>
        <v>0</v>
      </c>
      <c r="AA33" s="48">
        <f>'TR TUSD'!$AA$33</f>
        <v>0</v>
      </c>
      <c r="AB33" s="48">
        <f>SUM($U$33:$AA$33)</f>
        <v>99.910242064055126</v>
      </c>
      <c r="AC33" s="48">
        <f>'TR TUSD'!$AC$33*'TR TUSD'!$AC$64</f>
        <v>183.57073061115727</v>
      </c>
      <c r="AD33" s="48">
        <f>SUM($AC$33:$AC$33)</f>
        <v>183.57073061115727</v>
      </c>
      <c r="AE33" s="48">
        <v>0</v>
      </c>
      <c r="AF33" s="48">
        <v>0</v>
      </c>
      <c r="AG33" s="48">
        <f>SUM($AE$33:$AF$33)</f>
        <v>0</v>
      </c>
      <c r="AH33" s="48">
        <f>'TR TUSD'!$AH$33*'TR TUSD'!$AH$64</f>
        <v>17.244523675929702</v>
      </c>
      <c r="AI33" s="48">
        <f>'TR TUSD'!$AI$33*'TR TUSD'!$AI$64</f>
        <v>0.44320301471941753</v>
      </c>
      <c r="AJ33" s="48">
        <f ca="1">'TR TUSD'!$AJ$33*'TR TUSD'!$AJ$64</f>
        <v>0</v>
      </c>
      <c r="AK33" s="48">
        <f ca="1">'TR TUSD'!$AK$33*'TR TUSD'!$AK$64</f>
        <v>0</v>
      </c>
      <c r="AL33" s="48">
        <f ca="1">SUM($AH$33:$AK$33)</f>
        <v>17.687726690649122</v>
      </c>
      <c r="AM33" s="48">
        <f ca="1">SUMIF($L$4:$AL$4,"SUBTOTAL",$L$33:$AL$33)</f>
        <v>302.04967184273522</v>
      </c>
      <c r="AP33" s="48">
        <f>IF((1 - CUSTOS!$M$27)&lt;&gt;0,1/(1 - CUSTOS!$M$27),1)</f>
        <v>1</v>
      </c>
    </row>
    <row r="34" spans="1:42" ht="11.25" customHeight="1" x14ac:dyDescent="0.25">
      <c r="A34" s="109" t="s">
        <v>41</v>
      </c>
      <c r="B34" s="109" t="s">
        <v>95</v>
      </c>
      <c r="C34" s="109" t="s">
        <v>42</v>
      </c>
      <c r="D34" s="109" t="s">
        <v>25</v>
      </c>
      <c r="E34" s="109" t="s">
        <v>25</v>
      </c>
      <c r="F34" s="109" t="s">
        <v>25</v>
      </c>
      <c r="G34" s="52" t="s">
        <v>83</v>
      </c>
      <c r="H34" s="52" t="s">
        <v>82</v>
      </c>
      <c r="I34" s="52">
        <f>'MERCADO TUSD'!$U$31</f>
        <v>0</v>
      </c>
      <c r="J34" s="15"/>
      <c r="L34" s="48">
        <f>'TR TUSD'!$L$34*'TR TUSD'!$L$64</f>
        <v>0</v>
      </c>
      <c r="M34" s="48">
        <f>'TR TUSD'!$M$34*'TR TUSD'!$M$64</f>
        <v>0.88097247687369962</v>
      </c>
      <c r="N34" s="48">
        <f ca="1">'TR TUSD'!$N$34*'TR TUSD'!$N$64</f>
        <v>0</v>
      </c>
      <c r="O34" s="48">
        <f>'TR TUSD'!$O$34*'TR TUSD'!$O$64</f>
        <v>0</v>
      </c>
      <c r="P34" s="48">
        <f>'TR TUSD'!$P$34*'TR TUSD'!$P$64</f>
        <v>0</v>
      </c>
      <c r="Q34" s="48">
        <f>'TR TUSD'!$Q$34*'TR TUSD'!$Q$64</f>
        <v>89.927945308394882</v>
      </c>
      <c r="R34" s="48">
        <f>'TR TUSD'!$R$34*'TR TUSD'!$R$64</f>
        <v>14.212577937026817</v>
      </c>
      <c r="S34" s="48">
        <f>'TR TUSD'!$S$34*'TR TUSD'!$S$64</f>
        <v>0</v>
      </c>
      <c r="T34" s="48">
        <f ca="1">SUM($L$34:$S$34)</f>
        <v>105.0214957222954</v>
      </c>
      <c r="U34" s="48">
        <f>'TR TUSD'!$U$34*'TR TUSD'!$U$64</f>
        <v>23.816020280759002</v>
      </c>
      <c r="V34" s="48">
        <f>'TR TUSD'!$V$34*'TR TUSD'!$V$64</f>
        <v>24.696030906214649</v>
      </c>
      <c r="W34" s="48">
        <f>'TR TUSD'!$W$34*'TR TUSD'!$W$64</f>
        <v>6.3923775495763788</v>
      </c>
      <c r="X34" s="48">
        <f>'TR TUSD'!$X$34*'TR TUSD'!$X$64</f>
        <v>0</v>
      </c>
      <c r="Y34" s="48">
        <f>'TR TUSD'!$Y$34*'TR TUSD'!$Y$64</f>
        <v>177.44682878767685</v>
      </c>
      <c r="Z34" s="48">
        <f>'TR TUSD'!$Z$34</f>
        <v>0</v>
      </c>
      <c r="AA34" s="48">
        <f>'TR TUSD'!$AA$34</f>
        <v>0</v>
      </c>
      <c r="AB34" s="48">
        <f>SUM($U$34:$AA$34)</f>
        <v>232.35125752422687</v>
      </c>
      <c r="AC34" s="48">
        <f>'TR TUSD'!$AC$34*'TR TUSD'!$AC$64</f>
        <v>426.91210946052905</v>
      </c>
      <c r="AD34" s="48">
        <f>SUM($AC$34:$AC$34)</f>
        <v>426.91210946052905</v>
      </c>
      <c r="AE34" s="48">
        <v>0</v>
      </c>
      <c r="AF34" s="48">
        <v>0</v>
      </c>
      <c r="AG34" s="48">
        <f>SUM($AE$34:$AF$34)</f>
        <v>0</v>
      </c>
      <c r="AH34" s="48">
        <f>'TR TUSD'!$AH$34*'TR TUSD'!$AH$64</f>
        <v>17.244523675929702</v>
      </c>
      <c r="AI34" s="48">
        <f>'TR TUSD'!$AI$34*'TR TUSD'!$AI$64</f>
        <v>0.44320301471941753</v>
      </c>
      <c r="AJ34" s="48">
        <f ca="1">'TR TUSD'!$AJ$34*'TR TUSD'!$AJ$64</f>
        <v>0</v>
      </c>
      <c r="AK34" s="48">
        <f ca="1">'TR TUSD'!$AK$34*'TR TUSD'!$AK$64</f>
        <v>0</v>
      </c>
      <c r="AL34" s="48">
        <f ca="1">SUM($AH$34:$AK$34)</f>
        <v>17.687726690649122</v>
      </c>
      <c r="AM34" s="48">
        <f ca="1">SUMIF($L$4:$AL$4,"SUBTOTAL",$L$34:$AL$34)</f>
        <v>781.97258939770052</v>
      </c>
      <c r="AP34" s="48">
        <f>IF((1 - CUSTOS!$M$28)&lt;&gt;0,1/(1 - CUSTOS!$M$28),1)</f>
        <v>1</v>
      </c>
    </row>
    <row r="35" spans="1:42" ht="11.25" customHeight="1" x14ac:dyDescent="0.25">
      <c r="A35" s="109"/>
      <c r="B35" s="109"/>
      <c r="C35" s="109"/>
      <c r="D35" s="109"/>
      <c r="E35" s="109"/>
      <c r="F35" s="109"/>
      <c r="G35" s="52" t="s">
        <v>94</v>
      </c>
      <c r="H35" s="52" t="s">
        <v>82</v>
      </c>
      <c r="I35" s="52">
        <f>'MERCADO TUSD'!$U$32</f>
        <v>0</v>
      </c>
      <c r="J35" s="15"/>
      <c r="L35" s="48">
        <f>'TR TUSD'!$L$35*'TR TUSD'!$L$64</f>
        <v>0</v>
      </c>
      <c r="M35" s="48">
        <f>'TR TUSD'!$M$35*'TR TUSD'!$M$64</f>
        <v>0.88097247687369962</v>
      </c>
      <c r="N35" s="48">
        <f ca="1">'TR TUSD'!$N$35*'TR TUSD'!$N$64</f>
        <v>0</v>
      </c>
      <c r="O35" s="48">
        <f>'TR TUSD'!$O$35*'TR TUSD'!$O$64</f>
        <v>0</v>
      </c>
      <c r="P35" s="48">
        <f>'TR TUSD'!$P$35*'TR TUSD'!$P$64</f>
        <v>0</v>
      </c>
      <c r="Q35" s="48">
        <f>'TR TUSD'!$Q$35*'TR TUSD'!$Q$64</f>
        <v>89.927945308394882</v>
      </c>
      <c r="R35" s="48">
        <f>'TR TUSD'!$R$35*'TR TUSD'!$R$64</f>
        <v>14.212577937026817</v>
      </c>
      <c r="S35" s="48">
        <f>'TR TUSD'!$S$35*'TR TUSD'!$S$64</f>
        <v>0</v>
      </c>
      <c r="T35" s="48">
        <f ca="1">SUM($L$35:$S$35)</f>
        <v>105.0214957222954</v>
      </c>
      <c r="U35" s="48">
        <f>'TR TUSD'!$U$35*'TR TUSD'!$U$64</f>
        <v>12.141469500478653</v>
      </c>
      <c r="V35" s="48">
        <f>'TR TUSD'!$V$35*'TR TUSD'!$V$64</f>
        <v>12.590265347555206</v>
      </c>
      <c r="W35" s="48">
        <f>'TR TUSD'!$W$35*'TR TUSD'!$W$64</f>
        <v>3.2591550466457879</v>
      </c>
      <c r="X35" s="48">
        <f>'TR TUSD'!$X$35*'TR TUSD'!$X$64</f>
        <v>0</v>
      </c>
      <c r="Y35" s="48">
        <f>'TR TUSD'!$Y$35*'TR TUSD'!$Y$64</f>
        <v>90.463143370277663</v>
      </c>
      <c r="Z35" s="48">
        <f>'TR TUSD'!$Z$35</f>
        <v>0</v>
      </c>
      <c r="AA35" s="48">
        <f>'TR TUSD'!$AA$35</f>
        <v>0</v>
      </c>
      <c r="AB35" s="48">
        <f>SUM($U$35:$AA$35)</f>
        <v>118.4540332649573</v>
      </c>
      <c r="AC35" s="48">
        <f>'TR TUSD'!$AC$35*'TR TUSD'!$AC$64</f>
        <v>217.64150377960459</v>
      </c>
      <c r="AD35" s="48">
        <f>SUM($AC$35:$AC$35)</f>
        <v>217.64150377960459</v>
      </c>
      <c r="AE35" s="48">
        <v>0</v>
      </c>
      <c r="AF35" s="48">
        <v>0</v>
      </c>
      <c r="AG35" s="48">
        <f>SUM($AE$35:$AF$35)</f>
        <v>0</v>
      </c>
      <c r="AH35" s="48">
        <f>'TR TUSD'!$AH$35*'TR TUSD'!$AH$64</f>
        <v>17.244523675929702</v>
      </c>
      <c r="AI35" s="48">
        <f>'TR TUSD'!$AI$35*'TR TUSD'!$AI$64</f>
        <v>0.44320301471941753</v>
      </c>
      <c r="AJ35" s="48">
        <f ca="1">'TR TUSD'!$AJ$35*'TR TUSD'!$AJ$64</f>
        <v>0</v>
      </c>
      <c r="AK35" s="48">
        <f ca="1">'TR TUSD'!$AK$35*'TR TUSD'!$AK$64</f>
        <v>0</v>
      </c>
      <c r="AL35" s="48">
        <f ca="1">SUM($AH$35:$AK$35)</f>
        <v>17.687726690649122</v>
      </c>
      <c r="AM35" s="48">
        <f ca="1">SUMIF($L$4:$AL$4,"SUBTOTAL",$L$35:$AL$35)</f>
        <v>458.80475945750641</v>
      </c>
      <c r="AP35" s="48">
        <f>IF((1 - CUSTOS!$M$28)&lt;&gt;0,1/(1 - CUSTOS!$M$28),1)</f>
        <v>1</v>
      </c>
    </row>
    <row r="36" spans="1:42" ht="11.25" customHeight="1" x14ac:dyDescent="0.25">
      <c r="A36" s="109"/>
      <c r="B36" s="109"/>
      <c r="C36" s="109"/>
      <c r="D36" s="109"/>
      <c r="E36" s="109"/>
      <c r="F36" s="109"/>
      <c r="G36" s="52" t="s">
        <v>84</v>
      </c>
      <c r="H36" s="52" t="s">
        <v>82</v>
      </c>
      <c r="I36" s="52">
        <f>'MERCADO TUSD'!$U$33</f>
        <v>0</v>
      </c>
      <c r="J36" s="15"/>
      <c r="L36" s="48">
        <f>'TR TUSD'!$L$36*'TR TUSD'!$L$64</f>
        <v>0</v>
      </c>
      <c r="M36" s="48">
        <f>'TR TUSD'!$M$36*'TR TUSD'!$M$64</f>
        <v>0.88097247687369962</v>
      </c>
      <c r="N36" s="48">
        <f ca="1">'TR TUSD'!$N$36*'TR TUSD'!$N$64</f>
        <v>0</v>
      </c>
      <c r="O36" s="48">
        <f>'TR TUSD'!$O$36*'TR TUSD'!$O$64</f>
        <v>0</v>
      </c>
      <c r="P36" s="48">
        <f>'TR TUSD'!$P$36*'TR TUSD'!$P$64</f>
        <v>0</v>
      </c>
      <c r="Q36" s="48">
        <f>'TR TUSD'!$Q$36*'TR TUSD'!$Q$64</f>
        <v>89.927945308394882</v>
      </c>
      <c r="R36" s="48">
        <f>'TR TUSD'!$R$36*'TR TUSD'!$R$64</f>
        <v>14.212577937026817</v>
      </c>
      <c r="S36" s="48">
        <f>'TR TUSD'!$S$36*'TR TUSD'!$S$64</f>
        <v>0</v>
      </c>
      <c r="T36" s="48">
        <f ca="1">SUM($L$36:$S$36)</f>
        <v>105.0214957222954</v>
      </c>
      <c r="U36" s="48">
        <f>'TR TUSD'!$U$36*'TR TUSD'!$U$64</f>
        <v>7.7829019555766727</v>
      </c>
      <c r="V36" s="48">
        <f>'TR TUSD'!$V$36*'TR TUSD'!$V$64</f>
        <v>8.0706225251685382</v>
      </c>
      <c r="W36" s="48">
        <f>'TR TUSD'!$W$36*'TR TUSD'!$W$64</f>
        <v>2.0888150019537273</v>
      </c>
      <c r="X36" s="48">
        <f>'TR TUSD'!$X$36*'TR TUSD'!$X$64</f>
        <v>0</v>
      </c>
      <c r="Y36" s="48">
        <f>'TR TUSD'!$Y$36*'TR TUSD'!$Y$64</f>
        <v>57.989049920811119</v>
      </c>
      <c r="Z36" s="48">
        <f>'TR TUSD'!$Z$36</f>
        <v>0</v>
      </c>
      <c r="AA36" s="48">
        <f>'TR TUSD'!$AA$36</f>
        <v>0</v>
      </c>
      <c r="AB36" s="48">
        <f>SUM($U$36:$AA$36)</f>
        <v>75.931389403510053</v>
      </c>
      <c r="AC36" s="48">
        <f>'TR TUSD'!$AC$36*'TR TUSD'!$AC$64</f>
        <v>139.51380192012786</v>
      </c>
      <c r="AD36" s="48">
        <f>SUM($AC$36:$AC$36)</f>
        <v>139.51380192012786</v>
      </c>
      <c r="AE36" s="48">
        <v>0</v>
      </c>
      <c r="AF36" s="48">
        <v>0</v>
      </c>
      <c r="AG36" s="48">
        <f>SUM($AE$36:$AF$36)</f>
        <v>0</v>
      </c>
      <c r="AH36" s="48">
        <f>'TR TUSD'!$AH$36*'TR TUSD'!$AH$64</f>
        <v>17.244523675929702</v>
      </c>
      <c r="AI36" s="48">
        <f>'TR TUSD'!$AI$36*'TR TUSD'!$AI$64</f>
        <v>0.44320301471941753</v>
      </c>
      <c r="AJ36" s="48">
        <f ca="1">'TR TUSD'!$AJ$36*'TR TUSD'!$AJ$64</f>
        <v>0</v>
      </c>
      <c r="AK36" s="48">
        <f ca="1">'TR TUSD'!$AK$36*'TR TUSD'!$AK$64</f>
        <v>0</v>
      </c>
      <c r="AL36" s="48">
        <f ca="1">SUM($AH$36:$AK$36)</f>
        <v>17.687726690649122</v>
      </c>
      <c r="AM36" s="48">
        <f ca="1">SUMIF($L$4:$AL$4,"SUBTOTAL",$L$36:$AL$36)</f>
        <v>338.15441373658246</v>
      </c>
      <c r="AP36" s="48">
        <f>IF((1 - CUSTOS!$M$28)&lt;&gt;0,1/(1 - CUSTOS!$M$28),1)</f>
        <v>1</v>
      </c>
    </row>
    <row r="37" spans="1:42" ht="11.25" customHeight="1" x14ac:dyDescent="0.25">
      <c r="A37" s="109"/>
      <c r="B37" s="51" t="s">
        <v>23</v>
      </c>
      <c r="C37" s="51" t="s">
        <v>42</v>
      </c>
      <c r="D37" s="51" t="s">
        <v>25</v>
      </c>
      <c r="E37" s="51" t="s">
        <v>25</v>
      </c>
      <c r="F37" s="51" t="s">
        <v>25</v>
      </c>
      <c r="G37" s="52" t="s">
        <v>88</v>
      </c>
      <c r="H37" s="52" t="s">
        <v>82</v>
      </c>
      <c r="I37" s="52">
        <f>'MERCADO TUSD'!$U$34</f>
        <v>185983.22399999999</v>
      </c>
      <c r="J37" s="15"/>
      <c r="L37" s="48">
        <f>'TR TUSD'!$L$37*'TR TUSD'!$L$64</f>
        <v>0</v>
      </c>
      <c r="M37" s="48">
        <f>'TR TUSD'!$M$37*'TR TUSD'!$M$64</f>
        <v>0.88097247687369962</v>
      </c>
      <c r="N37" s="48">
        <f ca="1">'TR TUSD'!$N$37*'TR TUSD'!$N$64</f>
        <v>0</v>
      </c>
      <c r="O37" s="48">
        <f>'TR TUSD'!$O$37*'TR TUSD'!$O$64</f>
        <v>0</v>
      </c>
      <c r="P37" s="48">
        <f>'TR TUSD'!$P$37*'TR TUSD'!$P$64</f>
        <v>0</v>
      </c>
      <c r="Q37" s="48">
        <f>'TR TUSD'!$Q$37*'TR TUSD'!$Q$64</f>
        <v>89.927945308394882</v>
      </c>
      <c r="R37" s="48">
        <f>'TR TUSD'!$R$37*'TR TUSD'!$R$64</f>
        <v>14.212577937026817</v>
      </c>
      <c r="S37" s="48">
        <f>'TR TUSD'!$S$37*'TR TUSD'!$S$64</f>
        <v>0</v>
      </c>
      <c r="T37" s="48">
        <f ca="1">SUM($L$37:$S$37)</f>
        <v>105.0214957222954</v>
      </c>
      <c r="U37" s="48">
        <f>'TR TUSD'!$U$37*'TR TUSD'!$U$64</f>
        <v>10.240820133795721</v>
      </c>
      <c r="V37" s="48">
        <f>'TR TUSD'!$V$37*'TR TUSD'!$V$64</f>
        <v>10.619293289672299</v>
      </c>
      <c r="W37" s="48">
        <f>'TR TUSD'!$W$37*'TR TUSD'!$W$64</f>
        <v>2.7486599004283971</v>
      </c>
      <c r="X37" s="48">
        <f>'TR TUSD'!$X$37*'TR TUSD'!$X$64</f>
        <v>0</v>
      </c>
      <c r="Y37" s="48">
        <f>'TR TUSD'!$Y$37*'TR TUSD'!$Y$64</f>
        <v>76.301468740158711</v>
      </c>
      <c r="Z37" s="48">
        <f>'TR TUSD'!$Z$37</f>
        <v>0</v>
      </c>
      <c r="AA37" s="48">
        <f>'TR TUSD'!$AA$37</f>
        <v>0</v>
      </c>
      <c r="AB37" s="48">
        <f>SUM($U$37:$AA$37)</f>
        <v>99.910242064055126</v>
      </c>
      <c r="AC37" s="48">
        <f>'TR TUSD'!$AC$37*'TR TUSD'!$AC$64</f>
        <v>183.57073061115727</v>
      </c>
      <c r="AD37" s="48">
        <f>SUM($AC$37:$AC$37)</f>
        <v>183.57073061115727</v>
      </c>
      <c r="AE37" s="48">
        <v>0</v>
      </c>
      <c r="AF37" s="48">
        <v>0</v>
      </c>
      <c r="AG37" s="48">
        <f>SUM($AE$37:$AF$37)</f>
        <v>0</v>
      </c>
      <c r="AH37" s="48">
        <f>'TR TUSD'!$AH$37*'TR TUSD'!$AH$64</f>
        <v>17.244523675929702</v>
      </c>
      <c r="AI37" s="48">
        <f>'TR TUSD'!$AI$37*'TR TUSD'!$AI$64</f>
        <v>0.44320301471941753</v>
      </c>
      <c r="AJ37" s="48">
        <f ca="1">'TR TUSD'!$AJ$37*'TR TUSD'!$AJ$64</f>
        <v>0</v>
      </c>
      <c r="AK37" s="48">
        <f ca="1">'TR TUSD'!$AK$37*'TR TUSD'!$AK$64</f>
        <v>0</v>
      </c>
      <c r="AL37" s="48">
        <f ca="1">SUM($AH$37:$AK$37)</f>
        <v>17.687726690649122</v>
      </c>
      <c r="AM37" s="48">
        <f ca="1">SUMIF($L$4:$AL$4,"SUBTOTAL",$L$37:$AL$37)</f>
        <v>406.19019508815694</v>
      </c>
      <c r="AP37" s="48">
        <f>IF((1 - CUSTOS!$M$28)&lt;&gt;0,1/(1 - CUSTOS!$M$28),1)</f>
        <v>1</v>
      </c>
    </row>
    <row r="38" spans="1:42" ht="11.25" customHeight="1" x14ac:dyDescent="0.25">
      <c r="A38" s="109"/>
      <c r="B38" s="109" t="s">
        <v>95</v>
      </c>
      <c r="C38" s="109" t="s">
        <v>42</v>
      </c>
      <c r="D38" s="109" t="s">
        <v>98</v>
      </c>
      <c r="E38" s="109" t="s">
        <v>25</v>
      </c>
      <c r="F38" s="109" t="s">
        <v>25</v>
      </c>
      <c r="G38" s="52" t="s">
        <v>83</v>
      </c>
      <c r="H38" s="52" t="s">
        <v>82</v>
      </c>
      <c r="I38" s="52">
        <f>'MERCADO TUSD'!$U$35</f>
        <v>0</v>
      </c>
      <c r="J38" s="15"/>
      <c r="L38" s="48">
        <f>'TR TUSD'!$L$38*'TR TUSD'!$L$64</f>
        <v>0</v>
      </c>
      <c r="M38" s="48">
        <f>'TR TUSD'!$M$38*'TR TUSD'!$M$64</f>
        <v>0.88097247687369962</v>
      </c>
      <c r="N38" s="48">
        <f ca="1">'TR TUSD'!$N$38*'TR TUSD'!$N$64</f>
        <v>0</v>
      </c>
      <c r="O38" s="48">
        <f>'TR TUSD'!$O$38*'TR TUSD'!$O$64</f>
        <v>0</v>
      </c>
      <c r="P38" s="48">
        <f>'TR TUSD'!$P$38*'TR TUSD'!$P$64</f>
        <v>0</v>
      </c>
      <c r="Q38" s="48">
        <f>'TR TUSD'!$Q$38*'TR TUSD'!$Q$64</f>
        <v>89.927945308394882</v>
      </c>
      <c r="R38" s="48">
        <f>'TR TUSD'!$R$38*'TR TUSD'!$R$64</f>
        <v>14.212577937026817</v>
      </c>
      <c r="S38" s="48">
        <f>'TR TUSD'!$S$38*'TR TUSD'!$S$64</f>
        <v>0</v>
      </c>
      <c r="T38" s="48">
        <f ca="1">SUM($L$38:$S$38)</f>
        <v>105.0214957222954</v>
      </c>
      <c r="U38" s="48">
        <f>'TR TUSD'!$U$38*'TR TUSD'!$U$64</f>
        <v>23.816020280759002</v>
      </c>
      <c r="V38" s="48">
        <f>'TR TUSD'!$V$38*'TR TUSD'!$V$64</f>
        <v>24.696030906214649</v>
      </c>
      <c r="W38" s="48">
        <f>'TR TUSD'!$W$38*'TR TUSD'!$W$64</f>
        <v>6.3923775495763788</v>
      </c>
      <c r="X38" s="48">
        <f>'TR TUSD'!$X$38*'TR TUSD'!$X$64</f>
        <v>0</v>
      </c>
      <c r="Y38" s="48">
        <f>'TR TUSD'!$Y$38*'TR TUSD'!$Y$64</f>
        <v>177.44682878767685</v>
      </c>
      <c r="Z38" s="48">
        <f>'TR TUSD'!$Z$38</f>
        <v>0</v>
      </c>
      <c r="AA38" s="48">
        <f>'TR TUSD'!$AA$38</f>
        <v>0</v>
      </c>
      <c r="AB38" s="48">
        <f>SUM($U$38:$AA$38)</f>
        <v>232.35125752422687</v>
      </c>
      <c r="AC38" s="48">
        <f>'TR TUSD'!$AC$38*'TR TUSD'!$AC$64</f>
        <v>426.91210946052905</v>
      </c>
      <c r="AD38" s="48">
        <f>SUM($AC$38:$AC$38)</f>
        <v>426.91210946052905</v>
      </c>
      <c r="AE38" s="48">
        <v>0</v>
      </c>
      <c r="AF38" s="48">
        <v>0</v>
      </c>
      <c r="AG38" s="48">
        <f>SUM($AE$38:$AF$38)</f>
        <v>0</v>
      </c>
      <c r="AH38" s="48">
        <f>'TR TUSD'!$AH$38*'TR TUSD'!$AH$64</f>
        <v>17.244523675929702</v>
      </c>
      <c r="AI38" s="48">
        <f>'TR TUSD'!$AI$38*'TR TUSD'!$AI$64</f>
        <v>0.44320301471941753</v>
      </c>
      <c r="AJ38" s="48">
        <f ca="1">'TR TUSD'!$AJ$38*'TR TUSD'!$AJ$64</f>
        <v>0</v>
      </c>
      <c r="AK38" s="48">
        <f ca="1">'TR TUSD'!$AK$38*'TR TUSD'!$AK$64</f>
        <v>0</v>
      </c>
      <c r="AL38" s="48">
        <f ca="1">SUM($AH$38:$AK$38)</f>
        <v>17.687726690649122</v>
      </c>
      <c r="AM38" s="48">
        <f ca="1">SUMIF($L$4:$AL$4,"SUBTOTAL",$L$38:$AL$38)</f>
        <v>781.97258939770052</v>
      </c>
      <c r="AP38" s="48">
        <f>IF((1 - CUSTOS!$M$29)&lt;&gt;0,1/(1 - CUSTOS!$M$29),1)</f>
        <v>1</v>
      </c>
    </row>
    <row r="39" spans="1:42" ht="11.25" customHeight="1" x14ac:dyDescent="0.25">
      <c r="A39" s="109"/>
      <c r="B39" s="109"/>
      <c r="C39" s="109"/>
      <c r="D39" s="109"/>
      <c r="E39" s="109"/>
      <c r="F39" s="109"/>
      <c r="G39" s="52" t="s">
        <v>94</v>
      </c>
      <c r="H39" s="52" t="s">
        <v>82</v>
      </c>
      <c r="I39" s="52">
        <f>'MERCADO TUSD'!$U$36</f>
        <v>0</v>
      </c>
      <c r="J39" s="15"/>
      <c r="L39" s="48">
        <f>'TR TUSD'!$L$39*'TR TUSD'!$L$64</f>
        <v>0</v>
      </c>
      <c r="M39" s="48">
        <f>'TR TUSD'!$M$39*'TR TUSD'!$M$64</f>
        <v>0.88097247687369962</v>
      </c>
      <c r="N39" s="48">
        <f ca="1">'TR TUSD'!$N$39*'TR TUSD'!$N$64</f>
        <v>0</v>
      </c>
      <c r="O39" s="48">
        <f>'TR TUSD'!$O$39*'TR TUSD'!$O$64</f>
        <v>0</v>
      </c>
      <c r="P39" s="48">
        <f>'TR TUSD'!$P$39*'TR TUSD'!$P$64</f>
        <v>0</v>
      </c>
      <c r="Q39" s="48">
        <f>'TR TUSD'!$Q$39*'TR TUSD'!$Q$64</f>
        <v>89.927945308394882</v>
      </c>
      <c r="R39" s="48">
        <f>'TR TUSD'!$R$39*'TR TUSD'!$R$64</f>
        <v>14.212577937026817</v>
      </c>
      <c r="S39" s="48">
        <f>'TR TUSD'!$S$39*'TR TUSD'!$S$64</f>
        <v>0</v>
      </c>
      <c r="T39" s="48">
        <f ca="1">SUM($L$39:$S$39)</f>
        <v>105.0214957222954</v>
      </c>
      <c r="U39" s="48">
        <f>'TR TUSD'!$U$39*'TR TUSD'!$U$64</f>
        <v>12.141469500478653</v>
      </c>
      <c r="V39" s="48">
        <f>'TR TUSD'!$V$39*'TR TUSD'!$V$64</f>
        <v>12.590265347555206</v>
      </c>
      <c r="W39" s="48">
        <f>'TR TUSD'!$W$39*'TR TUSD'!$W$64</f>
        <v>3.2591550466457879</v>
      </c>
      <c r="X39" s="48">
        <f>'TR TUSD'!$X$39*'TR TUSD'!$X$64</f>
        <v>0</v>
      </c>
      <c r="Y39" s="48">
        <f>'TR TUSD'!$Y$39*'TR TUSD'!$Y$64</f>
        <v>90.463143370277663</v>
      </c>
      <c r="Z39" s="48">
        <f>'TR TUSD'!$Z$39</f>
        <v>0</v>
      </c>
      <c r="AA39" s="48">
        <f>'TR TUSD'!$AA$39</f>
        <v>0</v>
      </c>
      <c r="AB39" s="48">
        <f>SUM($U$39:$AA$39)</f>
        <v>118.4540332649573</v>
      </c>
      <c r="AC39" s="48">
        <f>'TR TUSD'!$AC$39*'TR TUSD'!$AC$64</f>
        <v>217.64150377960459</v>
      </c>
      <c r="AD39" s="48">
        <f>SUM($AC$39:$AC$39)</f>
        <v>217.64150377960459</v>
      </c>
      <c r="AE39" s="48">
        <v>0</v>
      </c>
      <c r="AF39" s="48">
        <v>0</v>
      </c>
      <c r="AG39" s="48">
        <f>SUM($AE$39:$AF$39)</f>
        <v>0</v>
      </c>
      <c r="AH39" s="48">
        <f>'TR TUSD'!$AH$39*'TR TUSD'!$AH$64</f>
        <v>17.244523675929702</v>
      </c>
      <c r="AI39" s="48">
        <f>'TR TUSD'!$AI$39*'TR TUSD'!$AI$64</f>
        <v>0.44320301471941753</v>
      </c>
      <c r="AJ39" s="48">
        <f ca="1">'TR TUSD'!$AJ$39*'TR TUSD'!$AJ$64</f>
        <v>0</v>
      </c>
      <c r="AK39" s="48">
        <f ca="1">'TR TUSD'!$AK$39*'TR TUSD'!$AK$64</f>
        <v>0</v>
      </c>
      <c r="AL39" s="48">
        <f ca="1">SUM($AH$39:$AK$39)</f>
        <v>17.687726690649122</v>
      </c>
      <c r="AM39" s="48">
        <f ca="1">SUMIF($L$4:$AL$4,"SUBTOTAL",$L$39:$AL$39)</f>
        <v>458.80475945750641</v>
      </c>
      <c r="AP39" s="48">
        <f>IF((1 - CUSTOS!$M$29)&lt;&gt;0,1/(1 - CUSTOS!$M$29),1)</f>
        <v>1</v>
      </c>
    </row>
    <row r="40" spans="1:42" ht="11.25" customHeight="1" x14ac:dyDescent="0.25">
      <c r="A40" s="109"/>
      <c r="B40" s="109"/>
      <c r="C40" s="109"/>
      <c r="D40" s="109"/>
      <c r="E40" s="109"/>
      <c r="F40" s="109"/>
      <c r="G40" s="52" t="s">
        <v>84</v>
      </c>
      <c r="H40" s="52" t="s">
        <v>82</v>
      </c>
      <c r="I40" s="52">
        <f>'MERCADO TUSD'!$U$37</f>
        <v>0</v>
      </c>
      <c r="J40" s="15"/>
      <c r="L40" s="48">
        <f>'TR TUSD'!$L$40*'TR TUSD'!$L$64</f>
        <v>0</v>
      </c>
      <c r="M40" s="48">
        <f>'TR TUSD'!$M$40*'TR TUSD'!$M$64</f>
        <v>0.88097247687369962</v>
      </c>
      <c r="N40" s="48">
        <f ca="1">'TR TUSD'!$N$40*'TR TUSD'!$N$64</f>
        <v>0</v>
      </c>
      <c r="O40" s="48">
        <f>'TR TUSD'!$O$40*'TR TUSD'!$O$64</f>
        <v>0</v>
      </c>
      <c r="P40" s="48">
        <f>'TR TUSD'!$P$40*'TR TUSD'!$P$64</f>
        <v>0</v>
      </c>
      <c r="Q40" s="48">
        <f>'TR TUSD'!$Q$40*'TR TUSD'!$Q$64</f>
        <v>89.927945308394882</v>
      </c>
      <c r="R40" s="48">
        <f>'TR TUSD'!$R$40*'TR TUSD'!$R$64</f>
        <v>14.212577937026817</v>
      </c>
      <c r="S40" s="48">
        <f>'TR TUSD'!$S$40*'TR TUSD'!$S$64</f>
        <v>0</v>
      </c>
      <c r="T40" s="48">
        <f ca="1">SUM($L$40:$S$40)</f>
        <v>105.0214957222954</v>
      </c>
      <c r="U40" s="48">
        <f>'TR TUSD'!$U$40*'TR TUSD'!$U$64</f>
        <v>7.7829019555766727</v>
      </c>
      <c r="V40" s="48">
        <f>'TR TUSD'!$V$40*'TR TUSD'!$V$64</f>
        <v>8.0706225251685382</v>
      </c>
      <c r="W40" s="48">
        <f>'TR TUSD'!$W$40*'TR TUSD'!$W$64</f>
        <v>2.0888150019537273</v>
      </c>
      <c r="X40" s="48">
        <f>'TR TUSD'!$X$40*'TR TUSD'!$X$64</f>
        <v>0</v>
      </c>
      <c r="Y40" s="48">
        <f>'TR TUSD'!$Y$40*'TR TUSD'!$Y$64</f>
        <v>57.989049920811119</v>
      </c>
      <c r="Z40" s="48">
        <f>'TR TUSD'!$Z$40</f>
        <v>0</v>
      </c>
      <c r="AA40" s="48">
        <f>'TR TUSD'!$AA$40</f>
        <v>0</v>
      </c>
      <c r="AB40" s="48">
        <f>SUM($U$40:$AA$40)</f>
        <v>75.931389403510053</v>
      </c>
      <c r="AC40" s="48">
        <f>'TR TUSD'!$AC$40*'TR TUSD'!$AC$64</f>
        <v>139.51380192012786</v>
      </c>
      <c r="AD40" s="48">
        <f>SUM($AC$40:$AC$40)</f>
        <v>139.51380192012786</v>
      </c>
      <c r="AE40" s="48">
        <v>0</v>
      </c>
      <c r="AF40" s="48">
        <v>0</v>
      </c>
      <c r="AG40" s="48">
        <f>SUM($AE$40:$AF$40)</f>
        <v>0</v>
      </c>
      <c r="AH40" s="48">
        <f>'TR TUSD'!$AH$40*'TR TUSD'!$AH$64</f>
        <v>17.244523675929702</v>
      </c>
      <c r="AI40" s="48">
        <f>'TR TUSD'!$AI$40*'TR TUSD'!$AI$64</f>
        <v>0.44320301471941753</v>
      </c>
      <c r="AJ40" s="48">
        <f ca="1">'TR TUSD'!$AJ$40*'TR TUSD'!$AJ$64</f>
        <v>0</v>
      </c>
      <c r="AK40" s="48">
        <f ca="1">'TR TUSD'!$AK$40*'TR TUSD'!$AK$64</f>
        <v>0</v>
      </c>
      <c r="AL40" s="48">
        <f ca="1">SUM($AH$40:$AK$40)</f>
        <v>17.687726690649122</v>
      </c>
      <c r="AM40" s="48">
        <f ca="1">SUMIF($L$4:$AL$4,"SUBTOTAL",$L$40:$AL$40)</f>
        <v>338.15441373658246</v>
      </c>
      <c r="AP40" s="48">
        <f>IF((1 - CUSTOS!$M$29)&lt;&gt;0,1/(1 - CUSTOS!$M$29),1)</f>
        <v>1</v>
      </c>
    </row>
    <row r="41" spans="1:42" ht="11.25" customHeight="1" x14ac:dyDescent="0.25">
      <c r="A41" s="109"/>
      <c r="B41" s="51" t="s">
        <v>23</v>
      </c>
      <c r="C41" s="51" t="s">
        <v>42</v>
      </c>
      <c r="D41" s="51" t="s">
        <v>98</v>
      </c>
      <c r="E41" s="51" t="s">
        <v>25</v>
      </c>
      <c r="F41" s="51" t="s">
        <v>25</v>
      </c>
      <c r="G41" s="52" t="s">
        <v>88</v>
      </c>
      <c r="H41" s="52" t="s">
        <v>82</v>
      </c>
      <c r="I41" s="52">
        <f>'MERCADO TUSD'!$U$38</f>
        <v>0</v>
      </c>
      <c r="J41" s="15"/>
      <c r="L41" s="48">
        <f>'TR TUSD'!$L$41*'TR TUSD'!$L$64</f>
        <v>0</v>
      </c>
      <c r="M41" s="48">
        <f>'TR TUSD'!$M$41*'TR TUSD'!$M$64</f>
        <v>0.88097247687369962</v>
      </c>
      <c r="N41" s="48">
        <f ca="1">'TR TUSD'!$N$41*'TR TUSD'!$N$64</f>
        <v>0</v>
      </c>
      <c r="O41" s="48">
        <f>'TR TUSD'!$O$41*'TR TUSD'!$O$64</f>
        <v>0</v>
      </c>
      <c r="P41" s="48">
        <f>'TR TUSD'!$P$41*'TR TUSD'!$P$64</f>
        <v>0</v>
      </c>
      <c r="Q41" s="48">
        <f>'TR TUSD'!$Q$41*'TR TUSD'!$Q$64</f>
        <v>89.927945308394882</v>
      </c>
      <c r="R41" s="48">
        <f>'TR TUSD'!$R$41*'TR TUSD'!$R$64</f>
        <v>14.212577937026817</v>
      </c>
      <c r="S41" s="48">
        <f>'TR TUSD'!$S$41*'TR TUSD'!$S$64</f>
        <v>0</v>
      </c>
      <c r="T41" s="48">
        <f ca="1">SUM($L$41:$S$41)</f>
        <v>105.0214957222954</v>
      </c>
      <c r="U41" s="48">
        <f>'TR TUSD'!$U$41*'TR TUSD'!$U$64</f>
        <v>10.240820133795721</v>
      </c>
      <c r="V41" s="48">
        <f>'TR TUSD'!$V$41*'TR TUSD'!$V$64</f>
        <v>10.619293289672299</v>
      </c>
      <c r="W41" s="48">
        <f>'TR TUSD'!$W$41*'TR TUSD'!$W$64</f>
        <v>2.7486599004283971</v>
      </c>
      <c r="X41" s="48">
        <f>'TR TUSD'!$X$41*'TR TUSD'!$X$64</f>
        <v>0</v>
      </c>
      <c r="Y41" s="48">
        <f>'TR TUSD'!$Y$41*'TR TUSD'!$Y$64</f>
        <v>76.301468740158711</v>
      </c>
      <c r="Z41" s="48">
        <f>'TR TUSD'!$Z$41</f>
        <v>0</v>
      </c>
      <c r="AA41" s="48">
        <f>'TR TUSD'!$AA$41</f>
        <v>0</v>
      </c>
      <c r="AB41" s="48">
        <f>SUM($U$41:$AA$41)</f>
        <v>99.910242064055126</v>
      </c>
      <c r="AC41" s="48">
        <f>'TR TUSD'!$AC$41*'TR TUSD'!$AC$64</f>
        <v>183.57073061115727</v>
      </c>
      <c r="AD41" s="48">
        <f>SUM($AC$41:$AC$41)</f>
        <v>183.57073061115727</v>
      </c>
      <c r="AE41" s="48">
        <v>0</v>
      </c>
      <c r="AF41" s="48">
        <v>0</v>
      </c>
      <c r="AG41" s="48">
        <f>SUM($AE$41:$AF$41)</f>
        <v>0</v>
      </c>
      <c r="AH41" s="48">
        <f>'TR TUSD'!$AH$41*'TR TUSD'!$AH$64</f>
        <v>17.244523675929702</v>
      </c>
      <c r="AI41" s="48">
        <f>'TR TUSD'!$AI$41*'TR TUSD'!$AI$64</f>
        <v>0.44320301471941753</v>
      </c>
      <c r="AJ41" s="48">
        <f ca="1">'TR TUSD'!$AJ$41*'TR TUSD'!$AJ$64</f>
        <v>0</v>
      </c>
      <c r="AK41" s="48">
        <f ca="1">'TR TUSD'!$AK$41*'TR TUSD'!$AK$64</f>
        <v>0</v>
      </c>
      <c r="AL41" s="48">
        <f ca="1">SUM($AH$41:$AK$41)</f>
        <v>17.687726690649122</v>
      </c>
      <c r="AM41" s="48">
        <f ca="1">SUMIF($L$4:$AL$4,"SUBTOTAL",$L$41:$AL$41)</f>
        <v>406.19019508815694</v>
      </c>
      <c r="AP41" s="48">
        <f>IF((1 - CUSTOS!$M$29)&lt;&gt;0,1/(1 - CUSTOS!$M$29),1)</f>
        <v>1</v>
      </c>
    </row>
    <row r="42" spans="1:42" ht="11.25" customHeight="1" x14ac:dyDescent="0.25">
      <c r="A42" s="109"/>
      <c r="B42" s="109" t="s">
        <v>95</v>
      </c>
      <c r="C42" s="109" t="s">
        <v>42</v>
      </c>
      <c r="D42" s="109" t="s">
        <v>99</v>
      </c>
      <c r="E42" s="109" t="s">
        <v>25</v>
      </c>
      <c r="F42" s="109" t="s">
        <v>25</v>
      </c>
      <c r="G42" s="52" t="s">
        <v>83</v>
      </c>
      <c r="H42" s="52" t="s">
        <v>82</v>
      </c>
      <c r="I42" s="52">
        <f>'MERCADO TUSD'!$U$39</f>
        <v>0</v>
      </c>
      <c r="J42" s="15"/>
      <c r="L42" s="48">
        <f>'TR TUSD'!$L$42*'TR TUSD'!$L$64</f>
        <v>0</v>
      </c>
      <c r="M42" s="48">
        <f>'TR TUSD'!$M$42*'TR TUSD'!$M$64</f>
        <v>0.88097247687369962</v>
      </c>
      <c r="N42" s="48">
        <f ca="1">'TR TUSD'!$N$42*'TR TUSD'!$N$64</f>
        <v>0</v>
      </c>
      <c r="O42" s="48">
        <f>'TR TUSD'!$O$42*'TR TUSD'!$O$64</f>
        <v>0</v>
      </c>
      <c r="P42" s="48">
        <f>'TR TUSD'!$P$42*'TR TUSD'!$P$64</f>
        <v>0</v>
      </c>
      <c r="Q42" s="48">
        <f>'TR TUSD'!$Q$42*'TR TUSD'!$Q$64</f>
        <v>89.927945308394882</v>
      </c>
      <c r="R42" s="48">
        <f>'TR TUSD'!$R$42*'TR TUSD'!$R$64</f>
        <v>14.212577937026817</v>
      </c>
      <c r="S42" s="48">
        <f>'TR TUSD'!$S$42*'TR TUSD'!$S$64</f>
        <v>0</v>
      </c>
      <c r="T42" s="48">
        <f ca="1">SUM($L$42:$S$42)</f>
        <v>105.0214957222954</v>
      </c>
      <c r="U42" s="48">
        <f>'TR TUSD'!$U$42*'TR TUSD'!$U$64</f>
        <v>23.816020280759002</v>
      </c>
      <c r="V42" s="48">
        <f>'TR TUSD'!$V$42*'TR TUSD'!$V$64</f>
        <v>24.696030906214649</v>
      </c>
      <c r="W42" s="48">
        <f>'TR TUSD'!$W$42*'TR TUSD'!$W$64</f>
        <v>6.3923775495763788</v>
      </c>
      <c r="X42" s="48">
        <f>'TR TUSD'!$X$42*'TR TUSD'!$X$64</f>
        <v>0</v>
      </c>
      <c r="Y42" s="48">
        <f>'TR TUSD'!$Y$42*'TR TUSD'!$Y$64</f>
        <v>177.44682878767685</v>
      </c>
      <c r="Z42" s="48">
        <f>'TR TUSD'!$Z$42</f>
        <v>0</v>
      </c>
      <c r="AA42" s="48">
        <f>'TR TUSD'!$AA$42</f>
        <v>0</v>
      </c>
      <c r="AB42" s="48">
        <f>SUM($U$42:$AA$42)</f>
        <v>232.35125752422687</v>
      </c>
      <c r="AC42" s="48">
        <f>'TR TUSD'!$AC$42*'TR TUSD'!$AC$64</f>
        <v>426.91210946052905</v>
      </c>
      <c r="AD42" s="48">
        <f>SUM($AC$42:$AC$42)</f>
        <v>426.91210946052905</v>
      </c>
      <c r="AE42" s="48">
        <v>0</v>
      </c>
      <c r="AF42" s="48">
        <v>0</v>
      </c>
      <c r="AG42" s="48">
        <f>SUM($AE$42:$AF$42)</f>
        <v>0</v>
      </c>
      <c r="AH42" s="48">
        <f>'TR TUSD'!$AH$42*'TR TUSD'!$AH$64</f>
        <v>17.244523675929702</v>
      </c>
      <c r="AI42" s="48">
        <f>'TR TUSD'!$AI$42*'TR TUSD'!$AI$64</f>
        <v>0.44320301471941753</v>
      </c>
      <c r="AJ42" s="48">
        <f ca="1">'TR TUSD'!$AJ$42*'TR TUSD'!$AJ$64</f>
        <v>0</v>
      </c>
      <c r="AK42" s="48">
        <f ca="1">'TR TUSD'!$AK$42*'TR TUSD'!$AK$64</f>
        <v>0</v>
      </c>
      <c r="AL42" s="48">
        <f ca="1">SUM($AH$42:$AK$42)</f>
        <v>17.687726690649122</v>
      </c>
      <c r="AM42" s="48">
        <f ca="1">SUMIF($L$4:$AL$4,"SUBTOTAL",$L$42:$AL$42)</f>
        <v>781.97258939770052</v>
      </c>
      <c r="AP42" s="48">
        <f>IF((1 - CUSTOS!$M$30)&lt;&gt;0,1/(1 - CUSTOS!$M$30),1)</f>
        <v>1</v>
      </c>
    </row>
    <row r="43" spans="1:42" ht="11.25" customHeight="1" x14ac:dyDescent="0.25">
      <c r="A43" s="109"/>
      <c r="B43" s="109"/>
      <c r="C43" s="109"/>
      <c r="D43" s="109"/>
      <c r="E43" s="109"/>
      <c r="F43" s="109"/>
      <c r="G43" s="52" t="s">
        <v>94</v>
      </c>
      <c r="H43" s="52" t="s">
        <v>82</v>
      </c>
      <c r="I43" s="52">
        <f>'MERCADO TUSD'!$U$40</f>
        <v>0</v>
      </c>
      <c r="J43" s="15"/>
      <c r="L43" s="48">
        <f>'TR TUSD'!$L$43*'TR TUSD'!$L$64</f>
        <v>0</v>
      </c>
      <c r="M43" s="48">
        <f>'TR TUSD'!$M$43*'TR TUSD'!$M$64</f>
        <v>0.88097247687369962</v>
      </c>
      <c r="N43" s="48">
        <f ca="1">'TR TUSD'!$N$43*'TR TUSD'!$N$64</f>
        <v>0</v>
      </c>
      <c r="O43" s="48">
        <f>'TR TUSD'!$O$43*'TR TUSD'!$O$64</f>
        <v>0</v>
      </c>
      <c r="P43" s="48">
        <f>'TR TUSD'!$P$43*'TR TUSD'!$P$64</f>
        <v>0</v>
      </c>
      <c r="Q43" s="48">
        <f>'TR TUSD'!$Q$43*'TR TUSD'!$Q$64</f>
        <v>89.927945308394882</v>
      </c>
      <c r="R43" s="48">
        <f>'TR TUSD'!$R$43*'TR TUSD'!$R$64</f>
        <v>14.212577937026817</v>
      </c>
      <c r="S43" s="48">
        <f>'TR TUSD'!$S$43*'TR TUSD'!$S$64</f>
        <v>0</v>
      </c>
      <c r="T43" s="48">
        <f ca="1">SUM($L$43:$S$43)</f>
        <v>105.0214957222954</v>
      </c>
      <c r="U43" s="48">
        <f>'TR TUSD'!$U$43*'TR TUSD'!$U$64</f>
        <v>12.141469500478653</v>
      </c>
      <c r="V43" s="48">
        <f>'TR TUSD'!$V$43*'TR TUSD'!$V$64</f>
        <v>12.590265347555206</v>
      </c>
      <c r="W43" s="48">
        <f>'TR TUSD'!$W$43*'TR TUSD'!$W$64</f>
        <v>3.2591550466457879</v>
      </c>
      <c r="X43" s="48">
        <f>'TR TUSD'!$X$43*'TR TUSD'!$X$64</f>
        <v>0</v>
      </c>
      <c r="Y43" s="48">
        <f>'TR TUSD'!$Y$43*'TR TUSD'!$Y$64</f>
        <v>90.463143370277663</v>
      </c>
      <c r="Z43" s="48">
        <f>'TR TUSD'!$Z$43</f>
        <v>0</v>
      </c>
      <c r="AA43" s="48">
        <f>'TR TUSD'!$AA$43</f>
        <v>0</v>
      </c>
      <c r="AB43" s="48">
        <f>SUM($U$43:$AA$43)</f>
        <v>118.4540332649573</v>
      </c>
      <c r="AC43" s="48">
        <f>'TR TUSD'!$AC$43*'TR TUSD'!$AC$64</f>
        <v>217.64150377960459</v>
      </c>
      <c r="AD43" s="48">
        <f>SUM($AC$43:$AC$43)</f>
        <v>217.64150377960459</v>
      </c>
      <c r="AE43" s="48">
        <v>0</v>
      </c>
      <c r="AF43" s="48">
        <v>0</v>
      </c>
      <c r="AG43" s="48">
        <f>SUM($AE$43:$AF$43)</f>
        <v>0</v>
      </c>
      <c r="AH43" s="48">
        <f>'TR TUSD'!$AH$43*'TR TUSD'!$AH$64</f>
        <v>17.244523675929702</v>
      </c>
      <c r="AI43" s="48">
        <f>'TR TUSD'!$AI$43*'TR TUSD'!$AI$64</f>
        <v>0.44320301471941753</v>
      </c>
      <c r="AJ43" s="48">
        <f ca="1">'TR TUSD'!$AJ$43*'TR TUSD'!$AJ$64</f>
        <v>0</v>
      </c>
      <c r="AK43" s="48">
        <f ca="1">'TR TUSD'!$AK$43*'TR TUSD'!$AK$64</f>
        <v>0</v>
      </c>
      <c r="AL43" s="48">
        <f ca="1">SUM($AH$43:$AK$43)</f>
        <v>17.687726690649122</v>
      </c>
      <c r="AM43" s="48">
        <f ca="1">SUMIF($L$4:$AL$4,"SUBTOTAL",$L$43:$AL$43)</f>
        <v>458.80475945750641</v>
      </c>
      <c r="AP43" s="48">
        <f>IF((1 - CUSTOS!$M$30)&lt;&gt;0,1/(1 - CUSTOS!$M$30),1)</f>
        <v>1</v>
      </c>
    </row>
    <row r="44" spans="1:42" ht="11.25" customHeight="1" x14ac:dyDescent="0.25">
      <c r="A44" s="109"/>
      <c r="B44" s="109"/>
      <c r="C44" s="109"/>
      <c r="D44" s="109"/>
      <c r="E44" s="109"/>
      <c r="F44" s="109"/>
      <c r="G44" s="52" t="s">
        <v>84</v>
      </c>
      <c r="H44" s="52" t="s">
        <v>82</v>
      </c>
      <c r="I44" s="52">
        <f>'MERCADO TUSD'!$U$41</f>
        <v>0</v>
      </c>
      <c r="J44" s="15"/>
      <c r="L44" s="48">
        <f>'TR TUSD'!$L$44*'TR TUSD'!$L$64</f>
        <v>0</v>
      </c>
      <c r="M44" s="48">
        <f>'TR TUSD'!$M$44*'TR TUSD'!$M$64</f>
        <v>0.88097247687369962</v>
      </c>
      <c r="N44" s="48">
        <f ca="1">'TR TUSD'!$N$44*'TR TUSD'!$N$64</f>
        <v>0</v>
      </c>
      <c r="O44" s="48">
        <f>'TR TUSD'!$O$44*'TR TUSD'!$O$64</f>
        <v>0</v>
      </c>
      <c r="P44" s="48">
        <f>'TR TUSD'!$P$44*'TR TUSD'!$P$64</f>
        <v>0</v>
      </c>
      <c r="Q44" s="48">
        <f>'TR TUSD'!$Q$44*'TR TUSD'!$Q$64</f>
        <v>89.927945308394882</v>
      </c>
      <c r="R44" s="48">
        <f>'TR TUSD'!$R$44*'TR TUSD'!$R$64</f>
        <v>14.212577937026817</v>
      </c>
      <c r="S44" s="48">
        <f>'TR TUSD'!$S$44*'TR TUSD'!$S$64</f>
        <v>0</v>
      </c>
      <c r="T44" s="48">
        <f ca="1">SUM($L$44:$S$44)</f>
        <v>105.0214957222954</v>
      </c>
      <c r="U44" s="48">
        <f>'TR TUSD'!$U$44*'TR TUSD'!$U$64</f>
        <v>7.7829019555766727</v>
      </c>
      <c r="V44" s="48">
        <f>'TR TUSD'!$V$44*'TR TUSD'!$V$64</f>
        <v>8.0706225251685382</v>
      </c>
      <c r="W44" s="48">
        <f>'TR TUSD'!$W$44*'TR TUSD'!$W$64</f>
        <v>2.0888150019537273</v>
      </c>
      <c r="X44" s="48">
        <f>'TR TUSD'!$X$44*'TR TUSD'!$X$64</f>
        <v>0</v>
      </c>
      <c r="Y44" s="48">
        <f>'TR TUSD'!$Y$44*'TR TUSD'!$Y$64</f>
        <v>57.989049920811119</v>
      </c>
      <c r="Z44" s="48">
        <f>'TR TUSD'!$Z$44</f>
        <v>0</v>
      </c>
      <c r="AA44" s="48">
        <f>'TR TUSD'!$AA$44</f>
        <v>0</v>
      </c>
      <c r="AB44" s="48">
        <f>SUM($U$44:$AA$44)</f>
        <v>75.931389403510053</v>
      </c>
      <c r="AC44" s="48">
        <f>'TR TUSD'!$AC$44*'TR TUSD'!$AC$64</f>
        <v>139.51380192012786</v>
      </c>
      <c r="AD44" s="48">
        <f>SUM($AC$44:$AC$44)</f>
        <v>139.51380192012786</v>
      </c>
      <c r="AE44" s="48">
        <v>0</v>
      </c>
      <c r="AF44" s="48">
        <v>0</v>
      </c>
      <c r="AG44" s="48">
        <f>SUM($AE$44:$AF$44)</f>
        <v>0</v>
      </c>
      <c r="AH44" s="48">
        <f>'TR TUSD'!$AH$44*'TR TUSD'!$AH$64</f>
        <v>17.244523675929702</v>
      </c>
      <c r="AI44" s="48">
        <f>'TR TUSD'!$AI$44*'TR TUSD'!$AI$64</f>
        <v>0.44320301471941753</v>
      </c>
      <c r="AJ44" s="48">
        <f ca="1">'TR TUSD'!$AJ$44*'TR TUSD'!$AJ$64</f>
        <v>0</v>
      </c>
      <c r="AK44" s="48">
        <f ca="1">'TR TUSD'!$AK$44*'TR TUSD'!$AK$64</f>
        <v>0</v>
      </c>
      <c r="AL44" s="48">
        <f ca="1">SUM($AH$44:$AK$44)</f>
        <v>17.687726690649122</v>
      </c>
      <c r="AM44" s="48">
        <f ca="1">SUMIF($L$4:$AL$4,"SUBTOTAL",$L$44:$AL$44)</f>
        <v>338.15441373658246</v>
      </c>
      <c r="AP44" s="48">
        <f>IF((1 - CUSTOS!$M$30)&lt;&gt;0,1/(1 - CUSTOS!$M$30),1)</f>
        <v>1</v>
      </c>
    </row>
    <row r="45" spans="1:42" ht="11.25" customHeight="1" x14ac:dyDescent="0.25">
      <c r="A45" s="109"/>
      <c r="B45" s="51" t="s">
        <v>23</v>
      </c>
      <c r="C45" s="51" t="s">
        <v>42</v>
      </c>
      <c r="D45" s="51" t="s">
        <v>99</v>
      </c>
      <c r="E45" s="51" t="s">
        <v>25</v>
      </c>
      <c r="F45" s="51" t="s">
        <v>25</v>
      </c>
      <c r="G45" s="52" t="s">
        <v>88</v>
      </c>
      <c r="H45" s="52" t="s">
        <v>82</v>
      </c>
      <c r="I45" s="52">
        <f>'MERCADO TUSD'!$U$42</f>
        <v>0</v>
      </c>
      <c r="J45" s="15"/>
      <c r="L45" s="48">
        <f>'TR TUSD'!$L$45*'TR TUSD'!$L$64</f>
        <v>0</v>
      </c>
      <c r="M45" s="48">
        <f>'TR TUSD'!$M$45*'TR TUSD'!$M$64</f>
        <v>0.88097247687369962</v>
      </c>
      <c r="N45" s="48">
        <f ca="1">'TR TUSD'!$N$45*'TR TUSD'!$N$64</f>
        <v>0</v>
      </c>
      <c r="O45" s="48">
        <f>'TR TUSD'!$O$45*'TR TUSD'!$O$64</f>
        <v>0</v>
      </c>
      <c r="P45" s="48">
        <f>'TR TUSD'!$P$45*'TR TUSD'!$P$64</f>
        <v>0</v>
      </c>
      <c r="Q45" s="48">
        <f>'TR TUSD'!$Q$45*'TR TUSD'!$Q$64</f>
        <v>89.927945308394882</v>
      </c>
      <c r="R45" s="48">
        <f>'TR TUSD'!$R$45*'TR TUSD'!$R$64</f>
        <v>14.212577937026817</v>
      </c>
      <c r="S45" s="48">
        <f>'TR TUSD'!$S$45*'TR TUSD'!$S$64</f>
        <v>0</v>
      </c>
      <c r="T45" s="48">
        <f ca="1">SUM($L$45:$S$45)</f>
        <v>105.0214957222954</v>
      </c>
      <c r="U45" s="48">
        <f>'TR TUSD'!$U$45*'TR TUSD'!$U$64</f>
        <v>10.240820133795721</v>
      </c>
      <c r="V45" s="48">
        <f>'TR TUSD'!$V$45*'TR TUSD'!$V$64</f>
        <v>10.619293289672299</v>
      </c>
      <c r="W45" s="48">
        <f>'TR TUSD'!$W$45*'TR TUSD'!$W$64</f>
        <v>2.7486599004283971</v>
      </c>
      <c r="X45" s="48">
        <f>'TR TUSD'!$X$45*'TR TUSD'!$X$64</f>
        <v>0</v>
      </c>
      <c r="Y45" s="48">
        <f>'TR TUSD'!$Y$45*'TR TUSD'!$Y$64</f>
        <v>76.301468740158711</v>
      </c>
      <c r="Z45" s="48">
        <f>'TR TUSD'!$Z$45</f>
        <v>0</v>
      </c>
      <c r="AA45" s="48">
        <f>'TR TUSD'!$AA$45</f>
        <v>0</v>
      </c>
      <c r="AB45" s="48">
        <f>SUM($U$45:$AA$45)</f>
        <v>99.910242064055126</v>
      </c>
      <c r="AC45" s="48">
        <f>'TR TUSD'!$AC$45*'TR TUSD'!$AC$64</f>
        <v>183.57073061115727</v>
      </c>
      <c r="AD45" s="48">
        <f>SUM($AC$45:$AC$45)</f>
        <v>183.57073061115727</v>
      </c>
      <c r="AE45" s="48">
        <v>0</v>
      </c>
      <c r="AF45" s="48">
        <v>0</v>
      </c>
      <c r="AG45" s="48">
        <f>SUM($AE$45:$AF$45)</f>
        <v>0</v>
      </c>
      <c r="AH45" s="48">
        <f>'TR TUSD'!$AH$45*'TR TUSD'!$AH$64</f>
        <v>17.244523675929702</v>
      </c>
      <c r="AI45" s="48">
        <f>'TR TUSD'!$AI$45*'TR TUSD'!$AI$64</f>
        <v>0.44320301471941753</v>
      </c>
      <c r="AJ45" s="48">
        <f ca="1">'TR TUSD'!$AJ$45*'TR TUSD'!$AJ$64</f>
        <v>0</v>
      </c>
      <c r="AK45" s="48">
        <f ca="1">'TR TUSD'!$AK$45*'TR TUSD'!$AK$64</f>
        <v>0</v>
      </c>
      <c r="AL45" s="48">
        <f ca="1">SUM($AH$45:$AK$45)</f>
        <v>17.687726690649122</v>
      </c>
      <c r="AM45" s="48">
        <f ca="1">SUMIF($L$4:$AL$4,"SUBTOTAL",$L$45:$AL$45)</f>
        <v>406.19019508815694</v>
      </c>
      <c r="AP45" s="48">
        <f>IF((1 - CUSTOS!$M$30)&lt;&gt;0,1/(1 - CUSTOS!$M$30),1)</f>
        <v>1</v>
      </c>
    </row>
    <row r="46" spans="1:42" ht="11.25" customHeight="1" x14ac:dyDescent="0.25">
      <c r="A46" s="109"/>
      <c r="B46" s="109" t="s">
        <v>97</v>
      </c>
      <c r="C46" s="109" t="s">
        <v>42</v>
      </c>
      <c r="D46" s="51" t="s">
        <v>25</v>
      </c>
      <c r="E46" s="51" t="s">
        <v>25</v>
      </c>
      <c r="F46" s="51" t="s">
        <v>25</v>
      </c>
      <c r="G46" s="52" t="s">
        <v>88</v>
      </c>
      <c r="H46" s="52" t="s">
        <v>82</v>
      </c>
      <c r="I46" s="52">
        <f>'MERCADO TUSD'!$U$43</f>
        <v>0</v>
      </c>
      <c r="J46" s="15"/>
      <c r="L46" s="48">
        <f>'TR TUSD'!$L$46*'TR TUSD'!$L$64</f>
        <v>0</v>
      </c>
      <c r="M46" s="48">
        <f>'TR TUSD'!$M$46*'TR TUSD'!$M$64</f>
        <v>0.88097247687369962</v>
      </c>
      <c r="N46" s="48">
        <f ca="1">'TR TUSD'!$N$46*'TR TUSD'!$N$64</f>
        <v>0</v>
      </c>
      <c r="O46" s="48">
        <f>'TR TUSD'!$O$46*'TR TUSD'!$O$64</f>
        <v>0</v>
      </c>
      <c r="P46" s="48">
        <f>'TR TUSD'!$P$46*'TR TUSD'!$P$64</f>
        <v>0</v>
      </c>
      <c r="Q46" s="48">
        <f>'TR TUSD'!$Q$46*'TR TUSD'!$Q$64</f>
        <v>89.927945308394882</v>
      </c>
      <c r="R46" s="48">
        <f>'TR TUSD'!$R$46*'TR TUSD'!$R$64</f>
        <v>14.212577937026817</v>
      </c>
      <c r="S46" s="48">
        <f>'TR TUSD'!$S$46*'TR TUSD'!$S$64</f>
        <v>0</v>
      </c>
      <c r="T46" s="48">
        <f ca="1">SUM($L$46:$S$46)</f>
        <v>105.0214957222954</v>
      </c>
      <c r="U46" s="48">
        <f>'TR TUSD'!$U$46*'TR TUSD'!$U$64</f>
        <v>10.240820133795721</v>
      </c>
      <c r="V46" s="48">
        <f>'TR TUSD'!$V$46*'TR TUSD'!$V$64</f>
        <v>10.619293289672299</v>
      </c>
      <c r="W46" s="48">
        <f>'TR TUSD'!$W$46*'TR TUSD'!$W$64</f>
        <v>2.7486599004283971</v>
      </c>
      <c r="X46" s="48">
        <f>'TR TUSD'!$X$46*'TR TUSD'!$X$64</f>
        <v>0</v>
      </c>
      <c r="Y46" s="48">
        <f>'TR TUSD'!$Y$46*'TR TUSD'!$Y$64</f>
        <v>76.301468740158711</v>
      </c>
      <c r="Z46" s="48">
        <f>'TR TUSD'!$Z$46</f>
        <v>0</v>
      </c>
      <c r="AA46" s="48">
        <f>'TR TUSD'!$AA$46</f>
        <v>0</v>
      </c>
      <c r="AB46" s="48">
        <f>SUM($U$46:$AA$46)</f>
        <v>99.910242064055126</v>
      </c>
      <c r="AC46" s="48">
        <f>'TR TUSD'!$AC$46*'TR TUSD'!$AC$64</f>
        <v>183.57073061115727</v>
      </c>
      <c r="AD46" s="48">
        <f>SUM($AC$46:$AC$46)</f>
        <v>183.57073061115727</v>
      </c>
      <c r="AE46" s="48">
        <v>0</v>
      </c>
      <c r="AF46" s="48">
        <v>0</v>
      </c>
      <c r="AG46" s="48">
        <f>SUM($AE$46:$AF$46)</f>
        <v>0</v>
      </c>
      <c r="AH46" s="48">
        <f>'TR TUSD'!$AH$46*'TR TUSD'!$AH$64</f>
        <v>17.244523675929702</v>
      </c>
      <c r="AI46" s="48">
        <f>'TR TUSD'!$AI$46*'TR TUSD'!$AI$64</f>
        <v>0.44320301471941753</v>
      </c>
      <c r="AJ46" s="48">
        <f ca="1">'TR TUSD'!$AJ$46*'TR TUSD'!$AJ$64</f>
        <v>0</v>
      </c>
      <c r="AK46" s="48">
        <f ca="1">'TR TUSD'!$AK$46*'TR TUSD'!$AK$64</f>
        <v>0</v>
      </c>
      <c r="AL46" s="48">
        <f ca="1">SUM($AH$46:$AK$46)</f>
        <v>17.687726690649122</v>
      </c>
      <c r="AM46" s="48">
        <f ca="1">SUMIF($L$4:$AL$4,"SUBTOTAL",$L$46:$AL$46)</f>
        <v>406.19019508815694</v>
      </c>
      <c r="AP46" s="48">
        <f>IF((1 - CUSTOS!$M$28)&lt;&gt;0,1/(1 - CUSTOS!$M$28),1)</f>
        <v>1</v>
      </c>
    </row>
    <row r="47" spans="1:42" ht="11.25" customHeight="1" x14ac:dyDescent="0.25">
      <c r="A47" s="109"/>
      <c r="B47" s="109"/>
      <c r="C47" s="109"/>
      <c r="D47" s="51" t="s">
        <v>98</v>
      </c>
      <c r="E47" s="51" t="s">
        <v>25</v>
      </c>
      <c r="F47" s="51" t="s">
        <v>25</v>
      </c>
      <c r="G47" s="52" t="s">
        <v>88</v>
      </c>
      <c r="H47" s="52" t="s">
        <v>82</v>
      </c>
      <c r="I47" s="52">
        <f>'MERCADO TUSD'!$U$44</f>
        <v>0</v>
      </c>
      <c r="J47" s="15"/>
      <c r="L47" s="48">
        <f>'TR TUSD'!$L$47*'TR TUSD'!$L$64</f>
        <v>0</v>
      </c>
      <c r="M47" s="48">
        <f>'TR TUSD'!$M$47*'TR TUSD'!$M$64</f>
        <v>0.88097247687369962</v>
      </c>
      <c r="N47" s="48">
        <f ca="1">'TR TUSD'!$N$47*'TR TUSD'!$N$64</f>
        <v>0</v>
      </c>
      <c r="O47" s="48">
        <f>'TR TUSD'!$O$47*'TR TUSD'!$O$64</f>
        <v>0</v>
      </c>
      <c r="P47" s="48">
        <f>'TR TUSD'!$P$47*'TR TUSD'!$P$64</f>
        <v>0</v>
      </c>
      <c r="Q47" s="48">
        <f>'TR TUSD'!$Q$47*'TR TUSD'!$Q$64</f>
        <v>89.927945308394882</v>
      </c>
      <c r="R47" s="48">
        <f>'TR TUSD'!$R$47*'TR TUSD'!$R$64</f>
        <v>14.212577937026817</v>
      </c>
      <c r="S47" s="48">
        <f>'TR TUSD'!$S$47*'TR TUSD'!$S$64</f>
        <v>0</v>
      </c>
      <c r="T47" s="48">
        <f ca="1">SUM($L$47:$S$47)</f>
        <v>105.0214957222954</v>
      </c>
      <c r="U47" s="48">
        <f>'TR TUSD'!$U$47*'TR TUSD'!$U$64</f>
        <v>10.240820133795721</v>
      </c>
      <c r="V47" s="48">
        <f>'TR TUSD'!$V$47*'TR TUSD'!$V$64</f>
        <v>10.619293289672299</v>
      </c>
      <c r="W47" s="48">
        <f>'TR TUSD'!$W$47*'TR TUSD'!$W$64</f>
        <v>2.7486599004283971</v>
      </c>
      <c r="X47" s="48">
        <f>'TR TUSD'!$X$47*'TR TUSD'!$X$64</f>
        <v>0</v>
      </c>
      <c r="Y47" s="48">
        <f>'TR TUSD'!$Y$47*'TR TUSD'!$Y$64</f>
        <v>76.301468740158711</v>
      </c>
      <c r="Z47" s="48">
        <f>'TR TUSD'!$Z$47</f>
        <v>0</v>
      </c>
      <c r="AA47" s="48">
        <f>'TR TUSD'!$AA$47</f>
        <v>0</v>
      </c>
      <c r="AB47" s="48">
        <f>SUM($U$47:$AA$47)</f>
        <v>99.910242064055126</v>
      </c>
      <c r="AC47" s="48">
        <f>'TR TUSD'!$AC$47*'TR TUSD'!$AC$64</f>
        <v>183.57073061115727</v>
      </c>
      <c r="AD47" s="48">
        <f>SUM($AC$47:$AC$47)</f>
        <v>183.57073061115727</v>
      </c>
      <c r="AE47" s="48">
        <v>0</v>
      </c>
      <c r="AF47" s="48">
        <v>0</v>
      </c>
      <c r="AG47" s="48">
        <f>SUM($AE$47:$AF$47)</f>
        <v>0</v>
      </c>
      <c r="AH47" s="48">
        <f>'TR TUSD'!$AH$47*'TR TUSD'!$AH$64</f>
        <v>17.244523675929702</v>
      </c>
      <c r="AI47" s="48">
        <f>'TR TUSD'!$AI$47*'TR TUSD'!$AI$64</f>
        <v>0.44320301471941753</v>
      </c>
      <c r="AJ47" s="48">
        <f ca="1">'TR TUSD'!$AJ$47*'TR TUSD'!$AJ$64</f>
        <v>0</v>
      </c>
      <c r="AK47" s="48">
        <f ca="1">'TR TUSD'!$AK$47*'TR TUSD'!$AK$64</f>
        <v>0</v>
      </c>
      <c r="AL47" s="48">
        <f ca="1">SUM($AH$47:$AK$47)</f>
        <v>17.687726690649122</v>
      </c>
      <c r="AM47" s="48">
        <f ca="1">SUMIF($L$4:$AL$4,"SUBTOTAL",$L$47:$AL$47)</f>
        <v>406.19019508815694</v>
      </c>
      <c r="AP47" s="48">
        <f>IF((1 - CUSTOS!$M$29)&lt;&gt;0,1/(1 - CUSTOS!$M$29),1)</f>
        <v>1</v>
      </c>
    </row>
    <row r="48" spans="1:42" ht="11.25" customHeight="1" x14ac:dyDescent="0.25">
      <c r="A48" s="109"/>
      <c r="B48" s="109"/>
      <c r="C48" s="109"/>
      <c r="D48" s="51" t="s">
        <v>99</v>
      </c>
      <c r="E48" s="51" t="s">
        <v>25</v>
      </c>
      <c r="F48" s="51" t="s">
        <v>25</v>
      </c>
      <c r="G48" s="52" t="s">
        <v>88</v>
      </c>
      <c r="H48" s="52" t="s">
        <v>82</v>
      </c>
      <c r="I48" s="52">
        <f>'MERCADO TUSD'!$U$45</f>
        <v>0</v>
      </c>
      <c r="J48" s="15"/>
      <c r="L48" s="48">
        <f>'TR TUSD'!$L$48*'TR TUSD'!$L$64</f>
        <v>0</v>
      </c>
      <c r="M48" s="48">
        <f>'TR TUSD'!$M$48*'TR TUSD'!$M$64</f>
        <v>0.88097247687369962</v>
      </c>
      <c r="N48" s="48">
        <f ca="1">'TR TUSD'!$N$48*'TR TUSD'!$N$64</f>
        <v>0</v>
      </c>
      <c r="O48" s="48">
        <f>'TR TUSD'!$O$48*'TR TUSD'!$O$64</f>
        <v>0</v>
      </c>
      <c r="P48" s="48">
        <f>'TR TUSD'!$P$48*'TR TUSD'!$P$64</f>
        <v>0</v>
      </c>
      <c r="Q48" s="48">
        <f>'TR TUSD'!$Q$48*'TR TUSD'!$Q$64</f>
        <v>89.927945308394882</v>
      </c>
      <c r="R48" s="48">
        <f>'TR TUSD'!$R$48*'TR TUSD'!$R$64</f>
        <v>14.212577937026817</v>
      </c>
      <c r="S48" s="48">
        <f>'TR TUSD'!$S$48*'TR TUSD'!$S$64</f>
        <v>0</v>
      </c>
      <c r="T48" s="48">
        <f ca="1">SUM($L$48:$S$48)</f>
        <v>105.0214957222954</v>
      </c>
      <c r="U48" s="48">
        <f>'TR TUSD'!$U$48*'TR TUSD'!$U$64</f>
        <v>10.240820133795721</v>
      </c>
      <c r="V48" s="48">
        <f>'TR TUSD'!$V$48*'TR TUSD'!$V$64</f>
        <v>10.619293289672299</v>
      </c>
      <c r="W48" s="48">
        <f>'TR TUSD'!$W$48*'TR TUSD'!$W$64</f>
        <v>2.7486599004283971</v>
      </c>
      <c r="X48" s="48">
        <f>'TR TUSD'!$X$48*'TR TUSD'!$X$64</f>
        <v>0</v>
      </c>
      <c r="Y48" s="48">
        <f>'TR TUSD'!$Y$48*'TR TUSD'!$Y$64</f>
        <v>76.301468740158711</v>
      </c>
      <c r="Z48" s="48">
        <f>'TR TUSD'!$Z$48</f>
        <v>0</v>
      </c>
      <c r="AA48" s="48">
        <f>'TR TUSD'!$AA$48</f>
        <v>0</v>
      </c>
      <c r="AB48" s="48">
        <f>SUM($U$48:$AA$48)</f>
        <v>99.910242064055126</v>
      </c>
      <c r="AC48" s="48">
        <f>'TR TUSD'!$AC$48*'TR TUSD'!$AC$64</f>
        <v>183.57073061115727</v>
      </c>
      <c r="AD48" s="48">
        <f>SUM($AC$48:$AC$48)</f>
        <v>183.57073061115727</v>
      </c>
      <c r="AE48" s="48">
        <v>0</v>
      </c>
      <c r="AF48" s="48">
        <v>0</v>
      </c>
      <c r="AG48" s="48">
        <f>SUM($AE$48:$AF$48)</f>
        <v>0</v>
      </c>
      <c r="AH48" s="48">
        <f>'TR TUSD'!$AH$48*'TR TUSD'!$AH$64</f>
        <v>17.244523675929702</v>
      </c>
      <c r="AI48" s="48">
        <f>'TR TUSD'!$AI$48*'TR TUSD'!$AI$64</f>
        <v>0.44320301471941753</v>
      </c>
      <c r="AJ48" s="48">
        <f ca="1">'TR TUSD'!$AJ$48*'TR TUSD'!$AJ$64</f>
        <v>0</v>
      </c>
      <c r="AK48" s="48">
        <f ca="1">'TR TUSD'!$AK$48*'TR TUSD'!$AK$64</f>
        <v>0</v>
      </c>
      <c r="AL48" s="48">
        <f ca="1">SUM($AH$48:$AK$48)</f>
        <v>17.687726690649122</v>
      </c>
      <c r="AM48" s="48">
        <f ca="1">SUMIF($L$4:$AL$4,"SUBTOTAL",$L$48:$AL$48)</f>
        <v>406.19019508815694</v>
      </c>
      <c r="AP48" s="48">
        <f>IF((1 - CUSTOS!$M$30)&lt;&gt;0,1/(1 - CUSTOS!$M$30),1)</f>
        <v>1</v>
      </c>
    </row>
    <row r="49" spans="1:42" ht="11.25" customHeight="1" x14ac:dyDescent="0.25">
      <c r="A49" s="109" t="s">
        <v>33</v>
      </c>
      <c r="B49" s="109" t="s">
        <v>95</v>
      </c>
      <c r="C49" s="109" t="s">
        <v>25</v>
      </c>
      <c r="D49" s="109" t="s">
        <v>25</v>
      </c>
      <c r="E49" s="109" t="s">
        <v>25</v>
      </c>
      <c r="F49" s="109" t="s">
        <v>25</v>
      </c>
      <c r="G49" s="52" t="s">
        <v>83</v>
      </c>
      <c r="H49" s="52" t="s">
        <v>82</v>
      </c>
      <c r="I49" s="52">
        <f>'MERCADO TUSD'!$U$46</f>
        <v>0</v>
      </c>
      <c r="J49" s="15"/>
      <c r="L49" s="48">
        <f>'TR TUSD'!$L$49*'TR TUSD'!$L$64</f>
        <v>0</v>
      </c>
      <c r="M49" s="48">
        <f>'TR TUSD'!$M$49*'TR TUSD'!$M$64</f>
        <v>0.88097247687369962</v>
      </c>
      <c r="N49" s="48">
        <f ca="1">'TR TUSD'!$N$49*'TR TUSD'!$N$64</f>
        <v>0</v>
      </c>
      <c r="O49" s="48">
        <f>'TR TUSD'!$O$49*'TR TUSD'!$O$64</f>
        <v>0</v>
      </c>
      <c r="P49" s="48">
        <f>'TR TUSD'!$P$49*'TR TUSD'!$P$64</f>
        <v>0</v>
      </c>
      <c r="Q49" s="48">
        <f>'TR TUSD'!$Q$49*'TR TUSD'!$Q$64</f>
        <v>89.927945308394882</v>
      </c>
      <c r="R49" s="48">
        <f>'TR TUSD'!$R$49*'TR TUSD'!$R$64</f>
        <v>14.212577937026817</v>
      </c>
      <c r="S49" s="48">
        <f>'TR TUSD'!$S$49*'TR TUSD'!$S$64</f>
        <v>0</v>
      </c>
      <c r="T49" s="48">
        <f ca="1">SUM($L$49:$S$49)</f>
        <v>105.0214957222954</v>
      </c>
      <c r="U49" s="48">
        <f>'TR TUSD'!$U$49*'TR TUSD'!$U$64</f>
        <v>25.806755942892625</v>
      </c>
      <c r="V49" s="48">
        <f>'TR TUSD'!$V$49*'TR TUSD'!$V$64</f>
        <v>26.760370110916011</v>
      </c>
      <c r="W49" s="48">
        <f>'TR TUSD'!$W$49*'TR TUSD'!$W$64</f>
        <v>6.926810286747898</v>
      </c>
      <c r="X49" s="48">
        <f>'TR TUSD'!$X$49*'TR TUSD'!$X$64</f>
        <v>0</v>
      </c>
      <c r="Y49" s="48">
        <f>'TR TUSD'!$Y$49*'TR TUSD'!$Y$64</f>
        <v>192.27978965414596</v>
      </c>
      <c r="Z49" s="48">
        <f>'TR TUSD'!$Z$49</f>
        <v>0</v>
      </c>
      <c r="AA49" s="48">
        <f>'TR TUSD'!$AA$49</f>
        <v>0</v>
      </c>
      <c r="AB49" s="48">
        <f>SUM($U$49:$AA$49)</f>
        <v>251.77372599470249</v>
      </c>
      <c r="AC49" s="48">
        <f>'TR TUSD'!$AC$49*'TR TUSD'!$AC$64</f>
        <v>462.59823725214568</v>
      </c>
      <c r="AD49" s="48">
        <f>SUM($AC$49:$AC$49)</f>
        <v>462.59823725214568</v>
      </c>
      <c r="AE49" s="48">
        <v>0</v>
      </c>
      <c r="AF49" s="48">
        <v>0</v>
      </c>
      <c r="AG49" s="48">
        <f>SUM($AE$49:$AF$49)</f>
        <v>0</v>
      </c>
      <c r="AH49" s="48">
        <f>'TR TUSD'!$AH$49*'TR TUSD'!$AH$64</f>
        <v>17.244523675929702</v>
      </c>
      <c r="AI49" s="48">
        <f>'TR TUSD'!$AI$49*'TR TUSD'!$AI$64</f>
        <v>0.44320301471941753</v>
      </c>
      <c r="AJ49" s="48">
        <f ca="1">'TR TUSD'!$AJ$49*'TR TUSD'!$AJ$64</f>
        <v>0</v>
      </c>
      <c r="AK49" s="48">
        <f ca="1">'TR TUSD'!$AK$49*'TR TUSD'!$AK$64</f>
        <v>0</v>
      </c>
      <c r="AL49" s="48">
        <f ca="1">SUM($AH$49:$AK$49)</f>
        <v>17.687726690649122</v>
      </c>
      <c r="AM49" s="48">
        <f ca="1">SUMIF($L$4:$AL$4,"SUBTOTAL",$L$49:$AL$49)</f>
        <v>837.08118565979271</v>
      </c>
      <c r="AP49" s="48">
        <f>IF((1 - CUSTOS!$M$31)&lt;&gt;0,1/(1 - CUSTOS!$M$31),1)</f>
        <v>1</v>
      </c>
    </row>
    <row r="50" spans="1:42" ht="11.25" customHeight="1" x14ac:dyDescent="0.25">
      <c r="A50" s="109"/>
      <c r="B50" s="109"/>
      <c r="C50" s="109"/>
      <c r="D50" s="109"/>
      <c r="E50" s="109"/>
      <c r="F50" s="109"/>
      <c r="G50" s="52" t="s">
        <v>94</v>
      </c>
      <c r="H50" s="52" t="s">
        <v>82</v>
      </c>
      <c r="I50" s="52">
        <f>'MERCADO TUSD'!$U$47</f>
        <v>0</v>
      </c>
      <c r="J50" s="15"/>
      <c r="L50" s="48">
        <f>'TR TUSD'!$L$50*'TR TUSD'!$L$64</f>
        <v>0</v>
      </c>
      <c r="M50" s="48">
        <f>'TR TUSD'!$M$50*'TR TUSD'!$M$64</f>
        <v>0.88097247687369962</v>
      </c>
      <c r="N50" s="48">
        <f ca="1">'TR TUSD'!$N$50*'TR TUSD'!$N$64</f>
        <v>0</v>
      </c>
      <c r="O50" s="48">
        <f>'TR TUSD'!$O$50*'TR TUSD'!$O$64</f>
        <v>0</v>
      </c>
      <c r="P50" s="48">
        <f>'TR TUSD'!$P$50*'TR TUSD'!$P$64</f>
        <v>0</v>
      </c>
      <c r="Q50" s="48">
        <f>'TR TUSD'!$Q$50*'TR TUSD'!$Q$64</f>
        <v>89.927945308394882</v>
      </c>
      <c r="R50" s="48">
        <f>'TR TUSD'!$R$50*'TR TUSD'!$R$64</f>
        <v>14.212577937026817</v>
      </c>
      <c r="S50" s="48">
        <f>'TR TUSD'!$S$50*'TR TUSD'!$S$64</f>
        <v>0</v>
      </c>
      <c r="T50" s="48">
        <f ca="1">SUM($L$50:$S$50)</f>
        <v>105.0214957222954</v>
      </c>
      <c r="U50" s="48">
        <f>'TR TUSD'!$U$50*'TR TUSD'!$U$64</f>
        <v>12.903443920418091</v>
      </c>
      <c r="V50" s="48">
        <f>'TR TUSD'!$V$50*'TR TUSD'!$V$64</f>
        <v>13.380269170004688</v>
      </c>
      <c r="W50" s="48">
        <f>'TR TUSD'!$W$50*'TR TUSD'!$W$64</f>
        <v>3.4631449521679256</v>
      </c>
      <c r="X50" s="48">
        <f>'TR TUSD'!$X$50*'TR TUSD'!$X$64</f>
        <v>0</v>
      </c>
      <c r="Y50" s="48">
        <f>'TR TUSD'!$Y$50*'TR TUSD'!$Y$64</f>
        <v>96.139950095164238</v>
      </c>
      <c r="Z50" s="48">
        <f>'TR TUSD'!$Z$50</f>
        <v>0</v>
      </c>
      <c r="AA50" s="48">
        <f>'TR TUSD'!$AA$50</f>
        <v>0</v>
      </c>
      <c r="AB50" s="48">
        <f>SUM($U$50:$AA$50)</f>
        <v>125.88680813775494</v>
      </c>
      <c r="AC50" s="48">
        <f>'TR TUSD'!$AC$50*'TR TUSD'!$AC$64</f>
        <v>231.29907002643918</v>
      </c>
      <c r="AD50" s="48">
        <f>SUM($AC$50:$AC$50)</f>
        <v>231.29907002643918</v>
      </c>
      <c r="AE50" s="48">
        <v>0</v>
      </c>
      <c r="AF50" s="48">
        <v>0</v>
      </c>
      <c r="AG50" s="48">
        <f>SUM($AE$50:$AF$50)</f>
        <v>0</v>
      </c>
      <c r="AH50" s="48">
        <f>'TR TUSD'!$AH$50*'TR TUSD'!$AH$64</f>
        <v>17.244523675929702</v>
      </c>
      <c r="AI50" s="48">
        <f>'TR TUSD'!$AI$50*'TR TUSD'!$AI$64</f>
        <v>0.44320301471941753</v>
      </c>
      <c r="AJ50" s="48">
        <f ca="1">'TR TUSD'!$AJ$50*'TR TUSD'!$AJ$64</f>
        <v>0</v>
      </c>
      <c r="AK50" s="48">
        <f ca="1">'TR TUSD'!$AK$50*'TR TUSD'!$AK$64</f>
        <v>0</v>
      </c>
      <c r="AL50" s="48">
        <f ca="1">SUM($AH$50:$AK$50)</f>
        <v>17.687726690649122</v>
      </c>
      <c r="AM50" s="48">
        <f ca="1">SUMIF($L$4:$AL$4,"SUBTOTAL",$L$50:$AL$50)</f>
        <v>479.89510057713869</v>
      </c>
      <c r="AP50" s="48">
        <f>IF((1 - CUSTOS!$M$31)&lt;&gt;0,1/(1 - CUSTOS!$M$31),1)</f>
        <v>1</v>
      </c>
    </row>
    <row r="51" spans="1:42" ht="11.25" customHeight="1" x14ac:dyDescent="0.25">
      <c r="A51" s="109"/>
      <c r="B51" s="109"/>
      <c r="C51" s="109"/>
      <c r="D51" s="109"/>
      <c r="E51" s="109"/>
      <c r="F51" s="109"/>
      <c r="G51" s="52" t="s">
        <v>84</v>
      </c>
      <c r="H51" s="52" t="s">
        <v>82</v>
      </c>
      <c r="I51" s="52">
        <f>'MERCADO TUSD'!$U$48</f>
        <v>0</v>
      </c>
      <c r="J51" s="15"/>
      <c r="L51" s="48">
        <f>'TR TUSD'!$L$51*'TR TUSD'!$L$64</f>
        <v>0</v>
      </c>
      <c r="M51" s="48">
        <f>'TR TUSD'!$M$51*'TR TUSD'!$M$64</f>
        <v>0.88097247687369962</v>
      </c>
      <c r="N51" s="48">
        <f ca="1">'TR TUSD'!$N$51*'TR TUSD'!$N$64</f>
        <v>0</v>
      </c>
      <c r="O51" s="48">
        <f>'TR TUSD'!$O$51*'TR TUSD'!$O$64</f>
        <v>0</v>
      </c>
      <c r="P51" s="48">
        <f>'TR TUSD'!$P$51*'TR TUSD'!$P$64</f>
        <v>0</v>
      </c>
      <c r="Q51" s="48">
        <f>'TR TUSD'!$Q$51*'TR TUSD'!$Q$64</f>
        <v>89.927945308394882</v>
      </c>
      <c r="R51" s="48">
        <f>'TR TUSD'!$R$51*'TR TUSD'!$R$64</f>
        <v>14.212577937026817</v>
      </c>
      <c r="S51" s="48">
        <f>'TR TUSD'!$S$51*'TR TUSD'!$S$64</f>
        <v>0</v>
      </c>
      <c r="T51" s="48">
        <f ca="1">SUM($L$51:$S$51)</f>
        <v>105.0214957222954</v>
      </c>
      <c r="U51" s="48">
        <f>'TR TUSD'!$U$51*'TR TUSD'!$U$64</f>
        <v>8.6022519809642084</v>
      </c>
      <c r="V51" s="48">
        <f>'TR TUSD'!$V$51*'TR TUSD'!$V$64</f>
        <v>8.9201794466697919</v>
      </c>
      <c r="W51" s="48">
        <f>'TR TUSD'!$W$51*'TR TUSD'!$W$64</f>
        <v>2.3089367622492993</v>
      </c>
      <c r="X51" s="48">
        <f>'TR TUSD'!$X$51*'TR TUSD'!$X$64</f>
        <v>0</v>
      </c>
      <c r="Y51" s="48">
        <f>'TR TUSD'!$Y$51*'TR TUSD'!$Y$64</f>
        <v>64.093300063442825</v>
      </c>
      <c r="Z51" s="48">
        <f>'TR TUSD'!$Z$51</f>
        <v>0</v>
      </c>
      <c r="AA51" s="48">
        <f>'TR TUSD'!$AA$51</f>
        <v>0</v>
      </c>
      <c r="AB51" s="48">
        <f>SUM($U$51:$AA$51)</f>
        <v>83.924668253326132</v>
      </c>
      <c r="AC51" s="48">
        <f>'TR TUSD'!$AC$51*'TR TUSD'!$AC$64</f>
        <v>154.19944481713765</v>
      </c>
      <c r="AD51" s="48">
        <f>SUM($AC$51:$AC$51)</f>
        <v>154.19944481713765</v>
      </c>
      <c r="AE51" s="48">
        <v>0</v>
      </c>
      <c r="AF51" s="48">
        <v>0</v>
      </c>
      <c r="AG51" s="48">
        <f>SUM($AE$51:$AF$51)</f>
        <v>0</v>
      </c>
      <c r="AH51" s="48">
        <f>'TR TUSD'!$AH$51*'TR TUSD'!$AH$64</f>
        <v>17.244523675929702</v>
      </c>
      <c r="AI51" s="48">
        <f>'TR TUSD'!$AI$51*'TR TUSD'!$AI$64</f>
        <v>0.44320301471941753</v>
      </c>
      <c r="AJ51" s="48">
        <f ca="1">'TR TUSD'!$AJ$51*'TR TUSD'!$AJ$64</f>
        <v>0</v>
      </c>
      <c r="AK51" s="48">
        <f ca="1">'TR TUSD'!$AK$51*'TR TUSD'!$AK$64</f>
        <v>0</v>
      </c>
      <c r="AL51" s="48">
        <f ca="1">SUM($AH$51:$AK$51)</f>
        <v>17.687726690649122</v>
      </c>
      <c r="AM51" s="48">
        <f ca="1">SUMIF($L$4:$AL$4,"SUBTOTAL",$L$51:$AL$51)</f>
        <v>360.83333548340829</v>
      </c>
      <c r="AP51" s="48">
        <f>IF((1 - CUSTOS!$M$31)&lt;&gt;0,1/(1 - CUSTOS!$M$31),1)</f>
        <v>1</v>
      </c>
    </row>
    <row r="52" spans="1:42" ht="11.25" customHeight="1" x14ac:dyDescent="0.25">
      <c r="A52" s="109"/>
      <c r="B52" s="51" t="s">
        <v>23</v>
      </c>
      <c r="C52" s="51" t="s">
        <v>25</v>
      </c>
      <c r="D52" s="51" t="s">
        <v>25</v>
      </c>
      <c r="E52" s="51" t="s">
        <v>25</v>
      </c>
      <c r="F52" s="51" t="s">
        <v>25</v>
      </c>
      <c r="G52" s="52" t="s">
        <v>88</v>
      </c>
      <c r="H52" s="52" t="s">
        <v>82</v>
      </c>
      <c r="I52" s="52">
        <f>'MERCADO TUSD'!$U$49</f>
        <v>28646.591999999997</v>
      </c>
      <c r="J52" s="15"/>
      <c r="L52" s="48">
        <f>'TR TUSD'!$L$52*'TR TUSD'!$L$64</f>
        <v>0</v>
      </c>
      <c r="M52" s="48">
        <f>'TR TUSD'!$M$52*'TR TUSD'!$M$64</f>
        <v>0.88097247687369962</v>
      </c>
      <c r="N52" s="48">
        <f ca="1">'TR TUSD'!$N$52*'TR TUSD'!$N$64</f>
        <v>0</v>
      </c>
      <c r="O52" s="48">
        <f>'TR TUSD'!$O$52*'TR TUSD'!$O$64</f>
        <v>0</v>
      </c>
      <c r="P52" s="48">
        <f>'TR TUSD'!$P$52*'TR TUSD'!$P$64</f>
        <v>0</v>
      </c>
      <c r="Q52" s="48">
        <f>'TR TUSD'!$Q$52*'TR TUSD'!$Q$64</f>
        <v>89.927945308394882</v>
      </c>
      <c r="R52" s="48">
        <f>'TR TUSD'!$R$52*'TR TUSD'!$R$64</f>
        <v>14.212577937026817</v>
      </c>
      <c r="S52" s="48">
        <f>'TR TUSD'!$S$52*'TR TUSD'!$S$64</f>
        <v>0</v>
      </c>
      <c r="T52" s="48">
        <f ca="1">SUM($L$52:$S$52)</f>
        <v>105.0214957222954</v>
      </c>
      <c r="U52" s="48">
        <f>'TR TUSD'!$U$52*'TR TUSD'!$U$64</f>
        <v>10.240820133795721</v>
      </c>
      <c r="V52" s="48">
        <f>'TR TUSD'!$V$52*'TR TUSD'!$V$64</f>
        <v>10.619293289672299</v>
      </c>
      <c r="W52" s="48">
        <f>'TR TUSD'!$W$52*'TR TUSD'!$W$64</f>
        <v>2.7486599004283971</v>
      </c>
      <c r="X52" s="48">
        <f>'TR TUSD'!$X$52*'TR TUSD'!$X$64</f>
        <v>0</v>
      </c>
      <c r="Y52" s="48">
        <f>'TR TUSD'!$Y$52*'TR TUSD'!$Y$64</f>
        <v>76.301468740158711</v>
      </c>
      <c r="Z52" s="48">
        <f>'TR TUSD'!$Z$52</f>
        <v>0</v>
      </c>
      <c r="AA52" s="48">
        <f>'TR TUSD'!$AA$52</f>
        <v>0</v>
      </c>
      <c r="AB52" s="48">
        <f>SUM($U$52:$AA$52)</f>
        <v>99.910242064055126</v>
      </c>
      <c r="AC52" s="48">
        <f>'TR TUSD'!$AC$52*'TR TUSD'!$AC$64</f>
        <v>183.57073061115727</v>
      </c>
      <c r="AD52" s="48">
        <f>SUM($AC$52:$AC$52)</f>
        <v>183.57073061115727</v>
      </c>
      <c r="AE52" s="48">
        <v>0</v>
      </c>
      <c r="AF52" s="48">
        <v>0</v>
      </c>
      <c r="AG52" s="48">
        <f>SUM($AE$52:$AF$52)</f>
        <v>0</v>
      </c>
      <c r="AH52" s="48">
        <f>'TR TUSD'!$AH$52*'TR TUSD'!$AH$64</f>
        <v>17.244523675929702</v>
      </c>
      <c r="AI52" s="48">
        <f>'TR TUSD'!$AI$52*'TR TUSD'!$AI$64</f>
        <v>0.44320301471941753</v>
      </c>
      <c r="AJ52" s="48">
        <f ca="1">'TR TUSD'!$AJ$52*'TR TUSD'!$AJ$64</f>
        <v>0</v>
      </c>
      <c r="AK52" s="48">
        <f ca="1">'TR TUSD'!$AK$52*'TR TUSD'!$AK$64</f>
        <v>0</v>
      </c>
      <c r="AL52" s="48">
        <f ca="1">SUM($AH$52:$AK$52)</f>
        <v>17.687726690649122</v>
      </c>
      <c r="AM52" s="48">
        <f ca="1">SUMIF($L$4:$AL$4,"SUBTOTAL",$L$52:$AL$52)</f>
        <v>406.19019508815694</v>
      </c>
      <c r="AP52" s="48">
        <f>IF((1 - CUSTOS!$M$31)&lt;&gt;0,1/(1 - CUSTOS!$M$31),1)</f>
        <v>1</v>
      </c>
    </row>
    <row r="53" spans="1:42" ht="11.25" customHeight="1" x14ac:dyDescent="0.25">
      <c r="A53" s="109"/>
      <c r="B53" s="51" t="s">
        <v>97</v>
      </c>
      <c r="C53" s="51" t="s">
        <v>25</v>
      </c>
      <c r="D53" s="51" t="s">
        <v>25</v>
      </c>
      <c r="E53" s="51" t="s">
        <v>25</v>
      </c>
      <c r="F53" s="51" t="s">
        <v>25</v>
      </c>
      <c r="G53" s="52" t="s">
        <v>88</v>
      </c>
      <c r="H53" s="52" t="s">
        <v>82</v>
      </c>
      <c r="I53" s="52">
        <f>'MERCADO TUSD'!$U$50</f>
        <v>0</v>
      </c>
      <c r="J53" s="15"/>
      <c r="L53" s="48">
        <f>'TR TUSD'!$L$53*'TR TUSD'!$L$64</f>
        <v>0</v>
      </c>
      <c r="M53" s="48">
        <f>'TR TUSD'!$M$53*'TR TUSD'!$M$64</f>
        <v>0.88097247687369962</v>
      </c>
      <c r="N53" s="48">
        <f ca="1">'TR TUSD'!$N$53*'TR TUSD'!$N$64</f>
        <v>0</v>
      </c>
      <c r="O53" s="48">
        <f>'TR TUSD'!$O$53*'TR TUSD'!$O$64</f>
        <v>0</v>
      </c>
      <c r="P53" s="48">
        <f>'TR TUSD'!$P$53*'TR TUSD'!$P$64</f>
        <v>0</v>
      </c>
      <c r="Q53" s="48">
        <f>'TR TUSD'!$Q$53*'TR TUSD'!$Q$64</f>
        <v>89.927945308394882</v>
      </c>
      <c r="R53" s="48">
        <f>'TR TUSD'!$R$53*'TR TUSD'!$R$64</f>
        <v>14.212577937026817</v>
      </c>
      <c r="S53" s="48">
        <f>'TR TUSD'!$S$53*'TR TUSD'!$S$64</f>
        <v>0</v>
      </c>
      <c r="T53" s="48">
        <f ca="1">SUM($L$53:$S$53)</f>
        <v>105.0214957222954</v>
      </c>
      <c r="U53" s="48">
        <f>'TR TUSD'!$U$53*'TR TUSD'!$U$64</f>
        <v>10.240820133795721</v>
      </c>
      <c r="V53" s="48">
        <f>'TR TUSD'!$V$53*'TR TUSD'!$V$64</f>
        <v>10.619293289672299</v>
      </c>
      <c r="W53" s="48">
        <f>'TR TUSD'!$W$53*'TR TUSD'!$W$64</f>
        <v>2.7486599004283971</v>
      </c>
      <c r="X53" s="48">
        <f>'TR TUSD'!$X$53*'TR TUSD'!$X$64</f>
        <v>0</v>
      </c>
      <c r="Y53" s="48">
        <f>'TR TUSD'!$Y$53*'TR TUSD'!$Y$64</f>
        <v>76.301468740158711</v>
      </c>
      <c r="Z53" s="48">
        <f>'TR TUSD'!$Z$53</f>
        <v>0</v>
      </c>
      <c r="AA53" s="48">
        <f>'TR TUSD'!$AA$53</f>
        <v>0</v>
      </c>
      <c r="AB53" s="48">
        <f>SUM($U$53:$AA$53)</f>
        <v>99.910242064055126</v>
      </c>
      <c r="AC53" s="48">
        <f>'TR TUSD'!$AC$53*'TR TUSD'!$AC$64</f>
        <v>183.57073061115727</v>
      </c>
      <c r="AD53" s="48">
        <f>SUM($AC$53:$AC$53)</f>
        <v>183.57073061115727</v>
      </c>
      <c r="AE53" s="48">
        <v>0</v>
      </c>
      <c r="AF53" s="48">
        <v>0</v>
      </c>
      <c r="AG53" s="48">
        <f>SUM($AE$53:$AF$53)</f>
        <v>0</v>
      </c>
      <c r="AH53" s="48">
        <f>'TR TUSD'!$AH$53*'TR TUSD'!$AH$64</f>
        <v>17.244523675929702</v>
      </c>
      <c r="AI53" s="48">
        <f>'TR TUSD'!$AI$53*'TR TUSD'!$AI$64</f>
        <v>0.44320301471941753</v>
      </c>
      <c r="AJ53" s="48">
        <f ca="1">'TR TUSD'!$AJ$53*'TR TUSD'!$AJ$64</f>
        <v>0</v>
      </c>
      <c r="AK53" s="48">
        <f ca="1">'TR TUSD'!$AK$53*'TR TUSD'!$AK$64</f>
        <v>0</v>
      </c>
      <c r="AL53" s="48">
        <f ca="1">SUM($AH$53:$AK$53)</f>
        <v>17.687726690649122</v>
      </c>
      <c r="AM53" s="48">
        <f ca="1">SUMIF($L$4:$AL$4,"SUBTOTAL",$L$53:$AL$53)</f>
        <v>406.19019508815694</v>
      </c>
      <c r="AP53" s="48">
        <f>IF((1 - CUSTOS!$M$31)&lt;&gt;0,1/(1 - CUSTOS!$M$31),1)</f>
        <v>1</v>
      </c>
    </row>
    <row r="54" spans="1:42" ht="11.25" customHeight="1" x14ac:dyDescent="0.25">
      <c r="A54" s="109" t="s">
        <v>44</v>
      </c>
      <c r="B54" s="109" t="s">
        <v>23</v>
      </c>
      <c r="C54" s="109" t="s">
        <v>45</v>
      </c>
      <c r="D54" s="51" t="s">
        <v>46</v>
      </c>
      <c r="E54" s="51" t="s">
        <v>25</v>
      </c>
      <c r="F54" s="51" t="s">
        <v>25</v>
      </c>
      <c r="G54" s="52" t="s">
        <v>88</v>
      </c>
      <c r="H54" s="52" t="s">
        <v>82</v>
      </c>
      <c r="I54" s="52">
        <f>'MERCADO TUSD'!$U$51</f>
        <v>6635.9900000000007</v>
      </c>
      <c r="J54" s="15"/>
      <c r="L54" s="48">
        <f>'TR TUSD'!$L$54*'TR TUSD'!$L$64</f>
        <v>0</v>
      </c>
      <c r="M54" s="48">
        <f>'TR TUSD'!$M$54*'TR TUSD'!$M$64</f>
        <v>0.48453486228053483</v>
      </c>
      <c r="N54" s="48">
        <f ca="1">'TR TUSD'!$N$54*'TR TUSD'!$N$64</f>
        <v>0</v>
      </c>
      <c r="O54" s="48">
        <f>'TR TUSD'!$O$54*'TR TUSD'!$O$64</f>
        <v>0</v>
      </c>
      <c r="P54" s="48">
        <f>'TR TUSD'!$P$54*'TR TUSD'!$P$64</f>
        <v>0</v>
      </c>
      <c r="Q54" s="48">
        <f>'TR TUSD'!$Q$54*'TR TUSD'!$Q$64</f>
        <v>49.460369919617186</v>
      </c>
      <c r="R54" s="48">
        <f>'TR TUSD'!$R$54*'TR TUSD'!$R$64</f>
        <v>7.8169178653647498</v>
      </c>
      <c r="S54" s="48">
        <f>'TR TUSD'!$S$54*'TR TUSD'!$S$64</f>
        <v>0</v>
      </c>
      <c r="T54" s="48">
        <f ca="1">SUM($L$54:$S$54)</f>
        <v>57.76182264726247</v>
      </c>
      <c r="U54" s="48">
        <f>'TR TUSD'!$U$54*'TR TUSD'!$U$64</f>
        <v>5.6324510735876467</v>
      </c>
      <c r="V54" s="48">
        <f>'TR TUSD'!$V$54*'TR TUSD'!$V$64</f>
        <v>5.8406113093197654</v>
      </c>
      <c r="W54" s="48">
        <f>'TR TUSD'!$W$54*'TR TUSD'!$W$64</f>
        <v>1.5117629452356187</v>
      </c>
      <c r="X54" s="48">
        <f>'TR TUSD'!$X$54*'TR TUSD'!$X$64</f>
        <v>0</v>
      </c>
      <c r="Y54" s="48">
        <f>'TR TUSD'!$Y$54*'TR TUSD'!$Y$64</f>
        <v>41.965807807087295</v>
      </c>
      <c r="Z54" s="48">
        <f>'TR TUSD'!$Z$54</f>
        <v>0</v>
      </c>
      <c r="AA54" s="48">
        <f>'TR TUSD'!$AA$54</f>
        <v>0</v>
      </c>
      <c r="AB54" s="48">
        <f>SUM($U$54:$AA$54)</f>
        <v>54.950633135230326</v>
      </c>
      <c r="AC54" s="48">
        <f>'TR TUSD'!$AC$54*'TR TUSD'!$AC$64</f>
        <v>100.9639018361365</v>
      </c>
      <c r="AD54" s="48">
        <f>SUM($AC$54:$AC$54)</f>
        <v>100.9639018361365</v>
      </c>
      <c r="AE54" s="48">
        <v>0</v>
      </c>
      <c r="AF54" s="48">
        <v>0</v>
      </c>
      <c r="AG54" s="48">
        <f>SUM($AE$54:$AF$54)</f>
        <v>0</v>
      </c>
      <c r="AH54" s="48">
        <f>'TR TUSD'!$AH$54*'TR TUSD'!$AH$64</f>
        <v>9.4844880217613365</v>
      </c>
      <c r="AI54" s="48">
        <f>'TR TUSD'!$AI$54*'TR TUSD'!$AI$64</f>
        <v>0.24376165809567968</v>
      </c>
      <c r="AJ54" s="48">
        <f ca="1">'TR TUSD'!$AJ$54*'TR TUSD'!$AJ$64</f>
        <v>0</v>
      </c>
      <c r="AK54" s="48">
        <f ca="1">'TR TUSD'!$AK$54*'TR TUSD'!$AK$64</f>
        <v>0</v>
      </c>
      <c r="AL54" s="48">
        <f ca="1">SUM($AH$54:$AK$54)</f>
        <v>9.7282496798570168</v>
      </c>
      <c r="AM54" s="48">
        <f ca="1">SUMIF($L$4:$AL$4,"SUBTOTAL",$L$54:$AL$54)</f>
        <v>223.40460729848633</v>
      </c>
      <c r="AP54" s="48">
        <f>IF((1 - CUSTOS!$M$32)&lt;&gt;0,1/(1 - CUSTOS!$M$32),1)</f>
        <v>1.8181818181818181</v>
      </c>
    </row>
    <row r="55" spans="1:42" ht="11.25" customHeight="1" x14ac:dyDescent="0.25">
      <c r="A55" s="109"/>
      <c r="B55" s="109"/>
      <c r="C55" s="109"/>
      <c r="D55" s="52" t="s">
        <v>100</v>
      </c>
      <c r="E55" s="52" t="s">
        <v>25</v>
      </c>
      <c r="F55" s="52" t="s">
        <v>25</v>
      </c>
      <c r="G55" s="52" t="s">
        <v>88</v>
      </c>
      <c r="H55" s="52" t="s">
        <v>82</v>
      </c>
      <c r="I55" s="52">
        <f>'MERCADO TUSD'!$U$52</f>
        <v>0</v>
      </c>
      <c r="J55" s="15"/>
      <c r="L55" s="48">
        <f>'TR TUSD'!$L$55*'TR TUSD'!$L$64</f>
        <v>0</v>
      </c>
      <c r="M55" s="48">
        <f>'TR TUSD'!$M$55*'TR TUSD'!$M$64</f>
        <v>0.52858348612421979</v>
      </c>
      <c r="N55" s="48">
        <f ca="1">'TR TUSD'!$N$55*'TR TUSD'!$N$64</f>
        <v>0</v>
      </c>
      <c r="O55" s="48">
        <f>'TR TUSD'!$O$55*'TR TUSD'!$O$64</f>
        <v>0</v>
      </c>
      <c r="P55" s="48">
        <f>'TR TUSD'!$P$55*'TR TUSD'!$P$64</f>
        <v>0</v>
      </c>
      <c r="Q55" s="48">
        <f>'TR TUSD'!$Q$55*'TR TUSD'!$Q$64</f>
        <v>53.956767185036931</v>
      </c>
      <c r="R55" s="48">
        <f>'TR TUSD'!$R$55*'TR TUSD'!$R$64</f>
        <v>8.5275467622160903</v>
      </c>
      <c r="S55" s="48">
        <f>'TR TUSD'!$S$55*'TR TUSD'!$S$64</f>
        <v>0</v>
      </c>
      <c r="T55" s="48">
        <f ca="1">SUM($L$55:$S$55)</f>
        <v>63.01289743337724</v>
      </c>
      <c r="U55" s="48">
        <f>'TR TUSD'!$U$55*'TR TUSD'!$U$64</f>
        <v>6.1444920802774314</v>
      </c>
      <c r="V55" s="48">
        <f>'TR TUSD'!$V$55*'TR TUSD'!$V$64</f>
        <v>6.3715759738033801</v>
      </c>
      <c r="W55" s="48">
        <f>'TR TUSD'!$W$55*'TR TUSD'!$W$64</f>
        <v>1.6491959402570382</v>
      </c>
      <c r="X55" s="48">
        <f>'TR TUSD'!$X$55*'TR TUSD'!$X$64</f>
        <v>0</v>
      </c>
      <c r="Y55" s="48">
        <f>'TR TUSD'!$Y$55*'TR TUSD'!$Y$64</f>
        <v>45.780881244095227</v>
      </c>
      <c r="Z55" s="48">
        <f>'TR TUSD'!$Z$55</f>
        <v>0</v>
      </c>
      <c r="AA55" s="48">
        <f>'TR TUSD'!$AA$55</f>
        <v>0</v>
      </c>
      <c r="AB55" s="48">
        <f>SUM($U$55:$AA$55)</f>
        <v>59.946145238433076</v>
      </c>
      <c r="AC55" s="48">
        <f>'TR TUSD'!$AC$55*'TR TUSD'!$AC$64</f>
        <v>110.14243836669436</v>
      </c>
      <c r="AD55" s="48">
        <f>SUM($AC$55:$AC$55)</f>
        <v>110.14243836669436</v>
      </c>
      <c r="AE55" s="48">
        <v>0</v>
      </c>
      <c r="AF55" s="48">
        <v>0</v>
      </c>
      <c r="AG55" s="48">
        <f>SUM($AE$55:$AF$55)</f>
        <v>0</v>
      </c>
      <c r="AH55" s="48">
        <f>'TR TUSD'!$AH$55*'TR TUSD'!$AH$64</f>
        <v>10.346714205557822</v>
      </c>
      <c r="AI55" s="48">
        <f>'TR TUSD'!$AI$55*'TR TUSD'!$AI$64</f>
        <v>0.26592180883165051</v>
      </c>
      <c r="AJ55" s="48">
        <f ca="1">'TR TUSD'!$AJ$55*'TR TUSD'!$AJ$64</f>
        <v>0</v>
      </c>
      <c r="AK55" s="48">
        <f ca="1">'TR TUSD'!$AK$55*'TR TUSD'!$AK$64</f>
        <v>0</v>
      </c>
      <c r="AL55" s="48">
        <f ca="1">SUM($AH$55:$AK$55)</f>
        <v>10.612636014389473</v>
      </c>
      <c r="AM55" s="48">
        <f ca="1">SUMIF($L$4:$AL$4,"SUBTOTAL",$L$55:$AL$55)</f>
        <v>243.71411705289415</v>
      </c>
      <c r="AP55" s="48">
        <f>IF((1 - CUSTOS!$M$33)&lt;&gt;0,1/(1 - CUSTOS!$M$33),1)</f>
        <v>1.6666666666666667</v>
      </c>
    </row>
    <row r="57" spans="1:42" ht="11.25" customHeight="1" x14ac:dyDescent="0.25">
      <c r="K57" s="50" t="s">
        <v>554</v>
      </c>
      <c r="L57" s="48">
        <f>SUMPRODUCT($I$5:$I55,$L$5:$L55)</f>
        <v>0</v>
      </c>
      <c r="M57" s="48">
        <f>SUMPRODUCT($I$5:$I55,$M$5:$M55)</f>
        <v>571750.29665963585</v>
      </c>
      <c r="N57" s="48">
        <f ca="1">SUMPRODUCT($I$5:$I55,$N$5:$N55)</f>
        <v>0</v>
      </c>
      <c r="O57" s="48">
        <f>SUMPRODUCT($I$5:$I55,$O$5:$O55)</f>
        <v>0</v>
      </c>
      <c r="P57" s="48">
        <f>SUMPRODUCT($I$5:$I55,$P$5:$P55)</f>
        <v>0</v>
      </c>
      <c r="Q57" s="48">
        <f>SUMPRODUCT($I$5:$I55,$Q$5:$Q55)</f>
        <v>41758936.66002997</v>
      </c>
      <c r="R57" s="48">
        <f>SUMPRODUCT($I$5:$I55,$R$5:$R55)</f>
        <v>7262217.1152899945</v>
      </c>
      <c r="S57" s="48">
        <f>SUMPRODUCT($I$5:$I55,$S$5:$S55)</f>
        <v>0</v>
      </c>
      <c r="T57" s="48">
        <f ca="1">SUMPRODUCT($I$5:$I55,$T$5:$T55)</f>
        <v>49592904.07197962</v>
      </c>
      <c r="U57" s="48">
        <f>SUMPRODUCT($I$5:$I55,$U$5:$U55)</f>
        <v>5594748.0000000019</v>
      </c>
      <c r="V57" s="48">
        <f>SUMPRODUCT($I$5:$I55,$V$5:$V55)</f>
        <v>5560982.4000000004</v>
      </c>
      <c r="W57" s="48">
        <f>SUMPRODUCT($I$5:$I55,$W$5:$W55)</f>
        <v>1433901.8803534398</v>
      </c>
      <c r="X57" s="48">
        <f>SUMPRODUCT($I$5:$I55,$X$5:$X55)</f>
        <v>0</v>
      </c>
      <c r="Y57" s="48">
        <f>SUMPRODUCT($I$5:$I55,$Y$5:$Y55)</f>
        <v>37990562.243483499</v>
      </c>
      <c r="Z57" s="48">
        <f>SUMPRODUCT($I$5:$I55,$Z$5:$Z55)</f>
        <v>0</v>
      </c>
      <c r="AA57" s="48">
        <f>SUMPRODUCT($I$5:$I55,$AA$5:$AA55)</f>
        <v>0</v>
      </c>
      <c r="AB57" s="48">
        <f>SUMPRODUCT($I$5:$I55,$AB$5:$AB55)</f>
        <v>50580194.523836941</v>
      </c>
      <c r="AC57" s="48">
        <f>SUMPRODUCT($I$5:$I55,$AC$5:$AC55)</f>
        <v>120000000.00000001</v>
      </c>
      <c r="AD57" s="48">
        <f>SUMPRODUCT($I$5:$I55,$AD$5:$AD55)</f>
        <v>120000000.00000001</v>
      </c>
      <c r="AE57" s="48">
        <f>SUMPRODUCT($I$5:$I55,$AE$5:$AE55)</f>
        <v>0</v>
      </c>
      <c r="AF57" s="48">
        <f>SUMPRODUCT($I$5:$I55,$AF$5:$AF55)</f>
        <v>0</v>
      </c>
      <c r="AG57" s="48">
        <f>SUMPRODUCT($I$5:$I55,$AG$5:$AG55)</f>
        <v>0</v>
      </c>
      <c r="AH57" s="48">
        <f>SUMPRODUCT($I$5:$I55,$AH$5:$AH55)</f>
        <v>6123212.2798922192</v>
      </c>
      <c r="AI57" s="48">
        <f>SUMPRODUCT($I$5:$I55,$AI$5:$AI55)</f>
        <v>157345.05914538127</v>
      </c>
      <c r="AJ57" s="48">
        <f ca="1">SUMPRODUCT($I$5:$I55,$AJ$5:$AJ55)</f>
        <v>0</v>
      </c>
      <c r="AK57" s="48">
        <f ca="1">SUMPRODUCT($I$5:$I55,$AK$5:$AK55)</f>
        <v>0</v>
      </c>
      <c r="AL57" s="48">
        <f ca="1">SUMPRODUCT($I$5:$I55,$AL$5:$AL55)</f>
        <v>6280557.3390376</v>
      </c>
      <c r="AM57" s="48">
        <f ca="1">SUMPRODUCT($I$5:$I55,$AM$5:$AM55)</f>
        <v>226453655.93485424</v>
      </c>
    </row>
    <row r="58" spans="1:42" ht="11.25" customHeight="1" x14ac:dyDescent="0.25">
      <c r="K58" s="50" t="s">
        <v>486</v>
      </c>
      <c r="L58" s="48">
        <f>'TR TUSD'!$L$60</f>
        <v>0</v>
      </c>
      <c r="M58" s="48">
        <f>'TR TUSD'!$M$60</f>
        <v>571750.29665963561</v>
      </c>
      <c r="N58" s="48">
        <f>'TR TUSD'!$N$60</f>
        <v>0</v>
      </c>
      <c r="O58" s="48">
        <f>'TR TUSD'!$O$60</f>
        <v>0</v>
      </c>
      <c r="P58" s="48">
        <f>'TR TUSD'!$P$60</f>
        <v>0</v>
      </c>
      <c r="Q58" s="48">
        <f>'TR TUSD'!$Q$60</f>
        <v>41758936.660029978</v>
      </c>
      <c r="R58" s="48">
        <f>'TR TUSD'!$R$60</f>
        <v>7262217.1152899964</v>
      </c>
      <c r="S58" s="48">
        <f>'TR TUSD'!$S$60</f>
        <v>0</v>
      </c>
      <c r="T58" s="48">
        <f>'TR TUSD'!$T$60</f>
        <v>49592904.071979605</v>
      </c>
      <c r="U58" s="48">
        <f>'TR TUSD'!$U$60</f>
        <v>5594748</v>
      </c>
      <c r="V58" s="48">
        <f>'TR TUSD'!$V$60</f>
        <v>5560982.4000000004</v>
      </c>
      <c r="W58" s="48">
        <f>'TR TUSD'!$W$60</f>
        <v>1433901.8803534401</v>
      </c>
      <c r="X58" s="48">
        <f>'TR TUSD'!$X$60</f>
        <v>0</v>
      </c>
      <c r="Y58" s="48">
        <f>'TR TUSD'!$Y$60</f>
        <v>37990562.243483499</v>
      </c>
      <c r="Z58" s="48">
        <f>'TR TUSD'!$Z$60</f>
        <v>0</v>
      </c>
      <c r="AA58" s="48">
        <f>'TR TUSD'!$AA$60</f>
        <v>0</v>
      </c>
      <c r="AB58" s="48">
        <f>'TR TUSD'!$AB$60</f>
        <v>50580194.523836941</v>
      </c>
      <c r="AC58" s="48">
        <f>'TR TUSD'!$AC$60</f>
        <v>120000000</v>
      </c>
      <c r="AD58" s="48">
        <f>'TR TUSD'!$AD$60</f>
        <v>120000000</v>
      </c>
      <c r="AE58" s="48">
        <f>'TR TUSD'!$AE$60</f>
        <v>0</v>
      </c>
      <c r="AF58" s="48">
        <f>'TR TUSD'!$AF$60</f>
        <v>0</v>
      </c>
      <c r="AG58" s="48">
        <f>'TR TUSD'!$AG$60</f>
        <v>0</v>
      </c>
      <c r="AH58" s="48">
        <f>'TR TUSD'!$AH$60</f>
        <v>6123212.2798922192</v>
      </c>
      <c r="AI58" s="48">
        <f>'TR TUSD'!$AI$60</f>
        <v>157345.05914538127</v>
      </c>
      <c r="AJ58" s="48">
        <f>'TR TUSD'!$AJ$60</f>
        <v>0</v>
      </c>
      <c r="AK58" s="48">
        <f>'TR TUSD'!$AK$60</f>
        <v>0</v>
      </c>
      <c r="AL58" s="48">
        <f>'TR TUSD'!$AL$60</f>
        <v>6280557.3390376009</v>
      </c>
      <c r="AM58" s="48">
        <f>CUSTOS!$D$29</f>
        <v>226453655.93485415</v>
      </c>
    </row>
    <row r="59" spans="1:42" ht="11.25" customHeight="1" x14ac:dyDescent="0.25">
      <c r="K59" s="50" t="s">
        <v>487</v>
      </c>
      <c r="L59" s="48">
        <f>CUSTOS!$E$2</f>
        <v>0</v>
      </c>
      <c r="M59" s="48">
        <f>CUSTOS!$E$3</f>
        <v>-64281.700820421684</v>
      </c>
      <c r="N59" s="48">
        <f>CUSTOS!$E$4</f>
        <v>0</v>
      </c>
      <c r="O59" s="48">
        <f>CUSTOS!$E$5</f>
        <v>0</v>
      </c>
      <c r="P59" s="48">
        <f>CUSTOS!$E$6</f>
        <v>0</v>
      </c>
      <c r="Q59" s="48">
        <f>CUSTOS!$E$7</f>
        <v>-2646021.415328952</v>
      </c>
      <c r="R59" s="48">
        <f>CUSTOS!$E$8</f>
        <v>-454323.12587125652</v>
      </c>
      <c r="S59" s="48">
        <f>CUSTOS!$E$9</f>
        <v>0</v>
      </c>
      <c r="T59" s="48">
        <f>CUSTOS!$E$10</f>
        <v>-3164626.2420206303</v>
      </c>
      <c r="U59" s="48">
        <f>CUSTOS!$E$11</f>
        <v>380279.93064310966</v>
      </c>
      <c r="V59" s="48">
        <f>CUSTOS!$E$12</f>
        <v>377984.85318365612</v>
      </c>
      <c r="W59" s="48">
        <f>CUSTOS!$E$13</f>
        <v>0</v>
      </c>
      <c r="X59" s="48">
        <f>CUSTOS!$E$14</f>
        <v>0</v>
      </c>
      <c r="Y59" s="48">
        <f>CUSTOS!$E$15</f>
        <v>1455858.1927852128</v>
      </c>
      <c r="Z59" s="48">
        <f>CUSTOS!$E$16</f>
        <v>0</v>
      </c>
      <c r="AA59" s="48">
        <f>CUSTOS!$E$17</f>
        <v>0</v>
      </c>
      <c r="AB59" s="48">
        <f>CUSTOS!$E$18</f>
        <v>2214122.9766119784</v>
      </c>
      <c r="AC59" s="48">
        <f>CUSTOS!$E$19</f>
        <v>-71793285.037046626</v>
      </c>
      <c r="AD59" s="48">
        <f>CUSTOS!$E$20</f>
        <v>-71793285.037046626</v>
      </c>
      <c r="AE59" s="48">
        <f>CUSTOS!$E$21</f>
        <v>-661953.25082248438</v>
      </c>
      <c r="AF59" s="48">
        <f>CUSTOS!$E$22</f>
        <v>0</v>
      </c>
      <c r="AG59" s="48">
        <f>CUSTOS!$E$23</f>
        <v>-661953.25082248438</v>
      </c>
      <c r="AH59" s="48">
        <f>CUSTOS!$E$24</f>
        <v>-230405.88272357595</v>
      </c>
      <c r="AI59" s="48">
        <f>CUSTOS!$E$25</f>
        <v>-5920.6223118599719</v>
      </c>
      <c r="AJ59" s="48">
        <f>CUSTOS!$E$26</f>
        <v>0</v>
      </c>
      <c r="AK59" s="48">
        <f>CUSTOS!$E$27</f>
        <v>0</v>
      </c>
      <c r="AL59" s="48">
        <f>CUSTOS!$E$28</f>
        <v>-236326.50503543593</v>
      </c>
      <c r="AM59" s="48">
        <f>CUSTOS!$E$29</f>
        <v>-73642068.058313191</v>
      </c>
    </row>
    <row r="60" spans="1:42" ht="11.25" customHeight="1" x14ac:dyDescent="0.25">
      <c r="K60" s="50" t="s">
        <v>488</v>
      </c>
      <c r="L60" s="48">
        <f>CUSTOS!$F$2</f>
        <v>0</v>
      </c>
      <c r="M60" s="48">
        <f>CUSTOS!$F$3</f>
        <v>0</v>
      </c>
      <c r="N60" s="48">
        <f>CUSTOS!$F$4</f>
        <v>0</v>
      </c>
      <c r="O60" s="48">
        <f>CUSTOS!$F$5</f>
        <v>0</v>
      </c>
      <c r="P60" s="48">
        <f>CUSTOS!$F$6</f>
        <v>0</v>
      </c>
      <c r="Q60" s="48">
        <f>CUSTOS!$F$7</f>
        <v>0</v>
      </c>
      <c r="R60" s="48">
        <f>CUSTOS!$F$8</f>
        <v>0</v>
      </c>
      <c r="S60" s="48">
        <f>CUSTOS!$F$9</f>
        <v>0</v>
      </c>
      <c r="T60" s="48">
        <f>CUSTOS!$F$10</f>
        <v>0</v>
      </c>
      <c r="U60" s="48">
        <f>CUSTOS!$F$11</f>
        <v>0</v>
      </c>
      <c r="V60" s="48">
        <f>CUSTOS!$F$12</f>
        <v>0</v>
      </c>
      <c r="W60" s="48">
        <f>CUSTOS!$F$13</f>
        <v>0</v>
      </c>
      <c r="X60" s="48">
        <f>CUSTOS!$F$14</f>
        <v>0</v>
      </c>
      <c r="Y60" s="48">
        <f>CUSTOS!$F$15</f>
        <v>0</v>
      </c>
      <c r="Z60" s="48">
        <f>CUSTOS!$F$16</f>
        <v>0</v>
      </c>
      <c r="AA60" s="48">
        <f>CUSTOS!$F$17</f>
        <v>0</v>
      </c>
      <c r="AB60" s="48">
        <f>CUSTOS!$F$18</f>
        <v>0</v>
      </c>
      <c r="AC60" s="48">
        <f>CUSTOS!$F$19</f>
        <v>0</v>
      </c>
      <c r="AD60" s="48">
        <f>CUSTOS!$F$20</f>
        <v>0</v>
      </c>
      <c r="AE60" s="48">
        <f>CUSTOS!$F$21</f>
        <v>0</v>
      </c>
      <c r="AF60" s="48">
        <f>CUSTOS!$F$22</f>
        <v>0</v>
      </c>
      <c r="AG60" s="48">
        <f>CUSTOS!$F$23</f>
        <v>0</v>
      </c>
      <c r="AH60" s="48">
        <f>CUSTOS!$F$24</f>
        <v>0</v>
      </c>
      <c r="AI60" s="48">
        <f>CUSTOS!$F$25</f>
        <v>0</v>
      </c>
      <c r="AJ60" s="48">
        <f>CUSTOS!$F$26</f>
        <v>0</v>
      </c>
      <c r="AK60" s="48">
        <f>CUSTOS!$F$27</f>
        <v>0</v>
      </c>
      <c r="AL60" s="48">
        <f>CUSTOS!$F$28</f>
        <v>0</v>
      </c>
      <c r="AM60" s="48">
        <f>CUSTOS!$F$29</f>
        <v>0</v>
      </c>
    </row>
    <row r="61" spans="1:42" ht="11.25" customHeight="1" x14ac:dyDescent="0.25">
      <c r="K61" s="50" t="s">
        <v>551</v>
      </c>
      <c r="L61" s="48">
        <v>0</v>
      </c>
      <c r="M61" s="48">
        <v>0</v>
      </c>
      <c r="N61" s="48">
        <v>0</v>
      </c>
      <c r="O61" s="48">
        <v>0</v>
      </c>
      <c r="P61" s="48">
        <v>0</v>
      </c>
      <c r="Q61" s="48">
        <v>0</v>
      </c>
      <c r="R61" s="48">
        <v>0</v>
      </c>
      <c r="S61" s="48">
        <v>0</v>
      </c>
      <c r="T61" s="48">
        <f>SUM($L$61:$S$61)</f>
        <v>0</v>
      </c>
      <c r="U61" s="48">
        <v>0</v>
      </c>
      <c r="V61" s="48">
        <v>0</v>
      </c>
      <c r="W61" s="48">
        <v>0</v>
      </c>
      <c r="X61" s="48">
        <v>0</v>
      </c>
      <c r="Y61" s="48">
        <v>0</v>
      </c>
      <c r="Z61" s="48">
        <v>0</v>
      </c>
      <c r="AA61" s="48">
        <v>0</v>
      </c>
      <c r="AB61" s="48">
        <f>SUM($U$61:$AA$61)</f>
        <v>0</v>
      </c>
      <c r="AC61" s="48">
        <v>0</v>
      </c>
      <c r="AD61" s="48">
        <f>SUM($AC$61:$AC$61)</f>
        <v>0</v>
      </c>
      <c r="AE61" s="48">
        <v>0</v>
      </c>
      <c r="AF61" s="48">
        <v>0</v>
      </c>
      <c r="AG61" s="48">
        <f>SUM($AE$61:$AF$61)</f>
        <v>0</v>
      </c>
      <c r="AH61" s="48">
        <v>0</v>
      </c>
      <c r="AI61" s="48">
        <v>0</v>
      </c>
      <c r="AJ61" s="48">
        <v>0</v>
      </c>
      <c r="AK61" s="48">
        <v>0</v>
      </c>
      <c r="AL61" s="48">
        <f>SUM($AH$61:$AK$61)</f>
        <v>0</v>
      </c>
      <c r="AM61" s="48">
        <f>SUMIF($L$4:$AL$4,"SUBTOTAL",$L$61:$AL$61)</f>
        <v>0</v>
      </c>
    </row>
    <row r="62" spans="1:42" ht="11.25" customHeight="1" x14ac:dyDescent="0.25">
      <c r="K62" s="50" t="s">
        <v>555</v>
      </c>
      <c r="L62" s="48">
        <f t="shared" ref="L62:R62" si="0">IF((L57-(0))&lt;&gt;0,(L59)/(L57-(0)),0)</f>
        <v>0</v>
      </c>
      <c r="M62" s="48">
        <f t="shared" si="0"/>
        <v>-0.11242967637442035</v>
      </c>
      <c r="N62" s="48">
        <f t="shared" ca="1" si="0"/>
        <v>0</v>
      </c>
      <c r="O62" s="48">
        <f t="shared" si="0"/>
        <v>0</v>
      </c>
      <c r="P62" s="48">
        <f t="shared" si="0"/>
        <v>0</v>
      </c>
      <c r="Q62" s="48">
        <f t="shared" si="0"/>
        <v>-6.3364195234923704E-2</v>
      </c>
      <c r="R62" s="48">
        <f t="shared" si="0"/>
        <v>-6.2559837947383443E-2</v>
      </c>
      <c r="S62" s="48">
        <f>IF((R57-(0)&lt;&gt;0),(S59)/(R57-(0)),0)</f>
        <v>0</v>
      </c>
      <c r="T62" s="48"/>
      <c r="U62" s="48">
        <f t="shared" ref="U62:AA62" si="1">IF((U57-(0))&lt;&gt;0,(U59)/(U57-(0)),0)</f>
        <v>6.7970877444901809E-2</v>
      </c>
      <c r="V62" s="48">
        <f t="shared" si="1"/>
        <v>6.7970877444901837E-2</v>
      </c>
      <c r="W62" s="48">
        <f t="shared" si="1"/>
        <v>0</v>
      </c>
      <c r="X62" s="48">
        <f t="shared" si="1"/>
        <v>0</v>
      </c>
      <c r="Y62" s="48">
        <f t="shared" si="1"/>
        <v>3.8321575328486623E-2</v>
      </c>
      <c r="Z62" s="48">
        <f t="shared" si="1"/>
        <v>0</v>
      </c>
      <c r="AA62" s="48">
        <f t="shared" si="1"/>
        <v>0</v>
      </c>
      <c r="AB62" s="48"/>
      <c r="AC62" s="48">
        <f>IF((AC57-(0))&lt;&gt;0,(AC59)/(AC57-(0)),0)</f>
        <v>-0.59827737530872183</v>
      </c>
      <c r="AD62" s="48"/>
      <c r="AE62" s="48">
        <f ca="1">IF(($AM57-(0))&lt;&gt;0,(AE59)/($AM57-(0)),0)</f>
        <v>-2.9231290088463568E-3</v>
      </c>
      <c r="AF62" s="48">
        <f ca="1">IF(($AM57-(0))&lt;&gt;0,(AF59)/($AM57-(0)),0)</f>
        <v>0</v>
      </c>
      <c r="AG62" s="48"/>
      <c r="AH62" s="48">
        <f>IF((AH57-(0))&lt;&gt;0,(AH59)/(AH57-(0)),0)</f>
        <v>-3.7628269638829433E-2</v>
      </c>
      <c r="AI62" s="48">
        <f>IF((AI57-(0))&lt;&gt;0,(AI59)/(AI57-(0)),0)</f>
        <v>-3.762826963882944E-2</v>
      </c>
      <c r="AJ62" s="48">
        <f ca="1">IF((AJ57-(0))&lt;&gt;0,(AJ59)/(AJ57-(0)),0)</f>
        <v>0</v>
      </c>
      <c r="AK62" s="48">
        <f ca="1">IF((AK57-(0))&lt;&gt;0,(AK59)/(AK57-(0)),0)</f>
        <v>0</v>
      </c>
      <c r="AL62" s="48"/>
      <c r="AM62" s="48"/>
    </row>
  </sheetData>
  <mergeCells count="79"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E14:E16"/>
    <mergeCell ref="AE3:AG3"/>
    <mergeCell ref="AH3:AL3"/>
    <mergeCell ref="AM3:AM4"/>
    <mergeCell ref="A5:A8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A1:A4"/>
    <mergeCell ref="F14:F16"/>
    <mergeCell ref="E17:E18"/>
    <mergeCell ref="F17:F18"/>
    <mergeCell ref="A19:A20"/>
    <mergeCell ref="B19:B20"/>
    <mergeCell ref="C19:C20"/>
    <mergeCell ref="D19:D20"/>
    <mergeCell ref="A9:A18"/>
    <mergeCell ref="B9:B12"/>
    <mergeCell ref="C9:C12"/>
    <mergeCell ref="D9:D12"/>
    <mergeCell ref="E9:E11"/>
    <mergeCell ref="F9:F11"/>
    <mergeCell ref="B14:B18"/>
    <mergeCell ref="C14:C18"/>
    <mergeCell ref="D14:D18"/>
    <mergeCell ref="F21:F23"/>
    <mergeCell ref="B24:B28"/>
    <mergeCell ref="C24:C28"/>
    <mergeCell ref="B29:B33"/>
    <mergeCell ref="C29:C33"/>
    <mergeCell ref="A21:A33"/>
    <mergeCell ref="B21:B23"/>
    <mergeCell ref="C21:C23"/>
    <mergeCell ref="D21:D23"/>
    <mergeCell ref="E21:E23"/>
    <mergeCell ref="D42:D44"/>
    <mergeCell ref="E42:E44"/>
    <mergeCell ref="F42:F44"/>
    <mergeCell ref="D34:D36"/>
    <mergeCell ref="E34:E36"/>
    <mergeCell ref="F34:F36"/>
    <mergeCell ref="D38:D40"/>
    <mergeCell ref="E38:E40"/>
    <mergeCell ref="F38:F40"/>
    <mergeCell ref="B46:B48"/>
    <mergeCell ref="C46:C48"/>
    <mergeCell ref="A49:A53"/>
    <mergeCell ref="B49:B51"/>
    <mergeCell ref="C49:C51"/>
    <mergeCell ref="A34:A48"/>
    <mergeCell ref="B34:B36"/>
    <mergeCell ref="C34:C36"/>
    <mergeCell ref="B42:B44"/>
    <mergeCell ref="C42:C44"/>
    <mergeCell ref="B38:B40"/>
    <mergeCell ref="C38:C40"/>
    <mergeCell ref="E49:E51"/>
    <mergeCell ref="F49:F51"/>
    <mergeCell ref="A54:A55"/>
    <mergeCell ref="B54:B55"/>
    <mergeCell ref="C54:C55"/>
    <mergeCell ref="D49:D51"/>
  </mergeCells>
  <conditionalFormatting sqref="L57">
    <cfRule type="cellIs" dxfId="1136" priority="55" operator="notEqual">
      <formula>$L$58-$L$61</formula>
    </cfRule>
    <cfRule type="cellIs" dxfId="1135" priority="56" operator="equal">
      <formula>$L$58-$L$61</formula>
    </cfRule>
  </conditionalFormatting>
  <conditionalFormatting sqref="M57">
    <cfRule type="cellIs" dxfId="1134" priority="53" operator="notEqual">
      <formula>$M$58-$M$61</formula>
    </cfRule>
    <cfRule type="cellIs" dxfId="1133" priority="54" operator="equal">
      <formula>$M$58-$M$61</formula>
    </cfRule>
  </conditionalFormatting>
  <conditionalFormatting sqref="N57">
    <cfRule type="cellIs" dxfId="1132" priority="51" operator="notEqual">
      <formula>$N$58-$N$61</formula>
    </cfRule>
    <cfRule type="cellIs" dxfId="1131" priority="52" operator="equal">
      <formula>$N$58-$N$61</formula>
    </cfRule>
  </conditionalFormatting>
  <conditionalFormatting sqref="O57">
    <cfRule type="cellIs" dxfId="1130" priority="49" operator="notEqual">
      <formula>$O$58-$O$61</formula>
    </cfRule>
    <cfRule type="cellIs" dxfId="1129" priority="50" operator="equal">
      <formula>$O$58-$O$61</formula>
    </cfRule>
  </conditionalFormatting>
  <conditionalFormatting sqref="P57">
    <cfRule type="cellIs" dxfId="1128" priority="47" operator="notEqual">
      <formula>$P$58-$P$61</formula>
    </cfRule>
    <cfRule type="cellIs" dxfId="1127" priority="48" operator="equal">
      <formula>$P$58-$P$61</formula>
    </cfRule>
  </conditionalFormatting>
  <conditionalFormatting sqref="Q57">
    <cfRule type="cellIs" dxfId="1126" priority="45" operator="notEqual">
      <formula>$Q$58-$Q$61</formula>
    </cfRule>
    <cfRule type="cellIs" dxfId="1125" priority="46" operator="equal">
      <formula>$Q$58-$Q$61</formula>
    </cfRule>
  </conditionalFormatting>
  <conditionalFormatting sqref="R57">
    <cfRule type="cellIs" dxfId="1124" priority="43" operator="notEqual">
      <formula>$R$58-$R$61</formula>
    </cfRule>
    <cfRule type="cellIs" dxfId="1123" priority="44" operator="equal">
      <formula>$R$58-$R$61</formula>
    </cfRule>
  </conditionalFormatting>
  <conditionalFormatting sqref="S57">
    <cfRule type="cellIs" dxfId="1122" priority="41" operator="notEqual">
      <formula>$S$58-$S$61</formula>
    </cfRule>
    <cfRule type="cellIs" dxfId="1121" priority="42" operator="equal">
      <formula>$S$58-$S$61</formula>
    </cfRule>
  </conditionalFormatting>
  <conditionalFormatting sqref="T57">
    <cfRule type="cellIs" dxfId="1120" priority="39" operator="notEqual">
      <formula>$T$58-$T$61</formula>
    </cfRule>
    <cfRule type="cellIs" dxfId="1119" priority="40" operator="equal">
      <formula>$T$58-$T$61</formula>
    </cfRule>
  </conditionalFormatting>
  <conditionalFormatting sqref="U57">
    <cfRule type="cellIs" dxfId="1118" priority="37" operator="notEqual">
      <formula>$U$58-$U$61</formula>
    </cfRule>
    <cfRule type="cellIs" dxfId="1117" priority="38" operator="equal">
      <formula>$U$58-$U$61</formula>
    </cfRule>
  </conditionalFormatting>
  <conditionalFormatting sqref="V57">
    <cfRule type="cellIs" dxfId="1116" priority="35" operator="notEqual">
      <formula>$V$58-$V$61</formula>
    </cfRule>
    <cfRule type="cellIs" dxfId="1115" priority="36" operator="equal">
      <formula>$V$58-$V$61</formula>
    </cfRule>
  </conditionalFormatting>
  <conditionalFormatting sqref="W57">
    <cfRule type="cellIs" dxfId="1114" priority="33" operator="notEqual">
      <formula>$W$58-$W$61</formula>
    </cfRule>
    <cfRule type="cellIs" dxfId="1113" priority="34" operator="equal">
      <formula>$W$58-$W$61</formula>
    </cfRule>
  </conditionalFormatting>
  <conditionalFormatting sqref="X57">
    <cfRule type="cellIs" dxfId="1112" priority="31" operator="notEqual">
      <formula>$X$58-$X$61</formula>
    </cfRule>
    <cfRule type="cellIs" dxfId="1111" priority="32" operator="equal">
      <formula>$X$58-$X$61</formula>
    </cfRule>
  </conditionalFormatting>
  <conditionalFormatting sqref="Y57">
    <cfRule type="cellIs" dxfId="1110" priority="29" operator="notEqual">
      <formula>$Y$58-$Y$61</formula>
    </cfRule>
    <cfRule type="cellIs" dxfId="1109" priority="30" operator="equal">
      <formula>$Y$58-$Y$61</formula>
    </cfRule>
  </conditionalFormatting>
  <conditionalFormatting sqref="Z57">
    <cfRule type="cellIs" dxfId="1108" priority="27" operator="notEqual">
      <formula>$Z$58-$Z$61</formula>
    </cfRule>
    <cfRule type="cellIs" dxfId="1107" priority="28" operator="equal">
      <formula>$Z$58-$Z$61</formula>
    </cfRule>
  </conditionalFormatting>
  <conditionalFormatting sqref="AA57">
    <cfRule type="cellIs" dxfId="1106" priority="25" operator="notEqual">
      <formula>$AA$58-$AA$61</formula>
    </cfRule>
    <cfRule type="cellIs" dxfId="1105" priority="26" operator="equal">
      <formula>$AA$58-$AA$61</formula>
    </cfRule>
  </conditionalFormatting>
  <conditionalFormatting sqref="AB57">
    <cfRule type="cellIs" dxfId="1104" priority="23" operator="notEqual">
      <formula>$AB$58-$AB$61</formula>
    </cfRule>
    <cfRule type="cellIs" dxfId="1103" priority="24" operator="equal">
      <formula>$AB$58-$AB$61</formula>
    </cfRule>
  </conditionalFormatting>
  <conditionalFormatting sqref="AC57">
    <cfRule type="cellIs" dxfId="1102" priority="21" operator="notEqual">
      <formula>$AC$58-$AC$61</formula>
    </cfRule>
    <cfRule type="cellIs" dxfId="1101" priority="22" operator="equal">
      <formula>$AC$58-$AC$61</formula>
    </cfRule>
  </conditionalFormatting>
  <conditionalFormatting sqref="AD57">
    <cfRule type="cellIs" dxfId="1100" priority="19" operator="notEqual">
      <formula>$AD$58-$AD$61</formula>
    </cfRule>
    <cfRule type="cellIs" dxfId="1099" priority="20" operator="equal">
      <formula>$AD$58-$AD$61</formula>
    </cfRule>
  </conditionalFormatting>
  <conditionalFormatting sqref="AE57">
    <cfRule type="cellIs" dxfId="1098" priority="17" operator="notEqual">
      <formula>$AE$58-$AE$61</formula>
    </cfRule>
    <cfRule type="cellIs" dxfId="1097" priority="18" operator="equal">
      <formula>$AE$58-$AE$61</formula>
    </cfRule>
  </conditionalFormatting>
  <conditionalFormatting sqref="AF57">
    <cfRule type="cellIs" dxfId="1096" priority="16" operator="equal">
      <formula>$AF$58-$AF$61</formula>
    </cfRule>
  </conditionalFormatting>
  <conditionalFormatting sqref="AF57">
    <cfRule type="cellIs" dxfId="1095" priority="15" operator="notEqual">
      <formula>$AF$58-$AF$61</formula>
    </cfRule>
  </conditionalFormatting>
  <conditionalFormatting sqref="AG57">
    <cfRule type="cellIs" dxfId="1094" priority="14" operator="equal">
      <formula>$AG$58-$AG$61</formula>
    </cfRule>
  </conditionalFormatting>
  <conditionalFormatting sqref="AG57">
    <cfRule type="cellIs" dxfId="1093" priority="13" operator="notEqual">
      <formula>$AG$58-$AG$61</formula>
    </cfRule>
  </conditionalFormatting>
  <conditionalFormatting sqref="AH57">
    <cfRule type="cellIs" dxfId="1092" priority="12" operator="equal">
      <formula>$AH$58-$AH$61</formula>
    </cfRule>
  </conditionalFormatting>
  <conditionalFormatting sqref="AH57">
    <cfRule type="cellIs" dxfId="1091" priority="11" operator="notEqual">
      <formula>$AH$58-$AH$61</formula>
    </cfRule>
  </conditionalFormatting>
  <conditionalFormatting sqref="AI57">
    <cfRule type="cellIs" dxfId="1090" priority="10" operator="equal">
      <formula>$AI$58-$AI$61</formula>
    </cfRule>
  </conditionalFormatting>
  <conditionalFormatting sqref="AI57">
    <cfRule type="cellIs" dxfId="1089" priority="9" operator="notEqual">
      <formula>$AI$58-$AI$61</formula>
    </cfRule>
  </conditionalFormatting>
  <conditionalFormatting sqref="AJ57">
    <cfRule type="cellIs" dxfId="1088" priority="8" operator="equal">
      <formula>$AJ$58-$AJ$61</formula>
    </cfRule>
  </conditionalFormatting>
  <conditionalFormatting sqref="AJ57">
    <cfRule type="cellIs" dxfId="1087" priority="7" operator="notEqual">
      <formula>$AJ$58-$AJ$61</formula>
    </cfRule>
  </conditionalFormatting>
  <conditionalFormatting sqref="AK57">
    <cfRule type="cellIs" dxfId="1086" priority="6" operator="equal">
      <formula>$AK$58-$AK$61</formula>
    </cfRule>
  </conditionalFormatting>
  <conditionalFormatting sqref="AK57">
    <cfRule type="cellIs" dxfId="1085" priority="5" operator="notEqual">
      <formula>$AK$58-$AK$61</formula>
    </cfRule>
  </conditionalFormatting>
  <conditionalFormatting sqref="AL57">
    <cfRule type="cellIs" dxfId="1084" priority="4" operator="equal">
      <formula>$AL$58-$AL$61</formula>
    </cfRule>
  </conditionalFormatting>
  <conditionalFormatting sqref="AL57">
    <cfRule type="cellIs" dxfId="1083" priority="3" operator="notEqual">
      <formula>$AL$58-$AL$61</formula>
    </cfRule>
  </conditionalFormatting>
  <conditionalFormatting sqref="AM57">
    <cfRule type="cellIs" dxfId="1082" priority="2" operator="equal">
      <formula>$AM$58-$AM$61</formula>
    </cfRule>
  </conditionalFormatting>
  <conditionalFormatting sqref="AM57">
    <cfRule type="cellIs" dxfId="1081" priority="1" operator="notEqual">
      <formula>$AM$58-$AM$61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1D492-365D-4A28-BB4A-078EFBD34BB2}">
  <dimension ref="A1:AP62"/>
  <sheetViews>
    <sheetView showGridLines="0" topLeftCell="X38" workbookViewId="0">
      <selection activeCell="AO57" sqref="AO57:AP5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3" width="10" style="9" bestFit="1" customWidth="1"/>
    <col min="24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9.28515625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12" t="s">
        <v>72</v>
      </c>
      <c r="B1" s="112" t="s">
        <v>73</v>
      </c>
      <c r="C1" s="112" t="s">
        <v>74</v>
      </c>
      <c r="D1" s="112" t="s">
        <v>75</v>
      </c>
      <c r="E1" s="112" t="s">
        <v>76</v>
      </c>
      <c r="F1" s="112" t="s">
        <v>15</v>
      </c>
      <c r="G1" s="112" t="s">
        <v>78</v>
      </c>
      <c r="H1" s="112" t="s">
        <v>79</v>
      </c>
      <c r="I1" s="112" t="s">
        <v>545</v>
      </c>
      <c r="J1" s="102"/>
      <c r="L1" s="110" t="s">
        <v>556</v>
      </c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O1" s="54"/>
      <c r="AP1" s="114" t="s">
        <v>547</v>
      </c>
    </row>
    <row r="2" spans="1:42" ht="11.25" customHeight="1" x14ac:dyDescent="0.25">
      <c r="A2" s="112"/>
      <c r="B2" s="112"/>
      <c r="C2" s="112"/>
      <c r="D2" s="112"/>
      <c r="E2" s="112"/>
      <c r="F2" s="112"/>
      <c r="G2" s="112"/>
      <c r="H2" s="112"/>
      <c r="I2" s="112"/>
      <c r="J2" s="102"/>
      <c r="L2" s="110" t="s">
        <v>444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O2" s="54"/>
      <c r="AP2" s="115"/>
    </row>
    <row r="3" spans="1:42" ht="11.25" customHeight="1" x14ac:dyDescent="0.25">
      <c r="A3" s="112"/>
      <c r="B3" s="112"/>
      <c r="C3" s="112"/>
      <c r="D3" s="112"/>
      <c r="E3" s="112"/>
      <c r="F3" s="112"/>
      <c r="G3" s="112"/>
      <c r="H3" s="112"/>
      <c r="I3" s="112"/>
      <c r="J3" s="102"/>
      <c r="L3" s="110" t="s">
        <v>445</v>
      </c>
      <c r="M3" s="110"/>
      <c r="N3" s="110"/>
      <c r="O3" s="110"/>
      <c r="P3" s="110"/>
      <c r="Q3" s="110"/>
      <c r="R3" s="110"/>
      <c r="S3" s="110"/>
      <c r="T3" s="110"/>
      <c r="U3" s="110" t="s">
        <v>454</v>
      </c>
      <c r="V3" s="110"/>
      <c r="W3" s="110"/>
      <c r="X3" s="110"/>
      <c r="Y3" s="110"/>
      <c r="Z3" s="110"/>
      <c r="AA3" s="110"/>
      <c r="AB3" s="110"/>
      <c r="AC3" s="110" t="s">
        <v>462</v>
      </c>
      <c r="AD3" s="110"/>
      <c r="AE3" s="110" t="s">
        <v>464</v>
      </c>
      <c r="AF3" s="110"/>
      <c r="AG3" s="110"/>
      <c r="AH3" s="110" t="s">
        <v>467</v>
      </c>
      <c r="AI3" s="110"/>
      <c r="AJ3" s="110"/>
      <c r="AK3" s="110"/>
      <c r="AL3" s="110"/>
      <c r="AM3" s="110" t="s">
        <v>453</v>
      </c>
      <c r="AO3" s="54"/>
      <c r="AP3" s="115"/>
    </row>
    <row r="4" spans="1:42" ht="11.25" customHeight="1" x14ac:dyDescent="0.25">
      <c r="A4" s="112"/>
      <c r="B4" s="112"/>
      <c r="C4" s="112"/>
      <c r="D4" s="112"/>
      <c r="E4" s="112"/>
      <c r="F4" s="112"/>
      <c r="G4" s="112"/>
      <c r="H4" s="112"/>
      <c r="I4" s="112"/>
      <c r="J4" s="102"/>
      <c r="L4" s="49" t="s">
        <v>530</v>
      </c>
      <c r="M4" s="49" t="s">
        <v>446</v>
      </c>
      <c r="N4" s="49" t="s">
        <v>447</v>
      </c>
      <c r="O4" s="49" t="s">
        <v>448</v>
      </c>
      <c r="P4" s="49" t="s">
        <v>449</v>
      </c>
      <c r="Q4" s="49" t="s">
        <v>450</v>
      </c>
      <c r="R4" s="49" t="s">
        <v>451</v>
      </c>
      <c r="S4" s="49" t="s">
        <v>452</v>
      </c>
      <c r="T4" s="49" t="s">
        <v>453</v>
      </c>
      <c r="U4" s="49" t="s">
        <v>455</v>
      </c>
      <c r="V4" s="49" t="s">
        <v>456</v>
      </c>
      <c r="W4" s="49" t="s">
        <v>457</v>
      </c>
      <c r="X4" s="49" t="s">
        <v>458</v>
      </c>
      <c r="Y4" s="49" t="s">
        <v>459</v>
      </c>
      <c r="Z4" s="49" t="s">
        <v>460</v>
      </c>
      <c r="AA4" s="49" t="s">
        <v>461</v>
      </c>
      <c r="AB4" s="49" t="s">
        <v>453</v>
      </c>
      <c r="AC4" s="49" t="s">
        <v>463</v>
      </c>
      <c r="AD4" s="49" t="s">
        <v>453</v>
      </c>
      <c r="AE4" s="49" t="s">
        <v>465</v>
      </c>
      <c r="AF4" s="49" t="s">
        <v>466</v>
      </c>
      <c r="AG4" s="49" t="s">
        <v>453</v>
      </c>
      <c r="AH4" s="49" t="s">
        <v>468</v>
      </c>
      <c r="AI4" s="49" t="s">
        <v>469</v>
      </c>
      <c r="AJ4" s="49" t="s">
        <v>470</v>
      </c>
      <c r="AK4" s="49" t="s">
        <v>471</v>
      </c>
      <c r="AL4" s="49" t="s">
        <v>453</v>
      </c>
      <c r="AM4" s="111"/>
      <c r="AO4" s="55" t="s">
        <v>558</v>
      </c>
      <c r="AP4" s="116"/>
    </row>
    <row r="5" spans="1:42" ht="11.25" customHeight="1" x14ac:dyDescent="0.25">
      <c r="A5" s="109" t="s">
        <v>53</v>
      </c>
      <c r="B5" s="109" t="s">
        <v>36</v>
      </c>
      <c r="C5" s="109" t="s">
        <v>25</v>
      </c>
      <c r="D5" s="109" t="s">
        <v>25</v>
      </c>
      <c r="E5" s="109" t="s">
        <v>25</v>
      </c>
      <c r="F5" s="109" t="s">
        <v>25</v>
      </c>
      <c r="G5" s="52" t="s">
        <v>86</v>
      </c>
      <c r="H5" s="52" t="s">
        <v>85</v>
      </c>
      <c r="I5" s="52">
        <f>'MERCADO TUSD'!$U$2</f>
        <v>39600</v>
      </c>
      <c r="J5" s="15"/>
      <c r="L5" s="48">
        <f>'TUSD BE'!$L$5*'TUSD BE'!$L$62</f>
        <v>0</v>
      </c>
      <c r="M5" s="48">
        <f>'TUSD BE'!$M$5*'TUSD BE'!$M$62</f>
        <v>0</v>
      </c>
      <c r="N5" s="48">
        <f ca="1">'TUSD BE'!$N$5*'TUSD BE'!$N$62</f>
        <v>0</v>
      </c>
      <c r="O5" s="48">
        <f>'TUSD BE'!$O$5*'TUSD BE'!$O$62</f>
        <v>0</v>
      </c>
      <c r="P5" s="48">
        <f>'TUSD BE'!$P$5*'TUSD BE'!$P$62</f>
        <v>0</v>
      </c>
      <c r="Q5" s="48">
        <f>'TUSD BE'!$Q$5*'TUSD BE'!$Q$62</f>
        <v>0</v>
      </c>
      <c r="R5" s="48">
        <f>'TUSD BE'!$R$5*'TUSD BE'!$R$62</f>
        <v>0</v>
      </c>
      <c r="S5" s="48">
        <f>'TUSD BE'!$R$5*'TUSD BE'!$S$62</f>
        <v>0</v>
      </c>
      <c r="T5" s="48">
        <f ca="1">SUM($L$5:$S$5)</f>
        <v>0</v>
      </c>
      <c r="U5" s="48">
        <f>'TUSD BE'!$U$5*'TUSD BE'!$U$62</f>
        <v>0.25587631424810436</v>
      </c>
      <c r="V5" s="48">
        <f>'TUSD BE'!$V$5*'TUSD BE'!$V$62</f>
        <v>0.14487738404352934</v>
      </c>
      <c r="W5" s="48">
        <f>'TUSD BE'!$W$5*'TUSD BE'!$W$62</f>
        <v>0</v>
      </c>
      <c r="X5" s="48">
        <f>'TUSD BE'!$X$5*'TUSD BE'!$X$62</f>
        <v>0</v>
      </c>
      <c r="Y5" s="48">
        <f>'TUSD BE'!$Y$5*'TUSD BE'!$Y$62</f>
        <v>0.6378491665501439</v>
      </c>
      <c r="Z5" s="48">
        <f>'TUSD BE'!$Z$5*'TUSD BE'!$Z$62</f>
        <v>0</v>
      </c>
      <c r="AA5" s="48">
        <f>'TUSD BE'!$AA$5*'TUSD BE'!$AA$62</f>
        <v>0</v>
      </c>
      <c r="AB5" s="48">
        <f>SUM($U$5:$AA$5)</f>
        <v>1.0386028648417776</v>
      </c>
      <c r="AC5" s="48">
        <f>'TUSD BE'!$AC$5*'TUSD BE'!$AC$62</f>
        <v>-0.79389277662880386</v>
      </c>
      <c r="AD5" s="48">
        <f>SUM($AC$5:$AC$5)</f>
        <v>-0.79389277662880386</v>
      </c>
      <c r="AE5" s="48">
        <f ca="1">$AO$5*$AO$59</f>
        <v>-6.9768001189161932E-2</v>
      </c>
      <c r="AF5" s="48">
        <f ca="1">$AP$5*$AP$59</f>
        <v>0</v>
      </c>
      <c r="AG5" s="48">
        <f ca="1">SUM($AE$5:$AF$5)</f>
        <v>-6.9768001189161932E-2</v>
      </c>
      <c r="AH5" s="48">
        <f>'TUSD BE'!$AH$5*'TUSD BE'!$AH$62</f>
        <v>0</v>
      </c>
      <c r="AI5" s="48">
        <f>'TUSD BE'!$AI$5*'TUSD BE'!$AI$62</f>
        <v>0</v>
      </c>
      <c r="AJ5" s="48">
        <f ca="1">'TUSD BE'!$AJ$5*'TUSD BE'!$AJ$62</f>
        <v>0</v>
      </c>
      <c r="AK5" s="48">
        <f ca="1">'TUSD BE'!$AK$5*'TUSD BE'!$AK$62</f>
        <v>0</v>
      </c>
      <c r="AL5" s="48">
        <f ca="1">SUM($AH$5:$AK$5)</f>
        <v>0</v>
      </c>
      <c r="AM5" s="48">
        <f ca="1">SUMIF($L$4:$AL$4,"SUBTOTAL",$L$5:$AL$5)</f>
        <v>0.17494208702381175</v>
      </c>
      <c r="AO5" s="54">
        <f ca="1">+'TUSD BE'!$T$5+'TUSD BE'!$AB$5+'TUSD BE'!$AD$5+'TUSD BE'!$AL$5</f>
        <v>23.867575114892585</v>
      </c>
      <c r="AP5" s="54">
        <f ca="1">+'TUSD BE'!$T$5+'TUSD BE'!$AB$5+'TUSD BE'!$AD$5+'TUSD BE'!$AL$5</f>
        <v>23.867575114892585</v>
      </c>
    </row>
    <row r="6" spans="1:42" ht="11.25" customHeight="1" x14ac:dyDescent="0.25">
      <c r="A6" s="109"/>
      <c r="B6" s="109"/>
      <c r="C6" s="109"/>
      <c r="D6" s="109"/>
      <c r="E6" s="109"/>
      <c r="F6" s="109"/>
      <c r="G6" s="52" t="s">
        <v>87</v>
      </c>
      <c r="H6" s="52" t="s">
        <v>85</v>
      </c>
      <c r="I6" s="52">
        <f>'MERCADO TUSD'!$U$3</f>
        <v>39600</v>
      </c>
      <c r="J6" s="15"/>
      <c r="L6" s="48">
        <f>'TUSD BE'!$L$6*'TUSD BE'!$L$62</f>
        <v>0</v>
      </c>
      <c r="M6" s="48">
        <f>'TUSD BE'!$M$6*'TUSD BE'!$M$62</f>
        <v>0</v>
      </c>
      <c r="N6" s="48">
        <f ca="1">'TUSD BE'!$N$6*'TUSD BE'!$N$62</f>
        <v>0</v>
      </c>
      <c r="O6" s="48">
        <f>'TUSD BE'!$O$6*'TUSD BE'!$O$62</f>
        <v>0</v>
      </c>
      <c r="P6" s="48">
        <f>'TUSD BE'!$P$6*'TUSD BE'!$P$62</f>
        <v>0</v>
      </c>
      <c r="Q6" s="48">
        <f>'TUSD BE'!$Q$6*'TUSD BE'!$Q$62</f>
        <v>0</v>
      </c>
      <c r="R6" s="48">
        <f>'TUSD BE'!$R$6*'TUSD BE'!$R$62</f>
        <v>0</v>
      </c>
      <c r="S6" s="48">
        <f>'TUSD BE'!$R$6*'TUSD BE'!$S$62</f>
        <v>0</v>
      </c>
      <c r="T6" s="48">
        <f ca="1">SUM($L$6:$S$6)</f>
        <v>0</v>
      </c>
      <c r="U6" s="48">
        <f>'TUSD BE'!$U$6*'TUSD BE'!$U$62</f>
        <v>0.14215251178017388</v>
      </c>
      <c r="V6" s="48">
        <f>'TUSD BE'!$V$6*'TUSD BE'!$V$62</f>
        <v>6.94999794961777E-2</v>
      </c>
      <c r="W6" s="48">
        <f>'TUSD BE'!$W$6*'TUSD BE'!$W$62</f>
        <v>0</v>
      </c>
      <c r="X6" s="48">
        <f>'TUSD BE'!$X$6*'TUSD BE'!$X$62</f>
        <v>0</v>
      </c>
      <c r="Y6" s="48">
        <f>'TUSD BE'!$Y$6*'TUSD BE'!$Y$62</f>
        <v>0.26654530654709296</v>
      </c>
      <c r="Z6" s="48">
        <f>'TUSD BE'!$Z$6*'TUSD BE'!$Z$62</f>
        <v>0</v>
      </c>
      <c r="AA6" s="48">
        <f>'TUSD BE'!$AA$6*'TUSD BE'!$AA$62</f>
        <v>0</v>
      </c>
      <c r="AB6" s="48">
        <f>SUM($U$6:$AA$6)</f>
        <v>0.47819779782344451</v>
      </c>
      <c r="AC6" s="48">
        <f>'TUSD BE'!$AC$6*'TUSD BE'!$AC$62</f>
        <v>-0.79389277662880386</v>
      </c>
      <c r="AD6" s="48">
        <f>SUM($AC$6:$AC$6)</f>
        <v>-0.79389277662880386</v>
      </c>
      <c r="AE6" s="48">
        <f ca="1">$AO$6*$AO$59</f>
        <v>-3.3312924997280079E-2</v>
      </c>
      <c r="AF6" s="48">
        <f ca="1">$AP$6*$AP$59</f>
        <v>0</v>
      </c>
      <c r="AG6" s="48">
        <f ca="1">SUM($AE$6:$AF$6)</f>
        <v>-3.3312924997280079E-2</v>
      </c>
      <c r="AH6" s="48">
        <f>'TUSD BE'!$AH$6*'TUSD BE'!$AH$62</f>
        <v>0</v>
      </c>
      <c r="AI6" s="48">
        <f>'TUSD BE'!$AI$6*'TUSD BE'!$AI$62</f>
        <v>0</v>
      </c>
      <c r="AJ6" s="48">
        <f ca="1">'TUSD BE'!$AJ$6*'TUSD BE'!$AJ$62</f>
        <v>0</v>
      </c>
      <c r="AK6" s="48">
        <f ca="1">'TUSD BE'!$AK$6*'TUSD BE'!$AK$62</f>
        <v>0</v>
      </c>
      <c r="AL6" s="48">
        <f ca="1">SUM($AH$6:$AK$6)</f>
        <v>0</v>
      </c>
      <c r="AM6" s="48">
        <f ca="1">SUMIF($L$4:$AL$4,"SUBTOTAL",$L$6:$AL$6)</f>
        <v>-0.34900790380263941</v>
      </c>
      <c r="AO6" s="54">
        <f ca="1">+'TUSD BE'!$T$6+'TUSD BE'!$AB$6+'TUSD BE'!$AD$6+'TUSD BE'!$AL$6</f>
        <v>11.396323903756603</v>
      </c>
      <c r="AP6" s="54">
        <f ca="1">+'TUSD BE'!$T$6+'TUSD BE'!$AB$6+'TUSD BE'!$AD$6+'TUSD BE'!$AL$6</f>
        <v>11.396323903756603</v>
      </c>
    </row>
    <row r="7" spans="1:42" ht="11.25" customHeight="1" x14ac:dyDescent="0.25">
      <c r="A7" s="109"/>
      <c r="B7" s="109"/>
      <c r="C7" s="109"/>
      <c r="D7" s="109"/>
      <c r="E7" s="109"/>
      <c r="F7" s="109"/>
      <c r="G7" s="52" t="s">
        <v>88</v>
      </c>
      <c r="H7" s="52" t="s">
        <v>82</v>
      </c>
      <c r="I7" s="52">
        <f>'MERCADO TUSD'!$U$4</f>
        <v>16873.752000000004</v>
      </c>
      <c r="J7" s="15"/>
      <c r="L7" s="48">
        <f>'TUSD BE'!$L$7*'TUSD BE'!$L$62</f>
        <v>0</v>
      </c>
      <c r="M7" s="48">
        <f>'TUSD BE'!$M$7*'TUSD BE'!$M$62</f>
        <v>-3.3605677488218427E-3</v>
      </c>
      <c r="N7" s="48">
        <f ca="1">'TUSD BE'!$N$7*'TUSD BE'!$N$62</f>
        <v>0</v>
      </c>
      <c r="O7" s="48">
        <f>'TUSD BE'!$O$7*'TUSD BE'!$O$62</f>
        <v>0</v>
      </c>
      <c r="P7" s="48">
        <f>'TUSD BE'!$P$7*'TUSD BE'!$P$62</f>
        <v>0</v>
      </c>
      <c r="Q7" s="48">
        <f>'TUSD BE'!$Q$7*'TUSD BE'!$Q$62</f>
        <v>-3.5328913678299383</v>
      </c>
      <c r="R7" s="48">
        <f>'TUSD BE'!$R$7*'TUSD BE'!$R$62</f>
        <v>-0.88913657255495493</v>
      </c>
      <c r="S7" s="48">
        <f>'TUSD BE'!$R$7*'TUSD BE'!$S$62</f>
        <v>0</v>
      </c>
      <c r="T7" s="48">
        <f ca="1">SUM($L$7:$S$7)</f>
        <v>-4.4253885081337154</v>
      </c>
      <c r="U7" s="48">
        <f>'TUSD BE'!$U$7*'TUSD BE'!$U$62</f>
        <v>0</v>
      </c>
      <c r="V7" s="48">
        <f>'TUSD BE'!$V$7*'TUSD BE'!$V$62</f>
        <v>0</v>
      </c>
      <c r="W7" s="48">
        <f>'TUSD BE'!$W$7*'TUSD BE'!$W$62</f>
        <v>0</v>
      </c>
      <c r="X7" s="48">
        <f>'TUSD BE'!$X$7*'TUSD BE'!$X$62</f>
        <v>0</v>
      </c>
      <c r="Y7" s="48">
        <f>'TUSD BE'!$Y$7*'TUSD BE'!$Y$62</f>
        <v>0</v>
      </c>
      <c r="Z7" s="48">
        <f>'TUSD BE'!$Z$7*'TUSD BE'!$Z$62</f>
        <v>0</v>
      </c>
      <c r="AA7" s="48">
        <f>'TUSD BE'!$AA$7*'TUSD BE'!$AA$62</f>
        <v>0</v>
      </c>
      <c r="AB7" s="48">
        <f>SUM($U$7:$AA$7)</f>
        <v>0</v>
      </c>
      <c r="AC7" s="48">
        <f>'TUSD BE'!$AC$7*'TUSD BE'!$AC$62</f>
        <v>0</v>
      </c>
      <c r="AD7" s="48">
        <f>SUM($AC$7:$AC$7)</f>
        <v>0</v>
      </c>
      <c r="AE7" s="48">
        <f ca="1">$AO$7*$AO$59</f>
        <v>-0.20475080516304353</v>
      </c>
      <c r="AF7" s="48">
        <f ca="1">$AP$7*$AP$59</f>
        <v>0</v>
      </c>
      <c r="AG7" s="48">
        <f ca="1">SUM($AE$7:$AF$7)</f>
        <v>-0.20475080516304353</v>
      </c>
      <c r="AH7" s="48">
        <f>'TUSD BE'!$AH$7*'TUSD BE'!$AH$62</f>
        <v>-1.7792728874516809E-3</v>
      </c>
      <c r="AI7" s="48">
        <f>'TUSD BE'!$AI$7*'TUSD BE'!$AI$62</f>
        <v>0</v>
      </c>
      <c r="AJ7" s="48">
        <f ca="1">'TUSD BE'!$AJ$7*'TUSD BE'!$AJ$62</f>
        <v>0</v>
      </c>
      <c r="AK7" s="48">
        <f ca="1">'TUSD BE'!$AK$7*'TUSD BE'!$AK$62</f>
        <v>0</v>
      </c>
      <c r="AL7" s="48">
        <f ca="1">SUM($AH$7:$AK$7)</f>
        <v>-1.7792728874516809E-3</v>
      </c>
      <c r="AM7" s="48">
        <f ca="1">SUMIF($L$4:$AL$4,"SUBTOTAL",$L$7:$AL$7)</f>
        <v>-4.6319185861842103</v>
      </c>
      <c r="AO7" s="54">
        <f ca="1">+'TUSD BE'!$T$7+'TUSD BE'!$AB$7+'TUSD BE'!$AD$7+'TUSD BE'!$AL$7</f>
        <v>70.045079961712176</v>
      </c>
      <c r="AP7" s="54">
        <f ca="1">+'TUSD BE'!$T$7+'TUSD BE'!$AB$7+'TUSD BE'!$AD$7+'TUSD BE'!$AL$7</f>
        <v>70.045079961712176</v>
      </c>
    </row>
    <row r="8" spans="1:42" ht="11.25" customHeight="1" x14ac:dyDescent="0.25">
      <c r="A8" s="109"/>
      <c r="B8" s="109"/>
      <c r="C8" s="109"/>
      <c r="D8" s="109"/>
      <c r="E8" s="51" t="s">
        <v>89</v>
      </c>
      <c r="F8" s="51" t="s">
        <v>25</v>
      </c>
      <c r="G8" s="52" t="s">
        <v>88</v>
      </c>
      <c r="H8" s="52" t="s">
        <v>82</v>
      </c>
      <c r="I8" s="52">
        <f>'MERCADO TUSD'!$U$5</f>
        <v>0</v>
      </c>
      <c r="J8" s="15"/>
      <c r="L8" s="48">
        <f>'TUSD BE'!$L$8*'TUSD BE'!$L$62</f>
        <v>0</v>
      </c>
      <c r="M8" s="48">
        <f>'TUSD BE'!$M$8*'TUSD BE'!$M$62</f>
        <v>-3.3605677488218427E-3</v>
      </c>
      <c r="N8" s="48">
        <f ca="1">'TUSD BE'!$N$8*'TUSD BE'!$N$62</f>
        <v>0</v>
      </c>
      <c r="O8" s="48">
        <f>'TUSD BE'!$O$8*'TUSD BE'!$O$62</f>
        <v>0</v>
      </c>
      <c r="P8" s="48">
        <f>'TUSD BE'!$P$8*'TUSD BE'!$P$62</f>
        <v>0</v>
      </c>
      <c r="Q8" s="48">
        <f>'TUSD BE'!$Q$8*'TUSD BE'!$Q$62</f>
        <v>0</v>
      </c>
      <c r="R8" s="48">
        <f>'TUSD BE'!$R$8*'TUSD BE'!$R$62</f>
        <v>0</v>
      </c>
      <c r="S8" s="48">
        <f>'TUSD BE'!$R$8*'TUSD BE'!$S$62</f>
        <v>0</v>
      </c>
      <c r="T8" s="48">
        <f ca="1">SUM($L$8:$S$8)</f>
        <v>-3.3605677488218427E-3</v>
      </c>
      <c r="U8" s="48">
        <f>'TUSD BE'!$U$8*'TUSD BE'!$U$62</f>
        <v>0</v>
      </c>
      <c r="V8" s="48">
        <f>'TUSD BE'!$V$8*'TUSD BE'!$V$62</f>
        <v>0</v>
      </c>
      <c r="W8" s="48">
        <f>'TUSD BE'!$W$8*'TUSD BE'!$W$62</f>
        <v>0</v>
      </c>
      <c r="X8" s="48">
        <f>'TUSD BE'!$X$8*'TUSD BE'!$X$62</f>
        <v>0</v>
      </c>
      <c r="Y8" s="48">
        <f>'TUSD BE'!$Y$8*'TUSD BE'!$Y$62</f>
        <v>0</v>
      </c>
      <c r="Z8" s="48">
        <f>'TUSD BE'!$Z$8*'TUSD BE'!$Z$62</f>
        <v>0</v>
      </c>
      <c r="AA8" s="48">
        <f>'TUSD BE'!$AA$8*'TUSD BE'!$AA$62</f>
        <v>0</v>
      </c>
      <c r="AB8" s="48">
        <f>SUM($U$8:$AA$8)</f>
        <v>0</v>
      </c>
      <c r="AC8" s="48">
        <f>'TUSD BE'!$AC$8*'TUSD BE'!$AC$62</f>
        <v>0</v>
      </c>
      <c r="AD8" s="48">
        <f>SUM($AC$8:$AC$8)</f>
        <v>0</v>
      </c>
      <c r="AE8" s="48">
        <f ca="1">$AO$8*$AO$59</f>
        <v>-2.255952099417216E-4</v>
      </c>
      <c r="AF8" s="48">
        <f ca="1">$AP$8*$AP$59</f>
        <v>0</v>
      </c>
      <c r="AG8" s="48">
        <f ca="1">SUM($AE$8:$AF$8)</f>
        <v>-2.255952099417216E-4</v>
      </c>
      <c r="AH8" s="48">
        <f>'TUSD BE'!$AH$8*'TUSD BE'!$AH$62</f>
        <v>-1.7792728874516809E-3</v>
      </c>
      <c r="AI8" s="48">
        <f>'TUSD BE'!$AI$8*'TUSD BE'!$AI$62</f>
        <v>0</v>
      </c>
      <c r="AJ8" s="48">
        <f ca="1">'TUSD BE'!$AJ$8*'TUSD BE'!$AJ$62</f>
        <v>0</v>
      </c>
      <c r="AK8" s="48">
        <f ca="1">'TUSD BE'!$AK$8*'TUSD BE'!$AK$62</f>
        <v>0</v>
      </c>
      <c r="AL8" s="48">
        <f ca="1">SUM($AH$8:$AK$8)</f>
        <v>-1.7792728874516809E-3</v>
      </c>
      <c r="AM8" s="48">
        <f ca="1">SUMIF($L$4:$AL$4,"SUBTOTAL",$L$8:$AL$8)</f>
        <v>-5.3654358462152454E-3</v>
      </c>
      <c r="AO8" s="54">
        <f ca="1">+'TUSD BE'!$T$8+'TUSD BE'!$AB$8+'TUSD BE'!$AD$8+'TUSD BE'!$AL$8</f>
        <v>7.7175933480525746E-2</v>
      </c>
      <c r="AP8" s="54">
        <f ca="1">+'TUSD BE'!$T$8+'TUSD BE'!$AB$8+'TUSD BE'!$AD$8+'TUSD BE'!$AL$8</f>
        <v>7.7175933480525746E-2</v>
      </c>
    </row>
    <row r="9" spans="1:42" ht="11.25" customHeight="1" x14ac:dyDescent="0.25">
      <c r="A9" s="109" t="s">
        <v>35</v>
      </c>
      <c r="B9" s="109" t="s">
        <v>36</v>
      </c>
      <c r="C9" s="109" t="s">
        <v>25</v>
      </c>
      <c r="D9" s="109" t="s">
        <v>25</v>
      </c>
      <c r="E9" s="109" t="s">
        <v>25</v>
      </c>
      <c r="F9" s="109" t="s">
        <v>25</v>
      </c>
      <c r="G9" s="52" t="s">
        <v>86</v>
      </c>
      <c r="H9" s="52" t="s">
        <v>85</v>
      </c>
      <c r="I9" s="52">
        <f>'MERCADO TUSD'!$U$6</f>
        <v>151587</v>
      </c>
      <c r="J9" s="15"/>
      <c r="L9" s="48">
        <f>'TUSD BE'!$L$9*'TUSD BE'!$L$62</f>
        <v>0</v>
      </c>
      <c r="M9" s="48">
        <f>'TUSD BE'!$M$9*'TUSD BE'!$M$62</f>
        <v>0</v>
      </c>
      <c r="N9" s="48">
        <f ca="1">'TUSD BE'!$N$9*'TUSD BE'!$N$62</f>
        <v>0</v>
      </c>
      <c r="O9" s="48">
        <f>'TUSD BE'!$O$9*'TUSD BE'!$O$62</f>
        <v>0</v>
      </c>
      <c r="P9" s="48">
        <f>'TUSD BE'!$P$9*'TUSD BE'!$P$62</f>
        <v>0</v>
      </c>
      <c r="Q9" s="48">
        <f>'TUSD BE'!$Q$9*'TUSD BE'!$Q$62</f>
        <v>0</v>
      </c>
      <c r="R9" s="48">
        <f>'TUSD BE'!$R$9*'TUSD BE'!$R$62</f>
        <v>0</v>
      </c>
      <c r="S9" s="48">
        <f>'TUSD BE'!$R$9*'TUSD BE'!$S$62</f>
        <v>0</v>
      </c>
      <c r="T9" s="48">
        <f ca="1">SUM($L$9:$S$9)</f>
        <v>0</v>
      </c>
      <c r="U9" s="48">
        <f>'TUSD BE'!$U$9*'TUSD BE'!$U$62</f>
        <v>0.12553996105308873</v>
      </c>
      <c r="V9" s="48">
        <f>'TUSD BE'!$V$9*'TUSD BE'!$V$62</f>
        <v>0.13710180226376614</v>
      </c>
      <c r="W9" s="48">
        <f>'TUSD BE'!$W$9*'TUSD BE'!$W$62</f>
        <v>0</v>
      </c>
      <c r="X9" s="48">
        <f>'TUSD BE'!$X$9*'TUSD BE'!$X$62</f>
        <v>0</v>
      </c>
      <c r="Y9" s="48">
        <f>'TUSD BE'!$Y$9*'TUSD BE'!$Y$62</f>
        <v>0.71443461180038514</v>
      </c>
      <c r="Z9" s="48">
        <f>'TUSD BE'!$Z$9*'TUSD BE'!$Z$62</f>
        <v>0</v>
      </c>
      <c r="AA9" s="48">
        <f>'TUSD BE'!$AA$9*'TUSD BE'!$AA$62</f>
        <v>0</v>
      </c>
      <c r="AB9" s="48">
        <f>SUM($U$9:$AA$9)</f>
        <v>0.97707637511723999</v>
      </c>
      <c r="AC9" s="48">
        <f>'TUSD BE'!$AC$9*'TUSD BE'!$AC$62</f>
        <v>-39.588045990862945</v>
      </c>
      <c r="AD9" s="48">
        <f>SUM($AC$9:$AC$9)</f>
        <v>-39.588045990862945</v>
      </c>
      <c r="AE9" s="48">
        <f ca="1">$AO$9*$AO$59</f>
        <v>-0.26067832604956681</v>
      </c>
      <c r="AF9" s="48">
        <f ca="1">$AP$9*$AP$59</f>
        <v>0</v>
      </c>
      <c r="AG9" s="48">
        <f ca="1">SUM($AE$9:$AF$9)</f>
        <v>-0.26067832604956681</v>
      </c>
      <c r="AH9" s="48">
        <f>'TUSD BE'!$AH$9*'TUSD BE'!$AH$62</f>
        <v>0</v>
      </c>
      <c r="AI9" s="48">
        <f>'TUSD BE'!$AI$9*'TUSD BE'!$AI$62</f>
        <v>0</v>
      </c>
      <c r="AJ9" s="48">
        <f ca="1">'TUSD BE'!$AJ$9*'TUSD BE'!$AJ$62</f>
        <v>0</v>
      </c>
      <c r="AK9" s="48">
        <f ca="1">'TUSD BE'!$AK$9*'TUSD BE'!$AK$62</f>
        <v>0</v>
      </c>
      <c r="AL9" s="48">
        <f ca="1">SUM($AH$9:$AK$9)</f>
        <v>0</v>
      </c>
      <c r="AM9" s="48">
        <f ca="1">SUMIF($L$4:$AL$4,"SUBTOTAL",$L$9:$AL$9)</f>
        <v>-38.871647941795267</v>
      </c>
      <c r="AO9" s="54">
        <f ca="1">+'TUSD BE'!$T$9+'TUSD BE'!$AB$9+'TUSD BE'!$AD$9+'TUSD BE'!$AL$9</f>
        <v>89.17783828926737</v>
      </c>
      <c r="AP9" s="54">
        <f ca="1">+'TUSD BE'!$T$9+'TUSD BE'!$AB$9+'TUSD BE'!$AD$9+'TUSD BE'!$AL$9</f>
        <v>89.17783828926737</v>
      </c>
    </row>
    <row r="10" spans="1:42" ht="11.25" customHeight="1" x14ac:dyDescent="0.25">
      <c r="A10" s="109"/>
      <c r="B10" s="109"/>
      <c r="C10" s="109"/>
      <c r="D10" s="109"/>
      <c r="E10" s="109"/>
      <c r="F10" s="109"/>
      <c r="G10" s="52" t="s">
        <v>87</v>
      </c>
      <c r="H10" s="52" t="s">
        <v>85</v>
      </c>
      <c r="I10" s="52">
        <f>'MERCADO TUSD'!$U$7</f>
        <v>195670</v>
      </c>
      <c r="J10" s="15"/>
      <c r="L10" s="48">
        <f>'TUSD BE'!$L$10*'TUSD BE'!$L$62</f>
        <v>0</v>
      </c>
      <c r="M10" s="48">
        <f>'TUSD BE'!$M$10*'TUSD BE'!$M$62</f>
        <v>0</v>
      </c>
      <c r="N10" s="48">
        <f ca="1">'TUSD BE'!$N$10*'TUSD BE'!$N$62</f>
        <v>0</v>
      </c>
      <c r="O10" s="48">
        <f>'TUSD BE'!$O$10*'TUSD BE'!$O$62</f>
        <v>0</v>
      </c>
      <c r="P10" s="48">
        <f>'TUSD BE'!$P$10*'TUSD BE'!$P$62</f>
        <v>0</v>
      </c>
      <c r="Q10" s="48">
        <f>'TUSD BE'!$Q$10*'TUSD BE'!$Q$62</f>
        <v>0</v>
      </c>
      <c r="R10" s="48">
        <f>'TUSD BE'!$R$10*'TUSD BE'!$R$62</f>
        <v>0</v>
      </c>
      <c r="S10" s="48">
        <f>'TUSD BE'!$R$10*'TUSD BE'!$S$62</f>
        <v>0</v>
      </c>
      <c r="T10" s="48">
        <f ca="1">SUM($L$10:$S$10)</f>
        <v>0</v>
      </c>
      <c r="U10" s="48">
        <f>'TUSD BE'!$U$10*'TUSD BE'!$U$62</f>
        <v>0.1271268048084552</v>
      </c>
      <c r="V10" s="48">
        <f>'TUSD BE'!$V$10*'TUSD BE'!$V$62</f>
        <v>0.12256832514306167</v>
      </c>
      <c r="W10" s="48">
        <f>'TUSD BE'!$W$10*'TUSD BE'!$W$62</f>
        <v>0</v>
      </c>
      <c r="X10" s="48">
        <f>'TUSD BE'!$X$10*'TUSD BE'!$X$62</f>
        <v>0</v>
      </c>
      <c r="Y10" s="48">
        <f>'TUSD BE'!$Y$10*'TUSD BE'!$Y$62</f>
        <v>0.3839989141742331</v>
      </c>
      <c r="Z10" s="48">
        <f>'TUSD BE'!$Z$10*'TUSD BE'!$Z$62</f>
        <v>0</v>
      </c>
      <c r="AA10" s="48">
        <f>'TUSD BE'!$AA$10*'TUSD BE'!$AA$62</f>
        <v>0</v>
      </c>
      <c r="AB10" s="48">
        <f>SUM($U$10:$AA$10)</f>
        <v>0.63369404412574992</v>
      </c>
      <c r="AC10" s="48">
        <f>'TUSD BE'!$AC$10*'TUSD BE'!$AC$62</f>
        <v>-23.510089004699136</v>
      </c>
      <c r="AD10" s="48">
        <f>SUM($AC$10:$AC$10)</f>
        <v>-23.510089004699136</v>
      </c>
      <c r="AE10" s="48">
        <f ca="1">$AO$10*$AO$59</f>
        <v>-0.1563471342932784</v>
      </c>
      <c r="AF10" s="48">
        <f ca="1">$AP$10*$AP$59</f>
        <v>0</v>
      </c>
      <c r="AG10" s="48">
        <f ca="1">SUM($AE$10:$AF$10)</f>
        <v>-0.1563471342932784</v>
      </c>
      <c r="AH10" s="48">
        <f>'TUSD BE'!$AH$10*'TUSD BE'!$AH$62</f>
        <v>0</v>
      </c>
      <c r="AI10" s="48">
        <f>'TUSD BE'!$AI$10*'TUSD BE'!$AI$62</f>
        <v>0</v>
      </c>
      <c r="AJ10" s="48">
        <f ca="1">'TUSD BE'!$AJ$10*'TUSD BE'!$AJ$62</f>
        <v>0</v>
      </c>
      <c r="AK10" s="48">
        <f ca="1">'TUSD BE'!$AK$10*'TUSD BE'!$AK$62</f>
        <v>0</v>
      </c>
      <c r="AL10" s="48">
        <f ca="1">SUM($AH$10:$AK$10)</f>
        <v>0</v>
      </c>
      <c r="AM10" s="48">
        <f ca="1">SUMIF($L$4:$AL$4,"SUBTOTAL",$L$10:$AL$10)</f>
        <v>-23.032742094866663</v>
      </c>
      <c r="AO10" s="54">
        <f ca="1">+'TUSD BE'!$T$10+'TUSD BE'!$AB$10+'TUSD BE'!$AD$10+'TUSD BE'!$AL$10</f>
        <v>53.48622446020007</v>
      </c>
      <c r="AP10" s="54">
        <f ca="1">+'TUSD BE'!$T$10+'TUSD BE'!$AB$10+'TUSD BE'!$AD$10+'TUSD BE'!$AL$10</f>
        <v>53.48622446020007</v>
      </c>
    </row>
    <row r="11" spans="1:42" ht="11.25" customHeight="1" x14ac:dyDescent="0.25">
      <c r="A11" s="109"/>
      <c r="B11" s="109"/>
      <c r="C11" s="109"/>
      <c r="D11" s="109"/>
      <c r="E11" s="109"/>
      <c r="F11" s="109"/>
      <c r="G11" s="52" t="s">
        <v>88</v>
      </c>
      <c r="H11" s="52" t="s">
        <v>82</v>
      </c>
      <c r="I11" s="52">
        <f>'MERCADO TUSD'!$U$8</f>
        <v>82375.52900000001</v>
      </c>
      <c r="J11" s="15"/>
      <c r="L11" s="48">
        <f>'TUSD BE'!$L$11*'TUSD BE'!$L$62</f>
        <v>0</v>
      </c>
      <c r="M11" s="48">
        <f>'TUSD BE'!$M$11*'TUSD BE'!$M$62</f>
        <v>-0.15010173587893061</v>
      </c>
      <c r="N11" s="48">
        <f ca="1">'TUSD BE'!$N$11*'TUSD BE'!$N$62</f>
        <v>0</v>
      </c>
      <c r="O11" s="48">
        <f>'TUSD BE'!$O$11*'TUSD BE'!$O$62</f>
        <v>0</v>
      </c>
      <c r="P11" s="48">
        <f>'TUSD BE'!$P$11*'TUSD BE'!$P$62</f>
        <v>0</v>
      </c>
      <c r="Q11" s="48">
        <f>'TUSD BE'!$Q$11*'TUSD BE'!$Q$62</f>
        <v>-4.7864979822212064</v>
      </c>
      <c r="R11" s="48">
        <f>'TUSD BE'!$R$11*'TUSD BE'!$R$62</f>
        <v>-0.88913657255495493</v>
      </c>
      <c r="S11" s="48">
        <f>'TUSD BE'!$R$11*'TUSD BE'!$S$62</f>
        <v>0</v>
      </c>
      <c r="T11" s="48">
        <f ca="1">SUM($L$11:$S$11)</f>
        <v>-5.825736290655092</v>
      </c>
      <c r="U11" s="48">
        <f>'TUSD BE'!$U$11*'TUSD BE'!$U$62</f>
        <v>0</v>
      </c>
      <c r="V11" s="48">
        <f>'TUSD BE'!$V$11*'TUSD BE'!$V$62</f>
        <v>0</v>
      </c>
      <c r="W11" s="48">
        <f>'TUSD BE'!$W$11*'TUSD BE'!$W$62</f>
        <v>0</v>
      </c>
      <c r="X11" s="48">
        <f>'TUSD BE'!$X$11*'TUSD BE'!$X$62</f>
        <v>0</v>
      </c>
      <c r="Y11" s="48">
        <f>'TUSD BE'!$Y$11*'TUSD BE'!$Y$62</f>
        <v>0</v>
      </c>
      <c r="Z11" s="48">
        <f>'TUSD BE'!$Z$11*'TUSD BE'!$Z$62</f>
        <v>0</v>
      </c>
      <c r="AA11" s="48">
        <f>'TUSD BE'!$AA$11*'TUSD BE'!$AA$62</f>
        <v>0</v>
      </c>
      <c r="AB11" s="48">
        <f>SUM($U$11:$AA$11)</f>
        <v>0</v>
      </c>
      <c r="AC11" s="48">
        <f>'TUSD BE'!$AC$11*'TUSD BE'!$AC$62</f>
        <v>0</v>
      </c>
      <c r="AD11" s="48">
        <f>SUM($AC$11:$AC$11)</f>
        <v>0</v>
      </c>
      <c r="AE11" s="48">
        <f ca="1">$AO$11*$AO$59</f>
        <v>-0.28913893098956961</v>
      </c>
      <c r="AF11" s="48">
        <f ca="1">$AP$11*$AP$59</f>
        <v>0</v>
      </c>
      <c r="AG11" s="48">
        <f ca="1">SUM($AE$11:$AF$11)</f>
        <v>-0.28913893098956961</v>
      </c>
      <c r="AH11" s="48">
        <f>'TUSD BE'!$AH$11*'TUSD BE'!$AH$62</f>
        <v>-0.28714018064093533</v>
      </c>
      <c r="AI11" s="48">
        <f>'TUSD BE'!$AI$11*'TUSD BE'!$AI$62</f>
        <v>-7.378669241608321E-3</v>
      </c>
      <c r="AJ11" s="48">
        <f ca="1">'TUSD BE'!$AJ$11*'TUSD BE'!$AJ$62</f>
        <v>0</v>
      </c>
      <c r="AK11" s="48">
        <f ca="1">'TUSD BE'!$AK$11*'TUSD BE'!$AK$62</f>
        <v>0</v>
      </c>
      <c r="AL11" s="48">
        <f ca="1">SUM($AH$11:$AK$11)</f>
        <v>-0.29451884988254362</v>
      </c>
      <c r="AM11" s="48">
        <f ca="1">SUMIF($L$4:$AL$4,"SUBTOTAL",$L$11:$AL$11)</f>
        <v>-6.4093940715272053</v>
      </c>
      <c r="AO11" s="54">
        <f ca="1">+'TUSD BE'!$T$11+'TUSD BE'!$AB$11+'TUSD BE'!$AD$11+'TUSD BE'!$AL$11</f>
        <v>98.914187541685436</v>
      </c>
      <c r="AP11" s="54">
        <f ca="1">+'TUSD BE'!$T$11+'TUSD BE'!$AB$11+'TUSD BE'!$AD$11+'TUSD BE'!$AL$11</f>
        <v>98.914187541685436</v>
      </c>
    </row>
    <row r="12" spans="1:42" ht="11.25" customHeight="1" x14ac:dyDescent="0.25">
      <c r="A12" s="109"/>
      <c r="B12" s="109"/>
      <c r="C12" s="109"/>
      <c r="D12" s="109"/>
      <c r="E12" s="51" t="s">
        <v>89</v>
      </c>
      <c r="F12" s="51" t="s">
        <v>25</v>
      </c>
      <c r="G12" s="52" t="s">
        <v>88</v>
      </c>
      <c r="H12" s="52" t="s">
        <v>82</v>
      </c>
      <c r="I12" s="52">
        <f>'MERCADO TUSD'!$U$9</f>
        <v>0</v>
      </c>
      <c r="J12" s="15"/>
      <c r="L12" s="48">
        <f>'TUSD BE'!$L$12*'TUSD BE'!$L$62</f>
        <v>0</v>
      </c>
      <c r="M12" s="48">
        <f>'TUSD BE'!$M$12*'TUSD BE'!$M$62</f>
        <v>-0.15010173587893061</v>
      </c>
      <c r="N12" s="48">
        <f ca="1">'TUSD BE'!$N$12*'TUSD BE'!$N$62</f>
        <v>0</v>
      </c>
      <c r="O12" s="48">
        <f>'TUSD BE'!$O$12*'TUSD BE'!$O$62</f>
        <v>0</v>
      </c>
      <c r="P12" s="48">
        <f>'TUSD BE'!$P$12*'TUSD BE'!$P$62</f>
        <v>0</v>
      </c>
      <c r="Q12" s="48">
        <f>'TUSD BE'!$Q$12*'TUSD BE'!$Q$62</f>
        <v>0</v>
      </c>
      <c r="R12" s="48">
        <f>'TUSD BE'!$R$12*'TUSD BE'!$R$62</f>
        <v>0</v>
      </c>
      <c r="S12" s="48">
        <f>'TUSD BE'!$R$12*'TUSD BE'!$S$62</f>
        <v>0</v>
      </c>
      <c r="T12" s="48">
        <f ca="1">SUM($L$12:$S$12)</f>
        <v>-0.15010173587893061</v>
      </c>
      <c r="U12" s="48">
        <f>'TUSD BE'!$U$12*'TUSD BE'!$U$62</f>
        <v>0</v>
      </c>
      <c r="V12" s="48">
        <f>'TUSD BE'!$V$12*'TUSD BE'!$V$62</f>
        <v>0</v>
      </c>
      <c r="W12" s="48">
        <f>'TUSD BE'!$W$12*'TUSD BE'!$W$62</f>
        <v>0</v>
      </c>
      <c r="X12" s="48">
        <f>'TUSD BE'!$X$12*'TUSD BE'!$X$62</f>
        <v>0</v>
      </c>
      <c r="Y12" s="48">
        <f>'TUSD BE'!$Y$12*'TUSD BE'!$Y$62</f>
        <v>0</v>
      </c>
      <c r="Z12" s="48">
        <f>'TUSD BE'!$Z$12*'TUSD BE'!$Z$62</f>
        <v>0</v>
      </c>
      <c r="AA12" s="48">
        <f>'TUSD BE'!$AA$12*'TUSD BE'!$AA$62</f>
        <v>0</v>
      </c>
      <c r="AB12" s="48">
        <f>SUM($U$12:$AA$12)</f>
        <v>0</v>
      </c>
      <c r="AC12" s="48">
        <f>'TUSD BE'!$AC$12*'TUSD BE'!$AC$62</f>
        <v>0</v>
      </c>
      <c r="AD12" s="48">
        <f>SUM($AC$12:$AC$12)</f>
        <v>0</v>
      </c>
      <c r="AE12" s="48">
        <f ca="1">$AO$12*$AO$59</f>
        <v>-2.6782104196345906E-2</v>
      </c>
      <c r="AF12" s="48">
        <f ca="1">$AP$12*$AP$59</f>
        <v>0</v>
      </c>
      <c r="AG12" s="48">
        <f ca="1">SUM($AE$12:$AF$12)</f>
        <v>-2.6782104196345906E-2</v>
      </c>
      <c r="AH12" s="48">
        <f>'TUSD BE'!$AH$12*'TUSD BE'!$AH$62</f>
        <v>-0.28714018064093533</v>
      </c>
      <c r="AI12" s="48">
        <f>'TUSD BE'!$AI$12*'TUSD BE'!$AI$62</f>
        <v>-7.378669241608321E-3</v>
      </c>
      <c r="AJ12" s="48">
        <f ca="1">'TUSD BE'!$AJ$12*'TUSD BE'!$AJ$62</f>
        <v>0</v>
      </c>
      <c r="AK12" s="48">
        <f ca="1">'TUSD BE'!$AK$12*'TUSD BE'!$AK$62</f>
        <v>0</v>
      </c>
      <c r="AL12" s="48">
        <f ca="1">SUM($AH$12:$AK$12)</f>
        <v>-0.29451884988254362</v>
      </c>
      <c r="AM12" s="48">
        <f ca="1">SUMIF($L$4:$AL$4,"SUBTOTAL",$L$12:$AL$12)</f>
        <v>-0.47140268995782014</v>
      </c>
      <c r="AO12" s="54">
        <f ca="1">+'TUSD BE'!$T$12+'TUSD BE'!$AB$12+'TUSD BE'!$AD$12+'TUSD BE'!$AL$12</f>
        <v>9.1621355456069118</v>
      </c>
      <c r="AP12" s="54">
        <f ca="1">+'TUSD BE'!$T$12+'TUSD BE'!$AB$12+'TUSD BE'!$AD$12+'TUSD BE'!$AL$12</f>
        <v>9.1621355456069118</v>
      </c>
    </row>
    <row r="13" spans="1:42" ht="11.25" customHeight="1" x14ac:dyDescent="0.25">
      <c r="A13" s="109"/>
      <c r="B13" s="51" t="s">
        <v>56</v>
      </c>
      <c r="C13" s="51" t="s">
        <v>25</v>
      </c>
      <c r="D13" s="51" t="s">
        <v>25</v>
      </c>
      <c r="E13" s="51" t="s">
        <v>25</v>
      </c>
      <c r="F13" s="51" t="s">
        <v>25</v>
      </c>
      <c r="G13" s="52" t="s">
        <v>9</v>
      </c>
      <c r="H13" s="52" t="s">
        <v>85</v>
      </c>
      <c r="I13" s="52">
        <f>'MERCADO TUSD'!$U$10</f>
        <v>130615</v>
      </c>
      <c r="J13" s="15"/>
      <c r="L13" s="48">
        <f>'TUSD BE'!$L$13*'TUSD BE'!$L$62</f>
        <v>0</v>
      </c>
      <c r="M13" s="48">
        <f>'TUSD BE'!$M$13*'TUSD BE'!$M$62</f>
        <v>-1.8064165751007978E-2</v>
      </c>
      <c r="N13" s="48">
        <f ca="1">'TUSD BE'!$N$13*'TUSD BE'!$N$62</f>
        <v>0</v>
      </c>
      <c r="O13" s="48">
        <f>'TUSD BE'!$O$13*'TUSD BE'!$O$62</f>
        <v>0</v>
      </c>
      <c r="P13" s="48">
        <f>'TUSD BE'!$P$13*'TUSD BE'!$P$62</f>
        <v>0</v>
      </c>
      <c r="Q13" s="48">
        <f>'TUSD BE'!$Q$13*'TUSD BE'!$Q$62</f>
        <v>0</v>
      </c>
      <c r="R13" s="48">
        <f>'TUSD BE'!$R$13*'TUSD BE'!$R$62</f>
        <v>0</v>
      </c>
      <c r="S13" s="48">
        <f>'TUSD BE'!$R$13*'TUSD BE'!$S$62</f>
        <v>0</v>
      </c>
      <c r="T13" s="48">
        <f ca="1">SUM($L$13:$S$13)</f>
        <v>-1.8064165751007978E-2</v>
      </c>
      <c r="U13" s="48">
        <f>'TUSD BE'!$U$13*'TUSD BE'!$U$62</f>
        <v>0</v>
      </c>
      <c r="V13" s="48">
        <f>'TUSD BE'!$V$13*'TUSD BE'!$V$62</f>
        <v>0</v>
      </c>
      <c r="W13" s="48">
        <f>'TUSD BE'!$W$13*'TUSD BE'!$W$62</f>
        <v>0</v>
      </c>
      <c r="X13" s="48">
        <f>'TUSD BE'!$X$13*'TUSD BE'!$X$62</f>
        <v>0</v>
      </c>
      <c r="Y13" s="48">
        <f>'TUSD BE'!$Y$13*'TUSD BE'!$Y$62</f>
        <v>0</v>
      </c>
      <c r="Z13" s="48">
        <f>'TUSD BE'!$Z$13*'TUSD BE'!$Z$62</f>
        <v>0</v>
      </c>
      <c r="AA13" s="48">
        <f>'TUSD BE'!$AA$13*'TUSD BE'!$AA$62</f>
        <v>0</v>
      </c>
      <c r="AB13" s="48">
        <f>SUM($U$13:$AA$13)</f>
        <v>0</v>
      </c>
      <c r="AC13" s="48">
        <f>'TUSD BE'!$AC$13*'TUSD BE'!$AC$62</f>
        <v>-23.981877174695434</v>
      </c>
      <c r="AD13" s="48">
        <f>SUM($AC$13:$AC$13)</f>
        <v>-23.981877174695434</v>
      </c>
      <c r="AE13" s="48">
        <f ca="1">$AO$13*$AO$59</f>
        <v>-0.11764293886323091</v>
      </c>
      <c r="AF13" s="48">
        <f ca="1">$AP$13*$AP$59</f>
        <v>0</v>
      </c>
      <c r="AG13" s="48">
        <f ca="1">SUM($AE$13:$AF$13)</f>
        <v>-0.11764293886323091</v>
      </c>
      <c r="AH13" s="48">
        <f>'TUSD BE'!$AH$13*'TUSD BE'!$AH$62</f>
        <v>0</v>
      </c>
      <c r="AI13" s="48">
        <f>'TUSD BE'!$AI$13*'TUSD BE'!$AI$62</f>
        <v>0</v>
      </c>
      <c r="AJ13" s="48">
        <f ca="1">'TUSD BE'!$AJ$13*'TUSD BE'!$AJ$62</f>
        <v>0</v>
      </c>
      <c r="AK13" s="48">
        <f ca="1">'TUSD BE'!$AK$13*'TUSD BE'!$AK$62</f>
        <v>0</v>
      </c>
      <c r="AL13" s="48">
        <f ca="1">SUM($AH$13:$AK$13)</f>
        <v>0</v>
      </c>
      <c r="AM13" s="48">
        <f ca="1">SUMIF($L$4:$AL$4,"SUBTOTAL",$L$13:$AL$13)</f>
        <v>-24.117584279309671</v>
      </c>
      <c r="AO13" s="54">
        <f ca="1">+'TUSD BE'!$T$13+'TUSD BE'!$AB$13+'TUSD BE'!$AD$13+'TUSD BE'!$AL$13</f>
        <v>40.245551430403651</v>
      </c>
      <c r="AP13" s="54">
        <f ca="1">+'TUSD BE'!$T$13+'TUSD BE'!$AB$13+'TUSD BE'!$AD$13+'TUSD BE'!$AL$13</f>
        <v>40.245551430403651</v>
      </c>
    </row>
    <row r="14" spans="1:42" ht="11.25" customHeight="1" x14ac:dyDescent="0.25">
      <c r="A14" s="109"/>
      <c r="B14" s="109" t="s">
        <v>39</v>
      </c>
      <c r="C14" s="109" t="s">
        <v>25</v>
      </c>
      <c r="D14" s="109" t="s">
        <v>25</v>
      </c>
      <c r="E14" s="109" t="s">
        <v>25</v>
      </c>
      <c r="F14" s="109" t="s">
        <v>25</v>
      </c>
      <c r="G14" s="52" t="s">
        <v>9</v>
      </c>
      <c r="H14" s="52" t="s">
        <v>85</v>
      </c>
      <c r="I14" s="52">
        <f>'MERCADO TUSD'!$U$11</f>
        <v>986883</v>
      </c>
      <c r="J14" s="15"/>
      <c r="L14" s="48">
        <f>'TUSD BE'!$L$14*'TUSD BE'!$L$62</f>
        <v>0</v>
      </c>
      <c r="M14" s="48">
        <f>'TUSD BE'!$M$14*'TUSD BE'!$M$62</f>
        <v>0</v>
      </c>
      <c r="N14" s="48">
        <f ca="1">'TUSD BE'!$N$14*'TUSD BE'!$N$62</f>
        <v>0</v>
      </c>
      <c r="O14" s="48">
        <f>'TUSD BE'!$O$14*'TUSD BE'!$O$62</f>
        <v>0</v>
      </c>
      <c r="P14" s="48">
        <f>'TUSD BE'!$P$14*'TUSD BE'!$P$62</f>
        <v>0</v>
      </c>
      <c r="Q14" s="48">
        <f>'TUSD BE'!$Q$14*'TUSD BE'!$Q$62</f>
        <v>0</v>
      </c>
      <c r="R14" s="48">
        <f>'TUSD BE'!$R$14*'TUSD BE'!$R$62</f>
        <v>0</v>
      </c>
      <c r="S14" s="48">
        <f>'TUSD BE'!$R$14*'TUSD BE'!$S$62</f>
        <v>0</v>
      </c>
      <c r="T14" s="48">
        <f ca="1">SUM($L$14:$S$14)</f>
        <v>0</v>
      </c>
      <c r="U14" s="48">
        <f>'TUSD BE'!$U$14*'TUSD BE'!$U$62</f>
        <v>0.1271268048084552</v>
      </c>
      <c r="V14" s="48">
        <f>'TUSD BE'!$V$14*'TUSD BE'!$V$62</f>
        <v>0.12256832514306167</v>
      </c>
      <c r="W14" s="48">
        <f>'TUSD BE'!$W$14*'TUSD BE'!$W$62</f>
        <v>0</v>
      </c>
      <c r="X14" s="48">
        <f>'TUSD BE'!$X$14*'TUSD BE'!$X$62</f>
        <v>0</v>
      </c>
      <c r="Y14" s="48">
        <f>'TUSD BE'!$Y$14*'TUSD BE'!$Y$62</f>
        <v>0.3839989141742331</v>
      </c>
      <c r="Z14" s="48">
        <f>'TUSD BE'!$Z$14*'TUSD BE'!$Z$62</f>
        <v>0</v>
      </c>
      <c r="AA14" s="48">
        <f>'TUSD BE'!$AA$14*'TUSD BE'!$AA$62</f>
        <v>0</v>
      </c>
      <c r="AB14" s="48">
        <f>SUM($U$14:$AA$14)</f>
        <v>0.63369404412574992</v>
      </c>
      <c r="AC14" s="48">
        <f>'TUSD BE'!$AC$14*'TUSD BE'!$AC$62</f>
        <v>-23.510089004699136</v>
      </c>
      <c r="AD14" s="48">
        <f>SUM($AC$14:$AC$14)</f>
        <v>-23.510089004699136</v>
      </c>
      <c r="AE14" s="48">
        <f ca="1">$AO$14*$AO$59</f>
        <v>-0.1563471342932784</v>
      </c>
      <c r="AF14" s="48">
        <f ca="1">$AP$14*$AP$59</f>
        <v>0</v>
      </c>
      <c r="AG14" s="48">
        <f ca="1">SUM($AE$14:$AF$14)</f>
        <v>-0.1563471342932784</v>
      </c>
      <c r="AH14" s="48">
        <f>'TUSD BE'!$AH$14*'TUSD BE'!$AH$62</f>
        <v>0</v>
      </c>
      <c r="AI14" s="48">
        <f>'TUSD BE'!$AI$14*'TUSD BE'!$AI$62</f>
        <v>0</v>
      </c>
      <c r="AJ14" s="48">
        <f ca="1">'TUSD BE'!$AJ$14*'TUSD BE'!$AJ$62</f>
        <v>0</v>
      </c>
      <c r="AK14" s="48">
        <f ca="1">'TUSD BE'!$AK$14*'TUSD BE'!$AK$62</f>
        <v>0</v>
      </c>
      <c r="AL14" s="48">
        <f ca="1">SUM($AH$14:$AK$14)</f>
        <v>0</v>
      </c>
      <c r="AM14" s="48">
        <f ca="1">SUMIF($L$4:$AL$4,"SUBTOTAL",$L$14:$AL$14)</f>
        <v>-23.032742094866663</v>
      </c>
      <c r="AO14" s="54">
        <f ca="1">+'TUSD BE'!$T$14+'TUSD BE'!$AB$14+'TUSD BE'!$AD$14+'TUSD BE'!$AL$14</f>
        <v>53.48622446020007</v>
      </c>
      <c r="AP14" s="54">
        <f ca="1">+'TUSD BE'!$T$14+'TUSD BE'!$AB$14+'TUSD BE'!$AD$14+'TUSD BE'!$AL$14</f>
        <v>53.48622446020007</v>
      </c>
    </row>
    <row r="15" spans="1:42" ht="11.25" customHeight="1" x14ac:dyDescent="0.25">
      <c r="A15" s="109"/>
      <c r="B15" s="109"/>
      <c r="C15" s="109"/>
      <c r="D15" s="109"/>
      <c r="E15" s="109"/>
      <c r="F15" s="109"/>
      <c r="G15" s="52" t="s">
        <v>83</v>
      </c>
      <c r="H15" s="52" t="s">
        <v>82</v>
      </c>
      <c r="I15" s="52">
        <f>'MERCADO TUSD'!$U$12</f>
        <v>8416.530999999999</v>
      </c>
      <c r="J15" s="15"/>
      <c r="L15" s="48">
        <f>'TUSD BE'!$L$15*'TUSD BE'!$L$62</f>
        <v>0</v>
      </c>
      <c r="M15" s="48">
        <f>'TUSD BE'!$M$15*'TUSD BE'!$M$62</f>
        <v>-0.15010173587893061</v>
      </c>
      <c r="N15" s="48">
        <f ca="1">'TUSD BE'!$N$15*'TUSD BE'!$N$62</f>
        <v>0</v>
      </c>
      <c r="O15" s="48">
        <f>'TUSD BE'!$O$15*'TUSD BE'!$O$62</f>
        <v>0</v>
      </c>
      <c r="P15" s="48">
        <f>'TUSD BE'!$P$15*'TUSD BE'!$P$62</f>
        <v>0</v>
      </c>
      <c r="Q15" s="48">
        <f>'TUSD BE'!$Q$15*'TUSD BE'!$Q$62</f>
        <v>-4.7864979822212064</v>
      </c>
      <c r="R15" s="48">
        <f>'TUSD BE'!$R$15*'TUSD BE'!$R$62</f>
        <v>-0.88913657255495493</v>
      </c>
      <c r="S15" s="48">
        <f>'TUSD BE'!$R$15*'TUSD BE'!$S$62</f>
        <v>0</v>
      </c>
      <c r="T15" s="48">
        <f ca="1">SUM($L$15:$S$15)</f>
        <v>-5.825736290655092</v>
      </c>
      <c r="U15" s="48">
        <f>'TUSD BE'!$U$15*'TUSD BE'!$U$62</f>
        <v>3.0191988576681128</v>
      </c>
      <c r="V15" s="48">
        <f>'TUSD BE'!$V$15*'TUSD BE'!$V$62</f>
        <v>3.2974984513276135</v>
      </c>
      <c r="W15" s="48">
        <f>'TUSD BE'!$W$15*'TUSD BE'!$W$62</f>
        <v>0</v>
      </c>
      <c r="X15" s="48">
        <f>'TUSD BE'!$X$15*'TUSD BE'!$X$62</f>
        <v>0</v>
      </c>
      <c r="Y15" s="48">
        <f>'TUSD BE'!$Y$15*'TUSD BE'!$Y$62</f>
        <v>17.182160673844521</v>
      </c>
      <c r="Z15" s="48">
        <f>'TUSD BE'!$Z$15*'TUSD BE'!$Z$62</f>
        <v>0</v>
      </c>
      <c r="AA15" s="48">
        <f>'TUSD BE'!$AA$15*'TUSD BE'!$AA$62</f>
        <v>0</v>
      </c>
      <c r="AB15" s="48">
        <f>SUM($U$15:$AA$15)</f>
        <v>23.498857982840249</v>
      </c>
      <c r="AC15" s="48">
        <f>'TUSD BE'!$AC$15*'TUSD BE'!$AC$62</f>
        <v>-952.09295094399113</v>
      </c>
      <c r="AD15" s="48">
        <f>SUM($AC$15:$AC$15)</f>
        <v>-952.09295094399113</v>
      </c>
      <c r="AE15" s="48">
        <f ca="1">$AO$15*$AO$59</f>
        <v>-6.5584455970708175</v>
      </c>
      <c r="AF15" s="48">
        <f ca="1">$AP$15*$AP$59</f>
        <v>0</v>
      </c>
      <c r="AG15" s="48">
        <f ca="1">SUM($AE$15:$AF$15)</f>
        <v>-6.5584455970708175</v>
      </c>
      <c r="AH15" s="48">
        <f>'TUSD BE'!$AH$15*'TUSD BE'!$AH$62</f>
        <v>-0.28714018064093533</v>
      </c>
      <c r="AI15" s="48">
        <f>'TUSD BE'!$AI$15*'TUSD BE'!$AI$62</f>
        <v>-7.378669241608321E-3</v>
      </c>
      <c r="AJ15" s="48">
        <f ca="1">'TUSD BE'!$AJ$15*'TUSD BE'!$AJ$62</f>
        <v>0</v>
      </c>
      <c r="AK15" s="48">
        <f ca="1">'TUSD BE'!$AK$15*'TUSD BE'!$AK$62</f>
        <v>0</v>
      </c>
      <c r="AL15" s="48">
        <f ca="1">SUM($AH$15:$AK$15)</f>
        <v>-0.29451884988254362</v>
      </c>
      <c r="AM15" s="48">
        <f ca="1">SUMIF($L$4:$AL$4,"SUBTOTAL",$L$15:$AL$15)</f>
        <v>-941.2727936987593</v>
      </c>
      <c r="AO15" s="54">
        <f ca="1">+'TUSD BE'!$T$15+'TUSD BE'!$AB$15+'TUSD BE'!$AD$15+'TUSD BE'!$AL$15</f>
        <v>2243.6387779064107</v>
      </c>
      <c r="AP15" s="54">
        <f ca="1">+'TUSD BE'!$T$15+'TUSD BE'!$AB$15+'TUSD BE'!$AD$15+'TUSD BE'!$AL$15</f>
        <v>2243.6387779064107</v>
      </c>
    </row>
    <row r="16" spans="1:42" ht="11.25" customHeight="1" x14ac:dyDescent="0.25">
      <c r="A16" s="109"/>
      <c r="B16" s="109"/>
      <c r="C16" s="109"/>
      <c r="D16" s="109"/>
      <c r="E16" s="109"/>
      <c r="F16" s="109"/>
      <c r="G16" s="52" t="s">
        <v>84</v>
      </c>
      <c r="H16" s="52" t="s">
        <v>82</v>
      </c>
      <c r="I16" s="52">
        <f>'MERCADO TUSD'!$U$13</f>
        <v>160452.66800000001</v>
      </c>
      <c r="J16" s="15"/>
      <c r="L16" s="48">
        <f>'TUSD BE'!$L$16*'TUSD BE'!$L$62</f>
        <v>0</v>
      </c>
      <c r="M16" s="48">
        <f>'TUSD BE'!$M$16*'TUSD BE'!$M$62</f>
        <v>-0.15010173587893061</v>
      </c>
      <c r="N16" s="48">
        <f ca="1">'TUSD BE'!$N$16*'TUSD BE'!$N$62</f>
        <v>0</v>
      </c>
      <c r="O16" s="48">
        <f>'TUSD BE'!$O$16*'TUSD BE'!$O$62</f>
        <v>0</v>
      </c>
      <c r="P16" s="48">
        <f>'TUSD BE'!$P$16*'TUSD BE'!$P$62</f>
        <v>0</v>
      </c>
      <c r="Q16" s="48">
        <f>'TUSD BE'!$Q$16*'TUSD BE'!$Q$62</f>
        <v>-4.7864979822212064</v>
      </c>
      <c r="R16" s="48">
        <f>'TUSD BE'!$R$16*'TUSD BE'!$R$62</f>
        <v>-0.88913657255495493</v>
      </c>
      <c r="S16" s="48">
        <f>'TUSD BE'!$R$16*'TUSD BE'!$S$62</f>
        <v>0</v>
      </c>
      <c r="T16" s="48">
        <f ca="1">SUM($L$16:$S$16)</f>
        <v>-5.825736290655092</v>
      </c>
      <c r="U16" s="48">
        <f>'TUSD BE'!$U$16*'TUSD BE'!$U$62</f>
        <v>0</v>
      </c>
      <c r="V16" s="48">
        <f>'TUSD BE'!$V$16*'TUSD BE'!$V$62</f>
        <v>0</v>
      </c>
      <c r="W16" s="48">
        <f>'TUSD BE'!$W$16*'TUSD BE'!$W$62</f>
        <v>0</v>
      </c>
      <c r="X16" s="48">
        <f>'TUSD BE'!$X$16*'TUSD BE'!$X$62</f>
        <v>0</v>
      </c>
      <c r="Y16" s="48">
        <f>'TUSD BE'!$Y$16*'TUSD BE'!$Y$62</f>
        <v>0</v>
      </c>
      <c r="Z16" s="48">
        <f>'TUSD BE'!$Z$16*'TUSD BE'!$Z$62</f>
        <v>0</v>
      </c>
      <c r="AA16" s="48">
        <f>'TUSD BE'!$AA$16*'TUSD BE'!$AA$62</f>
        <v>0</v>
      </c>
      <c r="AB16" s="48">
        <f>SUM($U$16:$AA$16)</f>
        <v>0</v>
      </c>
      <c r="AC16" s="48">
        <f>'TUSD BE'!$AC$16*'TUSD BE'!$AC$62</f>
        <v>0</v>
      </c>
      <c r="AD16" s="48">
        <f>SUM($AC$16:$AC$16)</f>
        <v>0</v>
      </c>
      <c r="AE16" s="48">
        <f ca="1">$AO$16*$AO$59</f>
        <v>-0.28913893098956961</v>
      </c>
      <c r="AF16" s="48">
        <f ca="1">$AP$16*$AP$59</f>
        <v>0</v>
      </c>
      <c r="AG16" s="48">
        <f ca="1">SUM($AE$16:$AF$16)</f>
        <v>-0.28913893098956961</v>
      </c>
      <c r="AH16" s="48">
        <f>'TUSD BE'!$AH$16*'TUSD BE'!$AH$62</f>
        <v>-0.28714018064093533</v>
      </c>
      <c r="AI16" s="48">
        <f>'TUSD BE'!$AI$16*'TUSD BE'!$AI$62</f>
        <v>-7.378669241608321E-3</v>
      </c>
      <c r="AJ16" s="48">
        <f ca="1">'TUSD BE'!$AJ$16*'TUSD BE'!$AJ$62</f>
        <v>0</v>
      </c>
      <c r="AK16" s="48">
        <f ca="1">'TUSD BE'!$AK$16*'TUSD BE'!$AK$62</f>
        <v>0</v>
      </c>
      <c r="AL16" s="48">
        <f ca="1">SUM($AH$16:$AK$16)</f>
        <v>-0.29451884988254362</v>
      </c>
      <c r="AM16" s="48">
        <f ca="1">SUMIF($L$4:$AL$4,"SUBTOTAL",$L$16:$AL$16)</f>
        <v>-6.4093940715272053</v>
      </c>
      <c r="AO16" s="54">
        <f ca="1">+'TUSD BE'!$T$16+'TUSD BE'!$AB$16+'TUSD BE'!$AD$16+'TUSD BE'!$AL$16</f>
        <v>98.914187541685436</v>
      </c>
      <c r="AP16" s="54">
        <f ca="1">+'TUSD BE'!$T$16+'TUSD BE'!$AB$16+'TUSD BE'!$AD$16+'TUSD BE'!$AL$16</f>
        <v>98.914187541685436</v>
      </c>
    </row>
    <row r="17" spans="1:42" ht="11.25" customHeight="1" x14ac:dyDescent="0.25">
      <c r="A17" s="109"/>
      <c r="B17" s="109"/>
      <c r="C17" s="109"/>
      <c r="D17" s="109"/>
      <c r="E17" s="109" t="s">
        <v>89</v>
      </c>
      <c r="F17" s="109" t="s">
        <v>25</v>
      </c>
      <c r="G17" s="52" t="s">
        <v>83</v>
      </c>
      <c r="H17" s="52" t="s">
        <v>82</v>
      </c>
      <c r="I17" s="52">
        <f>'MERCADO TUSD'!$U$14</f>
        <v>0</v>
      </c>
      <c r="J17" s="15"/>
      <c r="L17" s="48">
        <f>'TUSD BE'!$L$17*'TUSD BE'!$L$62</f>
        <v>0</v>
      </c>
      <c r="M17" s="48">
        <f>'TUSD BE'!$M$17*'TUSD BE'!$M$62</f>
        <v>-0.15010173587893061</v>
      </c>
      <c r="N17" s="48">
        <f ca="1">'TUSD BE'!$N$17*'TUSD BE'!$N$62</f>
        <v>0</v>
      </c>
      <c r="O17" s="48">
        <f>'TUSD BE'!$O$17*'TUSD BE'!$O$62</f>
        <v>0</v>
      </c>
      <c r="P17" s="48">
        <f>'TUSD BE'!$P$17*'TUSD BE'!$P$62</f>
        <v>0</v>
      </c>
      <c r="Q17" s="48">
        <f>'TUSD BE'!$Q$17*'TUSD BE'!$Q$62</f>
        <v>0</v>
      </c>
      <c r="R17" s="48">
        <f>'TUSD BE'!$R$17*'TUSD BE'!$R$62</f>
        <v>0</v>
      </c>
      <c r="S17" s="48">
        <f>'TUSD BE'!$R$17*'TUSD BE'!$S$62</f>
        <v>0</v>
      </c>
      <c r="T17" s="48">
        <f ca="1">SUM($L$17:$S$17)</f>
        <v>-0.15010173587893061</v>
      </c>
      <c r="U17" s="48">
        <f>'TUSD BE'!$U$17*'TUSD BE'!$U$62</f>
        <v>3.0191988576681128</v>
      </c>
      <c r="V17" s="48">
        <f>'TUSD BE'!$V$17*'TUSD BE'!$V$62</f>
        <v>3.2974984513276135</v>
      </c>
      <c r="W17" s="48">
        <f>'TUSD BE'!$W$17*'TUSD BE'!$W$62</f>
        <v>0</v>
      </c>
      <c r="X17" s="48">
        <f>'TUSD BE'!$X$17*'TUSD BE'!$X$62</f>
        <v>0</v>
      </c>
      <c r="Y17" s="48">
        <f>'TUSD BE'!$Y$17*'TUSD BE'!$Y$62</f>
        <v>17.182160673844521</v>
      </c>
      <c r="Z17" s="48">
        <f>'TUSD BE'!$Z$17*'TUSD BE'!$Z$62</f>
        <v>0</v>
      </c>
      <c r="AA17" s="48">
        <f>'TUSD BE'!$AA$17*'TUSD BE'!$AA$62</f>
        <v>0</v>
      </c>
      <c r="AB17" s="48">
        <f>SUM($U$17:$AA$17)</f>
        <v>23.498857982840249</v>
      </c>
      <c r="AC17" s="48">
        <f>'TUSD BE'!$AC$17*'TUSD BE'!$AC$62</f>
        <v>-952.09295094399113</v>
      </c>
      <c r="AD17" s="48">
        <f>SUM($AC$17:$AC$17)</f>
        <v>-952.09295094399113</v>
      </c>
      <c r="AE17" s="48">
        <f ca="1">$AO$17*$AO$59</f>
        <v>-6.2960887702775938</v>
      </c>
      <c r="AF17" s="48">
        <f ca="1">$AP$17*$AP$59</f>
        <v>0</v>
      </c>
      <c r="AG17" s="48">
        <f ca="1">SUM($AE$17:$AF$17)</f>
        <v>-6.2960887702775938</v>
      </c>
      <c r="AH17" s="48">
        <f>'TUSD BE'!$AH$17*'TUSD BE'!$AH$62</f>
        <v>-0.28714018064093533</v>
      </c>
      <c r="AI17" s="48">
        <f>'TUSD BE'!$AI$17*'TUSD BE'!$AI$62</f>
        <v>-7.378669241608321E-3</v>
      </c>
      <c r="AJ17" s="48">
        <f ca="1">'TUSD BE'!$AJ$17*'TUSD BE'!$AJ$62</f>
        <v>0</v>
      </c>
      <c r="AK17" s="48">
        <f ca="1">'TUSD BE'!$AK$17*'TUSD BE'!$AK$62</f>
        <v>0</v>
      </c>
      <c r="AL17" s="48">
        <f ca="1">SUM($AH$17:$AK$17)</f>
        <v>-0.29451884988254362</v>
      </c>
      <c r="AM17" s="48">
        <f ca="1">SUMIF($L$4:$AL$4,"SUBTOTAL",$L$17:$AL$17)</f>
        <v>-935.33480231719</v>
      </c>
      <c r="AO17" s="54">
        <f ca="1">+'TUSD BE'!$T$17+'TUSD BE'!$AB$17+'TUSD BE'!$AD$17+'TUSD BE'!$AL$17</f>
        <v>2153.8867259103322</v>
      </c>
      <c r="AP17" s="54">
        <f ca="1">+'TUSD BE'!$T$17+'TUSD BE'!$AB$17+'TUSD BE'!$AD$17+'TUSD BE'!$AL$17</f>
        <v>2153.8867259103322</v>
      </c>
    </row>
    <row r="18" spans="1:42" ht="11.25" customHeight="1" x14ac:dyDescent="0.25">
      <c r="A18" s="109"/>
      <c r="B18" s="109"/>
      <c r="C18" s="109"/>
      <c r="D18" s="109"/>
      <c r="E18" s="109"/>
      <c r="F18" s="109"/>
      <c r="G18" s="52" t="s">
        <v>84</v>
      </c>
      <c r="H18" s="52" t="s">
        <v>82</v>
      </c>
      <c r="I18" s="52">
        <f>'MERCADO TUSD'!$U$15</f>
        <v>0</v>
      </c>
      <c r="J18" s="15"/>
      <c r="L18" s="48">
        <f>'TUSD BE'!$L$18*'TUSD BE'!$L$62</f>
        <v>0</v>
      </c>
      <c r="M18" s="48">
        <f>'TUSD BE'!$M$18*'TUSD BE'!$M$62</f>
        <v>-0.15010173587893061</v>
      </c>
      <c r="N18" s="48">
        <f ca="1">'TUSD BE'!$N$18*'TUSD BE'!$N$62</f>
        <v>0</v>
      </c>
      <c r="O18" s="48">
        <f>'TUSD BE'!$O$18*'TUSD BE'!$O$62</f>
        <v>0</v>
      </c>
      <c r="P18" s="48">
        <f>'TUSD BE'!$P$18*'TUSD BE'!$P$62</f>
        <v>0</v>
      </c>
      <c r="Q18" s="48">
        <f>'TUSD BE'!$Q$18*'TUSD BE'!$Q$62</f>
        <v>0</v>
      </c>
      <c r="R18" s="48">
        <f>'TUSD BE'!$R$18*'TUSD BE'!$R$62</f>
        <v>0</v>
      </c>
      <c r="S18" s="48">
        <f>'TUSD BE'!$R$18*'TUSD BE'!$S$62</f>
        <v>0</v>
      </c>
      <c r="T18" s="48">
        <f ca="1">SUM($L$18:$S$18)</f>
        <v>-0.15010173587893061</v>
      </c>
      <c r="U18" s="48">
        <f>'TUSD BE'!$U$18*'TUSD BE'!$U$62</f>
        <v>0</v>
      </c>
      <c r="V18" s="48">
        <f>'TUSD BE'!$V$18*'TUSD BE'!$V$62</f>
        <v>0</v>
      </c>
      <c r="W18" s="48">
        <f>'TUSD BE'!$W$18*'TUSD BE'!$W$62</f>
        <v>0</v>
      </c>
      <c r="X18" s="48">
        <f>'TUSD BE'!$X$18*'TUSD BE'!$X$62</f>
        <v>0</v>
      </c>
      <c r="Y18" s="48">
        <f>'TUSD BE'!$Y$18*'TUSD BE'!$Y$62</f>
        <v>0</v>
      </c>
      <c r="Z18" s="48">
        <f>'TUSD BE'!$Z$18*'TUSD BE'!$Z$62</f>
        <v>0</v>
      </c>
      <c r="AA18" s="48">
        <f>'TUSD BE'!$AA$18*'TUSD BE'!$AA$62</f>
        <v>0</v>
      </c>
      <c r="AB18" s="48">
        <f>SUM($U$18:$AA$18)</f>
        <v>0</v>
      </c>
      <c r="AC18" s="48">
        <f>'TUSD BE'!$AC$18*'TUSD BE'!$AC$62</f>
        <v>0</v>
      </c>
      <c r="AD18" s="48">
        <f>SUM($AC$18:$AC$18)</f>
        <v>0</v>
      </c>
      <c r="AE18" s="48">
        <f ca="1">$AO$18*$AO$59</f>
        <v>-2.6782104196345906E-2</v>
      </c>
      <c r="AF18" s="48">
        <f ca="1">$AP$18*$AP$59</f>
        <v>0</v>
      </c>
      <c r="AG18" s="48">
        <f ca="1">SUM($AE$18:$AF$18)</f>
        <v>-2.6782104196345906E-2</v>
      </c>
      <c r="AH18" s="48">
        <f>'TUSD BE'!$AH$18*'TUSD BE'!$AH$62</f>
        <v>-0.28714018064093533</v>
      </c>
      <c r="AI18" s="48">
        <f>'TUSD BE'!$AI$18*'TUSD BE'!$AI$62</f>
        <v>-7.378669241608321E-3</v>
      </c>
      <c r="AJ18" s="48">
        <f ca="1">'TUSD BE'!$AJ$18*'TUSD BE'!$AJ$62</f>
        <v>0</v>
      </c>
      <c r="AK18" s="48">
        <f ca="1">'TUSD BE'!$AK$18*'TUSD BE'!$AK$62</f>
        <v>0</v>
      </c>
      <c r="AL18" s="48">
        <f ca="1">SUM($AH$18:$AK$18)</f>
        <v>-0.29451884988254362</v>
      </c>
      <c r="AM18" s="48">
        <f ca="1">SUMIF($L$4:$AL$4,"SUBTOTAL",$L$18:$AL$18)</f>
        <v>-0.47140268995782014</v>
      </c>
      <c r="AO18" s="54">
        <f ca="1">+'TUSD BE'!$T$18+'TUSD BE'!$AB$18+'TUSD BE'!$AD$18+'TUSD BE'!$AL$18</f>
        <v>9.1621355456069118</v>
      </c>
      <c r="AP18" s="54">
        <f ca="1">+'TUSD BE'!$T$18+'TUSD BE'!$AB$18+'TUSD BE'!$AD$18+'TUSD BE'!$AL$18</f>
        <v>9.1621355456069118</v>
      </c>
    </row>
    <row r="19" spans="1:42" ht="11.25" customHeight="1" x14ac:dyDescent="0.25">
      <c r="A19" s="109" t="s">
        <v>91</v>
      </c>
      <c r="B19" s="109" t="s">
        <v>56</v>
      </c>
      <c r="C19" s="109" t="s">
        <v>25</v>
      </c>
      <c r="D19" s="109" t="s">
        <v>25</v>
      </c>
      <c r="E19" s="51" t="s">
        <v>92</v>
      </c>
      <c r="F19" s="51" t="s">
        <v>25</v>
      </c>
      <c r="G19" s="52" t="s">
        <v>9</v>
      </c>
      <c r="H19" s="52" t="s">
        <v>85</v>
      </c>
      <c r="I19" s="52">
        <f>'MERCADO TUSD'!$U$16+0.00000001</f>
        <v>1E-8</v>
      </c>
      <c r="J19" s="15"/>
      <c r="L19" s="48">
        <f>'TUSD BE'!$L$19*'TUSD BE'!$L$62</f>
        <v>0</v>
      </c>
      <c r="M19" s="48">
        <f>'TUSD BE'!$M$19*'TUSD BE'!$M$62</f>
        <v>-1.8064165751007979E-3</v>
      </c>
      <c r="N19" s="48">
        <f ca="1">'TUSD BE'!$N$19*'TUSD BE'!$N$62</f>
        <v>0</v>
      </c>
      <c r="O19" s="48">
        <f>'TUSD BE'!$O$19*'TUSD BE'!$O$62</f>
        <v>0</v>
      </c>
      <c r="P19" s="48">
        <f>'TUSD BE'!$P$19*'TUSD BE'!$P$62</f>
        <v>0</v>
      </c>
      <c r="Q19" s="48">
        <f>'TUSD BE'!$Q$19*'TUSD BE'!$Q$62</f>
        <v>0</v>
      </c>
      <c r="R19" s="48">
        <f>'TUSD BE'!$R$19*'TUSD BE'!$R$62</f>
        <v>0</v>
      </c>
      <c r="S19" s="48">
        <f>'TUSD BE'!$R$19*'TUSD BE'!$S$62</f>
        <v>0</v>
      </c>
      <c r="T19" s="48">
        <f ca="1">SUM($L$19:$S$19)</f>
        <v>-1.8064165751007979E-3</v>
      </c>
      <c r="U19" s="48">
        <f>'TUSD BE'!$U$19*'TUSD BE'!$U$62</f>
        <v>0</v>
      </c>
      <c r="V19" s="48">
        <f>'TUSD BE'!$V$19*'TUSD BE'!$V$62</f>
        <v>0</v>
      </c>
      <c r="W19" s="48">
        <f>'TUSD BE'!$W$19*'TUSD BE'!$W$62</f>
        <v>0</v>
      </c>
      <c r="X19" s="48">
        <f>'TUSD BE'!$X$19*'TUSD BE'!$X$62</f>
        <v>0</v>
      </c>
      <c r="Y19" s="48">
        <f>'TUSD BE'!$Y$19*'TUSD BE'!$Y$62</f>
        <v>0</v>
      </c>
      <c r="Z19" s="48">
        <f>'TUSD BE'!$Z$19*'TUSD BE'!$Z$62</f>
        <v>0</v>
      </c>
      <c r="AA19" s="48">
        <f>'TUSD BE'!$AA$19*'TUSD BE'!$AA$62</f>
        <v>0</v>
      </c>
      <c r="AB19" s="48">
        <f>SUM($U$19:$AA$19)</f>
        <v>0</v>
      </c>
      <c r="AC19" s="48">
        <f>'TUSD BE'!$AC$19*'TUSD BE'!$AC$62</f>
        <v>-2.398309836926833</v>
      </c>
      <c r="AD19" s="48">
        <f>SUM($AC$19:$AC$19)</f>
        <v>-2.398309836926833</v>
      </c>
      <c r="AE19" s="48">
        <f ca="1">$AO$19*$AO$59</f>
        <v>-1.1764890550918613E-2</v>
      </c>
      <c r="AF19" s="48">
        <f ca="1">$AP$19*$AP$59</f>
        <v>0</v>
      </c>
      <c r="AG19" s="48">
        <f ca="1">SUM($AE$19:$AF$19)</f>
        <v>-1.1764890550918613E-2</v>
      </c>
      <c r="AH19" s="48">
        <f>'TUSD BE'!$AH$19*'TUSD BE'!$AH$62</f>
        <v>0</v>
      </c>
      <c r="AI19" s="48">
        <f>'TUSD BE'!$AI$19*'TUSD BE'!$AI$62</f>
        <v>0</v>
      </c>
      <c r="AJ19" s="48">
        <f ca="1">'TUSD BE'!$AJ$19*'TUSD BE'!$AJ$62</f>
        <v>0</v>
      </c>
      <c r="AK19" s="48">
        <f ca="1">'TUSD BE'!$AK$19*'TUSD BE'!$AK$62</f>
        <v>0</v>
      </c>
      <c r="AL19" s="48">
        <f ca="1">SUM($AH$19:$AK$19)</f>
        <v>0</v>
      </c>
      <c r="AM19" s="48">
        <f ca="1">SUMIF($L$4:$AL$4,"SUBTOTAL",$L$19:$AL$19)</f>
        <v>-2.4118811440528525</v>
      </c>
      <c r="AO19" s="54">
        <f ca="1">+'TUSD BE'!$T$19+'TUSD BE'!$AB$19+'TUSD BE'!$AD$19+'TUSD BE'!$AL$19</f>
        <v>4.0247592615016838</v>
      </c>
      <c r="AP19" s="54">
        <f ca="1">+'TUSD BE'!$T$19+'TUSD BE'!$AB$19+'TUSD BE'!$AD$19+'TUSD BE'!$AL$19</f>
        <v>4.0247592615016838</v>
      </c>
    </row>
    <row r="20" spans="1:42" ht="11.25" customHeight="1" x14ac:dyDescent="0.25">
      <c r="A20" s="109"/>
      <c r="B20" s="109"/>
      <c r="C20" s="109"/>
      <c r="D20" s="109"/>
      <c r="E20" s="51" t="s">
        <v>93</v>
      </c>
      <c r="F20" s="51" t="s">
        <v>25</v>
      </c>
      <c r="G20" s="52" t="s">
        <v>9</v>
      </c>
      <c r="H20" s="52" t="s">
        <v>85</v>
      </c>
      <c r="I20" s="52">
        <f>'MERCADO TUSD'!$U$17+0.00000001</f>
        <v>1E-8</v>
      </c>
      <c r="J20" s="15"/>
      <c r="L20" s="48">
        <f>'TUSD BE'!$L$20*'TUSD BE'!$L$62</f>
        <v>0</v>
      </c>
      <c r="M20" s="48">
        <f>'TUSD BE'!$M$20*'TUSD BE'!$M$62</f>
        <v>-1.8064165751007979E-3</v>
      </c>
      <c r="N20" s="48">
        <f ca="1">'TUSD BE'!$N$20*'TUSD BE'!$N$62</f>
        <v>0</v>
      </c>
      <c r="O20" s="48">
        <f>'TUSD BE'!$O$20*'TUSD BE'!$O$62</f>
        <v>0</v>
      </c>
      <c r="P20" s="48">
        <f>'TUSD BE'!$P$20*'TUSD BE'!$P$62</f>
        <v>0</v>
      </c>
      <c r="Q20" s="48">
        <f>'TUSD BE'!$Q$20*'TUSD BE'!$Q$62</f>
        <v>0</v>
      </c>
      <c r="R20" s="48">
        <f>'TUSD BE'!$R$20*'TUSD BE'!$R$62</f>
        <v>0</v>
      </c>
      <c r="S20" s="48">
        <f>'TUSD BE'!$R$20*'TUSD BE'!$S$62</f>
        <v>0</v>
      </c>
      <c r="T20" s="48">
        <f ca="1">SUM($L$20:$S$20)</f>
        <v>-1.8064165751007979E-3</v>
      </c>
      <c r="U20" s="48">
        <f>'TUSD BE'!$U$20*'TUSD BE'!$U$62</f>
        <v>0</v>
      </c>
      <c r="V20" s="48">
        <f>'TUSD BE'!$V$20*'TUSD BE'!$V$62</f>
        <v>0</v>
      </c>
      <c r="W20" s="48">
        <f>'TUSD BE'!$W$20*'TUSD BE'!$W$62</f>
        <v>0</v>
      </c>
      <c r="X20" s="48">
        <f>'TUSD BE'!$X$20*'TUSD BE'!$X$62</f>
        <v>0</v>
      </c>
      <c r="Y20" s="48">
        <f>'TUSD BE'!$Y$20*'TUSD BE'!$Y$62</f>
        <v>0</v>
      </c>
      <c r="Z20" s="48">
        <f>'TUSD BE'!$Z$20*'TUSD BE'!$Z$62</f>
        <v>0</v>
      </c>
      <c r="AA20" s="48">
        <f>'TUSD BE'!$AA$20*'TUSD BE'!$AA$62</f>
        <v>0</v>
      </c>
      <c r="AB20" s="48">
        <f>SUM($U$20:$AA$20)</f>
        <v>0</v>
      </c>
      <c r="AC20" s="48">
        <f>'TUSD BE'!$AC$20*'TUSD BE'!$AC$62</f>
        <v>-9.4828084670438333</v>
      </c>
      <c r="AD20" s="48">
        <f>SUM($AC$20:$AC$20)</f>
        <v>-9.4828084670438333</v>
      </c>
      <c r="AE20" s="48">
        <f ca="1">$AO$20*$AO$59</f>
        <v>-4.6379108493124953E-2</v>
      </c>
      <c r="AF20" s="48">
        <f ca="1">$AP$20*$AP$59</f>
        <v>0</v>
      </c>
      <c r="AG20" s="48">
        <f ca="1">SUM($AE$20:$AF$20)</f>
        <v>-4.6379108493124953E-2</v>
      </c>
      <c r="AH20" s="48">
        <f>'TUSD BE'!$AH$20*'TUSD BE'!$AH$62</f>
        <v>0</v>
      </c>
      <c r="AI20" s="48">
        <f>'TUSD BE'!$AI$20*'TUSD BE'!$AI$62</f>
        <v>0</v>
      </c>
      <c r="AJ20" s="48">
        <f ca="1">'TUSD BE'!$AJ$20*'TUSD BE'!$AJ$62</f>
        <v>0</v>
      </c>
      <c r="AK20" s="48">
        <f ca="1">'TUSD BE'!$AK$20*'TUSD BE'!$AK$62</f>
        <v>0</v>
      </c>
      <c r="AL20" s="48">
        <f ca="1">SUM($AH$20:$AK$20)</f>
        <v>0</v>
      </c>
      <c r="AM20" s="48">
        <f ca="1">SUMIF($L$4:$AL$4,"SUBTOTAL",$L$20:$AL$20)</f>
        <v>-9.5309939921120588</v>
      </c>
      <c r="AO20" s="54">
        <f ca="1">+'TUSD BE'!$T$20+'TUSD BE'!$AB$20+'TUSD BE'!$AD$20+'TUSD BE'!$AL$20</f>
        <v>15.866254398203571</v>
      </c>
      <c r="AP20" s="54">
        <f ca="1">+'TUSD BE'!$T$20+'TUSD BE'!$AB$20+'TUSD BE'!$AD$20+'TUSD BE'!$AL$20</f>
        <v>15.866254398203571</v>
      </c>
    </row>
    <row r="21" spans="1:42" ht="11.25" customHeight="1" x14ac:dyDescent="0.25">
      <c r="A21" s="109" t="s">
        <v>22</v>
      </c>
      <c r="B21" s="109" t="s">
        <v>95</v>
      </c>
      <c r="C21" s="109" t="s">
        <v>24</v>
      </c>
      <c r="D21" s="109" t="s">
        <v>24</v>
      </c>
      <c r="E21" s="109" t="s">
        <v>25</v>
      </c>
      <c r="F21" s="109" t="s">
        <v>25</v>
      </c>
      <c r="G21" s="52" t="s">
        <v>83</v>
      </c>
      <c r="H21" s="52" t="s">
        <v>82</v>
      </c>
      <c r="I21" s="52">
        <f>'MERCADO TUSD'!$U$18</f>
        <v>0</v>
      </c>
      <c r="J21" s="15"/>
      <c r="L21" s="48">
        <f>'TUSD BE'!$L$21*'TUSD BE'!$L$62</f>
        <v>0</v>
      </c>
      <c r="M21" s="48">
        <f>'TUSD BE'!$M$21*'TUSD BE'!$M$62</f>
        <v>-9.9047450469681567E-2</v>
      </c>
      <c r="N21" s="48">
        <f ca="1">'TUSD BE'!$N$21*'TUSD BE'!$N$62</f>
        <v>0</v>
      </c>
      <c r="O21" s="48">
        <f>'TUSD BE'!$O$21*'TUSD BE'!$O$62</f>
        <v>0</v>
      </c>
      <c r="P21" s="48">
        <f>'TUSD BE'!$P$21*'TUSD BE'!$P$62</f>
        <v>0</v>
      </c>
      <c r="Q21" s="48">
        <f>'TUSD BE'!$Q$21*'TUSD BE'!$Q$62</f>
        <v>-5.6982118835966746</v>
      </c>
      <c r="R21" s="48">
        <f>'TUSD BE'!$R$21*'TUSD BE'!$R$62</f>
        <v>-0.88913657255495493</v>
      </c>
      <c r="S21" s="48">
        <f>'TUSD BE'!$R$21*'TUSD BE'!$S$62</f>
        <v>0</v>
      </c>
      <c r="T21" s="48">
        <f ca="1">SUM($L$21:$S$21)</f>
        <v>-6.6863959066213114</v>
      </c>
      <c r="U21" s="48">
        <f>'TUSD BE'!$U$21*'TUSD BE'!$U$62</f>
        <v>1.58704995540248</v>
      </c>
      <c r="V21" s="48">
        <f>'TUSD BE'!$V$21*'TUSD BE'!$V$62</f>
        <v>1.6457018836868849</v>
      </c>
      <c r="W21" s="48">
        <f>'TUSD BE'!$W$21*'TUSD BE'!$W$62</f>
        <v>0</v>
      </c>
      <c r="X21" s="48">
        <f>'TUSD BE'!$X$21*'TUSD BE'!$X$62</f>
        <v>0</v>
      </c>
      <c r="Y21" s="48">
        <f>'TUSD BE'!$Y$21*'TUSD BE'!$Y$62</f>
        <v>6.6667079420651376</v>
      </c>
      <c r="Z21" s="48">
        <f>'TUSD BE'!$Z$21*'TUSD BE'!$Z$62</f>
        <v>0</v>
      </c>
      <c r="AA21" s="48">
        <f>'TUSD BE'!$AA$21*'TUSD BE'!$AA$62</f>
        <v>0</v>
      </c>
      <c r="AB21" s="48">
        <f>SUM($U$21:$AA$21)</f>
        <v>9.8994597811545013</v>
      </c>
      <c r="AC21" s="48">
        <f>'TUSD BE'!$AC$21*'TUSD BE'!$AC$62</f>
        <v>-250.40379554422245</v>
      </c>
      <c r="AD21" s="48">
        <f>SUM($AC$21:$AC$21)</f>
        <v>-250.40379554422245</v>
      </c>
      <c r="AE21" s="48">
        <f ca="1">$AO$21*$AO$59</f>
        <v>-2.2480186097299728</v>
      </c>
      <c r="AF21" s="48">
        <f ca="1">$AP$21*$AP$59</f>
        <v>0</v>
      </c>
      <c r="AG21" s="48">
        <f ca="1">SUM($AE$21:$AF$21)</f>
        <v>-2.2480186097299728</v>
      </c>
      <c r="AH21" s="48">
        <f>'TUSD BE'!$AH$21*'TUSD BE'!$AH$62</f>
        <v>-0.64888158667106099</v>
      </c>
      <c r="AI21" s="48">
        <f>'TUSD BE'!$AI$21*'TUSD BE'!$AI$62</f>
        <v>-1.6676962542604336E-2</v>
      </c>
      <c r="AJ21" s="48">
        <f ca="1">'TUSD BE'!$AJ$21*'TUSD BE'!$AJ$62</f>
        <v>0</v>
      </c>
      <c r="AK21" s="48">
        <f ca="1">'TUSD BE'!$AK$21*'TUSD BE'!$AK$62</f>
        <v>0</v>
      </c>
      <c r="AL21" s="48">
        <f ca="1">SUM($AH$21:$AK$21)</f>
        <v>-0.66555854921366531</v>
      </c>
      <c r="AM21" s="48">
        <f ca="1">SUMIF($L$4:$AL$4,"SUBTOTAL",$L$21:$AL$21)</f>
        <v>-250.1043088286329</v>
      </c>
      <c r="AO21" s="54">
        <f ca="1">+'TUSD BE'!$T$21+'TUSD BE'!$AB$21+'TUSD BE'!$AD$21+'TUSD BE'!$AL$21</f>
        <v>769.0452945890255</v>
      </c>
      <c r="AP21" s="54">
        <f ca="1">+'TUSD BE'!$T$21+'TUSD BE'!$AB$21+'TUSD BE'!$AD$21+'TUSD BE'!$AL$21</f>
        <v>769.0452945890255</v>
      </c>
    </row>
    <row r="22" spans="1:42" ht="11.25" customHeight="1" x14ac:dyDescent="0.25">
      <c r="A22" s="109"/>
      <c r="B22" s="109"/>
      <c r="C22" s="109"/>
      <c r="D22" s="109"/>
      <c r="E22" s="109"/>
      <c r="F22" s="109"/>
      <c r="G22" s="52" t="s">
        <v>94</v>
      </c>
      <c r="H22" s="52" t="s">
        <v>82</v>
      </c>
      <c r="I22" s="52">
        <f>'MERCADO TUSD'!$U$19</f>
        <v>0</v>
      </c>
      <c r="J22" s="15"/>
      <c r="L22" s="48">
        <f>'TUSD BE'!$L$22*'TUSD BE'!$L$62</f>
        <v>0</v>
      </c>
      <c r="M22" s="48">
        <f>'TUSD BE'!$M$22*'TUSD BE'!$M$62</f>
        <v>-9.9047450469681567E-2</v>
      </c>
      <c r="N22" s="48">
        <f ca="1">'TUSD BE'!$N$22*'TUSD BE'!$N$62</f>
        <v>0</v>
      </c>
      <c r="O22" s="48">
        <f>'TUSD BE'!$O$22*'TUSD BE'!$O$62</f>
        <v>0</v>
      </c>
      <c r="P22" s="48">
        <f>'TUSD BE'!$P$22*'TUSD BE'!$P$62</f>
        <v>0</v>
      </c>
      <c r="Q22" s="48">
        <f>'TUSD BE'!$Q$22*'TUSD BE'!$Q$62</f>
        <v>-5.6982118835966746</v>
      </c>
      <c r="R22" s="48">
        <f>'TUSD BE'!$R$22*'TUSD BE'!$R$62</f>
        <v>-0.88913657255495493</v>
      </c>
      <c r="S22" s="48">
        <f>'TUSD BE'!$R$22*'TUSD BE'!$S$62</f>
        <v>0</v>
      </c>
      <c r="T22" s="48">
        <f ca="1">SUM($L$22:$S$22)</f>
        <v>-6.6863959066213114</v>
      </c>
      <c r="U22" s="48">
        <f>'TUSD BE'!$U$22*'TUSD BE'!$U$62</f>
        <v>1.5076988024151992</v>
      </c>
      <c r="V22" s="48">
        <f>'TUSD BE'!$V$22*'TUSD BE'!$V$62</f>
        <v>1.5634179329704494</v>
      </c>
      <c r="W22" s="48">
        <f>'TUSD BE'!$W$22*'TUSD BE'!$W$62</f>
        <v>0</v>
      </c>
      <c r="X22" s="48">
        <f>'TUSD BE'!$X$22*'TUSD BE'!$X$62</f>
        <v>0</v>
      </c>
      <c r="Y22" s="48">
        <f>'TUSD BE'!$Y$22*'TUSD BE'!$Y$62</f>
        <v>6.3333748747182339</v>
      </c>
      <c r="Z22" s="48">
        <f>'TUSD BE'!$Z$22*'TUSD BE'!$Z$62</f>
        <v>0</v>
      </c>
      <c r="AA22" s="48">
        <f>'TUSD BE'!$AA$22*'TUSD BE'!$AA$62</f>
        <v>0</v>
      </c>
      <c r="AB22" s="48">
        <f>SUM($U$22:$AA$22)</f>
        <v>9.4044916101038822</v>
      </c>
      <c r="AC22" s="48">
        <f>'TUSD BE'!$AC$22*'TUSD BE'!$AC$62</f>
        <v>-237.88358541376849</v>
      </c>
      <c r="AD22" s="48">
        <f>SUM($AC$22:$AC$22)</f>
        <v>-237.88358541376849</v>
      </c>
      <c r="AE22" s="48">
        <f ca="1">$AO$22*$AO$59</f>
        <v>-2.1535542821632818</v>
      </c>
      <c r="AF22" s="48">
        <f ca="1">$AP$22*$AP$59</f>
        <v>0</v>
      </c>
      <c r="AG22" s="48">
        <f ca="1">SUM($AE$22:$AF$22)</f>
        <v>-2.1535542821632818</v>
      </c>
      <c r="AH22" s="48">
        <f>'TUSD BE'!$AH$22*'TUSD BE'!$AH$62</f>
        <v>-0.64888158667106099</v>
      </c>
      <c r="AI22" s="48">
        <f>'TUSD BE'!$AI$22*'TUSD BE'!$AI$62</f>
        <v>-1.6676962542604336E-2</v>
      </c>
      <c r="AJ22" s="48">
        <f ca="1">'TUSD BE'!$AJ$22*'TUSD BE'!$AJ$62</f>
        <v>0</v>
      </c>
      <c r="AK22" s="48">
        <f ca="1">'TUSD BE'!$AK$22*'TUSD BE'!$AK$62</f>
        <v>0</v>
      </c>
      <c r="AL22" s="48">
        <f ca="1">SUM($AH$22:$AK$22)</f>
        <v>-0.66555854921366531</v>
      </c>
      <c r="AM22" s="48">
        <f ca="1">SUMIF($L$4:$AL$4,"SUBTOTAL",$L$22:$AL$22)</f>
        <v>-237.98460254166287</v>
      </c>
      <c r="AO22" s="54">
        <f ca="1">+'TUSD BE'!$T$22+'TUSD BE'!$AB$22+'TUSD BE'!$AD$22+'TUSD BE'!$AL$22</f>
        <v>736.72912678363252</v>
      </c>
      <c r="AP22" s="54">
        <f ca="1">+'TUSD BE'!$T$22+'TUSD BE'!$AB$22+'TUSD BE'!$AD$22+'TUSD BE'!$AL$22</f>
        <v>736.72912678363252</v>
      </c>
    </row>
    <row r="23" spans="1:42" ht="11.25" customHeight="1" x14ac:dyDescent="0.25">
      <c r="A23" s="109"/>
      <c r="B23" s="109"/>
      <c r="C23" s="109"/>
      <c r="D23" s="109"/>
      <c r="E23" s="109"/>
      <c r="F23" s="109"/>
      <c r="G23" s="52" t="s">
        <v>84</v>
      </c>
      <c r="H23" s="52" t="s">
        <v>82</v>
      </c>
      <c r="I23" s="52">
        <f>'MERCADO TUSD'!$U$20</f>
        <v>0</v>
      </c>
      <c r="J23" s="15"/>
      <c r="L23" s="48">
        <f>'TUSD BE'!$L$23*'TUSD BE'!$L$62</f>
        <v>0</v>
      </c>
      <c r="M23" s="48">
        <f>'TUSD BE'!$M$23*'TUSD BE'!$M$62</f>
        <v>-9.9047450469681567E-2</v>
      </c>
      <c r="N23" s="48">
        <f ca="1">'TUSD BE'!$N$23*'TUSD BE'!$N$62</f>
        <v>0</v>
      </c>
      <c r="O23" s="48">
        <f>'TUSD BE'!$O$23*'TUSD BE'!$O$62</f>
        <v>0</v>
      </c>
      <c r="P23" s="48">
        <f>'TUSD BE'!$P$23*'TUSD BE'!$P$62</f>
        <v>0</v>
      </c>
      <c r="Q23" s="48">
        <f>'TUSD BE'!$Q$23*'TUSD BE'!$Q$62</f>
        <v>-5.6982118835966746</v>
      </c>
      <c r="R23" s="48">
        <f>'TUSD BE'!$R$23*'TUSD BE'!$R$62</f>
        <v>-0.88913657255495493</v>
      </c>
      <c r="S23" s="48">
        <f>'TUSD BE'!$R$23*'TUSD BE'!$S$62</f>
        <v>0</v>
      </c>
      <c r="T23" s="48">
        <f ca="1">SUM($L$23:$S$23)</f>
        <v>-6.6863959066213114</v>
      </c>
      <c r="U23" s="48">
        <f>'TUSD BE'!$U$23*'TUSD BE'!$U$62</f>
        <v>0.52901067498818866</v>
      </c>
      <c r="V23" s="48">
        <f>'TUSD BE'!$V$23*'TUSD BE'!$V$62</f>
        <v>0.54856729456229492</v>
      </c>
      <c r="W23" s="48">
        <f>'TUSD BE'!$W$23*'TUSD BE'!$W$62</f>
        <v>0</v>
      </c>
      <c r="X23" s="48">
        <f>'TUSD BE'!$X$23*'TUSD BE'!$X$62</f>
        <v>0</v>
      </c>
      <c r="Y23" s="48">
        <f>'TUSD BE'!$Y$23*'TUSD BE'!$Y$62</f>
        <v>2.2222317447677344</v>
      </c>
      <c r="Z23" s="48">
        <f>'TUSD BE'!$Z$23*'TUSD BE'!$Z$62</f>
        <v>0</v>
      </c>
      <c r="AA23" s="48">
        <f>'TUSD BE'!$AA$23*'TUSD BE'!$AA$62</f>
        <v>0</v>
      </c>
      <c r="AB23" s="48">
        <f>SUM($U$23:$AA$23)</f>
        <v>3.2998097143182181</v>
      </c>
      <c r="AC23" s="48">
        <f>'TUSD BE'!$AC$23*'TUSD BE'!$AC$62</f>
        <v>-83.467951232115013</v>
      </c>
      <c r="AD23" s="48">
        <f>SUM($AC$23:$AC$23)</f>
        <v>-83.467951232115013</v>
      </c>
      <c r="AE23" s="48">
        <f ca="1">$AO$23*$AO$59</f>
        <v>-0.98846897626283714</v>
      </c>
      <c r="AF23" s="48">
        <f ca="1">$AP$23*$AP$59</f>
        <v>0</v>
      </c>
      <c r="AG23" s="48">
        <f ca="1">SUM($AE$23:$AF$23)</f>
        <v>-0.98846897626283714</v>
      </c>
      <c r="AH23" s="48">
        <f>'TUSD BE'!$AH$23*'TUSD BE'!$AH$62</f>
        <v>-0.64888158667106099</v>
      </c>
      <c r="AI23" s="48">
        <f>'TUSD BE'!$AI$23*'TUSD BE'!$AI$62</f>
        <v>-1.6676962542604336E-2</v>
      </c>
      <c r="AJ23" s="48">
        <f ca="1">'TUSD BE'!$AJ$23*'TUSD BE'!$AJ$62</f>
        <v>0</v>
      </c>
      <c r="AK23" s="48">
        <f ca="1">'TUSD BE'!$AK$23*'TUSD BE'!$AK$62</f>
        <v>0</v>
      </c>
      <c r="AL23" s="48">
        <f ca="1">SUM($AH$23:$AK$23)</f>
        <v>-0.66555854921366531</v>
      </c>
      <c r="AM23" s="48">
        <f ca="1">SUMIF($L$4:$AL$4,"SUBTOTAL",$L$23:$AL$23)</f>
        <v>-88.50856494989462</v>
      </c>
      <c r="AO23" s="54">
        <f ca="1">+'TUSD BE'!$T$23+'TUSD BE'!$AB$23+'TUSD BE'!$AD$23+'TUSD BE'!$AL$23</f>
        <v>338.15441373658246</v>
      </c>
      <c r="AP23" s="54">
        <f ca="1">+'TUSD BE'!$T$23+'TUSD BE'!$AB$23+'TUSD BE'!$AD$23+'TUSD BE'!$AL$23</f>
        <v>338.15441373658246</v>
      </c>
    </row>
    <row r="24" spans="1:42" ht="11.25" customHeight="1" x14ac:dyDescent="0.25">
      <c r="A24" s="109"/>
      <c r="B24" s="109" t="s">
        <v>23</v>
      </c>
      <c r="C24" s="109" t="s">
        <v>24</v>
      </c>
      <c r="D24" s="51" t="s">
        <v>24</v>
      </c>
      <c r="E24" s="51" t="s">
        <v>25</v>
      </c>
      <c r="F24" s="51" t="s">
        <v>25</v>
      </c>
      <c r="G24" s="52" t="s">
        <v>88</v>
      </c>
      <c r="H24" s="52" t="s">
        <v>82</v>
      </c>
      <c r="I24" s="52">
        <f>'MERCADO TUSD'!$U$21</f>
        <v>24573.046999999999</v>
      </c>
      <c r="J24" s="15"/>
      <c r="L24" s="48">
        <f>'TUSD BE'!$L$24*'TUSD BE'!$L$62</f>
        <v>0</v>
      </c>
      <c r="M24" s="48">
        <f>'TUSD BE'!$M$24*'TUSD BE'!$M$62</f>
        <v>-9.9047450469681567E-2</v>
      </c>
      <c r="N24" s="48">
        <f ca="1">'TUSD BE'!$N$24*'TUSD BE'!$N$62</f>
        <v>0</v>
      </c>
      <c r="O24" s="48">
        <f>'TUSD BE'!$O$24*'TUSD BE'!$O$62</f>
        <v>0</v>
      </c>
      <c r="P24" s="48">
        <f>'TUSD BE'!$P$24*'TUSD BE'!$P$62</f>
        <v>0</v>
      </c>
      <c r="Q24" s="48">
        <f>'TUSD BE'!$Q$24*'TUSD BE'!$Q$62</f>
        <v>-5.6982118835966746</v>
      </c>
      <c r="R24" s="48">
        <f>'TUSD BE'!$R$24*'TUSD BE'!$R$62</f>
        <v>-0.88913657255495493</v>
      </c>
      <c r="S24" s="48">
        <f>'TUSD BE'!$R$24*'TUSD BE'!$S$62</f>
        <v>0</v>
      </c>
      <c r="T24" s="48">
        <f ca="1">SUM($L$24:$S$24)</f>
        <v>-6.6863959066213114</v>
      </c>
      <c r="U24" s="48">
        <f>'TUSD BE'!$U$24*'TUSD BE'!$U$62</f>
        <v>0.69607753024951191</v>
      </c>
      <c r="V24" s="48">
        <f>'TUSD BE'!$V$24*'TUSD BE'!$V$62</f>
        <v>0.72180268274378434</v>
      </c>
      <c r="W24" s="48">
        <f>'TUSD BE'!$W$24*'TUSD BE'!$W$62</f>
        <v>0</v>
      </c>
      <c r="X24" s="48">
        <f>'TUSD BE'!$X$24*'TUSD BE'!$X$62</f>
        <v>0</v>
      </c>
      <c r="Y24" s="48">
        <f>'TUSD BE'!$Y$24*'TUSD BE'!$Y$62</f>
        <v>2.9239924820001595</v>
      </c>
      <c r="Z24" s="48">
        <f>'TUSD BE'!$Z$24*'TUSD BE'!$Z$62</f>
        <v>0</v>
      </c>
      <c r="AA24" s="48">
        <f>'TUSD BE'!$AA$24*'TUSD BE'!$AA$62</f>
        <v>0</v>
      </c>
      <c r="AB24" s="48">
        <f>SUM($U$24:$AA$24)</f>
        <v>4.3418726949934552</v>
      </c>
      <c r="AC24" s="48">
        <f>'TUSD BE'!$AC$24*'TUSD BE'!$AC$62</f>
        <v>-109.82621489354761</v>
      </c>
      <c r="AD24" s="48">
        <f>SUM($AC$24:$AC$24)</f>
        <v>-109.82621489354761</v>
      </c>
      <c r="AE24" s="48">
        <f ca="1">$AO$24*$AO$59</f>
        <v>-1.1873463423711526</v>
      </c>
      <c r="AF24" s="48">
        <f ca="1">$AP$24*$AP$59</f>
        <v>0</v>
      </c>
      <c r="AG24" s="48">
        <f ca="1">SUM($AE$24:$AF$24)</f>
        <v>-1.1873463423711526</v>
      </c>
      <c r="AH24" s="48">
        <f>'TUSD BE'!$AH$24*'TUSD BE'!$AH$62</f>
        <v>-0.64888158667106099</v>
      </c>
      <c r="AI24" s="48">
        <f>'TUSD BE'!$AI$24*'TUSD BE'!$AI$62</f>
        <v>-1.6676962542604336E-2</v>
      </c>
      <c r="AJ24" s="48">
        <f ca="1">'TUSD BE'!$AJ$24*'TUSD BE'!$AJ$62</f>
        <v>0</v>
      </c>
      <c r="AK24" s="48">
        <f ca="1">'TUSD BE'!$AK$24*'TUSD BE'!$AK$62</f>
        <v>0</v>
      </c>
      <c r="AL24" s="48">
        <f ca="1">SUM($AH$24:$AK$24)</f>
        <v>-0.66555854921366531</v>
      </c>
      <c r="AM24" s="48">
        <f ca="1">SUMIF($L$4:$AL$4,"SUBTOTAL",$L$24:$AL$24)</f>
        <v>-114.0236429967603</v>
      </c>
      <c r="AO24" s="54">
        <f ca="1">+'TUSD BE'!$T$24+'TUSD BE'!$AB$24+'TUSD BE'!$AD$24+'TUSD BE'!$AL$24</f>
        <v>406.19019508815694</v>
      </c>
      <c r="AP24" s="54">
        <f ca="1">+'TUSD BE'!$T$24+'TUSD BE'!$AB$24+'TUSD BE'!$AD$24+'TUSD BE'!$AL$24</f>
        <v>406.19019508815694</v>
      </c>
    </row>
    <row r="25" spans="1:42" ht="11.25" customHeight="1" x14ac:dyDescent="0.25">
      <c r="A25" s="109"/>
      <c r="B25" s="109"/>
      <c r="C25" s="109"/>
      <c r="D25" s="51" t="s">
        <v>29</v>
      </c>
      <c r="E25" s="51" t="s">
        <v>25</v>
      </c>
      <c r="F25" s="51" t="s">
        <v>25</v>
      </c>
      <c r="G25" s="52" t="s">
        <v>88</v>
      </c>
      <c r="H25" s="52" t="s">
        <v>82</v>
      </c>
      <c r="I25" s="52">
        <f>'MERCADO TUSD'!$U$22</f>
        <v>175.73700000000002</v>
      </c>
      <c r="J25" s="15"/>
      <c r="L25" s="48">
        <f>'TUSD BE'!$L$25*'TUSD BE'!$L$62</f>
        <v>0</v>
      </c>
      <c r="M25" s="48">
        <f>'TUSD BE'!$M$25*'TUSD BE'!$M$62</f>
        <v>-9.9047450469681567E-2</v>
      </c>
      <c r="N25" s="48">
        <f ca="1">'TUSD BE'!$N$25*'TUSD BE'!$N$62</f>
        <v>0</v>
      </c>
      <c r="O25" s="48">
        <f>'TUSD BE'!$O$25*'TUSD BE'!$O$62</f>
        <v>0</v>
      </c>
      <c r="P25" s="48">
        <f>'TUSD BE'!$P$25*'TUSD BE'!$P$62</f>
        <v>0</v>
      </c>
      <c r="Q25" s="48">
        <f>'TUSD BE'!$Q$25*'TUSD BE'!$Q$62</f>
        <v>0</v>
      </c>
      <c r="R25" s="48">
        <f>'TUSD BE'!$R$25*'TUSD BE'!$R$62</f>
        <v>0</v>
      </c>
      <c r="S25" s="48">
        <f>'TUSD BE'!$R$25*'TUSD BE'!$S$62</f>
        <v>0</v>
      </c>
      <c r="T25" s="48">
        <f ca="1">SUM($L$25:$S$25)</f>
        <v>-9.9047450469681567E-2</v>
      </c>
      <c r="U25" s="48">
        <f>'TUSD BE'!$U$25*'TUSD BE'!$U$62</f>
        <v>0.69607753024951191</v>
      </c>
      <c r="V25" s="48">
        <f>'TUSD BE'!$V$25*'TUSD BE'!$V$62</f>
        <v>0.72180268274378434</v>
      </c>
      <c r="W25" s="48">
        <f>'TUSD BE'!$W$25*'TUSD BE'!$W$62</f>
        <v>0</v>
      </c>
      <c r="X25" s="48">
        <f>'TUSD BE'!$X$25*'TUSD BE'!$X$62</f>
        <v>0</v>
      </c>
      <c r="Y25" s="48">
        <f>'TUSD BE'!$Y$25*'TUSD BE'!$Y$62</f>
        <v>2.9239924820001595</v>
      </c>
      <c r="Z25" s="48">
        <f>'TUSD BE'!$Z$25*'TUSD BE'!$Z$62</f>
        <v>0</v>
      </c>
      <c r="AA25" s="48">
        <f>'TUSD BE'!$AA$25*'TUSD BE'!$AA$62</f>
        <v>0</v>
      </c>
      <c r="AB25" s="48">
        <f>SUM($U$25:$AA$25)</f>
        <v>4.3418726949934552</v>
      </c>
      <c r="AC25" s="48">
        <f>'TUSD BE'!$AC$25*'TUSD BE'!$AC$62</f>
        <v>-109.82621489354761</v>
      </c>
      <c r="AD25" s="48">
        <f>SUM($AC$25:$AC$25)</f>
        <v>-109.82621489354761</v>
      </c>
      <c r="AE25" s="48">
        <f ca="1">$AO$25*$AO$59</f>
        <v>-0.88293015787602191</v>
      </c>
      <c r="AF25" s="48">
        <f ca="1">$AP$25*$AP$59</f>
        <v>0</v>
      </c>
      <c r="AG25" s="48">
        <f ca="1">SUM($AE$25:$AF$25)</f>
        <v>-0.88293015787602191</v>
      </c>
      <c r="AH25" s="48">
        <f>'TUSD BE'!$AH$25*'TUSD BE'!$AH$62</f>
        <v>-0.64888158667106099</v>
      </c>
      <c r="AI25" s="48">
        <f>'TUSD BE'!$AI$25*'TUSD BE'!$AI$62</f>
        <v>-1.6676962542604336E-2</v>
      </c>
      <c r="AJ25" s="48">
        <f ca="1">'TUSD BE'!$AJ$25*'TUSD BE'!$AJ$62</f>
        <v>0</v>
      </c>
      <c r="AK25" s="48">
        <f ca="1">'TUSD BE'!$AK$25*'TUSD BE'!$AK$62</f>
        <v>0</v>
      </c>
      <c r="AL25" s="48">
        <f ca="1">SUM($AH$25:$AK$25)</f>
        <v>-0.66555854921366531</v>
      </c>
      <c r="AM25" s="48">
        <f ca="1">SUMIF($L$4:$AL$4,"SUBTOTAL",$L$25:$AL$25)</f>
        <v>-107.13187835611353</v>
      </c>
      <c r="AO25" s="54">
        <f ca="1">+'TUSD BE'!$T$25+'TUSD BE'!$AB$25+'TUSD BE'!$AD$25+'TUSD BE'!$AL$25</f>
        <v>302.04967184273522</v>
      </c>
      <c r="AP25" s="54">
        <f ca="1">+'TUSD BE'!$T$25+'TUSD BE'!$AB$25+'TUSD BE'!$AD$25+'TUSD BE'!$AL$25</f>
        <v>302.04967184273522</v>
      </c>
    </row>
    <row r="26" spans="1:42" ht="11.25" customHeight="1" x14ac:dyDescent="0.25">
      <c r="A26" s="109"/>
      <c r="B26" s="109"/>
      <c r="C26" s="109"/>
      <c r="D26" s="51" t="s">
        <v>30</v>
      </c>
      <c r="E26" s="51" t="s">
        <v>25</v>
      </c>
      <c r="F26" s="51" t="s">
        <v>25</v>
      </c>
      <c r="G26" s="52" t="s">
        <v>88</v>
      </c>
      <c r="H26" s="52" t="s">
        <v>82</v>
      </c>
      <c r="I26" s="52">
        <f>'MERCADO TUSD'!$U$23</f>
        <v>60.123000000000005</v>
      </c>
      <c r="J26" s="15"/>
      <c r="L26" s="48">
        <f>'TUSD BE'!$L$26*'TUSD BE'!$L$62</f>
        <v>0</v>
      </c>
      <c r="M26" s="48">
        <f>'TUSD BE'!$M$26*'TUSD BE'!$M$62</f>
        <v>-9.9047450469681567E-2</v>
      </c>
      <c r="N26" s="48">
        <f ca="1">'TUSD BE'!$N$26*'TUSD BE'!$N$62</f>
        <v>0</v>
      </c>
      <c r="O26" s="48">
        <f>'TUSD BE'!$O$26*'TUSD BE'!$O$62</f>
        <v>0</v>
      </c>
      <c r="P26" s="48">
        <f>'TUSD BE'!$P$26*'TUSD BE'!$P$62</f>
        <v>0</v>
      </c>
      <c r="Q26" s="48">
        <f>'TUSD BE'!$Q$26*'TUSD BE'!$Q$62</f>
        <v>0</v>
      </c>
      <c r="R26" s="48">
        <f>'TUSD BE'!$R$26*'TUSD BE'!$R$62</f>
        <v>0</v>
      </c>
      <c r="S26" s="48">
        <f>'TUSD BE'!$R$26*'TUSD BE'!$S$62</f>
        <v>0</v>
      </c>
      <c r="T26" s="48">
        <f ca="1">SUM($L$26:$S$26)</f>
        <v>-9.9047450469681567E-2</v>
      </c>
      <c r="U26" s="48">
        <f>'TUSD BE'!$U$26*'TUSD BE'!$U$62</f>
        <v>0.69607753024951191</v>
      </c>
      <c r="V26" s="48">
        <f>'TUSD BE'!$V$26*'TUSD BE'!$V$62</f>
        <v>0.72180268274378434</v>
      </c>
      <c r="W26" s="48">
        <f>'TUSD BE'!$W$26*'TUSD BE'!$W$62</f>
        <v>0</v>
      </c>
      <c r="X26" s="48">
        <f>'TUSD BE'!$X$26*'TUSD BE'!$X$62</f>
        <v>0</v>
      </c>
      <c r="Y26" s="48">
        <f>'TUSD BE'!$Y$26*'TUSD BE'!$Y$62</f>
        <v>2.9239924820001595</v>
      </c>
      <c r="Z26" s="48">
        <f>'TUSD BE'!$Z$26*'TUSD BE'!$Z$62</f>
        <v>0</v>
      </c>
      <c r="AA26" s="48">
        <f>'TUSD BE'!$AA$26*'TUSD BE'!$AA$62</f>
        <v>0</v>
      </c>
      <c r="AB26" s="48">
        <f>SUM($U$26:$AA$26)</f>
        <v>4.3418726949934552</v>
      </c>
      <c r="AC26" s="48">
        <f>'TUSD BE'!$AC$26*'TUSD BE'!$AC$62</f>
        <v>-109.82621489354761</v>
      </c>
      <c r="AD26" s="48">
        <f>SUM($AC$26:$AC$26)</f>
        <v>-109.82621489354761</v>
      </c>
      <c r="AE26" s="48">
        <f ca="1">$AO$26*$AO$59</f>
        <v>-0.88293015787602191</v>
      </c>
      <c r="AF26" s="48">
        <f ca="1">$AP$26*$AP$59</f>
        <v>0</v>
      </c>
      <c r="AG26" s="48">
        <f ca="1">SUM($AE$26:$AF$26)</f>
        <v>-0.88293015787602191</v>
      </c>
      <c r="AH26" s="48">
        <f>'TUSD BE'!$AH$26*'TUSD BE'!$AH$62</f>
        <v>-0.64888158667106099</v>
      </c>
      <c r="AI26" s="48">
        <f>'TUSD BE'!$AI$26*'TUSD BE'!$AI$62</f>
        <v>-1.6676962542604336E-2</v>
      </c>
      <c r="AJ26" s="48">
        <f ca="1">'TUSD BE'!$AJ$26*'TUSD BE'!$AJ$62</f>
        <v>0</v>
      </c>
      <c r="AK26" s="48">
        <f ca="1">'TUSD BE'!$AK$26*'TUSD BE'!$AK$62</f>
        <v>0</v>
      </c>
      <c r="AL26" s="48">
        <f ca="1">SUM($AH$26:$AK$26)</f>
        <v>-0.66555854921366531</v>
      </c>
      <c r="AM26" s="48">
        <f ca="1">SUMIF($L$4:$AL$4,"SUBTOTAL",$L$26:$AL$26)</f>
        <v>-107.13187835611353</v>
      </c>
      <c r="AO26" s="54">
        <f ca="1">+'TUSD BE'!$T$26+'TUSD BE'!$AB$26+'TUSD BE'!$AD$26+'TUSD BE'!$AL$26</f>
        <v>302.04967184273522</v>
      </c>
      <c r="AP26" s="54">
        <f ca="1">+'TUSD BE'!$T$26+'TUSD BE'!$AB$26+'TUSD BE'!$AD$26+'TUSD BE'!$AL$26</f>
        <v>302.04967184273522</v>
      </c>
    </row>
    <row r="27" spans="1:42" ht="11.25" customHeight="1" x14ac:dyDescent="0.25">
      <c r="A27" s="109"/>
      <c r="B27" s="109"/>
      <c r="C27" s="109"/>
      <c r="D27" s="51" t="s">
        <v>31</v>
      </c>
      <c r="E27" s="51" t="s">
        <v>25</v>
      </c>
      <c r="F27" s="51" t="s">
        <v>25</v>
      </c>
      <c r="G27" s="52" t="s">
        <v>88</v>
      </c>
      <c r="H27" s="52" t="s">
        <v>82</v>
      </c>
      <c r="I27" s="52">
        <f>'MERCADO TUSD'!$U$24</f>
        <v>463.43299999999999</v>
      </c>
      <c r="J27" s="15"/>
      <c r="L27" s="48">
        <f>'TUSD BE'!$L$27*'TUSD BE'!$L$62</f>
        <v>0</v>
      </c>
      <c r="M27" s="48">
        <f>'TUSD BE'!$M$27*'TUSD BE'!$M$62</f>
        <v>-9.9047450469681567E-2</v>
      </c>
      <c r="N27" s="48">
        <f ca="1">'TUSD BE'!$N$27*'TUSD BE'!$N$62</f>
        <v>0</v>
      </c>
      <c r="O27" s="48">
        <f>'TUSD BE'!$O$27*'TUSD BE'!$O$62</f>
        <v>0</v>
      </c>
      <c r="P27" s="48">
        <f>'TUSD BE'!$P$27*'TUSD BE'!$P$62</f>
        <v>0</v>
      </c>
      <c r="Q27" s="48">
        <f>'TUSD BE'!$Q$27*'TUSD BE'!$Q$62</f>
        <v>0</v>
      </c>
      <c r="R27" s="48">
        <f>'TUSD BE'!$R$27*'TUSD BE'!$R$62</f>
        <v>0</v>
      </c>
      <c r="S27" s="48">
        <f>'TUSD BE'!$R$27*'TUSD BE'!$S$62</f>
        <v>0</v>
      </c>
      <c r="T27" s="48">
        <f ca="1">SUM($L$27:$S$27)</f>
        <v>-9.9047450469681567E-2</v>
      </c>
      <c r="U27" s="48">
        <f>'TUSD BE'!$U$27*'TUSD BE'!$U$62</f>
        <v>0.69607753024951191</v>
      </c>
      <c r="V27" s="48">
        <f>'TUSD BE'!$V$27*'TUSD BE'!$V$62</f>
        <v>0.72180268274378434</v>
      </c>
      <c r="W27" s="48">
        <f>'TUSD BE'!$W$27*'TUSD BE'!$W$62</f>
        <v>0</v>
      </c>
      <c r="X27" s="48">
        <f>'TUSD BE'!$X$27*'TUSD BE'!$X$62</f>
        <v>0</v>
      </c>
      <c r="Y27" s="48">
        <f>'TUSD BE'!$Y$27*'TUSD BE'!$Y$62</f>
        <v>2.9239924820001595</v>
      </c>
      <c r="Z27" s="48">
        <f>'TUSD BE'!$Z$27*'TUSD BE'!$Z$62</f>
        <v>0</v>
      </c>
      <c r="AA27" s="48">
        <f>'TUSD BE'!$AA$27*'TUSD BE'!$AA$62</f>
        <v>0</v>
      </c>
      <c r="AB27" s="48">
        <f>SUM($U$27:$AA$27)</f>
        <v>4.3418726949934552</v>
      </c>
      <c r="AC27" s="48">
        <f>'TUSD BE'!$AC$27*'TUSD BE'!$AC$62</f>
        <v>-109.82621489354761</v>
      </c>
      <c r="AD27" s="48">
        <f>SUM($AC$27:$AC$27)</f>
        <v>-109.82621489354761</v>
      </c>
      <c r="AE27" s="48">
        <f ca="1">$AO$27*$AO$59</f>
        <v>-0.88293015787602191</v>
      </c>
      <c r="AF27" s="48">
        <f ca="1">$AP$27*$AP$59</f>
        <v>0</v>
      </c>
      <c r="AG27" s="48">
        <f ca="1">SUM($AE$27:$AF$27)</f>
        <v>-0.88293015787602191</v>
      </c>
      <c r="AH27" s="48">
        <f>'TUSD BE'!$AH$27*'TUSD BE'!$AH$62</f>
        <v>-0.64888158667106099</v>
      </c>
      <c r="AI27" s="48">
        <f>'TUSD BE'!$AI$27*'TUSD BE'!$AI$62</f>
        <v>-1.6676962542604336E-2</v>
      </c>
      <c r="AJ27" s="48">
        <f ca="1">'TUSD BE'!$AJ$27*'TUSD BE'!$AJ$62</f>
        <v>0</v>
      </c>
      <c r="AK27" s="48">
        <f ca="1">'TUSD BE'!$AK$27*'TUSD BE'!$AK$62</f>
        <v>0</v>
      </c>
      <c r="AL27" s="48">
        <f ca="1">SUM($AH$27:$AK$27)</f>
        <v>-0.66555854921366531</v>
      </c>
      <c r="AM27" s="48">
        <f ca="1">SUMIF($L$4:$AL$4,"SUBTOTAL",$L$27:$AL$27)</f>
        <v>-107.13187835611353</v>
      </c>
      <c r="AO27" s="54">
        <f ca="1">+'TUSD BE'!$T$27+'TUSD BE'!$AB$27+'TUSD BE'!$AD$27+'TUSD BE'!$AL$27</f>
        <v>302.04967184273522</v>
      </c>
      <c r="AP27" s="54">
        <f ca="1">+'TUSD BE'!$T$27+'TUSD BE'!$AB$27+'TUSD BE'!$AD$27+'TUSD BE'!$AL$27</f>
        <v>302.04967184273522</v>
      </c>
    </row>
    <row r="28" spans="1:42" ht="11.25" customHeight="1" x14ac:dyDescent="0.25">
      <c r="A28" s="109"/>
      <c r="B28" s="109"/>
      <c r="C28" s="109"/>
      <c r="D28" s="51" t="s">
        <v>32</v>
      </c>
      <c r="E28" s="51" t="s">
        <v>25</v>
      </c>
      <c r="F28" s="51" t="s">
        <v>25</v>
      </c>
      <c r="G28" s="52" t="s">
        <v>88</v>
      </c>
      <c r="H28" s="52" t="s">
        <v>82</v>
      </c>
      <c r="I28" s="52">
        <f>'MERCADO TUSD'!$U$25</f>
        <v>303.64100000000002</v>
      </c>
      <c r="J28" s="15"/>
      <c r="L28" s="48">
        <f>'TUSD BE'!$L$28*'TUSD BE'!$L$62</f>
        <v>0</v>
      </c>
      <c r="M28" s="48">
        <f>'TUSD BE'!$M$28*'TUSD BE'!$M$62</f>
        <v>-9.9047450469681567E-2</v>
      </c>
      <c r="N28" s="48">
        <f ca="1">'TUSD BE'!$N$28*'TUSD BE'!$N$62</f>
        <v>0</v>
      </c>
      <c r="O28" s="48">
        <f>'TUSD BE'!$O$28*'TUSD BE'!$O$62</f>
        <v>0</v>
      </c>
      <c r="P28" s="48">
        <f>'TUSD BE'!$P$28*'TUSD BE'!$P$62</f>
        <v>0</v>
      </c>
      <c r="Q28" s="48">
        <f>'TUSD BE'!$Q$28*'TUSD BE'!$Q$62</f>
        <v>0</v>
      </c>
      <c r="R28" s="48">
        <f>'TUSD BE'!$R$28*'TUSD BE'!$R$62</f>
        <v>0</v>
      </c>
      <c r="S28" s="48">
        <f>'TUSD BE'!$R$28*'TUSD BE'!$S$62</f>
        <v>0</v>
      </c>
      <c r="T28" s="48">
        <f ca="1">SUM($L$28:$S$28)</f>
        <v>-9.9047450469681567E-2</v>
      </c>
      <c r="U28" s="48">
        <f>'TUSD BE'!$U$28*'TUSD BE'!$U$62</f>
        <v>0.69607753024951191</v>
      </c>
      <c r="V28" s="48">
        <f>'TUSD BE'!$V$28*'TUSD BE'!$V$62</f>
        <v>0.72180268274378434</v>
      </c>
      <c r="W28" s="48">
        <f>'TUSD BE'!$W$28*'TUSD BE'!$W$62</f>
        <v>0</v>
      </c>
      <c r="X28" s="48">
        <f>'TUSD BE'!$X$28*'TUSD BE'!$X$62</f>
        <v>0</v>
      </c>
      <c r="Y28" s="48">
        <f>'TUSD BE'!$Y$28*'TUSD BE'!$Y$62</f>
        <v>2.9239924820001595</v>
      </c>
      <c r="Z28" s="48">
        <f>'TUSD BE'!$Z$28*'TUSD BE'!$Z$62</f>
        <v>0</v>
      </c>
      <c r="AA28" s="48">
        <f>'TUSD BE'!$AA$28*'TUSD BE'!$AA$62</f>
        <v>0</v>
      </c>
      <c r="AB28" s="48">
        <f>SUM($U$28:$AA$28)</f>
        <v>4.3418726949934552</v>
      </c>
      <c r="AC28" s="48">
        <f>'TUSD BE'!$AC$28*'TUSD BE'!$AC$62</f>
        <v>-109.82621489354761</v>
      </c>
      <c r="AD28" s="48">
        <f>SUM($AC$28:$AC$28)</f>
        <v>-109.82621489354761</v>
      </c>
      <c r="AE28" s="48">
        <f ca="1">$AO$28*$AO$59</f>
        <v>-0.88293015787602191</v>
      </c>
      <c r="AF28" s="48">
        <f ca="1">$AP$28*$AP$59</f>
        <v>0</v>
      </c>
      <c r="AG28" s="48">
        <f ca="1">SUM($AE$28:$AF$28)</f>
        <v>-0.88293015787602191</v>
      </c>
      <c r="AH28" s="48">
        <f>'TUSD BE'!$AH$28*'TUSD BE'!$AH$62</f>
        <v>-0.64888158667106099</v>
      </c>
      <c r="AI28" s="48">
        <f>'TUSD BE'!$AI$28*'TUSD BE'!$AI$62</f>
        <v>-1.6676962542604336E-2</v>
      </c>
      <c r="AJ28" s="48">
        <f ca="1">'TUSD BE'!$AJ$28*'TUSD BE'!$AJ$62</f>
        <v>0</v>
      </c>
      <c r="AK28" s="48">
        <f ca="1">'TUSD BE'!$AK$28*'TUSD BE'!$AK$62</f>
        <v>0</v>
      </c>
      <c r="AL28" s="48">
        <f ca="1">SUM($AH$28:$AK$28)</f>
        <v>-0.66555854921366531</v>
      </c>
      <c r="AM28" s="48">
        <f ca="1">SUMIF($L$4:$AL$4,"SUBTOTAL",$L$28:$AL$28)</f>
        <v>-107.13187835611353</v>
      </c>
      <c r="AO28" s="54">
        <f ca="1">+'TUSD BE'!$T$28+'TUSD BE'!$AB$28+'TUSD BE'!$AD$28+'TUSD BE'!$AL$28</f>
        <v>302.04967184273522</v>
      </c>
      <c r="AP28" s="54">
        <f ca="1">+'TUSD BE'!$T$28+'TUSD BE'!$AB$28+'TUSD BE'!$AD$28+'TUSD BE'!$AL$28</f>
        <v>302.04967184273522</v>
      </c>
    </row>
    <row r="29" spans="1:42" ht="11.25" customHeight="1" x14ac:dyDescent="0.25">
      <c r="A29" s="109"/>
      <c r="B29" s="109" t="s">
        <v>97</v>
      </c>
      <c r="C29" s="109" t="s">
        <v>24</v>
      </c>
      <c r="D29" s="51" t="s">
        <v>24</v>
      </c>
      <c r="E29" s="51" t="s">
        <v>25</v>
      </c>
      <c r="F29" s="51" t="s">
        <v>25</v>
      </c>
      <c r="G29" s="52" t="s">
        <v>88</v>
      </c>
      <c r="H29" s="52" t="s">
        <v>82</v>
      </c>
      <c r="I29" s="52">
        <f>'MERCADO TUSD'!$U$26</f>
        <v>0</v>
      </c>
      <c r="J29" s="15"/>
      <c r="L29" s="48">
        <f>'TUSD BE'!$L$29*'TUSD BE'!$L$62</f>
        <v>0</v>
      </c>
      <c r="M29" s="48">
        <f>'TUSD BE'!$M$29*'TUSD BE'!$M$62</f>
        <v>-9.9047450469681567E-2</v>
      </c>
      <c r="N29" s="48">
        <f ca="1">'TUSD BE'!$N$29*'TUSD BE'!$N$62</f>
        <v>0</v>
      </c>
      <c r="O29" s="48">
        <f>'TUSD BE'!$O$29*'TUSD BE'!$O$62</f>
        <v>0</v>
      </c>
      <c r="P29" s="48">
        <f>'TUSD BE'!$P$29*'TUSD BE'!$P$62</f>
        <v>0</v>
      </c>
      <c r="Q29" s="48">
        <f>'TUSD BE'!$Q$29*'TUSD BE'!$Q$62</f>
        <v>-5.6982118835966746</v>
      </c>
      <c r="R29" s="48">
        <f>'TUSD BE'!$R$29*'TUSD BE'!$R$62</f>
        <v>-0.88913657255495493</v>
      </c>
      <c r="S29" s="48">
        <f>'TUSD BE'!$R$29*'TUSD BE'!$S$62</f>
        <v>0</v>
      </c>
      <c r="T29" s="48">
        <f ca="1">SUM($L$29:$S$29)</f>
        <v>-6.6863959066213114</v>
      </c>
      <c r="U29" s="48">
        <f>'TUSD BE'!$U$29*'TUSD BE'!$U$62</f>
        <v>0.69607753024951191</v>
      </c>
      <c r="V29" s="48">
        <f>'TUSD BE'!$V$29*'TUSD BE'!$V$62</f>
        <v>0.72180268274378434</v>
      </c>
      <c r="W29" s="48">
        <f>'TUSD BE'!$W$29*'TUSD BE'!$W$62</f>
        <v>0</v>
      </c>
      <c r="X29" s="48">
        <f>'TUSD BE'!$X$29*'TUSD BE'!$X$62</f>
        <v>0</v>
      </c>
      <c r="Y29" s="48">
        <f>'TUSD BE'!$Y$29*'TUSD BE'!$Y$62</f>
        <v>2.9239924820001595</v>
      </c>
      <c r="Z29" s="48">
        <f>'TUSD BE'!$Z$29*'TUSD BE'!$Z$62</f>
        <v>0</v>
      </c>
      <c r="AA29" s="48">
        <f>'TUSD BE'!$AA$29*'TUSD BE'!$AA$62</f>
        <v>0</v>
      </c>
      <c r="AB29" s="48">
        <f>SUM($U$29:$AA$29)</f>
        <v>4.3418726949934552</v>
      </c>
      <c r="AC29" s="48">
        <f>'TUSD BE'!$AC$29*'TUSD BE'!$AC$62</f>
        <v>-109.82621489354761</v>
      </c>
      <c r="AD29" s="48">
        <f>SUM($AC$29:$AC$29)</f>
        <v>-109.82621489354761</v>
      </c>
      <c r="AE29" s="48">
        <f ca="1">$AO$29*$AO$59</f>
        <v>-1.1873463423711526</v>
      </c>
      <c r="AF29" s="48">
        <f ca="1">$AP$29*$AP$59</f>
        <v>0</v>
      </c>
      <c r="AG29" s="48">
        <f ca="1">SUM($AE$29:$AF$29)</f>
        <v>-1.1873463423711526</v>
      </c>
      <c r="AH29" s="48">
        <f>'TUSD BE'!$AH$29*'TUSD BE'!$AH$62</f>
        <v>-0.64888158667106099</v>
      </c>
      <c r="AI29" s="48">
        <f>'TUSD BE'!$AI$29*'TUSD BE'!$AI$62</f>
        <v>-1.6676962542604336E-2</v>
      </c>
      <c r="AJ29" s="48">
        <f ca="1">'TUSD BE'!$AJ$29*'TUSD BE'!$AJ$62</f>
        <v>0</v>
      </c>
      <c r="AK29" s="48">
        <f ca="1">'TUSD BE'!$AK$29*'TUSD BE'!$AK$62</f>
        <v>0</v>
      </c>
      <c r="AL29" s="48">
        <f ca="1">SUM($AH$29:$AK$29)</f>
        <v>-0.66555854921366531</v>
      </c>
      <c r="AM29" s="48">
        <f ca="1">SUMIF($L$4:$AL$4,"SUBTOTAL",$L$29:$AL$29)</f>
        <v>-114.0236429967603</v>
      </c>
      <c r="AO29" s="54">
        <f ca="1">+'TUSD BE'!$T$29+'TUSD BE'!$AB$29+'TUSD BE'!$AD$29+'TUSD BE'!$AL$29</f>
        <v>406.19019508815694</v>
      </c>
      <c r="AP29" s="54">
        <f ca="1">+'TUSD BE'!$T$29+'TUSD BE'!$AB$29+'TUSD BE'!$AD$29+'TUSD BE'!$AL$29</f>
        <v>406.19019508815694</v>
      </c>
    </row>
    <row r="30" spans="1:42" ht="11.25" customHeight="1" x14ac:dyDescent="0.25">
      <c r="A30" s="109"/>
      <c r="B30" s="109"/>
      <c r="C30" s="109"/>
      <c r="D30" s="51" t="s">
        <v>29</v>
      </c>
      <c r="E30" s="51" t="s">
        <v>25</v>
      </c>
      <c r="F30" s="51" t="s">
        <v>25</v>
      </c>
      <c r="G30" s="52" t="s">
        <v>88</v>
      </c>
      <c r="H30" s="52" t="s">
        <v>82</v>
      </c>
      <c r="I30" s="52">
        <f>'MERCADO TUSD'!$U$27</f>
        <v>0</v>
      </c>
      <c r="J30" s="15"/>
      <c r="L30" s="48">
        <f>'TUSD BE'!$L$30*'TUSD BE'!$L$62</f>
        <v>0</v>
      </c>
      <c r="M30" s="48">
        <f>'TUSD BE'!$M$30*'TUSD BE'!$M$62</f>
        <v>-9.9047450469681567E-2</v>
      </c>
      <c r="N30" s="48">
        <f ca="1">'TUSD BE'!$N$30*'TUSD BE'!$N$62</f>
        <v>0</v>
      </c>
      <c r="O30" s="48">
        <f>'TUSD BE'!$O$30*'TUSD BE'!$O$62</f>
        <v>0</v>
      </c>
      <c r="P30" s="48">
        <f>'TUSD BE'!$P$30*'TUSD BE'!$P$62</f>
        <v>0</v>
      </c>
      <c r="Q30" s="48">
        <f>'TUSD BE'!$Q$30*'TUSD BE'!$Q$62</f>
        <v>0</v>
      </c>
      <c r="R30" s="48">
        <f>'TUSD BE'!$R$30*'TUSD BE'!$R$62</f>
        <v>0</v>
      </c>
      <c r="S30" s="48">
        <f>'TUSD BE'!$R$30*'TUSD BE'!$S$62</f>
        <v>0</v>
      </c>
      <c r="T30" s="48">
        <f ca="1">SUM($L$30:$S$30)</f>
        <v>-9.9047450469681567E-2</v>
      </c>
      <c r="U30" s="48">
        <f>'TUSD BE'!$U$30*'TUSD BE'!$U$62</f>
        <v>0.69607753024951191</v>
      </c>
      <c r="V30" s="48">
        <f>'TUSD BE'!$V$30*'TUSD BE'!$V$62</f>
        <v>0.72180268274378434</v>
      </c>
      <c r="W30" s="48">
        <f>'TUSD BE'!$W$30*'TUSD BE'!$W$62</f>
        <v>0</v>
      </c>
      <c r="X30" s="48">
        <f>'TUSD BE'!$X$30*'TUSD BE'!$X$62</f>
        <v>0</v>
      </c>
      <c r="Y30" s="48">
        <f>'TUSD BE'!$Y$30*'TUSD BE'!$Y$62</f>
        <v>2.9239924820001595</v>
      </c>
      <c r="Z30" s="48">
        <f>'TUSD BE'!$Z$30*'TUSD BE'!$Z$62</f>
        <v>0</v>
      </c>
      <c r="AA30" s="48">
        <f>'TUSD BE'!$AA$30*'TUSD BE'!$AA$62</f>
        <v>0</v>
      </c>
      <c r="AB30" s="48">
        <f>SUM($U$30:$AA$30)</f>
        <v>4.3418726949934552</v>
      </c>
      <c r="AC30" s="48">
        <f>'TUSD BE'!$AC$30*'TUSD BE'!$AC$62</f>
        <v>-109.82621489354761</v>
      </c>
      <c r="AD30" s="48">
        <f>SUM($AC$30:$AC$30)</f>
        <v>-109.82621489354761</v>
      </c>
      <c r="AE30" s="48">
        <f ca="1">$AO$30*$AO$59</f>
        <v>-0.88293015787602191</v>
      </c>
      <c r="AF30" s="48">
        <f ca="1">$AP$30*$AP$59</f>
        <v>0</v>
      </c>
      <c r="AG30" s="48">
        <f ca="1">SUM($AE$30:$AF$30)</f>
        <v>-0.88293015787602191</v>
      </c>
      <c r="AH30" s="48">
        <f>'TUSD BE'!$AH$30*'TUSD BE'!$AH$62</f>
        <v>-0.64888158667106099</v>
      </c>
      <c r="AI30" s="48">
        <f>'TUSD BE'!$AI$30*'TUSD BE'!$AI$62</f>
        <v>-1.6676962542604336E-2</v>
      </c>
      <c r="AJ30" s="48">
        <f ca="1">'TUSD BE'!$AJ$30*'TUSD BE'!$AJ$62</f>
        <v>0</v>
      </c>
      <c r="AK30" s="48">
        <f ca="1">'TUSD BE'!$AK$30*'TUSD BE'!$AK$62</f>
        <v>0</v>
      </c>
      <c r="AL30" s="48">
        <f ca="1">SUM($AH$30:$AK$30)</f>
        <v>-0.66555854921366531</v>
      </c>
      <c r="AM30" s="48">
        <f ca="1">SUMIF($L$4:$AL$4,"SUBTOTAL",$L$30:$AL$30)</f>
        <v>-107.13187835611353</v>
      </c>
      <c r="AO30" s="54">
        <f ca="1">+'TUSD BE'!$T$30+'TUSD BE'!$AB$30+'TUSD BE'!$AD$30+'TUSD BE'!$AL$30</f>
        <v>302.04967184273522</v>
      </c>
      <c r="AP30" s="54">
        <f ca="1">+'TUSD BE'!$T$30+'TUSD BE'!$AB$30+'TUSD BE'!$AD$30+'TUSD BE'!$AL$30</f>
        <v>302.04967184273522</v>
      </c>
    </row>
    <row r="31" spans="1:42" ht="11.25" customHeight="1" x14ac:dyDescent="0.25">
      <c r="A31" s="109"/>
      <c r="B31" s="109"/>
      <c r="C31" s="109"/>
      <c r="D31" s="51" t="s">
        <v>30</v>
      </c>
      <c r="E31" s="51" t="s">
        <v>25</v>
      </c>
      <c r="F31" s="51" t="s">
        <v>25</v>
      </c>
      <c r="G31" s="52" t="s">
        <v>88</v>
      </c>
      <c r="H31" s="52" t="s">
        <v>82</v>
      </c>
      <c r="I31" s="52">
        <f>'MERCADO TUSD'!$U$28</f>
        <v>0</v>
      </c>
      <c r="J31" s="15"/>
      <c r="L31" s="48">
        <f>'TUSD BE'!$L$31*'TUSD BE'!$L$62</f>
        <v>0</v>
      </c>
      <c r="M31" s="48">
        <f>'TUSD BE'!$M$31*'TUSD BE'!$M$62</f>
        <v>-9.9047450469681567E-2</v>
      </c>
      <c r="N31" s="48">
        <f ca="1">'TUSD BE'!$N$31*'TUSD BE'!$N$62</f>
        <v>0</v>
      </c>
      <c r="O31" s="48">
        <f>'TUSD BE'!$O$31*'TUSD BE'!$O$62</f>
        <v>0</v>
      </c>
      <c r="P31" s="48">
        <f>'TUSD BE'!$P$31*'TUSD BE'!$P$62</f>
        <v>0</v>
      </c>
      <c r="Q31" s="48">
        <f>'TUSD BE'!$Q$31*'TUSD BE'!$Q$62</f>
        <v>0</v>
      </c>
      <c r="R31" s="48">
        <f>'TUSD BE'!$R$31*'TUSD BE'!$R$62</f>
        <v>0</v>
      </c>
      <c r="S31" s="48">
        <f>'TUSD BE'!$R$31*'TUSD BE'!$S$62</f>
        <v>0</v>
      </c>
      <c r="T31" s="48">
        <f ca="1">SUM($L$31:$S$31)</f>
        <v>-9.9047450469681567E-2</v>
      </c>
      <c r="U31" s="48">
        <f>'TUSD BE'!$U$31*'TUSD BE'!$U$62</f>
        <v>0.69607753024951191</v>
      </c>
      <c r="V31" s="48">
        <f>'TUSD BE'!$V$31*'TUSD BE'!$V$62</f>
        <v>0.72180268274378434</v>
      </c>
      <c r="W31" s="48">
        <f>'TUSD BE'!$W$31*'TUSD BE'!$W$62</f>
        <v>0</v>
      </c>
      <c r="X31" s="48">
        <f>'TUSD BE'!$X$31*'TUSD BE'!$X$62</f>
        <v>0</v>
      </c>
      <c r="Y31" s="48">
        <f>'TUSD BE'!$Y$31*'TUSD BE'!$Y$62</f>
        <v>2.9239924820001595</v>
      </c>
      <c r="Z31" s="48">
        <f>'TUSD BE'!$Z$31*'TUSD BE'!$Z$62</f>
        <v>0</v>
      </c>
      <c r="AA31" s="48">
        <f>'TUSD BE'!$AA$31*'TUSD BE'!$AA$62</f>
        <v>0</v>
      </c>
      <c r="AB31" s="48">
        <f>SUM($U$31:$AA$31)</f>
        <v>4.3418726949934552</v>
      </c>
      <c r="AC31" s="48">
        <f>'TUSD BE'!$AC$31*'TUSD BE'!$AC$62</f>
        <v>-109.82621489354761</v>
      </c>
      <c r="AD31" s="48">
        <f>SUM($AC$31:$AC$31)</f>
        <v>-109.82621489354761</v>
      </c>
      <c r="AE31" s="48">
        <f ca="1">$AO$31*$AO$59</f>
        <v>-0.88293015787602191</v>
      </c>
      <c r="AF31" s="48">
        <f ca="1">$AP$31*$AP$59</f>
        <v>0</v>
      </c>
      <c r="AG31" s="48">
        <f ca="1">SUM($AE$31:$AF$31)</f>
        <v>-0.88293015787602191</v>
      </c>
      <c r="AH31" s="48">
        <f>'TUSD BE'!$AH$31*'TUSD BE'!$AH$62</f>
        <v>-0.64888158667106099</v>
      </c>
      <c r="AI31" s="48">
        <f>'TUSD BE'!$AI$31*'TUSD BE'!$AI$62</f>
        <v>-1.6676962542604336E-2</v>
      </c>
      <c r="AJ31" s="48">
        <f ca="1">'TUSD BE'!$AJ$31*'TUSD BE'!$AJ$62</f>
        <v>0</v>
      </c>
      <c r="AK31" s="48">
        <f ca="1">'TUSD BE'!$AK$31*'TUSD BE'!$AK$62</f>
        <v>0</v>
      </c>
      <c r="AL31" s="48">
        <f ca="1">SUM($AH$31:$AK$31)</f>
        <v>-0.66555854921366531</v>
      </c>
      <c r="AM31" s="48">
        <f ca="1">SUMIF($L$4:$AL$4,"SUBTOTAL",$L$31:$AL$31)</f>
        <v>-107.13187835611353</v>
      </c>
      <c r="AO31" s="54">
        <f ca="1">+'TUSD BE'!$T$31+'TUSD BE'!$AB$31+'TUSD BE'!$AD$31+'TUSD BE'!$AL$31</f>
        <v>302.04967184273522</v>
      </c>
      <c r="AP31" s="54">
        <f ca="1">+'TUSD BE'!$T$31+'TUSD BE'!$AB$31+'TUSD BE'!$AD$31+'TUSD BE'!$AL$31</f>
        <v>302.04967184273522</v>
      </c>
    </row>
    <row r="32" spans="1:42" ht="11.25" customHeight="1" x14ac:dyDescent="0.25">
      <c r="A32" s="109"/>
      <c r="B32" s="109"/>
      <c r="C32" s="109"/>
      <c r="D32" s="51" t="s">
        <v>31</v>
      </c>
      <c r="E32" s="51" t="s">
        <v>25</v>
      </c>
      <c r="F32" s="51" t="s">
        <v>25</v>
      </c>
      <c r="G32" s="52" t="s">
        <v>88</v>
      </c>
      <c r="H32" s="52" t="s">
        <v>82</v>
      </c>
      <c r="I32" s="52">
        <f>'MERCADO TUSD'!$U$29</f>
        <v>0</v>
      </c>
      <c r="J32" s="15"/>
      <c r="L32" s="48">
        <f>'TUSD BE'!$L$32*'TUSD BE'!$L$62</f>
        <v>0</v>
      </c>
      <c r="M32" s="48">
        <f>'TUSD BE'!$M$32*'TUSD BE'!$M$62</f>
        <v>-9.9047450469681567E-2</v>
      </c>
      <c r="N32" s="48">
        <f ca="1">'TUSD BE'!$N$32*'TUSD BE'!$N$62</f>
        <v>0</v>
      </c>
      <c r="O32" s="48">
        <f>'TUSD BE'!$O$32*'TUSD BE'!$O$62</f>
        <v>0</v>
      </c>
      <c r="P32" s="48">
        <f>'TUSD BE'!$P$32*'TUSD BE'!$P$62</f>
        <v>0</v>
      </c>
      <c r="Q32" s="48">
        <f>'TUSD BE'!$Q$32*'TUSD BE'!$Q$62</f>
        <v>0</v>
      </c>
      <c r="R32" s="48">
        <f>'TUSD BE'!$R$32*'TUSD BE'!$R$62</f>
        <v>0</v>
      </c>
      <c r="S32" s="48">
        <f>'TUSD BE'!$R$32*'TUSD BE'!$S$62</f>
        <v>0</v>
      </c>
      <c r="T32" s="48">
        <f ca="1">SUM($L$32:$S$32)</f>
        <v>-9.9047450469681567E-2</v>
      </c>
      <c r="U32" s="48">
        <f>'TUSD BE'!$U$32*'TUSD BE'!$U$62</f>
        <v>0.69607753024951191</v>
      </c>
      <c r="V32" s="48">
        <f>'TUSD BE'!$V$32*'TUSD BE'!$V$62</f>
        <v>0.72180268274378434</v>
      </c>
      <c r="W32" s="48">
        <f>'TUSD BE'!$W$32*'TUSD BE'!$W$62</f>
        <v>0</v>
      </c>
      <c r="X32" s="48">
        <f>'TUSD BE'!$X$32*'TUSD BE'!$X$62</f>
        <v>0</v>
      </c>
      <c r="Y32" s="48">
        <f>'TUSD BE'!$Y$32*'TUSD BE'!$Y$62</f>
        <v>2.9239924820001595</v>
      </c>
      <c r="Z32" s="48">
        <f>'TUSD BE'!$Z$32*'TUSD BE'!$Z$62</f>
        <v>0</v>
      </c>
      <c r="AA32" s="48">
        <f>'TUSD BE'!$AA$32*'TUSD BE'!$AA$62</f>
        <v>0</v>
      </c>
      <c r="AB32" s="48">
        <f>SUM($U$32:$AA$32)</f>
        <v>4.3418726949934552</v>
      </c>
      <c r="AC32" s="48">
        <f>'TUSD BE'!$AC$32*'TUSD BE'!$AC$62</f>
        <v>-109.82621489354761</v>
      </c>
      <c r="AD32" s="48">
        <f>SUM($AC$32:$AC$32)</f>
        <v>-109.82621489354761</v>
      </c>
      <c r="AE32" s="48">
        <f ca="1">$AO$32*$AO$59</f>
        <v>-0.88293015787602191</v>
      </c>
      <c r="AF32" s="48">
        <f ca="1">$AP$32*$AP$59</f>
        <v>0</v>
      </c>
      <c r="AG32" s="48">
        <f ca="1">SUM($AE$32:$AF$32)</f>
        <v>-0.88293015787602191</v>
      </c>
      <c r="AH32" s="48">
        <f>'TUSD BE'!$AH$32*'TUSD BE'!$AH$62</f>
        <v>-0.64888158667106099</v>
      </c>
      <c r="AI32" s="48">
        <f>'TUSD BE'!$AI$32*'TUSD BE'!$AI$62</f>
        <v>-1.6676962542604336E-2</v>
      </c>
      <c r="AJ32" s="48">
        <f ca="1">'TUSD BE'!$AJ$32*'TUSD BE'!$AJ$62</f>
        <v>0</v>
      </c>
      <c r="AK32" s="48">
        <f ca="1">'TUSD BE'!$AK$32*'TUSD BE'!$AK$62</f>
        <v>0</v>
      </c>
      <c r="AL32" s="48">
        <f ca="1">SUM($AH$32:$AK$32)</f>
        <v>-0.66555854921366531</v>
      </c>
      <c r="AM32" s="48">
        <f ca="1">SUMIF($L$4:$AL$4,"SUBTOTAL",$L$32:$AL$32)</f>
        <v>-107.13187835611353</v>
      </c>
      <c r="AO32" s="54">
        <f ca="1">+'TUSD BE'!$T$32+'TUSD BE'!$AB$32+'TUSD BE'!$AD$32+'TUSD BE'!$AL$32</f>
        <v>302.04967184273522</v>
      </c>
      <c r="AP32" s="54">
        <f ca="1">+'TUSD BE'!$T$32+'TUSD BE'!$AB$32+'TUSD BE'!$AD$32+'TUSD BE'!$AL$32</f>
        <v>302.04967184273522</v>
      </c>
    </row>
    <row r="33" spans="1:42" ht="11.25" customHeight="1" x14ac:dyDescent="0.25">
      <c r="A33" s="109"/>
      <c r="B33" s="109"/>
      <c r="C33" s="109"/>
      <c r="D33" s="51" t="s">
        <v>32</v>
      </c>
      <c r="E33" s="51" t="s">
        <v>25</v>
      </c>
      <c r="F33" s="51" t="s">
        <v>25</v>
      </c>
      <c r="G33" s="52" t="s">
        <v>88</v>
      </c>
      <c r="H33" s="52" t="s">
        <v>82</v>
      </c>
      <c r="I33" s="52">
        <f>'MERCADO TUSD'!$U$30</f>
        <v>0</v>
      </c>
      <c r="J33" s="15"/>
      <c r="L33" s="48">
        <f>'TUSD BE'!$L$33*'TUSD BE'!$L$62</f>
        <v>0</v>
      </c>
      <c r="M33" s="48">
        <f>'TUSD BE'!$M$33*'TUSD BE'!$M$62</f>
        <v>-9.9047450469681567E-2</v>
      </c>
      <c r="N33" s="48">
        <f ca="1">'TUSD BE'!$N$33*'TUSD BE'!$N$62</f>
        <v>0</v>
      </c>
      <c r="O33" s="48">
        <f>'TUSD BE'!$O$33*'TUSD BE'!$O$62</f>
        <v>0</v>
      </c>
      <c r="P33" s="48">
        <f>'TUSD BE'!$P$33*'TUSD BE'!$P$62</f>
        <v>0</v>
      </c>
      <c r="Q33" s="48">
        <f>'TUSD BE'!$Q$33*'TUSD BE'!$Q$62</f>
        <v>0</v>
      </c>
      <c r="R33" s="48">
        <f>'TUSD BE'!$R$33*'TUSD BE'!$R$62</f>
        <v>0</v>
      </c>
      <c r="S33" s="48">
        <f>'TUSD BE'!$R$33*'TUSD BE'!$S$62</f>
        <v>0</v>
      </c>
      <c r="T33" s="48">
        <f ca="1">SUM($L$33:$S$33)</f>
        <v>-9.9047450469681567E-2</v>
      </c>
      <c r="U33" s="48">
        <f>'TUSD BE'!$U$33*'TUSD BE'!$U$62</f>
        <v>0.69607753024951191</v>
      </c>
      <c r="V33" s="48">
        <f>'TUSD BE'!$V$33*'TUSD BE'!$V$62</f>
        <v>0.72180268274378434</v>
      </c>
      <c r="W33" s="48">
        <f>'TUSD BE'!$W$33*'TUSD BE'!$W$62</f>
        <v>0</v>
      </c>
      <c r="X33" s="48">
        <f>'TUSD BE'!$X$33*'TUSD BE'!$X$62</f>
        <v>0</v>
      </c>
      <c r="Y33" s="48">
        <f>'TUSD BE'!$Y$33*'TUSD BE'!$Y$62</f>
        <v>2.9239924820001595</v>
      </c>
      <c r="Z33" s="48">
        <f>'TUSD BE'!$Z$33*'TUSD BE'!$Z$62</f>
        <v>0</v>
      </c>
      <c r="AA33" s="48">
        <f>'TUSD BE'!$AA$33*'TUSD BE'!$AA$62</f>
        <v>0</v>
      </c>
      <c r="AB33" s="48">
        <f>SUM($U$33:$AA$33)</f>
        <v>4.3418726949934552</v>
      </c>
      <c r="AC33" s="48">
        <f>'TUSD BE'!$AC$33*'TUSD BE'!$AC$62</f>
        <v>-109.82621489354761</v>
      </c>
      <c r="AD33" s="48">
        <f>SUM($AC$33:$AC$33)</f>
        <v>-109.82621489354761</v>
      </c>
      <c r="AE33" s="48">
        <f ca="1">$AO$33*$AO$59</f>
        <v>-0.88293015787602191</v>
      </c>
      <c r="AF33" s="48">
        <f ca="1">$AP$33*$AP$59</f>
        <v>0</v>
      </c>
      <c r="AG33" s="48">
        <f ca="1">SUM($AE$33:$AF$33)</f>
        <v>-0.88293015787602191</v>
      </c>
      <c r="AH33" s="48">
        <f>'TUSD BE'!$AH$33*'TUSD BE'!$AH$62</f>
        <v>-0.64888158667106099</v>
      </c>
      <c r="AI33" s="48">
        <f>'TUSD BE'!$AI$33*'TUSD BE'!$AI$62</f>
        <v>-1.6676962542604336E-2</v>
      </c>
      <c r="AJ33" s="48">
        <f ca="1">'TUSD BE'!$AJ$33*'TUSD BE'!$AJ$62</f>
        <v>0</v>
      </c>
      <c r="AK33" s="48">
        <f ca="1">'TUSD BE'!$AK$33*'TUSD BE'!$AK$62</f>
        <v>0</v>
      </c>
      <c r="AL33" s="48">
        <f ca="1">SUM($AH$33:$AK$33)</f>
        <v>-0.66555854921366531</v>
      </c>
      <c r="AM33" s="48">
        <f ca="1">SUMIF($L$4:$AL$4,"SUBTOTAL",$L$33:$AL$33)</f>
        <v>-107.13187835611353</v>
      </c>
      <c r="AO33" s="54">
        <f ca="1">+'TUSD BE'!$T$33+'TUSD BE'!$AB$33+'TUSD BE'!$AD$33+'TUSD BE'!$AL$33</f>
        <v>302.04967184273522</v>
      </c>
      <c r="AP33" s="54">
        <f ca="1">+'TUSD BE'!$T$33+'TUSD BE'!$AB$33+'TUSD BE'!$AD$33+'TUSD BE'!$AL$33</f>
        <v>302.04967184273522</v>
      </c>
    </row>
    <row r="34" spans="1:42" ht="11.25" customHeight="1" x14ac:dyDescent="0.25">
      <c r="A34" s="109" t="s">
        <v>41</v>
      </c>
      <c r="B34" s="109" t="s">
        <v>95</v>
      </c>
      <c r="C34" s="109" t="s">
        <v>42</v>
      </c>
      <c r="D34" s="109" t="s">
        <v>25</v>
      </c>
      <c r="E34" s="109" t="s">
        <v>25</v>
      </c>
      <c r="F34" s="109" t="s">
        <v>25</v>
      </c>
      <c r="G34" s="52" t="s">
        <v>83</v>
      </c>
      <c r="H34" s="52" t="s">
        <v>82</v>
      </c>
      <c r="I34" s="52">
        <f>'MERCADO TUSD'!$U$31</f>
        <v>0</v>
      </c>
      <c r="J34" s="15"/>
      <c r="L34" s="48">
        <f>'TUSD BE'!$L$34*'TUSD BE'!$L$62</f>
        <v>0</v>
      </c>
      <c r="M34" s="48">
        <f>'TUSD BE'!$M$34*'TUSD BE'!$M$62</f>
        <v>-9.9047450469681567E-2</v>
      </c>
      <c r="N34" s="48">
        <f ca="1">'TUSD BE'!$N$34*'TUSD BE'!$N$62</f>
        <v>0</v>
      </c>
      <c r="O34" s="48">
        <f>'TUSD BE'!$O$34*'TUSD BE'!$O$62</f>
        <v>0</v>
      </c>
      <c r="P34" s="48">
        <f>'TUSD BE'!$P$34*'TUSD BE'!$P$62</f>
        <v>0</v>
      </c>
      <c r="Q34" s="48">
        <f>'TUSD BE'!$Q$34*'TUSD BE'!$Q$62</f>
        <v>-5.6982118835966746</v>
      </c>
      <c r="R34" s="48">
        <f>'TUSD BE'!$R$34*'TUSD BE'!$R$62</f>
        <v>-0.88913657255495493</v>
      </c>
      <c r="S34" s="48">
        <f>'TUSD BE'!$R$34*'TUSD BE'!$S$62</f>
        <v>0</v>
      </c>
      <c r="T34" s="48">
        <f ca="1">SUM($L$34:$S$34)</f>
        <v>-6.6863959066213114</v>
      </c>
      <c r="U34" s="48">
        <f>'TUSD BE'!$U$34*'TUSD BE'!$U$62</f>
        <v>1.618795795728766</v>
      </c>
      <c r="V34" s="48">
        <f>'TUSD BE'!$V$34*'TUSD BE'!$V$62</f>
        <v>1.678610890101824</v>
      </c>
      <c r="W34" s="48">
        <f>'TUSD BE'!$W$34*'TUSD BE'!$W$62</f>
        <v>0</v>
      </c>
      <c r="X34" s="48">
        <f>'TUSD BE'!$X$34*'TUSD BE'!$X$62</f>
        <v>0</v>
      </c>
      <c r="Y34" s="48">
        <f>'TUSD BE'!$Y$34*'TUSD BE'!$Y$62</f>
        <v>6.8000420161880273</v>
      </c>
      <c r="Z34" s="48">
        <f>'TUSD BE'!$Z$34*'TUSD BE'!$Z$62</f>
        <v>0</v>
      </c>
      <c r="AA34" s="48">
        <f>'TUSD BE'!$AA$34*'TUSD BE'!$AA$62</f>
        <v>0</v>
      </c>
      <c r="AB34" s="48">
        <f>SUM($U$34:$AA$34)</f>
        <v>10.097448702018617</v>
      </c>
      <c r="AC34" s="48">
        <f>'TUSD BE'!$AC$34*'TUSD BE'!$AC$62</f>
        <v>-255.41185633555509</v>
      </c>
      <c r="AD34" s="48">
        <f>SUM($AC$34:$AC$34)</f>
        <v>-255.41185633555509</v>
      </c>
      <c r="AE34" s="48">
        <f ca="1">$AO$34*$AO$59</f>
        <v>-2.2858067601911194</v>
      </c>
      <c r="AF34" s="48">
        <f ca="1">$AP$34*$AP$59</f>
        <v>0</v>
      </c>
      <c r="AG34" s="48">
        <f ca="1">SUM($AE$34:$AF$34)</f>
        <v>-2.2858067601911194</v>
      </c>
      <c r="AH34" s="48">
        <f>'TUSD BE'!$AH$34*'TUSD BE'!$AH$62</f>
        <v>-0.64888158667106099</v>
      </c>
      <c r="AI34" s="48">
        <f>'TUSD BE'!$AI$34*'TUSD BE'!$AI$62</f>
        <v>-1.6676962542604336E-2</v>
      </c>
      <c r="AJ34" s="48">
        <f ca="1">'TUSD BE'!$AJ$34*'TUSD BE'!$AJ$62</f>
        <v>0</v>
      </c>
      <c r="AK34" s="48">
        <f ca="1">'TUSD BE'!$AK$34*'TUSD BE'!$AK$62</f>
        <v>0</v>
      </c>
      <c r="AL34" s="48">
        <f ca="1">SUM($AH$34:$AK$34)</f>
        <v>-0.66555854921366531</v>
      </c>
      <c r="AM34" s="48">
        <f ca="1">SUMIF($L$4:$AL$4,"SUBTOTAL",$L$34:$AL$34)</f>
        <v>-254.95216884956258</v>
      </c>
      <c r="AO34" s="54">
        <f ca="1">+'TUSD BE'!$T$34+'TUSD BE'!$AB$34+'TUSD BE'!$AD$34+'TUSD BE'!$AL$34</f>
        <v>781.97258939770052</v>
      </c>
      <c r="AP34" s="54">
        <f ca="1">+'TUSD BE'!$T$34+'TUSD BE'!$AB$34+'TUSD BE'!$AD$34+'TUSD BE'!$AL$34</f>
        <v>781.97258939770052</v>
      </c>
    </row>
    <row r="35" spans="1:42" ht="11.25" customHeight="1" x14ac:dyDescent="0.25">
      <c r="A35" s="109"/>
      <c r="B35" s="109"/>
      <c r="C35" s="109"/>
      <c r="D35" s="109"/>
      <c r="E35" s="109"/>
      <c r="F35" s="109"/>
      <c r="G35" s="52" t="s">
        <v>94</v>
      </c>
      <c r="H35" s="52" t="s">
        <v>82</v>
      </c>
      <c r="I35" s="52">
        <f>'MERCADO TUSD'!$U$32</f>
        <v>0</v>
      </c>
      <c r="J35" s="15"/>
      <c r="L35" s="48">
        <f>'TUSD BE'!$L$35*'TUSD BE'!$L$62</f>
        <v>0</v>
      </c>
      <c r="M35" s="48">
        <f>'TUSD BE'!$M$35*'TUSD BE'!$M$62</f>
        <v>-9.9047450469681567E-2</v>
      </c>
      <c r="N35" s="48">
        <f ca="1">'TUSD BE'!$N$35*'TUSD BE'!$N$62</f>
        <v>0</v>
      </c>
      <c r="O35" s="48">
        <f>'TUSD BE'!$O$35*'TUSD BE'!$O$62</f>
        <v>0</v>
      </c>
      <c r="P35" s="48">
        <f>'TUSD BE'!$P$35*'TUSD BE'!$P$62</f>
        <v>0</v>
      </c>
      <c r="Q35" s="48">
        <f>'TUSD BE'!$Q$35*'TUSD BE'!$Q$62</f>
        <v>-5.6982118835966746</v>
      </c>
      <c r="R35" s="48">
        <f>'TUSD BE'!$R$35*'TUSD BE'!$R$62</f>
        <v>-0.88913657255495493</v>
      </c>
      <c r="S35" s="48">
        <f>'TUSD BE'!$R$35*'TUSD BE'!$S$62</f>
        <v>0</v>
      </c>
      <c r="T35" s="48">
        <f ca="1">SUM($L$35:$S$35)</f>
        <v>-6.6863959066213114</v>
      </c>
      <c r="U35" s="48">
        <f>'TUSD BE'!$U$35*'TUSD BE'!$U$62</f>
        <v>0.82526633541804773</v>
      </c>
      <c r="V35" s="48">
        <f>'TUSD BE'!$V$35*'TUSD BE'!$V$62</f>
        <v>0.85577138293746935</v>
      </c>
      <c r="W35" s="48">
        <f>'TUSD BE'!$W$35*'TUSD BE'!$W$62</f>
        <v>0</v>
      </c>
      <c r="X35" s="48">
        <f>'TUSD BE'!$X$35*'TUSD BE'!$X$62</f>
        <v>0</v>
      </c>
      <c r="Y35" s="48">
        <f>'TUSD BE'!$Y$35*'TUSD BE'!$Y$62</f>
        <v>3.4666901631157807</v>
      </c>
      <c r="Z35" s="48">
        <f>'TUSD BE'!$Z$35*'TUSD BE'!$Z$62</f>
        <v>0</v>
      </c>
      <c r="AA35" s="48">
        <f>'TUSD BE'!$AA$35*'TUSD BE'!$AA$62</f>
        <v>0</v>
      </c>
      <c r="AB35" s="48">
        <f>SUM($U$35:$AA$35)</f>
        <v>5.1477278814712975</v>
      </c>
      <c r="AC35" s="48">
        <f>'TUSD BE'!$AC$35*'TUSD BE'!$AC$62</f>
        <v>-130.2099876395051</v>
      </c>
      <c r="AD35" s="48">
        <f>SUM($AC$35:$AC$35)</f>
        <v>-130.2099876395051</v>
      </c>
      <c r="AE35" s="48">
        <f ca="1">$AO$35*$AO$59</f>
        <v>-1.3411455017670117</v>
      </c>
      <c r="AF35" s="48">
        <f ca="1">$AP$35*$AP$59</f>
        <v>0</v>
      </c>
      <c r="AG35" s="48">
        <f ca="1">SUM($AE$35:$AF$35)</f>
        <v>-1.3411455017670117</v>
      </c>
      <c r="AH35" s="48">
        <f>'TUSD BE'!$AH$35*'TUSD BE'!$AH$62</f>
        <v>-0.64888158667106099</v>
      </c>
      <c r="AI35" s="48">
        <f>'TUSD BE'!$AI$35*'TUSD BE'!$AI$62</f>
        <v>-1.6676962542604336E-2</v>
      </c>
      <c r="AJ35" s="48">
        <f ca="1">'TUSD BE'!$AJ$35*'TUSD BE'!$AJ$62</f>
        <v>0</v>
      </c>
      <c r="AK35" s="48">
        <f ca="1">'TUSD BE'!$AK$35*'TUSD BE'!$AK$62</f>
        <v>0</v>
      </c>
      <c r="AL35" s="48">
        <f ca="1">SUM($AH$35:$AK$35)</f>
        <v>-0.66555854921366531</v>
      </c>
      <c r="AM35" s="48">
        <f ca="1">SUMIF($L$4:$AL$4,"SUBTOTAL",$L$35:$AL$35)</f>
        <v>-133.75535971563579</v>
      </c>
      <c r="AO35" s="54">
        <f ca="1">+'TUSD BE'!$T$35+'TUSD BE'!$AB$35+'TUSD BE'!$AD$35+'TUSD BE'!$AL$35</f>
        <v>458.80475945750641</v>
      </c>
      <c r="AP35" s="54">
        <f ca="1">+'TUSD BE'!$T$35+'TUSD BE'!$AB$35+'TUSD BE'!$AD$35+'TUSD BE'!$AL$35</f>
        <v>458.80475945750641</v>
      </c>
    </row>
    <row r="36" spans="1:42" ht="11.25" customHeight="1" x14ac:dyDescent="0.25">
      <c r="A36" s="109"/>
      <c r="B36" s="109"/>
      <c r="C36" s="109"/>
      <c r="D36" s="109"/>
      <c r="E36" s="109"/>
      <c r="F36" s="109"/>
      <c r="G36" s="52" t="s">
        <v>84</v>
      </c>
      <c r="H36" s="52" t="s">
        <v>82</v>
      </c>
      <c r="I36" s="52">
        <f>'MERCADO TUSD'!$U$33</f>
        <v>0</v>
      </c>
      <c r="J36" s="15"/>
      <c r="L36" s="48">
        <f>'TUSD BE'!$L$36*'TUSD BE'!$L$62</f>
        <v>0</v>
      </c>
      <c r="M36" s="48">
        <f>'TUSD BE'!$M$36*'TUSD BE'!$M$62</f>
        <v>-9.9047450469681567E-2</v>
      </c>
      <c r="N36" s="48">
        <f ca="1">'TUSD BE'!$N$36*'TUSD BE'!$N$62</f>
        <v>0</v>
      </c>
      <c r="O36" s="48">
        <f>'TUSD BE'!$O$36*'TUSD BE'!$O$62</f>
        <v>0</v>
      </c>
      <c r="P36" s="48">
        <f>'TUSD BE'!$P$36*'TUSD BE'!$P$62</f>
        <v>0</v>
      </c>
      <c r="Q36" s="48">
        <f>'TUSD BE'!$Q$36*'TUSD BE'!$Q$62</f>
        <v>-5.6982118835966746</v>
      </c>
      <c r="R36" s="48">
        <f>'TUSD BE'!$R$36*'TUSD BE'!$R$62</f>
        <v>-0.88913657255495493</v>
      </c>
      <c r="S36" s="48">
        <f>'TUSD BE'!$R$36*'TUSD BE'!$S$62</f>
        <v>0</v>
      </c>
      <c r="T36" s="48">
        <f ca="1">SUM($L$36:$S$36)</f>
        <v>-6.6863959066213114</v>
      </c>
      <c r="U36" s="48">
        <f>'TUSD BE'!$U$36*'TUSD BE'!$U$62</f>
        <v>0.52901067498818866</v>
      </c>
      <c r="V36" s="48">
        <f>'TUSD BE'!$V$36*'TUSD BE'!$V$62</f>
        <v>0.54856729456229492</v>
      </c>
      <c r="W36" s="48">
        <f>'TUSD BE'!$W$36*'TUSD BE'!$W$62</f>
        <v>0</v>
      </c>
      <c r="X36" s="48">
        <f>'TUSD BE'!$X$36*'TUSD BE'!$X$62</f>
        <v>0</v>
      </c>
      <c r="Y36" s="48">
        <f>'TUSD BE'!$Y$36*'TUSD BE'!$Y$62</f>
        <v>2.2222317447677344</v>
      </c>
      <c r="Z36" s="48">
        <f>'TUSD BE'!$Z$36*'TUSD BE'!$Z$62</f>
        <v>0</v>
      </c>
      <c r="AA36" s="48">
        <f>'TUSD BE'!$AA$36*'TUSD BE'!$AA$62</f>
        <v>0</v>
      </c>
      <c r="AB36" s="48">
        <f>SUM($U$36:$AA$36)</f>
        <v>3.2998097143182181</v>
      </c>
      <c r="AC36" s="48">
        <f>'TUSD BE'!$AC$36*'TUSD BE'!$AC$62</f>
        <v>-83.467951232115013</v>
      </c>
      <c r="AD36" s="48">
        <f>SUM($AC$36:$AC$36)</f>
        <v>-83.467951232115013</v>
      </c>
      <c r="AE36" s="48">
        <f ca="1">$AO$36*$AO$59</f>
        <v>-0.98846897626283714</v>
      </c>
      <c r="AF36" s="48">
        <f ca="1">$AP$36*$AP$59</f>
        <v>0</v>
      </c>
      <c r="AG36" s="48">
        <f ca="1">SUM($AE$36:$AF$36)</f>
        <v>-0.98846897626283714</v>
      </c>
      <c r="AH36" s="48">
        <f>'TUSD BE'!$AH$36*'TUSD BE'!$AH$62</f>
        <v>-0.64888158667106099</v>
      </c>
      <c r="AI36" s="48">
        <f>'TUSD BE'!$AI$36*'TUSD BE'!$AI$62</f>
        <v>-1.6676962542604336E-2</v>
      </c>
      <c r="AJ36" s="48">
        <f ca="1">'TUSD BE'!$AJ$36*'TUSD BE'!$AJ$62</f>
        <v>0</v>
      </c>
      <c r="AK36" s="48">
        <f ca="1">'TUSD BE'!$AK$36*'TUSD BE'!$AK$62</f>
        <v>0</v>
      </c>
      <c r="AL36" s="48">
        <f ca="1">SUM($AH$36:$AK$36)</f>
        <v>-0.66555854921366531</v>
      </c>
      <c r="AM36" s="48">
        <f ca="1">SUMIF($L$4:$AL$4,"SUBTOTAL",$L$36:$AL$36)</f>
        <v>-88.50856494989462</v>
      </c>
      <c r="AO36" s="54">
        <f ca="1">+'TUSD BE'!$T$36+'TUSD BE'!$AB$36+'TUSD BE'!$AD$36+'TUSD BE'!$AL$36</f>
        <v>338.15441373658246</v>
      </c>
      <c r="AP36" s="54">
        <f ca="1">+'TUSD BE'!$T$36+'TUSD BE'!$AB$36+'TUSD BE'!$AD$36+'TUSD BE'!$AL$36</f>
        <v>338.15441373658246</v>
      </c>
    </row>
    <row r="37" spans="1:42" ht="11.25" customHeight="1" x14ac:dyDescent="0.25">
      <c r="A37" s="109"/>
      <c r="B37" s="51" t="s">
        <v>23</v>
      </c>
      <c r="C37" s="51" t="s">
        <v>42</v>
      </c>
      <c r="D37" s="51" t="s">
        <v>25</v>
      </c>
      <c r="E37" s="51" t="s">
        <v>25</v>
      </c>
      <c r="F37" s="51" t="s">
        <v>25</v>
      </c>
      <c r="G37" s="52" t="s">
        <v>88</v>
      </c>
      <c r="H37" s="52" t="s">
        <v>82</v>
      </c>
      <c r="I37" s="52">
        <f>'MERCADO TUSD'!$U$34</f>
        <v>185983.22399999999</v>
      </c>
      <c r="J37" s="15"/>
      <c r="L37" s="48">
        <f>'TUSD BE'!$L$37*'TUSD BE'!$L$62</f>
        <v>0</v>
      </c>
      <c r="M37" s="48">
        <f>'TUSD BE'!$M$37*'TUSD BE'!$M$62</f>
        <v>-9.9047450469681567E-2</v>
      </c>
      <c r="N37" s="48">
        <f ca="1">'TUSD BE'!$N$37*'TUSD BE'!$N$62</f>
        <v>0</v>
      </c>
      <c r="O37" s="48">
        <f>'TUSD BE'!$O$37*'TUSD BE'!$O$62</f>
        <v>0</v>
      </c>
      <c r="P37" s="48">
        <f>'TUSD BE'!$P$37*'TUSD BE'!$P$62</f>
        <v>0</v>
      </c>
      <c r="Q37" s="48">
        <f>'TUSD BE'!$Q$37*'TUSD BE'!$Q$62</f>
        <v>-5.6982118835966746</v>
      </c>
      <c r="R37" s="48">
        <f>'TUSD BE'!$R$37*'TUSD BE'!$R$62</f>
        <v>-0.88913657255495493</v>
      </c>
      <c r="S37" s="48">
        <f>'TUSD BE'!$R$37*'TUSD BE'!$S$62</f>
        <v>0</v>
      </c>
      <c r="T37" s="48">
        <f ca="1">SUM($L$37:$S$37)</f>
        <v>-6.6863959066213114</v>
      </c>
      <c r="U37" s="48">
        <f>'TUSD BE'!$U$37*'TUSD BE'!$U$62</f>
        <v>0.69607753024951191</v>
      </c>
      <c r="V37" s="48">
        <f>'TUSD BE'!$V$37*'TUSD BE'!$V$62</f>
        <v>0.72180268274378434</v>
      </c>
      <c r="W37" s="48">
        <f>'TUSD BE'!$W$37*'TUSD BE'!$W$62</f>
        <v>0</v>
      </c>
      <c r="X37" s="48">
        <f>'TUSD BE'!$X$37*'TUSD BE'!$X$62</f>
        <v>0</v>
      </c>
      <c r="Y37" s="48">
        <f>'TUSD BE'!$Y$37*'TUSD BE'!$Y$62</f>
        <v>2.9239924820001595</v>
      </c>
      <c r="Z37" s="48">
        <f>'TUSD BE'!$Z$37*'TUSD BE'!$Z$62</f>
        <v>0</v>
      </c>
      <c r="AA37" s="48">
        <f>'TUSD BE'!$AA$37*'TUSD BE'!$AA$62</f>
        <v>0</v>
      </c>
      <c r="AB37" s="48">
        <f>SUM($U$37:$AA$37)</f>
        <v>4.3418726949934552</v>
      </c>
      <c r="AC37" s="48">
        <f>'TUSD BE'!$AC$37*'TUSD BE'!$AC$62</f>
        <v>-109.82621489354761</v>
      </c>
      <c r="AD37" s="48">
        <f>SUM($AC$37:$AC$37)</f>
        <v>-109.82621489354761</v>
      </c>
      <c r="AE37" s="48">
        <f ca="1">$AO$37*$AO$59</f>
        <v>-1.1873463423711526</v>
      </c>
      <c r="AF37" s="48">
        <f ca="1">$AP$37*$AP$59</f>
        <v>0</v>
      </c>
      <c r="AG37" s="48">
        <f ca="1">SUM($AE$37:$AF$37)</f>
        <v>-1.1873463423711526</v>
      </c>
      <c r="AH37" s="48">
        <f>'TUSD BE'!$AH$37*'TUSD BE'!$AH$62</f>
        <v>-0.64888158667106099</v>
      </c>
      <c r="AI37" s="48">
        <f>'TUSD BE'!$AI$37*'TUSD BE'!$AI$62</f>
        <v>-1.6676962542604336E-2</v>
      </c>
      <c r="AJ37" s="48">
        <f ca="1">'TUSD BE'!$AJ$37*'TUSD BE'!$AJ$62</f>
        <v>0</v>
      </c>
      <c r="AK37" s="48">
        <f ca="1">'TUSD BE'!$AK$37*'TUSD BE'!$AK$62</f>
        <v>0</v>
      </c>
      <c r="AL37" s="48">
        <f ca="1">SUM($AH$37:$AK$37)</f>
        <v>-0.66555854921366531</v>
      </c>
      <c r="AM37" s="48">
        <f ca="1">SUMIF($L$4:$AL$4,"SUBTOTAL",$L$37:$AL$37)</f>
        <v>-114.0236429967603</v>
      </c>
      <c r="AO37" s="54">
        <f ca="1">+'TUSD BE'!$T$37+'TUSD BE'!$AB$37+'TUSD BE'!$AD$37+'TUSD BE'!$AL$37</f>
        <v>406.19019508815694</v>
      </c>
      <c r="AP37" s="54">
        <f ca="1">+'TUSD BE'!$T$37+'TUSD BE'!$AB$37+'TUSD BE'!$AD$37+'TUSD BE'!$AL$37</f>
        <v>406.19019508815694</v>
      </c>
    </row>
    <row r="38" spans="1:42" ht="11.25" customHeight="1" x14ac:dyDescent="0.25">
      <c r="A38" s="109"/>
      <c r="B38" s="109" t="s">
        <v>95</v>
      </c>
      <c r="C38" s="109" t="s">
        <v>42</v>
      </c>
      <c r="D38" s="109" t="s">
        <v>98</v>
      </c>
      <c r="E38" s="109" t="s">
        <v>25</v>
      </c>
      <c r="F38" s="109" t="s">
        <v>25</v>
      </c>
      <c r="G38" s="52" t="s">
        <v>83</v>
      </c>
      <c r="H38" s="52" t="s">
        <v>82</v>
      </c>
      <c r="I38" s="52">
        <f>'MERCADO TUSD'!$U$35</f>
        <v>0</v>
      </c>
      <c r="J38" s="15"/>
      <c r="L38" s="48">
        <f>'TUSD BE'!$L$38*'TUSD BE'!$L$62</f>
        <v>0</v>
      </c>
      <c r="M38" s="48">
        <f>'TUSD BE'!$M$38*'TUSD BE'!$M$62</f>
        <v>-9.9047450469681567E-2</v>
      </c>
      <c r="N38" s="48">
        <f ca="1">'TUSD BE'!$N$38*'TUSD BE'!$N$62</f>
        <v>0</v>
      </c>
      <c r="O38" s="48">
        <f>'TUSD BE'!$O$38*'TUSD BE'!$O$62</f>
        <v>0</v>
      </c>
      <c r="P38" s="48">
        <f>'TUSD BE'!$P$38*'TUSD BE'!$P$62</f>
        <v>0</v>
      </c>
      <c r="Q38" s="48">
        <f>'TUSD BE'!$Q$38*'TUSD BE'!$Q$62</f>
        <v>-5.6982118835966746</v>
      </c>
      <c r="R38" s="48">
        <f>'TUSD BE'!$R$38*'TUSD BE'!$R$62</f>
        <v>-0.88913657255495493</v>
      </c>
      <c r="S38" s="48">
        <f>'TUSD BE'!$R$38*'TUSD BE'!$S$62</f>
        <v>0</v>
      </c>
      <c r="T38" s="48">
        <f ca="1">SUM($L$38:$S$38)</f>
        <v>-6.6863959066213114</v>
      </c>
      <c r="U38" s="48">
        <f>'TUSD BE'!$U$38*'TUSD BE'!$U$62</f>
        <v>1.618795795728766</v>
      </c>
      <c r="V38" s="48">
        <f>'TUSD BE'!$V$38*'TUSD BE'!$V$62</f>
        <v>1.678610890101824</v>
      </c>
      <c r="W38" s="48">
        <f>'TUSD BE'!$W$38*'TUSD BE'!$W$62</f>
        <v>0</v>
      </c>
      <c r="X38" s="48">
        <f>'TUSD BE'!$X$38*'TUSD BE'!$X$62</f>
        <v>0</v>
      </c>
      <c r="Y38" s="48">
        <f>'TUSD BE'!$Y$38*'TUSD BE'!$Y$62</f>
        <v>6.8000420161880273</v>
      </c>
      <c r="Z38" s="48">
        <f>'TUSD BE'!$Z$38*'TUSD BE'!$Z$62</f>
        <v>0</v>
      </c>
      <c r="AA38" s="48">
        <f>'TUSD BE'!$AA$38*'TUSD BE'!$AA$62</f>
        <v>0</v>
      </c>
      <c r="AB38" s="48">
        <f>SUM($U$38:$AA$38)</f>
        <v>10.097448702018617</v>
      </c>
      <c r="AC38" s="48">
        <f>'TUSD BE'!$AC$38*'TUSD BE'!$AC$62</f>
        <v>-255.41185633555509</v>
      </c>
      <c r="AD38" s="48">
        <f>SUM($AC$38:$AC$38)</f>
        <v>-255.41185633555509</v>
      </c>
      <c r="AE38" s="48">
        <f ca="1">$AO$38*$AO$59</f>
        <v>-2.2858067601911194</v>
      </c>
      <c r="AF38" s="48">
        <f ca="1">$AP$38*$AP$59</f>
        <v>0</v>
      </c>
      <c r="AG38" s="48">
        <f ca="1">SUM($AE$38:$AF$38)</f>
        <v>-2.2858067601911194</v>
      </c>
      <c r="AH38" s="48">
        <f>'TUSD BE'!$AH$38*'TUSD BE'!$AH$62</f>
        <v>-0.64888158667106099</v>
      </c>
      <c r="AI38" s="48">
        <f>'TUSD BE'!$AI$38*'TUSD BE'!$AI$62</f>
        <v>-1.6676962542604336E-2</v>
      </c>
      <c r="AJ38" s="48">
        <f ca="1">'TUSD BE'!$AJ$38*'TUSD BE'!$AJ$62</f>
        <v>0</v>
      </c>
      <c r="AK38" s="48">
        <f ca="1">'TUSD BE'!$AK$38*'TUSD BE'!$AK$62</f>
        <v>0</v>
      </c>
      <c r="AL38" s="48">
        <f ca="1">SUM($AH$38:$AK$38)</f>
        <v>-0.66555854921366531</v>
      </c>
      <c r="AM38" s="48">
        <f ca="1">SUMIF($L$4:$AL$4,"SUBTOTAL",$L$38:$AL$38)</f>
        <v>-254.95216884956258</v>
      </c>
      <c r="AO38" s="54">
        <f ca="1">+'TUSD BE'!$T$38+'TUSD BE'!$AB$38+'TUSD BE'!$AD$38+'TUSD BE'!$AL$38</f>
        <v>781.97258939770052</v>
      </c>
      <c r="AP38" s="54">
        <f ca="1">+'TUSD BE'!$T$38+'TUSD BE'!$AB$38+'TUSD BE'!$AD$38+'TUSD BE'!$AL$38</f>
        <v>781.97258939770052</v>
      </c>
    </row>
    <row r="39" spans="1:42" ht="11.25" customHeight="1" x14ac:dyDescent="0.25">
      <c r="A39" s="109"/>
      <c r="B39" s="109"/>
      <c r="C39" s="109"/>
      <c r="D39" s="109"/>
      <c r="E39" s="109"/>
      <c r="F39" s="109"/>
      <c r="G39" s="52" t="s">
        <v>94</v>
      </c>
      <c r="H39" s="52" t="s">
        <v>82</v>
      </c>
      <c r="I39" s="52">
        <f>'MERCADO TUSD'!$U$36</f>
        <v>0</v>
      </c>
      <c r="J39" s="15"/>
      <c r="L39" s="48">
        <f>'TUSD BE'!$L$39*'TUSD BE'!$L$62</f>
        <v>0</v>
      </c>
      <c r="M39" s="48">
        <f>'TUSD BE'!$M$39*'TUSD BE'!$M$62</f>
        <v>-9.9047450469681567E-2</v>
      </c>
      <c r="N39" s="48">
        <f ca="1">'TUSD BE'!$N$39*'TUSD BE'!$N$62</f>
        <v>0</v>
      </c>
      <c r="O39" s="48">
        <f>'TUSD BE'!$O$39*'TUSD BE'!$O$62</f>
        <v>0</v>
      </c>
      <c r="P39" s="48">
        <f>'TUSD BE'!$P$39*'TUSD BE'!$P$62</f>
        <v>0</v>
      </c>
      <c r="Q39" s="48">
        <f>'TUSD BE'!$Q$39*'TUSD BE'!$Q$62</f>
        <v>-5.6982118835966746</v>
      </c>
      <c r="R39" s="48">
        <f>'TUSD BE'!$R$39*'TUSD BE'!$R$62</f>
        <v>-0.88913657255495493</v>
      </c>
      <c r="S39" s="48">
        <f>'TUSD BE'!$R$39*'TUSD BE'!$S$62</f>
        <v>0</v>
      </c>
      <c r="T39" s="48">
        <f ca="1">SUM($L$39:$S$39)</f>
        <v>-6.6863959066213114</v>
      </c>
      <c r="U39" s="48">
        <f>'TUSD BE'!$U$39*'TUSD BE'!$U$62</f>
        <v>0.82526633541804773</v>
      </c>
      <c r="V39" s="48">
        <f>'TUSD BE'!$V$39*'TUSD BE'!$V$62</f>
        <v>0.85577138293746935</v>
      </c>
      <c r="W39" s="48">
        <f>'TUSD BE'!$W$39*'TUSD BE'!$W$62</f>
        <v>0</v>
      </c>
      <c r="X39" s="48">
        <f>'TUSD BE'!$X$39*'TUSD BE'!$X$62</f>
        <v>0</v>
      </c>
      <c r="Y39" s="48">
        <f>'TUSD BE'!$Y$39*'TUSD BE'!$Y$62</f>
        <v>3.4666901631157807</v>
      </c>
      <c r="Z39" s="48">
        <f>'TUSD BE'!$Z$39*'TUSD BE'!$Z$62</f>
        <v>0</v>
      </c>
      <c r="AA39" s="48">
        <f>'TUSD BE'!$AA$39*'TUSD BE'!$AA$62</f>
        <v>0</v>
      </c>
      <c r="AB39" s="48">
        <f>SUM($U$39:$AA$39)</f>
        <v>5.1477278814712975</v>
      </c>
      <c r="AC39" s="48">
        <f>'TUSD BE'!$AC$39*'TUSD BE'!$AC$62</f>
        <v>-130.2099876395051</v>
      </c>
      <c r="AD39" s="48">
        <f>SUM($AC$39:$AC$39)</f>
        <v>-130.2099876395051</v>
      </c>
      <c r="AE39" s="48">
        <f ca="1">$AO$39*$AO$59</f>
        <v>-1.3411455017670117</v>
      </c>
      <c r="AF39" s="48">
        <f ca="1">$AP$39*$AP$59</f>
        <v>0</v>
      </c>
      <c r="AG39" s="48">
        <f ca="1">SUM($AE$39:$AF$39)</f>
        <v>-1.3411455017670117</v>
      </c>
      <c r="AH39" s="48">
        <f>'TUSD BE'!$AH$39*'TUSD BE'!$AH$62</f>
        <v>-0.64888158667106099</v>
      </c>
      <c r="AI39" s="48">
        <f>'TUSD BE'!$AI$39*'TUSD BE'!$AI$62</f>
        <v>-1.6676962542604336E-2</v>
      </c>
      <c r="AJ39" s="48">
        <f ca="1">'TUSD BE'!$AJ$39*'TUSD BE'!$AJ$62</f>
        <v>0</v>
      </c>
      <c r="AK39" s="48">
        <f ca="1">'TUSD BE'!$AK$39*'TUSD BE'!$AK$62</f>
        <v>0</v>
      </c>
      <c r="AL39" s="48">
        <f ca="1">SUM($AH$39:$AK$39)</f>
        <v>-0.66555854921366531</v>
      </c>
      <c r="AM39" s="48">
        <f ca="1">SUMIF($L$4:$AL$4,"SUBTOTAL",$L$39:$AL$39)</f>
        <v>-133.75535971563579</v>
      </c>
      <c r="AO39" s="54">
        <f ca="1">+'TUSD BE'!$T$39+'TUSD BE'!$AB$39+'TUSD BE'!$AD$39+'TUSD BE'!$AL$39</f>
        <v>458.80475945750641</v>
      </c>
      <c r="AP39" s="54">
        <f ca="1">+'TUSD BE'!$T$39+'TUSD BE'!$AB$39+'TUSD BE'!$AD$39+'TUSD BE'!$AL$39</f>
        <v>458.80475945750641</v>
      </c>
    </row>
    <row r="40" spans="1:42" ht="11.25" customHeight="1" x14ac:dyDescent="0.25">
      <c r="A40" s="109"/>
      <c r="B40" s="109"/>
      <c r="C40" s="109"/>
      <c r="D40" s="109"/>
      <c r="E40" s="109"/>
      <c r="F40" s="109"/>
      <c r="G40" s="52" t="s">
        <v>84</v>
      </c>
      <c r="H40" s="52" t="s">
        <v>82</v>
      </c>
      <c r="I40" s="52">
        <f>'MERCADO TUSD'!$U$37</f>
        <v>0</v>
      </c>
      <c r="J40" s="15"/>
      <c r="L40" s="48">
        <f>'TUSD BE'!$L$40*'TUSD BE'!$L$62</f>
        <v>0</v>
      </c>
      <c r="M40" s="48">
        <f>'TUSD BE'!$M$40*'TUSD BE'!$M$62</f>
        <v>-9.9047450469681567E-2</v>
      </c>
      <c r="N40" s="48">
        <f ca="1">'TUSD BE'!$N$40*'TUSD BE'!$N$62</f>
        <v>0</v>
      </c>
      <c r="O40" s="48">
        <f>'TUSD BE'!$O$40*'TUSD BE'!$O$62</f>
        <v>0</v>
      </c>
      <c r="P40" s="48">
        <f>'TUSD BE'!$P$40*'TUSD BE'!$P$62</f>
        <v>0</v>
      </c>
      <c r="Q40" s="48">
        <f>'TUSD BE'!$Q$40*'TUSD BE'!$Q$62</f>
        <v>-5.6982118835966746</v>
      </c>
      <c r="R40" s="48">
        <f>'TUSD BE'!$R$40*'TUSD BE'!$R$62</f>
        <v>-0.88913657255495493</v>
      </c>
      <c r="S40" s="48">
        <f>'TUSD BE'!$R$40*'TUSD BE'!$S$62</f>
        <v>0</v>
      </c>
      <c r="T40" s="48">
        <f ca="1">SUM($L$40:$S$40)</f>
        <v>-6.6863959066213114</v>
      </c>
      <c r="U40" s="48">
        <f>'TUSD BE'!$U$40*'TUSD BE'!$U$62</f>
        <v>0.52901067498818866</v>
      </c>
      <c r="V40" s="48">
        <f>'TUSD BE'!$V$40*'TUSD BE'!$V$62</f>
        <v>0.54856729456229492</v>
      </c>
      <c r="W40" s="48">
        <f>'TUSD BE'!$W$40*'TUSD BE'!$W$62</f>
        <v>0</v>
      </c>
      <c r="X40" s="48">
        <f>'TUSD BE'!$X$40*'TUSD BE'!$X$62</f>
        <v>0</v>
      </c>
      <c r="Y40" s="48">
        <f>'TUSD BE'!$Y$40*'TUSD BE'!$Y$62</f>
        <v>2.2222317447677344</v>
      </c>
      <c r="Z40" s="48">
        <f>'TUSD BE'!$Z$40*'TUSD BE'!$Z$62</f>
        <v>0</v>
      </c>
      <c r="AA40" s="48">
        <f>'TUSD BE'!$AA$40*'TUSD BE'!$AA$62</f>
        <v>0</v>
      </c>
      <c r="AB40" s="48">
        <f>SUM($U$40:$AA$40)</f>
        <v>3.2998097143182181</v>
      </c>
      <c r="AC40" s="48">
        <f>'TUSD BE'!$AC$40*'TUSD BE'!$AC$62</f>
        <v>-83.467951232115013</v>
      </c>
      <c r="AD40" s="48">
        <f>SUM($AC$40:$AC$40)</f>
        <v>-83.467951232115013</v>
      </c>
      <c r="AE40" s="48">
        <f ca="1">$AO$40*$AO$59</f>
        <v>-0.98846897626283714</v>
      </c>
      <c r="AF40" s="48">
        <f ca="1">$AP$40*$AP$59</f>
        <v>0</v>
      </c>
      <c r="AG40" s="48">
        <f ca="1">SUM($AE$40:$AF$40)</f>
        <v>-0.98846897626283714</v>
      </c>
      <c r="AH40" s="48">
        <f>'TUSD BE'!$AH$40*'TUSD BE'!$AH$62</f>
        <v>-0.64888158667106099</v>
      </c>
      <c r="AI40" s="48">
        <f>'TUSD BE'!$AI$40*'TUSD BE'!$AI$62</f>
        <v>-1.6676962542604336E-2</v>
      </c>
      <c r="AJ40" s="48">
        <f ca="1">'TUSD BE'!$AJ$40*'TUSD BE'!$AJ$62</f>
        <v>0</v>
      </c>
      <c r="AK40" s="48">
        <f ca="1">'TUSD BE'!$AK$40*'TUSD BE'!$AK$62</f>
        <v>0</v>
      </c>
      <c r="AL40" s="48">
        <f ca="1">SUM($AH$40:$AK$40)</f>
        <v>-0.66555854921366531</v>
      </c>
      <c r="AM40" s="48">
        <f ca="1">SUMIF($L$4:$AL$4,"SUBTOTAL",$L$40:$AL$40)</f>
        <v>-88.50856494989462</v>
      </c>
      <c r="AO40" s="54">
        <f ca="1">+'TUSD BE'!$T$40+'TUSD BE'!$AB$40+'TUSD BE'!$AD$40+'TUSD BE'!$AL$40</f>
        <v>338.15441373658246</v>
      </c>
      <c r="AP40" s="54">
        <f ca="1">+'TUSD BE'!$T$40+'TUSD BE'!$AB$40+'TUSD BE'!$AD$40+'TUSD BE'!$AL$40</f>
        <v>338.15441373658246</v>
      </c>
    </row>
    <row r="41" spans="1:42" ht="11.25" customHeight="1" x14ac:dyDescent="0.25">
      <c r="A41" s="109"/>
      <c r="B41" s="51" t="s">
        <v>23</v>
      </c>
      <c r="C41" s="51" t="s">
        <v>42</v>
      </c>
      <c r="D41" s="51" t="s">
        <v>98</v>
      </c>
      <c r="E41" s="51" t="s">
        <v>25</v>
      </c>
      <c r="F41" s="51" t="s">
        <v>25</v>
      </c>
      <c r="G41" s="52" t="s">
        <v>88</v>
      </c>
      <c r="H41" s="52" t="s">
        <v>82</v>
      </c>
      <c r="I41" s="52">
        <f>'MERCADO TUSD'!$U$38</f>
        <v>0</v>
      </c>
      <c r="J41" s="15"/>
      <c r="L41" s="48">
        <f>'TUSD BE'!$L$41*'TUSD BE'!$L$62</f>
        <v>0</v>
      </c>
      <c r="M41" s="48">
        <f>'TUSD BE'!$M$41*'TUSD BE'!$M$62</f>
        <v>-9.9047450469681567E-2</v>
      </c>
      <c r="N41" s="48">
        <f ca="1">'TUSD BE'!$N$41*'TUSD BE'!$N$62</f>
        <v>0</v>
      </c>
      <c r="O41" s="48">
        <f>'TUSD BE'!$O$41*'TUSD BE'!$O$62</f>
        <v>0</v>
      </c>
      <c r="P41" s="48">
        <f>'TUSD BE'!$P$41*'TUSD BE'!$P$62</f>
        <v>0</v>
      </c>
      <c r="Q41" s="48">
        <f>'TUSD BE'!$Q$41*'TUSD BE'!$Q$62</f>
        <v>-5.6982118835966746</v>
      </c>
      <c r="R41" s="48">
        <f>'TUSD BE'!$R$41*'TUSD BE'!$R$62</f>
        <v>-0.88913657255495493</v>
      </c>
      <c r="S41" s="48">
        <f>'TUSD BE'!$R$41*'TUSD BE'!$S$62</f>
        <v>0</v>
      </c>
      <c r="T41" s="48">
        <f ca="1">SUM($L$41:$S$41)</f>
        <v>-6.6863959066213114</v>
      </c>
      <c r="U41" s="48">
        <f>'TUSD BE'!$U$41*'TUSD BE'!$U$62</f>
        <v>0.69607753024951191</v>
      </c>
      <c r="V41" s="48">
        <f>'TUSD BE'!$V$41*'TUSD BE'!$V$62</f>
        <v>0.72180268274378434</v>
      </c>
      <c r="W41" s="48">
        <f>'TUSD BE'!$W$41*'TUSD BE'!$W$62</f>
        <v>0</v>
      </c>
      <c r="X41" s="48">
        <f>'TUSD BE'!$X$41*'TUSD BE'!$X$62</f>
        <v>0</v>
      </c>
      <c r="Y41" s="48">
        <f>'TUSD BE'!$Y$41*'TUSD BE'!$Y$62</f>
        <v>2.9239924820001595</v>
      </c>
      <c r="Z41" s="48">
        <f>'TUSD BE'!$Z$41*'TUSD BE'!$Z$62</f>
        <v>0</v>
      </c>
      <c r="AA41" s="48">
        <f>'TUSD BE'!$AA$41*'TUSD BE'!$AA$62</f>
        <v>0</v>
      </c>
      <c r="AB41" s="48">
        <f>SUM($U$41:$AA$41)</f>
        <v>4.3418726949934552</v>
      </c>
      <c r="AC41" s="48">
        <f>'TUSD BE'!$AC$41*'TUSD BE'!$AC$62</f>
        <v>-109.82621489354761</v>
      </c>
      <c r="AD41" s="48">
        <f>SUM($AC$41:$AC$41)</f>
        <v>-109.82621489354761</v>
      </c>
      <c r="AE41" s="48">
        <f ca="1">$AO$41*$AO$59</f>
        <v>-1.1873463423711526</v>
      </c>
      <c r="AF41" s="48">
        <f ca="1">$AP$41*$AP$59</f>
        <v>0</v>
      </c>
      <c r="AG41" s="48">
        <f ca="1">SUM($AE$41:$AF$41)</f>
        <v>-1.1873463423711526</v>
      </c>
      <c r="AH41" s="48">
        <f>'TUSD BE'!$AH$41*'TUSD BE'!$AH$62</f>
        <v>-0.64888158667106099</v>
      </c>
      <c r="AI41" s="48">
        <f>'TUSD BE'!$AI$41*'TUSD BE'!$AI$62</f>
        <v>-1.6676962542604336E-2</v>
      </c>
      <c r="AJ41" s="48">
        <f ca="1">'TUSD BE'!$AJ$41*'TUSD BE'!$AJ$62</f>
        <v>0</v>
      </c>
      <c r="AK41" s="48">
        <f ca="1">'TUSD BE'!$AK$41*'TUSD BE'!$AK$62</f>
        <v>0</v>
      </c>
      <c r="AL41" s="48">
        <f ca="1">SUM($AH$41:$AK$41)</f>
        <v>-0.66555854921366531</v>
      </c>
      <c r="AM41" s="48">
        <f ca="1">SUMIF($L$4:$AL$4,"SUBTOTAL",$L$41:$AL$41)</f>
        <v>-114.0236429967603</v>
      </c>
      <c r="AO41" s="54">
        <f ca="1">+'TUSD BE'!$T$41+'TUSD BE'!$AB$41+'TUSD BE'!$AD$41+'TUSD BE'!$AL$41</f>
        <v>406.19019508815694</v>
      </c>
      <c r="AP41" s="54">
        <f ca="1">+'TUSD BE'!$T$41+'TUSD BE'!$AB$41+'TUSD BE'!$AD$41+'TUSD BE'!$AL$41</f>
        <v>406.19019508815694</v>
      </c>
    </row>
    <row r="42" spans="1:42" ht="11.25" customHeight="1" x14ac:dyDescent="0.25">
      <c r="A42" s="109"/>
      <c r="B42" s="109" t="s">
        <v>95</v>
      </c>
      <c r="C42" s="109" t="s">
        <v>42</v>
      </c>
      <c r="D42" s="109" t="s">
        <v>99</v>
      </c>
      <c r="E42" s="109" t="s">
        <v>25</v>
      </c>
      <c r="F42" s="109" t="s">
        <v>25</v>
      </c>
      <c r="G42" s="52" t="s">
        <v>83</v>
      </c>
      <c r="H42" s="52" t="s">
        <v>82</v>
      </c>
      <c r="I42" s="52">
        <f>'MERCADO TUSD'!$U$39</f>
        <v>0</v>
      </c>
      <c r="J42" s="15"/>
      <c r="L42" s="48">
        <f>'TUSD BE'!$L$42*'TUSD BE'!$L$62</f>
        <v>0</v>
      </c>
      <c r="M42" s="48">
        <f>'TUSD BE'!$M$42*'TUSD BE'!$M$62</f>
        <v>-9.9047450469681567E-2</v>
      </c>
      <c r="N42" s="48">
        <f ca="1">'TUSD BE'!$N$42*'TUSD BE'!$N$62</f>
        <v>0</v>
      </c>
      <c r="O42" s="48">
        <f>'TUSD BE'!$O$42*'TUSD BE'!$O$62</f>
        <v>0</v>
      </c>
      <c r="P42" s="48">
        <f>'TUSD BE'!$P$42*'TUSD BE'!$P$62</f>
        <v>0</v>
      </c>
      <c r="Q42" s="48">
        <f>'TUSD BE'!$Q$42*'TUSD BE'!$Q$62</f>
        <v>-5.6982118835966746</v>
      </c>
      <c r="R42" s="48">
        <f>'TUSD BE'!$R$42*'TUSD BE'!$R$62</f>
        <v>-0.88913657255495493</v>
      </c>
      <c r="S42" s="48">
        <f>'TUSD BE'!$R$42*'TUSD BE'!$S$62</f>
        <v>0</v>
      </c>
      <c r="T42" s="48">
        <f ca="1">SUM($L$42:$S$42)</f>
        <v>-6.6863959066213114</v>
      </c>
      <c r="U42" s="48">
        <f>'TUSD BE'!$U$42*'TUSD BE'!$U$62</f>
        <v>1.618795795728766</v>
      </c>
      <c r="V42" s="48">
        <f>'TUSD BE'!$V$42*'TUSD BE'!$V$62</f>
        <v>1.678610890101824</v>
      </c>
      <c r="W42" s="48">
        <f>'TUSD BE'!$W$42*'TUSD BE'!$W$62</f>
        <v>0</v>
      </c>
      <c r="X42" s="48">
        <f>'TUSD BE'!$X$42*'TUSD BE'!$X$62</f>
        <v>0</v>
      </c>
      <c r="Y42" s="48">
        <f>'TUSD BE'!$Y$42*'TUSD BE'!$Y$62</f>
        <v>6.8000420161880273</v>
      </c>
      <c r="Z42" s="48">
        <f>'TUSD BE'!$Z$42*'TUSD BE'!$Z$62</f>
        <v>0</v>
      </c>
      <c r="AA42" s="48">
        <f>'TUSD BE'!$AA$42*'TUSD BE'!$AA$62</f>
        <v>0</v>
      </c>
      <c r="AB42" s="48">
        <f>SUM($U$42:$AA$42)</f>
        <v>10.097448702018617</v>
      </c>
      <c r="AC42" s="48">
        <f>'TUSD BE'!$AC$42*'TUSD BE'!$AC$62</f>
        <v>-255.41185633555509</v>
      </c>
      <c r="AD42" s="48">
        <f>SUM($AC$42:$AC$42)</f>
        <v>-255.41185633555509</v>
      </c>
      <c r="AE42" s="48">
        <f ca="1">$AO$42*$AO$59</f>
        <v>-2.2858067601911194</v>
      </c>
      <c r="AF42" s="48">
        <f ca="1">$AP$42*$AP$59</f>
        <v>0</v>
      </c>
      <c r="AG42" s="48">
        <f ca="1">SUM($AE$42:$AF$42)</f>
        <v>-2.2858067601911194</v>
      </c>
      <c r="AH42" s="48">
        <f>'TUSD BE'!$AH$42*'TUSD BE'!$AH$62</f>
        <v>-0.64888158667106099</v>
      </c>
      <c r="AI42" s="48">
        <f>'TUSD BE'!$AI$42*'TUSD BE'!$AI$62</f>
        <v>-1.6676962542604336E-2</v>
      </c>
      <c r="AJ42" s="48">
        <f ca="1">'TUSD BE'!$AJ$42*'TUSD BE'!$AJ$62</f>
        <v>0</v>
      </c>
      <c r="AK42" s="48">
        <f ca="1">'TUSD BE'!$AK$42*'TUSD BE'!$AK$62</f>
        <v>0</v>
      </c>
      <c r="AL42" s="48">
        <f ca="1">SUM($AH$42:$AK$42)</f>
        <v>-0.66555854921366531</v>
      </c>
      <c r="AM42" s="48">
        <f ca="1">SUMIF($L$4:$AL$4,"SUBTOTAL",$L$42:$AL$42)</f>
        <v>-254.95216884956258</v>
      </c>
      <c r="AO42" s="54">
        <f ca="1">+'TUSD BE'!$T$42+'TUSD BE'!$AB$42+'TUSD BE'!$AD$42+'TUSD BE'!$AL$42</f>
        <v>781.97258939770052</v>
      </c>
      <c r="AP42" s="54">
        <f ca="1">+'TUSD BE'!$T$42+'TUSD BE'!$AB$42+'TUSD BE'!$AD$42+'TUSD BE'!$AL$42</f>
        <v>781.97258939770052</v>
      </c>
    </row>
    <row r="43" spans="1:42" ht="11.25" customHeight="1" x14ac:dyDescent="0.25">
      <c r="A43" s="109"/>
      <c r="B43" s="109"/>
      <c r="C43" s="109"/>
      <c r="D43" s="109"/>
      <c r="E43" s="109"/>
      <c r="F43" s="109"/>
      <c r="G43" s="52" t="s">
        <v>94</v>
      </c>
      <c r="H43" s="52" t="s">
        <v>82</v>
      </c>
      <c r="I43" s="52">
        <f>'MERCADO TUSD'!$U$40</f>
        <v>0</v>
      </c>
      <c r="J43" s="15"/>
      <c r="L43" s="48">
        <f>'TUSD BE'!$L$43*'TUSD BE'!$L$62</f>
        <v>0</v>
      </c>
      <c r="M43" s="48">
        <f>'TUSD BE'!$M$43*'TUSD BE'!$M$62</f>
        <v>-9.9047450469681567E-2</v>
      </c>
      <c r="N43" s="48">
        <f ca="1">'TUSD BE'!$N$43*'TUSD BE'!$N$62</f>
        <v>0</v>
      </c>
      <c r="O43" s="48">
        <f>'TUSD BE'!$O$43*'TUSD BE'!$O$62</f>
        <v>0</v>
      </c>
      <c r="P43" s="48">
        <f>'TUSD BE'!$P$43*'TUSD BE'!$P$62</f>
        <v>0</v>
      </c>
      <c r="Q43" s="48">
        <f>'TUSD BE'!$Q$43*'TUSD BE'!$Q$62</f>
        <v>-5.6982118835966746</v>
      </c>
      <c r="R43" s="48">
        <f>'TUSD BE'!$R$43*'TUSD BE'!$R$62</f>
        <v>-0.88913657255495493</v>
      </c>
      <c r="S43" s="48">
        <f>'TUSD BE'!$R$43*'TUSD BE'!$S$62</f>
        <v>0</v>
      </c>
      <c r="T43" s="48">
        <f ca="1">SUM($L$43:$S$43)</f>
        <v>-6.6863959066213114</v>
      </c>
      <c r="U43" s="48">
        <f>'TUSD BE'!$U$43*'TUSD BE'!$U$62</f>
        <v>0.82526633541804773</v>
      </c>
      <c r="V43" s="48">
        <f>'TUSD BE'!$V$43*'TUSD BE'!$V$62</f>
        <v>0.85577138293746935</v>
      </c>
      <c r="W43" s="48">
        <f>'TUSD BE'!$W$43*'TUSD BE'!$W$62</f>
        <v>0</v>
      </c>
      <c r="X43" s="48">
        <f>'TUSD BE'!$X$43*'TUSD BE'!$X$62</f>
        <v>0</v>
      </c>
      <c r="Y43" s="48">
        <f>'TUSD BE'!$Y$43*'TUSD BE'!$Y$62</f>
        <v>3.4666901631157807</v>
      </c>
      <c r="Z43" s="48">
        <f>'TUSD BE'!$Z$43*'TUSD BE'!$Z$62</f>
        <v>0</v>
      </c>
      <c r="AA43" s="48">
        <f>'TUSD BE'!$AA$43*'TUSD BE'!$AA$62</f>
        <v>0</v>
      </c>
      <c r="AB43" s="48">
        <f>SUM($U$43:$AA$43)</f>
        <v>5.1477278814712975</v>
      </c>
      <c r="AC43" s="48">
        <f>'TUSD BE'!$AC$43*'TUSD BE'!$AC$62</f>
        <v>-130.2099876395051</v>
      </c>
      <c r="AD43" s="48">
        <f>SUM($AC$43:$AC$43)</f>
        <v>-130.2099876395051</v>
      </c>
      <c r="AE43" s="48">
        <f ca="1">$AO$43*$AO$59</f>
        <v>-1.3411455017670117</v>
      </c>
      <c r="AF43" s="48">
        <f ca="1">$AP$43*$AP$59</f>
        <v>0</v>
      </c>
      <c r="AG43" s="48">
        <f ca="1">SUM($AE$43:$AF$43)</f>
        <v>-1.3411455017670117</v>
      </c>
      <c r="AH43" s="48">
        <f>'TUSD BE'!$AH$43*'TUSD BE'!$AH$62</f>
        <v>-0.64888158667106099</v>
      </c>
      <c r="AI43" s="48">
        <f>'TUSD BE'!$AI$43*'TUSD BE'!$AI$62</f>
        <v>-1.6676962542604336E-2</v>
      </c>
      <c r="AJ43" s="48">
        <f ca="1">'TUSD BE'!$AJ$43*'TUSD BE'!$AJ$62</f>
        <v>0</v>
      </c>
      <c r="AK43" s="48">
        <f ca="1">'TUSD BE'!$AK$43*'TUSD BE'!$AK$62</f>
        <v>0</v>
      </c>
      <c r="AL43" s="48">
        <f ca="1">SUM($AH$43:$AK$43)</f>
        <v>-0.66555854921366531</v>
      </c>
      <c r="AM43" s="48">
        <f ca="1">SUMIF($L$4:$AL$4,"SUBTOTAL",$L$43:$AL$43)</f>
        <v>-133.75535971563579</v>
      </c>
      <c r="AO43" s="54">
        <f ca="1">+'TUSD BE'!$T$43+'TUSD BE'!$AB$43+'TUSD BE'!$AD$43+'TUSD BE'!$AL$43</f>
        <v>458.80475945750641</v>
      </c>
      <c r="AP43" s="54">
        <f ca="1">+'TUSD BE'!$T$43+'TUSD BE'!$AB$43+'TUSD BE'!$AD$43+'TUSD BE'!$AL$43</f>
        <v>458.80475945750641</v>
      </c>
    </row>
    <row r="44" spans="1:42" ht="11.25" customHeight="1" x14ac:dyDescent="0.25">
      <c r="A44" s="109"/>
      <c r="B44" s="109"/>
      <c r="C44" s="109"/>
      <c r="D44" s="109"/>
      <c r="E44" s="109"/>
      <c r="F44" s="109"/>
      <c r="G44" s="52" t="s">
        <v>84</v>
      </c>
      <c r="H44" s="52" t="s">
        <v>82</v>
      </c>
      <c r="I44" s="52">
        <f>'MERCADO TUSD'!$U$41</f>
        <v>0</v>
      </c>
      <c r="J44" s="15"/>
      <c r="L44" s="48">
        <f>'TUSD BE'!$L$44*'TUSD BE'!$L$62</f>
        <v>0</v>
      </c>
      <c r="M44" s="48">
        <f>'TUSD BE'!$M$44*'TUSD BE'!$M$62</f>
        <v>-9.9047450469681567E-2</v>
      </c>
      <c r="N44" s="48">
        <f ca="1">'TUSD BE'!$N$44*'TUSD BE'!$N$62</f>
        <v>0</v>
      </c>
      <c r="O44" s="48">
        <f>'TUSD BE'!$O$44*'TUSD BE'!$O$62</f>
        <v>0</v>
      </c>
      <c r="P44" s="48">
        <f>'TUSD BE'!$P$44*'TUSD BE'!$P$62</f>
        <v>0</v>
      </c>
      <c r="Q44" s="48">
        <f>'TUSD BE'!$Q$44*'TUSD BE'!$Q$62</f>
        <v>-5.6982118835966746</v>
      </c>
      <c r="R44" s="48">
        <f>'TUSD BE'!$R$44*'TUSD BE'!$R$62</f>
        <v>-0.88913657255495493</v>
      </c>
      <c r="S44" s="48">
        <f>'TUSD BE'!$R$44*'TUSD BE'!$S$62</f>
        <v>0</v>
      </c>
      <c r="T44" s="48">
        <f ca="1">SUM($L$44:$S$44)</f>
        <v>-6.6863959066213114</v>
      </c>
      <c r="U44" s="48">
        <f>'TUSD BE'!$U$44*'TUSD BE'!$U$62</f>
        <v>0.52901067498818866</v>
      </c>
      <c r="V44" s="48">
        <f>'TUSD BE'!$V$44*'TUSD BE'!$V$62</f>
        <v>0.54856729456229492</v>
      </c>
      <c r="W44" s="48">
        <f>'TUSD BE'!$W$44*'TUSD BE'!$W$62</f>
        <v>0</v>
      </c>
      <c r="X44" s="48">
        <f>'TUSD BE'!$X$44*'TUSD BE'!$X$62</f>
        <v>0</v>
      </c>
      <c r="Y44" s="48">
        <f>'TUSD BE'!$Y$44*'TUSD BE'!$Y$62</f>
        <v>2.2222317447677344</v>
      </c>
      <c r="Z44" s="48">
        <f>'TUSD BE'!$Z$44*'TUSD BE'!$Z$62</f>
        <v>0</v>
      </c>
      <c r="AA44" s="48">
        <f>'TUSD BE'!$AA$44*'TUSD BE'!$AA$62</f>
        <v>0</v>
      </c>
      <c r="AB44" s="48">
        <f>SUM($U$44:$AA$44)</f>
        <v>3.2998097143182181</v>
      </c>
      <c r="AC44" s="48">
        <f>'TUSD BE'!$AC$44*'TUSD BE'!$AC$62</f>
        <v>-83.467951232115013</v>
      </c>
      <c r="AD44" s="48">
        <f>SUM($AC$44:$AC$44)</f>
        <v>-83.467951232115013</v>
      </c>
      <c r="AE44" s="48">
        <f ca="1">$AO$44*$AO$59</f>
        <v>-0.98846897626283714</v>
      </c>
      <c r="AF44" s="48">
        <f ca="1">$AP$44*$AP$59</f>
        <v>0</v>
      </c>
      <c r="AG44" s="48">
        <f ca="1">SUM($AE$44:$AF$44)</f>
        <v>-0.98846897626283714</v>
      </c>
      <c r="AH44" s="48">
        <f>'TUSD BE'!$AH$44*'TUSD BE'!$AH$62</f>
        <v>-0.64888158667106099</v>
      </c>
      <c r="AI44" s="48">
        <f>'TUSD BE'!$AI$44*'TUSD BE'!$AI$62</f>
        <v>-1.6676962542604336E-2</v>
      </c>
      <c r="AJ44" s="48">
        <f ca="1">'TUSD BE'!$AJ$44*'TUSD BE'!$AJ$62</f>
        <v>0</v>
      </c>
      <c r="AK44" s="48">
        <f ca="1">'TUSD BE'!$AK$44*'TUSD BE'!$AK$62</f>
        <v>0</v>
      </c>
      <c r="AL44" s="48">
        <f ca="1">SUM($AH$44:$AK$44)</f>
        <v>-0.66555854921366531</v>
      </c>
      <c r="AM44" s="48">
        <f ca="1">SUMIF($L$4:$AL$4,"SUBTOTAL",$L$44:$AL$44)</f>
        <v>-88.50856494989462</v>
      </c>
      <c r="AO44" s="54">
        <f ca="1">+'TUSD BE'!$T$44+'TUSD BE'!$AB$44+'TUSD BE'!$AD$44+'TUSD BE'!$AL$44</f>
        <v>338.15441373658246</v>
      </c>
      <c r="AP44" s="54">
        <f ca="1">+'TUSD BE'!$T$44+'TUSD BE'!$AB$44+'TUSD BE'!$AD$44+'TUSD BE'!$AL$44</f>
        <v>338.15441373658246</v>
      </c>
    </row>
    <row r="45" spans="1:42" ht="11.25" customHeight="1" x14ac:dyDescent="0.25">
      <c r="A45" s="109"/>
      <c r="B45" s="51" t="s">
        <v>23</v>
      </c>
      <c r="C45" s="51" t="s">
        <v>42</v>
      </c>
      <c r="D45" s="51" t="s">
        <v>99</v>
      </c>
      <c r="E45" s="51" t="s">
        <v>25</v>
      </c>
      <c r="F45" s="51" t="s">
        <v>25</v>
      </c>
      <c r="G45" s="52" t="s">
        <v>88</v>
      </c>
      <c r="H45" s="52" t="s">
        <v>82</v>
      </c>
      <c r="I45" s="52">
        <f>'MERCADO TUSD'!$U$42</f>
        <v>0</v>
      </c>
      <c r="J45" s="15"/>
      <c r="L45" s="48">
        <f>'TUSD BE'!$L$45*'TUSD BE'!$L$62</f>
        <v>0</v>
      </c>
      <c r="M45" s="48">
        <f>'TUSD BE'!$M$45*'TUSD BE'!$M$62</f>
        <v>-9.9047450469681567E-2</v>
      </c>
      <c r="N45" s="48">
        <f ca="1">'TUSD BE'!$N$45*'TUSD BE'!$N$62</f>
        <v>0</v>
      </c>
      <c r="O45" s="48">
        <f>'TUSD BE'!$O$45*'TUSD BE'!$O$62</f>
        <v>0</v>
      </c>
      <c r="P45" s="48">
        <f>'TUSD BE'!$P$45*'TUSD BE'!$P$62</f>
        <v>0</v>
      </c>
      <c r="Q45" s="48">
        <f>'TUSD BE'!$Q$45*'TUSD BE'!$Q$62</f>
        <v>-5.6982118835966746</v>
      </c>
      <c r="R45" s="48">
        <f>'TUSD BE'!$R$45*'TUSD BE'!$R$62</f>
        <v>-0.88913657255495493</v>
      </c>
      <c r="S45" s="48">
        <f>'TUSD BE'!$R$45*'TUSD BE'!$S$62</f>
        <v>0</v>
      </c>
      <c r="T45" s="48">
        <f ca="1">SUM($L$45:$S$45)</f>
        <v>-6.6863959066213114</v>
      </c>
      <c r="U45" s="48">
        <f>'TUSD BE'!$U$45*'TUSD BE'!$U$62</f>
        <v>0.69607753024951191</v>
      </c>
      <c r="V45" s="48">
        <f>'TUSD BE'!$V$45*'TUSD BE'!$V$62</f>
        <v>0.72180268274378434</v>
      </c>
      <c r="W45" s="48">
        <f>'TUSD BE'!$W$45*'TUSD BE'!$W$62</f>
        <v>0</v>
      </c>
      <c r="X45" s="48">
        <f>'TUSD BE'!$X$45*'TUSD BE'!$X$62</f>
        <v>0</v>
      </c>
      <c r="Y45" s="48">
        <f>'TUSD BE'!$Y$45*'TUSD BE'!$Y$62</f>
        <v>2.9239924820001595</v>
      </c>
      <c r="Z45" s="48">
        <f>'TUSD BE'!$Z$45*'TUSD BE'!$Z$62</f>
        <v>0</v>
      </c>
      <c r="AA45" s="48">
        <f>'TUSD BE'!$AA$45*'TUSD BE'!$AA$62</f>
        <v>0</v>
      </c>
      <c r="AB45" s="48">
        <f>SUM($U$45:$AA$45)</f>
        <v>4.3418726949934552</v>
      </c>
      <c r="AC45" s="48">
        <f>'TUSD BE'!$AC$45*'TUSD BE'!$AC$62</f>
        <v>-109.82621489354761</v>
      </c>
      <c r="AD45" s="48">
        <f>SUM($AC$45:$AC$45)</f>
        <v>-109.82621489354761</v>
      </c>
      <c r="AE45" s="48">
        <f ca="1">$AO$45*$AO$59</f>
        <v>-1.1873463423711526</v>
      </c>
      <c r="AF45" s="48">
        <f ca="1">$AP$45*$AP$59</f>
        <v>0</v>
      </c>
      <c r="AG45" s="48">
        <f ca="1">SUM($AE$45:$AF$45)</f>
        <v>-1.1873463423711526</v>
      </c>
      <c r="AH45" s="48">
        <f>'TUSD BE'!$AH$45*'TUSD BE'!$AH$62</f>
        <v>-0.64888158667106099</v>
      </c>
      <c r="AI45" s="48">
        <f>'TUSD BE'!$AI$45*'TUSD BE'!$AI$62</f>
        <v>-1.6676962542604336E-2</v>
      </c>
      <c r="AJ45" s="48">
        <f ca="1">'TUSD BE'!$AJ$45*'TUSD BE'!$AJ$62</f>
        <v>0</v>
      </c>
      <c r="AK45" s="48">
        <f ca="1">'TUSD BE'!$AK$45*'TUSD BE'!$AK$62</f>
        <v>0</v>
      </c>
      <c r="AL45" s="48">
        <f ca="1">SUM($AH$45:$AK$45)</f>
        <v>-0.66555854921366531</v>
      </c>
      <c r="AM45" s="48">
        <f ca="1">SUMIF($L$4:$AL$4,"SUBTOTAL",$L$45:$AL$45)</f>
        <v>-114.0236429967603</v>
      </c>
      <c r="AO45" s="54">
        <f ca="1">+'TUSD BE'!$T$45+'TUSD BE'!$AB$45+'TUSD BE'!$AD$45+'TUSD BE'!$AL$45</f>
        <v>406.19019508815694</v>
      </c>
      <c r="AP45" s="54">
        <f ca="1">+'TUSD BE'!$T$45+'TUSD BE'!$AB$45+'TUSD BE'!$AD$45+'TUSD BE'!$AL$45</f>
        <v>406.19019508815694</v>
      </c>
    </row>
    <row r="46" spans="1:42" ht="11.25" customHeight="1" x14ac:dyDescent="0.25">
      <c r="A46" s="109"/>
      <c r="B46" s="109" t="s">
        <v>97</v>
      </c>
      <c r="C46" s="109" t="s">
        <v>42</v>
      </c>
      <c r="D46" s="51" t="s">
        <v>25</v>
      </c>
      <c r="E46" s="51" t="s">
        <v>25</v>
      </c>
      <c r="F46" s="51" t="s">
        <v>25</v>
      </c>
      <c r="G46" s="52" t="s">
        <v>88</v>
      </c>
      <c r="H46" s="52" t="s">
        <v>82</v>
      </c>
      <c r="I46" s="52">
        <f>'MERCADO TUSD'!$U$43</f>
        <v>0</v>
      </c>
      <c r="J46" s="15"/>
      <c r="L46" s="48">
        <f>'TUSD BE'!$L$46*'TUSD BE'!$L$62</f>
        <v>0</v>
      </c>
      <c r="M46" s="48">
        <f>'TUSD BE'!$M$46*'TUSD BE'!$M$62</f>
        <v>-9.9047450469681567E-2</v>
      </c>
      <c r="N46" s="48">
        <f ca="1">'TUSD BE'!$N$46*'TUSD BE'!$N$62</f>
        <v>0</v>
      </c>
      <c r="O46" s="48">
        <f>'TUSD BE'!$O$46*'TUSD BE'!$O$62</f>
        <v>0</v>
      </c>
      <c r="P46" s="48">
        <f>'TUSD BE'!$P$46*'TUSD BE'!$P$62</f>
        <v>0</v>
      </c>
      <c r="Q46" s="48">
        <f>'TUSD BE'!$Q$46*'TUSD BE'!$Q$62</f>
        <v>-5.6982118835966746</v>
      </c>
      <c r="R46" s="48">
        <f>'TUSD BE'!$R$46*'TUSD BE'!$R$62</f>
        <v>-0.88913657255495493</v>
      </c>
      <c r="S46" s="48">
        <f>'TUSD BE'!$R$46*'TUSD BE'!$S$62</f>
        <v>0</v>
      </c>
      <c r="T46" s="48">
        <f ca="1">SUM($L$46:$S$46)</f>
        <v>-6.6863959066213114</v>
      </c>
      <c r="U46" s="48">
        <f>'TUSD BE'!$U$46*'TUSD BE'!$U$62</f>
        <v>0.69607753024951191</v>
      </c>
      <c r="V46" s="48">
        <f>'TUSD BE'!$V$46*'TUSD BE'!$V$62</f>
        <v>0.72180268274378434</v>
      </c>
      <c r="W46" s="48">
        <f>'TUSD BE'!$W$46*'TUSD BE'!$W$62</f>
        <v>0</v>
      </c>
      <c r="X46" s="48">
        <f>'TUSD BE'!$X$46*'TUSD BE'!$X$62</f>
        <v>0</v>
      </c>
      <c r="Y46" s="48">
        <f>'TUSD BE'!$Y$46*'TUSD BE'!$Y$62</f>
        <v>2.9239924820001595</v>
      </c>
      <c r="Z46" s="48">
        <f>'TUSD BE'!$Z$46*'TUSD BE'!$Z$62</f>
        <v>0</v>
      </c>
      <c r="AA46" s="48">
        <f>'TUSD BE'!$AA$46*'TUSD BE'!$AA$62</f>
        <v>0</v>
      </c>
      <c r="AB46" s="48">
        <f>SUM($U$46:$AA$46)</f>
        <v>4.3418726949934552</v>
      </c>
      <c r="AC46" s="48">
        <f>'TUSD BE'!$AC$46*'TUSD BE'!$AC$62</f>
        <v>-109.82621489354761</v>
      </c>
      <c r="AD46" s="48">
        <f>SUM($AC$46:$AC$46)</f>
        <v>-109.82621489354761</v>
      </c>
      <c r="AE46" s="48">
        <f ca="1">$AO$46*$AO$59</f>
        <v>-1.1873463423711526</v>
      </c>
      <c r="AF46" s="48">
        <f ca="1">$AP$46*$AP$59</f>
        <v>0</v>
      </c>
      <c r="AG46" s="48">
        <f ca="1">SUM($AE$46:$AF$46)</f>
        <v>-1.1873463423711526</v>
      </c>
      <c r="AH46" s="48">
        <f>'TUSD BE'!$AH$46*'TUSD BE'!$AH$62</f>
        <v>-0.64888158667106099</v>
      </c>
      <c r="AI46" s="48">
        <f>'TUSD BE'!$AI$46*'TUSD BE'!$AI$62</f>
        <v>-1.6676962542604336E-2</v>
      </c>
      <c r="AJ46" s="48">
        <f ca="1">'TUSD BE'!$AJ$46*'TUSD BE'!$AJ$62</f>
        <v>0</v>
      </c>
      <c r="AK46" s="48">
        <f ca="1">'TUSD BE'!$AK$46*'TUSD BE'!$AK$62</f>
        <v>0</v>
      </c>
      <c r="AL46" s="48">
        <f ca="1">SUM($AH$46:$AK$46)</f>
        <v>-0.66555854921366531</v>
      </c>
      <c r="AM46" s="48">
        <f ca="1">SUMIF($L$4:$AL$4,"SUBTOTAL",$L$46:$AL$46)</f>
        <v>-114.0236429967603</v>
      </c>
      <c r="AO46" s="54">
        <f ca="1">+'TUSD BE'!$T$46+'TUSD BE'!$AB$46+'TUSD BE'!$AD$46+'TUSD BE'!$AL$46</f>
        <v>406.19019508815694</v>
      </c>
      <c r="AP46" s="54">
        <f ca="1">+'TUSD BE'!$T$46+'TUSD BE'!$AB$46+'TUSD BE'!$AD$46+'TUSD BE'!$AL$46</f>
        <v>406.19019508815694</v>
      </c>
    </row>
    <row r="47" spans="1:42" ht="11.25" customHeight="1" x14ac:dyDescent="0.25">
      <c r="A47" s="109"/>
      <c r="B47" s="109"/>
      <c r="C47" s="109"/>
      <c r="D47" s="51" t="s">
        <v>98</v>
      </c>
      <c r="E47" s="51" t="s">
        <v>25</v>
      </c>
      <c r="F47" s="51" t="s">
        <v>25</v>
      </c>
      <c r="G47" s="52" t="s">
        <v>88</v>
      </c>
      <c r="H47" s="52" t="s">
        <v>82</v>
      </c>
      <c r="I47" s="52">
        <f>'MERCADO TUSD'!$U$44</f>
        <v>0</v>
      </c>
      <c r="J47" s="15"/>
      <c r="L47" s="48">
        <f>'TUSD BE'!$L$47*'TUSD BE'!$L$62</f>
        <v>0</v>
      </c>
      <c r="M47" s="48">
        <f>'TUSD BE'!$M$47*'TUSD BE'!$M$62</f>
        <v>-9.9047450469681567E-2</v>
      </c>
      <c r="N47" s="48">
        <f ca="1">'TUSD BE'!$N$47*'TUSD BE'!$N$62</f>
        <v>0</v>
      </c>
      <c r="O47" s="48">
        <f>'TUSD BE'!$O$47*'TUSD BE'!$O$62</f>
        <v>0</v>
      </c>
      <c r="P47" s="48">
        <f>'TUSD BE'!$P$47*'TUSD BE'!$P$62</f>
        <v>0</v>
      </c>
      <c r="Q47" s="48">
        <f>'TUSD BE'!$Q$47*'TUSD BE'!$Q$62</f>
        <v>-5.6982118835966746</v>
      </c>
      <c r="R47" s="48">
        <f>'TUSD BE'!$R$47*'TUSD BE'!$R$62</f>
        <v>-0.88913657255495493</v>
      </c>
      <c r="S47" s="48">
        <f>'TUSD BE'!$R$47*'TUSD BE'!$S$62</f>
        <v>0</v>
      </c>
      <c r="T47" s="48">
        <f ca="1">SUM($L$47:$S$47)</f>
        <v>-6.6863959066213114</v>
      </c>
      <c r="U47" s="48">
        <f>'TUSD BE'!$U$47*'TUSD BE'!$U$62</f>
        <v>0.69607753024951191</v>
      </c>
      <c r="V47" s="48">
        <f>'TUSD BE'!$V$47*'TUSD BE'!$V$62</f>
        <v>0.72180268274378434</v>
      </c>
      <c r="W47" s="48">
        <f>'TUSD BE'!$W$47*'TUSD BE'!$W$62</f>
        <v>0</v>
      </c>
      <c r="X47" s="48">
        <f>'TUSD BE'!$X$47*'TUSD BE'!$X$62</f>
        <v>0</v>
      </c>
      <c r="Y47" s="48">
        <f>'TUSD BE'!$Y$47*'TUSD BE'!$Y$62</f>
        <v>2.9239924820001595</v>
      </c>
      <c r="Z47" s="48">
        <f>'TUSD BE'!$Z$47*'TUSD BE'!$Z$62</f>
        <v>0</v>
      </c>
      <c r="AA47" s="48">
        <f>'TUSD BE'!$AA$47*'TUSD BE'!$AA$62</f>
        <v>0</v>
      </c>
      <c r="AB47" s="48">
        <f>SUM($U$47:$AA$47)</f>
        <v>4.3418726949934552</v>
      </c>
      <c r="AC47" s="48">
        <f>'TUSD BE'!$AC$47*'TUSD BE'!$AC$62</f>
        <v>-109.82621489354761</v>
      </c>
      <c r="AD47" s="48">
        <f>SUM($AC$47:$AC$47)</f>
        <v>-109.82621489354761</v>
      </c>
      <c r="AE47" s="48">
        <f ca="1">$AO$47*$AO$59</f>
        <v>-1.1873463423711526</v>
      </c>
      <c r="AF47" s="48">
        <f ca="1">$AP$47*$AP$59</f>
        <v>0</v>
      </c>
      <c r="AG47" s="48">
        <f ca="1">SUM($AE$47:$AF$47)</f>
        <v>-1.1873463423711526</v>
      </c>
      <c r="AH47" s="48">
        <f>'TUSD BE'!$AH$47*'TUSD BE'!$AH$62</f>
        <v>-0.64888158667106099</v>
      </c>
      <c r="AI47" s="48">
        <f>'TUSD BE'!$AI$47*'TUSD BE'!$AI$62</f>
        <v>-1.6676962542604336E-2</v>
      </c>
      <c r="AJ47" s="48">
        <f ca="1">'TUSD BE'!$AJ$47*'TUSD BE'!$AJ$62</f>
        <v>0</v>
      </c>
      <c r="AK47" s="48">
        <f ca="1">'TUSD BE'!$AK$47*'TUSD BE'!$AK$62</f>
        <v>0</v>
      </c>
      <c r="AL47" s="48">
        <f ca="1">SUM($AH$47:$AK$47)</f>
        <v>-0.66555854921366531</v>
      </c>
      <c r="AM47" s="48">
        <f ca="1">SUMIF($L$4:$AL$4,"SUBTOTAL",$L$47:$AL$47)</f>
        <v>-114.0236429967603</v>
      </c>
      <c r="AO47" s="54">
        <f ca="1">+'TUSD BE'!$T$47+'TUSD BE'!$AB$47+'TUSD BE'!$AD$47+'TUSD BE'!$AL$47</f>
        <v>406.19019508815694</v>
      </c>
      <c r="AP47" s="54">
        <f ca="1">+'TUSD BE'!$T$47+'TUSD BE'!$AB$47+'TUSD BE'!$AD$47+'TUSD BE'!$AL$47</f>
        <v>406.19019508815694</v>
      </c>
    </row>
    <row r="48" spans="1:42" ht="11.25" customHeight="1" x14ac:dyDescent="0.25">
      <c r="A48" s="109"/>
      <c r="B48" s="109"/>
      <c r="C48" s="109"/>
      <c r="D48" s="51" t="s">
        <v>99</v>
      </c>
      <c r="E48" s="51" t="s">
        <v>25</v>
      </c>
      <c r="F48" s="51" t="s">
        <v>25</v>
      </c>
      <c r="G48" s="52" t="s">
        <v>88</v>
      </c>
      <c r="H48" s="52" t="s">
        <v>82</v>
      </c>
      <c r="I48" s="52">
        <f>'MERCADO TUSD'!$U$45</f>
        <v>0</v>
      </c>
      <c r="J48" s="15"/>
      <c r="L48" s="48">
        <f>'TUSD BE'!$L$48*'TUSD BE'!$L$62</f>
        <v>0</v>
      </c>
      <c r="M48" s="48">
        <f>'TUSD BE'!$M$48*'TUSD BE'!$M$62</f>
        <v>-9.9047450469681567E-2</v>
      </c>
      <c r="N48" s="48">
        <f ca="1">'TUSD BE'!$N$48*'TUSD BE'!$N$62</f>
        <v>0</v>
      </c>
      <c r="O48" s="48">
        <f>'TUSD BE'!$O$48*'TUSD BE'!$O$62</f>
        <v>0</v>
      </c>
      <c r="P48" s="48">
        <f>'TUSD BE'!$P$48*'TUSD BE'!$P$62</f>
        <v>0</v>
      </c>
      <c r="Q48" s="48">
        <f>'TUSD BE'!$Q$48*'TUSD BE'!$Q$62</f>
        <v>-5.6982118835966746</v>
      </c>
      <c r="R48" s="48">
        <f>'TUSD BE'!$R$48*'TUSD BE'!$R$62</f>
        <v>-0.88913657255495493</v>
      </c>
      <c r="S48" s="48">
        <f>'TUSD BE'!$R$48*'TUSD BE'!$S$62</f>
        <v>0</v>
      </c>
      <c r="T48" s="48">
        <f ca="1">SUM($L$48:$S$48)</f>
        <v>-6.6863959066213114</v>
      </c>
      <c r="U48" s="48">
        <f>'TUSD BE'!$U$48*'TUSD BE'!$U$62</f>
        <v>0.69607753024951191</v>
      </c>
      <c r="V48" s="48">
        <f>'TUSD BE'!$V$48*'TUSD BE'!$V$62</f>
        <v>0.72180268274378434</v>
      </c>
      <c r="W48" s="48">
        <f>'TUSD BE'!$W$48*'TUSD BE'!$W$62</f>
        <v>0</v>
      </c>
      <c r="X48" s="48">
        <f>'TUSD BE'!$X$48*'TUSD BE'!$X$62</f>
        <v>0</v>
      </c>
      <c r="Y48" s="48">
        <f>'TUSD BE'!$Y$48*'TUSD BE'!$Y$62</f>
        <v>2.9239924820001595</v>
      </c>
      <c r="Z48" s="48">
        <f>'TUSD BE'!$Z$48*'TUSD BE'!$Z$62</f>
        <v>0</v>
      </c>
      <c r="AA48" s="48">
        <f>'TUSD BE'!$AA$48*'TUSD BE'!$AA$62</f>
        <v>0</v>
      </c>
      <c r="AB48" s="48">
        <f>SUM($U$48:$AA$48)</f>
        <v>4.3418726949934552</v>
      </c>
      <c r="AC48" s="48">
        <f>'TUSD BE'!$AC$48*'TUSD BE'!$AC$62</f>
        <v>-109.82621489354761</v>
      </c>
      <c r="AD48" s="48">
        <f>SUM($AC$48:$AC$48)</f>
        <v>-109.82621489354761</v>
      </c>
      <c r="AE48" s="48">
        <f ca="1">$AO$48*$AO$59</f>
        <v>-1.1873463423711526</v>
      </c>
      <c r="AF48" s="48">
        <f ca="1">$AP$48*$AP$59</f>
        <v>0</v>
      </c>
      <c r="AG48" s="48">
        <f ca="1">SUM($AE$48:$AF$48)</f>
        <v>-1.1873463423711526</v>
      </c>
      <c r="AH48" s="48">
        <f>'TUSD BE'!$AH$48*'TUSD BE'!$AH$62</f>
        <v>-0.64888158667106099</v>
      </c>
      <c r="AI48" s="48">
        <f>'TUSD BE'!$AI$48*'TUSD BE'!$AI$62</f>
        <v>-1.6676962542604336E-2</v>
      </c>
      <c r="AJ48" s="48">
        <f ca="1">'TUSD BE'!$AJ$48*'TUSD BE'!$AJ$62</f>
        <v>0</v>
      </c>
      <c r="AK48" s="48">
        <f ca="1">'TUSD BE'!$AK$48*'TUSD BE'!$AK$62</f>
        <v>0</v>
      </c>
      <c r="AL48" s="48">
        <f ca="1">SUM($AH$48:$AK$48)</f>
        <v>-0.66555854921366531</v>
      </c>
      <c r="AM48" s="48">
        <f ca="1">SUMIF($L$4:$AL$4,"SUBTOTAL",$L$48:$AL$48)</f>
        <v>-114.0236429967603</v>
      </c>
      <c r="AO48" s="54">
        <f ca="1">+'TUSD BE'!$T$48+'TUSD BE'!$AB$48+'TUSD BE'!$AD$48+'TUSD BE'!$AL$48</f>
        <v>406.19019508815694</v>
      </c>
      <c r="AP48" s="54">
        <f ca="1">+'TUSD BE'!$T$48+'TUSD BE'!$AB$48+'TUSD BE'!$AD$48+'TUSD BE'!$AL$48</f>
        <v>406.19019508815694</v>
      </c>
    </row>
    <row r="49" spans="1:42" ht="11.25" customHeight="1" x14ac:dyDescent="0.25">
      <c r="A49" s="109" t="s">
        <v>33</v>
      </c>
      <c r="B49" s="109" t="s">
        <v>95</v>
      </c>
      <c r="C49" s="109" t="s">
        <v>25</v>
      </c>
      <c r="D49" s="109" t="s">
        <v>25</v>
      </c>
      <c r="E49" s="109" t="s">
        <v>25</v>
      </c>
      <c r="F49" s="109" t="s">
        <v>25</v>
      </c>
      <c r="G49" s="52" t="s">
        <v>83</v>
      </c>
      <c r="H49" s="52" t="s">
        <v>82</v>
      </c>
      <c r="I49" s="52">
        <f>'MERCADO TUSD'!$U$46</f>
        <v>0</v>
      </c>
      <c r="J49" s="15"/>
      <c r="L49" s="48">
        <f>'TUSD BE'!$L$49*'TUSD BE'!$L$62</f>
        <v>0</v>
      </c>
      <c r="M49" s="48">
        <f>'TUSD BE'!$M$49*'TUSD BE'!$M$62</f>
        <v>-9.9047450469681567E-2</v>
      </c>
      <c r="N49" s="48">
        <f ca="1">'TUSD BE'!$N$49*'TUSD BE'!$N$62</f>
        <v>0</v>
      </c>
      <c r="O49" s="48">
        <f>'TUSD BE'!$O$49*'TUSD BE'!$O$62</f>
        <v>0</v>
      </c>
      <c r="P49" s="48">
        <f>'TUSD BE'!$P$49*'TUSD BE'!$P$62</f>
        <v>0</v>
      </c>
      <c r="Q49" s="48">
        <f>'TUSD BE'!$Q$49*'TUSD BE'!$Q$62</f>
        <v>-5.6982118835966746</v>
      </c>
      <c r="R49" s="48">
        <f>'TUSD BE'!$R$49*'TUSD BE'!$R$62</f>
        <v>-0.88913657255495493</v>
      </c>
      <c r="S49" s="48">
        <f>'TUSD BE'!$R$49*'TUSD BE'!$S$62</f>
        <v>0</v>
      </c>
      <c r="T49" s="48">
        <f ca="1">SUM($L$49:$S$49)</f>
        <v>-6.6863959066213114</v>
      </c>
      <c r="U49" s="48">
        <f>'TUSD BE'!$U$49*'TUSD BE'!$U$62</f>
        <v>1.754107845444846</v>
      </c>
      <c r="V49" s="48">
        <f>'TUSD BE'!$V$49*'TUSD BE'!$V$62</f>
        <v>1.8189258371892862</v>
      </c>
      <c r="W49" s="48">
        <f>'TUSD BE'!$W$49*'TUSD BE'!$W$62</f>
        <v>0</v>
      </c>
      <c r="X49" s="48">
        <f>'TUSD BE'!$X$49*'TUSD BE'!$X$62</f>
        <v>0</v>
      </c>
      <c r="Y49" s="48">
        <f>'TUSD BE'!$Y$49*'TUSD BE'!$Y$62</f>
        <v>7.3684644433769169</v>
      </c>
      <c r="Z49" s="48">
        <f>'TUSD BE'!$Z$49*'TUSD BE'!$Z$62</f>
        <v>0</v>
      </c>
      <c r="AA49" s="48">
        <f>'TUSD BE'!$AA$49*'TUSD BE'!$AA$62</f>
        <v>0</v>
      </c>
      <c r="AB49" s="48">
        <f>SUM($U$49:$AA$49)</f>
        <v>10.941498126011048</v>
      </c>
      <c r="AC49" s="48">
        <f>'TUSD BE'!$AC$49*'TUSD BE'!$AC$62</f>
        <v>-276.76205920565508</v>
      </c>
      <c r="AD49" s="48">
        <f>SUM($AC$49:$AC$49)</f>
        <v>-276.76205920565508</v>
      </c>
      <c r="AE49" s="48">
        <f ca="1">$AO$49*$AO$59</f>
        <v>-2.446896296561643</v>
      </c>
      <c r="AF49" s="48">
        <f ca="1">$AP$49*$AP$59</f>
        <v>0</v>
      </c>
      <c r="AG49" s="48">
        <f ca="1">SUM($AE$49:$AF$49)</f>
        <v>-2.446896296561643</v>
      </c>
      <c r="AH49" s="48">
        <f>'TUSD BE'!$AH$49*'TUSD BE'!$AH$62</f>
        <v>-0.64888158667106099</v>
      </c>
      <c r="AI49" s="48">
        <f>'TUSD BE'!$AI$49*'TUSD BE'!$AI$62</f>
        <v>-1.6676962542604336E-2</v>
      </c>
      <c r="AJ49" s="48">
        <f ca="1">'TUSD BE'!$AJ$49*'TUSD BE'!$AJ$62</f>
        <v>0</v>
      </c>
      <c r="AK49" s="48">
        <f ca="1">'TUSD BE'!$AK$49*'TUSD BE'!$AK$62</f>
        <v>0</v>
      </c>
      <c r="AL49" s="48">
        <f ca="1">SUM($AH$49:$AK$49)</f>
        <v>-0.66555854921366531</v>
      </c>
      <c r="AM49" s="48">
        <f ca="1">SUMIF($L$4:$AL$4,"SUBTOTAL",$L$49:$AL$49)</f>
        <v>-275.61941183204061</v>
      </c>
      <c r="AO49" s="54">
        <f ca="1">+'TUSD BE'!$T$49+'TUSD BE'!$AB$49+'TUSD BE'!$AD$49+'TUSD BE'!$AL$49</f>
        <v>837.08118565979271</v>
      </c>
      <c r="AP49" s="54">
        <f ca="1">+'TUSD BE'!$T$49+'TUSD BE'!$AB$49+'TUSD BE'!$AD$49+'TUSD BE'!$AL$49</f>
        <v>837.08118565979271</v>
      </c>
    </row>
    <row r="50" spans="1:42" ht="11.25" customHeight="1" x14ac:dyDescent="0.25">
      <c r="A50" s="109"/>
      <c r="B50" s="109"/>
      <c r="C50" s="109"/>
      <c r="D50" s="109"/>
      <c r="E50" s="109"/>
      <c r="F50" s="109"/>
      <c r="G50" s="52" t="s">
        <v>94</v>
      </c>
      <c r="H50" s="52" t="s">
        <v>82</v>
      </c>
      <c r="I50" s="52">
        <f>'MERCADO TUSD'!$U$47</f>
        <v>0</v>
      </c>
      <c r="J50" s="15"/>
      <c r="L50" s="48">
        <f>'TUSD BE'!$L$50*'TUSD BE'!$L$62</f>
        <v>0</v>
      </c>
      <c r="M50" s="48">
        <f>'TUSD BE'!$M$50*'TUSD BE'!$M$62</f>
        <v>-9.9047450469681567E-2</v>
      </c>
      <c r="N50" s="48">
        <f ca="1">'TUSD BE'!$N$50*'TUSD BE'!$N$62</f>
        <v>0</v>
      </c>
      <c r="O50" s="48">
        <f>'TUSD BE'!$O$50*'TUSD BE'!$O$62</f>
        <v>0</v>
      </c>
      <c r="P50" s="48">
        <f>'TUSD BE'!$P$50*'TUSD BE'!$P$62</f>
        <v>0</v>
      </c>
      <c r="Q50" s="48">
        <f>'TUSD BE'!$Q$50*'TUSD BE'!$Q$62</f>
        <v>-5.6982118835966746</v>
      </c>
      <c r="R50" s="48">
        <f>'TUSD BE'!$R$50*'TUSD BE'!$R$62</f>
        <v>-0.88913657255495493</v>
      </c>
      <c r="S50" s="48">
        <f>'TUSD BE'!$R$50*'TUSD BE'!$S$62</f>
        <v>0</v>
      </c>
      <c r="T50" s="48">
        <f ca="1">SUM($L$50:$S$50)</f>
        <v>-6.6863959066213114</v>
      </c>
      <c r="U50" s="48">
        <f>'TUSD BE'!$U$50*'TUSD BE'!$U$62</f>
        <v>0.87705840533190138</v>
      </c>
      <c r="V50" s="48">
        <f>'TUSD BE'!$V$50*'TUSD BE'!$V$62</f>
        <v>0.90946863593418703</v>
      </c>
      <c r="W50" s="48">
        <f>'TUSD BE'!$W$50*'TUSD BE'!$W$62</f>
        <v>0</v>
      </c>
      <c r="X50" s="48">
        <f>'TUSD BE'!$X$50*'TUSD BE'!$X$62</f>
        <v>0</v>
      </c>
      <c r="Y50" s="48">
        <f>'TUSD BE'!$Y$50*'TUSD BE'!$Y$62</f>
        <v>3.6842343396487811</v>
      </c>
      <c r="Z50" s="48">
        <f>'TUSD BE'!$Z$50*'TUSD BE'!$Z$62</f>
        <v>0</v>
      </c>
      <c r="AA50" s="48">
        <f>'TUSD BE'!$AA$50*'TUSD BE'!$AA$62</f>
        <v>0</v>
      </c>
      <c r="AB50" s="48">
        <f>SUM($U$50:$AA$50)</f>
        <v>5.470761380914869</v>
      </c>
      <c r="AC50" s="48">
        <f>'TUSD BE'!$AC$50*'TUSD BE'!$AC$62</f>
        <v>-138.38100052676629</v>
      </c>
      <c r="AD50" s="48">
        <f>SUM($AC$50:$AC$50)</f>
        <v>-138.38100052676629</v>
      </c>
      <c r="AE50" s="48">
        <f ca="1">$AO$50*$AO$59</f>
        <v>-1.4027952897002742</v>
      </c>
      <c r="AF50" s="48">
        <f ca="1">$AP$50*$AP$59</f>
        <v>0</v>
      </c>
      <c r="AG50" s="48">
        <f ca="1">SUM($AE$50:$AF$50)</f>
        <v>-1.4027952897002742</v>
      </c>
      <c r="AH50" s="48">
        <f>'TUSD BE'!$AH$50*'TUSD BE'!$AH$62</f>
        <v>-0.64888158667106099</v>
      </c>
      <c r="AI50" s="48">
        <f>'TUSD BE'!$AI$50*'TUSD BE'!$AI$62</f>
        <v>-1.6676962542604336E-2</v>
      </c>
      <c r="AJ50" s="48">
        <f ca="1">'TUSD BE'!$AJ$50*'TUSD BE'!$AJ$62</f>
        <v>0</v>
      </c>
      <c r="AK50" s="48">
        <f ca="1">'TUSD BE'!$AK$50*'TUSD BE'!$AK$62</f>
        <v>0</v>
      </c>
      <c r="AL50" s="48">
        <f ca="1">SUM($AH$50:$AK$50)</f>
        <v>-0.66555854921366531</v>
      </c>
      <c r="AM50" s="48">
        <f ca="1">SUMIF($L$4:$AL$4,"SUBTOTAL",$L$50:$AL$50)</f>
        <v>-141.66498889138666</v>
      </c>
      <c r="AO50" s="54">
        <f ca="1">+'TUSD BE'!$T$50+'TUSD BE'!$AB$50+'TUSD BE'!$AD$50+'TUSD BE'!$AL$50</f>
        <v>479.89510057713869</v>
      </c>
      <c r="AP50" s="54">
        <f ca="1">+'TUSD BE'!$T$50+'TUSD BE'!$AB$50+'TUSD BE'!$AD$50+'TUSD BE'!$AL$50</f>
        <v>479.89510057713869</v>
      </c>
    </row>
    <row r="51" spans="1:42" ht="11.25" customHeight="1" x14ac:dyDescent="0.25">
      <c r="A51" s="109"/>
      <c r="B51" s="109"/>
      <c r="C51" s="109"/>
      <c r="D51" s="109"/>
      <c r="E51" s="109"/>
      <c r="F51" s="109"/>
      <c r="G51" s="52" t="s">
        <v>84</v>
      </c>
      <c r="H51" s="52" t="s">
        <v>82</v>
      </c>
      <c r="I51" s="52">
        <f>'MERCADO TUSD'!$U$48</f>
        <v>0</v>
      </c>
      <c r="J51" s="15"/>
      <c r="L51" s="48">
        <f>'TUSD BE'!$L$51*'TUSD BE'!$L$62</f>
        <v>0</v>
      </c>
      <c r="M51" s="48">
        <f>'TUSD BE'!$M$51*'TUSD BE'!$M$62</f>
        <v>-9.9047450469681567E-2</v>
      </c>
      <c r="N51" s="48">
        <f ca="1">'TUSD BE'!$N$51*'TUSD BE'!$N$62</f>
        <v>0</v>
      </c>
      <c r="O51" s="48">
        <f>'TUSD BE'!$O$51*'TUSD BE'!$O$62</f>
        <v>0</v>
      </c>
      <c r="P51" s="48">
        <f>'TUSD BE'!$P$51*'TUSD BE'!$P$62</f>
        <v>0</v>
      </c>
      <c r="Q51" s="48">
        <f>'TUSD BE'!$Q$51*'TUSD BE'!$Q$62</f>
        <v>-5.6982118835966746</v>
      </c>
      <c r="R51" s="48">
        <f>'TUSD BE'!$R$51*'TUSD BE'!$R$62</f>
        <v>-0.88913657255495493</v>
      </c>
      <c r="S51" s="48">
        <f>'TUSD BE'!$R$51*'TUSD BE'!$S$62</f>
        <v>0</v>
      </c>
      <c r="T51" s="48">
        <f ca="1">SUM($L$51:$S$51)</f>
        <v>-6.6863959066213114</v>
      </c>
      <c r="U51" s="48">
        <f>'TUSD BE'!$U$51*'TUSD BE'!$U$62</f>
        <v>0.58470261514828203</v>
      </c>
      <c r="V51" s="48">
        <f>'TUSD BE'!$V$51*'TUSD BE'!$V$62</f>
        <v>0.60631242395612472</v>
      </c>
      <c r="W51" s="48">
        <f>'TUSD BE'!$W$51*'TUSD BE'!$W$62</f>
        <v>0</v>
      </c>
      <c r="X51" s="48">
        <f>'TUSD BE'!$X$51*'TUSD BE'!$X$62</f>
        <v>0</v>
      </c>
      <c r="Y51" s="48">
        <f>'TUSD BE'!$Y$51*'TUSD BE'!$Y$62</f>
        <v>2.4561562264325207</v>
      </c>
      <c r="Z51" s="48">
        <f>'TUSD BE'!$Z$51*'TUSD BE'!$Z$62</f>
        <v>0</v>
      </c>
      <c r="AA51" s="48">
        <f>'TUSD BE'!$AA$51*'TUSD BE'!$AA$62</f>
        <v>0</v>
      </c>
      <c r="AB51" s="48">
        <f>SUM($U$51:$AA$51)</f>
        <v>3.6471712655369277</v>
      </c>
      <c r="AC51" s="48">
        <f>'TUSD BE'!$AC$51*'TUSD BE'!$AC$62</f>
        <v>-92.254039119259204</v>
      </c>
      <c r="AD51" s="48">
        <f>SUM($AC$51:$AC$51)</f>
        <v>-92.254039119259204</v>
      </c>
      <c r="AE51" s="48">
        <f ca="1">$AO$51*$AO$59</f>
        <v>-1.0547623903103402</v>
      </c>
      <c r="AF51" s="48">
        <f ca="1">$AP$51*$AP$59</f>
        <v>0</v>
      </c>
      <c r="AG51" s="48">
        <f ca="1">SUM($AE$51:$AF$51)</f>
        <v>-1.0547623903103402</v>
      </c>
      <c r="AH51" s="48">
        <f>'TUSD BE'!$AH$51*'TUSD BE'!$AH$62</f>
        <v>-0.64888158667106099</v>
      </c>
      <c r="AI51" s="48">
        <f>'TUSD BE'!$AI$51*'TUSD BE'!$AI$62</f>
        <v>-1.6676962542604336E-2</v>
      </c>
      <c r="AJ51" s="48">
        <f ca="1">'TUSD BE'!$AJ$51*'TUSD BE'!$AJ$62</f>
        <v>0</v>
      </c>
      <c r="AK51" s="48">
        <f ca="1">'TUSD BE'!$AK$51*'TUSD BE'!$AK$62</f>
        <v>0</v>
      </c>
      <c r="AL51" s="48">
        <f ca="1">SUM($AH$51:$AK$51)</f>
        <v>-0.66555854921366531</v>
      </c>
      <c r="AM51" s="48">
        <f ca="1">SUMIF($L$4:$AL$4,"SUBTOTAL",$L$51:$AL$51)</f>
        <v>-97.013584699867607</v>
      </c>
      <c r="AO51" s="54">
        <f ca="1">+'TUSD BE'!$T$51+'TUSD BE'!$AB$51+'TUSD BE'!$AD$51+'TUSD BE'!$AL$51</f>
        <v>360.83333548340829</v>
      </c>
      <c r="AP51" s="54">
        <f ca="1">+'TUSD BE'!$T$51+'TUSD BE'!$AB$51+'TUSD BE'!$AD$51+'TUSD BE'!$AL$51</f>
        <v>360.83333548340829</v>
      </c>
    </row>
    <row r="52" spans="1:42" ht="11.25" customHeight="1" x14ac:dyDescent="0.25">
      <c r="A52" s="109"/>
      <c r="B52" s="51" t="s">
        <v>23</v>
      </c>
      <c r="C52" s="51" t="s">
        <v>25</v>
      </c>
      <c r="D52" s="51" t="s">
        <v>25</v>
      </c>
      <c r="E52" s="51" t="s">
        <v>25</v>
      </c>
      <c r="F52" s="51" t="s">
        <v>25</v>
      </c>
      <c r="G52" s="52" t="s">
        <v>88</v>
      </c>
      <c r="H52" s="52" t="s">
        <v>82</v>
      </c>
      <c r="I52" s="52">
        <f>'MERCADO TUSD'!$U$49</f>
        <v>28646.591999999997</v>
      </c>
      <c r="J52" s="15"/>
      <c r="L52" s="48">
        <f>'TUSD BE'!$L$52*'TUSD BE'!$L$62</f>
        <v>0</v>
      </c>
      <c r="M52" s="48">
        <f>'TUSD BE'!$M$52*'TUSD BE'!$M$62</f>
        <v>-9.9047450469681567E-2</v>
      </c>
      <c r="N52" s="48">
        <f ca="1">'TUSD BE'!$N$52*'TUSD BE'!$N$62</f>
        <v>0</v>
      </c>
      <c r="O52" s="48">
        <f>'TUSD BE'!$O$52*'TUSD BE'!$O$62</f>
        <v>0</v>
      </c>
      <c r="P52" s="48">
        <f>'TUSD BE'!$P$52*'TUSD BE'!$P$62</f>
        <v>0</v>
      </c>
      <c r="Q52" s="48">
        <f>'TUSD BE'!$Q$52*'TUSD BE'!$Q$62</f>
        <v>-5.6982118835966746</v>
      </c>
      <c r="R52" s="48">
        <f>'TUSD BE'!$R$52*'TUSD BE'!$R$62</f>
        <v>-0.88913657255495493</v>
      </c>
      <c r="S52" s="48">
        <f>'TUSD BE'!$R$52*'TUSD BE'!$S$62</f>
        <v>0</v>
      </c>
      <c r="T52" s="48">
        <f ca="1">SUM($L$52:$S$52)</f>
        <v>-6.6863959066213114</v>
      </c>
      <c r="U52" s="48">
        <f>'TUSD BE'!$U$52*'TUSD BE'!$U$62</f>
        <v>0.69607753024951191</v>
      </c>
      <c r="V52" s="48">
        <f>'TUSD BE'!$V$52*'TUSD BE'!$V$62</f>
        <v>0.72180268274378434</v>
      </c>
      <c r="W52" s="48">
        <f>'TUSD BE'!$W$52*'TUSD BE'!$W$62</f>
        <v>0</v>
      </c>
      <c r="X52" s="48">
        <f>'TUSD BE'!$X$52*'TUSD BE'!$X$62</f>
        <v>0</v>
      </c>
      <c r="Y52" s="48">
        <f>'TUSD BE'!$Y$52*'TUSD BE'!$Y$62</f>
        <v>2.9239924820001595</v>
      </c>
      <c r="Z52" s="48">
        <f>'TUSD BE'!$Z$52*'TUSD BE'!$Z$62</f>
        <v>0</v>
      </c>
      <c r="AA52" s="48">
        <f>'TUSD BE'!$AA$52*'TUSD BE'!$AA$62</f>
        <v>0</v>
      </c>
      <c r="AB52" s="48">
        <f>SUM($U$52:$AA$52)</f>
        <v>4.3418726949934552</v>
      </c>
      <c r="AC52" s="48">
        <f>'TUSD BE'!$AC$52*'TUSD BE'!$AC$62</f>
        <v>-109.82621489354761</v>
      </c>
      <c r="AD52" s="48">
        <f>SUM($AC$52:$AC$52)</f>
        <v>-109.82621489354761</v>
      </c>
      <c r="AE52" s="48">
        <f ca="1">$AO$52*$AO$59</f>
        <v>-1.1873463423711526</v>
      </c>
      <c r="AF52" s="48">
        <f ca="1">$AP$52*$AP$59</f>
        <v>0</v>
      </c>
      <c r="AG52" s="48">
        <f ca="1">SUM($AE$52:$AF$52)</f>
        <v>-1.1873463423711526</v>
      </c>
      <c r="AH52" s="48">
        <f>'TUSD BE'!$AH$52*'TUSD BE'!$AH$62</f>
        <v>-0.64888158667106099</v>
      </c>
      <c r="AI52" s="48">
        <f>'TUSD BE'!$AI$52*'TUSD BE'!$AI$62</f>
        <v>-1.6676962542604336E-2</v>
      </c>
      <c r="AJ52" s="48">
        <f ca="1">'TUSD BE'!$AJ$52*'TUSD BE'!$AJ$62</f>
        <v>0</v>
      </c>
      <c r="AK52" s="48">
        <f ca="1">'TUSD BE'!$AK$52*'TUSD BE'!$AK$62</f>
        <v>0</v>
      </c>
      <c r="AL52" s="48">
        <f ca="1">SUM($AH$52:$AK$52)</f>
        <v>-0.66555854921366531</v>
      </c>
      <c r="AM52" s="48">
        <f ca="1">SUMIF($L$4:$AL$4,"SUBTOTAL",$L$52:$AL$52)</f>
        <v>-114.0236429967603</v>
      </c>
      <c r="AO52" s="54">
        <f ca="1">+'TUSD BE'!$T$52+'TUSD BE'!$AB$52+'TUSD BE'!$AD$52+'TUSD BE'!$AL$52</f>
        <v>406.19019508815694</v>
      </c>
      <c r="AP52" s="54">
        <f ca="1">+'TUSD BE'!$T$52+'TUSD BE'!$AB$52+'TUSD BE'!$AD$52+'TUSD BE'!$AL$52</f>
        <v>406.19019508815694</v>
      </c>
    </row>
    <row r="53" spans="1:42" ht="11.25" customHeight="1" x14ac:dyDescent="0.25">
      <c r="A53" s="109"/>
      <c r="B53" s="51" t="s">
        <v>97</v>
      </c>
      <c r="C53" s="51" t="s">
        <v>25</v>
      </c>
      <c r="D53" s="51" t="s">
        <v>25</v>
      </c>
      <c r="E53" s="51" t="s">
        <v>25</v>
      </c>
      <c r="F53" s="51" t="s">
        <v>25</v>
      </c>
      <c r="G53" s="52" t="s">
        <v>88</v>
      </c>
      <c r="H53" s="52" t="s">
        <v>82</v>
      </c>
      <c r="I53" s="52">
        <f>'MERCADO TUSD'!$U$50</f>
        <v>0</v>
      </c>
      <c r="J53" s="15"/>
      <c r="L53" s="48">
        <f>'TUSD BE'!$L$53*'TUSD BE'!$L$62</f>
        <v>0</v>
      </c>
      <c r="M53" s="48">
        <f>'TUSD BE'!$M$53*'TUSD BE'!$M$62</f>
        <v>-9.9047450469681567E-2</v>
      </c>
      <c r="N53" s="48">
        <f ca="1">'TUSD BE'!$N$53*'TUSD BE'!$N$62</f>
        <v>0</v>
      </c>
      <c r="O53" s="48">
        <f>'TUSD BE'!$O$53*'TUSD BE'!$O$62</f>
        <v>0</v>
      </c>
      <c r="P53" s="48">
        <f>'TUSD BE'!$P$53*'TUSD BE'!$P$62</f>
        <v>0</v>
      </c>
      <c r="Q53" s="48">
        <f>'TUSD BE'!$Q$53*'TUSD BE'!$Q$62</f>
        <v>-5.6982118835966746</v>
      </c>
      <c r="R53" s="48">
        <f>'TUSD BE'!$R$53*'TUSD BE'!$R$62</f>
        <v>-0.88913657255495493</v>
      </c>
      <c r="S53" s="48">
        <f>'TUSD BE'!$R$53*'TUSD BE'!$S$62</f>
        <v>0</v>
      </c>
      <c r="T53" s="48">
        <f ca="1">SUM($L$53:$S$53)</f>
        <v>-6.6863959066213114</v>
      </c>
      <c r="U53" s="48">
        <f>'TUSD BE'!$U$53*'TUSD BE'!$U$62</f>
        <v>0.69607753024951191</v>
      </c>
      <c r="V53" s="48">
        <f>'TUSD BE'!$V$53*'TUSD BE'!$V$62</f>
        <v>0.72180268274378434</v>
      </c>
      <c r="W53" s="48">
        <f>'TUSD BE'!$W$53*'TUSD BE'!$W$62</f>
        <v>0</v>
      </c>
      <c r="X53" s="48">
        <f>'TUSD BE'!$X$53*'TUSD BE'!$X$62</f>
        <v>0</v>
      </c>
      <c r="Y53" s="48">
        <f>'TUSD BE'!$Y$53*'TUSD BE'!$Y$62</f>
        <v>2.9239924820001595</v>
      </c>
      <c r="Z53" s="48">
        <f>'TUSD BE'!$Z$53*'TUSD BE'!$Z$62</f>
        <v>0</v>
      </c>
      <c r="AA53" s="48">
        <f>'TUSD BE'!$AA$53*'TUSD BE'!$AA$62</f>
        <v>0</v>
      </c>
      <c r="AB53" s="48">
        <f>SUM($U$53:$AA$53)</f>
        <v>4.3418726949934552</v>
      </c>
      <c r="AC53" s="48">
        <f>'TUSD BE'!$AC$53*'TUSD BE'!$AC$62</f>
        <v>-109.82621489354761</v>
      </c>
      <c r="AD53" s="48">
        <f>SUM($AC$53:$AC$53)</f>
        <v>-109.82621489354761</v>
      </c>
      <c r="AE53" s="48">
        <f ca="1">$AO$53*$AO$59</f>
        <v>-1.1873463423711526</v>
      </c>
      <c r="AF53" s="48">
        <f ca="1">$AP$53*$AP$59</f>
        <v>0</v>
      </c>
      <c r="AG53" s="48">
        <f ca="1">SUM($AE$53:$AF$53)</f>
        <v>-1.1873463423711526</v>
      </c>
      <c r="AH53" s="48">
        <f>'TUSD BE'!$AH$53*'TUSD BE'!$AH$62</f>
        <v>-0.64888158667106099</v>
      </c>
      <c r="AI53" s="48">
        <f>'TUSD BE'!$AI$53*'TUSD BE'!$AI$62</f>
        <v>-1.6676962542604336E-2</v>
      </c>
      <c r="AJ53" s="48">
        <f ca="1">'TUSD BE'!$AJ$53*'TUSD BE'!$AJ$62</f>
        <v>0</v>
      </c>
      <c r="AK53" s="48">
        <f ca="1">'TUSD BE'!$AK$53*'TUSD BE'!$AK$62</f>
        <v>0</v>
      </c>
      <c r="AL53" s="48">
        <f ca="1">SUM($AH$53:$AK$53)</f>
        <v>-0.66555854921366531</v>
      </c>
      <c r="AM53" s="48">
        <f ca="1">SUMIF($L$4:$AL$4,"SUBTOTAL",$L$53:$AL$53)</f>
        <v>-114.0236429967603</v>
      </c>
      <c r="AO53" s="54">
        <f ca="1">+'TUSD BE'!$T$53+'TUSD BE'!$AB$53+'TUSD BE'!$AD$53+'TUSD BE'!$AL$53</f>
        <v>406.19019508815694</v>
      </c>
      <c r="AP53" s="54">
        <f ca="1">+'TUSD BE'!$T$53+'TUSD BE'!$AB$53+'TUSD BE'!$AD$53+'TUSD BE'!$AL$53</f>
        <v>406.19019508815694</v>
      </c>
    </row>
    <row r="54" spans="1:42" ht="11.25" customHeight="1" x14ac:dyDescent="0.25">
      <c r="A54" s="109" t="s">
        <v>44</v>
      </c>
      <c r="B54" s="109" t="s">
        <v>23</v>
      </c>
      <c r="C54" s="109" t="s">
        <v>45</v>
      </c>
      <c r="D54" s="51" t="s">
        <v>46</v>
      </c>
      <c r="E54" s="51" t="s">
        <v>25</v>
      </c>
      <c r="F54" s="51" t="s">
        <v>25</v>
      </c>
      <c r="G54" s="52" t="s">
        <v>88</v>
      </c>
      <c r="H54" s="52" t="s">
        <v>82</v>
      </c>
      <c r="I54" s="52">
        <f>'MERCADO TUSD'!$U$51</f>
        <v>6635.9900000000007</v>
      </c>
      <c r="J54" s="15"/>
      <c r="L54" s="48">
        <f>'TUSD BE'!$L$54*'TUSD BE'!$L$62</f>
        <v>0</v>
      </c>
      <c r="M54" s="48">
        <f>'TUSD BE'!$M$54*'TUSD BE'!$M$62</f>
        <v>-5.4476097758324862E-2</v>
      </c>
      <c r="N54" s="48">
        <f ca="1">'TUSD BE'!$N$54*'TUSD BE'!$N$62</f>
        <v>0</v>
      </c>
      <c r="O54" s="48">
        <f>'TUSD BE'!$O$54*'TUSD BE'!$O$62</f>
        <v>0</v>
      </c>
      <c r="P54" s="48">
        <f>'TUSD BE'!$P$54*'TUSD BE'!$P$62</f>
        <v>0</v>
      </c>
      <c r="Q54" s="48">
        <f>'TUSD BE'!$Q$54*'TUSD BE'!$Q$62</f>
        <v>-3.1340165359781711</v>
      </c>
      <c r="R54" s="48">
        <f>'TUSD BE'!$R$54*'TUSD BE'!$R$62</f>
        <v>-0.48902511490522527</v>
      </c>
      <c r="S54" s="48">
        <f>'TUSD BE'!$R$54*'TUSD BE'!$S$62</f>
        <v>0</v>
      </c>
      <c r="T54" s="48">
        <f ca="1">SUM($L$54:$S$54)</f>
        <v>-3.677517748641721</v>
      </c>
      <c r="U54" s="48">
        <f>'TUSD BE'!$U$54*'TUSD BE'!$U$62</f>
        <v>0.38284264163723153</v>
      </c>
      <c r="V54" s="48">
        <f>'TUSD BE'!$V$54*'TUSD BE'!$V$62</f>
        <v>0.39699147550908143</v>
      </c>
      <c r="W54" s="48">
        <f>'TUSD BE'!$W$54*'TUSD BE'!$W$62</f>
        <v>0</v>
      </c>
      <c r="X54" s="48">
        <f>'TUSD BE'!$X$54*'TUSD BE'!$X$62</f>
        <v>0</v>
      </c>
      <c r="Y54" s="48">
        <f>'TUSD BE'!$Y$54*'TUSD BE'!$Y$62</f>
        <v>1.6081958651000878</v>
      </c>
      <c r="Z54" s="48">
        <f>'TUSD BE'!$Z$54*'TUSD BE'!$Z$62</f>
        <v>0</v>
      </c>
      <c r="AA54" s="48">
        <f>'TUSD BE'!$AA$54*'TUSD BE'!$AA$62</f>
        <v>0</v>
      </c>
      <c r="AB54" s="48">
        <f>SUM($U$54:$AA$54)</f>
        <v>2.3880299822464011</v>
      </c>
      <c r="AC54" s="48">
        <f>'TUSD BE'!$AC$54*'TUSD BE'!$AC$62</f>
        <v>-60.404418191451185</v>
      </c>
      <c r="AD54" s="48">
        <f>SUM($AC$54:$AC$54)</f>
        <v>-60.404418191451185</v>
      </c>
      <c r="AE54" s="48">
        <f ca="1">$AO$54*$AO$59</f>
        <v>-0.65304048830413386</v>
      </c>
      <c r="AF54" s="48">
        <f ca="1">$AP$54*$AP$59</f>
        <v>0</v>
      </c>
      <c r="AG54" s="48">
        <f ca="1">SUM($AE$54:$AF$54)</f>
        <v>-0.65304048830413386</v>
      </c>
      <c r="AH54" s="48">
        <f>'TUSD BE'!$AH$54*'TUSD BE'!$AH$62</f>
        <v>-0.35688487266908353</v>
      </c>
      <c r="AI54" s="48">
        <f>'TUSD BE'!$AI$54*'TUSD BE'!$AI$62</f>
        <v>-9.1723293984323859E-3</v>
      </c>
      <c r="AJ54" s="48">
        <f ca="1">'TUSD BE'!$AJ$54*'TUSD BE'!$AJ$62</f>
        <v>0</v>
      </c>
      <c r="AK54" s="48">
        <f ca="1">'TUSD BE'!$AK$54*'TUSD BE'!$AK$62</f>
        <v>0</v>
      </c>
      <c r="AL54" s="48">
        <f ca="1">SUM($AH$54:$AK$54)</f>
        <v>-0.36605720206751591</v>
      </c>
      <c r="AM54" s="48">
        <f ca="1">SUMIF($L$4:$AL$4,"SUBTOTAL",$L$54:$AL$54)</f>
        <v>-62.713003648218155</v>
      </c>
      <c r="AO54" s="54">
        <f ca="1">+'TUSD BE'!$T$54+'TUSD BE'!$AB$54+'TUSD BE'!$AD$54+'TUSD BE'!$AL$54</f>
        <v>223.40460729848633</v>
      </c>
      <c r="AP54" s="54">
        <f ca="1">+'TUSD BE'!$T$54+'TUSD BE'!$AB$54+'TUSD BE'!$AD$54+'TUSD BE'!$AL$54</f>
        <v>223.40460729848633</v>
      </c>
    </row>
    <row r="55" spans="1:42" ht="11.25" customHeight="1" x14ac:dyDescent="0.25">
      <c r="A55" s="109"/>
      <c r="B55" s="109"/>
      <c r="C55" s="109"/>
      <c r="D55" s="52" t="s">
        <v>100</v>
      </c>
      <c r="E55" s="52" t="s">
        <v>25</v>
      </c>
      <c r="F55" s="52" t="s">
        <v>25</v>
      </c>
      <c r="G55" s="52" t="s">
        <v>88</v>
      </c>
      <c r="H55" s="52" t="s">
        <v>82</v>
      </c>
      <c r="I55" s="52">
        <f>'MERCADO TUSD'!$U$52</f>
        <v>0</v>
      </c>
      <c r="J55" s="15"/>
      <c r="L55" s="48">
        <f>'TUSD BE'!$L$55*'TUSD BE'!$L$62</f>
        <v>0</v>
      </c>
      <c r="M55" s="48">
        <f>'TUSD BE'!$M$55*'TUSD BE'!$M$62</f>
        <v>-5.9428470281808941E-2</v>
      </c>
      <c r="N55" s="48">
        <f ca="1">'TUSD BE'!$N$55*'TUSD BE'!$N$62</f>
        <v>0</v>
      </c>
      <c r="O55" s="48">
        <f>'TUSD BE'!$O$55*'TUSD BE'!$O$62</f>
        <v>0</v>
      </c>
      <c r="P55" s="48">
        <f>'TUSD BE'!$P$55*'TUSD BE'!$P$62</f>
        <v>0</v>
      </c>
      <c r="Q55" s="48">
        <f>'TUSD BE'!$Q$55*'TUSD BE'!$Q$62</f>
        <v>-3.4189271301580049</v>
      </c>
      <c r="R55" s="48">
        <f>'TUSD BE'!$R$55*'TUSD BE'!$R$62</f>
        <v>-0.53348194353297296</v>
      </c>
      <c r="S55" s="48">
        <f>'TUSD BE'!$R$55*'TUSD BE'!$S$62</f>
        <v>0</v>
      </c>
      <c r="T55" s="48">
        <f ca="1">SUM($L$55:$S$55)</f>
        <v>-4.0118375439727867</v>
      </c>
      <c r="U55" s="48">
        <f>'TUSD BE'!$U$55*'TUSD BE'!$U$62</f>
        <v>0.41764651814970705</v>
      </c>
      <c r="V55" s="48">
        <f>'TUSD BE'!$V$55*'TUSD BE'!$V$62</f>
        <v>0.43308160964627063</v>
      </c>
      <c r="W55" s="48">
        <f>'TUSD BE'!$W$55*'TUSD BE'!$W$62</f>
        <v>0</v>
      </c>
      <c r="X55" s="48">
        <f>'TUSD BE'!$X$55*'TUSD BE'!$X$62</f>
        <v>0</v>
      </c>
      <c r="Y55" s="48">
        <f>'TUSD BE'!$Y$55*'TUSD BE'!$Y$62</f>
        <v>1.7543954892000957</v>
      </c>
      <c r="Z55" s="48">
        <f>'TUSD BE'!$Z$55*'TUSD BE'!$Z$62</f>
        <v>0</v>
      </c>
      <c r="AA55" s="48">
        <f>'TUSD BE'!$AA$55*'TUSD BE'!$AA$62</f>
        <v>0</v>
      </c>
      <c r="AB55" s="48">
        <f>SUM($U$55:$AA$55)</f>
        <v>2.6051236169960736</v>
      </c>
      <c r="AC55" s="48">
        <f>'TUSD BE'!$AC$55*'TUSD BE'!$AC$62</f>
        <v>-65.895728936128563</v>
      </c>
      <c r="AD55" s="48">
        <f>SUM($AC$55:$AC$55)</f>
        <v>-65.895728936128563</v>
      </c>
      <c r="AE55" s="48">
        <f ca="1">$AO$55*$AO$59</f>
        <v>-0.71240780542269144</v>
      </c>
      <c r="AF55" s="48">
        <f ca="1">$AP$55*$AP$59</f>
        <v>0</v>
      </c>
      <c r="AG55" s="48">
        <f ca="1">SUM($AE$55:$AF$55)</f>
        <v>-0.71240780542269144</v>
      </c>
      <c r="AH55" s="48">
        <f>'TUSD BE'!$AH$55*'TUSD BE'!$AH$62</f>
        <v>-0.38932895200263656</v>
      </c>
      <c r="AI55" s="48">
        <f>'TUSD BE'!$AI$55*'TUSD BE'!$AI$62</f>
        <v>-1.0006177525562602E-2</v>
      </c>
      <c r="AJ55" s="48">
        <f ca="1">'TUSD BE'!$AJ$55*'TUSD BE'!$AJ$62</f>
        <v>0</v>
      </c>
      <c r="AK55" s="48">
        <f ca="1">'TUSD BE'!$AK$55*'TUSD BE'!$AK$62</f>
        <v>0</v>
      </c>
      <c r="AL55" s="48">
        <f ca="1">SUM($AH$55:$AK$55)</f>
        <v>-0.39933512952819916</v>
      </c>
      <c r="AM55" s="48">
        <f ca="1">SUMIF($L$4:$AL$4,"SUBTOTAL",$L$55:$AL$55)</f>
        <v>-68.414185798056153</v>
      </c>
      <c r="AO55" s="54">
        <f ca="1">+'TUSD BE'!$T$55+'TUSD BE'!$AB$55+'TUSD BE'!$AD$55+'TUSD BE'!$AL$55</f>
        <v>243.71411705289415</v>
      </c>
      <c r="AP55" s="54">
        <f ca="1">+'TUSD BE'!$T$55+'TUSD BE'!$AB$55+'TUSD BE'!$AD$55+'TUSD BE'!$AL$55</f>
        <v>243.71411705289415</v>
      </c>
    </row>
    <row r="57" spans="1:42" ht="11.25" customHeight="1" x14ac:dyDescent="0.25">
      <c r="K57" s="50" t="s">
        <v>554</v>
      </c>
      <c r="L57" s="48">
        <f>SUMPRODUCT($I$5:$I55,$L$5:$L55)</f>
        <v>0</v>
      </c>
      <c r="M57" s="48">
        <f>SUMPRODUCT($I$5:$I55,$M$5:$M55)</f>
        <v>-64281.700820421669</v>
      </c>
      <c r="N57" s="48">
        <f ca="1">SUMPRODUCT($I$5:$I55,$N$5:$N55)</f>
        <v>0</v>
      </c>
      <c r="O57" s="48">
        <f>SUMPRODUCT($I$5:$I55,$O$5:$O55)</f>
        <v>0</v>
      </c>
      <c r="P57" s="48">
        <f>SUMPRODUCT($I$5:$I55,$P$5:$P55)</f>
        <v>0</v>
      </c>
      <c r="Q57" s="48">
        <f>SUMPRODUCT($I$5:$I55,$Q$5:$Q55)</f>
        <v>-2646021.4153289516</v>
      </c>
      <c r="R57" s="48">
        <f>SUMPRODUCT($I$5:$I55,$R$5:$R55)</f>
        <v>-454323.12587125663</v>
      </c>
      <c r="S57" s="48">
        <f>SUMPRODUCT($I$5:$I55,$S$5:$S55)</f>
        <v>0</v>
      </c>
      <c r="T57" s="48">
        <f ca="1">SUMPRODUCT($I$5:$I55,$T$5:$T55)</f>
        <v>-3164626.2420206298</v>
      </c>
      <c r="U57" s="48">
        <f>SUMPRODUCT($I$5:$I55,$U$5:$U55)</f>
        <v>380279.93064310955</v>
      </c>
      <c r="V57" s="48">
        <f>SUMPRODUCT($I$5:$I55,$V$5:$V55)</f>
        <v>377984.85318365617</v>
      </c>
      <c r="W57" s="48">
        <f>SUMPRODUCT($I$5:$I55,$W$5:$W55)</f>
        <v>0</v>
      </c>
      <c r="X57" s="48">
        <f>SUMPRODUCT($I$5:$I55,$X$5:$X55)</f>
        <v>0</v>
      </c>
      <c r="Y57" s="48">
        <f>SUMPRODUCT($I$5:$I55,$Y$5:$Y55)</f>
        <v>1455858.1927852128</v>
      </c>
      <c r="Z57" s="48">
        <f>SUMPRODUCT($I$5:$I55,$Z$5:$Z55)</f>
        <v>0</v>
      </c>
      <c r="AA57" s="48">
        <f>SUMPRODUCT($I$5:$I55,$AA$5:$AA55)</f>
        <v>0</v>
      </c>
      <c r="AB57" s="48">
        <f>SUMPRODUCT($I$5:$I55,$AB$5:$AB55)</f>
        <v>2214122.9766119788</v>
      </c>
      <c r="AC57" s="48">
        <f>SUMPRODUCT($I$5:$I55,$AC$5:$AC55)</f>
        <v>-71793285.037046611</v>
      </c>
      <c r="AD57" s="48">
        <f>SUMPRODUCT($I$5:$I55,$AD$5:$AD55)</f>
        <v>-71793285.037046611</v>
      </c>
      <c r="AE57" s="48">
        <f ca="1">SUMPRODUCT($I$5:$I55,$AE$5:$AE55)</f>
        <v>-661953.25082248414</v>
      </c>
      <c r="AF57" s="48">
        <f ca="1">SUMPRODUCT($I$5:$I55,$AF$5:$AF55)</f>
        <v>0</v>
      </c>
      <c r="AG57" s="48">
        <f ca="1">SUMPRODUCT($I$5:$I55,$AG$5:$AG55)</f>
        <v>-661953.25082248414</v>
      </c>
      <c r="AH57" s="48">
        <f>SUMPRODUCT($I$5:$I55,$AH$5:$AH55)</f>
        <v>-230405.88272357592</v>
      </c>
      <c r="AI57" s="48">
        <f>SUMPRODUCT($I$5:$I55,$AI$5:$AI55)</f>
        <v>-5920.6223118599728</v>
      </c>
      <c r="AJ57" s="48">
        <f ca="1">SUMPRODUCT($I$5:$I55,$AJ$5:$AJ55)</f>
        <v>0</v>
      </c>
      <c r="AK57" s="48">
        <f ca="1">SUMPRODUCT($I$5:$I55,$AK$5:$AK55)</f>
        <v>0</v>
      </c>
      <c r="AL57" s="48">
        <f ca="1">SUMPRODUCT($I$5:$I55,$AL$5:$AL55)</f>
        <v>-236326.50503543587</v>
      </c>
      <c r="AM57" s="48">
        <f ca="1">SUMPRODUCT($I$5:$I55,$AM$5:$AM55)</f>
        <v>-73642068.058313206</v>
      </c>
      <c r="AO57" s="52">
        <f ca="1">SUMPRODUCT($I$5:$I55,$AO$5:$AO55)</f>
        <v>226453655.93485424</v>
      </c>
      <c r="AP57" s="52">
        <f ca="1">SUMPRODUCT($I$5:$I55,$AP$5:$AP55)</f>
        <v>226453655.93485424</v>
      </c>
    </row>
    <row r="58" spans="1:42" ht="11.25" customHeight="1" x14ac:dyDescent="0.25">
      <c r="K58" s="50" t="s">
        <v>486</v>
      </c>
      <c r="L58" s="48">
        <f>'TR TUSD'!$L$60</f>
        <v>0</v>
      </c>
      <c r="M58" s="48">
        <f>'TR TUSD'!$M$60</f>
        <v>571750.29665963561</v>
      </c>
      <c r="N58" s="48">
        <f>'TR TUSD'!$N$60</f>
        <v>0</v>
      </c>
      <c r="O58" s="48">
        <f>'TR TUSD'!$O$60</f>
        <v>0</v>
      </c>
      <c r="P58" s="48">
        <f>'TR TUSD'!$P$60</f>
        <v>0</v>
      </c>
      <c r="Q58" s="48">
        <f>'TR TUSD'!$Q$60</f>
        <v>41758936.660029978</v>
      </c>
      <c r="R58" s="48">
        <f>'TR TUSD'!$R$60</f>
        <v>7262217.1152899964</v>
      </c>
      <c r="S58" s="48">
        <f>'TR TUSD'!$S$60</f>
        <v>0</v>
      </c>
      <c r="T58" s="48">
        <f>'TR TUSD'!$T$60</f>
        <v>49592904.071979605</v>
      </c>
      <c r="U58" s="48">
        <f>'TR TUSD'!$U$60</f>
        <v>5594748</v>
      </c>
      <c r="V58" s="48">
        <f>'TR TUSD'!$V$60</f>
        <v>5560982.4000000004</v>
      </c>
      <c r="W58" s="48">
        <f>'TR TUSD'!$W$60</f>
        <v>1433901.8803534401</v>
      </c>
      <c r="X58" s="48">
        <f>'TR TUSD'!$X$60</f>
        <v>0</v>
      </c>
      <c r="Y58" s="48">
        <f>'TR TUSD'!$Y$60</f>
        <v>37990562.243483499</v>
      </c>
      <c r="Z58" s="48">
        <f>'TR TUSD'!$Z$60</f>
        <v>0</v>
      </c>
      <c r="AA58" s="48">
        <f>'TR TUSD'!$AA$60</f>
        <v>0</v>
      </c>
      <c r="AB58" s="48">
        <f>'TR TUSD'!$AB$60</f>
        <v>50580194.523836941</v>
      </c>
      <c r="AC58" s="48">
        <f>'TR TUSD'!$AC$60</f>
        <v>120000000</v>
      </c>
      <c r="AD58" s="48">
        <f>'TR TUSD'!$AD$60</f>
        <v>120000000</v>
      </c>
      <c r="AE58" s="48">
        <f>'TR TUSD'!$AE$60</f>
        <v>0</v>
      </c>
      <c r="AF58" s="48">
        <f>'TR TUSD'!$AF$60</f>
        <v>0</v>
      </c>
      <c r="AG58" s="48">
        <f>'TR TUSD'!$AG$60</f>
        <v>0</v>
      </c>
      <c r="AH58" s="48">
        <f>'TR TUSD'!$AH$60</f>
        <v>6123212.2798922192</v>
      </c>
      <c r="AI58" s="48">
        <f>'TR TUSD'!$AI$60</f>
        <v>157345.05914538127</v>
      </c>
      <c r="AJ58" s="48">
        <f>'TR TUSD'!$AJ$60</f>
        <v>0</v>
      </c>
      <c r="AK58" s="48">
        <f>'TR TUSD'!$AK$60</f>
        <v>0</v>
      </c>
      <c r="AL58" s="48">
        <f>'TR TUSD'!$AL$60</f>
        <v>6280557.3390376009</v>
      </c>
      <c r="AM58" s="48">
        <f>'TUSD BE'!$AM$58</f>
        <v>226453655.93485415</v>
      </c>
      <c r="AO58" s="52">
        <f>$AE$59</f>
        <v>-661953.25082248438</v>
      </c>
      <c r="AP58" s="52">
        <f>$AF$59</f>
        <v>0</v>
      </c>
    </row>
    <row r="59" spans="1:42" ht="11.25" customHeight="1" x14ac:dyDescent="0.25">
      <c r="K59" s="50" t="s">
        <v>487</v>
      </c>
      <c r="L59" s="48">
        <f>CUSTOS!$E$2</f>
        <v>0</v>
      </c>
      <c r="M59" s="48">
        <f>CUSTOS!$E$3</f>
        <v>-64281.700820421684</v>
      </c>
      <c r="N59" s="48">
        <f>CUSTOS!$E$4</f>
        <v>0</v>
      </c>
      <c r="O59" s="48">
        <f>CUSTOS!$E$5</f>
        <v>0</v>
      </c>
      <c r="P59" s="48">
        <f>CUSTOS!$E$6</f>
        <v>0</v>
      </c>
      <c r="Q59" s="48">
        <f>CUSTOS!$E$7</f>
        <v>-2646021.415328952</v>
      </c>
      <c r="R59" s="48">
        <f>CUSTOS!$E$8</f>
        <v>-454323.12587125652</v>
      </c>
      <c r="S59" s="48">
        <f>CUSTOS!$E$9</f>
        <v>0</v>
      </c>
      <c r="T59" s="48">
        <f>CUSTOS!$E$10</f>
        <v>-3164626.2420206303</v>
      </c>
      <c r="U59" s="48">
        <f>CUSTOS!$E$11</f>
        <v>380279.93064310966</v>
      </c>
      <c r="V59" s="48">
        <f>CUSTOS!$E$12</f>
        <v>377984.85318365612</v>
      </c>
      <c r="W59" s="48">
        <f>CUSTOS!$E$13</f>
        <v>0</v>
      </c>
      <c r="X59" s="48">
        <f>CUSTOS!$E$14</f>
        <v>0</v>
      </c>
      <c r="Y59" s="48">
        <f>CUSTOS!$E$15</f>
        <v>1455858.1927852128</v>
      </c>
      <c r="Z59" s="48">
        <f>CUSTOS!$E$16</f>
        <v>0</v>
      </c>
      <c r="AA59" s="48">
        <f>CUSTOS!$E$17</f>
        <v>0</v>
      </c>
      <c r="AB59" s="48">
        <f>CUSTOS!$E$18</f>
        <v>2214122.9766119784</v>
      </c>
      <c r="AC59" s="48">
        <f>CUSTOS!$E$19</f>
        <v>-71793285.037046626</v>
      </c>
      <c r="AD59" s="48">
        <f>CUSTOS!$E$20</f>
        <v>-71793285.037046626</v>
      </c>
      <c r="AE59" s="48">
        <f>CUSTOS!$E$21</f>
        <v>-661953.25082248438</v>
      </c>
      <c r="AF59" s="48">
        <f>CUSTOS!$E$22</f>
        <v>0</v>
      </c>
      <c r="AG59" s="48">
        <f>CUSTOS!$E$23</f>
        <v>-661953.25082248438</v>
      </c>
      <c r="AH59" s="48">
        <f>CUSTOS!$E$24</f>
        <v>-230405.88272357595</v>
      </c>
      <c r="AI59" s="48">
        <f>CUSTOS!$E$25</f>
        <v>-5920.6223118599719</v>
      </c>
      <c r="AJ59" s="48">
        <f>CUSTOS!$E$26</f>
        <v>0</v>
      </c>
      <c r="AK59" s="48">
        <f>CUSTOS!$E$27</f>
        <v>0</v>
      </c>
      <c r="AL59" s="48">
        <f>CUSTOS!$E$28</f>
        <v>-236326.50503543593</v>
      </c>
      <c r="AM59" s="48">
        <f>CUSTOS!$E$29</f>
        <v>-73642068.058313191</v>
      </c>
      <c r="AO59" s="52">
        <f ca="1">IF(AO57&lt;&gt;0,AO58/AO57,0)</f>
        <v>-2.9231290088463568E-3</v>
      </c>
      <c r="AP59" s="52">
        <f ca="1">IF(AP57&lt;&gt;0,AP58/AP57,0)</f>
        <v>0</v>
      </c>
    </row>
    <row r="60" spans="1:42" ht="11.25" customHeight="1" x14ac:dyDescent="0.25">
      <c r="K60" s="50" t="s">
        <v>488</v>
      </c>
      <c r="L60" s="48">
        <f>CUSTOS!$F$2</f>
        <v>0</v>
      </c>
      <c r="M60" s="48">
        <f>CUSTOS!$F$3</f>
        <v>0</v>
      </c>
      <c r="N60" s="48">
        <f>CUSTOS!$F$4</f>
        <v>0</v>
      </c>
      <c r="O60" s="48">
        <f>CUSTOS!$F$5</f>
        <v>0</v>
      </c>
      <c r="P60" s="48">
        <f>CUSTOS!$F$6</f>
        <v>0</v>
      </c>
      <c r="Q60" s="48">
        <f>CUSTOS!$F$7</f>
        <v>0</v>
      </c>
      <c r="R60" s="48">
        <f>CUSTOS!$F$8</f>
        <v>0</v>
      </c>
      <c r="S60" s="48">
        <f>CUSTOS!$F$9</f>
        <v>0</v>
      </c>
      <c r="T60" s="48">
        <f>CUSTOS!$F$10</f>
        <v>0</v>
      </c>
      <c r="U60" s="48">
        <f>CUSTOS!$F$11</f>
        <v>0</v>
      </c>
      <c r="V60" s="48">
        <f>CUSTOS!$F$12</f>
        <v>0</v>
      </c>
      <c r="W60" s="48">
        <f>CUSTOS!$F$13</f>
        <v>0</v>
      </c>
      <c r="X60" s="48">
        <f>CUSTOS!$F$14</f>
        <v>0</v>
      </c>
      <c r="Y60" s="48">
        <f>CUSTOS!$F$15</f>
        <v>0</v>
      </c>
      <c r="Z60" s="48">
        <f>CUSTOS!$F$16</f>
        <v>0</v>
      </c>
      <c r="AA60" s="48">
        <f>CUSTOS!$F$17</f>
        <v>0</v>
      </c>
      <c r="AB60" s="48">
        <f>CUSTOS!$F$18</f>
        <v>0</v>
      </c>
      <c r="AC60" s="48">
        <f>CUSTOS!$F$19</f>
        <v>0</v>
      </c>
      <c r="AD60" s="48">
        <f>CUSTOS!$F$20</f>
        <v>0</v>
      </c>
      <c r="AE60" s="48">
        <f>CUSTOS!$F$21</f>
        <v>0</v>
      </c>
      <c r="AF60" s="48">
        <f>CUSTOS!$F$22</f>
        <v>0</v>
      </c>
      <c r="AG60" s="48">
        <f>CUSTOS!$F$23</f>
        <v>0</v>
      </c>
      <c r="AH60" s="48">
        <f>CUSTOS!$F$24</f>
        <v>0</v>
      </c>
      <c r="AI60" s="48">
        <f>CUSTOS!$F$25</f>
        <v>0</v>
      </c>
      <c r="AJ60" s="48">
        <f>CUSTOS!$F$26</f>
        <v>0</v>
      </c>
      <c r="AK60" s="48">
        <f>CUSTOS!$F$27</f>
        <v>0</v>
      </c>
      <c r="AL60" s="48">
        <f>CUSTOS!$F$28</f>
        <v>0</v>
      </c>
      <c r="AM60" s="48">
        <f>CUSTOS!$F$29</f>
        <v>0</v>
      </c>
    </row>
    <row r="61" spans="1:42" ht="11.25" customHeight="1" x14ac:dyDescent="0.25">
      <c r="K61" s="50" t="s">
        <v>551</v>
      </c>
      <c r="L61" s="48">
        <v>0</v>
      </c>
      <c r="M61" s="48">
        <v>0</v>
      </c>
      <c r="N61" s="48">
        <v>0</v>
      </c>
      <c r="O61" s="48">
        <v>0</v>
      </c>
      <c r="P61" s="48">
        <v>0</v>
      </c>
      <c r="Q61" s="48">
        <v>0</v>
      </c>
      <c r="R61" s="48">
        <v>0</v>
      </c>
      <c r="S61" s="48">
        <v>0</v>
      </c>
      <c r="T61" s="48">
        <f>SUM($L$61:$S$61)</f>
        <v>0</v>
      </c>
      <c r="U61" s="48">
        <v>0</v>
      </c>
      <c r="V61" s="48">
        <v>0</v>
      </c>
      <c r="W61" s="48">
        <v>0</v>
      </c>
      <c r="X61" s="48">
        <v>0</v>
      </c>
      <c r="Y61" s="48">
        <v>0</v>
      </c>
      <c r="Z61" s="48">
        <v>0</v>
      </c>
      <c r="AA61" s="48">
        <v>0</v>
      </c>
      <c r="AB61" s="48">
        <f>SUM($U$61:$AA$61)</f>
        <v>0</v>
      </c>
      <c r="AC61" s="48">
        <v>0</v>
      </c>
      <c r="AD61" s="48">
        <f>SUM($AC$61:$AC$61)</f>
        <v>0</v>
      </c>
      <c r="AE61" s="48">
        <v>0</v>
      </c>
      <c r="AF61" s="48">
        <v>0</v>
      </c>
      <c r="AG61" s="48">
        <f>SUM($AE$61:$AF$61)</f>
        <v>0</v>
      </c>
      <c r="AH61" s="48">
        <v>0</v>
      </c>
      <c r="AI61" s="48">
        <v>0</v>
      </c>
      <c r="AJ61" s="48">
        <v>0</v>
      </c>
      <c r="AK61" s="48">
        <v>0</v>
      </c>
      <c r="AL61" s="48">
        <f>SUM($AH$61:$AK$61)</f>
        <v>0</v>
      </c>
      <c r="AM61" s="48"/>
    </row>
    <row r="62" spans="1:42" ht="11.25" customHeight="1" x14ac:dyDescent="0.25">
      <c r="K62" s="50" t="s">
        <v>557</v>
      </c>
      <c r="L62" s="48">
        <f t="shared" ref="L62:R62" si="0">IF((L58-(0))&lt;&gt;0,(L60)/(L58-(0)),0)</f>
        <v>0</v>
      </c>
      <c r="M62" s="48">
        <f t="shared" si="0"/>
        <v>0</v>
      </c>
      <c r="N62" s="48">
        <f t="shared" si="0"/>
        <v>0</v>
      </c>
      <c r="O62" s="48">
        <f t="shared" si="0"/>
        <v>0</v>
      </c>
      <c r="P62" s="48">
        <f t="shared" si="0"/>
        <v>0</v>
      </c>
      <c r="Q62" s="48">
        <f t="shared" si="0"/>
        <v>0</v>
      </c>
      <c r="R62" s="48">
        <f t="shared" si="0"/>
        <v>0</v>
      </c>
      <c r="S62" s="48">
        <f>IF((R57-(0)&lt;&gt;0),(S59)/(R57-(0)),0)</f>
        <v>0</v>
      </c>
      <c r="T62" s="48"/>
      <c r="U62" s="48">
        <f t="shared" ref="U62:AA62" si="1">IF((U58-(0))&lt;&gt;0,(U60)/(U58-(0)),0)</f>
        <v>0</v>
      </c>
      <c r="V62" s="48">
        <f t="shared" si="1"/>
        <v>0</v>
      </c>
      <c r="W62" s="48">
        <f t="shared" si="1"/>
        <v>0</v>
      </c>
      <c r="X62" s="48">
        <f t="shared" si="1"/>
        <v>0</v>
      </c>
      <c r="Y62" s="48">
        <f t="shared" si="1"/>
        <v>0</v>
      </c>
      <c r="Z62" s="48">
        <f t="shared" si="1"/>
        <v>0</v>
      </c>
      <c r="AA62" s="48">
        <f t="shared" si="1"/>
        <v>0</v>
      </c>
      <c r="AB62" s="48"/>
      <c r="AC62" s="48">
        <f>IF((AC58-(0))&lt;&gt;0,(AC60)/(AC58-(0)),0)</f>
        <v>0</v>
      </c>
      <c r="AD62" s="48"/>
      <c r="AE62" s="48">
        <f ca="1">IF(($AM57-(0))&lt;&gt;0,(AE59)/($AM57-(0)),0)</f>
        <v>8.9887922525249981E-3</v>
      </c>
      <c r="AF62" s="48">
        <f ca="1">IF(($AM57-(0))&lt;&gt;0,(AF59)/($AM57-(0)),0)</f>
        <v>0</v>
      </c>
      <c r="AG62" s="48"/>
      <c r="AH62" s="48">
        <f>IF((AH58-(0))&lt;&gt;0,(AH60)/(AH58-(0)),0)</f>
        <v>0</v>
      </c>
      <c r="AI62" s="48">
        <f>IF((AI58-(0))&lt;&gt;0,(AI60)/(AI58-(0)),0)</f>
        <v>0</v>
      </c>
      <c r="AJ62" s="48">
        <f>IF((AJ58-(0))&lt;&gt;0,(AJ60)/(AJ58-(0)),0)</f>
        <v>0</v>
      </c>
      <c r="AK62" s="48">
        <f>IF((AK58-(0))&lt;&gt;0,(AK60)/(AK58-(0)),0)</f>
        <v>0</v>
      </c>
      <c r="AL62" s="48"/>
      <c r="AM62" s="48"/>
    </row>
  </sheetData>
  <mergeCells count="79">
    <mergeCell ref="E49:E51"/>
    <mergeCell ref="F49:F51"/>
    <mergeCell ref="A54:A55"/>
    <mergeCell ref="B54:B55"/>
    <mergeCell ref="C54:C55"/>
    <mergeCell ref="D49:D51"/>
    <mergeCell ref="B46:B48"/>
    <mergeCell ref="C46:C48"/>
    <mergeCell ref="A49:A53"/>
    <mergeCell ref="B49:B51"/>
    <mergeCell ref="C49:C51"/>
    <mergeCell ref="A34:A48"/>
    <mergeCell ref="B34:B36"/>
    <mergeCell ref="C34:C36"/>
    <mergeCell ref="B42:B44"/>
    <mergeCell ref="C42:C44"/>
    <mergeCell ref="B38:B40"/>
    <mergeCell ref="C38:C40"/>
    <mergeCell ref="D42:D44"/>
    <mergeCell ref="E42:E44"/>
    <mergeCell ref="F42:F44"/>
    <mergeCell ref="D34:D36"/>
    <mergeCell ref="E34:E36"/>
    <mergeCell ref="F34:F36"/>
    <mergeCell ref="D38:D40"/>
    <mergeCell ref="E38:E40"/>
    <mergeCell ref="F38:F40"/>
    <mergeCell ref="A21:A33"/>
    <mergeCell ref="B21:B23"/>
    <mergeCell ref="C21:C23"/>
    <mergeCell ref="D21:D23"/>
    <mergeCell ref="E21:E23"/>
    <mergeCell ref="F21:F23"/>
    <mergeCell ref="B24:B28"/>
    <mergeCell ref="C24:C28"/>
    <mergeCell ref="B29:B33"/>
    <mergeCell ref="C29:C33"/>
    <mergeCell ref="F14:F16"/>
    <mergeCell ref="E17:E18"/>
    <mergeCell ref="F17:F18"/>
    <mergeCell ref="A19:A20"/>
    <mergeCell ref="B19:B20"/>
    <mergeCell ref="C19:C20"/>
    <mergeCell ref="D19:D20"/>
    <mergeCell ref="A9:A18"/>
    <mergeCell ref="B9:B12"/>
    <mergeCell ref="C9:C12"/>
    <mergeCell ref="D9:D12"/>
    <mergeCell ref="E9:E11"/>
    <mergeCell ref="F9:F11"/>
    <mergeCell ref="B14:B18"/>
    <mergeCell ref="C14:C18"/>
    <mergeCell ref="D14:D18"/>
    <mergeCell ref="E14:E16"/>
    <mergeCell ref="AE3:AG3"/>
    <mergeCell ref="AH3:AL3"/>
    <mergeCell ref="AM3:AM4"/>
    <mergeCell ref="A5:A8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A1:A4"/>
    <mergeCell ref="AP1:AP4"/>
    <mergeCell ref="L2:AM2"/>
    <mergeCell ref="L3:T3"/>
    <mergeCell ref="U3:AB3"/>
    <mergeCell ref="AC3:AD3"/>
    <mergeCell ref="B1:B4"/>
    <mergeCell ref="C1:C4"/>
    <mergeCell ref="D1:D4"/>
    <mergeCell ref="E1:E4"/>
    <mergeCell ref="F1:F4"/>
  </mergeCells>
  <conditionalFormatting sqref="L57">
    <cfRule type="cellIs" dxfId="1080" priority="55" operator="notEqual">
      <formula>$L$59</formula>
    </cfRule>
    <cfRule type="cellIs" dxfId="1079" priority="56" operator="equal">
      <formula>$L$59</formula>
    </cfRule>
  </conditionalFormatting>
  <conditionalFormatting sqref="M57">
    <cfRule type="cellIs" dxfId="1078" priority="53" operator="notEqual">
      <formula>$M$59</formula>
    </cfRule>
    <cfRule type="cellIs" dxfId="1077" priority="54" operator="equal">
      <formula>$M$59</formula>
    </cfRule>
  </conditionalFormatting>
  <conditionalFormatting sqref="N57">
    <cfRule type="cellIs" dxfId="1076" priority="51" operator="notEqual">
      <formula>$N$59</formula>
    </cfRule>
    <cfRule type="cellIs" dxfId="1075" priority="52" operator="equal">
      <formula>$N$59</formula>
    </cfRule>
  </conditionalFormatting>
  <conditionalFormatting sqref="O57">
    <cfRule type="cellIs" dxfId="1074" priority="49" operator="notEqual">
      <formula>$O$59</formula>
    </cfRule>
    <cfRule type="cellIs" dxfId="1073" priority="50" operator="equal">
      <formula>$O$59</formula>
    </cfRule>
  </conditionalFormatting>
  <conditionalFormatting sqref="P57">
    <cfRule type="cellIs" dxfId="1072" priority="47" operator="notEqual">
      <formula>$P$59</formula>
    </cfRule>
    <cfRule type="cellIs" dxfId="1071" priority="48" operator="equal">
      <formula>$P$59</formula>
    </cfRule>
  </conditionalFormatting>
  <conditionalFormatting sqref="Q57">
    <cfRule type="cellIs" dxfId="1070" priority="45" operator="notEqual">
      <formula>$Q$59</formula>
    </cfRule>
    <cfRule type="cellIs" dxfId="1069" priority="46" operator="equal">
      <formula>$Q$59</formula>
    </cfRule>
  </conditionalFormatting>
  <conditionalFormatting sqref="R57">
    <cfRule type="cellIs" dxfId="1068" priority="43" operator="notEqual">
      <formula>$R$59</formula>
    </cfRule>
    <cfRule type="cellIs" dxfId="1067" priority="44" operator="equal">
      <formula>$R$59</formula>
    </cfRule>
  </conditionalFormatting>
  <conditionalFormatting sqref="S57">
    <cfRule type="cellIs" dxfId="1066" priority="41" operator="notEqual">
      <formula>$S$59</formula>
    </cfRule>
    <cfRule type="cellIs" dxfId="1065" priority="42" operator="equal">
      <formula>$S$59</formula>
    </cfRule>
  </conditionalFormatting>
  <conditionalFormatting sqref="T57">
    <cfRule type="cellIs" dxfId="1064" priority="39" operator="notEqual">
      <formula>$T$59</formula>
    </cfRule>
    <cfRule type="cellIs" dxfId="1063" priority="40" operator="equal">
      <formula>$T$59</formula>
    </cfRule>
  </conditionalFormatting>
  <conditionalFormatting sqref="U57">
    <cfRule type="cellIs" dxfId="1062" priority="37" operator="notEqual">
      <formula>$U$59</formula>
    </cfRule>
    <cfRule type="cellIs" dxfId="1061" priority="38" operator="equal">
      <formula>$U$59</formula>
    </cfRule>
  </conditionalFormatting>
  <conditionalFormatting sqref="V57">
    <cfRule type="cellIs" dxfId="1060" priority="35" operator="notEqual">
      <formula>$V$59</formula>
    </cfRule>
    <cfRule type="cellIs" dxfId="1059" priority="36" operator="equal">
      <formula>$V$59</formula>
    </cfRule>
  </conditionalFormatting>
  <conditionalFormatting sqref="W57">
    <cfRule type="cellIs" dxfId="1058" priority="33" operator="notEqual">
      <formula>$W$59</formula>
    </cfRule>
    <cfRule type="cellIs" dxfId="1057" priority="34" operator="equal">
      <formula>$W$59</formula>
    </cfRule>
  </conditionalFormatting>
  <conditionalFormatting sqref="X57">
    <cfRule type="cellIs" dxfId="1056" priority="31" operator="notEqual">
      <formula>$X$59</formula>
    </cfRule>
    <cfRule type="cellIs" dxfId="1055" priority="32" operator="equal">
      <formula>$X$59</formula>
    </cfRule>
  </conditionalFormatting>
  <conditionalFormatting sqref="Y57">
    <cfRule type="cellIs" dxfId="1054" priority="29" operator="notEqual">
      <formula>$Y$59</formula>
    </cfRule>
    <cfRule type="cellIs" dxfId="1053" priority="30" operator="equal">
      <formula>$Y$59</formula>
    </cfRule>
  </conditionalFormatting>
  <conditionalFormatting sqref="Z57">
    <cfRule type="cellIs" dxfId="1052" priority="27" operator="notEqual">
      <formula>$Z$59</formula>
    </cfRule>
    <cfRule type="cellIs" dxfId="1051" priority="28" operator="equal">
      <formula>$Z$59</formula>
    </cfRule>
  </conditionalFormatting>
  <conditionalFormatting sqref="AA57">
    <cfRule type="cellIs" dxfId="1050" priority="25" operator="notEqual">
      <formula>$AA$59</formula>
    </cfRule>
    <cfRule type="cellIs" dxfId="1049" priority="26" operator="equal">
      <formula>$AA$59</formula>
    </cfRule>
  </conditionalFormatting>
  <conditionalFormatting sqref="AB57">
    <cfRule type="cellIs" dxfId="1048" priority="23" operator="notEqual">
      <formula>$AB$59</formula>
    </cfRule>
    <cfRule type="cellIs" dxfId="1047" priority="24" operator="equal">
      <formula>$AB$59</formula>
    </cfRule>
  </conditionalFormatting>
  <conditionalFormatting sqref="AC57">
    <cfRule type="cellIs" dxfId="1046" priority="21" operator="notEqual">
      <formula>$AC$59</formula>
    </cfRule>
    <cfRule type="cellIs" dxfId="1045" priority="22" operator="equal">
      <formula>$AC$59</formula>
    </cfRule>
  </conditionalFormatting>
  <conditionalFormatting sqref="AD57">
    <cfRule type="cellIs" dxfId="1044" priority="19" operator="notEqual">
      <formula>$AD$59</formula>
    </cfRule>
    <cfRule type="cellIs" dxfId="1043" priority="20" operator="equal">
      <formula>$AD$59</formula>
    </cfRule>
  </conditionalFormatting>
  <conditionalFormatting sqref="AE57">
    <cfRule type="cellIs" dxfId="1042" priority="17" operator="notEqual">
      <formula>$AE$59</formula>
    </cfRule>
    <cfRule type="cellIs" dxfId="1041" priority="18" operator="equal">
      <formula>$AE$59</formula>
    </cfRule>
  </conditionalFormatting>
  <conditionalFormatting sqref="AF57">
    <cfRule type="cellIs" dxfId="1040" priority="16" operator="equal">
      <formula>$AF$59</formula>
    </cfRule>
  </conditionalFormatting>
  <conditionalFormatting sqref="AF57">
    <cfRule type="cellIs" dxfId="1039" priority="15" operator="notEqual">
      <formula>$AF$59</formula>
    </cfRule>
  </conditionalFormatting>
  <conditionalFormatting sqref="AG57">
    <cfRule type="cellIs" dxfId="1038" priority="14" operator="equal">
      <formula>$AG$59</formula>
    </cfRule>
  </conditionalFormatting>
  <conditionalFormatting sqref="AG57">
    <cfRule type="cellIs" dxfId="1037" priority="13" operator="notEqual">
      <formula>$AG$59</formula>
    </cfRule>
  </conditionalFormatting>
  <conditionalFormatting sqref="AH57">
    <cfRule type="cellIs" dxfId="1036" priority="12" operator="equal">
      <formula>$AH$59</formula>
    </cfRule>
  </conditionalFormatting>
  <conditionalFormatting sqref="AH57">
    <cfRule type="cellIs" dxfId="1035" priority="11" operator="notEqual">
      <formula>$AH$59</formula>
    </cfRule>
  </conditionalFormatting>
  <conditionalFormatting sqref="AI57">
    <cfRule type="cellIs" dxfId="1034" priority="10" operator="equal">
      <formula>$AI$59</formula>
    </cfRule>
  </conditionalFormatting>
  <conditionalFormatting sqref="AI57">
    <cfRule type="cellIs" dxfId="1033" priority="9" operator="notEqual">
      <formula>$AI$59</formula>
    </cfRule>
  </conditionalFormatting>
  <conditionalFormatting sqref="AJ57">
    <cfRule type="cellIs" dxfId="1032" priority="8" operator="equal">
      <formula>$AJ$59</formula>
    </cfRule>
  </conditionalFormatting>
  <conditionalFormatting sqref="AJ57">
    <cfRule type="cellIs" dxfId="1031" priority="7" operator="notEqual">
      <formula>$AJ$59</formula>
    </cfRule>
  </conditionalFormatting>
  <conditionalFormatting sqref="AK57">
    <cfRule type="cellIs" dxfId="1030" priority="6" operator="equal">
      <formula>$AK$59</formula>
    </cfRule>
  </conditionalFormatting>
  <conditionalFormatting sqref="AK57">
    <cfRule type="cellIs" dxfId="1029" priority="5" operator="notEqual">
      <formula>$AK$59</formula>
    </cfRule>
  </conditionalFormatting>
  <conditionalFormatting sqref="AL57">
    <cfRule type="cellIs" dxfId="1028" priority="4" operator="equal">
      <formula>$AL$59</formula>
    </cfRule>
  </conditionalFormatting>
  <conditionalFormatting sqref="AL57">
    <cfRule type="cellIs" dxfId="1027" priority="3" operator="notEqual">
      <formula>$AL$59</formula>
    </cfRule>
  </conditionalFormatting>
  <conditionalFormatting sqref="AM57">
    <cfRule type="cellIs" dxfId="1026" priority="2" operator="equal">
      <formula>$AM$59</formula>
    </cfRule>
  </conditionalFormatting>
  <conditionalFormatting sqref="AM57">
    <cfRule type="cellIs" dxfId="1025" priority="1" operator="notEqual">
      <formula>$AM$59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58144-856C-484A-BF63-ABA16BE04D15}">
  <dimension ref="A1:AP61"/>
  <sheetViews>
    <sheetView showGridLines="0" topLeftCell="X38" workbookViewId="0">
      <selection activeCell="AO57" sqref="AO57:AP5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6" width="4.8554687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0" width="10.85546875" style="9" bestFit="1" customWidth="1"/>
    <col min="21" max="21" width="10" style="9" bestFit="1" customWidth="1"/>
    <col min="22" max="22" width="8.7109375" style="9" bestFit="1" customWidth="1"/>
    <col min="23" max="23" width="10" style="9" bestFit="1" customWidth="1"/>
    <col min="24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9.28515625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.85546875" style="9" bestFit="1" customWidth="1"/>
    <col min="38" max="38" width="10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12" t="s">
        <v>72</v>
      </c>
      <c r="B1" s="112" t="s">
        <v>73</v>
      </c>
      <c r="C1" s="112" t="s">
        <v>74</v>
      </c>
      <c r="D1" s="112" t="s">
        <v>75</v>
      </c>
      <c r="E1" s="112" t="s">
        <v>76</v>
      </c>
      <c r="F1" s="112" t="s">
        <v>15</v>
      </c>
      <c r="G1" s="112" t="s">
        <v>78</v>
      </c>
      <c r="H1" s="112" t="s">
        <v>79</v>
      </c>
      <c r="I1" s="112" t="s">
        <v>545</v>
      </c>
      <c r="J1" s="102"/>
      <c r="L1" s="110" t="s">
        <v>559</v>
      </c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H1" s="110"/>
      <c r="AI1" s="110"/>
      <c r="AJ1" s="110"/>
      <c r="AK1" s="110"/>
      <c r="AL1" s="110"/>
      <c r="AM1" s="110"/>
      <c r="AO1" s="54"/>
      <c r="AP1" s="114" t="s">
        <v>547</v>
      </c>
    </row>
    <row r="2" spans="1:42" ht="11.25" customHeight="1" x14ac:dyDescent="0.25">
      <c r="A2" s="112"/>
      <c r="B2" s="112"/>
      <c r="C2" s="112"/>
      <c r="D2" s="112"/>
      <c r="E2" s="112"/>
      <c r="F2" s="112"/>
      <c r="G2" s="112"/>
      <c r="H2" s="112"/>
      <c r="I2" s="112"/>
      <c r="J2" s="102"/>
      <c r="L2" s="110" t="s">
        <v>444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O2" s="54"/>
      <c r="AP2" s="115"/>
    </row>
    <row r="3" spans="1:42" ht="11.25" customHeight="1" x14ac:dyDescent="0.25">
      <c r="A3" s="112"/>
      <c r="B3" s="112"/>
      <c r="C3" s="112"/>
      <c r="D3" s="112"/>
      <c r="E3" s="112"/>
      <c r="F3" s="112"/>
      <c r="G3" s="112"/>
      <c r="H3" s="112"/>
      <c r="I3" s="112"/>
      <c r="J3" s="102"/>
      <c r="L3" s="110" t="s">
        <v>445</v>
      </c>
      <c r="M3" s="110"/>
      <c r="N3" s="110"/>
      <c r="O3" s="110"/>
      <c r="P3" s="110"/>
      <c r="Q3" s="110"/>
      <c r="R3" s="110"/>
      <c r="S3" s="110"/>
      <c r="T3" s="110"/>
      <c r="U3" s="110" t="s">
        <v>454</v>
      </c>
      <c r="V3" s="110"/>
      <c r="W3" s="110"/>
      <c r="X3" s="110"/>
      <c r="Y3" s="110"/>
      <c r="Z3" s="110"/>
      <c r="AA3" s="110"/>
      <c r="AB3" s="110"/>
      <c r="AC3" s="110" t="s">
        <v>462</v>
      </c>
      <c r="AD3" s="110"/>
      <c r="AE3" s="110" t="s">
        <v>464</v>
      </c>
      <c r="AF3" s="110"/>
      <c r="AG3" s="110"/>
      <c r="AH3" s="110" t="s">
        <v>467</v>
      </c>
      <c r="AI3" s="110"/>
      <c r="AJ3" s="110"/>
      <c r="AK3" s="110"/>
      <c r="AL3" s="110"/>
      <c r="AM3" s="110" t="s">
        <v>453</v>
      </c>
      <c r="AO3" s="54"/>
      <c r="AP3" s="115"/>
    </row>
    <row r="4" spans="1:42" ht="11.25" customHeight="1" x14ac:dyDescent="0.25">
      <c r="A4" s="112"/>
      <c r="B4" s="112"/>
      <c r="C4" s="112"/>
      <c r="D4" s="112"/>
      <c r="E4" s="112"/>
      <c r="F4" s="112"/>
      <c r="G4" s="112"/>
      <c r="H4" s="112"/>
      <c r="I4" s="112"/>
      <c r="J4" s="102"/>
      <c r="L4" s="49" t="s">
        <v>530</v>
      </c>
      <c r="M4" s="49" t="s">
        <v>446</v>
      </c>
      <c r="N4" s="49" t="s">
        <v>447</v>
      </c>
      <c r="O4" s="49" t="s">
        <v>448</v>
      </c>
      <c r="P4" s="49" t="s">
        <v>449</v>
      </c>
      <c r="Q4" s="49" t="s">
        <v>450</v>
      </c>
      <c r="R4" s="49" t="s">
        <v>451</v>
      </c>
      <c r="S4" s="49" t="s">
        <v>452</v>
      </c>
      <c r="T4" s="49" t="s">
        <v>453</v>
      </c>
      <c r="U4" s="49" t="s">
        <v>455</v>
      </c>
      <c r="V4" s="49" t="s">
        <v>456</v>
      </c>
      <c r="W4" s="49" t="s">
        <v>457</v>
      </c>
      <c r="X4" s="49" t="s">
        <v>458</v>
      </c>
      <c r="Y4" s="49" t="s">
        <v>459</v>
      </c>
      <c r="Z4" s="49" t="s">
        <v>460</v>
      </c>
      <c r="AA4" s="49" t="s">
        <v>461</v>
      </c>
      <c r="AB4" s="49" t="s">
        <v>453</v>
      </c>
      <c r="AC4" s="49" t="s">
        <v>463</v>
      </c>
      <c r="AD4" s="49" t="s">
        <v>453</v>
      </c>
      <c r="AE4" s="49" t="s">
        <v>465</v>
      </c>
      <c r="AF4" s="49" t="s">
        <v>466</v>
      </c>
      <c r="AG4" s="49" t="s">
        <v>453</v>
      </c>
      <c r="AH4" s="49" t="s">
        <v>468</v>
      </c>
      <c r="AI4" s="49" t="s">
        <v>469</v>
      </c>
      <c r="AJ4" s="49" t="s">
        <v>470</v>
      </c>
      <c r="AK4" s="49" t="s">
        <v>471</v>
      </c>
      <c r="AL4" s="49" t="s">
        <v>453</v>
      </c>
      <c r="AM4" s="111"/>
      <c r="AO4" s="55" t="s">
        <v>558</v>
      </c>
      <c r="AP4" s="116"/>
    </row>
    <row r="5" spans="1:42" ht="11.25" customHeight="1" x14ac:dyDescent="0.25">
      <c r="A5" s="109" t="s">
        <v>53</v>
      </c>
      <c r="B5" s="109" t="s">
        <v>36</v>
      </c>
      <c r="C5" s="109" t="s">
        <v>25</v>
      </c>
      <c r="D5" s="109" t="s">
        <v>25</v>
      </c>
      <c r="E5" s="109" t="s">
        <v>25</v>
      </c>
      <c r="F5" s="109" t="s">
        <v>25</v>
      </c>
      <c r="G5" s="52" t="s">
        <v>86</v>
      </c>
      <c r="H5" s="52" t="s">
        <v>85</v>
      </c>
      <c r="I5" s="52">
        <f>'MERCADO TUSD'!$U$2</f>
        <v>39600</v>
      </c>
      <c r="J5" s="15"/>
      <c r="L5" s="48">
        <f>'TUSD BE'!$L$5*'TUSD BF'!$L$62</f>
        <v>0</v>
      </c>
      <c r="M5" s="48">
        <f>'TUSD BE'!$M$5*'TUSD BF'!$M$62</f>
        <v>0</v>
      </c>
      <c r="N5" s="48">
        <f ca="1">'TUSD BE'!$N$5*'TUSD BF'!$N$62</f>
        <v>0</v>
      </c>
      <c r="O5" s="48">
        <f>'TUSD BE'!$O$5*'TUSD BF'!$O$62</f>
        <v>0</v>
      </c>
      <c r="P5" s="48">
        <f>'TUSD BE'!$P$5*'TUSD BF'!$P$62</f>
        <v>0</v>
      </c>
      <c r="Q5" s="48">
        <f>'TUSD BE'!$Q$5*'TUSD BF'!$Q$62</f>
        <v>0</v>
      </c>
      <c r="R5" s="48">
        <f>'TUSD BE'!$R$5*'TUSD BF'!$R$62</f>
        <v>0</v>
      </c>
      <c r="S5" s="48">
        <f>'TUSD BE'!$R$5*'TUSD BF'!$S$62</f>
        <v>0</v>
      </c>
      <c r="T5" s="48">
        <f ca="1">SUM($L$5:$S$5)</f>
        <v>0</v>
      </c>
      <c r="U5" s="48">
        <f>'TUSD BE'!$U$5*'TUSD BF'!$U$62</f>
        <v>0</v>
      </c>
      <c r="V5" s="48">
        <f>'TUSD BE'!$V$5*'TUSD BF'!$V$62</f>
        <v>0</v>
      </c>
      <c r="W5" s="48">
        <f>'TUSD BE'!$W$5*'TUSD BF'!$W$62</f>
        <v>0</v>
      </c>
      <c r="X5" s="48">
        <f>'TUSD BE'!$X$5*'TUSD BF'!$X$62</f>
        <v>0</v>
      </c>
      <c r="Y5" s="48">
        <f>'TUSD BE'!$Y$5*'TUSD BF'!$Y$62</f>
        <v>0</v>
      </c>
      <c r="Z5" s="48">
        <f>'TUSD BE'!$Z$5*'TUSD BF'!$Z$62</f>
        <v>0</v>
      </c>
      <c r="AA5" s="48">
        <f>'TUSD BE'!$AA$5*'TUSD BF'!$AA$62</f>
        <v>0</v>
      </c>
      <c r="AB5" s="48">
        <f>SUM($U$5:$AA$5)</f>
        <v>0</v>
      </c>
      <c r="AC5" s="48">
        <f>'TUSD BE'!$AC$5*'TUSD BF'!$AC$62</f>
        <v>0</v>
      </c>
      <c r="AD5" s="48">
        <f>SUM($AC$5:$AC$5)</f>
        <v>0</v>
      </c>
      <c r="AE5" s="48">
        <f ca="1">$AO$5*$AO$59</f>
        <v>0</v>
      </c>
      <c r="AF5" s="48">
        <f ca="1">$AP$5*$AP$59</f>
        <v>0</v>
      </c>
      <c r="AG5" s="48">
        <f ca="1">SUM($AE$5:$AF$5)</f>
        <v>0</v>
      </c>
      <c r="AH5" s="48">
        <f>'TUSD BE'!$AH$5*'TUSD BF'!$AH$62</f>
        <v>0</v>
      </c>
      <c r="AI5" s="48">
        <f>'TUSD BE'!$AI$5*'TUSD BF'!$AI$62</f>
        <v>0</v>
      </c>
      <c r="AJ5" s="48">
        <f ca="1">'TUSD BE'!$AJ$5*'TUSD BF'!$AJ$62</f>
        <v>0</v>
      </c>
      <c r="AK5" s="48">
        <f ca="1">'TUSD BE'!$AK$5*'TUSD BF'!$AK$62</f>
        <v>0</v>
      </c>
      <c r="AL5" s="48">
        <f ca="1">SUM($AH$5:$AK$5)</f>
        <v>0</v>
      </c>
      <c r="AM5" s="48">
        <f ca="1">SUMIF($L$4:$AL$4,"SUBTOTAL",$L$5:$AL$5)</f>
        <v>0</v>
      </c>
      <c r="AO5" s="54">
        <f ca="1">+'TUSD BE'!$T$5+'TUSD BE'!$AB$5+'TUSD BE'!$AD$5+'TUSD BE'!$AL$5</f>
        <v>23.867575114892585</v>
      </c>
      <c r="AP5" s="54">
        <f ca="1">+'TUSD BE'!$T$5+'TUSD BE'!$AB$5+'TUSD BE'!$AD$5+'TUSD BE'!$AL$5</f>
        <v>23.867575114892585</v>
      </c>
    </row>
    <row r="6" spans="1:42" ht="11.25" customHeight="1" x14ac:dyDescent="0.25">
      <c r="A6" s="109"/>
      <c r="B6" s="109"/>
      <c r="C6" s="109"/>
      <c r="D6" s="109"/>
      <c r="E6" s="109"/>
      <c r="F6" s="109"/>
      <c r="G6" s="52" t="s">
        <v>87</v>
      </c>
      <c r="H6" s="52" t="s">
        <v>85</v>
      </c>
      <c r="I6" s="52">
        <f>'MERCADO TUSD'!$U$3</f>
        <v>39600</v>
      </c>
      <c r="J6" s="15"/>
      <c r="L6" s="48">
        <f>'TUSD BE'!$L$6*'TUSD BF'!$L$62</f>
        <v>0</v>
      </c>
      <c r="M6" s="48">
        <f>'TUSD BE'!$M$6*'TUSD BF'!$M$62</f>
        <v>0</v>
      </c>
      <c r="N6" s="48">
        <f ca="1">'TUSD BE'!$N$6*'TUSD BF'!$N$62</f>
        <v>0</v>
      </c>
      <c r="O6" s="48">
        <f>'TUSD BE'!$O$6*'TUSD BF'!$O$62</f>
        <v>0</v>
      </c>
      <c r="P6" s="48">
        <f>'TUSD BE'!$P$6*'TUSD BF'!$P$62</f>
        <v>0</v>
      </c>
      <c r="Q6" s="48">
        <f>'TUSD BE'!$Q$6*'TUSD BF'!$Q$62</f>
        <v>0</v>
      </c>
      <c r="R6" s="48">
        <f>'TUSD BE'!$R$6*'TUSD BF'!$R$62</f>
        <v>0</v>
      </c>
      <c r="S6" s="48">
        <f>'TUSD BE'!$R$6*'TUSD BF'!$S$62</f>
        <v>0</v>
      </c>
      <c r="T6" s="48">
        <f ca="1">SUM($L$6:$S$6)</f>
        <v>0</v>
      </c>
      <c r="U6" s="48">
        <f>'TUSD BE'!$U$6*'TUSD BF'!$U$62</f>
        <v>0</v>
      </c>
      <c r="V6" s="48">
        <f>'TUSD BE'!$V$6*'TUSD BF'!$V$62</f>
        <v>0</v>
      </c>
      <c r="W6" s="48">
        <f>'TUSD BE'!$W$6*'TUSD BF'!$W$62</f>
        <v>0</v>
      </c>
      <c r="X6" s="48">
        <f>'TUSD BE'!$X$6*'TUSD BF'!$X$62</f>
        <v>0</v>
      </c>
      <c r="Y6" s="48">
        <f>'TUSD BE'!$Y$6*'TUSD BF'!$Y$62</f>
        <v>0</v>
      </c>
      <c r="Z6" s="48">
        <f>'TUSD BE'!$Z$6*'TUSD BF'!$Z$62</f>
        <v>0</v>
      </c>
      <c r="AA6" s="48">
        <f>'TUSD BE'!$AA$6*'TUSD BF'!$AA$62</f>
        <v>0</v>
      </c>
      <c r="AB6" s="48">
        <f>SUM($U$6:$AA$6)</f>
        <v>0</v>
      </c>
      <c r="AC6" s="48">
        <f>'TUSD BE'!$AC$6*'TUSD BF'!$AC$62</f>
        <v>0</v>
      </c>
      <c r="AD6" s="48">
        <f>SUM($AC$6:$AC$6)</f>
        <v>0</v>
      </c>
      <c r="AE6" s="48">
        <f ca="1">$AO$6*$AO$59</f>
        <v>0</v>
      </c>
      <c r="AF6" s="48">
        <f ca="1">$AP$6*$AP$59</f>
        <v>0</v>
      </c>
      <c r="AG6" s="48">
        <f ca="1">SUM($AE$6:$AF$6)</f>
        <v>0</v>
      </c>
      <c r="AH6" s="48">
        <f>'TUSD BE'!$AH$6*'TUSD BF'!$AH$62</f>
        <v>0</v>
      </c>
      <c r="AI6" s="48">
        <f>'TUSD BE'!$AI$6*'TUSD BF'!$AI$62</f>
        <v>0</v>
      </c>
      <c r="AJ6" s="48">
        <f ca="1">'TUSD BE'!$AJ$6*'TUSD BF'!$AJ$62</f>
        <v>0</v>
      </c>
      <c r="AK6" s="48">
        <f ca="1">'TUSD BE'!$AK$6*'TUSD BF'!$AK$62</f>
        <v>0</v>
      </c>
      <c r="AL6" s="48">
        <f ca="1">SUM($AH$6:$AK$6)</f>
        <v>0</v>
      </c>
      <c r="AM6" s="48">
        <f ca="1">SUMIF($L$4:$AL$4,"SUBTOTAL",$L$6:$AL$6)</f>
        <v>0</v>
      </c>
      <c r="AO6" s="54">
        <f ca="1">+'TUSD BE'!$T$6+'TUSD BE'!$AB$6+'TUSD BE'!$AD$6+'TUSD BE'!$AL$6</f>
        <v>11.396323903756603</v>
      </c>
      <c r="AP6" s="54">
        <f ca="1">+'TUSD BE'!$T$6+'TUSD BE'!$AB$6+'TUSD BE'!$AD$6+'TUSD BE'!$AL$6</f>
        <v>11.396323903756603</v>
      </c>
    </row>
    <row r="7" spans="1:42" ht="11.25" customHeight="1" x14ac:dyDescent="0.25">
      <c r="A7" s="109"/>
      <c r="B7" s="109"/>
      <c r="C7" s="109"/>
      <c r="D7" s="109"/>
      <c r="E7" s="109"/>
      <c r="F7" s="109"/>
      <c r="G7" s="52" t="s">
        <v>88</v>
      </c>
      <c r="H7" s="52" t="s">
        <v>82</v>
      </c>
      <c r="I7" s="52">
        <f>'MERCADO TUSD'!$U$4</f>
        <v>16873.752000000004</v>
      </c>
      <c r="J7" s="15"/>
      <c r="L7" s="48">
        <f>'TUSD BE'!$L$7*'TUSD BF'!$L$62</f>
        <v>0</v>
      </c>
      <c r="M7" s="48">
        <f>'TUSD BE'!$M$7*'TUSD BF'!$M$62</f>
        <v>0</v>
      </c>
      <c r="N7" s="48">
        <f ca="1">'TUSD BE'!$N$7*'TUSD BF'!$N$62</f>
        <v>0</v>
      </c>
      <c r="O7" s="48">
        <f>'TUSD BE'!$O$7*'TUSD BF'!$O$62</f>
        <v>0</v>
      </c>
      <c r="P7" s="48">
        <f>'TUSD BE'!$P$7*'TUSD BF'!$P$62</f>
        <v>0</v>
      </c>
      <c r="Q7" s="48">
        <f>'TUSD BE'!$Q$7*'TUSD BF'!$Q$62</f>
        <v>0</v>
      </c>
      <c r="R7" s="48">
        <f>'TUSD BE'!$R$7*'TUSD BF'!$R$62</f>
        <v>0</v>
      </c>
      <c r="S7" s="48">
        <f>'TUSD BE'!$R$7*'TUSD BF'!$S$62</f>
        <v>0</v>
      </c>
      <c r="T7" s="48">
        <f ca="1">SUM($L$7:$S$7)</f>
        <v>0</v>
      </c>
      <c r="U7" s="48">
        <f>'TUSD BE'!$U$7*'TUSD BF'!$U$62</f>
        <v>0</v>
      </c>
      <c r="V7" s="48">
        <f>'TUSD BE'!$V$7*'TUSD BF'!$V$62</f>
        <v>0</v>
      </c>
      <c r="W7" s="48">
        <f>'TUSD BE'!$W$7*'TUSD BF'!$W$62</f>
        <v>0</v>
      </c>
      <c r="X7" s="48">
        <f>'TUSD BE'!$X$7*'TUSD BF'!$X$62</f>
        <v>0</v>
      </c>
      <c r="Y7" s="48">
        <f>'TUSD BE'!$Y$7*'TUSD BF'!$Y$62</f>
        <v>0</v>
      </c>
      <c r="Z7" s="48">
        <f>'TUSD BE'!$Z$7*'TUSD BF'!$Z$62</f>
        <v>0</v>
      </c>
      <c r="AA7" s="48">
        <f>'TUSD BE'!$AA$7*'TUSD BF'!$AA$62</f>
        <v>0</v>
      </c>
      <c r="AB7" s="48">
        <f>SUM($U$7:$AA$7)</f>
        <v>0</v>
      </c>
      <c r="AC7" s="48">
        <f>'TUSD BE'!$AC$7*'TUSD BF'!$AC$62</f>
        <v>0</v>
      </c>
      <c r="AD7" s="48">
        <f>SUM($AC$7:$AC$7)</f>
        <v>0</v>
      </c>
      <c r="AE7" s="48">
        <f ca="1">$AO$7*$AO$59</f>
        <v>0</v>
      </c>
      <c r="AF7" s="48">
        <f ca="1">$AP$7*$AP$59</f>
        <v>0</v>
      </c>
      <c r="AG7" s="48">
        <f ca="1">SUM($AE$7:$AF$7)</f>
        <v>0</v>
      </c>
      <c r="AH7" s="48">
        <f>'TUSD BE'!$AH$7*'TUSD BF'!$AH$62</f>
        <v>0</v>
      </c>
      <c r="AI7" s="48">
        <f>'TUSD BE'!$AI$7*'TUSD BF'!$AI$62</f>
        <v>0</v>
      </c>
      <c r="AJ7" s="48">
        <f ca="1">'TUSD BE'!$AJ$7*'TUSD BF'!$AJ$62</f>
        <v>0</v>
      </c>
      <c r="AK7" s="48">
        <f ca="1">'TUSD BE'!$AK$7*'TUSD BF'!$AK$62</f>
        <v>0</v>
      </c>
      <c r="AL7" s="48">
        <f ca="1">SUM($AH$7:$AK$7)</f>
        <v>0</v>
      </c>
      <c r="AM7" s="48">
        <f ca="1">SUMIF($L$4:$AL$4,"SUBTOTAL",$L$7:$AL$7)</f>
        <v>0</v>
      </c>
      <c r="AO7" s="54">
        <f ca="1">+'TUSD BE'!$T$7+'TUSD BE'!$AB$7+'TUSD BE'!$AD$7+'TUSD BE'!$AL$7</f>
        <v>70.045079961712176</v>
      </c>
      <c r="AP7" s="54">
        <f ca="1">+'TUSD BE'!$T$7+'TUSD BE'!$AB$7+'TUSD BE'!$AD$7+'TUSD BE'!$AL$7</f>
        <v>70.045079961712176</v>
      </c>
    </row>
    <row r="8" spans="1:42" ht="11.25" customHeight="1" x14ac:dyDescent="0.25">
      <c r="A8" s="109"/>
      <c r="B8" s="109"/>
      <c r="C8" s="109"/>
      <c r="D8" s="109"/>
      <c r="E8" s="51" t="s">
        <v>89</v>
      </c>
      <c r="F8" s="51" t="s">
        <v>25</v>
      </c>
      <c r="G8" s="52" t="s">
        <v>88</v>
      </c>
      <c r="H8" s="52" t="s">
        <v>82</v>
      </c>
      <c r="I8" s="52">
        <f>'MERCADO TUSD'!$U$5</f>
        <v>0</v>
      </c>
      <c r="J8" s="15"/>
      <c r="L8" s="48">
        <f>'TUSD BE'!$L$8*'TUSD BF'!$L$62</f>
        <v>0</v>
      </c>
      <c r="M8" s="48">
        <f>'TUSD BE'!$M$8*'TUSD BF'!$M$62</f>
        <v>0</v>
      </c>
      <c r="N8" s="48">
        <f ca="1">'TUSD BE'!$N$8*'TUSD BF'!$N$62</f>
        <v>0</v>
      </c>
      <c r="O8" s="48">
        <f>'TUSD BE'!$O$8*'TUSD BF'!$O$62</f>
        <v>0</v>
      </c>
      <c r="P8" s="48">
        <f>'TUSD BE'!$P$8*'TUSD BF'!$P$62</f>
        <v>0</v>
      </c>
      <c r="Q8" s="48">
        <f>'TUSD BE'!$Q$8*'TUSD BF'!$Q$62</f>
        <v>0</v>
      </c>
      <c r="R8" s="48">
        <f>'TUSD BE'!$R$8*'TUSD BF'!$R$62</f>
        <v>0</v>
      </c>
      <c r="S8" s="48">
        <f>'TUSD BE'!$R$8*'TUSD BF'!$S$62</f>
        <v>0</v>
      </c>
      <c r="T8" s="48">
        <f ca="1">SUM($L$8:$S$8)</f>
        <v>0</v>
      </c>
      <c r="U8" s="48">
        <f>'TUSD BE'!$U$8*'TUSD BF'!$U$62</f>
        <v>0</v>
      </c>
      <c r="V8" s="48">
        <f>'TUSD BE'!$V$8*'TUSD BF'!$V$62</f>
        <v>0</v>
      </c>
      <c r="W8" s="48">
        <f>'TUSD BE'!$W$8*'TUSD BF'!$W$62</f>
        <v>0</v>
      </c>
      <c r="X8" s="48">
        <f>'TUSD BE'!$X$8*'TUSD BF'!$X$62</f>
        <v>0</v>
      </c>
      <c r="Y8" s="48">
        <f>'TUSD BE'!$Y$8*'TUSD BF'!$Y$62</f>
        <v>0</v>
      </c>
      <c r="Z8" s="48">
        <f>'TUSD BE'!$Z$8*'TUSD BF'!$Z$62</f>
        <v>0</v>
      </c>
      <c r="AA8" s="48">
        <f>'TUSD BE'!$AA$8*'TUSD BF'!$AA$62</f>
        <v>0</v>
      </c>
      <c r="AB8" s="48">
        <f>SUM($U$8:$AA$8)</f>
        <v>0</v>
      </c>
      <c r="AC8" s="48">
        <f>'TUSD BE'!$AC$8*'TUSD BF'!$AC$62</f>
        <v>0</v>
      </c>
      <c r="AD8" s="48">
        <f>SUM($AC$8:$AC$8)</f>
        <v>0</v>
      </c>
      <c r="AE8" s="48">
        <f ca="1">$AO$8*$AO$59</f>
        <v>0</v>
      </c>
      <c r="AF8" s="48">
        <f ca="1">$AP$8*$AP$59</f>
        <v>0</v>
      </c>
      <c r="AG8" s="48">
        <f ca="1">SUM($AE$8:$AF$8)</f>
        <v>0</v>
      </c>
      <c r="AH8" s="48">
        <f>'TUSD BE'!$AH$8*'TUSD BF'!$AH$62</f>
        <v>0</v>
      </c>
      <c r="AI8" s="48">
        <f>'TUSD BE'!$AI$8*'TUSD BF'!$AI$62</f>
        <v>0</v>
      </c>
      <c r="AJ8" s="48">
        <f ca="1">'TUSD BE'!$AJ$8*'TUSD BF'!$AJ$62</f>
        <v>0</v>
      </c>
      <c r="AK8" s="48">
        <f ca="1">'TUSD BE'!$AK$8*'TUSD BF'!$AK$62</f>
        <v>0</v>
      </c>
      <c r="AL8" s="48">
        <f ca="1">SUM($AH$8:$AK$8)</f>
        <v>0</v>
      </c>
      <c r="AM8" s="48">
        <f ca="1">SUMIF($L$4:$AL$4,"SUBTOTAL",$L$8:$AL$8)</f>
        <v>0</v>
      </c>
      <c r="AO8" s="54">
        <f ca="1">+'TUSD BE'!$T$8+'TUSD BE'!$AB$8+'TUSD BE'!$AD$8+'TUSD BE'!$AL$8</f>
        <v>7.7175933480525746E-2</v>
      </c>
      <c r="AP8" s="54">
        <f ca="1">+'TUSD BE'!$T$8+'TUSD BE'!$AB$8+'TUSD BE'!$AD$8+'TUSD BE'!$AL$8</f>
        <v>7.7175933480525746E-2</v>
      </c>
    </row>
    <row r="9" spans="1:42" ht="11.25" customHeight="1" x14ac:dyDescent="0.25">
      <c r="A9" s="109" t="s">
        <v>35</v>
      </c>
      <c r="B9" s="109" t="s">
        <v>36</v>
      </c>
      <c r="C9" s="109" t="s">
        <v>25</v>
      </c>
      <c r="D9" s="109" t="s">
        <v>25</v>
      </c>
      <c r="E9" s="109" t="s">
        <v>25</v>
      </c>
      <c r="F9" s="109" t="s">
        <v>25</v>
      </c>
      <c r="G9" s="52" t="s">
        <v>86</v>
      </c>
      <c r="H9" s="52" t="s">
        <v>85</v>
      </c>
      <c r="I9" s="52">
        <f>'MERCADO TUSD'!$U$6</f>
        <v>151587</v>
      </c>
      <c r="J9" s="15"/>
      <c r="L9" s="48">
        <f>'TUSD BE'!$L$9*'TUSD BF'!$L$62</f>
        <v>0</v>
      </c>
      <c r="M9" s="48">
        <f>'TUSD BE'!$M$9*'TUSD BF'!$M$62</f>
        <v>0</v>
      </c>
      <c r="N9" s="48">
        <f ca="1">'TUSD BE'!$N$9*'TUSD BF'!$N$62</f>
        <v>0</v>
      </c>
      <c r="O9" s="48">
        <f>'TUSD BE'!$O$9*'TUSD BF'!$O$62</f>
        <v>0</v>
      </c>
      <c r="P9" s="48">
        <f>'TUSD BE'!$P$9*'TUSD BF'!$P$62</f>
        <v>0</v>
      </c>
      <c r="Q9" s="48">
        <f>'TUSD BE'!$Q$9*'TUSD BF'!$Q$62</f>
        <v>0</v>
      </c>
      <c r="R9" s="48">
        <f>'TUSD BE'!$R$9*'TUSD BF'!$R$62</f>
        <v>0</v>
      </c>
      <c r="S9" s="48">
        <f>'TUSD BE'!$R$9*'TUSD BF'!$S$62</f>
        <v>0</v>
      </c>
      <c r="T9" s="48">
        <f ca="1">SUM($L$9:$S$9)</f>
        <v>0</v>
      </c>
      <c r="U9" s="48">
        <f>'TUSD BE'!$U$9*'TUSD BF'!$U$62</f>
        <v>0</v>
      </c>
      <c r="V9" s="48">
        <f>'TUSD BE'!$V$9*'TUSD BF'!$V$62</f>
        <v>0</v>
      </c>
      <c r="W9" s="48">
        <f>'TUSD BE'!$W$9*'TUSD BF'!$W$62</f>
        <v>0</v>
      </c>
      <c r="X9" s="48">
        <f>'TUSD BE'!$X$9*'TUSD BF'!$X$62</f>
        <v>0</v>
      </c>
      <c r="Y9" s="48">
        <f>'TUSD BE'!$Y$9*'TUSD BF'!$Y$62</f>
        <v>0</v>
      </c>
      <c r="Z9" s="48">
        <f>'TUSD BE'!$Z$9*'TUSD BF'!$Z$62</f>
        <v>0</v>
      </c>
      <c r="AA9" s="48">
        <f>'TUSD BE'!$AA$9*'TUSD BF'!$AA$62</f>
        <v>0</v>
      </c>
      <c r="AB9" s="48">
        <f>SUM($U$9:$AA$9)</f>
        <v>0</v>
      </c>
      <c r="AC9" s="48">
        <f>'TUSD BE'!$AC$9*'TUSD BF'!$AC$62</f>
        <v>0</v>
      </c>
      <c r="AD9" s="48">
        <f>SUM($AC$9:$AC$9)</f>
        <v>0</v>
      </c>
      <c r="AE9" s="48">
        <f ca="1">$AO$9*$AO$59</f>
        <v>0</v>
      </c>
      <c r="AF9" s="48">
        <f ca="1">$AP$9*$AP$59</f>
        <v>0</v>
      </c>
      <c r="AG9" s="48">
        <f ca="1">SUM($AE$9:$AF$9)</f>
        <v>0</v>
      </c>
      <c r="AH9" s="48">
        <f>'TUSD BE'!$AH$9*'TUSD BF'!$AH$62</f>
        <v>0</v>
      </c>
      <c r="AI9" s="48">
        <f>'TUSD BE'!$AI$9*'TUSD BF'!$AI$62</f>
        <v>0</v>
      </c>
      <c r="AJ9" s="48">
        <f ca="1">'TUSD BE'!$AJ$9*'TUSD BF'!$AJ$62</f>
        <v>0</v>
      </c>
      <c r="AK9" s="48">
        <f ca="1">'TUSD BE'!$AK$9*'TUSD BF'!$AK$62</f>
        <v>0</v>
      </c>
      <c r="AL9" s="48">
        <f ca="1">SUM($AH$9:$AK$9)</f>
        <v>0</v>
      </c>
      <c r="AM9" s="48">
        <f ca="1">SUMIF($L$4:$AL$4,"SUBTOTAL",$L$9:$AL$9)</f>
        <v>0</v>
      </c>
      <c r="AO9" s="54">
        <f ca="1">+'TUSD BE'!$T$9+'TUSD BE'!$AB$9+'TUSD BE'!$AD$9+'TUSD BE'!$AL$9</f>
        <v>89.17783828926737</v>
      </c>
      <c r="AP9" s="54">
        <f ca="1">+'TUSD BE'!$T$9+'TUSD BE'!$AB$9+'TUSD BE'!$AD$9+'TUSD BE'!$AL$9</f>
        <v>89.17783828926737</v>
      </c>
    </row>
    <row r="10" spans="1:42" ht="11.25" customHeight="1" x14ac:dyDescent="0.25">
      <c r="A10" s="109"/>
      <c r="B10" s="109"/>
      <c r="C10" s="109"/>
      <c r="D10" s="109"/>
      <c r="E10" s="109"/>
      <c r="F10" s="109"/>
      <c r="G10" s="52" t="s">
        <v>87</v>
      </c>
      <c r="H10" s="52" t="s">
        <v>85</v>
      </c>
      <c r="I10" s="52">
        <f>'MERCADO TUSD'!$U$7</f>
        <v>195670</v>
      </c>
      <c r="J10" s="15"/>
      <c r="L10" s="48">
        <f>'TUSD BE'!$L$10*'TUSD BF'!$L$62</f>
        <v>0</v>
      </c>
      <c r="M10" s="48">
        <f>'TUSD BE'!$M$10*'TUSD BF'!$M$62</f>
        <v>0</v>
      </c>
      <c r="N10" s="48">
        <f ca="1">'TUSD BE'!$N$10*'TUSD BF'!$N$62</f>
        <v>0</v>
      </c>
      <c r="O10" s="48">
        <f>'TUSD BE'!$O$10*'TUSD BF'!$O$62</f>
        <v>0</v>
      </c>
      <c r="P10" s="48">
        <f>'TUSD BE'!$P$10*'TUSD BF'!$P$62</f>
        <v>0</v>
      </c>
      <c r="Q10" s="48">
        <f>'TUSD BE'!$Q$10*'TUSD BF'!$Q$62</f>
        <v>0</v>
      </c>
      <c r="R10" s="48">
        <f>'TUSD BE'!$R$10*'TUSD BF'!$R$62</f>
        <v>0</v>
      </c>
      <c r="S10" s="48">
        <f>'TUSD BE'!$R$10*'TUSD BF'!$S$62</f>
        <v>0</v>
      </c>
      <c r="T10" s="48">
        <f ca="1">SUM($L$10:$S$10)</f>
        <v>0</v>
      </c>
      <c r="U10" s="48">
        <f>'TUSD BE'!$U$10*'TUSD BF'!$U$62</f>
        <v>0</v>
      </c>
      <c r="V10" s="48">
        <f>'TUSD BE'!$V$10*'TUSD BF'!$V$62</f>
        <v>0</v>
      </c>
      <c r="W10" s="48">
        <f>'TUSD BE'!$W$10*'TUSD BF'!$W$62</f>
        <v>0</v>
      </c>
      <c r="X10" s="48">
        <f>'TUSD BE'!$X$10*'TUSD BF'!$X$62</f>
        <v>0</v>
      </c>
      <c r="Y10" s="48">
        <f>'TUSD BE'!$Y$10*'TUSD BF'!$Y$62</f>
        <v>0</v>
      </c>
      <c r="Z10" s="48">
        <f>'TUSD BE'!$Z$10*'TUSD BF'!$Z$62</f>
        <v>0</v>
      </c>
      <c r="AA10" s="48">
        <f>'TUSD BE'!$AA$10*'TUSD BF'!$AA$62</f>
        <v>0</v>
      </c>
      <c r="AB10" s="48">
        <f>SUM($U$10:$AA$10)</f>
        <v>0</v>
      </c>
      <c r="AC10" s="48">
        <f>'TUSD BE'!$AC$10*'TUSD BF'!$AC$62</f>
        <v>0</v>
      </c>
      <c r="AD10" s="48">
        <f>SUM($AC$10:$AC$10)</f>
        <v>0</v>
      </c>
      <c r="AE10" s="48">
        <f ca="1">$AO$10*$AO$59</f>
        <v>0</v>
      </c>
      <c r="AF10" s="48">
        <f ca="1">$AP$10*$AP$59</f>
        <v>0</v>
      </c>
      <c r="AG10" s="48">
        <f ca="1">SUM($AE$10:$AF$10)</f>
        <v>0</v>
      </c>
      <c r="AH10" s="48">
        <f>'TUSD BE'!$AH$10*'TUSD BF'!$AH$62</f>
        <v>0</v>
      </c>
      <c r="AI10" s="48">
        <f>'TUSD BE'!$AI$10*'TUSD BF'!$AI$62</f>
        <v>0</v>
      </c>
      <c r="AJ10" s="48">
        <f ca="1">'TUSD BE'!$AJ$10*'TUSD BF'!$AJ$62</f>
        <v>0</v>
      </c>
      <c r="AK10" s="48">
        <f ca="1">'TUSD BE'!$AK$10*'TUSD BF'!$AK$62</f>
        <v>0</v>
      </c>
      <c r="AL10" s="48">
        <f ca="1">SUM($AH$10:$AK$10)</f>
        <v>0</v>
      </c>
      <c r="AM10" s="48">
        <f ca="1">SUMIF($L$4:$AL$4,"SUBTOTAL",$L$10:$AL$10)</f>
        <v>0</v>
      </c>
      <c r="AO10" s="54">
        <f ca="1">+'TUSD BE'!$T$10+'TUSD BE'!$AB$10+'TUSD BE'!$AD$10+'TUSD BE'!$AL$10</f>
        <v>53.48622446020007</v>
      </c>
      <c r="AP10" s="54">
        <f ca="1">+'TUSD BE'!$T$10+'TUSD BE'!$AB$10+'TUSD BE'!$AD$10+'TUSD BE'!$AL$10</f>
        <v>53.48622446020007</v>
      </c>
    </row>
    <row r="11" spans="1:42" ht="11.25" customHeight="1" x14ac:dyDescent="0.25">
      <c r="A11" s="109"/>
      <c r="B11" s="109"/>
      <c r="C11" s="109"/>
      <c r="D11" s="109"/>
      <c r="E11" s="109"/>
      <c r="F11" s="109"/>
      <c r="G11" s="52" t="s">
        <v>88</v>
      </c>
      <c r="H11" s="52" t="s">
        <v>82</v>
      </c>
      <c r="I11" s="52">
        <f>'MERCADO TUSD'!$U$8</f>
        <v>82375.52900000001</v>
      </c>
      <c r="J11" s="15"/>
      <c r="L11" s="48">
        <f>'TUSD BE'!$L$11*'TUSD BF'!$L$62</f>
        <v>0</v>
      </c>
      <c r="M11" s="48">
        <f>'TUSD BE'!$M$11*'TUSD BF'!$M$62</f>
        <v>0</v>
      </c>
      <c r="N11" s="48">
        <f ca="1">'TUSD BE'!$N$11*'TUSD BF'!$N$62</f>
        <v>0</v>
      </c>
      <c r="O11" s="48">
        <f>'TUSD BE'!$O$11*'TUSD BF'!$O$62</f>
        <v>0</v>
      </c>
      <c r="P11" s="48">
        <f>'TUSD BE'!$P$11*'TUSD BF'!$P$62</f>
        <v>0</v>
      </c>
      <c r="Q11" s="48">
        <f>'TUSD BE'!$Q$11*'TUSD BF'!$Q$62</f>
        <v>0</v>
      </c>
      <c r="R11" s="48">
        <f>'TUSD BE'!$R$11*'TUSD BF'!$R$62</f>
        <v>0</v>
      </c>
      <c r="S11" s="48">
        <f>'TUSD BE'!$R$11*'TUSD BF'!$S$62</f>
        <v>0</v>
      </c>
      <c r="T11" s="48">
        <f ca="1">SUM($L$11:$S$11)</f>
        <v>0</v>
      </c>
      <c r="U11" s="48">
        <f>'TUSD BE'!$U$11*'TUSD BF'!$U$62</f>
        <v>0</v>
      </c>
      <c r="V11" s="48">
        <f>'TUSD BE'!$V$11*'TUSD BF'!$V$62</f>
        <v>0</v>
      </c>
      <c r="W11" s="48">
        <f>'TUSD BE'!$W$11*'TUSD BF'!$W$62</f>
        <v>0</v>
      </c>
      <c r="X11" s="48">
        <f>'TUSD BE'!$X$11*'TUSD BF'!$X$62</f>
        <v>0</v>
      </c>
      <c r="Y11" s="48">
        <f>'TUSD BE'!$Y$11*'TUSD BF'!$Y$62</f>
        <v>0</v>
      </c>
      <c r="Z11" s="48">
        <f>'TUSD BE'!$Z$11*'TUSD BF'!$Z$62</f>
        <v>0</v>
      </c>
      <c r="AA11" s="48">
        <f>'TUSD BE'!$AA$11*'TUSD BF'!$AA$62</f>
        <v>0</v>
      </c>
      <c r="AB11" s="48">
        <f>SUM($U$11:$AA$11)</f>
        <v>0</v>
      </c>
      <c r="AC11" s="48">
        <f>'TUSD BE'!$AC$11*'TUSD BF'!$AC$62</f>
        <v>0</v>
      </c>
      <c r="AD11" s="48">
        <f>SUM($AC$11:$AC$11)</f>
        <v>0</v>
      </c>
      <c r="AE11" s="48">
        <f ca="1">$AO$11*$AO$59</f>
        <v>0</v>
      </c>
      <c r="AF11" s="48">
        <f ca="1">$AP$11*$AP$59</f>
        <v>0</v>
      </c>
      <c r="AG11" s="48">
        <f ca="1">SUM($AE$11:$AF$11)</f>
        <v>0</v>
      </c>
      <c r="AH11" s="48">
        <f>'TUSD BE'!$AH$11*'TUSD BF'!$AH$62</f>
        <v>0</v>
      </c>
      <c r="AI11" s="48">
        <f>'TUSD BE'!$AI$11*'TUSD BF'!$AI$62</f>
        <v>0</v>
      </c>
      <c r="AJ11" s="48">
        <f ca="1">'TUSD BE'!$AJ$11*'TUSD BF'!$AJ$62</f>
        <v>0</v>
      </c>
      <c r="AK11" s="48">
        <f ca="1">'TUSD BE'!$AK$11*'TUSD BF'!$AK$62</f>
        <v>0</v>
      </c>
      <c r="AL11" s="48">
        <f ca="1">SUM($AH$11:$AK$11)</f>
        <v>0</v>
      </c>
      <c r="AM11" s="48">
        <f ca="1">SUMIF($L$4:$AL$4,"SUBTOTAL",$L$11:$AL$11)</f>
        <v>0</v>
      </c>
      <c r="AO11" s="54">
        <f ca="1">+'TUSD BE'!$T$11+'TUSD BE'!$AB$11+'TUSD BE'!$AD$11+'TUSD BE'!$AL$11</f>
        <v>98.914187541685436</v>
      </c>
      <c r="AP11" s="54">
        <f ca="1">+'TUSD BE'!$T$11+'TUSD BE'!$AB$11+'TUSD BE'!$AD$11+'TUSD BE'!$AL$11</f>
        <v>98.914187541685436</v>
      </c>
    </row>
    <row r="12" spans="1:42" ht="11.25" customHeight="1" x14ac:dyDescent="0.25">
      <c r="A12" s="109"/>
      <c r="B12" s="109"/>
      <c r="C12" s="109"/>
      <c r="D12" s="109"/>
      <c r="E12" s="51" t="s">
        <v>89</v>
      </c>
      <c r="F12" s="51" t="s">
        <v>25</v>
      </c>
      <c r="G12" s="52" t="s">
        <v>88</v>
      </c>
      <c r="H12" s="52" t="s">
        <v>82</v>
      </c>
      <c r="I12" s="52">
        <f>'MERCADO TUSD'!$U$9</f>
        <v>0</v>
      </c>
      <c r="J12" s="15"/>
      <c r="L12" s="48">
        <f>'TUSD BE'!$L$12*'TUSD BF'!$L$62</f>
        <v>0</v>
      </c>
      <c r="M12" s="48">
        <f>'TUSD BE'!$M$12*'TUSD BF'!$M$62</f>
        <v>0</v>
      </c>
      <c r="N12" s="48">
        <f ca="1">'TUSD BE'!$N$12*'TUSD BF'!$N$62</f>
        <v>0</v>
      </c>
      <c r="O12" s="48">
        <f>'TUSD BE'!$O$12*'TUSD BF'!$O$62</f>
        <v>0</v>
      </c>
      <c r="P12" s="48">
        <f>'TUSD BE'!$P$12*'TUSD BF'!$P$62</f>
        <v>0</v>
      </c>
      <c r="Q12" s="48">
        <f>'TUSD BE'!$Q$12*'TUSD BF'!$Q$62</f>
        <v>0</v>
      </c>
      <c r="R12" s="48">
        <f>'TUSD BE'!$R$12*'TUSD BF'!$R$62</f>
        <v>0</v>
      </c>
      <c r="S12" s="48">
        <f>'TUSD BE'!$R$12*'TUSD BF'!$S$62</f>
        <v>0</v>
      </c>
      <c r="T12" s="48">
        <f ca="1">SUM($L$12:$S$12)</f>
        <v>0</v>
      </c>
      <c r="U12" s="48">
        <f>'TUSD BE'!$U$12*'TUSD BF'!$U$62</f>
        <v>0</v>
      </c>
      <c r="V12" s="48">
        <f>'TUSD BE'!$V$12*'TUSD BF'!$V$62</f>
        <v>0</v>
      </c>
      <c r="W12" s="48">
        <f>'TUSD BE'!$W$12*'TUSD BF'!$W$62</f>
        <v>0</v>
      </c>
      <c r="X12" s="48">
        <f>'TUSD BE'!$X$12*'TUSD BF'!$X$62</f>
        <v>0</v>
      </c>
      <c r="Y12" s="48">
        <f>'TUSD BE'!$Y$12*'TUSD BF'!$Y$62</f>
        <v>0</v>
      </c>
      <c r="Z12" s="48">
        <f>'TUSD BE'!$Z$12*'TUSD BF'!$Z$62</f>
        <v>0</v>
      </c>
      <c r="AA12" s="48">
        <f>'TUSD BE'!$AA$12*'TUSD BF'!$AA$62</f>
        <v>0</v>
      </c>
      <c r="AB12" s="48">
        <f>SUM($U$12:$AA$12)</f>
        <v>0</v>
      </c>
      <c r="AC12" s="48">
        <f>'TUSD BE'!$AC$12*'TUSD BF'!$AC$62</f>
        <v>0</v>
      </c>
      <c r="AD12" s="48">
        <f>SUM($AC$12:$AC$12)</f>
        <v>0</v>
      </c>
      <c r="AE12" s="48">
        <f ca="1">$AO$12*$AO$59</f>
        <v>0</v>
      </c>
      <c r="AF12" s="48">
        <f ca="1">$AP$12*$AP$59</f>
        <v>0</v>
      </c>
      <c r="AG12" s="48">
        <f ca="1">SUM($AE$12:$AF$12)</f>
        <v>0</v>
      </c>
      <c r="AH12" s="48">
        <f>'TUSD BE'!$AH$12*'TUSD BF'!$AH$62</f>
        <v>0</v>
      </c>
      <c r="AI12" s="48">
        <f>'TUSD BE'!$AI$12*'TUSD BF'!$AI$62</f>
        <v>0</v>
      </c>
      <c r="AJ12" s="48">
        <f ca="1">'TUSD BE'!$AJ$12*'TUSD BF'!$AJ$62</f>
        <v>0</v>
      </c>
      <c r="AK12" s="48">
        <f ca="1">'TUSD BE'!$AK$12*'TUSD BF'!$AK$62</f>
        <v>0</v>
      </c>
      <c r="AL12" s="48">
        <f ca="1">SUM($AH$12:$AK$12)</f>
        <v>0</v>
      </c>
      <c r="AM12" s="48">
        <f ca="1">SUMIF($L$4:$AL$4,"SUBTOTAL",$L$12:$AL$12)</f>
        <v>0</v>
      </c>
      <c r="AO12" s="54">
        <f ca="1">+'TUSD BE'!$T$12+'TUSD BE'!$AB$12+'TUSD BE'!$AD$12+'TUSD BE'!$AL$12</f>
        <v>9.1621355456069118</v>
      </c>
      <c r="AP12" s="54">
        <f ca="1">+'TUSD BE'!$T$12+'TUSD BE'!$AB$12+'TUSD BE'!$AD$12+'TUSD BE'!$AL$12</f>
        <v>9.1621355456069118</v>
      </c>
    </row>
    <row r="13" spans="1:42" ht="11.25" customHeight="1" x14ac:dyDescent="0.25">
      <c r="A13" s="109"/>
      <c r="B13" s="51" t="s">
        <v>56</v>
      </c>
      <c r="C13" s="51" t="s">
        <v>25</v>
      </c>
      <c r="D13" s="51" t="s">
        <v>25</v>
      </c>
      <c r="E13" s="51" t="s">
        <v>25</v>
      </c>
      <c r="F13" s="51" t="s">
        <v>25</v>
      </c>
      <c r="G13" s="52" t="s">
        <v>9</v>
      </c>
      <c r="H13" s="52" t="s">
        <v>85</v>
      </c>
      <c r="I13" s="52">
        <f>'MERCADO TUSD'!$U$10</f>
        <v>130615</v>
      </c>
      <c r="J13" s="15"/>
      <c r="L13" s="48">
        <f>'TUSD BE'!$L$13*'TUSD BF'!$L$62</f>
        <v>0</v>
      </c>
      <c r="M13" s="48">
        <f>'TUSD BE'!$M$13*'TUSD BF'!$M$62</f>
        <v>0</v>
      </c>
      <c r="N13" s="48">
        <f ca="1">'TUSD BE'!$N$13*'TUSD BF'!$N$62</f>
        <v>0</v>
      </c>
      <c r="O13" s="48">
        <f>'TUSD BE'!$O$13*'TUSD BF'!$O$62</f>
        <v>0</v>
      </c>
      <c r="P13" s="48">
        <f>'TUSD BE'!$P$13*'TUSD BF'!$P$62</f>
        <v>0</v>
      </c>
      <c r="Q13" s="48">
        <f>'TUSD BE'!$Q$13*'TUSD BF'!$Q$62</f>
        <v>0</v>
      </c>
      <c r="R13" s="48">
        <f>'TUSD BE'!$R$13*'TUSD BF'!$R$62</f>
        <v>0</v>
      </c>
      <c r="S13" s="48">
        <f>'TUSD BE'!$R$13*'TUSD BF'!$S$62</f>
        <v>0</v>
      </c>
      <c r="T13" s="48">
        <f ca="1">SUM($L$13:$S$13)</f>
        <v>0</v>
      </c>
      <c r="U13" s="48">
        <f>'TUSD BE'!$U$13*'TUSD BF'!$U$62</f>
        <v>0</v>
      </c>
      <c r="V13" s="48">
        <f>'TUSD BE'!$V$13*'TUSD BF'!$V$62</f>
        <v>0</v>
      </c>
      <c r="W13" s="48">
        <f>'TUSD BE'!$W$13*'TUSD BF'!$W$62</f>
        <v>0</v>
      </c>
      <c r="X13" s="48">
        <f>'TUSD BE'!$X$13*'TUSD BF'!$X$62</f>
        <v>0</v>
      </c>
      <c r="Y13" s="48">
        <f>'TUSD BE'!$Y$13*'TUSD BF'!$Y$62</f>
        <v>0</v>
      </c>
      <c r="Z13" s="48">
        <f>'TUSD BE'!$Z$13*'TUSD BF'!$Z$62</f>
        <v>0</v>
      </c>
      <c r="AA13" s="48">
        <f>'TUSD BE'!$AA$13*'TUSD BF'!$AA$62</f>
        <v>0</v>
      </c>
      <c r="AB13" s="48">
        <f>SUM($U$13:$AA$13)</f>
        <v>0</v>
      </c>
      <c r="AC13" s="48">
        <f>'TUSD BE'!$AC$13*'TUSD BF'!$AC$62</f>
        <v>0</v>
      </c>
      <c r="AD13" s="48">
        <f>SUM($AC$13:$AC$13)</f>
        <v>0</v>
      </c>
      <c r="AE13" s="48">
        <f ca="1">$AO$13*$AO$59</f>
        <v>0</v>
      </c>
      <c r="AF13" s="48">
        <f ca="1">$AP$13*$AP$59</f>
        <v>0</v>
      </c>
      <c r="AG13" s="48">
        <f ca="1">SUM($AE$13:$AF$13)</f>
        <v>0</v>
      </c>
      <c r="AH13" s="48">
        <f>'TUSD BE'!$AH$13*'TUSD BF'!$AH$62</f>
        <v>0</v>
      </c>
      <c r="AI13" s="48">
        <f>'TUSD BE'!$AI$13*'TUSD BF'!$AI$62</f>
        <v>0</v>
      </c>
      <c r="AJ13" s="48">
        <f ca="1">'TUSD BE'!$AJ$13*'TUSD BF'!$AJ$62</f>
        <v>0</v>
      </c>
      <c r="AK13" s="48">
        <f ca="1">'TUSD BE'!$AK$13*'TUSD BF'!$AK$62</f>
        <v>0</v>
      </c>
      <c r="AL13" s="48">
        <f ca="1">SUM($AH$13:$AK$13)</f>
        <v>0</v>
      </c>
      <c r="AM13" s="48">
        <f ca="1">SUMIF($L$4:$AL$4,"SUBTOTAL",$L$13:$AL$13)</f>
        <v>0</v>
      </c>
      <c r="AO13" s="54">
        <f ca="1">+'TUSD BE'!$T$13+'TUSD BE'!$AB$13+'TUSD BE'!$AD$13+'TUSD BE'!$AL$13</f>
        <v>40.245551430403651</v>
      </c>
      <c r="AP13" s="54">
        <f ca="1">+'TUSD BE'!$T$13+'TUSD BE'!$AB$13+'TUSD BE'!$AD$13+'TUSD BE'!$AL$13</f>
        <v>40.245551430403651</v>
      </c>
    </row>
    <row r="14" spans="1:42" ht="11.25" customHeight="1" x14ac:dyDescent="0.25">
      <c r="A14" s="109"/>
      <c r="B14" s="109" t="s">
        <v>39</v>
      </c>
      <c r="C14" s="109" t="s">
        <v>25</v>
      </c>
      <c r="D14" s="109" t="s">
        <v>25</v>
      </c>
      <c r="E14" s="109" t="s">
        <v>25</v>
      </c>
      <c r="F14" s="109" t="s">
        <v>25</v>
      </c>
      <c r="G14" s="52" t="s">
        <v>9</v>
      </c>
      <c r="H14" s="52" t="s">
        <v>85</v>
      </c>
      <c r="I14" s="52">
        <f>'MERCADO TUSD'!$U$11</f>
        <v>986883</v>
      </c>
      <c r="J14" s="15"/>
      <c r="L14" s="48">
        <f>'TUSD BE'!$L$14*'TUSD BF'!$L$62</f>
        <v>0</v>
      </c>
      <c r="M14" s="48">
        <f>'TUSD BE'!$M$14*'TUSD BF'!$M$62</f>
        <v>0</v>
      </c>
      <c r="N14" s="48">
        <f ca="1">'TUSD BE'!$N$14*'TUSD BF'!$N$62</f>
        <v>0</v>
      </c>
      <c r="O14" s="48">
        <f>'TUSD BE'!$O$14*'TUSD BF'!$O$62</f>
        <v>0</v>
      </c>
      <c r="P14" s="48">
        <f>'TUSD BE'!$P$14*'TUSD BF'!$P$62</f>
        <v>0</v>
      </c>
      <c r="Q14" s="48">
        <f>'TUSD BE'!$Q$14*'TUSD BF'!$Q$62</f>
        <v>0</v>
      </c>
      <c r="R14" s="48">
        <f>'TUSD BE'!$R$14*'TUSD BF'!$R$62</f>
        <v>0</v>
      </c>
      <c r="S14" s="48">
        <f>'TUSD BE'!$R$14*'TUSD BF'!$S$62</f>
        <v>0</v>
      </c>
      <c r="T14" s="48">
        <f ca="1">SUM($L$14:$S$14)</f>
        <v>0</v>
      </c>
      <c r="U14" s="48">
        <f>'TUSD BE'!$U$14*'TUSD BF'!$U$62</f>
        <v>0</v>
      </c>
      <c r="V14" s="48">
        <f>'TUSD BE'!$V$14*'TUSD BF'!$V$62</f>
        <v>0</v>
      </c>
      <c r="W14" s="48">
        <f>'TUSD BE'!$W$14*'TUSD BF'!$W$62</f>
        <v>0</v>
      </c>
      <c r="X14" s="48">
        <f>'TUSD BE'!$X$14*'TUSD BF'!$X$62</f>
        <v>0</v>
      </c>
      <c r="Y14" s="48">
        <f>'TUSD BE'!$Y$14*'TUSD BF'!$Y$62</f>
        <v>0</v>
      </c>
      <c r="Z14" s="48">
        <f>'TUSD BE'!$Z$14*'TUSD BF'!$Z$62</f>
        <v>0</v>
      </c>
      <c r="AA14" s="48">
        <f>'TUSD BE'!$AA$14*'TUSD BF'!$AA$62</f>
        <v>0</v>
      </c>
      <c r="AB14" s="48">
        <f>SUM($U$14:$AA$14)</f>
        <v>0</v>
      </c>
      <c r="AC14" s="48">
        <f>'TUSD BE'!$AC$14*'TUSD BF'!$AC$62</f>
        <v>0</v>
      </c>
      <c r="AD14" s="48">
        <f>SUM($AC$14:$AC$14)</f>
        <v>0</v>
      </c>
      <c r="AE14" s="48">
        <f ca="1">$AO$14*$AO$59</f>
        <v>0</v>
      </c>
      <c r="AF14" s="48">
        <f ca="1">$AP$14*$AP$59</f>
        <v>0</v>
      </c>
      <c r="AG14" s="48">
        <f ca="1">SUM($AE$14:$AF$14)</f>
        <v>0</v>
      </c>
      <c r="AH14" s="48">
        <f>'TUSD BE'!$AH$14*'TUSD BF'!$AH$62</f>
        <v>0</v>
      </c>
      <c r="AI14" s="48">
        <f>'TUSD BE'!$AI$14*'TUSD BF'!$AI$62</f>
        <v>0</v>
      </c>
      <c r="AJ14" s="48">
        <f ca="1">'TUSD BE'!$AJ$14*'TUSD BF'!$AJ$62</f>
        <v>0</v>
      </c>
      <c r="AK14" s="48">
        <f ca="1">'TUSD BE'!$AK$14*'TUSD BF'!$AK$62</f>
        <v>0</v>
      </c>
      <c r="AL14" s="48">
        <f ca="1">SUM($AH$14:$AK$14)</f>
        <v>0</v>
      </c>
      <c r="AM14" s="48">
        <f ca="1">SUMIF($L$4:$AL$4,"SUBTOTAL",$L$14:$AL$14)</f>
        <v>0</v>
      </c>
      <c r="AO14" s="54">
        <f ca="1">+'TUSD BE'!$T$14+'TUSD BE'!$AB$14+'TUSD BE'!$AD$14+'TUSD BE'!$AL$14</f>
        <v>53.48622446020007</v>
      </c>
      <c r="AP14" s="54">
        <f ca="1">+'TUSD BE'!$T$14+'TUSD BE'!$AB$14+'TUSD BE'!$AD$14+'TUSD BE'!$AL$14</f>
        <v>53.48622446020007</v>
      </c>
    </row>
    <row r="15" spans="1:42" ht="11.25" customHeight="1" x14ac:dyDescent="0.25">
      <c r="A15" s="109"/>
      <c r="B15" s="109"/>
      <c r="C15" s="109"/>
      <c r="D15" s="109"/>
      <c r="E15" s="109"/>
      <c r="F15" s="109"/>
      <c r="G15" s="52" t="s">
        <v>83</v>
      </c>
      <c r="H15" s="52" t="s">
        <v>82</v>
      </c>
      <c r="I15" s="52">
        <f>'MERCADO TUSD'!$U$12</f>
        <v>8416.530999999999</v>
      </c>
      <c r="J15" s="15"/>
      <c r="L15" s="48">
        <f>'TUSD BE'!$L$15*'TUSD BF'!$L$62</f>
        <v>0</v>
      </c>
      <c r="M15" s="48">
        <f>'TUSD BE'!$M$15*'TUSD BF'!$M$62</f>
        <v>0</v>
      </c>
      <c r="N15" s="48">
        <f ca="1">'TUSD BE'!$N$15*'TUSD BF'!$N$62</f>
        <v>0</v>
      </c>
      <c r="O15" s="48">
        <f>'TUSD BE'!$O$15*'TUSD BF'!$O$62</f>
        <v>0</v>
      </c>
      <c r="P15" s="48">
        <f>'TUSD BE'!$P$15*'TUSD BF'!$P$62</f>
        <v>0</v>
      </c>
      <c r="Q15" s="48">
        <f>'TUSD BE'!$Q$15*'TUSD BF'!$Q$62</f>
        <v>0</v>
      </c>
      <c r="R15" s="48">
        <f>'TUSD BE'!$R$15*'TUSD BF'!$R$62</f>
        <v>0</v>
      </c>
      <c r="S15" s="48">
        <f>'TUSD BE'!$R$15*'TUSD BF'!$S$62</f>
        <v>0</v>
      </c>
      <c r="T15" s="48">
        <f ca="1">SUM($L$15:$S$15)</f>
        <v>0</v>
      </c>
      <c r="U15" s="48">
        <f>'TUSD BE'!$U$15*'TUSD BF'!$U$62</f>
        <v>0</v>
      </c>
      <c r="V15" s="48">
        <f>'TUSD BE'!$V$15*'TUSD BF'!$V$62</f>
        <v>0</v>
      </c>
      <c r="W15" s="48">
        <f>'TUSD BE'!$W$15*'TUSD BF'!$W$62</f>
        <v>0</v>
      </c>
      <c r="X15" s="48">
        <f>'TUSD BE'!$X$15*'TUSD BF'!$X$62</f>
        <v>0</v>
      </c>
      <c r="Y15" s="48">
        <f>'TUSD BE'!$Y$15*'TUSD BF'!$Y$62</f>
        <v>0</v>
      </c>
      <c r="Z15" s="48">
        <f>'TUSD BE'!$Z$15*'TUSD BF'!$Z$62</f>
        <v>0</v>
      </c>
      <c r="AA15" s="48">
        <f>'TUSD BE'!$AA$15*'TUSD BF'!$AA$62</f>
        <v>0</v>
      </c>
      <c r="AB15" s="48">
        <f>SUM($U$15:$AA$15)</f>
        <v>0</v>
      </c>
      <c r="AC15" s="48">
        <f>'TUSD BE'!$AC$15*'TUSD BF'!$AC$62</f>
        <v>0</v>
      </c>
      <c r="AD15" s="48">
        <f>SUM($AC$15:$AC$15)</f>
        <v>0</v>
      </c>
      <c r="AE15" s="48">
        <f ca="1">$AO$15*$AO$59</f>
        <v>0</v>
      </c>
      <c r="AF15" s="48">
        <f ca="1">$AP$15*$AP$59</f>
        <v>0</v>
      </c>
      <c r="AG15" s="48">
        <f ca="1">SUM($AE$15:$AF$15)</f>
        <v>0</v>
      </c>
      <c r="AH15" s="48">
        <f>'TUSD BE'!$AH$15*'TUSD BF'!$AH$62</f>
        <v>0</v>
      </c>
      <c r="AI15" s="48">
        <f>'TUSD BE'!$AI$15*'TUSD BF'!$AI$62</f>
        <v>0</v>
      </c>
      <c r="AJ15" s="48">
        <f ca="1">'TUSD BE'!$AJ$15*'TUSD BF'!$AJ$62</f>
        <v>0</v>
      </c>
      <c r="AK15" s="48">
        <f ca="1">'TUSD BE'!$AK$15*'TUSD BF'!$AK$62</f>
        <v>0</v>
      </c>
      <c r="AL15" s="48">
        <f ca="1">SUM($AH$15:$AK$15)</f>
        <v>0</v>
      </c>
      <c r="AM15" s="48">
        <f ca="1">SUMIF($L$4:$AL$4,"SUBTOTAL",$L$15:$AL$15)</f>
        <v>0</v>
      </c>
      <c r="AO15" s="54">
        <f ca="1">+'TUSD BE'!$T$15+'TUSD BE'!$AB$15+'TUSD BE'!$AD$15+'TUSD BE'!$AL$15</f>
        <v>2243.6387779064107</v>
      </c>
      <c r="AP15" s="54">
        <f ca="1">+'TUSD BE'!$T$15+'TUSD BE'!$AB$15+'TUSD BE'!$AD$15+'TUSD BE'!$AL$15</f>
        <v>2243.6387779064107</v>
      </c>
    </row>
    <row r="16" spans="1:42" ht="11.25" customHeight="1" x14ac:dyDescent="0.25">
      <c r="A16" s="109"/>
      <c r="B16" s="109"/>
      <c r="C16" s="109"/>
      <c r="D16" s="109"/>
      <c r="E16" s="109"/>
      <c r="F16" s="109"/>
      <c r="G16" s="52" t="s">
        <v>84</v>
      </c>
      <c r="H16" s="52" t="s">
        <v>82</v>
      </c>
      <c r="I16" s="52">
        <f>'MERCADO TUSD'!$U$13</f>
        <v>160452.66800000001</v>
      </c>
      <c r="J16" s="15"/>
      <c r="L16" s="48">
        <f>'TUSD BE'!$L$16*'TUSD BF'!$L$62</f>
        <v>0</v>
      </c>
      <c r="M16" s="48">
        <f>'TUSD BE'!$M$16*'TUSD BF'!$M$62</f>
        <v>0</v>
      </c>
      <c r="N16" s="48">
        <f ca="1">'TUSD BE'!$N$16*'TUSD BF'!$N$62</f>
        <v>0</v>
      </c>
      <c r="O16" s="48">
        <f>'TUSD BE'!$O$16*'TUSD BF'!$O$62</f>
        <v>0</v>
      </c>
      <c r="P16" s="48">
        <f>'TUSD BE'!$P$16*'TUSD BF'!$P$62</f>
        <v>0</v>
      </c>
      <c r="Q16" s="48">
        <f>'TUSD BE'!$Q$16*'TUSD BF'!$Q$62</f>
        <v>0</v>
      </c>
      <c r="R16" s="48">
        <f>'TUSD BE'!$R$16*'TUSD BF'!$R$62</f>
        <v>0</v>
      </c>
      <c r="S16" s="48">
        <f>'TUSD BE'!$R$16*'TUSD BF'!$S$62</f>
        <v>0</v>
      </c>
      <c r="T16" s="48">
        <f ca="1">SUM($L$16:$S$16)</f>
        <v>0</v>
      </c>
      <c r="U16" s="48">
        <f>'TUSD BE'!$U$16*'TUSD BF'!$U$62</f>
        <v>0</v>
      </c>
      <c r="V16" s="48">
        <f>'TUSD BE'!$V$16*'TUSD BF'!$V$62</f>
        <v>0</v>
      </c>
      <c r="W16" s="48">
        <f>'TUSD BE'!$W$16*'TUSD BF'!$W$62</f>
        <v>0</v>
      </c>
      <c r="X16" s="48">
        <f>'TUSD BE'!$X$16*'TUSD BF'!$X$62</f>
        <v>0</v>
      </c>
      <c r="Y16" s="48">
        <f>'TUSD BE'!$Y$16*'TUSD BF'!$Y$62</f>
        <v>0</v>
      </c>
      <c r="Z16" s="48">
        <f>'TUSD BE'!$Z$16*'TUSD BF'!$Z$62</f>
        <v>0</v>
      </c>
      <c r="AA16" s="48">
        <f>'TUSD BE'!$AA$16*'TUSD BF'!$AA$62</f>
        <v>0</v>
      </c>
      <c r="AB16" s="48">
        <f>SUM($U$16:$AA$16)</f>
        <v>0</v>
      </c>
      <c r="AC16" s="48">
        <f>'TUSD BE'!$AC$16*'TUSD BF'!$AC$62</f>
        <v>0</v>
      </c>
      <c r="AD16" s="48">
        <f>SUM($AC$16:$AC$16)</f>
        <v>0</v>
      </c>
      <c r="AE16" s="48">
        <f ca="1">$AO$16*$AO$59</f>
        <v>0</v>
      </c>
      <c r="AF16" s="48">
        <f ca="1">$AP$16*$AP$59</f>
        <v>0</v>
      </c>
      <c r="AG16" s="48">
        <f ca="1">SUM($AE$16:$AF$16)</f>
        <v>0</v>
      </c>
      <c r="AH16" s="48">
        <f>'TUSD BE'!$AH$16*'TUSD BF'!$AH$62</f>
        <v>0</v>
      </c>
      <c r="AI16" s="48">
        <f>'TUSD BE'!$AI$16*'TUSD BF'!$AI$62</f>
        <v>0</v>
      </c>
      <c r="AJ16" s="48">
        <f ca="1">'TUSD BE'!$AJ$16*'TUSD BF'!$AJ$62</f>
        <v>0</v>
      </c>
      <c r="AK16" s="48">
        <f ca="1">'TUSD BE'!$AK$16*'TUSD BF'!$AK$62</f>
        <v>0</v>
      </c>
      <c r="AL16" s="48">
        <f ca="1">SUM($AH$16:$AK$16)</f>
        <v>0</v>
      </c>
      <c r="AM16" s="48">
        <f ca="1">SUMIF($L$4:$AL$4,"SUBTOTAL",$L$16:$AL$16)</f>
        <v>0</v>
      </c>
      <c r="AO16" s="54">
        <f ca="1">+'TUSD BE'!$T$16+'TUSD BE'!$AB$16+'TUSD BE'!$AD$16+'TUSD BE'!$AL$16</f>
        <v>98.914187541685436</v>
      </c>
      <c r="AP16" s="54">
        <f ca="1">+'TUSD BE'!$T$16+'TUSD BE'!$AB$16+'TUSD BE'!$AD$16+'TUSD BE'!$AL$16</f>
        <v>98.914187541685436</v>
      </c>
    </row>
    <row r="17" spans="1:42" ht="11.25" customHeight="1" x14ac:dyDescent="0.25">
      <c r="A17" s="109"/>
      <c r="B17" s="109"/>
      <c r="C17" s="109"/>
      <c r="D17" s="109"/>
      <c r="E17" s="109" t="s">
        <v>89</v>
      </c>
      <c r="F17" s="109" t="s">
        <v>25</v>
      </c>
      <c r="G17" s="52" t="s">
        <v>83</v>
      </c>
      <c r="H17" s="52" t="s">
        <v>82</v>
      </c>
      <c r="I17" s="52">
        <f>'MERCADO TUSD'!$U$14</f>
        <v>0</v>
      </c>
      <c r="J17" s="15"/>
      <c r="L17" s="48">
        <f>'TUSD BE'!$L$17*'TUSD BF'!$L$62</f>
        <v>0</v>
      </c>
      <c r="M17" s="48">
        <f>'TUSD BE'!$M$17*'TUSD BF'!$M$62</f>
        <v>0</v>
      </c>
      <c r="N17" s="48">
        <f ca="1">'TUSD BE'!$N$17*'TUSD BF'!$N$62</f>
        <v>0</v>
      </c>
      <c r="O17" s="48">
        <f>'TUSD BE'!$O$17*'TUSD BF'!$O$62</f>
        <v>0</v>
      </c>
      <c r="P17" s="48">
        <f>'TUSD BE'!$P$17*'TUSD BF'!$P$62</f>
        <v>0</v>
      </c>
      <c r="Q17" s="48">
        <f>'TUSD BE'!$Q$17*'TUSD BF'!$Q$62</f>
        <v>0</v>
      </c>
      <c r="R17" s="48">
        <f>'TUSD BE'!$R$17*'TUSD BF'!$R$62</f>
        <v>0</v>
      </c>
      <c r="S17" s="48">
        <f>'TUSD BE'!$R$17*'TUSD BF'!$S$62</f>
        <v>0</v>
      </c>
      <c r="T17" s="48">
        <f ca="1">SUM($L$17:$S$17)</f>
        <v>0</v>
      </c>
      <c r="U17" s="48">
        <f>'TUSD BE'!$U$17*'TUSD BF'!$U$62</f>
        <v>0</v>
      </c>
      <c r="V17" s="48">
        <f>'TUSD BE'!$V$17*'TUSD BF'!$V$62</f>
        <v>0</v>
      </c>
      <c r="W17" s="48">
        <f>'TUSD BE'!$W$17*'TUSD BF'!$W$62</f>
        <v>0</v>
      </c>
      <c r="X17" s="48">
        <f>'TUSD BE'!$X$17*'TUSD BF'!$X$62</f>
        <v>0</v>
      </c>
      <c r="Y17" s="48">
        <f>'TUSD BE'!$Y$17*'TUSD BF'!$Y$62</f>
        <v>0</v>
      </c>
      <c r="Z17" s="48">
        <f>'TUSD BE'!$Z$17*'TUSD BF'!$Z$62</f>
        <v>0</v>
      </c>
      <c r="AA17" s="48">
        <f>'TUSD BE'!$AA$17*'TUSD BF'!$AA$62</f>
        <v>0</v>
      </c>
      <c r="AB17" s="48">
        <f>SUM($U$17:$AA$17)</f>
        <v>0</v>
      </c>
      <c r="AC17" s="48">
        <f>'TUSD BE'!$AC$17*'TUSD BF'!$AC$62</f>
        <v>0</v>
      </c>
      <c r="AD17" s="48">
        <f>SUM($AC$17:$AC$17)</f>
        <v>0</v>
      </c>
      <c r="AE17" s="48">
        <f ca="1">$AO$17*$AO$59</f>
        <v>0</v>
      </c>
      <c r="AF17" s="48">
        <f ca="1">$AP$17*$AP$59</f>
        <v>0</v>
      </c>
      <c r="AG17" s="48">
        <f ca="1">SUM($AE$17:$AF$17)</f>
        <v>0</v>
      </c>
      <c r="AH17" s="48">
        <f>'TUSD BE'!$AH$17*'TUSD BF'!$AH$62</f>
        <v>0</v>
      </c>
      <c r="AI17" s="48">
        <f>'TUSD BE'!$AI$17*'TUSD BF'!$AI$62</f>
        <v>0</v>
      </c>
      <c r="AJ17" s="48">
        <f ca="1">'TUSD BE'!$AJ$17*'TUSD BF'!$AJ$62</f>
        <v>0</v>
      </c>
      <c r="AK17" s="48">
        <f ca="1">'TUSD BE'!$AK$17*'TUSD BF'!$AK$62</f>
        <v>0</v>
      </c>
      <c r="AL17" s="48">
        <f ca="1">SUM($AH$17:$AK$17)</f>
        <v>0</v>
      </c>
      <c r="AM17" s="48">
        <f ca="1">SUMIF($L$4:$AL$4,"SUBTOTAL",$L$17:$AL$17)</f>
        <v>0</v>
      </c>
      <c r="AO17" s="54">
        <f ca="1">+'TUSD BE'!$T$17+'TUSD BE'!$AB$17+'TUSD BE'!$AD$17+'TUSD BE'!$AL$17</f>
        <v>2153.8867259103322</v>
      </c>
      <c r="AP17" s="54">
        <f ca="1">+'TUSD BE'!$T$17+'TUSD BE'!$AB$17+'TUSD BE'!$AD$17+'TUSD BE'!$AL$17</f>
        <v>2153.8867259103322</v>
      </c>
    </row>
    <row r="18" spans="1:42" ht="11.25" customHeight="1" x14ac:dyDescent="0.25">
      <c r="A18" s="109"/>
      <c r="B18" s="109"/>
      <c r="C18" s="109"/>
      <c r="D18" s="109"/>
      <c r="E18" s="109"/>
      <c r="F18" s="109"/>
      <c r="G18" s="52" t="s">
        <v>84</v>
      </c>
      <c r="H18" s="52" t="s">
        <v>82</v>
      </c>
      <c r="I18" s="52">
        <f>'MERCADO TUSD'!$U$15</f>
        <v>0</v>
      </c>
      <c r="J18" s="15"/>
      <c r="L18" s="48">
        <f>'TUSD BE'!$L$18*'TUSD BF'!$L$62</f>
        <v>0</v>
      </c>
      <c r="M18" s="48">
        <f>'TUSD BE'!$M$18*'TUSD BF'!$M$62</f>
        <v>0</v>
      </c>
      <c r="N18" s="48">
        <f ca="1">'TUSD BE'!$N$18*'TUSD BF'!$N$62</f>
        <v>0</v>
      </c>
      <c r="O18" s="48">
        <f>'TUSD BE'!$O$18*'TUSD BF'!$O$62</f>
        <v>0</v>
      </c>
      <c r="P18" s="48">
        <f>'TUSD BE'!$P$18*'TUSD BF'!$P$62</f>
        <v>0</v>
      </c>
      <c r="Q18" s="48">
        <f>'TUSD BE'!$Q$18*'TUSD BF'!$Q$62</f>
        <v>0</v>
      </c>
      <c r="R18" s="48">
        <f>'TUSD BE'!$R$18*'TUSD BF'!$R$62</f>
        <v>0</v>
      </c>
      <c r="S18" s="48">
        <f>'TUSD BE'!$R$18*'TUSD BF'!$S$62</f>
        <v>0</v>
      </c>
      <c r="T18" s="48">
        <f ca="1">SUM($L$18:$S$18)</f>
        <v>0</v>
      </c>
      <c r="U18" s="48">
        <f>'TUSD BE'!$U$18*'TUSD BF'!$U$62</f>
        <v>0</v>
      </c>
      <c r="V18" s="48">
        <f>'TUSD BE'!$V$18*'TUSD BF'!$V$62</f>
        <v>0</v>
      </c>
      <c r="W18" s="48">
        <f>'TUSD BE'!$W$18*'TUSD BF'!$W$62</f>
        <v>0</v>
      </c>
      <c r="X18" s="48">
        <f>'TUSD BE'!$X$18*'TUSD BF'!$X$62</f>
        <v>0</v>
      </c>
      <c r="Y18" s="48">
        <f>'TUSD BE'!$Y$18*'TUSD BF'!$Y$62</f>
        <v>0</v>
      </c>
      <c r="Z18" s="48">
        <f>'TUSD BE'!$Z$18*'TUSD BF'!$Z$62</f>
        <v>0</v>
      </c>
      <c r="AA18" s="48">
        <f>'TUSD BE'!$AA$18*'TUSD BF'!$AA$62</f>
        <v>0</v>
      </c>
      <c r="AB18" s="48">
        <f>SUM($U$18:$AA$18)</f>
        <v>0</v>
      </c>
      <c r="AC18" s="48">
        <f>'TUSD BE'!$AC$18*'TUSD BF'!$AC$62</f>
        <v>0</v>
      </c>
      <c r="AD18" s="48">
        <f>SUM($AC$18:$AC$18)</f>
        <v>0</v>
      </c>
      <c r="AE18" s="48">
        <f ca="1">$AO$18*$AO$59</f>
        <v>0</v>
      </c>
      <c r="AF18" s="48">
        <f ca="1">$AP$18*$AP$59</f>
        <v>0</v>
      </c>
      <c r="AG18" s="48">
        <f ca="1">SUM($AE$18:$AF$18)</f>
        <v>0</v>
      </c>
      <c r="AH18" s="48">
        <f>'TUSD BE'!$AH$18*'TUSD BF'!$AH$62</f>
        <v>0</v>
      </c>
      <c r="AI18" s="48">
        <f>'TUSD BE'!$AI$18*'TUSD BF'!$AI$62</f>
        <v>0</v>
      </c>
      <c r="AJ18" s="48">
        <f ca="1">'TUSD BE'!$AJ$18*'TUSD BF'!$AJ$62</f>
        <v>0</v>
      </c>
      <c r="AK18" s="48">
        <f ca="1">'TUSD BE'!$AK$18*'TUSD BF'!$AK$62</f>
        <v>0</v>
      </c>
      <c r="AL18" s="48">
        <f ca="1">SUM($AH$18:$AK$18)</f>
        <v>0</v>
      </c>
      <c r="AM18" s="48">
        <f ca="1">SUMIF($L$4:$AL$4,"SUBTOTAL",$L$18:$AL$18)</f>
        <v>0</v>
      </c>
      <c r="AO18" s="54">
        <f ca="1">+'TUSD BE'!$T$18+'TUSD BE'!$AB$18+'TUSD BE'!$AD$18+'TUSD BE'!$AL$18</f>
        <v>9.1621355456069118</v>
      </c>
      <c r="AP18" s="54">
        <f ca="1">+'TUSD BE'!$T$18+'TUSD BE'!$AB$18+'TUSD BE'!$AD$18+'TUSD BE'!$AL$18</f>
        <v>9.1621355456069118</v>
      </c>
    </row>
    <row r="19" spans="1:42" ht="11.25" customHeight="1" x14ac:dyDescent="0.25">
      <c r="A19" s="109" t="s">
        <v>91</v>
      </c>
      <c r="B19" s="109" t="s">
        <v>56</v>
      </c>
      <c r="C19" s="109" t="s">
        <v>25</v>
      </c>
      <c r="D19" s="109" t="s">
        <v>25</v>
      </c>
      <c r="E19" s="51" t="s">
        <v>92</v>
      </c>
      <c r="F19" s="51" t="s">
        <v>25</v>
      </c>
      <c r="G19" s="52" t="s">
        <v>9</v>
      </c>
      <c r="H19" s="52" t="s">
        <v>85</v>
      </c>
      <c r="I19" s="52">
        <f>'MERCADO TUSD'!$U$16+0.00000001</f>
        <v>1E-8</v>
      </c>
      <c r="J19" s="15"/>
      <c r="L19" s="48">
        <f>'TUSD BE'!$L$19*'TUSD BF'!$L$62</f>
        <v>0</v>
      </c>
      <c r="M19" s="48">
        <f>'TUSD BE'!$M$19*'TUSD BF'!$M$62</f>
        <v>0</v>
      </c>
      <c r="N19" s="48">
        <f ca="1">'TUSD BE'!$N$19*'TUSD BF'!$N$62</f>
        <v>0</v>
      </c>
      <c r="O19" s="48">
        <f>'TUSD BE'!$O$19*'TUSD BF'!$O$62</f>
        <v>0</v>
      </c>
      <c r="P19" s="48">
        <f>'TUSD BE'!$P$19*'TUSD BF'!$P$62</f>
        <v>0</v>
      </c>
      <c r="Q19" s="48">
        <f>'TUSD BE'!$Q$19*'TUSD BF'!$Q$62</f>
        <v>0</v>
      </c>
      <c r="R19" s="48">
        <f>'TUSD BE'!$R$19*'TUSD BF'!$R$62</f>
        <v>0</v>
      </c>
      <c r="S19" s="48">
        <f>'TUSD BE'!$R$19*'TUSD BF'!$S$62</f>
        <v>0</v>
      </c>
      <c r="T19" s="48">
        <f ca="1">SUM($L$19:$S$19)</f>
        <v>0</v>
      </c>
      <c r="U19" s="48">
        <f>'TUSD BE'!$U$19*'TUSD BF'!$U$62</f>
        <v>0</v>
      </c>
      <c r="V19" s="48">
        <f>'TUSD BE'!$V$19*'TUSD BF'!$V$62</f>
        <v>0</v>
      </c>
      <c r="W19" s="48">
        <f>'TUSD BE'!$W$19*'TUSD BF'!$W$62</f>
        <v>0</v>
      </c>
      <c r="X19" s="48">
        <f>'TUSD BE'!$X$19*'TUSD BF'!$X$62</f>
        <v>0</v>
      </c>
      <c r="Y19" s="48">
        <f>'TUSD BE'!$Y$19*'TUSD BF'!$Y$62</f>
        <v>0</v>
      </c>
      <c r="Z19" s="48">
        <f>'TUSD BE'!$Z$19*'TUSD BF'!$Z$62</f>
        <v>0</v>
      </c>
      <c r="AA19" s="48">
        <f>'TUSD BE'!$AA$19*'TUSD BF'!$AA$62</f>
        <v>0</v>
      </c>
      <c r="AB19" s="48">
        <f>SUM($U$19:$AA$19)</f>
        <v>0</v>
      </c>
      <c r="AC19" s="48">
        <f>'TUSD BE'!$AC$19*'TUSD BF'!$AC$62</f>
        <v>0</v>
      </c>
      <c r="AD19" s="48">
        <f>SUM($AC$19:$AC$19)</f>
        <v>0</v>
      </c>
      <c r="AE19" s="48">
        <f ca="1">$AO$19*$AO$59</f>
        <v>0</v>
      </c>
      <c r="AF19" s="48">
        <f ca="1">$AP$19*$AP$59</f>
        <v>0</v>
      </c>
      <c r="AG19" s="48">
        <f ca="1">SUM($AE$19:$AF$19)</f>
        <v>0</v>
      </c>
      <c r="AH19" s="48">
        <f>'TUSD BE'!$AH$19*'TUSD BF'!$AH$62</f>
        <v>0</v>
      </c>
      <c r="AI19" s="48">
        <f>'TUSD BE'!$AI$19*'TUSD BF'!$AI$62</f>
        <v>0</v>
      </c>
      <c r="AJ19" s="48">
        <f ca="1">'TUSD BE'!$AJ$19*'TUSD BF'!$AJ$62</f>
        <v>0</v>
      </c>
      <c r="AK19" s="48">
        <f ca="1">'TUSD BE'!$AK$19*'TUSD BF'!$AK$62</f>
        <v>0</v>
      </c>
      <c r="AL19" s="48">
        <f ca="1">SUM($AH$19:$AK$19)</f>
        <v>0</v>
      </c>
      <c r="AM19" s="48">
        <f ca="1">SUMIF($L$4:$AL$4,"SUBTOTAL",$L$19:$AL$19)</f>
        <v>0</v>
      </c>
      <c r="AO19" s="54">
        <f ca="1">+'TUSD BE'!$T$19+'TUSD BE'!$AB$19+'TUSD BE'!$AD$19+'TUSD BE'!$AL$19</f>
        <v>4.0247592615016838</v>
      </c>
      <c r="AP19" s="54">
        <f ca="1">+'TUSD BE'!$T$19+'TUSD BE'!$AB$19+'TUSD BE'!$AD$19+'TUSD BE'!$AL$19</f>
        <v>4.0247592615016838</v>
      </c>
    </row>
    <row r="20" spans="1:42" ht="11.25" customHeight="1" x14ac:dyDescent="0.25">
      <c r="A20" s="109"/>
      <c r="B20" s="109"/>
      <c r="C20" s="109"/>
      <c r="D20" s="109"/>
      <c r="E20" s="51" t="s">
        <v>93</v>
      </c>
      <c r="F20" s="51" t="s">
        <v>25</v>
      </c>
      <c r="G20" s="52" t="s">
        <v>9</v>
      </c>
      <c r="H20" s="52" t="s">
        <v>85</v>
      </c>
      <c r="I20" s="52">
        <f>'MERCADO TUSD'!$U$17+0.00000001</f>
        <v>1E-8</v>
      </c>
      <c r="J20" s="15"/>
      <c r="L20" s="48">
        <f>'TUSD BE'!$L$20*'TUSD BF'!$L$62</f>
        <v>0</v>
      </c>
      <c r="M20" s="48">
        <f>'TUSD BE'!$M$20*'TUSD BF'!$M$62</f>
        <v>0</v>
      </c>
      <c r="N20" s="48">
        <f ca="1">'TUSD BE'!$N$20*'TUSD BF'!$N$62</f>
        <v>0</v>
      </c>
      <c r="O20" s="48">
        <f>'TUSD BE'!$O$20*'TUSD BF'!$O$62</f>
        <v>0</v>
      </c>
      <c r="P20" s="48">
        <f>'TUSD BE'!$P$20*'TUSD BF'!$P$62</f>
        <v>0</v>
      </c>
      <c r="Q20" s="48">
        <f>'TUSD BE'!$Q$20*'TUSD BF'!$Q$62</f>
        <v>0</v>
      </c>
      <c r="R20" s="48">
        <f>'TUSD BE'!$R$20*'TUSD BF'!$R$62</f>
        <v>0</v>
      </c>
      <c r="S20" s="48">
        <f>'TUSD BE'!$R$20*'TUSD BF'!$S$62</f>
        <v>0</v>
      </c>
      <c r="T20" s="48">
        <f ca="1">SUM($L$20:$S$20)</f>
        <v>0</v>
      </c>
      <c r="U20" s="48">
        <f>'TUSD BE'!$U$20*'TUSD BF'!$U$62</f>
        <v>0</v>
      </c>
      <c r="V20" s="48">
        <f>'TUSD BE'!$V$20*'TUSD BF'!$V$62</f>
        <v>0</v>
      </c>
      <c r="W20" s="48">
        <f>'TUSD BE'!$W$20*'TUSD BF'!$W$62</f>
        <v>0</v>
      </c>
      <c r="X20" s="48">
        <f>'TUSD BE'!$X$20*'TUSD BF'!$X$62</f>
        <v>0</v>
      </c>
      <c r="Y20" s="48">
        <f>'TUSD BE'!$Y$20*'TUSD BF'!$Y$62</f>
        <v>0</v>
      </c>
      <c r="Z20" s="48">
        <f>'TUSD BE'!$Z$20*'TUSD BF'!$Z$62</f>
        <v>0</v>
      </c>
      <c r="AA20" s="48">
        <f>'TUSD BE'!$AA$20*'TUSD BF'!$AA$62</f>
        <v>0</v>
      </c>
      <c r="AB20" s="48">
        <f>SUM($U$20:$AA$20)</f>
        <v>0</v>
      </c>
      <c r="AC20" s="48">
        <f>'TUSD BE'!$AC$20*'TUSD BF'!$AC$62</f>
        <v>0</v>
      </c>
      <c r="AD20" s="48">
        <f>SUM($AC$20:$AC$20)</f>
        <v>0</v>
      </c>
      <c r="AE20" s="48">
        <f ca="1">$AO$20*$AO$59</f>
        <v>0</v>
      </c>
      <c r="AF20" s="48">
        <f ca="1">$AP$20*$AP$59</f>
        <v>0</v>
      </c>
      <c r="AG20" s="48">
        <f ca="1">SUM($AE$20:$AF$20)</f>
        <v>0</v>
      </c>
      <c r="AH20" s="48">
        <f>'TUSD BE'!$AH$20*'TUSD BF'!$AH$62</f>
        <v>0</v>
      </c>
      <c r="AI20" s="48">
        <f>'TUSD BE'!$AI$20*'TUSD BF'!$AI$62</f>
        <v>0</v>
      </c>
      <c r="AJ20" s="48">
        <f ca="1">'TUSD BE'!$AJ$20*'TUSD BF'!$AJ$62</f>
        <v>0</v>
      </c>
      <c r="AK20" s="48">
        <f ca="1">'TUSD BE'!$AK$20*'TUSD BF'!$AK$62</f>
        <v>0</v>
      </c>
      <c r="AL20" s="48">
        <f ca="1">SUM($AH$20:$AK$20)</f>
        <v>0</v>
      </c>
      <c r="AM20" s="48">
        <f ca="1">SUMIF($L$4:$AL$4,"SUBTOTAL",$L$20:$AL$20)</f>
        <v>0</v>
      </c>
      <c r="AO20" s="54">
        <f ca="1">+'TUSD BE'!$T$20+'TUSD BE'!$AB$20+'TUSD BE'!$AD$20+'TUSD BE'!$AL$20</f>
        <v>15.866254398203571</v>
      </c>
      <c r="AP20" s="54">
        <f ca="1">+'TUSD BE'!$T$20+'TUSD BE'!$AB$20+'TUSD BE'!$AD$20+'TUSD BE'!$AL$20</f>
        <v>15.866254398203571</v>
      </c>
    </row>
    <row r="21" spans="1:42" ht="11.25" customHeight="1" x14ac:dyDescent="0.25">
      <c r="A21" s="109" t="s">
        <v>22</v>
      </c>
      <c r="B21" s="109" t="s">
        <v>95</v>
      </c>
      <c r="C21" s="109" t="s">
        <v>24</v>
      </c>
      <c r="D21" s="109" t="s">
        <v>24</v>
      </c>
      <c r="E21" s="109" t="s">
        <v>25</v>
      </c>
      <c r="F21" s="109" t="s">
        <v>25</v>
      </c>
      <c r="G21" s="52" t="s">
        <v>83</v>
      </c>
      <c r="H21" s="52" t="s">
        <v>82</v>
      </c>
      <c r="I21" s="52">
        <f>'MERCADO TUSD'!$U$18</f>
        <v>0</v>
      </c>
      <c r="J21" s="15"/>
      <c r="L21" s="48">
        <f>'TUSD BE'!$L$21*'TUSD BF'!$L$62</f>
        <v>0</v>
      </c>
      <c r="M21" s="48">
        <f>'TUSD BE'!$M$21*'TUSD BF'!$M$62</f>
        <v>0</v>
      </c>
      <c r="N21" s="48">
        <f ca="1">'TUSD BE'!$N$21*'TUSD BF'!$N$62</f>
        <v>0</v>
      </c>
      <c r="O21" s="48">
        <f>'TUSD BE'!$O$21*'TUSD BF'!$O$62</f>
        <v>0</v>
      </c>
      <c r="P21" s="48">
        <f>'TUSD BE'!$P$21*'TUSD BF'!$P$62</f>
        <v>0</v>
      </c>
      <c r="Q21" s="48">
        <f>'TUSD BE'!$Q$21*'TUSD BF'!$Q$62</f>
        <v>0</v>
      </c>
      <c r="R21" s="48">
        <f>'TUSD BE'!$R$21*'TUSD BF'!$R$62</f>
        <v>0</v>
      </c>
      <c r="S21" s="48">
        <f>'TUSD BE'!$R$21*'TUSD BF'!$S$62</f>
        <v>0</v>
      </c>
      <c r="T21" s="48">
        <f ca="1">SUM($L$21:$S$21)</f>
        <v>0</v>
      </c>
      <c r="U21" s="48">
        <f>'TUSD BE'!$U$21*'TUSD BF'!$U$62</f>
        <v>0</v>
      </c>
      <c r="V21" s="48">
        <f>'TUSD BE'!$V$21*'TUSD BF'!$V$62</f>
        <v>0</v>
      </c>
      <c r="W21" s="48">
        <f>'TUSD BE'!$W$21*'TUSD BF'!$W$62</f>
        <v>0</v>
      </c>
      <c r="X21" s="48">
        <f>'TUSD BE'!$X$21*'TUSD BF'!$X$62</f>
        <v>0</v>
      </c>
      <c r="Y21" s="48">
        <f>'TUSD BE'!$Y$21*'TUSD BF'!$Y$62</f>
        <v>0</v>
      </c>
      <c r="Z21" s="48">
        <f>'TUSD BE'!$Z$21*'TUSD BF'!$Z$62</f>
        <v>0</v>
      </c>
      <c r="AA21" s="48">
        <f>'TUSD BE'!$AA$21*'TUSD BF'!$AA$62</f>
        <v>0</v>
      </c>
      <c r="AB21" s="48">
        <f>SUM($U$21:$AA$21)</f>
        <v>0</v>
      </c>
      <c r="AC21" s="48">
        <f>'TUSD BE'!$AC$21*'TUSD BF'!$AC$62</f>
        <v>0</v>
      </c>
      <c r="AD21" s="48">
        <f>SUM($AC$21:$AC$21)</f>
        <v>0</v>
      </c>
      <c r="AE21" s="48">
        <f ca="1">$AO$21*$AO$59</f>
        <v>0</v>
      </c>
      <c r="AF21" s="48">
        <f ca="1">$AP$21*$AP$59</f>
        <v>0</v>
      </c>
      <c r="AG21" s="48">
        <f ca="1">SUM($AE$21:$AF$21)</f>
        <v>0</v>
      </c>
      <c r="AH21" s="48">
        <f>'TUSD BE'!$AH$21*'TUSD BF'!$AH$62</f>
        <v>0</v>
      </c>
      <c r="AI21" s="48">
        <f>'TUSD BE'!$AI$21*'TUSD BF'!$AI$62</f>
        <v>0</v>
      </c>
      <c r="AJ21" s="48">
        <f ca="1">'TUSD BE'!$AJ$21*'TUSD BF'!$AJ$62</f>
        <v>0</v>
      </c>
      <c r="AK21" s="48">
        <f ca="1">'TUSD BE'!$AK$21*'TUSD BF'!$AK$62</f>
        <v>0</v>
      </c>
      <c r="AL21" s="48">
        <f ca="1">SUM($AH$21:$AK$21)</f>
        <v>0</v>
      </c>
      <c r="AM21" s="48">
        <f ca="1">SUMIF($L$4:$AL$4,"SUBTOTAL",$L$21:$AL$21)</f>
        <v>0</v>
      </c>
      <c r="AO21" s="54">
        <f ca="1">+'TUSD BE'!$T$21+'TUSD BE'!$AB$21+'TUSD BE'!$AD$21+'TUSD BE'!$AL$21</f>
        <v>769.0452945890255</v>
      </c>
      <c r="AP21" s="54">
        <f ca="1">+'TUSD BE'!$T$21+'TUSD BE'!$AB$21+'TUSD BE'!$AD$21+'TUSD BE'!$AL$21</f>
        <v>769.0452945890255</v>
      </c>
    </row>
    <row r="22" spans="1:42" ht="11.25" customHeight="1" x14ac:dyDescent="0.25">
      <c r="A22" s="109"/>
      <c r="B22" s="109"/>
      <c r="C22" s="109"/>
      <c r="D22" s="109"/>
      <c r="E22" s="109"/>
      <c r="F22" s="109"/>
      <c r="G22" s="52" t="s">
        <v>94</v>
      </c>
      <c r="H22" s="52" t="s">
        <v>82</v>
      </c>
      <c r="I22" s="52">
        <f>'MERCADO TUSD'!$U$19</f>
        <v>0</v>
      </c>
      <c r="J22" s="15"/>
      <c r="L22" s="48">
        <f>'TUSD BE'!$L$22*'TUSD BF'!$L$62</f>
        <v>0</v>
      </c>
      <c r="M22" s="48">
        <f>'TUSD BE'!$M$22*'TUSD BF'!$M$62</f>
        <v>0</v>
      </c>
      <c r="N22" s="48">
        <f ca="1">'TUSD BE'!$N$22*'TUSD BF'!$N$62</f>
        <v>0</v>
      </c>
      <c r="O22" s="48">
        <f>'TUSD BE'!$O$22*'TUSD BF'!$O$62</f>
        <v>0</v>
      </c>
      <c r="P22" s="48">
        <f>'TUSD BE'!$P$22*'TUSD BF'!$P$62</f>
        <v>0</v>
      </c>
      <c r="Q22" s="48">
        <f>'TUSD BE'!$Q$22*'TUSD BF'!$Q$62</f>
        <v>0</v>
      </c>
      <c r="R22" s="48">
        <f>'TUSD BE'!$R$22*'TUSD BF'!$R$62</f>
        <v>0</v>
      </c>
      <c r="S22" s="48">
        <f>'TUSD BE'!$R$22*'TUSD BF'!$S$62</f>
        <v>0</v>
      </c>
      <c r="T22" s="48">
        <f ca="1">SUM($L$22:$S$22)</f>
        <v>0</v>
      </c>
      <c r="U22" s="48">
        <f>'TUSD BE'!$U$22*'TUSD BF'!$U$62</f>
        <v>0</v>
      </c>
      <c r="V22" s="48">
        <f>'TUSD BE'!$V$22*'TUSD BF'!$V$62</f>
        <v>0</v>
      </c>
      <c r="W22" s="48">
        <f>'TUSD BE'!$W$22*'TUSD BF'!$W$62</f>
        <v>0</v>
      </c>
      <c r="X22" s="48">
        <f>'TUSD BE'!$X$22*'TUSD BF'!$X$62</f>
        <v>0</v>
      </c>
      <c r="Y22" s="48">
        <f>'TUSD BE'!$Y$22*'TUSD BF'!$Y$62</f>
        <v>0</v>
      </c>
      <c r="Z22" s="48">
        <f>'TUSD BE'!$Z$22*'TUSD BF'!$Z$62</f>
        <v>0</v>
      </c>
      <c r="AA22" s="48">
        <f>'TUSD BE'!$AA$22*'TUSD BF'!$AA$62</f>
        <v>0</v>
      </c>
      <c r="AB22" s="48">
        <f>SUM($U$22:$AA$22)</f>
        <v>0</v>
      </c>
      <c r="AC22" s="48">
        <f>'TUSD BE'!$AC$22*'TUSD BF'!$AC$62</f>
        <v>0</v>
      </c>
      <c r="AD22" s="48">
        <f>SUM($AC$22:$AC$22)</f>
        <v>0</v>
      </c>
      <c r="AE22" s="48">
        <f ca="1">$AO$22*$AO$59</f>
        <v>0</v>
      </c>
      <c r="AF22" s="48">
        <f ca="1">$AP$22*$AP$59</f>
        <v>0</v>
      </c>
      <c r="AG22" s="48">
        <f ca="1">SUM($AE$22:$AF$22)</f>
        <v>0</v>
      </c>
      <c r="AH22" s="48">
        <f>'TUSD BE'!$AH$22*'TUSD BF'!$AH$62</f>
        <v>0</v>
      </c>
      <c r="AI22" s="48">
        <f>'TUSD BE'!$AI$22*'TUSD BF'!$AI$62</f>
        <v>0</v>
      </c>
      <c r="AJ22" s="48">
        <f ca="1">'TUSD BE'!$AJ$22*'TUSD BF'!$AJ$62</f>
        <v>0</v>
      </c>
      <c r="AK22" s="48">
        <f ca="1">'TUSD BE'!$AK$22*'TUSD BF'!$AK$62</f>
        <v>0</v>
      </c>
      <c r="AL22" s="48">
        <f ca="1">SUM($AH$22:$AK$22)</f>
        <v>0</v>
      </c>
      <c r="AM22" s="48">
        <f ca="1">SUMIF($L$4:$AL$4,"SUBTOTAL",$L$22:$AL$22)</f>
        <v>0</v>
      </c>
      <c r="AO22" s="54">
        <f ca="1">+'TUSD BE'!$T$22+'TUSD BE'!$AB$22+'TUSD BE'!$AD$22+'TUSD BE'!$AL$22</f>
        <v>736.72912678363252</v>
      </c>
      <c r="AP22" s="54">
        <f ca="1">+'TUSD BE'!$T$22+'TUSD BE'!$AB$22+'TUSD BE'!$AD$22+'TUSD BE'!$AL$22</f>
        <v>736.72912678363252</v>
      </c>
    </row>
    <row r="23" spans="1:42" ht="11.25" customHeight="1" x14ac:dyDescent="0.25">
      <c r="A23" s="109"/>
      <c r="B23" s="109"/>
      <c r="C23" s="109"/>
      <c r="D23" s="109"/>
      <c r="E23" s="109"/>
      <c r="F23" s="109"/>
      <c r="G23" s="52" t="s">
        <v>84</v>
      </c>
      <c r="H23" s="52" t="s">
        <v>82</v>
      </c>
      <c r="I23" s="52">
        <f>'MERCADO TUSD'!$U$20</f>
        <v>0</v>
      </c>
      <c r="J23" s="15"/>
      <c r="L23" s="48">
        <f>'TUSD BE'!$L$23*'TUSD BF'!$L$62</f>
        <v>0</v>
      </c>
      <c r="M23" s="48">
        <f>'TUSD BE'!$M$23*'TUSD BF'!$M$62</f>
        <v>0</v>
      </c>
      <c r="N23" s="48">
        <f ca="1">'TUSD BE'!$N$23*'TUSD BF'!$N$62</f>
        <v>0</v>
      </c>
      <c r="O23" s="48">
        <f>'TUSD BE'!$O$23*'TUSD BF'!$O$62</f>
        <v>0</v>
      </c>
      <c r="P23" s="48">
        <f>'TUSD BE'!$P$23*'TUSD BF'!$P$62</f>
        <v>0</v>
      </c>
      <c r="Q23" s="48">
        <f>'TUSD BE'!$Q$23*'TUSD BF'!$Q$62</f>
        <v>0</v>
      </c>
      <c r="R23" s="48">
        <f>'TUSD BE'!$R$23*'TUSD BF'!$R$62</f>
        <v>0</v>
      </c>
      <c r="S23" s="48">
        <f>'TUSD BE'!$R$23*'TUSD BF'!$S$62</f>
        <v>0</v>
      </c>
      <c r="T23" s="48">
        <f ca="1">SUM($L$23:$S$23)</f>
        <v>0</v>
      </c>
      <c r="U23" s="48">
        <f>'TUSD BE'!$U$23*'TUSD BF'!$U$62</f>
        <v>0</v>
      </c>
      <c r="V23" s="48">
        <f>'TUSD BE'!$V$23*'TUSD BF'!$V$62</f>
        <v>0</v>
      </c>
      <c r="W23" s="48">
        <f>'TUSD BE'!$W$23*'TUSD BF'!$W$62</f>
        <v>0</v>
      </c>
      <c r="X23" s="48">
        <f>'TUSD BE'!$X$23*'TUSD BF'!$X$62</f>
        <v>0</v>
      </c>
      <c r="Y23" s="48">
        <f>'TUSD BE'!$Y$23*'TUSD BF'!$Y$62</f>
        <v>0</v>
      </c>
      <c r="Z23" s="48">
        <f>'TUSD BE'!$Z$23*'TUSD BF'!$Z$62</f>
        <v>0</v>
      </c>
      <c r="AA23" s="48">
        <f>'TUSD BE'!$AA$23*'TUSD BF'!$AA$62</f>
        <v>0</v>
      </c>
      <c r="AB23" s="48">
        <f>SUM($U$23:$AA$23)</f>
        <v>0</v>
      </c>
      <c r="AC23" s="48">
        <f>'TUSD BE'!$AC$23*'TUSD BF'!$AC$62</f>
        <v>0</v>
      </c>
      <c r="AD23" s="48">
        <f>SUM($AC$23:$AC$23)</f>
        <v>0</v>
      </c>
      <c r="AE23" s="48">
        <f ca="1">$AO$23*$AO$59</f>
        <v>0</v>
      </c>
      <c r="AF23" s="48">
        <f ca="1">$AP$23*$AP$59</f>
        <v>0</v>
      </c>
      <c r="AG23" s="48">
        <f ca="1">SUM($AE$23:$AF$23)</f>
        <v>0</v>
      </c>
      <c r="AH23" s="48">
        <f>'TUSD BE'!$AH$23*'TUSD BF'!$AH$62</f>
        <v>0</v>
      </c>
      <c r="AI23" s="48">
        <f>'TUSD BE'!$AI$23*'TUSD BF'!$AI$62</f>
        <v>0</v>
      </c>
      <c r="AJ23" s="48">
        <f ca="1">'TUSD BE'!$AJ$23*'TUSD BF'!$AJ$62</f>
        <v>0</v>
      </c>
      <c r="AK23" s="48">
        <f ca="1">'TUSD BE'!$AK$23*'TUSD BF'!$AK$62</f>
        <v>0</v>
      </c>
      <c r="AL23" s="48">
        <f ca="1">SUM($AH$23:$AK$23)</f>
        <v>0</v>
      </c>
      <c r="AM23" s="48">
        <f ca="1">SUMIF($L$4:$AL$4,"SUBTOTAL",$L$23:$AL$23)</f>
        <v>0</v>
      </c>
      <c r="AO23" s="54">
        <f ca="1">+'TUSD BE'!$T$23+'TUSD BE'!$AB$23+'TUSD BE'!$AD$23+'TUSD BE'!$AL$23</f>
        <v>338.15441373658246</v>
      </c>
      <c r="AP23" s="54">
        <f ca="1">+'TUSD BE'!$T$23+'TUSD BE'!$AB$23+'TUSD BE'!$AD$23+'TUSD BE'!$AL$23</f>
        <v>338.15441373658246</v>
      </c>
    </row>
    <row r="24" spans="1:42" ht="11.25" customHeight="1" x14ac:dyDescent="0.25">
      <c r="A24" s="109"/>
      <c r="B24" s="109" t="s">
        <v>23</v>
      </c>
      <c r="C24" s="109" t="s">
        <v>24</v>
      </c>
      <c r="D24" s="51" t="s">
        <v>24</v>
      </c>
      <c r="E24" s="51" t="s">
        <v>25</v>
      </c>
      <c r="F24" s="51" t="s">
        <v>25</v>
      </c>
      <c r="G24" s="52" t="s">
        <v>88</v>
      </c>
      <c r="H24" s="52" t="s">
        <v>82</v>
      </c>
      <c r="I24" s="52">
        <f>'MERCADO TUSD'!$U$21</f>
        <v>24573.046999999999</v>
      </c>
      <c r="J24" s="15"/>
      <c r="L24" s="48">
        <f>'TUSD BE'!$L$24*'TUSD BF'!$L$62</f>
        <v>0</v>
      </c>
      <c r="M24" s="48">
        <f>'TUSD BE'!$M$24*'TUSD BF'!$M$62</f>
        <v>0</v>
      </c>
      <c r="N24" s="48">
        <f ca="1">'TUSD BE'!$N$24*'TUSD BF'!$N$62</f>
        <v>0</v>
      </c>
      <c r="O24" s="48">
        <f>'TUSD BE'!$O$24*'TUSD BF'!$O$62</f>
        <v>0</v>
      </c>
      <c r="P24" s="48">
        <f>'TUSD BE'!$P$24*'TUSD BF'!$P$62</f>
        <v>0</v>
      </c>
      <c r="Q24" s="48">
        <f>'TUSD BE'!$Q$24*'TUSD BF'!$Q$62</f>
        <v>0</v>
      </c>
      <c r="R24" s="48">
        <f>'TUSD BE'!$R$24*'TUSD BF'!$R$62</f>
        <v>0</v>
      </c>
      <c r="S24" s="48">
        <f>'TUSD BE'!$R$24*'TUSD BF'!$S$62</f>
        <v>0</v>
      </c>
      <c r="T24" s="48">
        <f ca="1">SUM($L$24:$S$24)</f>
        <v>0</v>
      </c>
      <c r="U24" s="48">
        <f>'TUSD BE'!$U$24*'TUSD BF'!$U$62</f>
        <v>0</v>
      </c>
      <c r="V24" s="48">
        <f>'TUSD BE'!$V$24*'TUSD BF'!$V$62</f>
        <v>0</v>
      </c>
      <c r="W24" s="48">
        <f>'TUSD BE'!$W$24*'TUSD BF'!$W$62</f>
        <v>0</v>
      </c>
      <c r="X24" s="48">
        <f>'TUSD BE'!$X$24*'TUSD BF'!$X$62</f>
        <v>0</v>
      </c>
      <c r="Y24" s="48">
        <f>'TUSD BE'!$Y$24*'TUSD BF'!$Y$62</f>
        <v>0</v>
      </c>
      <c r="Z24" s="48">
        <f>'TUSD BE'!$Z$24*'TUSD BF'!$Z$62</f>
        <v>0</v>
      </c>
      <c r="AA24" s="48">
        <f>'TUSD BE'!$AA$24*'TUSD BF'!$AA$62</f>
        <v>0</v>
      </c>
      <c r="AB24" s="48">
        <f>SUM($U$24:$AA$24)</f>
        <v>0</v>
      </c>
      <c r="AC24" s="48">
        <f>'TUSD BE'!$AC$24*'TUSD BF'!$AC$62</f>
        <v>0</v>
      </c>
      <c r="AD24" s="48">
        <f>SUM($AC$24:$AC$24)</f>
        <v>0</v>
      </c>
      <c r="AE24" s="48">
        <f ca="1">$AO$24*$AO$59</f>
        <v>0</v>
      </c>
      <c r="AF24" s="48">
        <f ca="1">$AP$24*$AP$59</f>
        <v>0</v>
      </c>
      <c r="AG24" s="48">
        <f ca="1">SUM($AE$24:$AF$24)</f>
        <v>0</v>
      </c>
      <c r="AH24" s="48">
        <f>'TUSD BE'!$AH$24*'TUSD BF'!$AH$62</f>
        <v>0</v>
      </c>
      <c r="AI24" s="48">
        <f>'TUSD BE'!$AI$24*'TUSD BF'!$AI$62</f>
        <v>0</v>
      </c>
      <c r="AJ24" s="48">
        <f ca="1">'TUSD BE'!$AJ$24*'TUSD BF'!$AJ$62</f>
        <v>0</v>
      </c>
      <c r="AK24" s="48">
        <f ca="1">'TUSD BE'!$AK$24*'TUSD BF'!$AK$62</f>
        <v>0</v>
      </c>
      <c r="AL24" s="48">
        <f ca="1">SUM($AH$24:$AK$24)</f>
        <v>0</v>
      </c>
      <c r="AM24" s="48">
        <f ca="1">SUMIF($L$4:$AL$4,"SUBTOTAL",$L$24:$AL$24)</f>
        <v>0</v>
      </c>
      <c r="AO24" s="54">
        <f ca="1">+'TUSD BE'!$T$24+'TUSD BE'!$AB$24+'TUSD BE'!$AD$24+'TUSD BE'!$AL$24</f>
        <v>406.19019508815694</v>
      </c>
      <c r="AP24" s="54">
        <f ca="1">+'TUSD BE'!$T$24+'TUSD BE'!$AB$24+'TUSD BE'!$AD$24+'TUSD BE'!$AL$24</f>
        <v>406.19019508815694</v>
      </c>
    </row>
    <row r="25" spans="1:42" ht="11.25" customHeight="1" x14ac:dyDescent="0.25">
      <c r="A25" s="109"/>
      <c r="B25" s="109"/>
      <c r="C25" s="109"/>
      <c r="D25" s="51" t="s">
        <v>29</v>
      </c>
      <c r="E25" s="51" t="s">
        <v>25</v>
      </c>
      <c r="F25" s="51" t="s">
        <v>25</v>
      </c>
      <c r="G25" s="52" t="s">
        <v>88</v>
      </c>
      <c r="H25" s="52" t="s">
        <v>82</v>
      </c>
      <c r="I25" s="52">
        <f>'MERCADO TUSD'!$U$22</f>
        <v>175.73700000000002</v>
      </c>
      <c r="J25" s="15"/>
      <c r="L25" s="48">
        <f>'TUSD BE'!$L$25*'TUSD BF'!$L$62</f>
        <v>0</v>
      </c>
      <c r="M25" s="48">
        <f>'TUSD BE'!$M$25*'TUSD BF'!$M$62</f>
        <v>0</v>
      </c>
      <c r="N25" s="48">
        <f ca="1">'TUSD BE'!$N$25*'TUSD BF'!$N$62</f>
        <v>0</v>
      </c>
      <c r="O25" s="48">
        <f>'TUSD BE'!$O$25*'TUSD BF'!$O$62</f>
        <v>0</v>
      </c>
      <c r="P25" s="48">
        <f>'TUSD BE'!$P$25*'TUSD BF'!$P$62</f>
        <v>0</v>
      </c>
      <c r="Q25" s="48">
        <f>'TUSD BE'!$Q$25*'TUSD BF'!$Q$62</f>
        <v>0</v>
      </c>
      <c r="R25" s="48">
        <f>'TUSD BE'!$R$25*'TUSD BF'!$R$62</f>
        <v>0</v>
      </c>
      <c r="S25" s="48">
        <f>'TUSD BE'!$R$25*'TUSD BF'!$S$62</f>
        <v>0</v>
      </c>
      <c r="T25" s="48">
        <f ca="1">SUM($L$25:$S$25)</f>
        <v>0</v>
      </c>
      <c r="U25" s="48">
        <f>'TUSD BE'!$U$25*'TUSD BF'!$U$62</f>
        <v>0</v>
      </c>
      <c r="V25" s="48">
        <f>'TUSD BE'!$V$25*'TUSD BF'!$V$62</f>
        <v>0</v>
      </c>
      <c r="W25" s="48">
        <f>'TUSD BE'!$W$25*'TUSD BF'!$W$62</f>
        <v>0</v>
      </c>
      <c r="X25" s="48">
        <f>'TUSD BE'!$X$25*'TUSD BF'!$X$62</f>
        <v>0</v>
      </c>
      <c r="Y25" s="48">
        <f>'TUSD BE'!$Y$25*'TUSD BF'!$Y$62</f>
        <v>0</v>
      </c>
      <c r="Z25" s="48">
        <f>'TUSD BE'!$Z$25*'TUSD BF'!$Z$62</f>
        <v>0</v>
      </c>
      <c r="AA25" s="48">
        <f>'TUSD BE'!$AA$25*'TUSD BF'!$AA$62</f>
        <v>0</v>
      </c>
      <c r="AB25" s="48">
        <f>SUM($U$25:$AA$25)</f>
        <v>0</v>
      </c>
      <c r="AC25" s="48">
        <f>'TUSD BE'!$AC$25*'TUSD BF'!$AC$62</f>
        <v>0</v>
      </c>
      <c r="AD25" s="48">
        <f>SUM($AC$25:$AC$25)</f>
        <v>0</v>
      </c>
      <c r="AE25" s="48">
        <f ca="1">$AO$25*$AO$59</f>
        <v>0</v>
      </c>
      <c r="AF25" s="48">
        <f ca="1">$AP$25*$AP$59</f>
        <v>0</v>
      </c>
      <c r="AG25" s="48">
        <f ca="1">SUM($AE$25:$AF$25)</f>
        <v>0</v>
      </c>
      <c r="AH25" s="48">
        <f>'TUSD BE'!$AH$25*'TUSD BF'!$AH$62</f>
        <v>0</v>
      </c>
      <c r="AI25" s="48">
        <f>'TUSD BE'!$AI$25*'TUSD BF'!$AI$62</f>
        <v>0</v>
      </c>
      <c r="AJ25" s="48">
        <f ca="1">'TUSD BE'!$AJ$25*'TUSD BF'!$AJ$62</f>
        <v>0</v>
      </c>
      <c r="AK25" s="48">
        <f ca="1">'TUSD BE'!$AK$25*'TUSD BF'!$AK$62</f>
        <v>0</v>
      </c>
      <c r="AL25" s="48">
        <f ca="1">SUM($AH$25:$AK$25)</f>
        <v>0</v>
      </c>
      <c r="AM25" s="48">
        <f ca="1">SUMIF($L$4:$AL$4,"SUBTOTAL",$L$25:$AL$25)</f>
        <v>0</v>
      </c>
      <c r="AO25" s="54">
        <f ca="1">+'TUSD BE'!$T$25+'TUSD BE'!$AB$25+'TUSD BE'!$AD$25+'TUSD BE'!$AL$25</f>
        <v>302.04967184273522</v>
      </c>
      <c r="AP25" s="54">
        <f ca="1">+'TUSD BE'!$T$25+'TUSD BE'!$AB$25+'TUSD BE'!$AD$25+'TUSD BE'!$AL$25</f>
        <v>302.04967184273522</v>
      </c>
    </row>
    <row r="26" spans="1:42" ht="11.25" customHeight="1" x14ac:dyDescent="0.25">
      <c r="A26" s="109"/>
      <c r="B26" s="109"/>
      <c r="C26" s="109"/>
      <c r="D26" s="51" t="s">
        <v>30</v>
      </c>
      <c r="E26" s="51" t="s">
        <v>25</v>
      </c>
      <c r="F26" s="51" t="s">
        <v>25</v>
      </c>
      <c r="G26" s="52" t="s">
        <v>88</v>
      </c>
      <c r="H26" s="52" t="s">
        <v>82</v>
      </c>
      <c r="I26" s="52">
        <f>'MERCADO TUSD'!$U$23</f>
        <v>60.123000000000005</v>
      </c>
      <c r="J26" s="15"/>
      <c r="L26" s="48">
        <f>'TUSD BE'!$L$26*'TUSD BF'!$L$62</f>
        <v>0</v>
      </c>
      <c r="M26" s="48">
        <f>'TUSD BE'!$M$26*'TUSD BF'!$M$62</f>
        <v>0</v>
      </c>
      <c r="N26" s="48">
        <f ca="1">'TUSD BE'!$N$26*'TUSD BF'!$N$62</f>
        <v>0</v>
      </c>
      <c r="O26" s="48">
        <f>'TUSD BE'!$O$26*'TUSD BF'!$O$62</f>
        <v>0</v>
      </c>
      <c r="P26" s="48">
        <f>'TUSD BE'!$P$26*'TUSD BF'!$P$62</f>
        <v>0</v>
      </c>
      <c r="Q26" s="48">
        <f>'TUSD BE'!$Q$26*'TUSD BF'!$Q$62</f>
        <v>0</v>
      </c>
      <c r="R26" s="48">
        <f>'TUSD BE'!$R$26*'TUSD BF'!$R$62</f>
        <v>0</v>
      </c>
      <c r="S26" s="48">
        <f>'TUSD BE'!$R$26*'TUSD BF'!$S$62</f>
        <v>0</v>
      </c>
      <c r="T26" s="48">
        <f ca="1">SUM($L$26:$S$26)</f>
        <v>0</v>
      </c>
      <c r="U26" s="48">
        <f>'TUSD BE'!$U$26*'TUSD BF'!$U$62</f>
        <v>0</v>
      </c>
      <c r="V26" s="48">
        <f>'TUSD BE'!$V$26*'TUSD BF'!$V$62</f>
        <v>0</v>
      </c>
      <c r="W26" s="48">
        <f>'TUSD BE'!$W$26*'TUSD BF'!$W$62</f>
        <v>0</v>
      </c>
      <c r="X26" s="48">
        <f>'TUSD BE'!$X$26*'TUSD BF'!$X$62</f>
        <v>0</v>
      </c>
      <c r="Y26" s="48">
        <f>'TUSD BE'!$Y$26*'TUSD BF'!$Y$62</f>
        <v>0</v>
      </c>
      <c r="Z26" s="48">
        <f>'TUSD BE'!$Z$26*'TUSD BF'!$Z$62</f>
        <v>0</v>
      </c>
      <c r="AA26" s="48">
        <f>'TUSD BE'!$AA$26*'TUSD BF'!$AA$62</f>
        <v>0</v>
      </c>
      <c r="AB26" s="48">
        <f>SUM($U$26:$AA$26)</f>
        <v>0</v>
      </c>
      <c r="AC26" s="48">
        <f>'TUSD BE'!$AC$26*'TUSD BF'!$AC$62</f>
        <v>0</v>
      </c>
      <c r="AD26" s="48">
        <f>SUM($AC$26:$AC$26)</f>
        <v>0</v>
      </c>
      <c r="AE26" s="48">
        <f ca="1">$AO$26*$AO$59</f>
        <v>0</v>
      </c>
      <c r="AF26" s="48">
        <f ca="1">$AP$26*$AP$59</f>
        <v>0</v>
      </c>
      <c r="AG26" s="48">
        <f ca="1">SUM($AE$26:$AF$26)</f>
        <v>0</v>
      </c>
      <c r="AH26" s="48">
        <f>'TUSD BE'!$AH$26*'TUSD BF'!$AH$62</f>
        <v>0</v>
      </c>
      <c r="AI26" s="48">
        <f>'TUSD BE'!$AI$26*'TUSD BF'!$AI$62</f>
        <v>0</v>
      </c>
      <c r="AJ26" s="48">
        <f ca="1">'TUSD BE'!$AJ$26*'TUSD BF'!$AJ$62</f>
        <v>0</v>
      </c>
      <c r="AK26" s="48">
        <f ca="1">'TUSD BE'!$AK$26*'TUSD BF'!$AK$62</f>
        <v>0</v>
      </c>
      <c r="AL26" s="48">
        <f ca="1">SUM($AH$26:$AK$26)</f>
        <v>0</v>
      </c>
      <c r="AM26" s="48">
        <f ca="1">SUMIF($L$4:$AL$4,"SUBTOTAL",$L$26:$AL$26)</f>
        <v>0</v>
      </c>
      <c r="AO26" s="54">
        <f ca="1">+'TUSD BE'!$T$26+'TUSD BE'!$AB$26+'TUSD BE'!$AD$26+'TUSD BE'!$AL$26</f>
        <v>302.04967184273522</v>
      </c>
      <c r="AP26" s="54">
        <f ca="1">+'TUSD BE'!$T$26+'TUSD BE'!$AB$26+'TUSD BE'!$AD$26+'TUSD BE'!$AL$26</f>
        <v>302.04967184273522</v>
      </c>
    </row>
    <row r="27" spans="1:42" ht="11.25" customHeight="1" x14ac:dyDescent="0.25">
      <c r="A27" s="109"/>
      <c r="B27" s="109"/>
      <c r="C27" s="109"/>
      <c r="D27" s="51" t="s">
        <v>31</v>
      </c>
      <c r="E27" s="51" t="s">
        <v>25</v>
      </c>
      <c r="F27" s="51" t="s">
        <v>25</v>
      </c>
      <c r="G27" s="52" t="s">
        <v>88</v>
      </c>
      <c r="H27" s="52" t="s">
        <v>82</v>
      </c>
      <c r="I27" s="52">
        <f>'MERCADO TUSD'!$U$24</f>
        <v>463.43299999999999</v>
      </c>
      <c r="J27" s="15"/>
      <c r="L27" s="48">
        <f>'TUSD BE'!$L$27*'TUSD BF'!$L$62</f>
        <v>0</v>
      </c>
      <c r="M27" s="48">
        <f>'TUSD BE'!$M$27*'TUSD BF'!$M$62</f>
        <v>0</v>
      </c>
      <c r="N27" s="48">
        <f ca="1">'TUSD BE'!$N$27*'TUSD BF'!$N$62</f>
        <v>0</v>
      </c>
      <c r="O27" s="48">
        <f>'TUSD BE'!$O$27*'TUSD BF'!$O$62</f>
        <v>0</v>
      </c>
      <c r="P27" s="48">
        <f>'TUSD BE'!$P$27*'TUSD BF'!$P$62</f>
        <v>0</v>
      </c>
      <c r="Q27" s="48">
        <f>'TUSD BE'!$Q$27*'TUSD BF'!$Q$62</f>
        <v>0</v>
      </c>
      <c r="R27" s="48">
        <f>'TUSD BE'!$R$27*'TUSD BF'!$R$62</f>
        <v>0</v>
      </c>
      <c r="S27" s="48">
        <f>'TUSD BE'!$R$27*'TUSD BF'!$S$62</f>
        <v>0</v>
      </c>
      <c r="T27" s="48">
        <f ca="1">SUM($L$27:$S$27)</f>
        <v>0</v>
      </c>
      <c r="U27" s="48">
        <f>'TUSD BE'!$U$27*'TUSD BF'!$U$62</f>
        <v>0</v>
      </c>
      <c r="V27" s="48">
        <f>'TUSD BE'!$V$27*'TUSD BF'!$V$62</f>
        <v>0</v>
      </c>
      <c r="W27" s="48">
        <f>'TUSD BE'!$W$27*'TUSD BF'!$W$62</f>
        <v>0</v>
      </c>
      <c r="X27" s="48">
        <f>'TUSD BE'!$X$27*'TUSD BF'!$X$62</f>
        <v>0</v>
      </c>
      <c r="Y27" s="48">
        <f>'TUSD BE'!$Y$27*'TUSD BF'!$Y$62</f>
        <v>0</v>
      </c>
      <c r="Z27" s="48">
        <f>'TUSD BE'!$Z$27*'TUSD BF'!$Z$62</f>
        <v>0</v>
      </c>
      <c r="AA27" s="48">
        <f>'TUSD BE'!$AA$27*'TUSD BF'!$AA$62</f>
        <v>0</v>
      </c>
      <c r="AB27" s="48">
        <f>SUM($U$27:$AA$27)</f>
        <v>0</v>
      </c>
      <c r="AC27" s="48">
        <f>'TUSD BE'!$AC$27*'TUSD BF'!$AC$62</f>
        <v>0</v>
      </c>
      <c r="AD27" s="48">
        <f>SUM($AC$27:$AC$27)</f>
        <v>0</v>
      </c>
      <c r="AE27" s="48">
        <f ca="1">$AO$27*$AO$59</f>
        <v>0</v>
      </c>
      <c r="AF27" s="48">
        <f ca="1">$AP$27*$AP$59</f>
        <v>0</v>
      </c>
      <c r="AG27" s="48">
        <f ca="1">SUM($AE$27:$AF$27)</f>
        <v>0</v>
      </c>
      <c r="AH27" s="48">
        <f>'TUSD BE'!$AH$27*'TUSD BF'!$AH$62</f>
        <v>0</v>
      </c>
      <c r="AI27" s="48">
        <f>'TUSD BE'!$AI$27*'TUSD BF'!$AI$62</f>
        <v>0</v>
      </c>
      <c r="AJ27" s="48">
        <f ca="1">'TUSD BE'!$AJ$27*'TUSD BF'!$AJ$62</f>
        <v>0</v>
      </c>
      <c r="AK27" s="48">
        <f ca="1">'TUSD BE'!$AK$27*'TUSD BF'!$AK$62</f>
        <v>0</v>
      </c>
      <c r="AL27" s="48">
        <f ca="1">SUM($AH$27:$AK$27)</f>
        <v>0</v>
      </c>
      <c r="AM27" s="48">
        <f ca="1">SUMIF($L$4:$AL$4,"SUBTOTAL",$L$27:$AL$27)</f>
        <v>0</v>
      </c>
      <c r="AO27" s="54">
        <f ca="1">+'TUSD BE'!$T$27+'TUSD BE'!$AB$27+'TUSD BE'!$AD$27+'TUSD BE'!$AL$27</f>
        <v>302.04967184273522</v>
      </c>
      <c r="AP27" s="54">
        <f ca="1">+'TUSD BE'!$T$27+'TUSD BE'!$AB$27+'TUSD BE'!$AD$27+'TUSD BE'!$AL$27</f>
        <v>302.04967184273522</v>
      </c>
    </row>
    <row r="28" spans="1:42" ht="11.25" customHeight="1" x14ac:dyDescent="0.25">
      <c r="A28" s="109"/>
      <c r="B28" s="109"/>
      <c r="C28" s="109"/>
      <c r="D28" s="51" t="s">
        <v>32</v>
      </c>
      <c r="E28" s="51" t="s">
        <v>25</v>
      </c>
      <c r="F28" s="51" t="s">
        <v>25</v>
      </c>
      <c r="G28" s="52" t="s">
        <v>88</v>
      </c>
      <c r="H28" s="52" t="s">
        <v>82</v>
      </c>
      <c r="I28" s="52">
        <f>'MERCADO TUSD'!$U$25</f>
        <v>303.64100000000002</v>
      </c>
      <c r="J28" s="15"/>
      <c r="L28" s="48">
        <f>'TUSD BE'!$L$28*'TUSD BF'!$L$62</f>
        <v>0</v>
      </c>
      <c r="M28" s="48">
        <f>'TUSD BE'!$M$28*'TUSD BF'!$M$62</f>
        <v>0</v>
      </c>
      <c r="N28" s="48">
        <f ca="1">'TUSD BE'!$N$28*'TUSD BF'!$N$62</f>
        <v>0</v>
      </c>
      <c r="O28" s="48">
        <f>'TUSD BE'!$O$28*'TUSD BF'!$O$62</f>
        <v>0</v>
      </c>
      <c r="P28" s="48">
        <f>'TUSD BE'!$P$28*'TUSD BF'!$P$62</f>
        <v>0</v>
      </c>
      <c r="Q28" s="48">
        <f>'TUSD BE'!$Q$28*'TUSD BF'!$Q$62</f>
        <v>0</v>
      </c>
      <c r="R28" s="48">
        <f>'TUSD BE'!$R$28*'TUSD BF'!$R$62</f>
        <v>0</v>
      </c>
      <c r="S28" s="48">
        <f>'TUSD BE'!$R$28*'TUSD BF'!$S$62</f>
        <v>0</v>
      </c>
      <c r="T28" s="48">
        <f ca="1">SUM($L$28:$S$28)</f>
        <v>0</v>
      </c>
      <c r="U28" s="48">
        <f>'TUSD BE'!$U$28*'TUSD BF'!$U$62</f>
        <v>0</v>
      </c>
      <c r="V28" s="48">
        <f>'TUSD BE'!$V$28*'TUSD BF'!$V$62</f>
        <v>0</v>
      </c>
      <c r="W28" s="48">
        <f>'TUSD BE'!$W$28*'TUSD BF'!$W$62</f>
        <v>0</v>
      </c>
      <c r="X28" s="48">
        <f>'TUSD BE'!$X$28*'TUSD BF'!$X$62</f>
        <v>0</v>
      </c>
      <c r="Y28" s="48">
        <f>'TUSD BE'!$Y$28*'TUSD BF'!$Y$62</f>
        <v>0</v>
      </c>
      <c r="Z28" s="48">
        <f>'TUSD BE'!$Z$28*'TUSD BF'!$Z$62</f>
        <v>0</v>
      </c>
      <c r="AA28" s="48">
        <f>'TUSD BE'!$AA$28*'TUSD BF'!$AA$62</f>
        <v>0</v>
      </c>
      <c r="AB28" s="48">
        <f>SUM($U$28:$AA$28)</f>
        <v>0</v>
      </c>
      <c r="AC28" s="48">
        <f>'TUSD BE'!$AC$28*'TUSD BF'!$AC$62</f>
        <v>0</v>
      </c>
      <c r="AD28" s="48">
        <f>SUM($AC$28:$AC$28)</f>
        <v>0</v>
      </c>
      <c r="AE28" s="48">
        <f ca="1">$AO$28*$AO$59</f>
        <v>0</v>
      </c>
      <c r="AF28" s="48">
        <f ca="1">$AP$28*$AP$59</f>
        <v>0</v>
      </c>
      <c r="AG28" s="48">
        <f ca="1">SUM($AE$28:$AF$28)</f>
        <v>0</v>
      </c>
      <c r="AH28" s="48">
        <f>'TUSD BE'!$AH$28*'TUSD BF'!$AH$62</f>
        <v>0</v>
      </c>
      <c r="AI28" s="48">
        <f>'TUSD BE'!$AI$28*'TUSD BF'!$AI$62</f>
        <v>0</v>
      </c>
      <c r="AJ28" s="48">
        <f ca="1">'TUSD BE'!$AJ$28*'TUSD BF'!$AJ$62</f>
        <v>0</v>
      </c>
      <c r="AK28" s="48">
        <f ca="1">'TUSD BE'!$AK$28*'TUSD BF'!$AK$62</f>
        <v>0</v>
      </c>
      <c r="AL28" s="48">
        <f ca="1">SUM($AH$28:$AK$28)</f>
        <v>0</v>
      </c>
      <c r="AM28" s="48">
        <f ca="1">SUMIF($L$4:$AL$4,"SUBTOTAL",$L$28:$AL$28)</f>
        <v>0</v>
      </c>
      <c r="AO28" s="54">
        <f ca="1">+'TUSD BE'!$T$28+'TUSD BE'!$AB$28+'TUSD BE'!$AD$28+'TUSD BE'!$AL$28</f>
        <v>302.04967184273522</v>
      </c>
      <c r="AP28" s="54">
        <f ca="1">+'TUSD BE'!$T$28+'TUSD BE'!$AB$28+'TUSD BE'!$AD$28+'TUSD BE'!$AL$28</f>
        <v>302.04967184273522</v>
      </c>
    </row>
    <row r="29" spans="1:42" ht="11.25" customHeight="1" x14ac:dyDescent="0.25">
      <c r="A29" s="109"/>
      <c r="B29" s="109" t="s">
        <v>97</v>
      </c>
      <c r="C29" s="109" t="s">
        <v>24</v>
      </c>
      <c r="D29" s="51" t="s">
        <v>24</v>
      </c>
      <c r="E29" s="51" t="s">
        <v>25</v>
      </c>
      <c r="F29" s="51" t="s">
        <v>25</v>
      </c>
      <c r="G29" s="52" t="s">
        <v>88</v>
      </c>
      <c r="H29" s="52" t="s">
        <v>82</v>
      </c>
      <c r="I29" s="52">
        <f>'MERCADO TUSD'!$U$26</f>
        <v>0</v>
      </c>
      <c r="J29" s="15"/>
      <c r="L29" s="48">
        <f>'TUSD BE'!$L$29*'TUSD BF'!$L$62</f>
        <v>0</v>
      </c>
      <c r="M29" s="48">
        <f>'TUSD BE'!$M$29*'TUSD BF'!$M$62</f>
        <v>0</v>
      </c>
      <c r="N29" s="48">
        <f ca="1">'TUSD BE'!$N$29*'TUSD BF'!$N$62</f>
        <v>0</v>
      </c>
      <c r="O29" s="48">
        <f>'TUSD BE'!$O$29*'TUSD BF'!$O$62</f>
        <v>0</v>
      </c>
      <c r="P29" s="48">
        <f>'TUSD BE'!$P$29*'TUSD BF'!$P$62</f>
        <v>0</v>
      </c>
      <c r="Q29" s="48">
        <f>'TUSD BE'!$Q$29*'TUSD BF'!$Q$62</f>
        <v>0</v>
      </c>
      <c r="R29" s="48">
        <f>'TUSD BE'!$R$29*'TUSD BF'!$R$62</f>
        <v>0</v>
      </c>
      <c r="S29" s="48">
        <f>'TUSD BE'!$R$29*'TUSD BF'!$S$62</f>
        <v>0</v>
      </c>
      <c r="T29" s="48">
        <f ca="1">SUM($L$29:$S$29)</f>
        <v>0</v>
      </c>
      <c r="U29" s="48">
        <f>'TUSD BE'!$U$29*'TUSD BF'!$U$62</f>
        <v>0</v>
      </c>
      <c r="V29" s="48">
        <f>'TUSD BE'!$V$29*'TUSD BF'!$V$62</f>
        <v>0</v>
      </c>
      <c r="W29" s="48">
        <f>'TUSD BE'!$W$29*'TUSD BF'!$W$62</f>
        <v>0</v>
      </c>
      <c r="X29" s="48">
        <f>'TUSD BE'!$X$29*'TUSD BF'!$X$62</f>
        <v>0</v>
      </c>
      <c r="Y29" s="48">
        <f>'TUSD BE'!$Y$29*'TUSD BF'!$Y$62</f>
        <v>0</v>
      </c>
      <c r="Z29" s="48">
        <f>'TUSD BE'!$Z$29*'TUSD BF'!$Z$62</f>
        <v>0</v>
      </c>
      <c r="AA29" s="48">
        <f>'TUSD BE'!$AA$29*'TUSD BF'!$AA$62</f>
        <v>0</v>
      </c>
      <c r="AB29" s="48">
        <f>SUM($U$29:$AA$29)</f>
        <v>0</v>
      </c>
      <c r="AC29" s="48">
        <f>'TUSD BE'!$AC$29*'TUSD BF'!$AC$62</f>
        <v>0</v>
      </c>
      <c r="AD29" s="48">
        <f>SUM($AC$29:$AC$29)</f>
        <v>0</v>
      </c>
      <c r="AE29" s="48">
        <f ca="1">$AO$29*$AO$59</f>
        <v>0</v>
      </c>
      <c r="AF29" s="48">
        <f ca="1">$AP$29*$AP$59</f>
        <v>0</v>
      </c>
      <c r="AG29" s="48">
        <f ca="1">SUM($AE$29:$AF$29)</f>
        <v>0</v>
      </c>
      <c r="AH29" s="48">
        <f>'TUSD BE'!$AH$29*'TUSD BF'!$AH$62</f>
        <v>0</v>
      </c>
      <c r="AI29" s="48">
        <f>'TUSD BE'!$AI$29*'TUSD BF'!$AI$62</f>
        <v>0</v>
      </c>
      <c r="AJ29" s="48">
        <f ca="1">'TUSD BE'!$AJ$29*'TUSD BF'!$AJ$62</f>
        <v>0</v>
      </c>
      <c r="AK29" s="48">
        <f ca="1">'TUSD BE'!$AK$29*'TUSD BF'!$AK$62</f>
        <v>0</v>
      </c>
      <c r="AL29" s="48">
        <f ca="1">SUM($AH$29:$AK$29)</f>
        <v>0</v>
      </c>
      <c r="AM29" s="48">
        <f ca="1">SUMIF($L$4:$AL$4,"SUBTOTAL",$L$29:$AL$29)</f>
        <v>0</v>
      </c>
      <c r="AO29" s="54">
        <f ca="1">+'TUSD BE'!$T$29+'TUSD BE'!$AB$29+'TUSD BE'!$AD$29+'TUSD BE'!$AL$29</f>
        <v>406.19019508815694</v>
      </c>
      <c r="AP29" s="54">
        <f ca="1">+'TUSD BE'!$T$29+'TUSD BE'!$AB$29+'TUSD BE'!$AD$29+'TUSD BE'!$AL$29</f>
        <v>406.19019508815694</v>
      </c>
    </row>
    <row r="30" spans="1:42" ht="11.25" customHeight="1" x14ac:dyDescent="0.25">
      <c r="A30" s="109"/>
      <c r="B30" s="109"/>
      <c r="C30" s="109"/>
      <c r="D30" s="51" t="s">
        <v>29</v>
      </c>
      <c r="E30" s="51" t="s">
        <v>25</v>
      </c>
      <c r="F30" s="51" t="s">
        <v>25</v>
      </c>
      <c r="G30" s="52" t="s">
        <v>88</v>
      </c>
      <c r="H30" s="52" t="s">
        <v>82</v>
      </c>
      <c r="I30" s="52">
        <f>'MERCADO TUSD'!$U$27</f>
        <v>0</v>
      </c>
      <c r="J30" s="15"/>
      <c r="L30" s="48">
        <f>'TUSD BE'!$L$30*'TUSD BF'!$L$62</f>
        <v>0</v>
      </c>
      <c r="M30" s="48">
        <f>'TUSD BE'!$M$30*'TUSD BF'!$M$62</f>
        <v>0</v>
      </c>
      <c r="N30" s="48">
        <f ca="1">'TUSD BE'!$N$30*'TUSD BF'!$N$62</f>
        <v>0</v>
      </c>
      <c r="O30" s="48">
        <f>'TUSD BE'!$O$30*'TUSD BF'!$O$62</f>
        <v>0</v>
      </c>
      <c r="P30" s="48">
        <f>'TUSD BE'!$P$30*'TUSD BF'!$P$62</f>
        <v>0</v>
      </c>
      <c r="Q30" s="48">
        <f>'TUSD BE'!$Q$30*'TUSD BF'!$Q$62</f>
        <v>0</v>
      </c>
      <c r="R30" s="48">
        <f>'TUSD BE'!$R$30*'TUSD BF'!$R$62</f>
        <v>0</v>
      </c>
      <c r="S30" s="48">
        <f>'TUSD BE'!$R$30*'TUSD BF'!$S$62</f>
        <v>0</v>
      </c>
      <c r="T30" s="48">
        <f ca="1">SUM($L$30:$S$30)</f>
        <v>0</v>
      </c>
      <c r="U30" s="48">
        <f>'TUSD BE'!$U$30*'TUSD BF'!$U$62</f>
        <v>0</v>
      </c>
      <c r="V30" s="48">
        <f>'TUSD BE'!$V$30*'TUSD BF'!$V$62</f>
        <v>0</v>
      </c>
      <c r="W30" s="48">
        <f>'TUSD BE'!$W$30*'TUSD BF'!$W$62</f>
        <v>0</v>
      </c>
      <c r="X30" s="48">
        <f>'TUSD BE'!$X$30*'TUSD BF'!$X$62</f>
        <v>0</v>
      </c>
      <c r="Y30" s="48">
        <f>'TUSD BE'!$Y$30*'TUSD BF'!$Y$62</f>
        <v>0</v>
      </c>
      <c r="Z30" s="48">
        <f>'TUSD BE'!$Z$30*'TUSD BF'!$Z$62</f>
        <v>0</v>
      </c>
      <c r="AA30" s="48">
        <f>'TUSD BE'!$AA$30*'TUSD BF'!$AA$62</f>
        <v>0</v>
      </c>
      <c r="AB30" s="48">
        <f>SUM($U$30:$AA$30)</f>
        <v>0</v>
      </c>
      <c r="AC30" s="48">
        <f>'TUSD BE'!$AC$30*'TUSD BF'!$AC$62</f>
        <v>0</v>
      </c>
      <c r="AD30" s="48">
        <f>SUM($AC$30:$AC$30)</f>
        <v>0</v>
      </c>
      <c r="AE30" s="48">
        <f ca="1">$AO$30*$AO$59</f>
        <v>0</v>
      </c>
      <c r="AF30" s="48">
        <f ca="1">$AP$30*$AP$59</f>
        <v>0</v>
      </c>
      <c r="AG30" s="48">
        <f ca="1">SUM($AE$30:$AF$30)</f>
        <v>0</v>
      </c>
      <c r="AH30" s="48">
        <f>'TUSD BE'!$AH$30*'TUSD BF'!$AH$62</f>
        <v>0</v>
      </c>
      <c r="AI30" s="48">
        <f>'TUSD BE'!$AI$30*'TUSD BF'!$AI$62</f>
        <v>0</v>
      </c>
      <c r="AJ30" s="48">
        <f ca="1">'TUSD BE'!$AJ$30*'TUSD BF'!$AJ$62</f>
        <v>0</v>
      </c>
      <c r="AK30" s="48">
        <f ca="1">'TUSD BE'!$AK$30*'TUSD BF'!$AK$62</f>
        <v>0</v>
      </c>
      <c r="AL30" s="48">
        <f ca="1">SUM($AH$30:$AK$30)</f>
        <v>0</v>
      </c>
      <c r="AM30" s="48">
        <f ca="1">SUMIF($L$4:$AL$4,"SUBTOTAL",$L$30:$AL$30)</f>
        <v>0</v>
      </c>
      <c r="AO30" s="54">
        <f ca="1">+'TUSD BE'!$T$30+'TUSD BE'!$AB$30+'TUSD BE'!$AD$30+'TUSD BE'!$AL$30</f>
        <v>302.04967184273522</v>
      </c>
      <c r="AP30" s="54">
        <f ca="1">+'TUSD BE'!$T$30+'TUSD BE'!$AB$30+'TUSD BE'!$AD$30+'TUSD BE'!$AL$30</f>
        <v>302.04967184273522</v>
      </c>
    </row>
    <row r="31" spans="1:42" ht="11.25" customHeight="1" x14ac:dyDescent="0.25">
      <c r="A31" s="109"/>
      <c r="B31" s="109"/>
      <c r="C31" s="109"/>
      <c r="D31" s="51" t="s">
        <v>30</v>
      </c>
      <c r="E31" s="51" t="s">
        <v>25</v>
      </c>
      <c r="F31" s="51" t="s">
        <v>25</v>
      </c>
      <c r="G31" s="52" t="s">
        <v>88</v>
      </c>
      <c r="H31" s="52" t="s">
        <v>82</v>
      </c>
      <c r="I31" s="52">
        <f>'MERCADO TUSD'!$U$28</f>
        <v>0</v>
      </c>
      <c r="J31" s="15"/>
      <c r="L31" s="48">
        <f>'TUSD BE'!$L$31*'TUSD BF'!$L$62</f>
        <v>0</v>
      </c>
      <c r="M31" s="48">
        <f>'TUSD BE'!$M$31*'TUSD BF'!$M$62</f>
        <v>0</v>
      </c>
      <c r="N31" s="48">
        <f ca="1">'TUSD BE'!$N$31*'TUSD BF'!$N$62</f>
        <v>0</v>
      </c>
      <c r="O31" s="48">
        <f>'TUSD BE'!$O$31*'TUSD BF'!$O$62</f>
        <v>0</v>
      </c>
      <c r="P31" s="48">
        <f>'TUSD BE'!$P$31*'TUSD BF'!$P$62</f>
        <v>0</v>
      </c>
      <c r="Q31" s="48">
        <f>'TUSD BE'!$Q$31*'TUSD BF'!$Q$62</f>
        <v>0</v>
      </c>
      <c r="R31" s="48">
        <f>'TUSD BE'!$R$31*'TUSD BF'!$R$62</f>
        <v>0</v>
      </c>
      <c r="S31" s="48">
        <f>'TUSD BE'!$R$31*'TUSD BF'!$S$62</f>
        <v>0</v>
      </c>
      <c r="T31" s="48">
        <f ca="1">SUM($L$31:$S$31)</f>
        <v>0</v>
      </c>
      <c r="U31" s="48">
        <f>'TUSD BE'!$U$31*'TUSD BF'!$U$62</f>
        <v>0</v>
      </c>
      <c r="V31" s="48">
        <f>'TUSD BE'!$V$31*'TUSD BF'!$V$62</f>
        <v>0</v>
      </c>
      <c r="W31" s="48">
        <f>'TUSD BE'!$W$31*'TUSD BF'!$W$62</f>
        <v>0</v>
      </c>
      <c r="X31" s="48">
        <f>'TUSD BE'!$X$31*'TUSD BF'!$X$62</f>
        <v>0</v>
      </c>
      <c r="Y31" s="48">
        <f>'TUSD BE'!$Y$31*'TUSD BF'!$Y$62</f>
        <v>0</v>
      </c>
      <c r="Z31" s="48">
        <f>'TUSD BE'!$Z$31*'TUSD BF'!$Z$62</f>
        <v>0</v>
      </c>
      <c r="AA31" s="48">
        <f>'TUSD BE'!$AA$31*'TUSD BF'!$AA$62</f>
        <v>0</v>
      </c>
      <c r="AB31" s="48">
        <f>SUM($U$31:$AA$31)</f>
        <v>0</v>
      </c>
      <c r="AC31" s="48">
        <f>'TUSD BE'!$AC$31*'TUSD BF'!$AC$62</f>
        <v>0</v>
      </c>
      <c r="AD31" s="48">
        <f>SUM($AC$31:$AC$31)</f>
        <v>0</v>
      </c>
      <c r="AE31" s="48">
        <f ca="1">$AO$31*$AO$59</f>
        <v>0</v>
      </c>
      <c r="AF31" s="48">
        <f ca="1">$AP$31*$AP$59</f>
        <v>0</v>
      </c>
      <c r="AG31" s="48">
        <f ca="1">SUM($AE$31:$AF$31)</f>
        <v>0</v>
      </c>
      <c r="AH31" s="48">
        <f>'TUSD BE'!$AH$31*'TUSD BF'!$AH$62</f>
        <v>0</v>
      </c>
      <c r="AI31" s="48">
        <f>'TUSD BE'!$AI$31*'TUSD BF'!$AI$62</f>
        <v>0</v>
      </c>
      <c r="AJ31" s="48">
        <f ca="1">'TUSD BE'!$AJ$31*'TUSD BF'!$AJ$62</f>
        <v>0</v>
      </c>
      <c r="AK31" s="48">
        <f ca="1">'TUSD BE'!$AK$31*'TUSD BF'!$AK$62</f>
        <v>0</v>
      </c>
      <c r="AL31" s="48">
        <f ca="1">SUM($AH$31:$AK$31)</f>
        <v>0</v>
      </c>
      <c r="AM31" s="48">
        <f ca="1">SUMIF($L$4:$AL$4,"SUBTOTAL",$L$31:$AL$31)</f>
        <v>0</v>
      </c>
      <c r="AO31" s="54">
        <f ca="1">+'TUSD BE'!$T$31+'TUSD BE'!$AB$31+'TUSD BE'!$AD$31+'TUSD BE'!$AL$31</f>
        <v>302.04967184273522</v>
      </c>
      <c r="AP31" s="54">
        <f ca="1">+'TUSD BE'!$T$31+'TUSD BE'!$AB$31+'TUSD BE'!$AD$31+'TUSD BE'!$AL$31</f>
        <v>302.04967184273522</v>
      </c>
    </row>
    <row r="32" spans="1:42" ht="11.25" customHeight="1" x14ac:dyDescent="0.25">
      <c r="A32" s="109"/>
      <c r="B32" s="109"/>
      <c r="C32" s="109"/>
      <c r="D32" s="51" t="s">
        <v>31</v>
      </c>
      <c r="E32" s="51" t="s">
        <v>25</v>
      </c>
      <c r="F32" s="51" t="s">
        <v>25</v>
      </c>
      <c r="G32" s="52" t="s">
        <v>88</v>
      </c>
      <c r="H32" s="52" t="s">
        <v>82</v>
      </c>
      <c r="I32" s="52">
        <f>'MERCADO TUSD'!$U$29</f>
        <v>0</v>
      </c>
      <c r="J32" s="15"/>
      <c r="L32" s="48">
        <f>'TUSD BE'!$L$32*'TUSD BF'!$L$62</f>
        <v>0</v>
      </c>
      <c r="M32" s="48">
        <f>'TUSD BE'!$M$32*'TUSD BF'!$M$62</f>
        <v>0</v>
      </c>
      <c r="N32" s="48">
        <f ca="1">'TUSD BE'!$N$32*'TUSD BF'!$N$62</f>
        <v>0</v>
      </c>
      <c r="O32" s="48">
        <f>'TUSD BE'!$O$32*'TUSD BF'!$O$62</f>
        <v>0</v>
      </c>
      <c r="P32" s="48">
        <f>'TUSD BE'!$P$32*'TUSD BF'!$P$62</f>
        <v>0</v>
      </c>
      <c r="Q32" s="48">
        <f>'TUSD BE'!$Q$32*'TUSD BF'!$Q$62</f>
        <v>0</v>
      </c>
      <c r="R32" s="48">
        <f>'TUSD BE'!$R$32*'TUSD BF'!$R$62</f>
        <v>0</v>
      </c>
      <c r="S32" s="48">
        <f>'TUSD BE'!$R$32*'TUSD BF'!$S$62</f>
        <v>0</v>
      </c>
      <c r="T32" s="48">
        <f ca="1">SUM($L$32:$S$32)</f>
        <v>0</v>
      </c>
      <c r="U32" s="48">
        <f>'TUSD BE'!$U$32*'TUSD BF'!$U$62</f>
        <v>0</v>
      </c>
      <c r="V32" s="48">
        <f>'TUSD BE'!$V$32*'TUSD BF'!$V$62</f>
        <v>0</v>
      </c>
      <c r="W32" s="48">
        <f>'TUSD BE'!$W$32*'TUSD BF'!$W$62</f>
        <v>0</v>
      </c>
      <c r="X32" s="48">
        <f>'TUSD BE'!$X$32*'TUSD BF'!$X$62</f>
        <v>0</v>
      </c>
      <c r="Y32" s="48">
        <f>'TUSD BE'!$Y$32*'TUSD BF'!$Y$62</f>
        <v>0</v>
      </c>
      <c r="Z32" s="48">
        <f>'TUSD BE'!$Z$32*'TUSD BF'!$Z$62</f>
        <v>0</v>
      </c>
      <c r="AA32" s="48">
        <f>'TUSD BE'!$AA$32*'TUSD BF'!$AA$62</f>
        <v>0</v>
      </c>
      <c r="AB32" s="48">
        <f>SUM($U$32:$AA$32)</f>
        <v>0</v>
      </c>
      <c r="AC32" s="48">
        <f>'TUSD BE'!$AC$32*'TUSD BF'!$AC$62</f>
        <v>0</v>
      </c>
      <c r="AD32" s="48">
        <f>SUM($AC$32:$AC$32)</f>
        <v>0</v>
      </c>
      <c r="AE32" s="48">
        <f ca="1">$AO$32*$AO$59</f>
        <v>0</v>
      </c>
      <c r="AF32" s="48">
        <f ca="1">$AP$32*$AP$59</f>
        <v>0</v>
      </c>
      <c r="AG32" s="48">
        <f ca="1">SUM($AE$32:$AF$32)</f>
        <v>0</v>
      </c>
      <c r="AH32" s="48">
        <f>'TUSD BE'!$AH$32*'TUSD BF'!$AH$62</f>
        <v>0</v>
      </c>
      <c r="AI32" s="48">
        <f>'TUSD BE'!$AI$32*'TUSD BF'!$AI$62</f>
        <v>0</v>
      </c>
      <c r="AJ32" s="48">
        <f ca="1">'TUSD BE'!$AJ$32*'TUSD BF'!$AJ$62</f>
        <v>0</v>
      </c>
      <c r="AK32" s="48">
        <f ca="1">'TUSD BE'!$AK$32*'TUSD BF'!$AK$62</f>
        <v>0</v>
      </c>
      <c r="AL32" s="48">
        <f ca="1">SUM($AH$32:$AK$32)</f>
        <v>0</v>
      </c>
      <c r="AM32" s="48">
        <f ca="1">SUMIF($L$4:$AL$4,"SUBTOTAL",$L$32:$AL$32)</f>
        <v>0</v>
      </c>
      <c r="AO32" s="54">
        <f ca="1">+'TUSD BE'!$T$32+'TUSD BE'!$AB$32+'TUSD BE'!$AD$32+'TUSD BE'!$AL$32</f>
        <v>302.04967184273522</v>
      </c>
      <c r="AP32" s="54">
        <f ca="1">+'TUSD BE'!$T$32+'TUSD BE'!$AB$32+'TUSD BE'!$AD$32+'TUSD BE'!$AL$32</f>
        <v>302.04967184273522</v>
      </c>
    </row>
    <row r="33" spans="1:42" ht="11.25" customHeight="1" x14ac:dyDescent="0.25">
      <c r="A33" s="109"/>
      <c r="B33" s="109"/>
      <c r="C33" s="109"/>
      <c r="D33" s="51" t="s">
        <v>32</v>
      </c>
      <c r="E33" s="51" t="s">
        <v>25</v>
      </c>
      <c r="F33" s="51" t="s">
        <v>25</v>
      </c>
      <c r="G33" s="52" t="s">
        <v>88</v>
      </c>
      <c r="H33" s="52" t="s">
        <v>82</v>
      </c>
      <c r="I33" s="52">
        <f>'MERCADO TUSD'!$U$30</f>
        <v>0</v>
      </c>
      <c r="J33" s="15"/>
      <c r="L33" s="48">
        <f>'TUSD BE'!$L$33*'TUSD BF'!$L$62</f>
        <v>0</v>
      </c>
      <c r="M33" s="48">
        <f>'TUSD BE'!$M$33*'TUSD BF'!$M$62</f>
        <v>0</v>
      </c>
      <c r="N33" s="48">
        <f ca="1">'TUSD BE'!$N$33*'TUSD BF'!$N$62</f>
        <v>0</v>
      </c>
      <c r="O33" s="48">
        <f>'TUSD BE'!$O$33*'TUSD BF'!$O$62</f>
        <v>0</v>
      </c>
      <c r="P33" s="48">
        <f>'TUSD BE'!$P$33*'TUSD BF'!$P$62</f>
        <v>0</v>
      </c>
      <c r="Q33" s="48">
        <f>'TUSD BE'!$Q$33*'TUSD BF'!$Q$62</f>
        <v>0</v>
      </c>
      <c r="R33" s="48">
        <f>'TUSD BE'!$R$33*'TUSD BF'!$R$62</f>
        <v>0</v>
      </c>
      <c r="S33" s="48">
        <f>'TUSD BE'!$R$33*'TUSD BF'!$S$62</f>
        <v>0</v>
      </c>
      <c r="T33" s="48">
        <f ca="1">SUM($L$33:$S$33)</f>
        <v>0</v>
      </c>
      <c r="U33" s="48">
        <f>'TUSD BE'!$U$33*'TUSD BF'!$U$62</f>
        <v>0</v>
      </c>
      <c r="V33" s="48">
        <f>'TUSD BE'!$V$33*'TUSD BF'!$V$62</f>
        <v>0</v>
      </c>
      <c r="W33" s="48">
        <f>'TUSD BE'!$W$33*'TUSD BF'!$W$62</f>
        <v>0</v>
      </c>
      <c r="X33" s="48">
        <f>'TUSD BE'!$X$33*'TUSD BF'!$X$62</f>
        <v>0</v>
      </c>
      <c r="Y33" s="48">
        <f>'TUSD BE'!$Y$33*'TUSD BF'!$Y$62</f>
        <v>0</v>
      </c>
      <c r="Z33" s="48">
        <f>'TUSD BE'!$Z$33*'TUSD BF'!$Z$62</f>
        <v>0</v>
      </c>
      <c r="AA33" s="48">
        <f>'TUSD BE'!$AA$33*'TUSD BF'!$AA$62</f>
        <v>0</v>
      </c>
      <c r="AB33" s="48">
        <f>SUM($U$33:$AA$33)</f>
        <v>0</v>
      </c>
      <c r="AC33" s="48">
        <f>'TUSD BE'!$AC$33*'TUSD BF'!$AC$62</f>
        <v>0</v>
      </c>
      <c r="AD33" s="48">
        <f>SUM($AC$33:$AC$33)</f>
        <v>0</v>
      </c>
      <c r="AE33" s="48">
        <f ca="1">$AO$33*$AO$59</f>
        <v>0</v>
      </c>
      <c r="AF33" s="48">
        <f ca="1">$AP$33*$AP$59</f>
        <v>0</v>
      </c>
      <c r="AG33" s="48">
        <f ca="1">SUM($AE$33:$AF$33)</f>
        <v>0</v>
      </c>
      <c r="AH33" s="48">
        <f>'TUSD BE'!$AH$33*'TUSD BF'!$AH$62</f>
        <v>0</v>
      </c>
      <c r="AI33" s="48">
        <f>'TUSD BE'!$AI$33*'TUSD BF'!$AI$62</f>
        <v>0</v>
      </c>
      <c r="AJ33" s="48">
        <f ca="1">'TUSD BE'!$AJ$33*'TUSD BF'!$AJ$62</f>
        <v>0</v>
      </c>
      <c r="AK33" s="48">
        <f ca="1">'TUSD BE'!$AK$33*'TUSD BF'!$AK$62</f>
        <v>0</v>
      </c>
      <c r="AL33" s="48">
        <f ca="1">SUM($AH$33:$AK$33)</f>
        <v>0</v>
      </c>
      <c r="AM33" s="48">
        <f ca="1">SUMIF($L$4:$AL$4,"SUBTOTAL",$L$33:$AL$33)</f>
        <v>0</v>
      </c>
      <c r="AO33" s="54">
        <f ca="1">+'TUSD BE'!$T$33+'TUSD BE'!$AB$33+'TUSD BE'!$AD$33+'TUSD BE'!$AL$33</f>
        <v>302.04967184273522</v>
      </c>
      <c r="AP33" s="54">
        <f ca="1">+'TUSD BE'!$T$33+'TUSD BE'!$AB$33+'TUSD BE'!$AD$33+'TUSD BE'!$AL$33</f>
        <v>302.04967184273522</v>
      </c>
    </row>
    <row r="34" spans="1:42" ht="11.25" customHeight="1" x14ac:dyDescent="0.25">
      <c r="A34" s="109" t="s">
        <v>41</v>
      </c>
      <c r="B34" s="109" t="s">
        <v>95</v>
      </c>
      <c r="C34" s="109" t="s">
        <v>42</v>
      </c>
      <c r="D34" s="109" t="s">
        <v>25</v>
      </c>
      <c r="E34" s="109" t="s">
        <v>25</v>
      </c>
      <c r="F34" s="109" t="s">
        <v>25</v>
      </c>
      <c r="G34" s="52" t="s">
        <v>83</v>
      </c>
      <c r="H34" s="52" t="s">
        <v>82</v>
      </c>
      <c r="I34" s="52">
        <f>'MERCADO TUSD'!$U$31</f>
        <v>0</v>
      </c>
      <c r="J34" s="15"/>
      <c r="L34" s="48">
        <f>'TUSD BE'!$L$34*'TUSD BF'!$L$62</f>
        <v>0</v>
      </c>
      <c r="M34" s="48">
        <f>'TUSD BE'!$M$34*'TUSD BF'!$M$62</f>
        <v>0</v>
      </c>
      <c r="N34" s="48">
        <f ca="1">'TUSD BE'!$N$34*'TUSD BF'!$N$62</f>
        <v>0</v>
      </c>
      <c r="O34" s="48">
        <f>'TUSD BE'!$O$34*'TUSD BF'!$O$62</f>
        <v>0</v>
      </c>
      <c r="P34" s="48">
        <f>'TUSD BE'!$P$34*'TUSD BF'!$P$62</f>
        <v>0</v>
      </c>
      <c r="Q34" s="48">
        <f>'TUSD BE'!$Q$34*'TUSD BF'!$Q$62</f>
        <v>0</v>
      </c>
      <c r="R34" s="48">
        <f>'TUSD BE'!$R$34*'TUSD BF'!$R$62</f>
        <v>0</v>
      </c>
      <c r="S34" s="48">
        <f>'TUSD BE'!$R$34*'TUSD BF'!$S$62</f>
        <v>0</v>
      </c>
      <c r="T34" s="48">
        <f ca="1">SUM($L$34:$S$34)</f>
        <v>0</v>
      </c>
      <c r="U34" s="48">
        <f>'TUSD BE'!$U$34*'TUSD BF'!$U$62</f>
        <v>0</v>
      </c>
      <c r="V34" s="48">
        <f>'TUSD BE'!$V$34*'TUSD BF'!$V$62</f>
        <v>0</v>
      </c>
      <c r="W34" s="48">
        <f>'TUSD BE'!$W$34*'TUSD BF'!$W$62</f>
        <v>0</v>
      </c>
      <c r="X34" s="48">
        <f>'TUSD BE'!$X$34*'TUSD BF'!$X$62</f>
        <v>0</v>
      </c>
      <c r="Y34" s="48">
        <f>'TUSD BE'!$Y$34*'TUSD BF'!$Y$62</f>
        <v>0</v>
      </c>
      <c r="Z34" s="48">
        <f>'TUSD BE'!$Z$34*'TUSD BF'!$Z$62</f>
        <v>0</v>
      </c>
      <c r="AA34" s="48">
        <f>'TUSD BE'!$AA$34*'TUSD BF'!$AA$62</f>
        <v>0</v>
      </c>
      <c r="AB34" s="48">
        <f>SUM($U$34:$AA$34)</f>
        <v>0</v>
      </c>
      <c r="AC34" s="48">
        <f>'TUSD BE'!$AC$34*'TUSD BF'!$AC$62</f>
        <v>0</v>
      </c>
      <c r="AD34" s="48">
        <f>SUM($AC$34:$AC$34)</f>
        <v>0</v>
      </c>
      <c r="AE34" s="48">
        <f ca="1">$AO$34*$AO$59</f>
        <v>0</v>
      </c>
      <c r="AF34" s="48">
        <f ca="1">$AP$34*$AP$59</f>
        <v>0</v>
      </c>
      <c r="AG34" s="48">
        <f ca="1">SUM($AE$34:$AF$34)</f>
        <v>0</v>
      </c>
      <c r="AH34" s="48">
        <f>'TUSD BE'!$AH$34*'TUSD BF'!$AH$62</f>
        <v>0</v>
      </c>
      <c r="AI34" s="48">
        <f>'TUSD BE'!$AI$34*'TUSD BF'!$AI$62</f>
        <v>0</v>
      </c>
      <c r="AJ34" s="48">
        <f ca="1">'TUSD BE'!$AJ$34*'TUSD BF'!$AJ$62</f>
        <v>0</v>
      </c>
      <c r="AK34" s="48">
        <f ca="1">'TUSD BE'!$AK$34*'TUSD BF'!$AK$62</f>
        <v>0</v>
      </c>
      <c r="AL34" s="48">
        <f ca="1">SUM($AH$34:$AK$34)</f>
        <v>0</v>
      </c>
      <c r="AM34" s="48">
        <f ca="1">SUMIF($L$4:$AL$4,"SUBTOTAL",$L$34:$AL$34)</f>
        <v>0</v>
      </c>
      <c r="AO34" s="54">
        <f ca="1">+'TUSD BE'!$T$34+'TUSD BE'!$AB$34+'TUSD BE'!$AD$34+'TUSD BE'!$AL$34</f>
        <v>781.97258939770052</v>
      </c>
      <c r="AP34" s="54">
        <f ca="1">+'TUSD BE'!$T$34+'TUSD BE'!$AB$34+'TUSD BE'!$AD$34+'TUSD BE'!$AL$34</f>
        <v>781.97258939770052</v>
      </c>
    </row>
    <row r="35" spans="1:42" ht="11.25" customHeight="1" x14ac:dyDescent="0.25">
      <c r="A35" s="109"/>
      <c r="B35" s="109"/>
      <c r="C35" s="109"/>
      <c r="D35" s="109"/>
      <c r="E35" s="109"/>
      <c r="F35" s="109"/>
      <c r="G35" s="52" t="s">
        <v>94</v>
      </c>
      <c r="H35" s="52" t="s">
        <v>82</v>
      </c>
      <c r="I35" s="52">
        <f>'MERCADO TUSD'!$U$32</f>
        <v>0</v>
      </c>
      <c r="J35" s="15"/>
      <c r="L35" s="48">
        <f>'TUSD BE'!$L$35*'TUSD BF'!$L$62</f>
        <v>0</v>
      </c>
      <c r="M35" s="48">
        <f>'TUSD BE'!$M$35*'TUSD BF'!$M$62</f>
        <v>0</v>
      </c>
      <c r="N35" s="48">
        <f ca="1">'TUSD BE'!$N$35*'TUSD BF'!$N$62</f>
        <v>0</v>
      </c>
      <c r="O35" s="48">
        <f>'TUSD BE'!$O$35*'TUSD BF'!$O$62</f>
        <v>0</v>
      </c>
      <c r="P35" s="48">
        <f>'TUSD BE'!$P$35*'TUSD BF'!$P$62</f>
        <v>0</v>
      </c>
      <c r="Q35" s="48">
        <f>'TUSD BE'!$Q$35*'TUSD BF'!$Q$62</f>
        <v>0</v>
      </c>
      <c r="R35" s="48">
        <f>'TUSD BE'!$R$35*'TUSD BF'!$R$62</f>
        <v>0</v>
      </c>
      <c r="S35" s="48">
        <f>'TUSD BE'!$R$35*'TUSD BF'!$S$62</f>
        <v>0</v>
      </c>
      <c r="T35" s="48">
        <f ca="1">SUM($L$35:$S$35)</f>
        <v>0</v>
      </c>
      <c r="U35" s="48">
        <f>'TUSD BE'!$U$35*'TUSD BF'!$U$62</f>
        <v>0</v>
      </c>
      <c r="V35" s="48">
        <f>'TUSD BE'!$V$35*'TUSD BF'!$V$62</f>
        <v>0</v>
      </c>
      <c r="W35" s="48">
        <f>'TUSD BE'!$W$35*'TUSD BF'!$W$62</f>
        <v>0</v>
      </c>
      <c r="X35" s="48">
        <f>'TUSD BE'!$X$35*'TUSD BF'!$X$62</f>
        <v>0</v>
      </c>
      <c r="Y35" s="48">
        <f>'TUSD BE'!$Y$35*'TUSD BF'!$Y$62</f>
        <v>0</v>
      </c>
      <c r="Z35" s="48">
        <f>'TUSD BE'!$Z$35*'TUSD BF'!$Z$62</f>
        <v>0</v>
      </c>
      <c r="AA35" s="48">
        <f>'TUSD BE'!$AA$35*'TUSD BF'!$AA$62</f>
        <v>0</v>
      </c>
      <c r="AB35" s="48">
        <f>SUM($U$35:$AA$35)</f>
        <v>0</v>
      </c>
      <c r="AC35" s="48">
        <f>'TUSD BE'!$AC$35*'TUSD BF'!$AC$62</f>
        <v>0</v>
      </c>
      <c r="AD35" s="48">
        <f>SUM($AC$35:$AC$35)</f>
        <v>0</v>
      </c>
      <c r="AE35" s="48">
        <f ca="1">$AO$35*$AO$59</f>
        <v>0</v>
      </c>
      <c r="AF35" s="48">
        <f ca="1">$AP$35*$AP$59</f>
        <v>0</v>
      </c>
      <c r="AG35" s="48">
        <f ca="1">SUM($AE$35:$AF$35)</f>
        <v>0</v>
      </c>
      <c r="AH35" s="48">
        <f>'TUSD BE'!$AH$35*'TUSD BF'!$AH$62</f>
        <v>0</v>
      </c>
      <c r="AI35" s="48">
        <f>'TUSD BE'!$AI$35*'TUSD BF'!$AI$62</f>
        <v>0</v>
      </c>
      <c r="AJ35" s="48">
        <f ca="1">'TUSD BE'!$AJ$35*'TUSD BF'!$AJ$62</f>
        <v>0</v>
      </c>
      <c r="AK35" s="48">
        <f ca="1">'TUSD BE'!$AK$35*'TUSD BF'!$AK$62</f>
        <v>0</v>
      </c>
      <c r="AL35" s="48">
        <f ca="1">SUM($AH$35:$AK$35)</f>
        <v>0</v>
      </c>
      <c r="AM35" s="48">
        <f ca="1">SUMIF($L$4:$AL$4,"SUBTOTAL",$L$35:$AL$35)</f>
        <v>0</v>
      </c>
      <c r="AO35" s="54">
        <f ca="1">+'TUSD BE'!$T$35+'TUSD BE'!$AB$35+'TUSD BE'!$AD$35+'TUSD BE'!$AL$35</f>
        <v>458.80475945750641</v>
      </c>
      <c r="AP35" s="54">
        <f ca="1">+'TUSD BE'!$T$35+'TUSD BE'!$AB$35+'TUSD BE'!$AD$35+'TUSD BE'!$AL$35</f>
        <v>458.80475945750641</v>
      </c>
    </row>
    <row r="36" spans="1:42" ht="11.25" customHeight="1" x14ac:dyDescent="0.25">
      <c r="A36" s="109"/>
      <c r="B36" s="109"/>
      <c r="C36" s="109"/>
      <c r="D36" s="109"/>
      <c r="E36" s="109"/>
      <c r="F36" s="109"/>
      <c r="G36" s="52" t="s">
        <v>84</v>
      </c>
      <c r="H36" s="52" t="s">
        <v>82</v>
      </c>
      <c r="I36" s="52">
        <f>'MERCADO TUSD'!$U$33</f>
        <v>0</v>
      </c>
      <c r="J36" s="15"/>
      <c r="L36" s="48">
        <f>'TUSD BE'!$L$36*'TUSD BF'!$L$62</f>
        <v>0</v>
      </c>
      <c r="M36" s="48">
        <f>'TUSD BE'!$M$36*'TUSD BF'!$M$62</f>
        <v>0</v>
      </c>
      <c r="N36" s="48">
        <f ca="1">'TUSD BE'!$N$36*'TUSD BF'!$N$62</f>
        <v>0</v>
      </c>
      <c r="O36" s="48">
        <f>'TUSD BE'!$O$36*'TUSD BF'!$O$62</f>
        <v>0</v>
      </c>
      <c r="P36" s="48">
        <f>'TUSD BE'!$P$36*'TUSD BF'!$P$62</f>
        <v>0</v>
      </c>
      <c r="Q36" s="48">
        <f>'TUSD BE'!$Q$36*'TUSD BF'!$Q$62</f>
        <v>0</v>
      </c>
      <c r="R36" s="48">
        <f>'TUSD BE'!$R$36*'TUSD BF'!$R$62</f>
        <v>0</v>
      </c>
      <c r="S36" s="48">
        <f>'TUSD BE'!$R$36*'TUSD BF'!$S$62</f>
        <v>0</v>
      </c>
      <c r="T36" s="48">
        <f ca="1">SUM($L$36:$S$36)</f>
        <v>0</v>
      </c>
      <c r="U36" s="48">
        <f>'TUSD BE'!$U$36*'TUSD BF'!$U$62</f>
        <v>0</v>
      </c>
      <c r="V36" s="48">
        <f>'TUSD BE'!$V$36*'TUSD BF'!$V$62</f>
        <v>0</v>
      </c>
      <c r="W36" s="48">
        <f>'TUSD BE'!$W$36*'TUSD BF'!$W$62</f>
        <v>0</v>
      </c>
      <c r="X36" s="48">
        <f>'TUSD BE'!$X$36*'TUSD BF'!$X$62</f>
        <v>0</v>
      </c>
      <c r="Y36" s="48">
        <f>'TUSD BE'!$Y$36*'TUSD BF'!$Y$62</f>
        <v>0</v>
      </c>
      <c r="Z36" s="48">
        <f>'TUSD BE'!$Z$36*'TUSD BF'!$Z$62</f>
        <v>0</v>
      </c>
      <c r="AA36" s="48">
        <f>'TUSD BE'!$AA$36*'TUSD BF'!$AA$62</f>
        <v>0</v>
      </c>
      <c r="AB36" s="48">
        <f>SUM($U$36:$AA$36)</f>
        <v>0</v>
      </c>
      <c r="AC36" s="48">
        <f>'TUSD BE'!$AC$36*'TUSD BF'!$AC$62</f>
        <v>0</v>
      </c>
      <c r="AD36" s="48">
        <f>SUM($AC$36:$AC$36)</f>
        <v>0</v>
      </c>
      <c r="AE36" s="48">
        <f ca="1">$AO$36*$AO$59</f>
        <v>0</v>
      </c>
      <c r="AF36" s="48">
        <f ca="1">$AP$36*$AP$59</f>
        <v>0</v>
      </c>
      <c r="AG36" s="48">
        <f ca="1">SUM($AE$36:$AF$36)</f>
        <v>0</v>
      </c>
      <c r="AH36" s="48">
        <f>'TUSD BE'!$AH$36*'TUSD BF'!$AH$62</f>
        <v>0</v>
      </c>
      <c r="AI36" s="48">
        <f>'TUSD BE'!$AI$36*'TUSD BF'!$AI$62</f>
        <v>0</v>
      </c>
      <c r="AJ36" s="48">
        <f ca="1">'TUSD BE'!$AJ$36*'TUSD BF'!$AJ$62</f>
        <v>0</v>
      </c>
      <c r="AK36" s="48">
        <f ca="1">'TUSD BE'!$AK$36*'TUSD BF'!$AK$62</f>
        <v>0</v>
      </c>
      <c r="AL36" s="48">
        <f ca="1">SUM($AH$36:$AK$36)</f>
        <v>0</v>
      </c>
      <c r="AM36" s="48">
        <f ca="1">SUMIF($L$4:$AL$4,"SUBTOTAL",$L$36:$AL$36)</f>
        <v>0</v>
      </c>
      <c r="AO36" s="54">
        <f ca="1">+'TUSD BE'!$T$36+'TUSD BE'!$AB$36+'TUSD BE'!$AD$36+'TUSD BE'!$AL$36</f>
        <v>338.15441373658246</v>
      </c>
      <c r="AP36" s="54">
        <f ca="1">+'TUSD BE'!$T$36+'TUSD BE'!$AB$36+'TUSD BE'!$AD$36+'TUSD BE'!$AL$36</f>
        <v>338.15441373658246</v>
      </c>
    </row>
    <row r="37" spans="1:42" ht="11.25" customHeight="1" x14ac:dyDescent="0.25">
      <c r="A37" s="109"/>
      <c r="B37" s="51" t="s">
        <v>23</v>
      </c>
      <c r="C37" s="51" t="s">
        <v>42</v>
      </c>
      <c r="D37" s="51" t="s">
        <v>25</v>
      </c>
      <c r="E37" s="51" t="s">
        <v>25</v>
      </c>
      <c r="F37" s="51" t="s">
        <v>25</v>
      </c>
      <c r="G37" s="52" t="s">
        <v>88</v>
      </c>
      <c r="H37" s="52" t="s">
        <v>82</v>
      </c>
      <c r="I37" s="52">
        <f>'MERCADO TUSD'!$U$34</f>
        <v>185983.22399999999</v>
      </c>
      <c r="J37" s="15"/>
      <c r="L37" s="48">
        <f>'TUSD BE'!$L$37*'TUSD BF'!$L$62</f>
        <v>0</v>
      </c>
      <c r="M37" s="48">
        <f>'TUSD BE'!$M$37*'TUSD BF'!$M$62</f>
        <v>0</v>
      </c>
      <c r="N37" s="48">
        <f ca="1">'TUSD BE'!$N$37*'TUSD BF'!$N$62</f>
        <v>0</v>
      </c>
      <c r="O37" s="48">
        <f>'TUSD BE'!$O$37*'TUSD BF'!$O$62</f>
        <v>0</v>
      </c>
      <c r="P37" s="48">
        <f>'TUSD BE'!$P$37*'TUSD BF'!$P$62</f>
        <v>0</v>
      </c>
      <c r="Q37" s="48">
        <f>'TUSD BE'!$Q$37*'TUSD BF'!$Q$62</f>
        <v>0</v>
      </c>
      <c r="R37" s="48">
        <f>'TUSD BE'!$R$37*'TUSD BF'!$R$62</f>
        <v>0</v>
      </c>
      <c r="S37" s="48">
        <f>'TUSD BE'!$R$37*'TUSD BF'!$S$62</f>
        <v>0</v>
      </c>
      <c r="T37" s="48">
        <f ca="1">SUM($L$37:$S$37)</f>
        <v>0</v>
      </c>
      <c r="U37" s="48">
        <f>'TUSD BE'!$U$37*'TUSD BF'!$U$62</f>
        <v>0</v>
      </c>
      <c r="V37" s="48">
        <f>'TUSD BE'!$V$37*'TUSD BF'!$V$62</f>
        <v>0</v>
      </c>
      <c r="W37" s="48">
        <f>'TUSD BE'!$W$37*'TUSD BF'!$W$62</f>
        <v>0</v>
      </c>
      <c r="X37" s="48">
        <f>'TUSD BE'!$X$37*'TUSD BF'!$X$62</f>
        <v>0</v>
      </c>
      <c r="Y37" s="48">
        <f>'TUSD BE'!$Y$37*'TUSD BF'!$Y$62</f>
        <v>0</v>
      </c>
      <c r="Z37" s="48">
        <f>'TUSD BE'!$Z$37*'TUSD BF'!$Z$62</f>
        <v>0</v>
      </c>
      <c r="AA37" s="48">
        <f>'TUSD BE'!$AA$37*'TUSD BF'!$AA$62</f>
        <v>0</v>
      </c>
      <c r="AB37" s="48">
        <f>SUM($U$37:$AA$37)</f>
        <v>0</v>
      </c>
      <c r="AC37" s="48">
        <f>'TUSD BE'!$AC$37*'TUSD BF'!$AC$62</f>
        <v>0</v>
      </c>
      <c r="AD37" s="48">
        <f>SUM($AC$37:$AC$37)</f>
        <v>0</v>
      </c>
      <c r="AE37" s="48">
        <f ca="1">$AO$37*$AO$59</f>
        <v>0</v>
      </c>
      <c r="AF37" s="48">
        <f ca="1">$AP$37*$AP$59</f>
        <v>0</v>
      </c>
      <c r="AG37" s="48">
        <f ca="1">SUM($AE$37:$AF$37)</f>
        <v>0</v>
      </c>
      <c r="AH37" s="48">
        <f>'TUSD BE'!$AH$37*'TUSD BF'!$AH$62</f>
        <v>0</v>
      </c>
      <c r="AI37" s="48">
        <f>'TUSD BE'!$AI$37*'TUSD BF'!$AI$62</f>
        <v>0</v>
      </c>
      <c r="AJ37" s="48">
        <f ca="1">'TUSD BE'!$AJ$37*'TUSD BF'!$AJ$62</f>
        <v>0</v>
      </c>
      <c r="AK37" s="48">
        <f ca="1">'TUSD BE'!$AK$37*'TUSD BF'!$AK$62</f>
        <v>0</v>
      </c>
      <c r="AL37" s="48">
        <f ca="1">SUM($AH$37:$AK$37)</f>
        <v>0</v>
      </c>
      <c r="AM37" s="48">
        <f ca="1">SUMIF($L$4:$AL$4,"SUBTOTAL",$L$37:$AL$37)</f>
        <v>0</v>
      </c>
      <c r="AO37" s="54">
        <f ca="1">+'TUSD BE'!$T$37+'TUSD BE'!$AB$37+'TUSD BE'!$AD$37+'TUSD BE'!$AL$37</f>
        <v>406.19019508815694</v>
      </c>
      <c r="AP37" s="54">
        <f ca="1">+'TUSD BE'!$T$37+'TUSD BE'!$AB$37+'TUSD BE'!$AD$37+'TUSD BE'!$AL$37</f>
        <v>406.19019508815694</v>
      </c>
    </row>
    <row r="38" spans="1:42" ht="11.25" customHeight="1" x14ac:dyDescent="0.25">
      <c r="A38" s="109"/>
      <c r="B38" s="109" t="s">
        <v>95</v>
      </c>
      <c r="C38" s="109" t="s">
        <v>42</v>
      </c>
      <c r="D38" s="109" t="s">
        <v>98</v>
      </c>
      <c r="E38" s="109" t="s">
        <v>25</v>
      </c>
      <c r="F38" s="109" t="s">
        <v>25</v>
      </c>
      <c r="G38" s="52" t="s">
        <v>83</v>
      </c>
      <c r="H38" s="52" t="s">
        <v>82</v>
      </c>
      <c r="I38" s="52">
        <f>'MERCADO TUSD'!$U$35</f>
        <v>0</v>
      </c>
      <c r="J38" s="15"/>
      <c r="L38" s="48">
        <f>'TUSD BE'!$L$38*'TUSD BF'!$L$62</f>
        <v>0</v>
      </c>
      <c r="M38" s="48">
        <f>'TUSD BE'!$M$38*'TUSD BF'!$M$62</f>
        <v>0</v>
      </c>
      <c r="N38" s="48">
        <f ca="1">'TUSD BE'!$N$38*'TUSD BF'!$N$62</f>
        <v>0</v>
      </c>
      <c r="O38" s="48">
        <f>'TUSD BE'!$O$38*'TUSD BF'!$O$62</f>
        <v>0</v>
      </c>
      <c r="P38" s="48">
        <f>'TUSD BE'!$P$38*'TUSD BF'!$P$62</f>
        <v>0</v>
      </c>
      <c r="Q38" s="48">
        <f>'TUSD BE'!$Q$38*'TUSD BF'!$Q$62</f>
        <v>0</v>
      </c>
      <c r="R38" s="48">
        <f>'TUSD BE'!$R$38*'TUSD BF'!$R$62</f>
        <v>0</v>
      </c>
      <c r="S38" s="48">
        <f>'TUSD BE'!$R$38*'TUSD BF'!$S$62</f>
        <v>0</v>
      </c>
      <c r="T38" s="48">
        <f ca="1">SUM($L$38:$S$38)</f>
        <v>0</v>
      </c>
      <c r="U38" s="48">
        <f>'TUSD BE'!$U$38*'TUSD BF'!$U$62</f>
        <v>0</v>
      </c>
      <c r="V38" s="48">
        <f>'TUSD BE'!$V$38*'TUSD BF'!$V$62</f>
        <v>0</v>
      </c>
      <c r="W38" s="48">
        <f>'TUSD BE'!$W$38*'TUSD BF'!$W$62</f>
        <v>0</v>
      </c>
      <c r="X38" s="48">
        <f>'TUSD BE'!$X$38*'TUSD BF'!$X$62</f>
        <v>0</v>
      </c>
      <c r="Y38" s="48">
        <f>'TUSD BE'!$Y$38*'TUSD BF'!$Y$62</f>
        <v>0</v>
      </c>
      <c r="Z38" s="48">
        <f>'TUSD BE'!$Z$38*'TUSD BF'!$Z$62</f>
        <v>0</v>
      </c>
      <c r="AA38" s="48">
        <f>'TUSD BE'!$AA$38*'TUSD BF'!$AA$62</f>
        <v>0</v>
      </c>
      <c r="AB38" s="48">
        <f>SUM($U$38:$AA$38)</f>
        <v>0</v>
      </c>
      <c r="AC38" s="48">
        <f>'TUSD BE'!$AC$38*'TUSD BF'!$AC$62</f>
        <v>0</v>
      </c>
      <c r="AD38" s="48">
        <f>SUM($AC$38:$AC$38)</f>
        <v>0</v>
      </c>
      <c r="AE38" s="48">
        <f ca="1">$AO$38*$AO$59</f>
        <v>0</v>
      </c>
      <c r="AF38" s="48">
        <f ca="1">$AP$38*$AP$59</f>
        <v>0</v>
      </c>
      <c r="AG38" s="48">
        <f ca="1">SUM($AE$38:$AF$38)</f>
        <v>0</v>
      </c>
      <c r="AH38" s="48">
        <f>'TUSD BE'!$AH$38*'TUSD BF'!$AH$62</f>
        <v>0</v>
      </c>
      <c r="AI38" s="48">
        <f>'TUSD BE'!$AI$38*'TUSD BF'!$AI$62</f>
        <v>0</v>
      </c>
      <c r="AJ38" s="48">
        <f ca="1">'TUSD BE'!$AJ$38*'TUSD BF'!$AJ$62</f>
        <v>0</v>
      </c>
      <c r="AK38" s="48">
        <f ca="1">'TUSD BE'!$AK$38*'TUSD BF'!$AK$62</f>
        <v>0</v>
      </c>
      <c r="AL38" s="48">
        <f ca="1">SUM($AH$38:$AK$38)</f>
        <v>0</v>
      </c>
      <c r="AM38" s="48">
        <f ca="1">SUMIF($L$4:$AL$4,"SUBTOTAL",$L$38:$AL$38)</f>
        <v>0</v>
      </c>
      <c r="AO38" s="54">
        <f ca="1">+'TUSD BE'!$T$38+'TUSD BE'!$AB$38+'TUSD BE'!$AD$38+'TUSD BE'!$AL$38</f>
        <v>781.97258939770052</v>
      </c>
      <c r="AP38" s="54">
        <f ca="1">+'TUSD BE'!$T$38+'TUSD BE'!$AB$38+'TUSD BE'!$AD$38+'TUSD BE'!$AL$38</f>
        <v>781.97258939770052</v>
      </c>
    </row>
    <row r="39" spans="1:42" ht="11.25" customHeight="1" x14ac:dyDescent="0.25">
      <c r="A39" s="109"/>
      <c r="B39" s="109"/>
      <c r="C39" s="109"/>
      <c r="D39" s="109"/>
      <c r="E39" s="109"/>
      <c r="F39" s="109"/>
      <c r="G39" s="52" t="s">
        <v>94</v>
      </c>
      <c r="H39" s="52" t="s">
        <v>82</v>
      </c>
      <c r="I39" s="52">
        <f>'MERCADO TUSD'!$U$36</f>
        <v>0</v>
      </c>
      <c r="J39" s="15"/>
      <c r="L39" s="48">
        <f>'TUSD BE'!$L$39*'TUSD BF'!$L$62</f>
        <v>0</v>
      </c>
      <c r="M39" s="48">
        <f>'TUSD BE'!$M$39*'TUSD BF'!$M$62</f>
        <v>0</v>
      </c>
      <c r="N39" s="48">
        <f ca="1">'TUSD BE'!$N$39*'TUSD BF'!$N$62</f>
        <v>0</v>
      </c>
      <c r="O39" s="48">
        <f>'TUSD BE'!$O$39*'TUSD BF'!$O$62</f>
        <v>0</v>
      </c>
      <c r="P39" s="48">
        <f>'TUSD BE'!$P$39*'TUSD BF'!$P$62</f>
        <v>0</v>
      </c>
      <c r="Q39" s="48">
        <f>'TUSD BE'!$Q$39*'TUSD BF'!$Q$62</f>
        <v>0</v>
      </c>
      <c r="R39" s="48">
        <f>'TUSD BE'!$R$39*'TUSD BF'!$R$62</f>
        <v>0</v>
      </c>
      <c r="S39" s="48">
        <f>'TUSD BE'!$R$39*'TUSD BF'!$S$62</f>
        <v>0</v>
      </c>
      <c r="T39" s="48">
        <f ca="1">SUM($L$39:$S$39)</f>
        <v>0</v>
      </c>
      <c r="U39" s="48">
        <f>'TUSD BE'!$U$39*'TUSD BF'!$U$62</f>
        <v>0</v>
      </c>
      <c r="V39" s="48">
        <f>'TUSD BE'!$V$39*'TUSD BF'!$V$62</f>
        <v>0</v>
      </c>
      <c r="W39" s="48">
        <f>'TUSD BE'!$W$39*'TUSD BF'!$W$62</f>
        <v>0</v>
      </c>
      <c r="X39" s="48">
        <f>'TUSD BE'!$X$39*'TUSD BF'!$X$62</f>
        <v>0</v>
      </c>
      <c r="Y39" s="48">
        <f>'TUSD BE'!$Y$39*'TUSD BF'!$Y$62</f>
        <v>0</v>
      </c>
      <c r="Z39" s="48">
        <f>'TUSD BE'!$Z$39*'TUSD BF'!$Z$62</f>
        <v>0</v>
      </c>
      <c r="AA39" s="48">
        <f>'TUSD BE'!$AA$39*'TUSD BF'!$AA$62</f>
        <v>0</v>
      </c>
      <c r="AB39" s="48">
        <f>SUM($U$39:$AA$39)</f>
        <v>0</v>
      </c>
      <c r="AC39" s="48">
        <f>'TUSD BE'!$AC$39*'TUSD BF'!$AC$62</f>
        <v>0</v>
      </c>
      <c r="AD39" s="48">
        <f>SUM($AC$39:$AC$39)</f>
        <v>0</v>
      </c>
      <c r="AE39" s="48">
        <f ca="1">$AO$39*$AO$59</f>
        <v>0</v>
      </c>
      <c r="AF39" s="48">
        <f ca="1">$AP$39*$AP$59</f>
        <v>0</v>
      </c>
      <c r="AG39" s="48">
        <f ca="1">SUM($AE$39:$AF$39)</f>
        <v>0</v>
      </c>
      <c r="AH39" s="48">
        <f>'TUSD BE'!$AH$39*'TUSD BF'!$AH$62</f>
        <v>0</v>
      </c>
      <c r="AI39" s="48">
        <f>'TUSD BE'!$AI$39*'TUSD BF'!$AI$62</f>
        <v>0</v>
      </c>
      <c r="AJ39" s="48">
        <f ca="1">'TUSD BE'!$AJ$39*'TUSD BF'!$AJ$62</f>
        <v>0</v>
      </c>
      <c r="AK39" s="48">
        <f ca="1">'TUSD BE'!$AK$39*'TUSD BF'!$AK$62</f>
        <v>0</v>
      </c>
      <c r="AL39" s="48">
        <f ca="1">SUM($AH$39:$AK$39)</f>
        <v>0</v>
      </c>
      <c r="AM39" s="48">
        <f ca="1">SUMIF($L$4:$AL$4,"SUBTOTAL",$L$39:$AL$39)</f>
        <v>0</v>
      </c>
      <c r="AO39" s="54">
        <f ca="1">+'TUSD BE'!$T$39+'TUSD BE'!$AB$39+'TUSD BE'!$AD$39+'TUSD BE'!$AL$39</f>
        <v>458.80475945750641</v>
      </c>
      <c r="AP39" s="54">
        <f ca="1">+'TUSD BE'!$T$39+'TUSD BE'!$AB$39+'TUSD BE'!$AD$39+'TUSD BE'!$AL$39</f>
        <v>458.80475945750641</v>
      </c>
    </row>
    <row r="40" spans="1:42" ht="11.25" customHeight="1" x14ac:dyDescent="0.25">
      <c r="A40" s="109"/>
      <c r="B40" s="109"/>
      <c r="C40" s="109"/>
      <c r="D40" s="109"/>
      <c r="E40" s="109"/>
      <c r="F40" s="109"/>
      <c r="G40" s="52" t="s">
        <v>84</v>
      </c>
      <c r="H40" s="52" t="s">
        <v>82</v>
      </c>
      <c r="I40" s="52">
        <f>'MERCADO TUSD'!$U$37</f>
        <v>0</v>
      </c>
      <c r="J40" s="15"/>
      <c r="L40" s="48">
        <f>'TUSD BE'!$L$40*'TUSD BF'!$L$62</f>
        <v>0</v>
      </c>
      <c r="M40" s="48">
        <f>'TUSD BE'!$M$40*'TUSD BF'!$M$62</f>
        <v>0</v>
      </c>
      <c r="N40" s="48">
        <f ca="1">'TUSD BE'!$N$40*'TUSD BF'!$N$62</f>
        <v>0</v>
      </c>
      <c r="O40" s="48">
        <f>'TUSD BE'!$O$40*'TUSD BF'!$O$62</f>
        <v>0</v>
      </c>
      <c r="P40" s="48">
        <f>'TUSD BE'!$P$40*'TUSD BF'!$P$62</f>
        <v>0</v>
      </c>
      <c r="Q40" s="48">
        <f>'TUSD BE'!$Q$40*'TUSD BF'!$Q$62</f>
        <v>0</v>
      </c>
      <c r="R40" s="48">
        <f>'TUSD BE'!$R$40*'TUSD BF'!$R$62</f>
        <v>0</v>
      </c>
      <c r="S40" s="48">
        <f>'TUSD BE'!$R$40*'TUSD BF'!$S$62</f>
        <v>0</v>
      </c>
      <c r="T40" s="48">
        <f ca="1">SUM($L$40:$S$40)</f>
        <v>0</v>
      </c>
      <c r="U40" s="48">
        <f>'TUSD BE'!$U$40*'TUSD BF'!$U$62</f>
        <v>0</v>
      </c>
      <c r="V40" s="48">
        <f>'TUSD BE'!$V$40*'TUSD BF'!$V$62</f>
        <v>0</v>
      </c>
      <c r="W40" s="48">
        <f>'TUSD BE'!$W$40*'TUSD BF'!$W$62</f>
        <v>0</v>
      </c>
      <c r="X40" s="48">
        <f>'TUSD BE'!$X$40*'TUSD BF'!$X$62</f>
        <v>0</v>
      </c>
      <c r="Y40" s="48">
        <f>'TUSD BE'!$Y$40*'TUSD BF'!$Y$62</f>
        <v>0</v>
      </c>
      <c r="Z40" s="48">
        <f>'TUSD BE'!$Z$40*'TUSD BF'!$Z$62</f>
        <v>0</v>
      </c>
      <c r="AA40" s="48">
        <f>'TUSD BE'!$AA$40*'TUSD BF'!$AA$62</f>
        <v>0</v>
      </c>
      <c r="AB40" s="48">
        <f>SUM($U$40:$AA$40)</f>
        <v>0</v>
      </c>
      <c r="AC40" s="48">
        <f>'TUSD BE'!$AC$40*'TUSD BF'!$AC$62</f>
        <v>0</v>
      </c>
      <c r="AD40" s="48">
        <f>SUM($AC$40:$AC$40)</f>
        <v>0</v>
      </c>
      <c r="AE40" s="48">
        <f ca="1">$AO$40*$AO$59</f>
        <v>0</v>
      </c>
      <c r="AF40" s="48">
        <f ca="1">$AP$40*$AP$59</f>
        <v>0</v>
      </c>
      <c r="AG40" s="48">
        <f ca="1">SUM($AE$40:$AF$40)</f>
        <v>0</v>
      </c>
      <c r="AH40" s="48">
        <f>'TUSD BE'!$AH$40*'TUSD BF'!$AH$62</f>
        <v>0</v>
      </c>
      <c r="AI40" s="48">
        <f>'TUSD BE'!$AI$40*'TUSD BF'!$AI$62</f>
        <v>0</v>
      </c>
      <c r="AJ40" s="48">
        <f ca="1">'TUSD BE'!$AJ$40*'TUSD BF'!$AJ$62</f>
        <v>0</v>
      </c>
      <c r="AK40" s="48">
        <f ca="1">'TUSD BE'!$AK$40*'TUSD BF'!$AK$62</f>
        <v>0</v>
      </c>
      <c r="AL40" s="48">
        <f ca="1">SUM($AH$40:$AK$40)</f>
        <v>0</v>
      </c>
      <c r="AM40" s="48">
        <f ca="1">SUMIF($L$4:$AL$4,"SUBTOTAL",$L$40:$AL$40)</f>
        <v>0</v>
      </c>
      <c r="AO40" s="54">
        <f ca="1">+'TUSD BE'!$T$40+'TUSD BE'!$AB$40+'TUSD BE'!$AD$40+'TUSD BE'!$AL$40</f>
        <v>338.15441373658246</v>
      </c>
      <c r="AP40" s="54">
        <f ca="1">+'TUSD BE'!$T$40+'TUSD BE'!$AB$40+'TUSD BE'!$AD$40+'TUSD BE'!$AL$40</f>
        <v>338.15441373658246</v>
      </c>
    </row>
    <row r="41" spans="1:42" ht="11.25" customHeight="1" x14ac:dyDescent="0.25">
      <c r="A41" s="109"/>
      <c r="B41" s="51" t="s">
        <v>23</v>
      </c>
      <c r="C41" s="51" t="s">
        <v>42</v>
      </c>
      <c r="D41" s="51" t="s">
        <v>98</v>
      </c>
      <c r="E41" s="51" t="s">
        <v>25</v>
      </c>
      <c r="F41" s="51" t="s">
        <v>25</v>
      </c>
      <c r="G41" s="52" t="s">
        <v>88</v>
      </c>
      <c r="H41" s="52" t="s">
        <v>82</v>
      </c>
      <c r="I41" s="52">
        <f>'MERCADO TUSD'!$U$38</f>
        <v>0</v>
      </c>
      <c r="J41" s="15"/>
      <c r="L41" s="48">
        <f>'TUSD BE'!$L$41*'TUSD BF'!$L$62</f>
        <v>0</v>
      </c>
      <c r="M41" s="48">
        <f>'TUSD BE'!$M$41*'TUSD BF'!$M$62</f>
        <v>0</v>
      </c>
      <c r="N41" s="48">
        <f ca="1">'TUSD BE'!$N$41*'TUSD BF'!$N$62</f>
        <v>0</v>
      </c>
      <c r="O41" s="48">
        <f>'TUSD BE'!$O$41*'TUSD BF'!$O$62</f>
        <v>0</v>
      </c>
      <c r="P41" s="48">
        <f>'TUSD BE'!$P$41*'TUSD BF'!$P$62</f>
        <v>0</v>
      </c>
      <c r="Q41" s="48">
        <f>'TUSD BE'!$Q$41*'TUSD BF'!$Q$62</f>
        <v>0</v>
      </c>
      <c r="R41" s="48">
        <f>'TUSD BE'!$R$41*'TUSD BF'!$R$62</f>
        <v>0</v>
      </c>
      <c r="S41" s="48">
        <f>'TUSD BE'!$R$41*'TUSD BF'!$S$62</f>
        <v>0</v>
      </c>
      <c r="T41" s="48">
        <f ca="1">SUM($L$41:$S$41)</f>
        <v>0</v>
      </c>
      <c r="U41" s="48">
        <f>'TUSD BE'!$U$41*'TUSD BF'!$U$62</f>
        <v>0</v>
      </c>
      <c r="V41" s="48">
        <f>'TUSD BE'!$V$41*'TUSD BF'!$V$62</f>
        <v>0</v>
      </c>
      <c r="W41" s="48">
        <f>'TUSD BE'!$W$41*'TUSD BF'!$W$62</f>
        <v>0</v>
      </c>
      <c r="X41" s="48">
        <f>'TUSD BE'!$X$41*'TUSD BF'!$X$62</f>
        <v>0</v>
      </c>
      <c r="Y41" s="48">
        <f>'TUSD BE'!$Y$41*'TUSD BF'!$Y$62</f>
        <v>0</v>
      </c>
      <c r="Z41" s="48">
        <f>'TUSD BE'!$Z$41*'TUSD BF'!$Z$62</f>
        <v>0</v>
      </c>
      <c r="AA41" s="48">
        <f>'TUSD BE'!$AA$41*'TUSD BF'!$AA$62</f>
        <v>0</v>
      </c>
      <c r="AB41" s="48">
        <f>SUM($U$41:$AA$41)</f>
        <v>0</v>
      </c>
      <c r="AC41" s="48">
        <f>'TUSD BE'!$AC$41*'TUSD BF'!$AC$62</f>
        <v>0</v>
      </c>
      <c r="AD41" s="48">
        <f>SUM($AC$41:$AC$41)</f>
        <v>0</v>
      </c>
      <c r="AE41" s="48">
        <f ca="1">$AO$41*$AO$59</f>
        <v>0</v>
      </c>
      <c r="AF41" s="48">
        <f ca="1">$AP$41*$AP$59</f>
        <v>0</v>
      </c>
      <c r="AG41" s="48">
        <f ca="1">SUM($AE$41:$AF$41)</f>
        <v>0</v>
      </c>
      <c r="AH41" s="48">
        <f>'TUSD BE'!$AH$41*'TUSD BF'!$AH$62</f>
        <v>0</v>
      </c>
      <c r="AI41" s="48">
        <f>'TUSD BE'!$AI$41*'TUSD BF'!$AI$62</f>
        <v>0</v>
      </c>
      <c r="AJ41" s="48">
        <f ca="1">'TUSD BE'!$AJ$41*'TUSD BF'!$AJ$62</f>
        <v>0</v>
      </c>
      <c r="AK41" s="48">
        <f ca="1">'TUSD BE'!$AK$41*'TUSD BF'!$AK$62</f>
        <v>0</v>
      </c>
      <c r="AL41" s="48">
        <f ca="1">SUM($AH$41:$AK$41)</f>
        <v>0</v>
      </c>
      <c r="AM41" s="48">
        <f ca="1">SUMIF($L$4:$AL$4,"SUBTOTAL",$L$41:$AL$41)</f>
        <v>0</v>
      </c>
      <c r="AO41" s="54">
        <f ca="1">+'TUSD BE'!$T$41+'TUSD BE'!$AB$41+'TUSD BE'!$AD$41+'TUSD BE'!$AL$41</f>
        <v>406.19019508815694</v>
      </c>
      <c r="AP41" s="54">
        <f ca="1">+'TUSD BE'!$T$41+'TUSD BE'!$AB$41+'TUSD BE'!$AD$41+'TUSD BE'!$AL$41</f>
        <v>406.19019508815694</v>
      </c>
    </row>
    <row r="42" spans="1:42" ht="11.25" customHeight="1" x14ac:dyDescent="0.25">
      <c r="A42" s="109"/>
      <c r="B42" s="109" t="s">
        <v>95</v>
      </c>
      <c r="C42" s="109" t="s">
        <v>42</v>
      </c>
      <c r="D42" s="109" t="s">
        <v>99</v>
      </c>
      <c r="E42" s="109" t="s">
        <v>25</v>
      </c>
      <c r="F42" s="109" t="s">
        <v>25</v>
      </c>
      <c r="G42" s="52" t="s">
        <v>83</v>
      </c>
      <c r="H42" s="52" t="s">
        <v>82</v>
      </c>
      <c r="I42" s="52">
        <f>'MERCADO TUSD'!$U$39</f>
        <v>0</v>
      </c>
      <c r="J42" s="15"/>
      <c r="L42" s="48">
        <f>'TUSD BE'!$L$42*'TUSD BF'!$L$62</f>
        <v>0</v>
      </c>
      <c r="M42" s="48">
        <f>'TUSD BE'!$M$42*'TUSD BF'!$M$62</f>
        <v>0</v>
      </c>
      <c r="N42" s="48">
        <f ca="1">'TUSD BE'!$N$42*'TUSD BF'!$N$62</f>
        <v>0</v>
      </c>
      <c r="O42" s="48">
        <f>'TUSD BE'!$O$42*'TUSD BF'!$O$62</f>
        <v>0</v>
      </c>
      <c r="P42" s="48">
        <f>'TUSD BE'!$P$42*'TUSD BF'!$P$62</f>
        <v>0</v>
      </c>
      <c r="Q42" s="48">
        <f>'TUSD BE'!$Q$42*'TUSD BF'!$Q$62</f>
        <v>0</v>
      </c>
      <c r="R42" s="48">
        <f>'TUSD BE'!$R$42*'TUSD BF'!$R$62</f>
        <v>0</v>
      </c>
      <c r="S42" s="48">
        <f>'TUSD BE'!$R$42*'TUSD BF'!$S$62</f>
        <v>0</v>
      </c>
      <c r="T42" s="48">
        <f ca="1">SUM($L$42:$S$42)</f>
        <v>0</v>
      </c>
      <c r="U42" s="48">
        <f>'TUSD BE'!$U$42*'TUSD BF'!$U$62</f>
        <v>0</v>
      </c>
      <c r="V42" s="48">
        <f>'TUSD BE'!$V$42*'TUSD BF'!$V$62</f>
        <v>0</v>
      </c>
      <c r="W42" s="48">
        <f>'TUSD BE'!$W$42*'TUSD BF'!$W$62</f>
        <v>0</v>
      </c>
      <c r="X42" s="48">
        <f>'TUSD BE'!$X$42*'TUSD BF'!$X$62</f>
        <v>0</v>
      </c>
      <c r="Y42" s="48">
        <f>'TUSD BE'!$Y$42*'TUSD BF'!$Y$62</f>
        <v>0</v>
      </c>
      <c r="Z42" s="48">
        <f>'TUSD BE'!$Z$42*'TUSD BF'!$Z$62</f>
        <v>0</v>
      </c>
      <c r="AA42" s="48">
        <f>'TUSD BE'!$AA$42*'TUSD BF'!$AA$62</f>
        <v>0</v>
      </c>
      <c r="AB42" s="48">
        <f>SUM($U$42:$AA$42)</f>
        <v>0</v>
      </c>
      <c r="AC42" s="48">
        <f>'TUSD BE'!$AC$42*'TUSD BF'!$AC$62</f>
        <v>0</v>
      </c>
      <c r="AD42" s="48">
        <f>SUM($AC$42:$AC$42)</f>
        <v>0</v>
      </c>
      <c r="AE42" s="48">
        <f ca="1">$AO$42*$AO$59</f>
        <v>0</v>
      </c>
      <c r="AF42" s="48">
        <f ca="1">$AP$42*$AP$59</f>
        <v>0</v>
      </c>
      <c r="AG42" s="48">
        <f ca="1">SUM($AE$42:$AF$42)</f>
        <v>0</v>
      </c>
      <c r="AH42" s="48">
        <f>'TUSD BE'!$AH$42*'TUSD BF'!$AH$62</f>
        <v>0</v>
      </c>
      <c r="AI42" s="48">
        <f>'TUSD BE'!$AI$42*'TUSD BF'!$AI$62</f>
        <v>0</v>
      </c>
      <c r="AJ42" s="48">
        <f ca="1">'TUSD BE'!$AJ$42*'TUSD BF'!$AJ$62</f>
        <v>0</v>
      </c>
      <c r="AK42" s="48">
        <f ca="1">'TUSD BE'!$AK$42*'TUSD BF'!$AK$62</f>
        <v>0</v>
      </c>
      <c r="AL42" s="48">
        <f ca="1">SUM($AH$42:$AK$42)</f>
        <v>0</v>
      </c>
      <c r="AM42" s="48">
        <f ca="1">SUMIF($L$4:$AL$4,"SUBTOTAL",$L$42:$AL$42)</f>
        <v>0</v>
      </c>
      <c r="AO42" s="54">
        <f ca="1">+'TUSD BE'!$T$42+'TUSD BE'!$AB$42+'TUSD BE'!$AD$42+'TUSD BE'!$AL$42</f>
        <v>781.97258939770052</v>
      </c>
      <c r="AP42" s="54">
        <f ca="1">+'TUSD BE'!$T$42+'TUSD BE'!$AB$42+'TUSD BE'!$AD$42+'TUSD BE'!$AL$42</f>
        <v>781.97258939770052</v>
      </c>
    </row>
    <row r="43" spans="1:42" ht="11.25" customHeight="1" x14ac:dyDescent="0.25">
      <c r="A43" s="109"/>
      <c r="B43" s="109"/>
      <c r="C43" s="109"/>
      <c r="D43" s="109"/>
      <c r="E43" s="109"/>
      <c r="F43" s="109"/>
      <c r="G43" s="52" t="s">
        <v>94</v>
      </c>
      <c r="H43" s="52" t="s">
        <v>82</v>
      </c>
      <c r="I43" s="52">
        <f>'MERCADO TUSD'!$U$40</f>
        <v>0</v>
      </c>
      <c r="J43" s="15"/>
      <c r="L43" s="48">
        <f>'TUSD BE'!$L$43*'TUSD BF'!$L$62</f>
        <v>0</v>
      </c>
      <c r="M43" s="48">
        <f>'TUSD BE'!$M$43*'TUSD BF'!$M$62</f>
        <v>0</v>
      </c>
      <c r="N43" s="48">
        <f ca="1">'TUSD BE'!$N$43*'TUSD BF'!$N$62</f>
        <v>0</v>
      </c>
      <c r="O43" s="48">
        <f>'TUSD BE'!$O$43*'TUSD BF'!$O$62</f>
        <v>0</v>
      </c>
      <c r="P43" s="48">
        <f>'TUSD BE'!$P$43*'TUSD BF'!$P$62</f>
        <v>0</v>
      </c>
      <c r="Q43" s="48">
        <f>'TUSD BE'!$Q$43*'TUSD BF'!$Q$62</f>
        <v>0</v>
      </c>
      <c r="R43" s="48">
        <f>'TUSD BE'!$R$43*'TUSD BF'!$R$62</f>
        <v>0</v>
      </c>
      <c r="S43" s="48">
        <f>'TUSD BE'!$R$43*'TUSD BF'!$S$62</f>
        <v>0</v>
      </c>
      <c r="T43" s="48">
        <f ca="1">SUM($L$43:$S$43)</f>
        <v>0</v>
      </c>
      <c r="U43" s="48">
        <f>'TUSD BE'!$U$43*'TUSD BF'!$U$62</f>
        <v>0</v>
      </c>
      <c r="V43" s="48">
        <f>'TUSD BE'!$V$43*'TUSD BF'!$V$62</f>
        <v>0</v>
      </c>
      <c r="W43" s="48">
        <f>'TUSD BE'!$W$43*'TUSD BF'!$W$62</f>
        <v>0</v>
      </c>
      <c r="X43" s="48">
        <f>'TUSD BE'!$X$43*'TUSD BF'!$X$62</f>
        <v>0</v>
      </c>
      <c r="Y43" s="48">
        <f>'TUSD BE'!$Y$43*'TUSD BF'!$Y$62</f>
        <v>0</v>
      </c>
      <c r="Z43" s="48">
        <f>'TUSD BE'!$Z$43*'TUSD BF'!$Z$62</f>
        <v>0</v>
      </c>
      <c r="AA43" s="48">
        <f>'TUSD BE'!$AA$43*'TUSD BF'!$AA$62</f>
        <v>0</v>
      </c>
      <c r="AB43" s="48">
        <f>SUM($U$43:$AA$43)</f>
        <v>0</v>
      </c>
      <c r="AC43" s="48">
        <f>'TUSD BE'!$AC$43*'TUSD BF'!$AC$62</f>
        <v>0</v>
      </c>
      <c r="AD43" s="48">
        <f>SUM($AC$43:$AC$43)</f>
        <v>0</v>
      </c>
      <c r="AE43" s="48">
        <f ca="1">$AO$43*$AO$59</f>
        <v>0</v>
      </c>
      <c r="AF43" s="48">
        <f ca="1">$AP$43*$AP$59</f>
        <v>0</v>
      </c>
      <c r="AG43" s="48">
        <f ca="1">SUM($AE$43:$AF$43)</f>
        <v>0</v>
      </c>
      <c r="AH43" s="48">
        <f>'TUSD BE'!$AH$43*'TUSD BF'!$AH$62</f>
        <v>0</v>
      </c>
      <c r="AI43" s="48">
        <f>'TUSD BE'!$AI$43*'TUSD BF'!$AI$62</f>
        <v>0</v>
      </c>
      <c r="AJ43" s="48">
        <f ca="1">'TUSD BE'!$AJ$43*'TUSD BF'!$AJ$62</f>
        <v>0</v>
      </c>
      <c r="AK43" s="48">
        <f ca="1">'TUSD BE'!$AK$43*'TUSD BF'!$AK$62</f>
        <v>0</v>
      </c>
      <c r="AL43" s="48">
        <f ca="1">SUM($AH$43:$AK$43)</f>
        <v>0</v>
      </c>
      <c r="AM43" s="48">
        <f ca="1">SUMIF($L$4:$AL$4,"SUBTOTAL",$L$43:$AL$43)</f>
        <v>0</v>
      </c>
      <c r="AO43" s="54">
        <f ca="1">+'TUSD BE'!$T$43+'TUSD BE'!$AB$43+'TUSD BE'!$AD$43+'TUSD BE'!$AL$43</f>
        <v>458.80475945750641</v>
      </c>
      <c r="AP43" s="54">
        <f ca="1">+'TUSD BE'!$T$43+'TUSD BE'!$AB$43+'TUSD BE'!$AD$43+'TUSD BE'!$AL$43</f>
        <v>458.80475945750641</v>
      </c>
    </row>
    <row r="44" spans="1:42" ht="11.25" customHeight="1" x14ac:dyDescent="0.25">
      <c r="A44" s="109"/>
      <c r="B44" s="109"/>
      <c r="C44" s="109"/>
      <c r="D44" s="109"/>
      <c r="E44" s="109"/>
      <c r="F44" s="109"/>
      <c r="G44" s="52" t="s">
        <v>84</v>
      </c>
      <c r="H44" s="52" t="s">
        <v>82</v>
      </c>
      <c r="I44" s="52">
        <f>'MERCADO TUSD'!$U$41</f>
        <v>0</v>
      </c>
      <c r="J44" s="15"/>
      <c r="L44" s="48">
        <f>'TUSD BE'!$L$44*'TUSD BF'!$L$62</f>
        <v>0</v>
      </c>
      <c r="M44" s="48">
        <f>'TUSD BE'!$M$44*'TUSD BF'!$M$62</f>
        <v>0</v>
      </c>
      <c r="N44" s="48">
        <f ca="1">'TUSD BE'!$N$44*'TUSD BF'!$N$62</f>
        <v>0</v>
      </c>
      <c r="O44" s="48">
        <f>'TUSD BE'!$O$44*'TUSD BF'!$O$62</f>
        <v>0</v>
      </c>
      <c r="P44" s="48">
        <f>'TUSD BE'!$P$44*'TUSD BF'!$P$62</f>
        <v>0</v>
      </c>
      <c r="Q44" s="48">
        <f>'TUSD BE'!$Q$44*'TUSD BF'!$Q$62</f>
        <v>0</v>
      </c>
      <c r="R44" s="48">
        <f>'TUSD BE'!$R$44*'TUSD BF'!$R$62</f>
        <v>0</v>
      </c>
      <c r="S44" s="48">
        <f>'TUSD BE'!$R$44*'TUSD BF'!$S$62</f>
        <v>0</v>
      </c>
      <c r="T44" s="48">
        <f ca="1">SUM($L$44:$S$44)</f>
        <v>0</v>
      </c>
      <c r="U44" s="48">
        <f>'TUSD BE'!$U$44*'TUSD BF'!$U$62</f>
        <v>0</v>
      </c>
      <c r="V44" s="48">
        <f>'TUSD BE'!$V$44*'TUSD BF'!$V$62</f>
        <v>0</v>
      </c>
      <c r="W44" s="48">
        <f>'TUSD BE'!$W$44*'TUSD BF'!$W$62</f>
        <v>0</v>
      </c>
      <c r="X44" s="48">
        <f>'TUSD BE'!$X$44*'TUSD BF'!$X$62</f>
        <v>0</v>
      </c>
      <c r="Y44" s="48">
        <f>'TUSD BE'!$Y$44*'TUSD BF'!$Y$62</f>
        <v>0</v>
      </c>
      <c r="Z44" s="48">
        <f>'TUSD BE'!$Z$44*'TUSD BF'!$Z$62</f>
        <v>0</v>
      </c>
      <c r="AA44" s="48">
        <f>'TUSD BE'!$AA$44*'TUSD BF'!$AA$62</f>
        <v>0</v>
      </c>
      <c r="AB44" s="48">
        <f>SUM($U$44:$AA$44)</f>
        <v>0</v>
      </c>
      <c r="AC44" s="48">
        <f>'TUSD BE'!$AC$44*'TUSD BF'!$AC$62</f>
        <v>0</v>
      </c>
      <c r="AD44" s="48">
        <f>SUM($AC$44:$AC$44)</f>
        <v>0</v>
      </c>
      <c r="AE44" s="48">
        <f ca="1">$AO$44*$AO$59</f>
        <v>0</v>
      </c>
      <c r="AF44" s="48">
        <f ca="1">$AP$44*$AP$59</f>
        <v>0</v>
      </c>
      <c r="AG44" s="48">
        <f ca="1">SUM($AE$44:$AF$44)</f>
        <v>0</v>
      </c>
      <c r="AH44" s="48">
        <f>'TUSD BE'!$AH$44*'TUSD BF'!$AH$62</f>
        <v>0</v>
      </c>
      <c r="AI44" s="48">
        <f>'TUSD BE'!$AI$44*'TUSD BF'!$AI$62</f>
        <v>0</v>
      </c>
      <c r="AJ44" s="48">
        <f ca="1">'TUSD BE'!$AJ$44*'TUSD BF'!$AJ$62</f>
        <v>0</v>
      </c>
      <c r="AK44" s="48">
        <f ca="1">'TUSD BE'!$AK$44*'TUSD BF'!$AK$62</f>
        <v>0</v>
      </c>
      <c r="AL44" s="48">
        <f ca="1">SUM($AH$44:$AK$44)</f>
        <v>0</v>
      </c>
      <c r="AM44" s="48">
        <f ca="1">SUMIF($L$4:$AL$4,"SUBTOTAL",$L$44:$AL$44)</f>
        <v>0</v>
      </c>
      <c r="AO44" s="54">
        <f ca="1">+'TUSD BE'!$T$44+'TUSD BE'!$AB$44+'TUSD BE'!$AD$44+'TUSD BE'!$AL$44</f>
        <v>338.15441373658246</v>
      </c>
      <c r="AP44" s="54">
        <f ca="1">+'TUSD BE'!$T$44+'TUSD BE'!$AB$44+'TUSD BE'!$AD$44+'TUSD BE'!$AL$44</f>
        <v>338.15441373658246</v>
      </c>
    </row>
    <row r="45" spans="1:42" ht="11.25" customHeight="1" x14ac:dyDescent="0.25">
      <c r="A45" s="109"/>
      <c r="B45" s="51" t="s">
        <v>23</v>
      </c>
      <c r="C45" s="51" t="s">
        <v>42</v>
      </c>
      <c r="D45" s="51" t="s">
        <v>99</v>
      </c>
      <c r="E45" s="51" t="s">
        <v>25</v>
      </c>
      <c r="F45" s="51" t="s">
        <v>25</v>
      </c>
      <c r="G45" s="52" t="s">
        <v>88</v>
      </c>
      <c r="H45" s="52" t="s">
        <v>82</v>
      </c>
      <c r="I45" s="52">
        <f>'MERCADO TUSD'!$U$42</f>
        <v>0</v>
      </c>
      <c r="J45" s="15"/>
      <c r="L45" s="48">
        <f>'TUSD BE'!$L$45*'TUSD BF'!$L$62</f>
        <v>0</v>
      </c>
      <c r="M45" s="48">
        <f>'TUSD BE'!$M$45*'TUSD BF'!$M$62</f>
        <v>0</v>
      </c>
      <c r="N45" s="48">
        <f ca="1">'TUSD BE'!$N$45*'TUSD BF'!$N$62</f>
        <v>0</v>
      </c>
      <c r="O45" s="48">
        <f>'TUSD BE'!$O$45*'TUSD BF'!$O$62</f>
        <v>0</v>
      </c>
      <c r="P45" s="48">
        <f>'TUSD BE'!$P$45*'TUSD BF'!$P$62</f>
        <v>0</v>
      </c>
      <c r="Q45" s="48">
        <f>'TUSD BE'!$Q$45*'TUSD BF'!$Q$62</f>
        <v>0</v>
      </c>
      <c r="R45" s="48">
        <f>'TUSD BE'!$R$45*'TUSD BF'!$R$62</f>
        <v>0</v>
      </c>
      <c r="S45" s="48">
        <f>'TUSD BE'!$R$45*'TUSD BF'!$S$62</f>
        <v>0</v>
      </c>
      <c r="T45" s="48">
        <f ca="1">SUM($L$45:$S$45)</f>
        <v>0</v>
      </c>
      <c r="U45" s="48">
        <f>'TUSD BE'!$U$45*'TUSD BF'!$U$62</f>
        <v>0</v>
      </c>
      <c r="V45" s="48">
        <f>'TUSD BE'!$V$45*'TUSD BF'!$V$62</f>
        <v>0</v>
      </c>
      <c r="W45" s="48">
        <f>'TUSD BE'!$W$45*'TUSD BF'!$W$62</f>
        <v>0</v>
      </c>
      <c r="X45" s="48">
        <f>'TUSD BE'!$X$45*'TUSD BF'!$X$62</f>
        <v>0</v>
      </c>
      <c r="Y45" s="48">
        <f>'TUSD BE'!$Y$45*'TUSD BF'!$Y$62</f>
        <v>0</v>
      </c>
      <c r="Z45" s="48">
        <f>'TUSD BE'!$Z$45*'TUSD BF'!$Z$62</f>
        <v>0</v>
      </c>
      <c r="AA45" s="48">
        <f>'TUSD BE'!$AA$45*'TUSD BF'!$AA$62</f>
        <v>0</v>
      </c>
      <c r="AB45" s="48">
        <f>SUM($U$45:$AA$45)</f>
        <v>0</v>
      </c>
      <c r="AC45" s="48">
        <f>'TUSD BE'!$AC$45*'TUSD BF'!$AC$62</f>
        <v>0</v>
      </c>
      <c r="AD45" s="48">
        <f>SUM($AC$45:$AC$45)</f>
        <v>0</v>
      </c>
      <c r="AE45" s="48">
        <f ca="1">$AO$45*$AO$59</f>
        <v>0</v>
      </c>
      <c r="AF45" s="48">
        <f ca="1">$AP$45*$AP$59</f>
        <v>0</v>
      </c>
      <c r="AG45" s="48">
        <f ca="1">SUM($AE$45:$AF$45)</f>
        <v>0</v>
      </c>
      <c r="AH45" s="48">
        <f>'TUSD BE'!$AH$45*'TUSD BF'!$AH$62</f>
        <v>0</v>
      </c>
      <c r="AI45" s="48">
        <f>'TUSD BE'!$AI$45*'TUSD BF'!$AI$62</f>
        <v>0</v>
      </c>
      <c r="AJ45" s="48">
        <f ca="1">'TUSD BE'!$AJ$45*'TUSD BF'!$AJ$62</f>
        <v>0</v>
      </c>
      <c r="AK45" s="48">
        <f ca="1">'TUSD BE'!$AK$45*'TUSD BF'!$AK$62</f>
        <v>0</v>
      </c>
      <c r="AL45" s="48">
        <f ca="1">SUM($AH$45:$AK$45)</f>
        <v>0</v>
      </c>
      <c r="AM45" s="48">
        <f ca="1">SUMIF($L$4:$AL$4,"SUBTOTAL",$L$45:$AL$45)</f>
        <v>0</v>
      </c>
      <c r="AO45" s="54">
        <f ca="1">+'TUSD BE'!$T$45+'TUSD BE'!$AB$45+'TUSD BE'!$AD$45+'TUSD BE'!$AL$45</f>
        <v>406.19019508815694</v>
      </c>
      <c r="AP45" s="54">
        <f ca="1">+'TUSD BE'!$T$45+'TUSD BE'!$AB$45+'TUSD BE'!$AD$45+'TUSD BE'!$AL$45</f>
        <v>406.19019508815694</v>
      </c>
    </row>
    <row r="46" spans="1:42" ht="11.25" customHeight="1" x14ac:dyDescent="0.25">
      <c r="A46" s="109"/>
      <c r="B46" s="109" t="s">
        <v>97</v>
      </c>
      <c r="C46" s="109" t="s">
        <v>42</v>
      </c>
      <c r="D46" s="51" t="s">
        <v>25</v>
      </c>
      <c r="E46" s="51" t="s">
        <v>25</v>
      </c>
      <c r="F46" s="51" t="s">
        <v>25</v>
      </c>
      <c r="G46" s="52" t="s">
        <v>88</v>
      </c>
      <c r="H46" s="52" t="s">
        <v>82</v>
      </c>
      <c r="I46" s="52">
        <f>'MERCADO TUSD'!$U$43</f>
        <v>0</v>
      </c>
      <c r="J46" s="15"/>
      <c r="L46" s="48">
        <f>'TUSD BE'!$L$46*'TUSD BF'!$L$62</f>
        <v>0</v>
      </c>
      <c r="M46" s="48">
        <f>'TUSD BE'!$M$46*'TUSD BF'!$M$62</f>
        <v>0</v>
      </c>
      <c r="N46" s="48">
        <f ca="1">'TUSD BE'!$N$46*'TUSD BF'!$N$62</f>
        <v>0</v>
      </c>
      <c r="O46" s="48">
        <f>'TUSD BE'!$O$46*'TUSD BF'!$O$62</f>
        <v>0</v>
      </c>
      <c r="P46" s="48">
        <f>'TUSD BE'!$P$46*'TUSD BF'!$P$62</f>
        <v>0</v>
      </c>
      <c r="Q46" s="48">
        <f>'TUSD BE'!$Q$46*'TUSD BF'!$Q$62</f>
        <v>0</v>
      </c>
      <c r="R46" s="48">
        <f>'TUSD BE'!$R$46*'TUSD BF'!$R$62</f>
        <v>0</v>
      </c>
      <c r="S46" s="48">
        <f>'TUSD BE'!$R$46*'TUSD BF'!$S$62</f>
        <v>0</v>
      </c>
      <c r="T46" s="48">
        <f ca="1">SUM($L$46:$S$46)</f>
        <v>0</v>
      </c>
      <c r="U46" s="48">
        <f>'TUSD BE'!$U$46*'TUSD BF'!$U$62</f>
        <v>0</v>
      </c>
      <c r="V46" s="48">
        <f>'TUSD BE'!$V$46*'TUSD BF'!$V$62</f>
        <v>0</v>
      </c>
      <c r="W46" s="48">
        <f>'TUSD BE'!$W$46*'TUSD BF'!$W$62</f>
        <v>0</v>
      </c>
      <c r="X46" s="48">
        <f>'TUSD BE'!$X$46*'TUSD BF'!$X$62</f>
        <v>0</v>
      </c>
      <c r="Y46" s="48">
        <f>'TUSD BE'!$Y$46*'TUSD BF'!$Y$62</f>
        <v>0</v>
      </c>
      <c r="Z46" s="48">
        <f>'TUSD BE'!$Z$46*'TUSD BF'!$Z$62</f>
        <v>0</v>
      </c>
      <c r="AA46" s="48">
        <f>'TUSD BE'!$AA$46*'TUSD BF'!$AA$62</f>
        <v>0</v>
      </c>
      <c r="AB46" s="48">
        <f>SUM($U$46:$AA$46)</f>
        <v>0</v>
      </c>
      <c r="AC46" s="48">
        <f>'TUSD BE'!$AC$46*'TUSD BF'!$AC$62</f>
        <v>0</v>
      </c>
      <c r="AD46" s="48">
        <f>SUM($AC$46:$AC$46)</f>
        <v>0</v>
      </c>
      <c r="AE46" s="48">
        <f ca="1">$AO$46*$AO$59</f>
        <v>0</v>
      </c>
      <c r="AF46" s="48">
        <f ca="1">$AP$46*$AP$59</f>
        <v>0</v>
      </c>
      <c r="AG46" s="48">
        <f ca="1">SUM($AE$46:$AF$46)</f>
        <v>0</v>
      </c>
      <c r="AH46" s="48">
        <f>'TUSD BE'!$AH$46*'TUSD BF'!$AH$62</f>
        <v>0</v>
      </c>
      <c r="AI46" s="48">
        <f>'TUSD BE'!$AI$46*'TUSD BF'!$AI$62</f>
        <v>0</v>
      </c>
      <c r="AJ46" s="48">
        <f ca="1">'TUSD BE'!$AJ$46*'TUSD BF'!$AJ$62</f>
        <v>0</v>
      </c>
      <c r="AK46" s="48">
        <f ca="1">'TUSD BE'!$AK$46*'TUSD BF'!$AK$62</f>
        <v>0</v>
      </c>
      <c r="AL46" s="48">
        <f ca="1">SUM($AH$46:$AK$46)</f>
        <v>0</v>
      </c>
      <c r="AM46" s="48">
        <f ca="1">SUMIF($L$4:$AL$4,"SUBTOTAL",$L$46:$AL$46)</f>
        <v>0</v>
      </c>
      <c r="AO46" s="54">
        <f ca="1">+'TUSD BE'!$T$46+'TUSD BE'!$AB$46+'TUSD BE'!$AD$46+'TUSD BE'!$AL$46</f>
        <v>406.19019508815694</v>
      </c>
      <c r="AP46" s="54">
        <f ca="1">+'TUSD BE'!$T$46+'TUSD BE'!$AB$46+'TUSD BE'!$AD$46+'TUSD BE'!$AL$46</f>
        <v>406.19019508815694</v>
      </c>
    </row>
    <row r="47" spans="1:42" ht="11.25" customHeight="1" x14ac:dyDescent="0.25">
      <c r="A47" s="109"/>
      <c r="B47" s="109"/>
      <c r="C47" s="109"/>
      <c r="D47" s="51" t="s">
        <v>98</v>
      </c>
      <c r="E47" s="51" t="s">
        <v>25</v>
      </c>
      <c r="F47" s="51" t="s">
        <v>25</v>
      </c>
      <c r="G47" s="52" t="s">
        <v>88</v>
      </c>
      <c r="H47" s="52" t="s">
        <v>82</v>
      </c>
      <c r="I47" s="52">
        <f>'MERCADO TUSD'!$U$44</f>
        <v>0</v>
      </c>
      <c r="J47" s="15"/>
      <c r="L47" s="48">
        <f>'TUSD BE'!$L$47*'TUSD BF'!$L$62</f>
        <v>0</v>
      </c>
      <c r="M47" s="48">
        <f>'TUSD BE'!$M$47*'TUSD BF'!$M$62</f>
        <v>0</v>
      </c>
      <c r="N47" s="48">
        <f ca="1">'TUSD BE'!$N$47*'TUSD BF'!$N$62</f>
        <v>0</v>
      </c>
      <c r="O47" s="48">
        <f>'TUSD BE'!$O$47*'TUSD BF'!$O$62</f>
        <v>0</v>
      </c>
      <c r="P47" s="48">
        <f>'TUSD BE'!$P$47*'TUSD BF'!$P$62</f>
        <v>0</v>
      </c>
      <c r="Q47" s="48">
        <f>'TUSD BE'!$Q$47*'TUSD BF'!$Q$62</f>
        <v>0</v>
      </c>
      <c r="R47" s="48">
        <f>'TUSD BE'!$R$47*'TUSD BF'!$R$62</f>
        <v>0</v>
      </c>
      <c r="S47" s="48">
        <f>'TUSD BE'!$R$47*'TUSD BF'!$S$62</f>
        <v>0</v>
      </c>
      <c r="T47" s="48">
        <f ca="1">SUM($L$47:$S$47)</f>
        <v>0</v>
      </c>
      <c r="U47" s="48">
        <f>'TUSD BE'!$U$47*'TUSD BF'!$U$62</f>
        <v>0</v>
      </c>
      <c r="V47" s="48">
        <f>'TUSD BE'!$V$47*'TUSD BF'!$V$62</f>
        <v>0</v>
      </c>
      <c r="W47" s="48">
        <f>'TUSD BE'!$W$47*'TUSD BF'!$W$62</f>
        <v>0</v>
      </c>
      <c r="X47" s="48">
        <f>'TUSD BE'!$X$47*'TUSD BF'!$X$62</f>
        <v>0</v>
      </c>
      <c r="Y47" s="48">
        <f>'TUSD BE'!$Y$47*'TUSD BF'!$Y$62</f>
        <v>0</v>
      </c>
      <c r="Z47" s="48">
        <f>'TUSD BE'!$Z$47*'TUSD BF'!$Z$62</f>
        <v>0</v>
      </c>
      <c r="AA47" s="48">
        <f>'TUSD BE'!$AA$47*'TUSD BF'!$AA$62</f>
        <v>0</v>
      </c>
      <c r="AB47" s="48">
        <f>SUM($U$47:$AA$47)</f>
        <v>0</v>
      </c>
      <c r="AC47" s="48">
        <f>'TUSD BE'!$AC$47*'TUSD BF'!$AC$62</f>
        <v>0</v>
      </c>
      <c r="AD47" s="48">
        <f>SUM($AC$47:$AC$47)</f>
        <v>0</v>
      </c>
      <c r="AE47" s="48">
        <f ca="1">$AO$47*$AO$59</f>
        <v>0</v>
      </c>
      <c r="AF47" s="48">
        <f ca="1">$AP$47*$AP$59</f>
        <v>0</v>
      </c>
      <c r="AG47" s="48">
        <f ca="1">SUM($AE$47:$AF$47)</f>
        <v>0</v>
      </c>
      <c r="AH47" s="48">
        <f>'TUSD BE'!$AH$47*'TUSD BF'!$AH$62</f>
        <v>0</v>
      </c>
      <c r="AI47" s="48">
        <f>'TUSD BE'!$AI$47*'TUSD BF'!$AI$62</f>
        <v>0</v>
      </c>
      <c r="AJ47" s="48">
        <f ca="1">'TUSD BE'!$AJ$47*'TUSD BF'!$AJ$62</f>
        <v>0</v>
      </c>
      <c r="AK47" s="48">
        <f ca="1">'TUSD BE'!$AK$47*'TUSD BF'!$AK$62</f>
        <v>0</v>
      </c>
      <c r="AL47" s="48">
        <f ca="1">SUM($AH$47:$AK$47)</f>
        <v>0</v>
      </c>
      <c r="AM47" s="48">
        <f ca="1">SUMIF($L$4:$AL$4,"SUBTOTAL",$L$47:$AL$47)</f>
        <v>0</v>
      </c>
      <c r="AO47" s="54">
        <f ca="1">+'TUSD BE'!$T$47+'TUSD BE'!$AB$47+'TUSD BE'!$AD$47+'TUSD BE'!$AL$47</f>
        <v>406.19019508815694</v>
      </c>
      <c r="AP47" s="54">
        <f ca="1">+'TUSD BE'!$T$47+'TUSD BE'!$AB$47+'TUSD BE'!$AD$47+'TUSD BE'!$AL$47</f>
        <v>406.19019508815694</v>
      </c>
    </row>
    <row r="48" spans="1:42" ht="11.25" customHeight="1" x14ac:dyDescent="0.25">
      <c r="A48" s="109"/>
      <c r="B48" s="109"/>
      <c r="C48" s="109"/>
      <c r="D48" s="51" t="s">
        <v>99</v>
      </c>
      <c r="E48" s="51" t="s">
        <v>25</v>
      </c>
      <c r="F48" s="51" t="s">
        <v>25</v>
      </c>
      <c r="G48" s="52" t="s">
        <v>88</v>
      </c>
      <c r="H48" s="52" t="s">
        <v>82</v>
      </c>
      <c r="I48" s="52">
        <f>'MERCADO TUSD'!$U$45</f>
        <v>0</v>
      </c>
      <c r="J48" s="15"/>
      <c r="L48" s="48">
        <f>'TUSD BE'!$L$48*'TUSD BF'!$L$62</f>
        <v>0</v>
      </c>
      <c r="M48" s="48">
        <f>'TUSD BE'!$M$48*'TUSD BF'!$M$62</f>
        <v>0</v>
      </c>
      <c r="N48" s="48">
        <f ca="1">'TUSD BE'!$N$48*'TUSD BF'!$N$62</f>
        <v>0</v>
      </c>
      <c r="O48" s="48">
        <f>'TUSD BE'!$O$48*'TUSD BF'!$O$62</f>
        <v>0</v>
      </c>
      <c r="P48" s="48">
        <f>'TUSD BE'!$P$48*'TUSD BF'!$P$62</f>
        <v>0</v>
      </c>
      <c r="Q48" s="48">
        <f>'TUSD BE'!$Q$48*'TUSD BF'!$Q$62</f>
        <v>0</v>
      </c>
      <c r="R48" s="48">
        <f>'TUSD BE'!$R$48*'TUSD BF'!$R$62</f>
        <v>0</v>
      </c>
      <c r="S48" s="48">
        <f>'TUSD BE'!$R$48*'TUSD BF'!$S$62</f>
        <v>0</v>
      </c>
      <c r="T48" s="48">
        <f ca="1">SUM($L$48:$S$48)</f>
        <v>0</v>
      </c>
      <c r="U48" s="48">
        <f>'TUSD BE'!$U$48*'TUSD BF'!$U$62</f>
        <v>0</v>
      </c>
      <c r="V48" s="48">
        <f>'TUSD BE'!$V$48*'TUSD BF'!$V$62</f>
        <v>0</v>
      </c>
      <c r="W48" s="48">
        <f>'TUSD BE'!$W$48*'TUSD BF'!$W$62</f>
        <v>0</v>
      </c>
      <c r="X48" s="48">
        <f>'TUSD BE'!$X$48*'TUSD BF'!$X$62</f>
        <v>0</v>
      </c>
      <c r="Y48" s="48">
        <f>'TUSD BE'!$Y$48*'TUSD BF'!$Y$62</f>
        <v>0</v>
      </c>
      <c r="Z48" s="48">
        <f>'TUSD BE'!$Z$48*'TUSD BF'!$Z$62</f>
        <v>0</v>
      </c>
      <c r="AA48" s="48">
        <f>'TUSD BE'!$AA$48*'TUSD BF'!$AA$62</f>
        <v>0</v>
      </c>
      <c r="AB48" s="48">
        <f>SUM($U$48:$AA$48)</f>
        <v>0</v>
      </c>
      <c r="AC48" s="48">
        <f>'TUSD BE'!$AC$48*'TUSD BF'!$AC$62</f>
        <v>0</v>
      </c>
      <c r="AD48" s="48">
        <f>SUM($AC$48:$AC$48)</f>
        <v>0</v>
      </c>
      <c r="AE48" s="48">
        <f ca="1">$AO$48*$AO$59</f>
        <v>0</v>
      </c>
      <c r="AF48" s="48">
        <f ca="1">$AP$48*$AP$59</f>
        <v>0</v>
      </c>
      <c r="AG48" s="48">
        <f ca="1">SUM($AE$48:$AF$48)</f>
        <v>0</v>
      </c>
      <c r="AH48" s="48">
        <f>'TUSD BE'!$AH$48*'TUSD BF'!$AH$62</f>
        <v>0</v>
      </c>
      <c r="AI48" s="48">
        <f>'TUSD BE'!$AI$48*'TUSD BF'!$AI$62</f>
        <v>0</v>
      </c>
      <c r="AJ48" s="48">
        <f ca="1">'TUSD BE'!$AJ$48*'TUSD BF'!$AJ$62</f>
        <v>0</v>
      </c>
      <c r="AK48" s="48">
        <f ca="1">'TUSD BE'!$AK$48*'TUSD BF'!$AK$62</f>
        <v>0</v>
      </c>
      <c r="AL48" s="48">
        <f ca="1">SUM($AH$48:$AK$48)</f>
        <v>0</v>
      </c>
      <c r="AM48" s="48">
        <f ca="1">SUMIF($L$4:$AL$4,"SUBTOTAL",$L$48:$AL$48)</f>
        <v>0</v>
      </c>
      <c r="AO48" s="54">
        <f ca="1">+'TUSD BE'!$T$48+'TUSD BE'!$AB$48+'TUSD BE'!$AD$48+'TUSD BE'!$AL$48</f>
        <v>406.19019508815694</v>
      </c>
      <c r="AP48" s="54">
        <f ca="1">+'TUSD BE'!$T$48+'TUSD BE'!$AB$48+'TUSD BE'!$AD$48+'TUSD BE'!$AL$48</f>
        <v>406.19019508815694</v>
      </c>
    </row>
    <row r="49" spans="1:42" ht="11.25" customHeight="1" x14ac:dyDescent="0.25">
      <c r="A49" s="109" t="s">
        <v>33</v>
      </c>
      <c r="B49" s="109" t="s">
        <v>95</v>
      </c>
      <c r="C49" s="109" t="s">
        <v>25</v>
      </c>
      <c r="D49" s="109" t="s">
        <v>25</v>
      </c>
      <c r="E49" s="109" t="s">
        <v>25</v>
      </c>
      <c r="F49" s="109" t="s">
        <v>25</v>
      </c>
      <c r="G49" s="52" t="s">
        <v>83</v>
      </c>
      <c r="H49" s="52" t="s">
        <v>82</v>
      </c>
      <c r="I49" s="52">
        <f>'MERCADO TUSD'!$U$46</f>
        <v>0</v>
      </c>
      <c r="J49" s="15"/>
      <c r="L49" s="48">
        <f>'TUSD BE'!$L$49*'TUSD BF'!$L$62</f>
        <v>0</v>
      </c>
      <c r="M49" s="48">
        <f>'TUSD BE'!$M$49*'TUSD BF'!$M$62</f>
        <v>0</v>
      </c>
      <c r="N49" s="48">
        <f ca="1">'TUSD BE'!$N$49*'TUSD BF'!$N$62</f>
        <v>0</v>
      </c>
      <c r="O49" s="48">
        <f>'TUSD BE'!$O$49*'TUSD BF'!$O$62</f>
        <v>0</v>
      </c>
      <c r="P49" s="48">
        <f>'TUSD BE'!$P$49*'TUSD BF'!$P$62</f>
        <v>0</v>
      </c>
      <c r="Q49" s="48">
        <f>'TUSD BE'!$Q$49*'TUSD BF'!$Q$62</f>
        <v>0</v>
      </c>
      <c r="R49" s="48">
        <f>'TUSD BE'!$R$49*'TUSD BF'!$R$62</f>
        <v>0</v>
      </c>
      <c r="S49" s="48">
        <f>'TUSD BE'!$R$49*'TUSD BF'!$S$62</f>
        <v>0</v>
      </c>
      <c r="T49" s="48">
        <f ca="1">SUM($L$49:$S$49)</f>
        <v>0</v>
      </c>
      <c r="U49" s="48">
        <f>'TUSD BE'!$U$49*'TUSD BF'!$U$62</f>
        <v>0</v>
      </c>
      <c r="V49" s="48">
        <f>'TUSD BE'!$V$49*'TUSD BF'!$V$62</f>
        <v>0</v>
      </c>
      <c r="W49" s="48">
        <f>'TUSD BE'!$W$49*'TUSD BF'!$W$62</f>
        <v>0</v>
      </c>
      <c r="X49" s="48">
        <f>'TUSD BE'!$X$49*'TUSD BF'!$X$62</f>
        <v>0</v>
      </c>
      <c r="Y49" s="48">
        <f>'TUSD BE'!$Y$49*'TUSD BF'!$Y$62</f>
        <v>0</v>
      </c>
      <c r="Z49" s="48">
        <f>'TUSD BE'!$Z$49*'TUSD BF'!$Z$62</f>
        <v>0</v>
      </c>
      <c r="AA49" s="48">
        <f>'TUSD BE'!$AA$49*'TUSD BF'!$AA$62</f>
        <v>0</v>
      </c>
      <c r="AB49" s="48">
        <f>SUM($U$49:$AA$49)</f>
        <v>0</v>
      </c>
      <c r="AC49" s="48">
        <f>'TUSD BE'!$AC$49*'TUSD BF'!$AC$62</f>
        <v>0</v>
      </c>
      <c r="AD49" s="48">
        <f>SUM($AC$49:$AC$49)</f>
        <v>0</v>
      </c>
      <c r="AE49" s="48">
        <f ca="1">$AO$49*$AO$59</f>
        <v>0</v>
      </c>
      <c r="AF49" s="48">
        <f ca="1">$AP$49*$AP$59</f>
        <v>0</v>
      </c>
      <c r="AG49" s="48">
        <f ca="1">SUM($AE$49:$AF$49)</f>
        <v>0</v>
      </c>
      <c r="AH49" s="48">
        <f>'TUSD BE'!$AH$49*'TUSD BF'!$AH$62</f>
        <v>0</v>
      </c>
      <c r="AI49" s="48">
        <f>'TUSD BE'!$AI$49*'TUSD BF'!$AI$62</f>
        <v>0</v>
      </c>
      <c r="AJ49" s="48">
        <f ca="1">'TUSD BE'!$AJ$49*'TUSD BF'!$AJ$62</f>
        <v>0</v>
      </c>
      <c r="AK49" s="48">
        <f ca="1">'TUSD BE'!$AK$49*'TUSD BF'!$AK$62</f>
        <v>0</v>
      </c>
      <c r="AL49" s="48">
        <f ca="1">SUM($AH$49:$AK$49)</f>
        <v>0</v>
      </c>
      <c r="AM49" s="48">
        <f ca="1">SUMIF($L$4:$AL$4,"SUBTOTAL",$L$49:$AL$49)</f>
        <v>0</v>
      </c>
      <c r="AO49" s="54">
        <f ca="1">+'TUSD BE'!$T$49+'TUSD BE'!$AB$49+'TUSD BE'!$AD$49+'TUSD BE'!$AL$49</f>
        <v>837.08118565979271</v>
      </c>
      <c r="AP49" s="54">
        <f ca="1">+'TUSD BE'!$T$49+'TUSD BE'!$AB$49+'TUSD BE'!$AD$49+'TUSD BE'!$AL$49</f>
        <v>837.08118565979271</v>
      </c>
    </row>
    <row r="50" spans="1:42" ht="11.25" customHeight="1" x14ac:dyDescent="0.25">
      <c r="A50" s="109"/>
      <c r="B50" s="109"/>
      <c r="C50" s="109"/>
      <c r="D50" s="109"/>
      <c r="E50" s="109"/>
      <c r="F50" s="109"/>
      <c r="G50" s="52" t="s">
        <v>94</v>
      </c>
      <c r="H50" s="52" t="s">
        <v>82</v>
      </c>
      <c r="I50" s="52">
        <f>'MERCADO TUSD'!$U$47</f>
        <v>0</v>
      </c>
      <c r="J50" s="15"/>
      <c r="L50" s="48">
        <f>'TUSD BE'!$L$50*'TUSD BF'!$L$62</f>
        <v>0</v>
      </c>
      <c r="M50" s="48">
        <f>'TUSD BE'!$M$50*'TUSD BF'!$M$62</f>
        <v>0</v>
      </c>
      <c r="N50" s="48">
        <f ca="1">'TUSD BE'!$N$50*'TUSD BF'!$N$62</f>
        <v>0</v>
      </c>
      <c r="O50" s="48">
        <f>'TUSD BE'!$O$50*'TUSD BF'!$O$62</f>
        <v>0</v>
      </c>
      <c r="P50" s="48">
        <f>'TUSD BE'!$P$50*'TUSD BF'!$P$62</f>
        <v>0</v>
      </c>
      <c r="Q50" s="48">
        <f>'TUSD BE'!$Q$50*'TUSD BF'!$Q$62</f>
        <v>0</v>
      </c>
      <c r="R50" s="48">
        <f>'TUSD BE'!$R$50*'TUSD BF'!$R$62</f>
        <v>0</v>
      </c>
      <c r="S50" s="48">
        <f>'TUSD BE'!$R$50*'TUSD BF'!$S$62</f>
        <v>0</v>
      </c>
      <c r="T50" s="48">
        <f ca="1">SUM($L$50:$S$50)</f>
        <v>0</v>
      </c>
      <c r="U50" s="48">
        <f>'TUSD BE'!$U$50*'TUSD BF'!$U$62</f>
        <v>0</v>
      </c>
      <c r="V50" s="48">
        <f>'TUSD BE'!$V$50*'TUSD BF'!$V$62</f>
        <v>0</v>
      </c>
      <c r="W50" s="48">
        <f>'TUSD BE'!$W$50*'TUSD BF'!$W$62</f>
        <v>0</v>
      </c>
      <c r="X50" s="48">
        <f>'TUSD BE'!$X$50*'TUSD BF'!$X$62</f>
        <v>0</v>
      </c>
      <c r="Y50" s="48">
        <f>'TUSD BE'!$Y$50*'TUSD BF'!$Y$62</f>
        <v>0</v>
      </c>
      <c r="Z50" s="48">
        <f>'TUSD BE'!$Z$50*'TUSD BF'!$Z$62</f>
        <v>0</v>
      </c>
      <c r="AA50" s="48">
        <f>'TUSD BE'!$AA$50*'TUSD BF'!$AA$62</f>
        <v>0</v>
      </c>
      <c r="AB50" s="48">
        <f>SUM($U$50:$AA$50)</f>
        <v>0</v>
      </c>
      <c r="AC50" s="48">
        <f>'TUSD BE'!$AC$50*'TUSD BF'!$AC$62</f>
        <v>0</v>
      </c>
      <c r="AD50" s="48">
        <f>SUM($AC$50:$AC$50)</f>
        <v>0</v>
      </c>
      <c r="AE50" s="48">
        <f ca="1">$AO$50*$AO$59</f>
        <v>0</v>
      </c>
      <c r="AF50" s="48">
        <f ca="1">$AP$50*$AP$59</f>
        <v>0</v>
      </c>
      <c r="AG50" s="48">
        <f ca="1">SUM($AE$50:$AF$50)</f>
        <v>0</v>
      </c>
      <c r="AH50" s="48">
        <f>'TUSD BE'!$AH$50*'TUSD BF'!$AH$62</f>
        <v>0</v>
      </c>
      <c r="AI50" s="48">
        <f>'TUSD BE'!$AI$50*'TUSD BF'!$AI$62</f>
        <v>0</v>
      </c>
      <c r="AJ50" s="48">
        <f ca="1">'TUSD BE'!$AJ$50*'TUSD BF'!$AJ$62</f>
        <v>0</v>
      </c>
      <c r="AK50" s="48">
        <f ca="1">'TUSD BE'!$AK$50*'TUSD BF'!$AK$62</f>
        <v>0</v>
      </c>
      <c r="AL50" s="48">
        <f ca="1">SUM($AH$50:$AK$50)</f>
        <v>0</v>
      </c>
      <c r="AM50" s="48">
        <f ca="1">SUMIF($L$4:$AL$4,"SUBTOTAL",$L$50:$AL$50)</f>
        <v>0</v>
      </c>
      <c r="AO50" s="54">
        <f ca="1">+'TUSD BE'!$T$50+'TUSD BE'!$AB$50+'TUSD BE'!$AD$50+'TUSD BE'!$AL$50</f>
        <v>479.89510057713869</v>
      </c>
      <c r="AP50" s="54">
        <f ca="1">+'TUSD BE'!$T$50+'TUSD BE'!$AB$50+'TUSD BE'!$AD$50+'TUSD BE'!$AL$50</f>
        <v>479.89510057713869</v>
      </c>
    </row>
    <row r="51" spans="1:42" ht="11.25" customHeight="1" x14ac:dyDescent="0.25">
      <c r="A51" s="109"/>
      <c r="B51" s="109"/>
      <c r="C51" s="109"/>
      <c r="D51" s="109"/>
      <c r="E51" s="109"/>
      <c r="F51" s="109"/>
      <c r="G51" s="52" t="s">
        <v>84</v>
      </c>
      <c r="H51" s="52" t="s">
        <v>82</v>
      </c>
      <c r="I51" s="52">
        <f>'MERCADO TUSD'!$U$48</f>
        <v>0</v>
      </c>
      <c r="J51" s="15"/>
      <c r="L51" s="48">
        <f>'TUSD BE'!$L$51*'TUSD BF'!$L$62</f>
        <v>0</v>
      </c>
      <c r="M51" s="48">
        <f>'TUSD BE'!$M$51*'TUSD BF'!$M$62</f>
        <v>0</v>
      </c>
      <c r="N51" s="48">
        <f ca="1">'TUSD BE'!$N$51*'TUSD BF'!$N$62</f>
        <v>0</v>
      </c>
      <c r="O51" s="48">
        <f>'TUSD BE'!$O$51*'TUSD BF'!$O$62</f>
        <v>0</v>
      </c>
      <c r="P51" s="48">
        <f>'TUSD BE'!$P$51*'TUSD BF'!$P$62</f>
        <v>0</v>
      </c>
      <c r="Q51" s="48">
        <f>'TUSD BE'!$Q$51*'TUSD BF'!$Q$62</f>
        <v>0</v>
      </c>
      <c r="R51" s="48">
        <f>'TUSD BE'!$R$51*'TUSD BF'!$R$62</f>
        <v>0</v>
      </c>
      <c r="S51" s="48">
        <f>'TUSD BE'!$R$51*'TUSD BF'!$S$62</f>
        <v>0</v>
      </c>
      <c r="T51" s="48">
        <f ca="1">SUM($L$51:$S$51)</f>
        <v>0</v>
      </c>
      <c r="U51" s="48">
        <f>'TUSD BE'!$U$51*'TUSD BF'!$U$62</f>
        <v>0</v>
      </c>
      <c r="V51" s="48">
        <f>'TUSD BE'!$V$51*'TUSD BF'!$V$62</f>
        <v>0</v>
      </c>
      <c r="W51" s="48">
        <f>'TUSD BE'!$W$51*'TUSD BF'!$W$62</f>
        <v>0</v>
      </c>
      <c r="X51" s="48">
        <f>'TUSD BE'!$X$51*'TUSD BF'!$X$62</f>
        <v>0</v>
      </c>
      <c r="Y51" s="48">
        <f>'TUSD BE'!$Y$51*'TUSD BF'!$Y$62</f>
        <v>0</v>
      </c>
      <c r="Z51" s="48">
        <f>'TUSD BE'!$Z$51*'TUSD BF'!$Z$62</f>
        <v>0</v>
      </c>
      <c r="AA51" s="48">
        <f>'TUSD BE'!$AA$51*'TUSD BF'!$AA$62</f>
        <v>0</v>
      </c>
      <c r="AB51" s="48">
        <f>SUM($U$51:$AA$51)</f>
        <v>0</v>
      </c>
      <c r="AC51" s="48">
        <f>'TUSD BE'!$AC$51*'TUSD BF'!$AC$62</f>
        <v>0</v>
      </c>
      <c r="AD51" s="48">
        <f>SUM($AC$51:$AC$51)</f>
        <v>0</v>
      </c>
      <c r="AE51" s="48">
        <f ca="1">$AO$51*$AO$59</f>
        <v>0</v>
      </c>
      <c r="AF51" s="48">
        <f ca="1">$AP$51*$AP$59</f>
        <v>0</v>
      </c>
      <c r="AG51" s="48">
        <f ca="1">SUM($AE$51:$AF$51)</f>
        <v>0</v>
      </c>
      <c r="AH51" s="48">
        <f>'TUSD BE'!$AH$51*'TUSD BF'!$AH$62</f>
        <v>0</v>
      </c>
      <c r="AI51" s="48">
        <f>'TUSD BE'!$AI$51*'TUSD BF'!$AI$62</f>
        <v>0</v>
      </c>
      <c r="AJ51" s="48">
        <f ca="1">'TUSD BE'!$AJ$51*'TUSD BF'!$AJ$62</f>
        <v>0</v>
      </c>
      <c r="AK51" s="48">
        <f ca="1">'TUSD BE'!$AK$51*'TUSD BF'!$AK$62</f>
        <v>0</v>
      </c>
      <c r="AL51" s="48">
        <f ca="1">SUM($AH$51:$AK$51)</f>
        <v>0</v>
      </c>
      <c r="AM51" s="48">
        <f ca="1">SUMIF($L$4:$AL$4,"SUBTOTAL",$L$51:$AL$51)</f>
        <v>0</v>
      </c>
      <c r="AO51" s="54">
        <f ca="1">+'TUSD BE'!$T$51+'TUSD BE'!$AB$51+'TUSD BE'!$AD$51+'TUSD BE'!$AL$51</f>
        <v>360.83333548340829</v>
      </c>
      <c r="AP51" s="54">
        <f ca="1">+'TUSD BE'!$T$51+'TUSD BE'!$AB$51+'TUSD BE'!$AD$51+'TUSD BE'!$AL$51</f>
        <v>360.83333548340829</v>
      </c>
    </row>
    <row r="52" spans="1:42" ht="11.25" customHeight="1" x14ac:dyDescent="0.25">
      <c r="A52" s="109"/>
      <c r="B52" s="51" t="s">
        <v>23</v>
      </c>
      <c r="C52" s="51" t="s">
        <v>25</v>
      </c>
      <c r="D52" s="51" t="s">
        <v>25</v>
      </c>
      <c r="E52" s="51" t="s">
        <v>25</v>
      </c>
      <c r="F52" s="51" t="s">
        <v>25</v>
      </c>
      <c r="G52" s="52" t="s">
        <v>88</v>
      </c>
      <c r="H52" s="52" t="s">
        <v>82</v>
      </c>
      <c r="I52" s="52">
        <f>'MERCADO TUSD'!$U$49</f>
        <v>28646.591999999997</v>
      </c>
      <c r="J52" s="15"/>
      <c r="L52" s="48">
        <f>'TUSD BE'!$L$52*'TUSD BF'!$L$62</f>
        <v>0</v>
      </c>
      <c r="M52" s="48">
        <f>'TUSD BE'!$M$52*'TUSD BF'!$M$62</f>
        <v>0</v>
      </c>
      <c r="N52" s="48">
        <f ca="1">'TUSD BE'!$N$52*'TUSD BF'!$N$62</f>
        <v>0</v>
      </c>
      <c r="O52" s="48">
        <f>'TUSD BE'!$O$52*'TUSD BF'!$O$62</f>
        <v>0</v>
      </c>
      <c r="P52" s="48">
        <f>'TUSD BE'!$P$52*'TUSD BF'!$P$62</f>
        <v>0</v>
      </c>
      <c r="Q52" s="48">
        <f>'TUSD BE'!$Q$52*'TUSD BF'!$Q$62</f>
        <v>0</v>
      </c>
      <c r="R52" s="48">
        <f>'TUSD BE'!$R$52*'TUSD BF'!$R$62</f>
        <v>0</v>
      </c>
      <c r="S52" s="48">
        <f>'TUSD BE'!$R$52*'TUSD BF'!$S$62</f>
        <v>0</v>
      </c>
      <c r="T52" s="48">
        <f ca="1">SUM($L$52:$S$52)</f>
        <v>0</v>
      </c>
      <c r="U52" s="48">
        <f>'TUSD BE'!$U$52*'TUSD BF'!$U$62</f>
        <v>0</v>
      </c>
      <c r="V52" s="48">
        <f>'TUSD BE'!$V$52*'TUSD BF'!$V$62</f>
        <v>0</v>
      </c>
      <c r="W52" s="48">
        <f>'TUSD BE'!$W$52*'TUSD BF'!$W$62</f>
        <v>0</v>
      </c>
      <c r="X52" s="48">
        <f>'TUSD BE'!$X$52*'TUSD BF'!$X$62</f>
        <v>0</v>
      </c>
      <c r="Y52" s="48">
        <f>'TUSD BE'!$Y$52*'TUSD BF'!$Y$62</f>
        <v>0</v>
      </c>
      <c r="Z52" s="48">
        <f>'TUSD BE'!$Z$52*'TUSD BF'!$Z$62</f>
        <v>0</v>
      </c>
      <c r="AA52" s="48">
        <f>'TUSD BE'!$AA$52*'TUSD BF'!$AA$62</f>
        <v>0</v>
      </c>
      <c r="AB52" s="48">
        <f>SUM($U$52:$AA$52)</f>
        <v>0</v>
      </c>
      <c r="AC52" s="48">
        <f>'TUSD BE'!$AC$52*'TUSD BF'!$AC$62</f>
        <v>0</v>
      </c>
      <c r="AD52" s="48">
        <f>SUM($AC$52:$AC$52)</f>
        <v>0</v>
      </c>
      <c r="AE52" s="48">
        <f ca="1">$AO$52*$AO$59</f>
        <v>0</v>
      </c>
      <c r="AF52" s="48">
        <f ca="1">$AP$52*$AP$59</f>
        <v>0</v>
      </c>
      <c r="AG52" s="48">
        <f ca="1">SUM($AE$52:$AF$52)</f>
        <v>0</v>
      </c>
      <c r="AH52" s="48">
        <f>'TUSD BE'!$AH$52*'TUSD BF'!$AH$62</f>
        <v>0</v>
      </c>
      <c r="AI52" s="48">
        <f>'TUSD BE'!$AI$52*'TUSD BF'!$AI$62</f>
        <v>0</v>
      </c>
      <c r="AJ52" s="48">
        <f ca="1">'TUSD BE'!$AJ$52*'TUSD BF'!$AJ$62</f>
        <v>0</v>
      </c>
      <c r="AK52" s="48">
        <f ca="1">'TUSD BE'!$AK$52*'TUSD BF'!$AK$62</f>
        <v>0</v>
      </c>
      <c r="AL52" s="48">
        <f ca="1">SUM($AH$52:$AK$52)</f>
        <v>0</v>
      </c>
      <c r="AM52" s="48">
        <f ca="1">SUMIF($L$4:$AL$4,"SUBTOTAL",$L$52:$AL$52)</f>
        <v>0</v>
      </c>
      <c r="AO52" s="54">
        <f ca="1">+'TUSD BE'!$T$52+'TUSD BE'!$AB$52+'TUSD BE'!$AD$52+'TUSD BE'!$AL$52</f>
        <v>406.19019508815694</v>
      </c>
      <c r="AP52" s="54">
        <f ca="1">+'TUSD BE'!$T$52+'TUSD BE'!$AB$52+'TUSD BE'!$AD$52+'TUSD BE'!$AL$52</f>
        <v>406.19019508815694</v>
      </c>
    </row>
    <row r="53" spans="1:42" ht="11.25" customHeight="1" x14ac:dyDescent="0.25">
      <c r="A53" s="109"/>
      <c r="B53" s="51" t="s">
        <v>97</v>
      </c>
      <c r="C53" s="51" t="s">
        <v>25</v>
      </c>
      <c r="D53" s="51" t="s">
        <v>25</v>
      </c>
      <c r="E53" s="51" t="s">
        <v>25</v>
      </c>
      <c r="F53" s="51" t="s">
        <v>25</v>
      </c>
      <c r="G53" s="52" t="s">
        <v>88</v>
      </c>
      <c r="H53" s="52" t="s">
        <v>82</v>
      </c>
      <c r="I53" s="52">
        <f>'MERCADO TUSD'!$U$50</f>
        <v>0</v>
      </c>
      <c r="J53" s="15"/>
      <c r="L53" s="48">
        <f>'TUSD BE'!$L$53*'TUSD BF'!$L$62</f>
        <v>0</v>
      </c>
      <c r="M53" s="48">
        <f>'TUSD BE'!$M$53*'TUSD BF'!$M$62</f>
        <v>0</v>
      </c>
      <c r="N53" s="48">
        <f ca="1">'TUSD BE'!$N$53*'TUSD BF'!$N$62</f>
        <v>0</v>
      </c>
      <c r="O53" s="48">
        <f>'TUSD BE'!$O$53*'TUSD BF'!$O$62</f>
        <v>0</v>
      </c>
      <c r="P53" s="48">
        <f>'TUSD BE'!$P$53*'TUSD BF'!$P$62</f>
        <v>0</v>
      </c>
      <c r="Q53" s="48">
        <f>'TUSD BE'!$Q$53*'TUSD BF'!$Q$62</f>
        <v>0</v>
      </c>
      <c r="R53" s="48">
        <f>'TUSD BE'!$R$53*'TUSD BF'!$R$62</f>
        <v>0</v>
      </c>
      <c r="S53" s="48">
        <f>'TUSD BE'!$R$53*'TUSD BF'!$S$62</f>
        <v>0</v>
      </c>
      <c r="T53" s="48">
        <f ca="1">SUM($L$53:$S$53)</f>
        <v>0</v>
      </c>
      <c r="U53" s="48">
        <f>'TUSD BE'!$U$53*'TUSD BF'!$U$62</f>
        <v>0</v>
      </c>
      <c r="V53" s="48">
        <f>'TUSD BE'!$V$53*'TUSD BF'!$V$62</f>
        <v>0</v>
      </c>
      <c r="W53" s="48">
        <f>'TUSD BE'!$W$53*'TUSD BF'!$W$62</f>
        <v>0</v>
      </c>
      <c r="X53" s="48">
        <f>'TUSD BE'!$X$53*'TUSD BF'!$X$62</f>
        <v>0</v>
      </c>
      <c r="Y53" s="48">
        <f>'TUSD BE'!$Y$53*'TUSD BF'!$Y$62</f>
        <v>0</v>
      </c>
      <c r="Z53" s="48">
        <f>'TUSD BE'!$Z$53*'TUSD BF'!$Z$62</f>
        <v>0</v>
      </c>
      <c r="AA53" s="48">
        <f>'TUSD BE'!$AA$53*'TUSD BF'!$AA$62</f>
        <v>0</v>
      </c>
      <c r="AB53" s="48">
        <f>SUM($U$53:$AA$53)</f>
        <v>0</v>
      </c>
      <c r="AC53" s="48">
        <f>'TUSD BE'!$AC$53*'TUSD BF'!$AC$62</f>
        <v>0</v>
      </c>
      <c r="AD53" s="48">
        <f>SUM($AC$53:$AC$53)</f>
        <v>0</v>
      </c>
      <c r="AE53" s="48">
        <f ca="1">$AO$53*$AO$59</f>
        <v>0</v>
      </c>
      <c r="AF53" s="48">
        <f ca="1">$AP$53*$AP$59</f>
        <v>0</v>
      </c>
      <c r="AG53" s="48">
        <f ca="1">SUM($AE$53:$AF$53)</f>
        <v>0</v>
      </c>
      <c r="AH53" s="48">
        <f>'TUSD BE'!$AH$53*'TUSD BF'!$AH$62</f>
        <v>0</v>
      </c>
      <c r="AI53" s="48">
        <f>'TUSD BE'!$AI$53*'TUSD BF'!$AI$62</f>
        <v>0</v>
      </c>
      <c r="AJ53" s="48">
        <f ca="1">'TUSD BE'!$AJ$53*'TUSD BF'!$AJ$62</f>
        <v>0</v>
      </c>
      <c r="AK53" s="48">
        <f ca="1">'TUSD BE'!$AK$53*'TUSD BF'!$AK$62</f>
        <v>0</v>
      </c>
      <c r="AL53" s="48">
        <f ca="1">SUM($AH$53:$AK$53)</f>
        <v>0</v>
      </c>
      <c r="AM53" s="48">
        <f ca="1">SUMIF($L$4:$AL$4,"SUBTOTAL",$L$53:$AL$53)</f>
        <v>0</v>
      </c>
      <c r="AO53" s="54">
        <f ca="1">+'TUSD BE'!$T$53+'TUSD BE'!$AB$53+'TUSD BE'!$AD$53+'TUSD BE'!$AL$53</f>
        <v>406.19019508815694</v>
      </c>
      <c r="AP53" s="54">
        <f ca="1">+'TUSD BE'!$T$53+'TUSD BE'!$AB$53+'TUSD BE'!$AD$53+'TUSD BE'!$AL$53</f>
        <v>406.19019508815694</v>
      </c>
    </row>
    <row r="54" spans="1:42" ht="11.25" customHeight="1" x14ac:dyDescent="0.25">
      <c r="A54" s="109" t="s">
        <v>44</v>
      </c>
      <c r="B54" s="109" t="s">
        <v>23</v>
      </c>
      <c r="C54" s="109" t="s">
        <v>45</v>
      </c>
      <c r="D54" s="51" t="s">
        <v>46</v>
      </c>
      <c r="E54" s="51" t="s">
        <v>25</v>
      </c>
      <c r="F54" s="51" t="s">
        <v>25</v>
      </c>
      <c r="G54" s="52" t="s">
        <v>88</v>
      </c>
      <c r="H54" s="52" t="s">
        <v>82</v>
      </c>
      <c r="I54" s="52">
        <f>'MERCADO TUSD'!$U$51</f>
        <v>6635.9900000000007</v>
      </c>
      <c r="J54" s="15"/>
      <c r="L54" s="48">
        <f>'TUSD BE'!$L$54*'TUSD BF'!$L$62</f>
        <v>0</v>
      </c>
      <c r="M54" s="48">
        <f>'TUSD BE'!$M$54*'TUSD BF'!$M$62</f>
        <v>0</v>
      </c>
      <c r="N54" s="48">
        <f ca="1">'TUSD BE'!$N$54*'TUSD BF'!$N$62</f>
        <v>0</v>
      </c>
      <c r="O54" s="48">
        <f>'TUSD BE'!$O$54*'TUSD BF'!$O$62</f>
        <v>0</v>
      </c>
      <c r="P54" s="48">
        <f>'TUSD BE'!$P$54*'TUSD BF'!$P$62</f>
        <v>0</v>
      </c>
      <c r="Q54" s="48">
        <f>'TUSD BE'!$Q$54*'TUSD BF'!$Q$62</f>
        <v>0</v>
      </c>
      <c r="R54" s="48">
        <f>'TUSD BE'!$R$54*'TUSD BF'!$R$62</f>
        <v>0</v>
      </c>
      <c r="S54" s="48">
        <f>'TUSD BE'!$R$54*'TUSD BF'!$S$62</f>
        <v>0</v>
      </c>
      <c r="T54" s="48">
        <f ca="1">SUM($L$54:$S$54)</f>
        <v>0</v>
      </c>
      <c r="U54" s="48">
        <f>'TUSD BE'!$U$54*'TUSD BF'!$U$62</f>
        <v>0</v>
      </c>
      <c r="V54" s="48">
        <f>'TUSD BE'!$V$54*'TUSD BF'!$V$62</f>
        <v>0</v>
      </c>
      <c r="W54" s="48">
        <f>'TUSD BE'!$W$54*'TUSD BF'!$W$62</f>
        <v>0</v>
      </c>
      <c r="X54" s="48">
        <f>'TUSD BE'!$X$54*'TUSD BF'!$X$62</f>
        <v>0</v>
      </c>
      <c r="Y54" s="48">
        <f>'TUSD BE'!$Y$54*'TUSD BF'!$Y$62</f>
        <v>0</v>
      </c>
      <c r="Z54" s="48">
        <f>'TUSD BE'!$Z$54*'TUSD BF'!$Z$62</f>
        <v>0</v>
      </c>
      <c r="AA54" s="48">
        <f>'TUSD BE'!$AA$54*'TUSD BF'!$AA$62</f>
        <v>0</v>
      </c>
      <c r="AB54" s="48">
        <f>SUM($U$54:$AA$54)</f>
        <v>0</v>
      </c>
      <c r="AC54" s="48">
        <f>'TUSD BE'!$AC$54*'TUSD BF'!$AC$62</f>
        <v>0</v>
      </c>
      <c r="AD54" s="48">
        <f>SUM($AC$54:$AC$54)</f>
        <v>0</v>
      </c>
      <c r="AE54" s="48">
        <f ca="1">$AO$54*$AO$59</f>
        <v>0</v>
      </c>
      <c r="AF54" s="48">
        <f ca="1">$AP$54*$AP$59</f>
        <v>0</v>
      </c>
      <c r="AG54" s="48">
        <f ca="1">SUM($AE$54:$AF$54)</f>
        <v>0</v>
      </c>
      <c r="AH54" s="48">
        <f>'TUSD BE'!$AH$54*'TUSD BF'!$AH$62</f>
        <v>0</v>
      </c>
      <c r="AI54" s="48">
        <f>'TUSD BE'!$AI$54*'TUSD BF'!$AI$62</f>
        <v>0</v>
      </c>
      <c r="AJ54" s="48">
        <f ca="1">'TUSD BE'!$AJ$54*'TUSD BF'!$AJ$62</f>
        <v>0</v>
      </c>
      <c r="AK54" s="48">
        <f ca="1">'TUSD BE'!$AK$54*'TUSD BF'!$AK$62</f>
        <v>0</v>
      </c>
      <c r="AL54" s="48">
        <f ca="1">SUM($AH$54:$AK$54)</f>
        <v>0</v>
      </c>
      <c r="AM54" s="48">
        <f ca="1">SUMIF($L$4:$AL$4,"SUBTOTAL",$L$54:$AL$54)</f>
        <v>0</v>
      </c>
      <c r="AO54" s="54">
        <f ca="1">+'TUSD BE'!$T$54+'TUSD BE'!$AB$54+'TUSD BE'!$AD$54+'TUSD BE'!$AL$54</f>
        <v>223.40460729848633</v>
      </c>
      <c r="AP54" s="54">
        <f ca="1">+'TUSD BE'!$T$54+'TUSD BE'!$AB$54+'TUSD BE'!$AD$54+'TUSD BE'!$AL$54</f>
        <v>223.40460729848633</v>
      </c>
    </row>
    <row r="55" spans="1:42" ht="11.25" customHeight="1" x14ac:dyDescent="0.25">
      <c r="A55" s="109"/>
      <c r="B55" s="109"/>
      <c r="C55" s="109"/>
      <c r="D55" s="52" t="s">
        <v>100</v>
      </c>
      <c r="E55" s="52" t="s">
        <v>25</v>
      </c>
      <c r="F55" s="52" t="s">
        <v>25</v>
      </c>
      <c r="G55" s="52" t="s">
        <v>88</v>
      </c>
      <c r="H55" s="52" t="s">
        <v>82</v>
      </c>
      <c r="I55" s="52">
        <f>'MERCADO TUSD'!$U$52</f>
        <v>0</v>
      </c>
      <c r="J55" s="15"/>
      <c r="L55" s="48">
        <f>'TUSD BE'!$L$55*'TUSD BF'!$L$62</f>
        <v>0</v>
      </c>
      <c r="M55" s="48">
        <f>'TUSD BE'!$M$55*'TUSD BF'!$M$62</f>
        <v>0</v>
      </c>
      <c r="N55" s="48">
        <f ca="1">'TUSD BE'!$N$55*'TUSD BF'!$N$62</f>
        <v>0</v>
      </c>
      <c r="O55" s="48">
        <f>'TUSD BE'!$O$55*'TUSD BF'!$O$62</f>
        <v>0</v>
      </c>
      <c r="P55" s="48">
        <f>'TUSD BE'!$P$55*'TUSD BF'!$P$62</f>
        <v>0</v>
      </c>
      <c r="Q55" s="48">
        <f>'TUSD BE'!$Q$55*'TUSD BF'!$Q$62</f>
        <v>0</v>
      </c>
      <c r="R55" s="48">
        <f>'TUSD BE'!$R$55*'TUSD BF'!$R$62</f>
        <v>0</v>
      </c>
      <c r="S55" s="48">
        <f>'TUSD BE'!$R$55*'TUSD BF'!$S$62</f>
        <v>0</v>
      </c>
      <c r="T55" s="48">
        <f ca="1">SUM($L$55:$S$55)</f>
        <v>0</v>
      </c>
      <c r="U55" s="48">
        <f>'TUSD BE'!$U$55*'TUSD BF'!$U$62</f>
        <v>0</v>
      </c>
      <c r="V55" s="48">
        <f>'TUSD BE'!$V$55*'TUSD BF'!$V$62</f>
        <v>0</v>
      </c>
      <c r="W55" s="48">
        <f>'TUSD BE'!$W$55*'TUSD BF'!$W$62</f>
        <v>0</v>
      </c>
      <c r="X55" s="48">
        <f>'TUSD BE'!$X$55*'TUSD BF'!$X$62</f>
        <v>0</v>
      </c>
      <c r="Y55" s="48">
        <f>'TUSD BE'!$Y$55*'TUSD BF'!$Y$62</f>
        <v>0</v>
      </c>
      <c r="Z55" s="48">
        <f>'TUSD BE'!$Z$55*'TUSD BF'!$Z$62</f>
        <v>0</v>
      </c>
      <c r="AA55" s="48">
        <f>'TUSD BE'!$AA$55*'TUSD BF'!$AA$62</f>
        <v>0</v>
      </c>
      <c r="AB55" s="48">
        <f>SUM($U$55:$AA$55)</f>
        <v>0</v>
      </c>
      <c r="AC55" s="48">
        <f>'TUSD BE'!$AC$55*'TUSD BF'!$AC$62</f>
        <v>0</v>
      </c>
      <c r="AD55" s="48">
        <f>SUM($AC$55:$AC$55)</f>
        <v>0</v>
      </c>
      <c r="AE55" s="48">
        <f ca="1">$AO$55*$AO$59</f>
        <v>0</v>
      </c>
      <c r="AF55" s="48">
        <f ca="1">$AP$55*$AP$59</f>
        <v>0</v>
      </c>
      <c r="AG55" s="48">
        <f ca="1">SUM($AE$55:$AF$55)</f>
        <v>0</v>
      </c>
      <c r="AH55" s="48">
        <f>'TUSD BE'!$AH$55*'TUSD BF'!$AH$62</f>
        <v>0</v>
      </c>
      <c r="AI55" s="48">
        <f>'TUSD BE'!$AI$55*'TUSD BF'!$AI$62</f>
        <v>0</v>
      </c>
      <c r="AJ55" s="48">
        <f ca="1">'TUSD BE'!$AJ$55*'TUSD BF'!$AJ$62</f>
        <v>0</v>
      </c>
      <c r="AK55" s="48">
        <f ca="1">'TUSD BE'!$AK$55*'TUSD BF'!$AK$62</f>
        <v>0</v>
      </c>
      <c r="AL55" s="48">
        <f ca="1">SUM($AH$55:$AK$55)</f>
        <v>0</v>
      </c>
      <c r="AM55" s="48">
        <f ca="1">SUMIF($L$4:$AL$4,"SUBTOTAL",$L$55:$AL$55)</f>
        <v>0</v>
      </c>
      <c r="AO55" s="54">
        <f ca="1">+'TUSD BE'!$T$55+'TUSD BE'!$AB$55+'TUSD BE'!$AD$55+'TUSD BE'!$AL$55</f>
        <v>243.71411705289415</v>
      </c>
      <c r="AP55" s="54">
        <f ca="1">+'TUSD BE'!$T$55+'TUSD BE'!$AB$55+'TUSD BE'!$AD$55+'TUSD BE'!$AL$55</f>
        <v>243.71411705289415</v>
      </c>
    </row>
    <row r="57" spans="1:42" ht="11.25" customHeight="1" x14ac:dyDescent="0.25">
      <c r="K57" s="50" t="s">
        <v>554</v>
      </c>
      <c r="L57" s="48">
        <f>SUMPRODUCT($I$5:$I55,$L$5:$L55)</f>
        <v>0</v>
      </c>
      <c r="M57" s="48">
        <f>SUMPRODUCT($I$5:$I55,$M$5:$M55)</f>
        <v>0</v>
      </c>
      <c r="N57" s="48">
        <f ca="1">SUMPRODUCT($I$5:$I55,$N$5:$N55)</f>
        <v>0</v>
      </c>
      <c r="O57" s="48">
        <f>SUMPRODUCT($I$5:$I55,$O$5:$O55)</f>
        <v>0</v>
      </c>
      <c r="P57" s="48">
        <f>SUMPRODUCT($I$5:$I55,$P$5:$P55)</f>
        <v>0</v>
      </c>
      <c r="Q57" s="48">
        <f>SUMPRODUCT($I$5:$I55,$Q$5:$Q55)</f>
        <v>0</v>
      </c>
      <c r="R57" s="48">
        <f>SUMPRODUCT($I$5:$I55,$R$5:$R55)</f>
        <v>0</v>
      </c>
      <c r="S57" s="48">
        <f>SUMPRODUCT($I$5:$I55,$S$5:$S55)</f>
        <v>0</v>
      </c>
      <c r="T57" s="48">
        <f ca="1">SUMPRODUCT($I$5:$I55,$T$5:$T55)</f>
        <v>0</v>
      </c>
      <c r="U57" s="48">
        <f>SUMPRODUCT($I$5:$I55,$U$5:$U55)</f>
        <v>0</v>
      </c>
      <c r="V57" s="48">
        <f>SUMPRODUCT($I$5:$I55,$V$5:$V55)</f>
        <v>0</v>
      </c>
      <c r="W57" s="48">
        <f>SUMPRODUCT($I$5:$I55,$W$5:$W55)</f>
        <v>0</v>
      </c>
      <c r="X57" s="48">
        <f>SUMPRODUCT($I$5:$I55,$X$5:$X55)</f>
        <v>0</v>
      </c>
      <c r="Y57" s="48">
        <f>SUMPRODUCT($I$5:$I55,$Y$5:$Y55)</f>
        <v>0</v>
      </c>
      <c r="Z57" s="48">
        <f>SUMPRODUCT($I$5:$I55,$Z$5:$Z55)</f>
        <v>0</v>
      </c>
      <c r="AA57" s="48">
        <f>SUMPRODUCT($I$5:$I55,$AA$5:$AA55)</f>
        <v>0</v>
      </c>
      <c r="AB57" s="48">
        <f>SUMPRODUCT($I$5:$I55,$AB$5:$AB55)</f>
        <v>0</v>
      </c>
      <c r="AC57" s="48">
        <f>SUMPRODUCT($I$5:$I55,$AC$5:$AC55)</f>
        <v>0</v>
      </c>
      <c r="AD57" s="48">
        <f>SUMPRODUCT($I$5:$I55,$AD$5:$AD55)</f>
        <v>0</v>
      </c>
      <c r="AE57" s="48">
        <f ca="1">SUMPRODUCT($I$5:$I55,$AE$5:$AE55)</f>
        <v>0</v>
      </c>
      <c r="AF57" s="48">
        <f ca="1">SUMPRODUCT($I$5:$I55,$AF$5:$AF55)</f>
        <v>0</v>
      </c>
      <c r="AG57" s="48">
        <f ca="1">SUMPRODUCT($I$5:$I55,$AG$5:$AG55)</f>
        <v>0</v>
      </c>
      <c r="AH57" s="48">
        <f>SUMPRODUCT($I$5:$I55,$AH$5:$AH55)</f>
        <v>0</v>
      </c>
      <c r="AI57" s="48">
        <f>SUMPRODUCT($I$5:$I55,$AI$5:$AI55)</f>
        <v>0</v>
      </c>
      <c r="AJ57" s="48">
        <f ca="1">SUMPRODUCT($I$5:$I55,$AJ$5:$AJ55)</f>
        <v>0</v>
      </c>
      <c r="AK57" s="48">
        <f ca="1">SUMPRODUCT($I$5:$I55,$AK$5:$AK55)</f>
        <v>0</v>
      </c>
      <c r="AL57" s="48">
        <f ca="1">SUMPRODUCT($I$5:$I55,$AL$5:$AL55)</f>
        <v>0</v>
      </c>
      <c r="AM57" s="48">
        <f ca="1">SUMPRODUCT($I$5:$I55,$AM$5:$AM55)</f>
        <v>0</v>
      </c>
      <c r="AO57" s="52">
        <f ca="1">SUMPRODUCT($I$5:$I55,$AO$5:$AO55)</f>
        <v>226453655.93485424</v>
      </c>
      <c r="AP57" s="52">
        <f ca="1">SUMPRODUCT($I$5:$I55,$AP$5:$AP55)</f>
        <v>226453655.93485424</v>
      </c>
    </row>
    <row r="58" spans="1:42" ht="11.25" customHeight="1" x14ac:dyDescent="0.25">
      <c r="K58" s="50" t="s">
        <v>486</v>
      </c>
      <c r="L58" s="48">
        <f>'TR TUSD'!$L$60</f>
        <v>0</v>
      </c>
      <c r="M58" s="48">
        <f>'TR TUSD'!$M$60</f>
        <v>571750.29665963561</v>
      </c>
      <c r="N58" s="48">
        <f>'TR TUSD'!$N$60</f>
        <v>0</v>
      </c>
      <c r="O58" s="48">
        <f>'TR TUSD'!$O$60</f>
        <v>0</v>
      </c>
      <c r="P58" s="48">
        <f>'TR TUSD'!$P$60</f>
        <v>0</v>
      </c>
      <c r="Q58" s="48">
        <f>'TR TUSD'!$Q$60</f>
        <v>41758936.660029978</v>
      </c>
      <c r="R58" s="48">
        <f>'TR TUSD'!$R$60</f>
        <v>7262217.1152899964</v>
      </c>
      <c r="S58" s="48">
        <f>'TR TUSD'!$S$60</f>
        <v>0</v>
      </c>
      <c r="T58" s="48">
        <f>'TR TUSD'!$T$60</f>
        <v>49592904.071979605</v>
      </c>
      <c r="U58" s="48">
        <f>'TR TUSD'!$U$60</f>
        <v>5594748</v>
      </c>
      <c r="V58" s="48">
        <f>'TR TUSD'!$V$60</f>
        <v>5560982.4000000004</v>
      </c>
      <c r="W58" s="48">
        <f>'TR TUSD'!$W$60</f>
        <v>1433901.8803534401</v>
      </c>
      <c r="X58" s="48">
        <f>'TR TUSD'!$X$60</f>
        <v>0</v>
      </c>
      <c r="Y58" s="48">
        <f>'TR TUSD'!$Y$60</f>
        <v>37990562.243483499</v>
      </c>
      <c r="Z58" s="48">
        <f>'TR TUSD'!$Z$60</f>
        <v>0</v>
      </c>
      <c r="AA58" s="48">
        <f>'TR TUSD'!$AA$60</f>
        <v>0</v>
      </c>
      <c r="AB58" s="48">
        <f>'TR TUSD'!$AB$60</f>
        <v>50580194.523836941</v>
      </c>
      <c r="AC58" s="48">
        <f>'TR TUSD'!$AC$60</f>
        <v>120000000</v>
      </c>
      <c r="AD58" s="48">
        <f>'TR TUSD'!$AD$60</f>
        <v>120000000</v>
      </c>
      <c r="AE58" s="48">
        <f>'TR TUSD'!$AE$60</f>
        <v>0</v>
      </c>
      <c r="AF58" s="48">
        <f>'TR TUSD'!$AF$60</f>
        <v>0</v>
      </c>
      <c r="AG58" s="48">
        <f>'TR TUSD'!$AG$60</f>
        <v>0</v>
      </c>
      <c r="AH58" s="48">
        <f>'TR TUSD'!$AH$60</f>
        <v>6123212.2798922192</v>
      </c>
      <c r="AI58" s="48">
        <f>'TR TUSD'!$AI$60</f>
        <v>157345.05914538127</v>
      </c>
      <c r="AJ58" s="48">
        <f>'TR TUSD'!$AJ$60</f>
        <v>0</v>
      </c>
      <c r="AK58" s="48">
        <f>'TR TUSD'!$AK$60</f>
        <v>0</v>
      </c>
      <c r="AL58" s="48">
        <f>'TR TUSD'!$AL$60</f>
        <v>6280557.3390376009</v>
      </c>
      <c r="AM58" s="48">
        <f>CUSTOS!$D$29</f>
        <v>226453655.93485415</v>
      </c>
      <c r="AO58" s="52">
        <f>$AE$60</f>
        <v>0</v>
      </c>
      <c r="AP58" s="52">
        <f>$AF$60</f>
        <v>0</v>
      </c>
    </row>
    <row r="59" spans="1:42" ht="11.25" customHeight="1" x14ac:dyDescent="0.25">
      <c r="K59" s="50" t="s">
        <v>487</v>
      </c>
      <c r="L59" s="48">
        <f>CUSTOS!$E$2</f>
        <v>0</v>
      </c>
      <c r="M59" s="48">
        <f>CUSTOS!$E$3</f>
        <v>-64281.700820421684</v>
      </c>
      <c r="N59" s="48">
        <f>CUSTOS!$E$4</f>
        <v>0</v>
      </c>
      <c r="O59" s="48">
        <f>CUSTOS!$E$5</f>
        <v>0</v>
      </c>
      <c r="P59" s="48">
        <f>CUSTOS!$E$6</f>
        <v>0</v>
      </c>
      <c r="Q59" s="48">
        <f>CUSTOS!$E$7</f>
        <v>-2646021.415328952</v>
      </c>
      <c r="R59" s="48">
        <f>CUSTOS!$E$8</f>
        <v>-454323.12587125652</v>
      </c>
      <c r="S59" s="48">
        <f>CUSTOS!$E$9</f>
        <v>0</v>
      </c>
      <c r="T59" s="48">
        <f>CUSTOS!$E$10</f>
        <v>-3164626.2420206303</v>
      </c>
      <c r="U59" s="48">
        <f>CUSTOS!$E$11</f>
        <v>380279.93064310966</v>
      </c>
      <c r="V59" s="48">
        <f>CUSTOS!$E$12</f>
        <v>377984.85318365612</v>
      </c>
      <c r="W59" s="48">
        <f>CUSTOS!$E$13</f>
        <v>0</v>
      </c>
      <c r="X59" s="48">
        <f>CUSTOS!$E$14</f>
        <v>0</v>
      </c>
      <c r="Y59" s="48">
        <f>CUSTOS!$E$15</f>
        <v>1455858.1927852128</v>
      </c>
      <c r="Z59" s="48">
        <f>CUSTOS!$E$16</f>
        <v>0</v>
      </c>
      <c r="AA59" s="48">
        <f>CUSTOS!$E$17</f>
        <v>0</v>
      </c>
      <c r="AB59" s="48">
        <f>CUSTOS!$E$18</f>
        <v>2214122.9766119784</v>
      </c>
      <c r="AC59" s="48">
        <f>CUSTOS!$E$19</f>
        <v>-71793285.037046626</v>
      </c>
      <c r="AD59" s="48">
        <f>CUSTOS!$E$20</f>
        <v>-71793285.037046626</v>
      </c>
      <c r="AE59" s="48">
        <f>CUSTOS!$E$21</f>
        <v>-661953.25082248438</v>
      </c>
      <c r="AF59" s="48">
        <f>CUSTOS!$E$22</f>
        <v>0</v>
      </c>
      <c r="AG59" s="48">
        <f>CUSTOS!$E$23</f>
        <v>-661953.25082248438</v>
      </c>
      <c r="AH59" s="48">
        <f>CUSTOS!$E$24</f>
        <v>-230405.88272357595</v>
      </c>
      <c r="AI59" s="48">
        <f>CUSTOS!$E$25</f>
        <v>-5920.6223118599719</v>
      </c>
      <c r="AJ59" s="48">
        <f>CUSTOS!$E$26</f>
        <v>0</v>
      </c>
      <c r="AK59" s="48">
        <f>CUSTOS!$E$27</f>
        <v>0</v>
      </c>
      <c r="AL59" s="48">
        <f>CUSTOS!$E$28</f>
        <v>-236326.50503543593</v>
      </c>
      <c r="AM59" s="48">
        <f>CUSTOS!$E$29</f>
        <v>-73642068.058313191</v>
      </c>
      <c r="AO59" s="52">
        <f ca="1">IF(AO57&lt;&gt;0,AO58/AO57,0)</f>
        <v>0</v>
      </c>
      <c r="AP59" s="52">
        <f ca="1">IF(AP57&lt;&gt;0,AP58/AP57,0)</f>
        <v>0</v>
      </c>
    </row>
    <row r="60" spans="1:42" ht="11.25" customHeight="1" x14ac:dyDescent="0.25">
      <c r="K60" s="50" t="s">
        <v>488</v>
      </c>
      <c r="L60" s="48">
        <f>CUSTOS!$F$2</f>
        <v>0</v>
      </c>
      <c r="M60" s="48">
        <f>CUSTOS!$F$3</f>
        <v>0</v>
      </c>
      <c r="N60" s="48">
        <f>CUSTOS!$F$4</f>
        <v>0</v>
      </c>
      <c r="O60" s="48">
        <f>CUSTOS!$F$5</f>
        <v>0</v>
      </c>
      <c r="P60" s="48">
        <f>CUSTOS!$F$6</f>
        <v>0</v>
      </c>
      <c r="Q60" s="48">
        <f>CUSTOS!$F$7</f>
        <v>0</v>
      </c>
      <c r="R60" s="48">
        <f>CUSTOS!$F$8</f>
        <v>0</v>
      </c>
      <c r="S60" s="48">
        <f>CUSTOS!$F$9</f>
        <v>0</v>
      </c>
      <c r="T60" s="48">
        <f>CUSTOS!$F$10</f>
        <v>0</v>
      </c>
      <c r="U60" s="48">
        <f>CUSTOS!$F$11</f>
        <v>0</v>
      </c>
      <c r="V60" s="48">
        <f>CUSTOS!$F$12</f>
        <v>0</v>
      </c>
      <c r="W60" s="48">
        <f>CUSTOS!$F$13</f>
        <v>0</v>
      </c>
      <c r="X60" s="48">
        <f>CUSTOS!$F$14</f>
        <v>0</v>
      </c>
      <c r="Y60" s="48">
        <f>CUSTOS!$F$15</f>
        <v>0</v>
      </c>
      <c r="Z60" s="48">
        <f>CUSTOS!$F$16</f>
        <v>0</v>
      </c>
      <c r="AA60" s="48">
        <f>CUSTOS!$F$17</f>
        <v>0</v>
      </c>
      <c r="AB60" s="48">
        <f>CUSTOS!$F$18</f>
        <v>0</v>
      </c>
      <c r="AC60" s="48">
        <f>CUSTOS!$F$19</f>
        <v>0</v>
      </c>
      <c r="AD60" s="48">
        <f>CUSTOS!$F$20</f>
        <v>0</v>
      </c>
      <c r="AE60" s="48">
        <f>CUSTOS!$F$21</f>
        <v>0</v>
      </c>
      <c r="AF60" s="48">
        <f>CUSTOS!$F$22</f>
        <v>0</v>
      </c>
      <c r="AG60" s="48">
        <f>CUSTOS!$F$23</f>
        <v>0</v>
      </c>
      <c r="AH60" s="48">
        <f>CUSTOS!$F$24</f>
        <v>0</v>
      </c>
      <c r="AI60" s="48">
        <f>CUSTOS!$F$25</f>
        <v>0</v>
      </c>
      <c r="AJ60" s="48">
        <f>CUSTOS!$F$26</f>
        <v>0</v>
      </c>
      <c r="AK60" s="48">
        <f>CUSTOS!$F$27</f>
        <v>0</v>
      </c>
      <c r="AL60" s="48">
        <f>CUSTOS!$F$28</f>
        <v>0</v>
      </c>
      <c r="AM60" s="48">
        <f>CUSTOS!$F$29</f>
        <v>0</v>
      </c>
    </row>
    <row r="61" spans="1:42" ht="11.25" customHeight="1" x14ac:dyDescent="0.25">
      <c r="K61" s="50" t="s">
        <v>551</v>
      </c>
      <c r="L61" s="48">
        <v>0</v>
      </c>
      <c r="M61" s="48">
        <v>0</v>
      </c>
      <c r="N61" s="48">
        <v>0</v>
      </c>
      <c r="O61" s="48">
        <v>0</v>
      </c>
      <c r="P61" s="48">
        <v>0</v>
      </c>
      <c r="Q61" s="48">
        <v>0</v>
      </c>
      <c r="R61" s="48">
        <v>0</v>
      </c>
      <c r="S61" s="48">
        <v>0</v>
      </c>
      <c r="T61" s="48"/>
      <c r="U61" s="48">
        <v>0</v>
      </c>
      <c r="V61" s="48">
        <v>0</v>
      </c>
      <c r="W61" s="48">
        <v>0</v>
      </c>
      <c r="X61" s="48">
        <v>0</v>
      </c>
      <c r="Y61" s="48">
        <v>0</v>
      </c>
      <c r="Z61" s="48">
        <v>0</v>
      </c>
      <c r="AA61" s="48">
        <v>0</v>
      </c>
      <c r="AB61" s="48"/>
      <c r="AC61" s="48">
        <v>0</v>
      </c>
      <c r="AD61" s="48"/>
      <c r="AE61" s="48">
        <v>0</v>
      </c>
      <c r="AF61" s="48">
        <v>0</v>
      </c>
      <c r="AG61" s="48"/>
      <c r="AH61" s="48">
        <v>0</v>
      </c>
      <c r="AI61" s="48">
        <v>0</v>
      </c>
      <c r="AJ61" s="48">
        <v>0</v>
      </c>
      <c r="AK61" s="48">
        <v>0</v>
      </c>
      <c r="AL61" s="48"/>
      <c r="AM61" s="48"/>
    </row>
  </sheetData>
  <mergeCells count="79">
    <mergeCell ref="E49:E51"/>
    <mergeCell ref="F49:F51"/>
    <mergeCell ref="A54:A55"/>
    <mergeCell ref="B54:B55"/>
    <mergeCell ref="C54:C55"/>
    <mergeCell ref="D49:D51"/>
    <mergeCell ref="B46:B48"/>
    <mergeCell ref="C46:C48"/>
    <mergeCell ref="A49:A53"/>
    <mergeCell ref="B49:B51"/>
    <mergeCell ref="C49:C51"/>
    <mergeCell ref="A34:A48"/>
    <mergeCell ref="B34:B36"/>
    <mergeCell ref="C34:C36"/>
    <mergeCell ref="B42:B44"/>
    <mergeCell ref="C42:C44"/>
    <mergeCell ref="B38:B40"/>
    <mergeCell ref="C38:C40"/>
    <mergeCell ref="D42:D44"/>
    <mergeCell ref="E42:E44"/>
    <mergeCell ref="F42:F44"/>
    <mergeCell ref="D34:D36"/>
    <mergeCell ref="E34:E36"/>
    <mergeCell ref="F34:F36"/>
    <mergeCell ref="D38:D40"/>
    <mergeCell ref="E38:E40"/>
    <mergeCell ref="F38:F40"/>
    <mergeCell ref="A21:A33"/>
    <mergeCell ref="B21:B23"/>
    <mergeCell ref="C21:C23"/>
    <mergeCell ref="D21:D23"/>
    <mergeCell ref="E21:E23"/>
    <mergeCell ref="F21:F23"/>
    <mergeCell ref="B24:B28"/>
    <mergeCell ref="C24:C28"/>
    <mergeCell ref="B29:B33"/>
    <mergeCell ref="C29:C33"/>
    <mergeCell ref="F14:F16"/>
    <mergeCell ref="E17:E18"/>
    <mergeCell ref="F17:F18"/>
    <mergeCell ref="A19:A20"/>
    <mergeCell ref="B19:B20"/>
    <mergeCell ref="C19:C20"/>
    <mergeCell ref="D19:D20"/>
    <mergeCell ref="A9:A18"/>
    <mergeCell ref="B9:B12"/>
    <mergeCell ref="C9:C12"/>
    <mergeCell ref="D9:D12"/>
    <mergeCell ref="E9:E11"/>
    <mergeCell ref="F9:F11"/>
    <mergeCell ref="B14:B18"/>
    <mergeCell ref="C14:C18"/>
    <mergeCell ref="D14:D18"/>
    <mergeCell ref="E14:E16"/>
    <mergeCell ref="AE3:AG3"/>
    <mergeCell ref="AH3:AL3"/>
    <mergeCell ref="AM3:AM4"/>
    <mergeCell ref="A5:A8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A1:A4"/>
    <mergeCell ref="AP1:AP4"/>
    <mergeCell ref="L2:AM2"/>
    <mergeCell ref="L3:T3"/>
    <mergeCell ref="U3:AB3"/>
    <mergeCell ref="AC3:AD3"/>
    <mergeCell ref="B1:B4"/>
    <mergeCell ref="C1:C4"/>
    <mergeCell ref="D1:D4"/>
    <mergeCell ref="E1:E4"/>
    <mergeCell ref="F1:F4"/>
  </mergeCells>
  <conditionalFormatting sqref="L57">
    <cfRule type="cellIs" dxfId="1024" priority="55" operator="notEqual">
      <formula>$L$60</formula>
    </cfRule>
    <cfRule type="cellIs" dxfId="1023" priority="56" operator="equal">
      <formula>$L$60</formula>
    </cfRule>
  </conditionalFormatting>
  <conditionalFormatting sqref="M57">
    <cfRule type="cellIs" dxfId="1022" priority="53" operator="notEqual">
      <formula>$M$60</formula>
    </cfRule>
    <cfRule type="cellIs" dxfId="1021" priority="54" operator="equal">
      <formula>$M$60</formula>
    </cfRule>
  </conditionalFormatting>
  <conditionalFormatting sqref="N57">
    <cfRule type="cellIs" dxfId="1020" priority="51" operator="notEqual">
      <formula>$N$60</formula>
    </cfRule>
    <cfRule type="cellIs" dxfId="1019" priority="52" operator="equal">
      <formula>$N$60</formula>
    </cfRule>
  </conditionalFormatting>
  <conditionalFormatting sqref="O57">
    <cfRule type="cellIs" dxfId="1018" priority="49" operator="notEqual">
      <formula>$O$60</formula>
    </cfRule>
    <cfRule type="cellIs" dxfId="1017" priority="50" operator="equal">
      <formula>$O$60</formula>
    </cfRule>
  </conditionalFormatting>
  <conditionalFormatting sqref="P57">
    <cfRule type="cellIs" dxfId="1016" priority="47" operator="notEqual">
      <formula>$P$60</formula>
    </cfRule>
    <cfRule type="cellIs" dxfId="1015" priority="48" operator="equal">
      <formula>$P$60</formula>
    </cfRule>
  </conditionalFormatting>
  <conditionalFormatting sqref="Q57">
    <cfRule type="cellIs" dxfId="1014" priority="45" operator="notEqual">
      <formula>$Q$60</formula>
    </cfRule>
    <cfRule type="cellIs" dxfId="1013" priority="46" operator="equal">
      <formula>$Q$60</formula>
    </cfRule>
  </conditionalFormatting>
  <conditionalFormatting sqref="R57">
    <cfRule type="cellIs" dxfId="1012" priority="43" operator="notEqual">
      <formula>$R$60</formula>
    </cfRule>
    <cfRule type="cellIs" dxfId="1011" priority="44" operator="equal">
      <formula>$R$60</formula>
    </cfRule>
  </conditionalFormatting>
  <conditionalFormatting sqref="S57">
    <cfRule type="cellIs" dxfId="1010" priority="41" operator="notEqual">
      <formula>$S$60</formula>
    </cfRule>
    <cfRule type="cellIs" dxfId="1009" priority="42" operator="equal">
      <formula>$S$60</formula>
    </cfRule>
  </conditionalFormatting>
  <conditionalFormatting sqref="T57">
    <cfRule type="cellIs" dxfId="1008" priority="39" operator="notEqual">
      <formula>$T$60</formula>
    </cfRule>
    <cfRule type="cellIs" dxfId="1007" priority="40" operator="equal">
      <formula>$T$60</formula>
    </cfRule>
  </conditionalFormatting>
  <conditionalFormatting sqref="U57">
    <cfRule type="cellIs" dxfId="1006" priority="37" operator="notEqual">
      <formula>$U$60</formula>
    </cfRule>
    <cfRule type="cellIs" dxfId="1005" priority="38" operator="equal">
      <formula>$U$60</formula>
    </cfRule>
  </conditionalFormatting>
  <conditionalFormatting sqref="V57">
    <cfRule type="cellIs" dxfId="1004" priority="35" operator="notEqual">
      <formula>$V$60</formula>
    </cfRule>
    <cfRule type="cellIs" dxfId="1003" priority="36" operator="equal">
      <formula>$V$60</formula>
    </cfRule>
  </conditionalFormatting>
  <conditionalFormatting sqref="W57">
    <cfRule type="cellIs" dxfId="1002" priority="33" operator="notEqual">
      <formula>$W$60</formula>
    </cfRule>
    <cfRule type="cellIs" dxfId="1001" priority="34" operator="equal">
      <formula>$W$60</formula>
    </cfRule>
  </conditionalFormatting>
  <conditionalFormatting sqref="X57">
    <cfRule type="cellIs" dxfId="1000" priority="31" operator="notEqual">
      <formula>$X$60</formula>
    </cfRule>
    <cfRule type="cellIs" dxfId="999" priority="32" operator="equal">
      <formula>$X$60</formula>
    </cfRule>
  </conditionalFormatting>
  <conditionalFormatting sqref="Y57">
    <cfRule type="cellIs" dxfId="998" priority="29" operator="notEqual">
      <formula>$Y$60</formula>
    </cfRule>
    <cfRule type="cellIs" dxfId="997" priority="30" operator="equal">
      <formula>$Y$60</formula>
    </cfRule>
  </conditionalFormatting>
  <conditionalFormatting sqref="Z57">
    <cfRule type="cellIs" dxfId="996" priority="27" operator="notEqual">
      <formula>$Z$60</formula>
    </cfRule>
    <cfRule type="cellIs" dxfId="995" priority="28" operator="equal">
      <formula>$Z$60</formula>
    </cfRule>
  </conditionalFormatting>
  <conditionalFormatting sqref="AA57">
    <cfRule type="cellIs" dxfId="994" priority="25" operator="notEqual">
      <formula>$AA$60</formula>
    </cfRule>
    <cfRule type="cellIs" dxfId="993" priority="26" operator="equal">
      <formula>$AA$60</formula>
    </cfRule>
  </conditionalFormatting>
  <conditionalFormatting sqref="AB57">
    <cfRule type="cellIs" dxfId="992" priority="23" operator="notEqual">
      <formula>$AB$60</formula>
    </cfRule>
    <cfRule type="cellIs" dxfId="991" priority="24" operator="equal">
      <formula>$AB$60</formula>
    </cfRule>
  </conditionalFormatting>
  <conditionalFormatting sqref="AC57">
    <cfRule type="cellIs" dxfId="990" priority="21" operator="notEqual">
      <formula>$AC$60</formula>
    </cfRule>
    <cfRule type="cellIs" dxfId="989" priority="22" operator="equal">
      <formula>$AC$60</formula>
    </cfRule>
  </conditionalFormatting>
  <conditionalFormatting sqref="AD57">
    <cfRule type="cellIs" dxfId="988" priority="19" operator="notEqual">
      <formula>$AD$60</formula>
    </cfRule>
    <cfRule type="cellIs" dxfId="987" priority="20" operator="equal">
      <formula>$AD$60</formula>
    </cfRule>
  </conditionalFormatting>
  <conditionalFormatting sqref="AE57">
    <cfRule type="cellIs" dxfId="986" priority="17" operator="notEqual">
      <formula>$AE$60</formula>
    </cfRule>
    <cfRule type="cellIs" dxfId="985" priority="18" operator="equal">
      <formula>$AE$60</formula>
    </cfRule>
  </conditionalFormatting>
  <conditionalFormatting sqref="AF57">
    <cfRule type="cellIs" dxfId="984" priority="16" operator="equal">
      <formula>$AF$60</formula>
    </cfRule>
  </conditionalFormatting>
  <conditionalFormatting sqref="AF57">
    <cfRule type="cellIs" dxfId="983" priority="15" operator="notEqual">
      <formula>$AF$60</formula>
    </cfRule>
  </conditionalFormatting>
  <conditionalFormatting sqref="AG57">
    <cfRule type="cellIs" dxfId="982" priority="14" operator="equal">
      <formula>$AG$60</formula>
    </cfRule>
  </conditionalFormatting>
  <conditionalFormatting sqref="AG57">
    <cfRule type="cellIs" dxfId="981" priority="13" operator="notEqual">
      <formula>$AG$60</formula>
    </cfRule>
  </conditionalFormatting>
  <conditionalFormatting sqref="AH57">
    <cfRule type="cellIs" dxfId="980" priority="12" operator="equal">
      <formula>$AH$60</formula>
    </cfRule>
  </conditionalFormatting>
  <conditionalFormatting sqref="AH57">
    <cfRule type="cellIs" dxfId="979" priority="11" operator="notEqual">
      <formula>$AH$60</formula>
    </cfRule>
  </conditionalFormatting>
  <conditionalFormatting sqref="AI57">
    <cfRule type="cellIs" dxfId="978" priority="10" operator="equal">
      <formula>$AI$60</formula>
    </cfRule>
  </conditionalFormatting>
  <conditionalFormatting sqref="AI57">
    <cfRule type="cellIs" dxfId="977" priority="9" operator="notEqual">
      <formula>$AI$60</formula>
    </cfRule>
  </conditionalFormatting>
  <conditionalFormatting sqref="AJ57">
    <cfRule type="cellIs" dxfId="976" priority="8" operator="equal">
      <formula>$AJ$60</formula>
    </cfRule>
  </conditionalFormatting>
  <conditionalFormatting sqref="AJ57">
    <cfRule type="cellIs" dxfId="975" priority="7" operator="notEqual">
      <formula>$AJ$60</formula>
    </cfRule>
  </conditionalFormatting>
  <conditionalFormatting sqref="AK57">
    <cfRule type="cellIs" dxfId="974" priority="6" operator="equal">
      <formula>$AK$60</formula>
    </cfRule>
  </conditionalFormatting>
  <conditionalFormatting sqref="AK57">
    <cfRule type="cellIs" dxfId="973" priority="5" operator="notEqual">
      <formula>$AK$60</formula>
    </cfRule>
  </conditionalFormatting>
  <conditionalFormatting sqref="AL57">
    <cfRule type="cellIs" dxfId="972" priority="4" operator="equal">
      <formula>$AL$60</formula>
    </cfRule>
  </conditionalFormatting>
  <conditionalFormatting sqref="AL57">
    <cfRule type="cellIs" dxfId="971" priority="3" operator="notEqual">
      <formula>$AL$60</formula>
    </cfRule>
  </conditionalFormatting>
  <conditionalFormatting sqref="AM57">
    <cfRule type="cellIs" dxfId="970" priority="2" operator="equal">
      <formula>$AM$60</formula>
    </cfRule>
  </conditionalFormatting>
  <conditionalFormatting sqref="AM57">
    <cfRule type="cellIs" dxfId="969" priority="1" operator="notEqual">
      <formula>$AM$60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10931-D3BA-49FA-91DD-EC40B4C11F17}">
  <dimension ref="A1:AB52"/>
  <sheetViews>
    <sheetView showGridLines="0" topLeftCell="A27" workbookViewId="0">
      <selection activeCell="K46" sqref="K46:AB52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.85546875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5" width="9.28515625" style="9" bestFit="1" customWidth="1"/>
    <col min="26" max="26" width="11" style="9" bestFit="1" customWidth="1"/>
    <col min="27" max="27" width="10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19" t="s">
        <v>72</v>
      </c>
      <c r="B1" s="119" t="s">
        <v>73</v>
      </c>
      <c r="C1" s="119" t="s">
        <v>74</v>
      </c>
      <c r="D1" s="119" t="s">
        <v>75</v>
      </c>
      <c r="E1" s="119" t="s">
        <v>76</v>
      </c>
      <c r="F1" s="119" t="s">
        <v>15</v>
      </c>
      <c r="G1" s="119" t="s">
        <v>78</v>
      </c>
      <c r="H1" s="119" t="s">
        <v>79</v>
      </c>
      <c r="I1" s="119" t="s">
        <v>545</v>
      </c>
      <c r="J1" s="102"/>
      <c r="L1" s="117" t="s">
        <v>560</v>
      </c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</row>
    <row r="2" spans="1:28" ht="11.2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  <c r="J2" s="102"/>
      <c r="L2" s="117" t="s">
        <v>472</v>
      </c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</row>
    <row r="3" spans="1:28" ht="11.2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  <c r="J3" s="102"/>
      <c r="L3" s="117" t="s">
        <v>445</v>
      </c>
      <c r="M3" s="117"/>
      <c r="N3" s="117"/>
      <c r="O3" s="117"/>
      <c r="P3" s="117"/>
      <c r="Q3" s="117"/>
      <c r="R3" s="117" t="s">
        <v>476</v>
      </c>
      <c r="S3" s="117"/>
      <c r="T3" s="117" t="s">
        <v>454</v>
      </c>
      <c r="U3" s="117"/>
      <c r="V3" s="117"/>
      <c r="W3" s="117"/>
      <c r="X3" s="117" t="s">
        <v>464</v>
      </c>
      <c r="Y3" s="117"/>
      <c r="Z3" s="117" t="s">
        <v>467</v>
      </c>
      <c r="AA3" s="117"/>
      <c r="AB3" s="117" t="s">
        <v>453</v>
      </c>
    </row>
    <row r="4" spans="1:28" ht="11.25" customHeight="1" x14ac:dyDescent="0.25">
      <c r="A4" s="119"/>
      <c r="B4" s="119"/>
      <c r="C4" s="119"/>
      <c r="D4" s="119"/>
      <c r="E4" s="119"/>
      <c r="F4" s="119"/>
      <c r="G4" s="119"/>
      <c r="H4" s="119"/>
      <c r="I4" s="119"/>
      <c r="J4" s="102"/>
      <c r="L4" s="58" t="s">
        <v>447</v>
      </c>
      <c r="M4" s="58" t="s">
        <v>473</v>
      </c>
      <c r="N4" s="58" t="s">
        <v>474</v>
      </c>
      <c r="O4" s="58" t="s">
        <v>533</v>
      </c>
      <c r="P4" s="58" t="s">
        <v>475</v>
      </c>
      <c r="Q4" s="58" t="s">
        <v>453</v>
      </c>
      <c r="R4" s="58" t="s">
        <v>477</v>
      </c>
      <c r="S4" s="58" t="s">
        <v>453</v>
      </c>
      <c r="T4" s="58" t="s">
        <v>478</v>
      </c>
      <c r="U4" s="58" t="s">
        <v>479</v>
      </c>
      <c r="V4" s="58" t="s">
        <v>480</v>
      </c>
      <c r="W4" s="58" t="s">
        <v>453</v>
      </c>
      <c r="X4" s="58" t="s">
        <v>465</v>
      </c>
      <c r="Y4" s="58" t="s">
        <v>453</v>
      </c>
      <c r="Z4" s="58" t="s">
        <v>481</v>
      </c>
      <c r="AA4" s="58" t="s">
        <v>453</v>
      </c>
      <c r="AB4" s="118"/>
    </row>
    <row r="5" spans="1:28" ht="11.25" customHeight="1" x14ac:dyDescent="0.25">
      <c r="A5" s="120" t="s">
        <v>53</v>
      </c>
      <c r="B5" s="120" t="s">
        <v>81</v>
      </c>
      <c r="C5" s="120" t="s">
        <v>25</v>
      </c>
      <c r="D5" s="120" t="s">
        <v>25</v>
      </c>
      <c r="E5" s="120" t="s">
        <v>25</v>
      </c>
      <c r="F5" s="120" t="s">
        <v>25</v>
      </c>
      <c r="G5" s="57" t="s">
        <v>83</v>
      </c>
      <c r="H5" s="57" t="s">
        <v>82</v>
      </c>
      <c r="I5" s="57">
        <f>'MERCADO TE'!$U$2</f>
        <v>0</v>
      </c>
      <c r="J5" s="15"/>
      <c r="L5" s="54">
        <v>1</v>
      </c>
      <c r="M5" s="54">
        <v>1</v>
      </c>
      <c r="N5" s="54">
        <v>1</v>
      </c>
      <c r="O5" s="54">
        <v>1</v>
      </c>
      <c r="P5" s="54">
        <v>1</v>
      </c>
      <c r="Q5" s="54"/>
      <c r="R5" s="54">
        <v>1</v>
      </c>
      <c r="S5" s="54"/>
      <c r="T5" s="54">
        <v>1</v>
      </c>
      <c r="U5" s="54">
        <v>1</v>
      </c>
      <c r="V5" s="54">
        <v>1</v>
      </c>
      <c r="W5" s="54"/>
      <c r="X5" s="54"/>
      <c r="Y5" s="54"/>
      <c r="Z5" s="54">
        <v>1</v>
      </c>
      <c r="AA5" s="54"/>
      <c r="AB5" s="54"/>
    </row>
    <row r="6" spans="1:28" ht="11.25" customHeight="1" x14ac:dyDescent="0.25">
      <c r="A6" s="120"/>
      <c r="B6" s="120"/>
      <c r="C6" s="120"/>
      <c r="D6" s="120"/>
      <c r="E6" s="120"/>
      <c r="F6" s="120"/>
      <c r="G6" s="57" t="s">
        <v>84</v>
      </c>
      <c r="H6" s="57" t="s">
        <v>82</v>
      </c>
      <c r="I6" s="57">
        <f>'MERCADO TE'!$U$3</f>
        <v>0</v>
      </c>
      <c r="J6" s="15"/>
      <c r="L6" s="54">
        <v>1</v>
      </c>
      <c r="M6" s="54">
        <v>1</v>
      </c>
      <c r="N6" s="54">
        <v>1</v>
      </c>
      <c r="O6" s="54">
        <v>1</v>
      </c>
      <c r="P6" s="54">
        <v>1</v>
      </c>
      <c r="Q6" s="54"/>
      <c r="R6" s="54">
        <v>1</v>
      </c>
      <c r="S6" s="54"/>
      <c r="T6" s="54">
        <v>1</v>
      </c>
      <c r="U6" s="54">
        <v>1</v>
      </c>
      <c r="V6" s="54">
        <v>1</v>
      </c>
      <c r="W6" s="54"/>
      <c r="X6" s="54"/>
      <c r="Y6" s="54"/>
      <c r="Z6" s="54">
        <v>1</v>
      </c>
      <c r="AA6" s="54"/>
      <c r="AB6" s="54"/>
    </row>
    <row r="7" spans="1:28" ht="11.25" customHeight="1" x14ac:dyDescent="0.25">
      <c r="A7" s="120" t="s">
        <v>35</v>
      </c>
      <c r="B7" s="120" t="s">
        <v>81</v>
      </c>
      <c r="C7" s="120" t="s">
        <v>25</v>
      </c>
      <c r="D7" s="120" t="s">
        <v>25</v>
      </c>
      <c r="E7" s="120" t="s">
        <v>25</v>
      </c>
      <c r="F7" s="120" t="s">
        <v>25</v>
      </c>
      <c r="G7" s="57" t="s">
        <v>83</v>
      </c>
      <c r="H7" s="57" t="s">
        <v>82</v>
      </c>
      <c r="I7" s="57">
        <f>'MERCADO TE'!$U$4</f>
        <v>10174.852999999999</v>
      </c>
      <c r="J7" s="15"/>
      <c r="L7" s="54">
        <v>1</v>
      </c>
      <c r="M7" s="54">
        <v>1</v>
      </c>
      <c r="N7" s="54">
        <v>1</v>
      </c>
      <c r="O7" s="54">
        <v>1</v>
      </c>
      <c r="P7" s="54">
        <v>1</v>
      </c>
      <c r="Q7" s="54"/>
      <c r="R7" s="54">
        <v>1</v>
      </c>
      <c r="S7" s="54"/>
      <c r="T7" s="54">
        <v>1</v>
      </c>
      <c r="U7" s="54">
        <v>1</v>
      </c>
      <c r="V7" s="54">
        <v>1</v>
      </c>
      <c r="W7" s="54"/>
      <c r="X7" s="54"/>
      <c r="Y7" s="54"/>
      <c r="Z7" s="54">
        <v>1</v>
      </c>
      <c r="AA7" s="54"/>
      <c r="AB7" s="54"/>
    </row>
    <row r="8" spans="1:28" ht="11.25" customHeight="1" x14ac:dyDescent="0.25">
      <c r="A8" s="120"/>
      <c r="B8" s="120"/>
      <c r="C8" s="120"/>
      <c r="D8" s="120"/>
      <c r="E8" s="120"/>
      <c r="F8" s="120"/>
      <c r="G8" s="57" t="s">
        <v>84</v>
      </c>
      <c r="H8" s="57" t="s">
        <v>82</v>
      </c>
      <c r="I8" s="57">
        <f>'MERCADO TE'!$U$5</f>
        <v>179033.51300000001</v>
      </c>
      <c r="J8" s="15"/>
      <c r="L8" s="54">
        <v>1</v>
      </c>
      <c r="M8" s="54">
        <v>1</v>
      </c>
      <c r="N8" s="54">
        <v>1</v>
      </c>
      <c r="O8" s="54">
        <v>1</v>
      </c>
      <c r="P8" s="54">
        <v>1</v>
      </c>
      <c r="Q8" s="54"/>
      <c r="R8" s="54">
        <v>1</v>
      </c>
      <c r="S8" s="54"/>
      <c r="T8" s="54">
        <v>1</v>
      </c>
      <c r="U8" s="54">
        <v>1</v>
      </c>
      <c r="V8" s="54">
        <v>1</v>
      </c>
      <c r="W8" s="54"/>
      <c r="X8" s="54"/>
      <c r="Y8" s="54"/>
      <c r="Z8" s="54">
        <v>1</v>
      </c>
      <c r="AA8" s="54"/>
      <c r="AB8" s="54"/>
    </row>
    <row r="9" spans="1:28" ht="11.25" customHeight="1" x14ac:dyDescent="0.25">
      <c r="A9" s="120"/>
      <c r="B9" s="56" t="s">
        <v>90</v>
      </c>
      <c r="C9" s="56" t="s">
        <v>25</v>
      </c>
      <c r="D9" s="56" t="s">
        <v>25</v>
      </c>
      <c r="E9" s="56" t="s">
        <v>25</v>
      </c>
      <c r="F9" s="56" t="s">
        <v>25</v>
      </c>
      <c r="G9" s="57" t="s">
        <v>88</v>
      </c>
      <c r="H9" s="57" t="s">
        <v>82</v>
      </c>
      <c r="I9" s="57">
        <f>'MERCADO TE'!$U$6</f>
        <v>0</v>
      </c>
      <c r="J9" s="15"/>
      <c r="L9" s="54">
        <v>1</v>
      </c>
      <c r="M9" s="54">
        <v>1</v>
      </c>
      <c r="N9" s="54">
        <v>1</v>
      </c>
      <c r="O9" s="54">
        <v>1</v>
      </c>
      <c r="P9" s="54">
        <v>1</v>
      </c>
      <c r="Q9" s="54"/>
      <c r="R9" s="54">
        <v>1</v>
      </c>
      <c r="S9" s="54"/>
      <c r="T9" s="54">
        <v>1</v>
      </c>
      <c r="U9" s="54">
        <v>1</v>
      </c>
      <c r="V9" s="54">
        <v>1</v>
      </c>
      <c r="W9" s="54"/>
      <c r="X9" s="54"/>
      <c r="Y9" s="54"/>
      <c r="Z9" s="54">
        <v>1</v>
      </c>
      <c r="AA9" s="54"/>
      <c r="AB9" s="54"/>
    </row>
    <row r="10" spans="1:28" ht="11.25" customHeight="1" x14ac:dyDescent="0.25">
      <c r="A10" s="120" t="s">
        <v>22</v>
      </c>
      <c r="B10" s="120" t="s">
        <v>81</v>
      </c>
      <c r="C10" s="120" t="s">
        <v>24</v>
      </c>
      <c r="D10" s="120" t="s">
        <v>24</v>
      </c>
      <c r="E10" s="120" t="s">
        <v>25</v>
      </c>
      <c r="F10" s="120" t="s">
        <v>25</v>
      </c>
      <c r="G10" s="57" t="s">
        <v>83</v>
      </c>
      <c r="H10" s="57" t="s">
        <v>82</v>
      </c>
      <c r="I10" s="57">
        <f>'MERCADO TE'!$U$7</f>
        <v>0</v>
      </c>
      <c r="J10" s="15"/>
      <c r="L10" s="54">
        <v>1</v>
      </c>
      <c r="M10" s="54">
        <v>1</v>
      </c>
      <c r="N10" s="54">
        <v>1</v>
      </c>
      <c r="O10" s="54">
        <v>1</v>
      </c>
      <c r="P10" s="54">
        <v>1</v>
      </c>
      <c r="Q10" s="54"/>
      <c r="R10" s="54">
        <v>1</v>
      </c>
      <c r="S10" s="54"/>
      <c r="T10" s="54">
        <v>1</v>
      </c>
      <c r="U10" s="54">
        <v>1</v>
      </c>
      <c r="V10" s="54">
        <v>1</v>
      </c>
      <c r="W10" s="54"/>
      <c r="X10" s="54"/>
      <c r="Y10" s="54"/>
      <c r="Z10" s="54">
        <v>1</v>
      </c>
      <c r="AA10" s="54"/>
      <c r="AB10" s="54"/>
    </row>
    <row r="11" spans="1:28" ht="11.25" customHeight="1" x14ac:dyDescent="0.25">
      <c r="A11" s="120"/>
      <c r="B11" s="120"/>
      <c r="C11" s="120"/>
      <c r="D11" s="120"/>
      <c r="E11" s="120"/>
      <c r="F11" s="120"/>
      <c r="G11" s="57" t="s">
        <v>94</v>
      </c>
      <c r="H11" s="57" t="s">
        <v>82</v>
      </c>
      <c r="I11" s="57">
        <f>'MERCADO TE'!$U$8</f>
        <v>0</v>
      </c>
      <c r="J11" s="15"/>
      <c r="L11" s="54">
        <v>1</v>
      </c>
      <c r="M11" s="54">
        <v>1</v>
      </c>
      <c r="N11" s="54">
        <v>1</v>
      </c>
      <c r="O11" s="54">
        <v>1</v>
      </c>
      <c r="P11" s="54">
        <v>1</v>
      </c>
      <c r="Q11" s="54"/>
      <c r="R11" s="54">
        <v>1</v>
      </c>
      <c r="S11" s="54"/>
      <c r="T11" s="54">
        <v>1</v>
      </c>
      <c r="U11" s="54">
        <v>1</v>
      </c>
      <c r="V11" s="54">
        <v>1</v>
      </c>
      <c r="W11" s="54"/>
      <c r="X11" s="54"/>
      <c r="Y11" s="54"/>
      <c r="Z11" s="54">
        <v>1</v>
      </c>
      <c r="AA11" s="54"/>
      <c r="AB11" s="54"/>
    </row>
    <row r="12" spans="1:28" ht="11.25" customHeight="1" x14ac:dyDescent="0.25">
      <c r="A12" s="120"/>
      <c r="B12" s="120"/>
      <c r="C12" s="120"/>
      <c r="D12" s="120"/>
      <c r="E12" s="120"/>
      <c r="F12" s="120"/>
      <c r="G12" s="57" t="s">
        <v>84</v>
      </c>
      <c r="H12" s="57" t="s">
        <v>82</v>
      </c>
      <c r="I12" s="57">
        <f>'MERCADO TE'!$U$9</f>
        <v>0</v>
      </c>
      <c r="J12" s="15"/>
      <c r="L12" s="54">
        <v>1</v>
      </c>
      <c r="M12" s="54">
        <v>1</v>
      </c>
      <c r="N12" s="54">
        <v>1</v>
      </c>
      <c r="O12" s="54">
        <v>1</v>
      </c>
      <c r="P12" s="54">
        <v>1</v>
      </c>
      <c r="Q12" s="54"/>
      <c r="R12" s="54">
        <v>1</v>
      </c>
      <c r="S12" s="54"/>
      <c r="T12" s="54">
        <v>1</v>
      </c>
      <c r="U12" s="54">
        <v>1</v>
      </c>
      <c r="V12" s="54">
        <v>1</v>
      </c>
      <c r="W12" s="54"/>
      <c r="X12" s="54"/>
      <c r="Y12" s="54"/>
      <c r="Z12" s="54">
        <v>1</v>
      </c>
      <c r="AA12" s="54"/>
      <c r="AB12" s="54"/>
    </row>
    <row r="13" spans="1:28" ht="11.25" customHeight="1" x14ac:dyDescent="0.25">
      <c r="A13" s="120"/>
      <c r="B13" s="120" t="s">
        <v>90</v>
      </c>
      <c r="C13" s="120" t="s">
        <v>24</v>
      </c>
      <c r="D13" s="56" t="s">
        <v>24</v>
      </c>
      <c r="E13" s="56" t="s">
        <v>25</v>
      </c>
      <c r="F13" s="56" t="s">
        <v>25</v>
      </c>
      <c r="G13" s="57" t="s">
        <v>88</v>
      </c>
      <c r="H13" s="57" t="s">
        <v>82</v>
      </c>
      <c r="I13" s="57">
        <f>'MERCADO TE'!$U$10</f>
        <v>24573.046999999999</v>
      </c>
      <c r="J13" s="15"/>
      <c r="L13" s="54">
        <v>1</v>
      </c>
      <c r="M13" s="54">
        <v>1</v>
      </c>
      <c r="N13" s="54">
        <v>1</v>
      </c>
      <c r="O13" s="54">
        <v>1</v>
      </c>
      <c r="P13" s="54">
        <v>1</v>
      </c>
      <c r="Q13" s="54"/>
      <c r="R13" s="54">
        <v>1</v>
      </c>
      <c r="S13" s="54"/>
      <c r="T13" s="54">
        <v>1</v>
      </c>
      <c r="U13" s="54">
        <v>1</v>
      </c>
      <c r="V13" s="54">
        <v>1</v>
      </c>
      <c r="W13" s="54"/>
      <c r="X13" s="54"/>
      <c r="Y13" s="54"/>
      <c r="Z13" s="54">
        <v>1</v>
      </c>
      <c r="AA13" s="54"/>
      <c r="AB13" s="54"/>
    </row>
    <row r="14" spans="1:28" ht="11.25" customHeight="1" x14ac:dyDescent="0.25">
      <c r="A14" s="120"/>
      <c r="B14" s="120"/>
      <c r="C14" s="120"/>
      <c r="D14" s="56" t="s">
        <v>29</v>
      </c>
      <c r="E14" s="56" t="s">
        <v>25</v>
      </c>
      <c r="F14" s="56" t="s">
        <v>25</v>
      </c>
      <c r="G14" s="57" t="s">
        <v>88</v>
      </c>
      <c r="H14" s="57" t="s">
        <v>82</v>
      </c>
      <c r="I14" s="57">
        <f>'MERCADO TE'!$U$11</f>
        <v>175.73700000000002</v>
      </c>
      <c r="J14" s="15"/>
      <c r="L14" s="54">
        <f>1 - CUSTOS!$M$24</f>
        <v>1</v>
      </c>
      <c r="M14" s="54">
        <f>1 - CUSTOS!$M$24</f>
        <v>1</v>
      </c>
      <c r="N14" s="54">
        <f>1 - CUSTOS!$M$24</f>
        <v>1</v>
      </c>
      <c r="O14" s="54">
        <f>1 - CUSTOS!$M$24</f>
        <v>1</v>
      </c>
      <c r="P14" s="54">
        <f>1 - CUSTOS!$M$24</f>
        <v>1</v>
      </c>
      <c r="Q14" s="54"/>
      <c r="R14" s="54">
        <f>(1 - CUSTOS!$M$24)*1</f>
        <v>1</v>
      </c>
      <c r="S14" s="54"/>
      <c r="T14" s="54">
        <f>1 - CUSTOS!$M$24</f>
        <v>1</v>
      </c>
      <c r="U14" s="54">
        <f>1 - CUSTOS!$M$24</f>
        <v>1</v>
      </c>
      <c r="V14" s="54">
        <f>1 - CUSTOS!$M$24</f>
        <v>1</v>
      </c>
      <c r="W14" s="54"/>
      <c r="X14" s="54"/>
      <c r="Y14" s="54"/>
      <c r="Z14" s="54">
        <f>1 - CUSTOS!$M$24</f>
        <v>1</v>
      </c>
      <c r="AA14" s="54"/>
      <c r="AB14" s="54"/>
    </row>
    <row r="15" spans="1:28" ht="11.25" customHeight="1" x14ac:dyDescent="0.25">
      <c r="A15" s="120"/>
      <c r="B15" s="120"/>
      <c r="C15" s="120"/>
      <c r="D15" s="56" t="s">
        <v>30</v>
      </c>
      <c r="E15" s="56" t="s">
        <v>25</v>
      </c>
      <c r="F15" s="56" t="s">
        <v>25</v>
      </c>
      <c r="G15" s="57" t="s">
        <v>88</v>
      </c>
      <c r="H15" s="57" t="s">
        <v>82</v>
      </c>
      <c r="I15" s="57">
        <f>'MERCADO TE'!$U$12</f>
        <v>60.123000000000005</v>
      </c>
      <c r="J15" s="15"/>
      <c r="L15" s="54">
        <f>1 - CUSTOS!$M$25</f>
        <v>1</v>
      </c>
      <c r="M15" s="54">
        <f>1 - CUSTOS!$M$25</f>
        <v>1</v>
      </c>
      <c r="N15" s="54">
        <f>1 - CUSTOS!$M$25</f>
        <v>1</v>
      </c>
      <c r="O15" s="54">
        <f>1 - CUSTOS!$M$25</f>
        <v>1</v>
      </c>
      <c r="P15" s="54">
        <f>1 - CUSTOS!$M$25</f>
        <v>1</v>
      </c>
      <c r="Q15" s="54"/>
      <c r="R15" s="54">
        <f>(1 - CUSTOS!$M$25)*1</f>
        <v>1</v>
      </c>
      <c r="S15" s="54"/>
      <c r="T15" s="54">
        <f>1 - CUSTOS!$M$25</f>
        <v>1</v>
      </c>
      <c r="U15" s="54">
        <f>1 - CUSTOS!$M$25</f>
        <v>1</v>
      </c>
      <c r="V15" s="54">
        <f>1 - CUSTOS!$M$25</f>
        <v>1</v>
      </c>
      <c r="W15" s="54"/>
      <c r="X15" s="54"/>
      <c r="Y15" s="54"/>
      <c r="Z15" s="54">
        <f>1 - CUSTOS!$M$25</f>
        <v>1</v>
      </c>
      <c r="AA15" s="54"/>
      <c r="AB15" s="54"/>
    </row>
    <row r="16" spans="1:28" ht="11.25" customHeight="1" x14ac:dyDescent="0.25">
      <c r="A16" s="120"/>
      <c r="B16" s="120"/>
      <c r="C16" s="120"/>
      <c r="D16" s="56" t="s">
        <v>31</v>
      </c>
      <c r="E16" s="56" t="s">
        <v>25</v>
      </c>
      <c r="F16" s="56" t="s">
        <v>25</v>
      </c>
      <c r="G16" s="57" t="s">
        <v>88</v>
      </c>
      <c r="H16" s="57" t="s">
        <v>82</v>
      </c>
      <c r="I16" s="57">
        <f>'MERCADO TE'!$U$13</f>
        <v>463.43299999999999</v>
      </c>
      <c r="J16" s="15"/>
      <c r="L16" s="54">
        <f>1 - CUSTOS!$M$26</f>
        <v>1</v>
      </c>
      <c r="M16" s="54">
        <f>1 - CUSTOS!$M$26</f>
        <v>1</v>
      </c>
      <c r="N16" s="54">
        <f>1 - CUSTOS!$M$26</f>
        <v>1</v>
      </c>
      <c r="O16" s="54">
        <f>1 - CUSTOS!$M$26</f>
        <v>1</v>
      </c>
      <c r="P16" s="54">
        <f>1 - CUSTOS!$M$26</f>
        <v>1</v>
      </c>
      <c r="Q16" s="54"/>
      <c r="R16" s="54">
        <f>(1 - CUSTOS!$M$26)*1</f>
        <v>1</v>
      </c>
      <c r="S16" s="54"/>
      <c r="T16" s="54">
        <f>1 - CUSTOS!$M$26</f>
        <v>1</v>
      </c>
      <c r="U16" s="54">
        <f>1 - CUSTOS!$M$26</f>
        <v>1</v>
      </c>
      <c r="V16" s="54">
        <f>1 - CUSTOS!$M$26</f>
        <v>1</v>
      </c>
      <c r="W16" s="54"/>
      <c r="X16" s="54"/>
      <c r="Y16" s="54"/>
      <c r="Z16" s="54">
        <f>1 - CUSTOS!$M$26</f>
        <v>1</v>
      </c>
      <c r="AA16" s="54"/>
      <c r="AB16" s="54"/>
    </row>
    <row r="17" spans="1:28" ht="11.25" customHeight="1" x14ac:dyDescent="0.25">
      <c r="A17" s="120"/>
      <c r="B17" s="120"/>
      <c r="C17" s="120"/>
      <c r="D17" s="56" t="s">
        <v>32</v>
      </c>
      <c r="E17" s="56" t="s">
        <v>25</v>
      </c>
      <c r="F17" s="56" t="s">
        <v>25</v>
      </c>
      <c r="G17" s="57" t="s">
        <v>88</v>
      </c>
      <c r="H17" s="57" t="s">
        <v>82</v>
      </c>
      <c r="I17" s="57">
        <f>'MERCADO TE'!$U$14</f>
        <v>303.64100000000002</v>
      </c>
      <c r="J17" s="15"/>
      <c r="L17" s="54">
        <f>1 - CUSTOS!$M$27</f>
        <v>1</v>
      </c>
      <c r="M17" s="54">
        <f>1 - CUSTOS!$M$27</f>
        <v>1</v>
      </c>
      <c r="N17" s="54">
        <f>1 - CUSTOS!$M$27</f>
        <v>1</v>
      </c>
      <c r="O17" s="54">
        <f>1 - CUSTOS!$M$27</f>
        <v>1</v>
      </c>
      <c r="P17" s="54">
        <f>1 - CUSTOS!$M$27</f>
        <v>1</v>
      </c>
      <c r="Q17" s="54"/>
      <c r="R17" s="54">
        <f>(1 - CUSTOS!$M$27)*1</f>
        <v>1</v>
      </c>
      <c r="S17" s="54"/>
      <c r="T17" s="54">
        <f>1 - CUSTOS!$M$27</f>
        <v>1</v>
      </c>
      <c r="U17" s="54">
        <f>1 - CUSTOS!$M$27</f>
        <v>1</v>
      </c>
      <c r="V17" s="54">
        <f>1 - CUSTOS!$M$27</f>
        <v>1</v>
      </c>
      <c r="W17" s="54"/>
      <c r="X17" s="54"/>
      <c r="Y17" s="54"/>
      <c r="Z17" s="54">
        <f>1 - CUSTOS!$M$27</f>
        <v>1</v>
      </c>
      <c r="AA17" s="54"/>
      <c r="AB17" s="54"/>
    </row>
    <row r="18" spans="1:28" ht="11.25" customHeight="1" x14ac:dyDescent="0.25">
      <c r="A18" s="120"/>
      <c r="B18" s="120" t="s">
        <v>96</v>
      </c>
      <c r="C18" s="120" t="s">
        <v>24</v>
      </c>
      <c r="D18" s="56" t="s">
        <v>24</v>
      </c>
      <c r="E18" s="56" t="s">
        <v>25</v>
      </c>
      <c r="F18" s="56" t="s">
        <v>25</v>
      </c>
      <c r="G18" s="57" t="s">
        <v>88</v>
      </c>
      <c r="H18" s="57" t="s">
        <v>82</v>
      </c>
      <c r="I18" s="57">
        <f>'MERCADO TE'!$U$15</f>
        <v>0</v>
      </c>
      <c r="J18" s="15"/>
      <c r="L18" s="54">
        <v>1</v>
      </c>
      <c r="M18" s="54">
        <v>1</v>
      </c>
      <c r="N18" s="54">
        <v>1</v>
      </c>
      <c r="O18" s="54">
        <v>1</v>
      </c>
      <c r="P18" s="54">
        <v>1</v>
      </c>
      <c r="Q18" s="54"/>
      <c r="R18" s="54">
        <v>1</v>
      </c>
      <c r="S18" s="54"/>
      <c r="T18" s="54">
        <v>1</v>
      </c>
      <c r="U18" s="54">
        <v>1</v>
      </c>
      <c r="V18" s="54">
        <v>1</v>
      </c>
      <c r="W18" s="54"/>
      <c r="X18" s="54"/>
      <c r="Y18" s="54"/>
      <c r="Z18" s="54">
        <v>1</v>
      </c>
      <c r="AA18" s="54"/>
      <c r="AB18" s="54"/>
    </row>
    <row r="19" spans="1:28" ht="11.25" customHeight="1" x14ac:dyDescent="0.25">
      <c r="A19" s="120"/>
      <c r="B19" s="120"/>
      <c r="C19" s="120"/>
      <c r="D19" s="56" t="s">
        <v>29</v>
      </c>
      <c r="E19" s="56" t="s">
        <v>25</v>
      </c>
      <c r="F19" s="56" t="s">
        <v>25</v>
      </c>
      <c r="G19" s="57" t="s">
        <v>88</v>
      </c>
      <c r="H19" s="57" t="s">
        <v>82</v>
      </c>
      <c r="I19" s="57">
        <f>'MERCADO TE'!$U$16</f>
        <v>0</v>
      </c>
      <c r="J19" s="15"/>
      <c r="L19" s="54">
        <f>1 - CUSTOS!$M$24</f>
        <v>1</v>
      </c>
      <c r="M19" s="54">
        <f>1 - CUSTOS!$M$24</f>
        <v>1</v>
      </c>
      <c r="N19" s="54">
        <f>1 - CUSTOS!$M$24</f>
        <v>1</v>
      </c>
      <c r="O19" s="54">
        <f>1 - CUSTOS!$M$24</f>
        <v>1</v>
      </c>
      <c r="P19" s="54">
        <f>1 - CUSTOS!$M$24</f>
        <v>1</v>
      </c>
      <c r="Q19" s="54"/>
      <c r="R19" s="54">
        <f>(1 - CUSTOS!$M$24)*1</f>
        <v>1</v>
      </c>
      <c r="S19" s="54"/>
      <c r="T19" s="54">
        <f>1 - CUSTOS!$M$24</f>
        <v>1</v>
      </c>
      <c r="U19" s="54">
        <f>1 - CUSTOS!$M$24</f>
        <v>1</v>
      </c>
      <c r="V19" s="54">
        <f>1 - CUSTOS!$M$24</f>
        <v>1</v>
      </c>
      <c r="W19" s="54"/>
      <c r="X19" s="54"/>
      <c r="Y19" s="54"/>
      <c r="Z19" s="54">
        <f>1 - CUSTOS!$M$24</f>
        <v>1</v>
      </c>
      <c r="AA19" s="54"/>
      <c r="AB19" s="54"/>
    </row>
    <row r="20" spans="1:28" ht="11.25" customHeight="1" x14ac:dyDescent="0.25">
      <c r="A20" s="120"/>
      <c r="B20" s="120"/>
      <c r="C20" s="120"/>
      <c r="D20" s="56" t="s">
        <v>30</v>
      </c>
      <c r="E20" s="56" t="s">
        <v>25</v>
      </c>
      <c r="F20" s="56" t="s">
        <v>25</v>
      </c>
      <c r="G20" s="57" t="s">
        <v>88</v>
      </c>
      <c r="H20" s="57" t="s">
        <v>82</v>
      </c>
      <c r="I20" s="57">
        <f>'MERCADO TE'!$U$17</f>
        <v>0</v>
      </c>
      <c r="J20" s="15"/>
      <c r="L20" s="54">
        <f>1 - CUSTOS!$M$25</f>
        <v>1</v>
      </c>
      <c r="M20" s="54">
        <f>1 - CUSTOS!$M$25</f>
        <v>1</v>
      </c>
      <c r="N20" s="54">
        <f>1 - CUSTOS!$M$25</f>
        <v>1</v>
      </c>
      <c r="O20" s="54">
        <f>1 - CUSTOS!$M$25</f>
        <v>1</v>
      </c>
      <c r="P20" s="54">
        <f>1 - CUSTOS!$M$25</f>
        <v>1</v>
      </c>
      <c r="Q20" s="54"/>
      <c r="R20" s="54">
        <f>(1 - CUSTOS!$M$25)*1</f>
        <v>1</v>
      </c>
      <c r="S20" s="54"/>
      <c r="T20" s="54">
        <f>1 - CUSTOS!$M$25</f>
        <v>1</v>
      </c>
      <c r="U20" s="54">
        <f>1 - CUSTOS!$M$25</f>
        <v>1</v>
      </c>
      <c r="V20" s="54">
        <f>1 - CUSTOS!$M$25</f>
        <v>1</v>
      </c>
      <c r="W20" s="54"/>
      <c r="X20" s="54"/>
      <c r="Y20" s="54"/>
      <c r="Z20" s="54">
        <f>1 - CUSTOS!$M$25</f>
        <v>1</v>
      </c>
      <c r="AA20" s="54"/>
      <c r="AB20" s="54"/>
    </row>
    <row r="21" spans="1:28" ht="11.25" customHeight="1" x14ac:dyDescent="0.25">
      <c r="A21" s="120"/>
      <c r="B21" s="120"/>
      <c r="C21" s="120"/>
      <c r="D21" s="56" t="s">
        <v>31</v>
      </c>
      <c r="E21" s="56" t="s">
        <v>25</v>
      </c>
      <c r="F21" s="56" t="s">
        <v>25</v>
      </c>
      <c r="G21" s="57" t="s">
        <v>88</v>
      </c>
      <c r="H21" s="57" t="s">
        <v>82</v>
      </c>
      <c r="I21" s="57">
        <f>'MERCADO TE'!$U$18</f>
        <v>0</v>
      </c>
      <c r="J21" s="15"/>
      <c r="L21" s="54">
        <f>1 - CUSTOS!$M$26</f>
        <v>1</v>
      </c>
      <c r="M21" s="54">
        <f>1 - CUSTOS!$M$26</f>
        <v>1</v>
      </c>
      <c r="N21" s="54">
        <f>1 - CUSTOS!$M$26</f>
        <v>1</v>
      </c>
      <c r="O21" s="54">
        <f>1 - CUSTOS!$M$26</f>
        <v>1</v>
      </c>
      <c r="P21" s="54">
        <f>1 - CUSTOS!$M$26</f>
        <v>1</v>
      </c>
      <c r="Q21" s="54"/>
      <c r="R21" s="54">
        <f>(1 - CUSTOS!$M$26)*1</f>
        <v>1</v>
      </c>
      <c r="S21" s="54"/>
      <c r="T21" s="54">
        <f>1 - CUSTOS!$M$26</f>
        <v>1</v>
      </c>
      <c r="U21" s="54">
        <f>1 - CUSTOS!$M$26</f>
        <v>1</v>
      </c>
      <c r="V21" s="54">
        <f>1 - CUSTOS!$M$26</f>
        <v>1</v>
      </c>
      <c r="W21" s="54"/>
      <c r="X21" s="54"/>
      <c r="Y21" s="54"/>
      <c r="Z21" s="54">
        <f>1 - CUSTOS!$M$26</f>
        <v>1</v>
      </c>
      <c r="AA21" s="54"/>
      <c r="AB21" s="54"/>
    </row>
    <row r="22" spans="1:28" ht="11.25" customHeight="1" x14ac:dyDescent="0.25">
      <c r="A22" s="120"/>
      <c r="B22" s="120"/>
      <c r="C22" s="120"/>
      <c r="D22" s="56" t="s">
        <v>32</v>
      </c>
      <c r="E22" s="56" t="s">
        <v>25</v>
      </c>
      <c r="F22" s="56" t="s">
        <v>25</v>
      </c>
      <c r="G22" s="57" t="s">
        <v>88</v>
      </c>
      <c r="H22" s="57" t="s">
        <v>82</v>
      </c>
      <c r="I22" s="57">
        <f>'MERCADO TE'!$U$19</f>
        <v>0</v>
      </c>
      <c r="J22" s="15"/>
      <c r="L22" s="54">
        <f>1 - CUSTOS!$M$27</f>
        <v>1</v>
      </c>
      <c r="M22" s="54">
        <f>1 - CUSTOS!$M$27</f>
        <v>1</v>
      </c>
      <c r="N22" s="54">
        <f>1 - CUSTOS!$M$27</f>
        <v>1</v>
      </c>
      <c r="O22" s="54">
        <f>1 - CUSTOS!$M$27</f>
        <v>1</v>
      </c>
      <c r="P22" s="54">
        <f>1 - CUSTOS!$M$27</f>
        <v>1</v>
      </c>
      <c r="Q22" s="54"/>
      <c r="R22" s="54">
        <f>(1 - CUSTOS!$M$27)*1</f>
        <v>1</v>
      </c>
      <c r="S22" s="54"/>
      <c r="T22" s="54">
        <f>1 - CUSTOS!$M$27</f>
        <v>1</v>
      </c>
      <c r="U22" s="54">
        <f>1 - CUSTOS!$M$27</f>
        <v>1</v>
      </c>
      <c r="V22" s="54">
        <f>1 - CUSTOS!$M$27</f>
        <v>1</v>
      </c>
      <c r="W22" s="54"/>
      <c r="X22" s="54"/>
      <c r="Y22" s="54"/>
      <c r="Z22" s="54">
        <f>1 - CUSTOS!$M$27</f>
        <v>1</v>
      </c>
      <c r="AA22" s="54"/>
      <c r="AB22" s="54"/>
    </row>
    <row r="23" spans="1:28" ht="11.25" customHeight="1" x14ac:dyDescent="0.25">
      <c r="A23" s="120" t="s">
        <v>41</v>
      </c>
      <c r="B23" s="120" t="s">
        <v>81</v>
      </c>
      <c r="C23" s="120" t="s">
        <v>42</v>
      </c>
      <c r="D23" s="120" t="s">
        <v>25</v>
      </c>
      <c r="E23" s="120" t="s">
        <v>25</v>
      </c>
      <c r="F23" s="120" t="s">
        <v>25</v>
      </c>
      <c r="G23" s="57" t="s">
        <v>83</v>
      </c>
      <c r="H23" s="57" t="s">
        <v>82</v>
      </c>
      <c r="I23" s="57">
        <f>'MERCADO TE'!$U$20</f>
        <v>0</v>
      </c>
      <c r="J23" s="15"/>
      <c r="L23" s="54">
        <f>1 - CUSTOS!$M$28</f>
        <v>1</v>
      </c>
      <c r="M23" s="54">
        <f>1 - CUSTOS!$M$28</f>
        <v>1</v>
      </c>
      <c r="N23" s="54">
        <f>1 - CUSTOS!$M$28</f>
        <v>1</v>
      </c>
      <c r="O23" s="54">
        <f>1 - CUSTOS!$M$28</f>
        <v>1</v>
      </c>
      <c r="P23" s="54">
        <f>1 - CUSTOS!$M$28</f>
        <v>1</v>
      </c>
      <c r="Q23" s="54"/>
      <c r="R23" s="54">
        <f>(1 - CUSTOS!$M$28)*1</f>
        <v>1</v>
      </c>
      <c r="S23" s="54"/>
      <c r="T23" s="54">
        <f>1 - CUSTOS!$M$28</f>
        <v>1</v>
      </c>
      <c r="U23" s="54">
        <f>1 - CUSTOS!$M$28</f>
        <v>1</v>
      </c>
      <c r="V23" s="54">
        <f>1 - CUSTOS!$M$28</f>
        <v>1</v>
      </c>
      <c r="W23" s="54"/>
      <c r="X23" s="54"/>
      <c r="Y23" s="54"/>
      <c r="Z23" s="54">
        <f>1 - CUSTOS!$M$28</f>
        <v>1</v>
      </c>
      <c r="AA23" s="54"/>
      <c r="AB23" s="54"/>
    </row>
    <row r="24" spans="1:28" ht="11.25" customHeight="1" x14ac:dyDescent="0.25">
      <c r="A24" s="120"/>
      <c r="B24" s="120"/>
      <c r="C24" s="120"/>
      <c r="D24" s="120"/>
      <c r="E24" s="120"/>
      <c r="F24" s="120"/>
      <c r="G24" s="57" t="s">
        <v>94</v>
      </c>
      <c r="H24" s="57" t="s">
        <v>82</v>
      </c>
      <c r="I24" s="57">
        <f>'MERCADO TE'!$U$21</f>
        <v>0</v>
      </c>
      <c r="J24" s="15"/>
      <c r="L24" s="54">
        <f>1 - CUSTOS!$M$28</f>
        <v>1</v>
      </c>
      <c r="M24" s="54">
        <f>1 - CUSTOS!$M$28</f>
        <v>1</v>
      </c>
      <c r="N24" s="54">
        <f>1 - CUSTOS!$M$28</f>
        <v>1</v>
      </c>
      <c r="O24" s="54">
        <f>1 - CUSTOS!$M$28</f>
        <v>1</v>
      </c>
      <c r="P24" s="54">
        <f>1 - CUSTOS!$M$28</f>
        <v>1</v>
      </c>
      <c r="Q24" s="54"/>
      <c r="R24" s="54">
        <f>(1 - CUSTOS!$M$28)*1</f>
        <v>1</v>
      </c>
      <c r="S24" s="54"/>
      <c r="T24" s="54">
        <f>1 - CUSTOS!$M$28</f>
        <v>1</v>
      </c>
      <c r="U24" s="54">
        <f>1 - CUSTOS!$M$28</f>
        <v>1</v>
      </c>
      <c r="V24" s="54">
        <f>1 - CUSTOS!$M$28</f>
        <v>1</v>
      </c>
      <c r="W24" s="54"/>
      <c r="X24" s="54"/>
      <c r="Y24" s="54"/>
      <c r="Z24" s="54">
        <f>1 - CUSTOS!$M$28</f>
        <v>1</v>
      </c>
      <c r="AA24" s="54"/>
      <c r="AB24" s="54"/>
    </row>
    <row r="25" spans="1:28" ht="11.25" customHeight="1" x14ac:dyDescent="0.25">
      <c r="A25" s="120"/>
      <c r="B25" s="120"/>
      <c r="C25" s="120"/>
      <c r="D25" s="120"/>
      <c r="E25" s="120"/>
      <c r="F25" s="120"/>
      <c r="G25" s="57" t="s">
        <v>84</v>
      </c>
      <c r="H25" s="57" t="s">
        <v>82</v>
      </c>
      <c r="I25" s="57">
        <f>'MERCADO TE'!$U$22</f>
        <v>0</v>
      </c>
      <c r="J25" s="15"/>
      <c r="L25" s="54">
        <f>1 - CUSTOS!$M$28</f>
        <v>1</v>
      </c>
      <c r="M25" s="54">
        <f>1 - CUSTOS!$M$28</f>
        <v>1</v>
      </c>
      <c r="N25" s="54">
        <f>1 - CUSTOS!$M$28</f>
        <v>1</v>
      </c>
      <c r="O25" s="54">
        <f>1 - CUSTOS!$M$28</f>
        <v>1</v>
      </c>
      <c r="P25" s="54">
        <f>1 - CUSTOS!$M$28</f>
        <v>1</v>
      </c>
      <c r="Q25" s="54"/>
      <c r="R25" s="54">
        <f>(1 - CUSTOS!$M$28)*1</f>
        <v>1</v>
      </c>
      <c r="S25" s="54"/>
      <c r="T25" s="54">
        <f>1 - CUSTOS!$M$28</f>
        <v>1</v>
      </c>
      <c r="U25" s="54">
        <f>1 - CUSTOS!$M$28</f>
        <v>1</v>
      </c>
      <c r="V25" s="54">
        <f>1 - CUSTOS!$M$28</f>
        <v>1</v>
      </c>
      <c r="W25" s="54"/>
      <c r="X25" s="54"/>
      <c r="Y25" s="54"/>
      <c r="Z25" s="54">
        <f>1 - CUSTOS!$M$28</f>
        <v>1</v>
      </c>
      <c r="AA25" s="54"/>
      <c r="AB25" s="54"/>
    </row>
    <row r="26" spans="1:28" ht="11.25" customHeight="1" x14ac:dyDescent="0.25">
      <c r="A26" s="120"/>
      <c r="B26" s="56" t="s">
        <v>90</v>
      </c>
      <c r="C26" s="56" t="s">
        <v>42</v>
      </c>
      <c r="D26" s="56" t="s">
        <v>25</v>
      </c>
      <c r="E26" s="56" t="s">
        <v>25</v>
      </c>
      <c r="F26" s="56" t="s">
        <v>25</v>
      </c>
      <c r="G26" s="57" t="s">
        <v>88</v>
      </c>
      <c r="H26" s="57" t="s">
        <v>82</v>
      </c>
      <c r="I26" s="57">
        <f>'MERCADO TE'!$U$23</f>
        <v>185983.22399999999</v>
      </c>
      <c r="J26" s="15"/>
      <c r="L26" s="54">
        <f>1 - CUSTOS!$M$28</f>
        <v>1</v>
      </c>
      <c r="M26" s="54">
        <f>1 - CUSTOS!$M$28</f>
        <v>1</v>
      </c>
      <c r="N26" s="54">
        <f>1 - CUSTOS!$M$28</f>
        <v>1</v>
      </c>
      <c r="O26" s="54">
        <f>1 - CUSTOS!$M$28</f>
        <v>1</v>
      </c>
      <c r="P26" s="54">
        <f>1 - CUSTOS!$M$28</f>
        <v>1</v>
      </c>
      <c r="Q26" s="54"/>
      <c r="R26" s="54">
        <f>(1 - CUSTOS!$M$28)*1</f>
        <v>1</v>
      </c>
      <c r="S26" s="54"/>
      <c r="T26" s="54">
        <f>1 - CUSTOS!$M$28</f>
        <v>1</v>
      </c>
      <c r="U26" s="54">
        <f>1 - CUSTOS!$M$28</f>
        <v>1</v>
      </c>
      <c r="V26" s="54">
        <f>1 - CUSTOS!$M$28</f>
        <v>1</v>
      </c>
      <c r="W26" s="54"/>
      <c r="X26" s="54"/>
      <c r="Y26" s="54"/>
      <c r="Z26" s="54">
        <f>1 - CUSTOS!$M$28</f>
        <v>1</v>
      </c>
      <c r="AA26" s="54"/>
      <c r="AB26" s="54"/>
    </row>
    <row r="27" spans="1:28" ht="11.25" customHeight="1" x14ac:dyDescent="0.25">
      <c r="A27" s="120"/>
      <c r="B27" s="120" t="s">
        <v>81</v>
      </c>
      <c r="C27" s="120" t="s">
        <v>42</v>
      </c>
      <c r="D27" s="120" t="s">
        <v>98</v>
      </c>
      <c r="E27" s="120" t="s">
        <v>25</v>
      </c>
      <c r="F27" s="120" t="s">
        <v>25</v>
      </c>
      <c r="G27" s="57" t="s">
        <v>83</v>
      </c>
      <c r="H27" s="57" t="s">
        <v>82</v>
      </c>
      <c r="I27" s="57">
        <f>'MERCADO TE'!$U$24</f>
        <v>0</v>
      </c>
      <c r="J27" s="15"/>
      <c r="L27" s="54">
        <f>1 - CUSTOS!$M$29</f>
        <v>1</v>
      </c>
      <c r="M27" s="54">
        <f>1 - CUSTOS!$M$29</f>
        <v>1</v>
      </c>
      <c r="N27" s="54">
        <f>1 - CUSTOS!$M$29</f>
        <v>1</v>
      </c>
      <c r="O27" s="54">
        <f>1 - CUSTOS!$M$29</f>
        <v>1</v>
      </c>
      <c r="P27" s="54">
        <f>1 - CUSTOS!$M$29</f>
        <v>1</v>
      </c>
      <c r="Q27" s="54"/>
      <c r="R27" s="54">
        <f>(1 - CUSTOS!$M$29)*1</f>
        <v>1</v>
      </c>
      <c r="S27" s="54"/>
      <c r="T27" s="54">
        <f>1 - CUSTOS!$M$29</f>
        <v>1</v>
      </c>
      <c r="U27" s="54">
        <f>1 - CUSTOS!$M$29</f>
        <v>1</v>
      </c>
      <c r="V27" s="54">
        <f>1 - CUSTOS!$M$29</f>
        <v>1</v>
      </c>
      <c r="W27" s="54"/>
      <c r="X27" s="54"/>
      <c r="Y27" s="54"/>
      <c r="Z27" s="54">
        <f>1 - CUSTOS!$M$29</f>
        <v>1</v>
      </c>
      <c r="AA27" s="54"/>
      <c r="AB27" s="54"/>
    </row>
    <row r="28" spans="1:28" ht="11.25" customHeight="1" x14ac:dyDescent="0.25">
      <c r="A28" s="120"/>
      <c r="B28" s="120"/>
      <c r="C28" s="120"/>
      <c r="D28" s="120"/>
      <c r="E28" s="120"/>
      <c r="F28" s="120"/>
      <c r="G28" s="57" t="s">
        <v>94</v>
      </c>
      <c r="H28" s="57" t="s">
        <v>82</v>
      </c>
      <c r="I28" s="57">
        <f>'MERCADO TE'!$U$25</f>
        <v>0</v>
      </c>
      <c r="J28" s="15"/>
      <c r="L28" s="54">
        <f>1 - CUSTOS!$M$29</f>
        <v>1</v>
      </c>
      <c r="M28" s="54">
        <f>1 - CUSTOS!$M$29</f>
        <v>1</v>
      </c>
      <c r="N28" s="54">
        <f>1 - CUSTOS!$M$29</f>
        <v>1</v>
      </c>
      <c r="O28" s="54">
        <f>1 - CUSTOS!$M$29</f>
        <v>1</v>
      </c>
      <c r="P28" s="54">
        <f>1 - CUSTOS!$M$29</f>
        <v>1</v>
      </c>
      <c r="Q28" s="54"/>
      <c r="R28" s="54">
        <f>(1 - CUSTOS!$M$29)*1</f>
        <v>1</v>
      </c>
      <c r="S28" s="54"/>
      <c r="T28" s="54">
        <f>1 - CUSTOS!$M$29</f>
        <v>1</v>
      </c>
      <c r="U28" s="54">
        <f>1 - CUSTOS!$M$29</f>
        <v>1</v>
      </c>
      <c r="V28" s="54">
        <f>1 - CUSTOS!$M$29</f>
        <v>1</v>
      </c>
      <c r="W28" s="54"/>
      <c r="X28" s="54"/>
      <c r="Y28" s="54"/>
      <c r="Z28" s="54">
        <f>1 - CUSTOS!$M$29</f>
        <v>1</v>
      </c>
      <c r="AA28" s="54"/>
      <c r="AB28" s="54"/>
    </row>
    <row r="29" spans="1:28" ht="11.25" customHeight="1" x14ac:dyDescent="0.25">
      <c r="A29" s="120"/>
      <c r="B29" s="120"/>
      <c r="C29" s="120"/>
      <c r="D29" s="120"/>
      <c r="E29" s="120"/>
      <c r="F29" s="120"/>
      <c r="G29" s="57" t="s">
        <v>84</v>
      </c>
      <c r="H29" s="57" t="s">
        <v>82</v>
      </c>
      <c r="I29" s="57">
        <f>'MERCADO TE'!$U$26</f>
        <v>0</v>
      </c>
      <c r="J29" s="15"/>
      <c r="L29" s="54">
        <f>1 - CUSTOS!$M$29</f>
        <v>1</v>
      </c>
      <c r="M29" s="54">
        <f>1 - CUSTOS!$M$29</f>
        <v>1</v>
      </c>
      <c r="N29" s="54">
        <f>1 - CUSTOS!$M$29</f>
        <v>1</v>
      </c>
      <c r="O29" s="54">
        <f>1 - CUSTOS!$M$29</f>
        <v>1</v>
      </c>
      <c r="P29" s="54">
        <f>1 - CUSTOS!$M$29</f>
        <v>1</v>
      </c>
      <c r="Q29" s="54"/>
      <c r="R29" s="54">
        <f>(1 - CUSTOS!$M$29)*1</f>
        <v>1</v>
      </c>
      <c r="S29" s="54"/>
      <c r="T29" s="54">
        <f>1 - CUSTOS!$M$29</f>
        <v>1</v>
      </c>
      <c r="U29" s="54">
        <f>1 - CUSTOS!$M$29</f>
        <v>1</v>
      </c>
      <c r="V29" s="54">
        <f>1 - CUSTOS!$M$29</f>
        <v>1</v>
      </c>
      <c r="W29" s="54"/>
      <c r="X29" s="54"/>
      <c r="Y29" s="54"/>
      <c r="Z29" s="54">
        <f>1 - CUSTOS!$M$29</f>
        <v>1</v>
      </c>
      <c r="AA29" s="54"/>
      <c r="AB29" s="54"/>
    </row>
    <row r="30" spans="1:28" ht="11.25" customHeight="1" x14ac:dyDescent="0.25">
      <c r="A30" s="120"/>
      <c r="B30" s="56" t="s">
        <v>90</v>
      </c>
      <c r="C30" s="56" t="s">
        <v>42</v>
      </c>
      <c r="D30" s="56" t="s">
        <v>98</v>
      </c>
      <c r="E30" s="56" t="s">
        <v>25</v>
      </c>
      <c r="F30" s="56" t="s">
        <v>25</v>
      </c>
      <c r="G30" s="57" t="s">
        <v>88</v>
      </c>
      <c r="H30" s="57" t="s">
        <v>82</v>
      </c>
      <c r="I30" s="57">
        <f>'MERCADO TE'!$U$27</f>
        <v>0</v>
      </c>
      <c r="J30" s="15"/>
      <c r="L30" s="54">
        <f>1 - CUSTOS!$M$29</f>
        <v>1</v>
      </c>
      <c r="M30" s="54">
        <f>1 - CUSTOS!$M$29</f>
        <v>1</v>
      </c>
      <c r="N30" s="54">
        <f>1 - CUSTOS!$M$29</f>
        <v>1</v>
      </c>
      <c r="O30" s="54">
        <f>1 - CUSTOS!$M$29</f>
        <v>1</v>
      </c>
      <c r="P30" s="54">
        <f>1 - CUSTOS!$M$29</f>
        <v>1</v>
      </c>
      <c r="Q30" s="54"/>
      <c r="R30" s="54">
        <f>(1 - CUSTOS!$M$29)*1</f>
        <v>1</v>
      </c>
      <c r="S30" s="54"/>
      <c r="T30" s="54">
        <f>1 - CUSTOS!$M$29</f>
        <v>1</v>
      </c>
      <c r="U30" s="54">
        <f>1 - CUSTOS!$M$29</f>
        <v>1</v>
      </c>
      <c r="V30" s="54">
        <f>1 - CUSTOS!$M$29</f>
        <v>1</v>
      </c>
      <c r="W30" s="54"/>
      <c r="X30" s="54"/>
      <c r="Y30" s="54"/>
      <c r="Z30" s="54">
        <f>1 - CUSTOS!$M$29</f>
        <v>1</v>
      </c>
      <c r="AA30" s="54"/>
      <c r="AB30" s="54"/>
    </row>
    <row r="31" spans="1:28" ht="11.25" customHeight="1" x14ac:dyDescent="0.25">
      <c r="A31" s="120"/>
      <c r="B31" s="120" t="s">
        <v>81</v>
      </c>
      <c r="C31" s="120" t="s">
        <v>42</v>
      </c>
      <c r="D31" s="120" t="s">
        <v>99</v>
      </c>
      <c r="E31" s="120" t="s">
        <v>25</v>
      </c>
      <c r="F31" s="120" t="s">
        <v>25</v>
      </c>
      <c r="G31" s="57" t="s">
        <v>83</v>
      </c>
      <c r="H31" s="57" t="s">
        <v>82</v>
      </c>
      <c r="I31" s="57">
        <f>'MERCADO TE'!$U$28</f>
        <v>0</v>
      </c>
      <c r="J31" s="15"/>
      <c r="L31" s="54">
        <f>1 - CUSTOS!$M$30</f>
        <v>1</v>
      </c>
      <c r="M31" s="54">
        <f>1 - CUSTOS!$M$30</f>
        <v>1</v>
      </c>
      <c r="N31" s="54">
        <f>1 - CUSTOS!$M$30</f>
        <v>1</v>
      </c>
      <c r="O31" s="54">
        <f>1 - CUSTOS!$M$30</f>
        <v>1</v>
      </c>
      <c r="P31" s="54">
        <f>1 - CUSTOS!$M$30</f>
        <v>1</v>
      </c>
      <c r="Q31" s="54"/>
      <c r="R31" s="54">
        <f>(1 - CUSTOS!$M$30)*1</f>
        <v>1</v>
      </c>
      <c r="S31" s="54"/>
      <c r="T31" s="54">
        <f>1 - CUSTOS!$M$30</f>
        <v>1</v>
      </c>
      <c r="U31" s="54">
        <f>1 - CUSTOS!$M$30</f>
        <v>1</v>
      </c>
      <c r="V31" s="54">
        <f>1 - CUSTOS!$M$30</f>
        <v>1</v>
      </c>
      <c r="W31" s="54"/>
      <c r="X31" s="54"/>
      <c r="Y31" s="54"/>
      <c r="Z31" s="54">
        <f>1 - CUSTOS!$M$30</f>
        <v>1</v>
      </c>
      <c r="AA31" s="54"/>
      <c r="AB31" s="54"/>
    </row>
    <row r="32" spans="1:28" ht="11.25" customHeight="1" x14ac:dyDescent="0.25">
      <c r="A32" s="120"/>
      <c r="B32" s="120"/>
      <c r="C32" s="120"/>
      <c r="D32" s="120"/>
      <c r="E32" s="120"/>
      <c r="F32" s="120"/>
      <c r="G32" s="57" t="s">
        <v>94</v>
      </c>
      <c r="H32" s="57" t="s">
        <v>82</v>
      </c>
      <c r="I32" s="57">
        <f>'MERCADO TE'!$U$29</f>
        <v>0</v>
      </c>
      <c r="J32" s="15"/>
      <c r="L32" s="54">
        <f>1 - CUSTOS!$M$30</f>
        <v>1</v>
      </c>
      <c r="M32" s="54">
        <f>1 - CUSTOS!$M$30</f>
        <v>1</v>
      </c>
      <c r="N32" s="54">
        <f>1 - CUSTOS!$M$30</f>
        <v>1</v>
      </c>
      <c r="O32" s="54">
        <f>1 - CUSTOS!$M$30</f>
        <v>1</v>
      </c>
      <c r="P32" s="54">
        <f>1 - CUSTOS!$M$30</f>
        <v>1</v>
      </c>
      <c r="Q32" s="54"/>
      <c r="R32" s="54">
        <f>(1 - CUSTOS!$M$30)*1</f>
        <v>1</v>
      </c>
      <c r="S32" s="54"/>
      <c r="T32" s="54">
        <f>1 - CUSTOS!$M$30</f>
        <v>1</v>
      </c>
      <c r="U32" s="54">
        <f>1 - CUSTOS!$M$30</f>
        <v>1</v>
      </c>
      <c r="V32" s="54">
        <f>1 - CUSTOS!$M$30</f>
        <v>1</v>
      </c>
      <c r="W32" s="54"/>
      <c r="X32" s="54"/>
      <c r="Y32" s="54"/>
      <c r="Z32" s="54">
        <f>1 - CUSTOS!$M$30</f>
        <v>1</v>
      </c>
      <c r="AA32" s="54"/>
      <c r="AB32" s="54"/>
    </row>
    <row r="33" spans="1:28" ht="11.25" customHeight="1" x14ac:dyDescent="0.25">
      <c r="A33" s="120"/>
      <c r="B33" s="120"/>
      <c r="C33" s="120"/>
      <c r="D33" s="120"/>
      <c r="E33" s="120"/>
      <c r="F33" s="120"/>
      <c r="G33" s="57" t="s">
        <v>84</v>
      </c>
      <c r="H33" s="57" t="s">
        <v>82</v>
      </c>
      <c r="I33" s="57">
        <f>'MERCADO TE'!$U$30</f>
        <v>0</v>
      </c>
      <c r="J33" s="15"/>
      <c r="L33" s="54">
        <f>1 - CUSTOS!$M$30</f>
        <v>1</v>
      </c>
      <c r="M33" s="54">
        <f>1 - CUSTOS!$M$30</f>
        <v>1</v>
      </c>
      <c r="N33" s="54">
        <f>1 - CUSTOS!$M$30</f>
        <v>1</v>
      </c>
      <c r="O33" s="54">
        <f>1 - CUSTOS!$M$30</f>
        <v>1</v>
      </c>
      <c r="P33" s="54">
        <f>1 - CUSTOS!$M$30</f>
        <v>1</v>
      </c>
      <c r="Q33" s="54"/>
      <c r="R33" s="54">
        <f>(1 - CUSTOS!$M$30)*1</f>
        <v>1</v>
      </c>
      <c r="S33" s="54"/>
      <c r="T33" s="54">
        <f>1 - CUSTOS!$M$30</f>
        <v>1</v>
      </c>
      <c r="U33" s="54">
        <f>1 - CUSTOS!$M$30</f>
        <v>1</v>
      </c>
      <c r="V33" s="54">
        <f>1 - CUSTOS!$M$30</f>
        <v>1</v>
      </c>
      <c r="W33" s="54"/>
      <c r="X33" s="54"/>
      <c r="Y33" s="54"/>
      <c r="Z33" s="54">
        <f>1 - CUSTOS!$M$30</f>
        <v>1</v>
      </c>
      <c r="AA33" s="54"/>
      <c r="AB33" s="54"/>
    </row>
    <row r="34" spans="1:28" ht="11.25" customHeight="1" x14ac:dyDescent="0.25">
      <c r="A34" s="120"/>
      <c r="B34" s="56" t="s">
        <v>90</v>
      </c>
      <c r="C34" s="56" t="s">
        <v>42</v>
      </c>
      <c r="D34" s="56" t="s">
        <v>99</v>
      </c>
      <c r="E34" s="56" t="s">
        <v>25</v>
      </c>
      <c r="F34" s="56" t="s">
        <v>25</v>
      </c>
      <c r="G34" s="57" t="s">
        <v>88</v>
      </c>
      <c r="H34" s="57" t="s">
        <v>82</v>
      </c>
      <c r="I34" s="57">
        <f>'MERCADO TE'!$U$31</f>
        <v>0</v>
      </c>
      <c r="J34" s="15"/>
      <c r="L34" s="54">
        <f>1 - CUSTOS!$M$30</f>
        <v>1</v>
      </c>
      <c r="M34" s="54">
        <f>1 - CUSTOS!$M$30</f>
        <v>1</v>
      </c>
      <c r="N34" s="54">
        <f>1 - CUSTOS!$M$30</f>
        <v>1</v>
      </c>
      <c r="O34" s="54">
        <f>1 - CUSTOS!$M$30</f>
        <v>1</v>
      </c>
      <c r="P34" s="54">
        <f>1 - CUSTOS!$M$30</f>
        <v>1</v>
      </c>
      <c r="Q34" s="54"/>
      <c r="R34" s="54">
        <f>(1 - CUSTOS!$M$30)*1</f>
        <v>1</v>
      </c>
      <c r="S34" s="54"/>
      <c r="T34" s="54">
        <f>1 - CUSTOS!$M$30</f>
        <v>1</v>
      </c>
      <c r="U34" s="54">
        <f>1 - CUSTOS!$M$30</f>
        <v>1</v>
      </c>
      <c r="V34" s="54">
        <f>1 - CUSTOS!$M$30</f>
        <v>1</v>
      </c>
      <c r="W34" s="54"/>
      <c r="X34" s="54"/>
      <c r="Y34" s="54"/>
      <c r="Z34" s="54">
        <f>1 - CUSTOS!$M$30</f>
        <v>1</v>
      </c>
      <c r="AA34" s="54"/>
      <c r="AB34" s="54"/>
    </row>
    <row r="35" spans="1:28" ht="11.25" customHeight="1" x14ac:dyDescent="0.25">
      <c r="A35" s="120"/>
      <c r="B35" s="120" t="s">
        <v>96</v>
      </c>
      <c r="C35" s="120" t="s">
        <v>42</v>
      </c>
      <c r="D35" s="56" t="s">
        <v>25</v>
      </c>
      <c r="E35" s="56" t="s">
        <v>25</v>
      </c>
      <c r="F35" s="56" t="s">
        <v>25</v>
      </c>
      <c r="G35" s="57" t="s">
        <v>88</v>
      </c>
      <c r="H35" s="57" t="s">
        <v>82</v>
      </c>
      <c r="I35" s="57">
        <f>'MERCADO TE'!$U$32</f>
        <v>0</v>
      </c>
      <c r="J35" s="15"/>
      <c r="L35" s="54">
        <f>1 - CUSTOS!$M$28</f>
        <v>1</v>
      </c>
      <c r="M35" s="54">
        <f>1 - CUSTOS!$M$28</f>
        <v>1</v>
      </c>
      <c r="N35" s="54">
        <f>1 - CUSTOS!$M$28</f>
        <v>1</v>
      </c>
      <c r="O35" s="54">
        <f>1 - CUSTOS!$M$28</f>
        <v>1</v>
      </c>
      <c r="P35" s="54">
        <f>1 - CUSTOS!$M$28</f>
        <v>1</v>
      </c>
      <c r="Q35" s="54"/>
      <c r="R35" s="54">
        <f>(1 - CUSTOS!$M$28)*1</f>
        <v>1</v>
      </c>
      <c r="S35" s="54"/>
      <c r="T35" s="54">
        <f>1 - CUSTOS!$M$28</f>
        <v>1</v>
      </c>
      <c r="U35" s="54">
        <f>1 - CUSTOS!$M$28</f>
        <v>1</v>
      </c>
      <c r="V35" s="54">
        <f>1 - CUSTOS!$M$28</f>
        <v>1</v>
      </c>
      <c r="W35" s="54"/>
      <c r="X35" s="54"/>
      <c r="Y35" s="54"/>
      <c r="Z35" s="54">
        <f>1 - CUSTOS!$M$28</f>
        <v>1</v>
      </c>
      <c r="AA35" s="54"/>
      <c r="AB35" s="54"/>
    </row>
    <row r="36" spans="1:28" ht="11.25" customHeight="1" x14ac:dyDescent="0.25">
      <c r="A36" s="120"/>
      <c r="B36" s="120"/>
      <c r="C36" s="120"/>
      <c r="D36" s="56" t="s">
        <v>98</v>
      </c>
      <c r="E36" s="56" t="s">
        <v>25</v>
      </c>
      <c r="F36" s="56" t="s">
        <v>25</v>
      </c>
      <c r="G36" s="57" t="s">
        <v>88</v>
      </c>
      <c r="H36" s="57" t="s">
        <v>82</v>
      </c>
      <c r="I36" s="57">
        <f>'MERCADO TE'!$U$33</f>
        <v>0</v>
      </c>
      <c r="J36" s="15"/>
      <c r="L36" s="54">
        <f>1 - CUSTOS!$M$29</f>
        <v>1</v>
      </c>
      <c r="M36" s="54">
        <f>1 - CUSTOS!$M$29</f>
        <v>1</v>
      </c>
      <c r="N36" s="54">
        <f>1 - CUSTOS!$M$29</f>
        <v>1</v>
      </c>
      <c r="O36" s="54">
        <f>1 - CUSTOS!$M$29</f>
        <v>1</v>
      </c>
      <c r="P36" s="54">
        <f>1 - CUSTOS!$M$29</f>
        <v>1</v>
      </c>
      <c r="Q36" s="54"/>
      <c r="R36" s="54">
        <f>(1 - CUSTOS!$M$29)*1</f>
        <v>1</v>
      </c>
      <c r="S36" s="54"/>
      <c r="T36" s="54">
        <f>1 - CUSTOS!$M$29</f>
        <v>1</v>
      </c>
      <c r="U36" s="54">
        <f>1 - CUSTOS!$M$29</f>
        <v>1</v>
      </c>
      <c r="V36" s="54">
        <f>1 - CUSTOS!$M$29</f>
        <v>1</v>
      </c>
      <c r="W36" s="54"/>
      <c r="X36" s="54"/>
      <c r="Y36" s="54"/>
      <c r="Z36" s="54">
        <f>1 - CUSTOS!$M$29</f>
        <v>1</v>
      </c>
      <c r="AA36" s="54"/>
      <c r="AB36" s="54"/>
    </row>
    <row r="37" spans="1:28" ht="11.25" customHeight="1" x14ac:dyDescent="0.25">
      <c r="A37" s="120"/>
      <c r="B37" s="120"/>
      <c r="C37" s="120"/>
      <c r="D37" s="56" t="s">
        <v>99</v>
      </c>
      <c r="E37" s="56" t="s">
        <v>25</v>
      </c>
      <c r="F37" s="56" t="s">
        <v>25</v>
      </c>
      <c r="G37" s="57" t="s">
        <v>88</v>
      </c>
      <c r="H37" s="57" t="s">
        <v>82</v>
      </c>
      <c r="I37" s="57">
        <f>'MERCADO TE'!$U$34</f>
        <v>0</v>
      </c>
      <c r="J37" s="15"/>
      <c r="L37" s="54">
        <f>1 - CUSTOS!$M$30</f>
        <v>1</v>
      </c>
      <c r="M37" s="54">
        <f>1 - CUSTOS!$M$30</f>
        <v>1</v>
      </c>
      <c r="N37" s="54">
        <f>1 - CUSTOS!$M$30</f>
        <v>1</v>
      </c>
      <c r="O37" s="54">
        <f>1 - CUSTOS!$M$30</f>
        <v>1</v>
      </c>
      <c r="P37" s="54">
        <f>1 - CUSTOS!$M$30</f>
        <v>1</v>
      </c>
      <c r="Q37" s="54"/>
      <c r="R37" s="54">
        <f>(1 - CUSTOS!$M$30)*1</f>
        <v>1</v>
      </c>
      <c r="S37" s="54"/>
      <c r="T37" s="54">
        <f>1 - CUSTOS!$M$30</f>
        <v>1</v>
      </c>
      <c r="U37" s="54">
        <f>1 - CUSTOS!$M$30</f>
        <v>1</v>
      </c>
      <c r="V37" s="54">
        <f>1 - CUSTOS!$M$30</f>
        <v>1</v>
      </c>
      <c r="W37" s="54"/>
      <c r="X37" s="54"/>
      <c r="Y37" s="54"/>
      <c r="Z37" s="54">
        <f>1 - CUSTOS!$M$30</f>
        <v>1</v>
      </c>
      <c r="AA37" s="54"/>
      <c r="AB37" s="54"/>
    </row>
    <row r="38" spans="1:28" ht="11.25" customHeight="1" x14ac:dyDescent="0.25">
      <c r="A38" s="120" t="s">
        <v>33</v>
      </c>
      <c r="B38" s="120" t="s">
        <v>81</v>
      </c>
      <c r="C38" s="120" t="s">
        <v>25</v>
      </c>
      <c r="D38" s="120" t="s">
        <v>25</v>
      </c>
      <c r="E38" s="120" t="s">
        <v>25</v>
      </c>
      <c r="F38" s="120" t="s">
        <v>25</v>
      </c>
      <c r="G38" s="57" t="s">
        <v>83</v>
      </c>
      <c r="H38" s="57" t="s">
        <v>82</v>
      </c>
      <c r="I38" s="57">
        <f>'MERCADO TE'!$U$35</f>
        <v>0</v>
      </c>
      <c r="J38" s="15"/>
      <c r="L38" s="54">
        <f>1 - CUSTOS!$M$31</f>
        <v>1</v>
      </c>
      <c r="M38" s="54">
        <f>1 - CUSTOS!$M$31</f>
        <v>1</v>
      </c>
      <c r="N38" s="54">
        <f>1 - CUSTOS!$M$31</f>
        <v>1</v>
      </c>
      <c r="O38" s="54">
        <f>1 - CUSTOS!$M$31</f>
        <v>1</v>
      </c>
      <c r="P38" s="54">
        <f>1 - CUSTOS!$M$31</f>
        <v>1</v>
      </c>
      <c r="Q38" s="54"/>
      <c r="R38" s="54">
        <f>(1 - CUSTOS!$M$31)*1</f>
        <v>1</v>
      </c>
      <c r="S38" s="54"/>
      <c r="T38" s="54">
        <f>1 - CUSTOS!$M$31</f>
        <v>1</v>
      </c>
      <c r="U38" s="54">
        <f>1 - CUSTOS!$M$31</f>
        <v>1</v>
      </c>
      <c r="V38" s="54">
        <f>1 - CUSTOS!$M$31</f>
        <v>1</v>
      </c>
      <c r="W38" s="54"/>
      <c r="X38" s="54"/>
      <c r="Y38" s="54"/>
      <c r="Z38" s="54">
        <f>1 - CUSTOS!$M$31</f>
        <v>1</v>
      </c>
      <c r="AA38" s="54"/>
      <c r="AB38" s="54"/>
    </row>
    <row r="39" spans="1:28" ht="11.25" customHeight="1" x14ac:dyDescent="0.25">
      <c r="A39" s="120"/>
      <c r="B39" s="120"/>
      <c r="C39" s="120"/>
      <c r="D39" s="120"/>
      <c r="E39" s="120"/>
      <c r="F39" s="120"/>
      <c r="G39" s="57" t="s">
        <v>94</v>
      </c>
      <c r="H39" s="57" t="s">
        <v>82</v>
      </c>
      <c r="I39" s="57">
        <f>'MERCADO TE'!$U$36</f>
        <v>0</v>
      </c>
      <c r="J39" s="15"/>
      <c r="L39" s="54">
        <f>1 - CUSTOS!$M$31</f>
        <v>1</v>
      </c>
      <c r="M39" s="54">
        <f>1 - CUSTOS!$M$31</f>
        <v>1</v>
      </c>
      <c r="N39" s="54">
        <f>1 - CUSTOS!$M$31</f>
        <v>1</v>
      </c>
      <c r="O39" s="54">
        <f>1 - CUSTOS!$M$31</f>
        <v>1</v>
      </c>
      <c r="P39" s="54">
        <f>1 - CUSTOS!$M$31</f>
        <v>1</v>
      </c>
      <c r="Q39" s="54"/>
      <c r="R39" s="54">
        <f>(1 - CUSTOS!$M$31)*1</f>
        <v>1</v>
      </c>
      <c r="S39" s="54"/>
      <c r="T39" s="54">
        <f>1 - CUSTOS!$M$31</f>
        <v>1</v>
      </c>
      <c r="U39" s="54">
        <f>1 - CUSTOS!$M$31</f>
        <v>1</v>
      </c>
      <c r="V39" s="54">
        <f>1 - CUSTOS!$M$31</f>
        <v>1</v>
      </c>
      <c r="W39" s="54"/>
      <c r="X39" s="54"/>
      <c r="Y39" s="54"/>
      <c r="Z39" s="54">
        <f>1 - CUSTOS!$M$31</f>
        <v>1</v>
      </c>
      <c r="AA39" s="54"/>
      <c r="AB39" s="54"/>
    </row>
    <row r="40" spans="1:28" ht="11.25" customHeight="1" x14ac:dyDescent="0.25">
      <c r="A40" s="120"/>
      <c r="B40" s="120"/>
      <c r="C40" s="120"/>
      <c r="D40" s="120"/>
      <c r="E40" s="120"/>
      <c r="F40" s="120"/>
      <c r="G40" s="57" t="s">
        <v>84</v>
      </c>
      <c r="H40" s="57" t="s">
        <v>82</v>
      </c>
      <c r="I40" s="57">
        <f>'MERCADO TE'!$U$37</f>
        <v>0</v>
      </c>
      <c r="J40" s="15"/>
      <c r="L40" s="54">
        <f>1 - CUSTOS!$M$31</f>
        <v>1</v>
      </c>
      <c r="M40" s="54">
        <f>1 - CUSTOS!$M$31</f>
        <v>1</v>
      </c>
      <c r="N40" s="54">
        <f>1 - CUSTOS!$M$31</f>
        <v>1</v>
      </c>
      <c r="O40" s="54">
        <f>1 - CUSTOS!$M$31</f>
        <v>1</v>
      </c>
      <c r="P40" s="54">
        <f>1 - CUSTOS!$M$31</f>
        <v>1</v>
      </c>
      <c r="Q40" s="54"/>
      <c r="R40" s="54">
        <f>(1 - CUSTOS!$M$31)*1</f>
        <v>1</v>
      </c>
      <c r="S40" s="54"/>
      <c r="T40" s="54">
        <f>1 - CUSTOS!$M$31</f>
        <v>1</v>
      </c>
      <c r="U40" s="54">
        <f>1 - CUSTOS!$M$31</f>
        <v>1</v>
      </c>
      <c r="V40" s="54">
        <f>1 - CUSTOS!$M$31</f>
        <v>1</v>
      </c>
      <c r="W40" s="54"/>
      <c r="X40" s="54"/>
      <c r="Y40" s="54"/>
      <c r="Z40" s="54">
        <f>1 - CUSTOS!$M$31</f>
        <v>1</v>
      </c>
      <c r="AA40" s="54"/>
      <c r="AB40" s="54"/>
    </row>
    <row r="41" spans="1:28" ht="11.25" customHeight="1" x14ac:dyDescent="0.25">
      <c r="A41" s="120"/>
      <c r="B41" s="56" t="s">
        <v>90</v>
      </c>
      <c r="C41" s="56" t="s">
        <v>25</v>
      </c>
      <c r="D41" s="56" t="s">
        <v>25</v>
      </c>
      <c r="E41" s="56" t="s">
        <v>25</v>
      </c>
      <c r="F41" s="56" t="s">
        <v>25</v>
      </c>
      <c r="G41" s="57" t="s">
        <v>88</v>
      </c>
      <c r="H41" s="57" t="s">
        <v>82</v>
      </c>
      <c r="I41" s="57">
        <f>'MERCADO TE'!$U$38</f>
        <v>28646.591999999997</v>
      </c>
      <c r="J41" s="15"/>
      <c r="L41" s="54">
        <f>1 - CUSTOS!$M$31</f>
        <v>1</v>
      </c>
      <c r="M41" s="54">
        <f>1 - CUSTOS!$M$31</f>
        <v>1</v>
      </c>
      <c r="N41" s="54">
        <f>1 - CUSTOS!$M$31</f>
        <v>1</v>
      </c>
      <c r="O41" s="54">
        <f>1 - CUSTOS!$M$31</f>
        <v>1</v>
      </c>
      <c r="P41" s="54">
        <f>1 - CUSTOS!$M$31</f>
        <v>1</v>
      </c>
      <c r="Q41" s="54"/>
      <c r="R41" s="54">
        <f>(1 - CUSTOS!$M$31)*1</f>
        <v>1</v>
      </c>
      <c r="S41" s="54"/>
      <c r="T41" s="54">
        <f>1 - CUSTOS!$M$31</f>
        <v>1</v>
      </c>
      <c r="U41" s="54">
        <f>1 - CUSTOS!$M$31</f>
        <v>1</v>
      </c>
      <c r="V41" s="54">
        <f>1 - CUSTOS!$M$31</f>
        <v>1</v>
      </c>
      <c r="W41" s="54"/>
      <c r="X41" s="54"/>
      <c r="Y41" s="54"/>
      <c r="Z41" s="54">
        <f>1 - CUSTOS!$M$31</f>
        <v>1</v>
      </c>
      <c r="AA41" s="54"/>
      <c r="AB41" s="54"/>
    </row>
    <row r="42" spans="1:28" ht="11.25" customHeight="1" x14ac:dyDescent="0.25">
      <c r="A42" s="120"/>
      <c r="B42" s="56" t="s">
        <v>96</v>
      </c>
      <c r="C42" s="56" t="s">
        <v>25</v>
      </c>
      <c r="D42" s="56" t="s">
        <v>25</v>
      </c>
      <c r="E42" s="56" t="s">
        <v>25</v>
      </c>
      <c r="F42" s="56" t="s">
        <v>25</v>
      </c>
      <c r="G42" s="57" t="s">
        <v>88</v>
      </c>
      <c r="H42" s="57" t="s">
        <v>82</v>
      </c>
      <c r="I42" s="57">
        <f>'MERCADO TE'!$U$39</f>
        <v>0</v>
      </c>
      <c r="J42" s="15"/>
      <c r="L42" s="54">
        <f>1 - CUSTOS!$M$31</f>
        <v>1</v>
      </c>
      <c r="M42" s="54">
        <f>1 - CUSTOS!$M$31</f>
        <v>1</v>
      </c>
      <c r="N42" s="54">
        <f>1 - CUSTOS!$M$31</f>
        <v>1</v>
      </c>
      <c r="O42" s="54">
        <f>1 - CUSTOS!$M$31</f>
        <v>1</v>
      </c>
      <c r="P42" s="54">
        <f>1 - CUSTOS!$M$31</f>
        <v>1</v>
      </c>
      <c r="Q42" s="54"/>
      <c r="R42" s="54">
        <f>(1 - CUSTOS!$M$31)*1</f>
        <v>1</v>
      </c>
      <c r="S42" s="54"/>
      <c r="T42" s="54">
        <f>1 - CUSTOS!$M$31</f>
        <v>1</v>
      </c>
      <c r="U42" s="54">
        <f>1 - CUSTOS!$M$31</f>
        <v>1</v>
      </c>
      <c r="V42" s="54">
        <f>1 - CUSTOS!$M$31</f>
        <v>1</v>
      </c>
      <c r="W42" s="54"/>
      <c r="X42" s="54"/>
      <c r="Y42" s="54"/>
      <c r="Z42" s="54">
        <f>1 - CUSTOS!$M$31</f>
        <v>1</v>
      </c>
      <c r="AA42" s="54"/>
      <c r="AB42" s="54"/>
    </row>
    <row r="43" spans="1:28" ht="11.25" customHeight="1" x14ac:dyDescent="0.25">
      <c r="A43" s="120" t="s">
        <v>44</v>
      </c>
      <c r="B43" s="120" t="s">
        <v>90</v>
      </c>
      <c r="C43" s="120" t="s">
        <v>45</v>
      </c>
      <c r="D43" s="56" t="s">
        <v>46</v>
      </c>
      <c r="E43" s="56" t="s">
        <v>25</v>
      </c>
      <c r="F43" s="56" t="s">
        <v>25</v>
      </c>
      <c r="G43" s="57" t="s">
        <v>88</v>
      </c>
      <c r="H43" s="57" t="s">
        <v>82</v>
      </c>
      <c r="I43" s="57">
        <f>'MERCADO TE'!$U$40</f>
        <v>6635.9900000000007</v>
      </c>
      <c r="J43" s="15"/>
      <c r="L43" s="54">
        <f>1 - CUSTOS!$M$32</f>
        <v>0.55000000000000004</v>
      </c>
      <c r="M43" s="54">
        <f>1 - CUSTOS!$M$32</f>
        <v>0.55000000000000004</v>
      </c>
      <c r="N43" s="54">
        <f>1 - CUSTOS!$M$32</f>
        <v>0.55000000000000004</v>
      </c>
      <c r="O43" s="54">
        <f>1 - CUSTOS!$M$32</f>
        <v>0.55000000000000004</v>
      </c>
      <c r="P43" s="54">
        <f>1 - CUSTOS!$M$32</f>
        <v>0.55000000000000004</v>
      </c>
      <c r="Q43" s="54"/>
      <c r="R43" s="54">
        <f>(1 - CUSTOS!$M$32)*1</f>
        <v>0.55000000000000004</v>
      </c>
      <c r="S43" s="54"/>
      <c r="T43" s="54">
        <f>1 - CUSTOS!$M$32</f>
        <v>0.55000000000000004</v>
      </c>
      <c r="U43" s="54">
        <f>1 - CUSTOS!$M$32</f>
        <v>0.55000000000000004</v>
      </c>
      <c r="V43" s="54">
        <f>1 - CUSTOS!$M$32</f>
        <v>0.55000000000000004</v>
      </c>
      <c r="W43" s="54"/>
      <c r="X43" s="54"/>
      <c r="Y43" s="54"/>
      <c r="Z43" s="54">
        <f>1 - CUSTOS!$M$32</f>
        <v>0.55000000000000004</v>
      </c>
      <c r="AA43" s="54"/>
      <c r="AB43" s="54"/>
    </row>
    <row r="44" spans="1:28" ht="11.25" customHeight="1" x14ac:dyDescent="0.25">
      <c r="A44" s="120"/>
      <c r="B44" s="120"/>
      <c r="C44" s="120"/>
      <c r="D44" s="57" t="s">
        <v>100</v>
      </c>
      <c r="E44" s="57" t="s">
        <v>25</v>
      </c>
      <c r="F44" s="57" t="s">
        <v>25</v>
      </c>
      <c r="G44" s="57" t="s">
        <v>88</v>
      </c>
      <c r="H44" s="57" t="s">
        <v>82</v>
      </c>
      <c r="I44" s="57">
        <f>'MERCADO TE'!$U$41</f>
        <v>0</v>
      </c>
      <c r="J44" s="15"/>
      <c r="L44" s="54">
        <f>1 - CUSTOS!$M$33</f>
        <v>0.6</v>
      </c>
      <c r="M44" s="54">
        <f>1 - CUSTOS!$M$33</f>
        <v>0.6</v>
      </c>
      <c r="N44" s="54">
        <f>1 - CUSTOS!$M$33</f>
        <v>0.6</v>
      </c>
      <c r="O44" s="54">
        <f>1 - CUSTOS!$M$33</f>
        <v>0.6</v>
      </c>
      <c r="P44" s="54">
        <f>1 - CUSTOS!$M$33</f>
        <v>0.6</v>
      </c>
      <c r="Q44" s="54"/>
      <c r="R44" s="54">
        <f>(1 - CUSTOS!$M$33)*1</f>
        <v>0.6</v>
      </c>
      <c r="S44" s="54"/>
      <c r="T44" s="54">
        <f>1 - CUSTOS!$M$33</f>
        <v>0.6</v>
      </c>
      <c r="U44" s="54">
        <f>1 - CUSTOS!$M$33</f>
        <v>0.6</v>
      </c>
      <c r="V44" s="54">
        <f>1 - CUSTOS!$M$33</f>
        <v>0.6</v>
      </c>
      <c r="W44" s="54"/>
      <c r="X44" s="54"/>
      <c r="Y44" s="54"/>
      <c r="Z44" s="54">
        <f>1 - CUSTOS!$M$33</f>
        <v>0.6</v>
      </c>
      <c r="AA44" s="54"/>
      <c r="AB44" s="54"/>
    </row>
    <row r="46" spans="1:28" ht="11.25" customHeight="1" x14ac:dyDescent="0.25">
      <c r="K46" s="59" t="s">
        <v>561</v>
      </c>
      <c r="L46" s="54">
        <f t="shared" ref="L46:AB46" si="0">SUMPRODUCT($I$5:$I$44,L$5:L$44)</f>
        <v>433063.95750000002</v>
      </c>
      <c r="M46" s="54">
        <f t="shared" si="0"/>
        <v>433063.95750000002</v>
      </c>
      <c r="N46" s="54">
        <f t="shared" si="0"/>
        <v>433063.95750000002</v>
      </c>
      <c r="O46" s="54">
        <f t="shared" si="0"/>
        <v>433063.95750000002</v>
      </c>
      <c r="P46" s="54">
        <f t="shared" si="0"/>
        <v>433063.95750000002</v>
      </c>
      <c r="Q46" s="54">
        <f t="shared" si="0"/>
        <v>0</v>
      </c>
      <c r="R46" s="54">
        <f t="shared" si="0"/>
        <v>433063.95750000002</v>
      </c>
      <c r="S46" s="54">
        <f t="shared" si="0"/>
        <v>0</v>
      </c>
      <c r="T46" s="54">
        <f t="shared" si="0"/>
        <v>433063.95750000002</v>
      </c>
      <c r="U46" s="54">
        <f t="shared" si="0"/>
        <v>433063.95750000002</v>
      </c>
      <c r="V46" s="54">
        <f t="shared" si="0"/>
        <v>433063.95750000002</v>
      </c>
      <c r="W46" s="54">
        <f t="shared" si="0"/>
        <v>0</v>
      </c>
      <c r="X46" s="54">
        <f t="shared" si="0"/>
        <v>0</v>
      </c>
      <c r="Y46" s="54">
        <f t="shared" si="0"/>
        <v>0</v>
      </c>
      <c r="Z46" s="54">
        <f t="shared" si="0"/>
        <v>433063.95750000002</v>
      </c>
      <c r="AA46" s="54">
        <f t="shared" si="0"/>
        <v>0</v>
      </c>
      <c r="AB46" s="54">
        <f t="shared" si="0"/>
        <v>0</v>
      </c>
    </row>
    <row r="47" spans="1:28" ht="11.25" customHeight="1" x14ac:dyDescent="0.25">
      <c r="K47" s="59" t="s">
        <v>486</v>
      </c>
      <c r="L47" s="54">
        <f>CUSTOS!$D$30</f>
        <v>0</v>
      </c>
      <c r="M47" s="54">
        <f>CUSTOS!$D$31</f>
        <v>10245911.661914382</v>
      </c>
      <c r="N47" s="54">
        <f>CUSTOS!$D$32</f>
        <v>0</v>
      </c>
      <c r="O47" s="54">
        <f>CUSTOS!$D$33</f>
        <v>0</v>
      </c>
      <c r="P47" s="54">
        <f>CUSTOS!$D$34</f>
        <v>-6630000</v>
      </c>
      <c r="Q47" s="54">
        <f>CUSTOS!$D$35</f>
        <v>3615911.6619143821</v>
      </c>
      <c r="R47" s="54">
        <f>CUSTOS!$D$36</f>
        <v>76743026.914793923</v>
      </c>
      <c r="S47" s="54">
        <f>CUSTOS!$D$37</f>
        <v>76743026.914793923</v>
      </c>
      <c r="T47" s="54">
        <f>CUSTOS!$D$38</f>
        <v>0</v>
      </c>
      <c r="U47" s="54">
        <f>CUSTOS!$D$39</f>
        <v>0</v>
      </c>
      <c r="V47" s="54">
        <f>CUSTOS!$D$40</f>
        <v>0</v>
      </c>
      <c r="W47" s="54">
        <f>CUSTOS!$D$41</f>
        <v>0</v>
      </c>
      <c r="X47" s="54">
        <f>CUSTOS!$D$42</f>
        <v>0</v>
      </c>
      <c r="Y47" s="54">
        <f>CUSTOS!$D$43</f>
        <v>0</v>
      </c>
      <c r="Z47" s="54">
        <f>CUSTOS!$D$44</f>
        <v>1972026.3738947795</v>
      </c>
      <c r="AA47" s="54">
        <f>CUSTOS!$D$45</f>
        <v>1972026.3738947795</v>
      </c>
      <c r="AB47" s="54">
        <f>CUSTOS!$D$46</f>
        <v>82330964.950603083</v>
      </c>
    </row>
    <row r="48" spans="1:28" ht="11.25" customHeight="1" x14ac:dyDescent="0.25">
      <c r="K48" s="59" t="s">
        <v>487</v>
      </c>
      <c r="L48" s="54">
        <f>CUSTOS!$E$30</f>
        <v>0</v>
      </c>
      <c r="M48" s="54">
        <f>CUSTOS!$E$31</f>
        <v>6697068.948998278</v>
      </c>
      <c r="N48" s="54">
        <f>CUSTOS!$E$32</f>
        <v>0</v>
      </c>
      <c r="O48" s="54">
        <f>CUSTOS!$E$33</f>
        <v>0</v>
      </c>
      <c r="P48" s="54">
        <f>CUSTOS!$E$34</f>
        <v>0</v>
      </c>
      <c r="Q48" s="54">
        <f>CUSTOS!$E$35</f>
        <v>6697068.948998278</v>
      </c>
      <c r="R48" s="54">
        <f>CUSTOS!$E$36</f>
        <v>-2887707.3096498107</v>
      </c>
      <c r="S48" s="54">
        <f>CUSTOS!$E$37</f>
        <v>-2887707.3096498107</v>
      </c>
      <c r="T48" s="54">
        <f>CUSTOS!$E$38</f>
        <v>0</v>
      </c>
      <c r="U48" s="54">
        <f>CUSTOS!$E$39</f>
        <v>0</v>
      </c>
      <c r="V48" s="54">
        <f>CUSTOS!$E$40</f>
        <v>0</v>
      </c>
      <c r="W48" s="54">
        <f>CUSTOS!$E$41</f>
        <v>0</v>
      </c>
      <c r="X48" s="54">
        <f>CUSTOS!$E$42</f>
        <v>-240664.03197342064</v>
      </c>
      <c r="Y48" s="54">
        <f>CUSTOS!$E$43</f>
        <v>-240664.03197342064</v>
      </c>
      <c r="Z48" s="54">
        <f>CUSTOS!$E$44</f>
        <v>-74203.94013179584</v>
      </c>
      <c r="AA48" s="54">
        <f>CUSTOS!$E$45</f>
        <v>-74203.94013179584</v>
      </c>
      <c r="AB48" s="54">
        <f>CUSTOS!$E$46</f>
        <v>3494493.6672432506</v>
      </c>
    </row>
    <row r="49" spans="11:28" ht="11.25" customHeight="1" x14ac:dyDescent="0.25">
      <c r="K49" s="59" t="s">
        <v>488</v>
      </c>
      <c r="L49" s="54">
        <f>CUSTOS!$F$30</f>
        <v>0</v>
      </c>
      <c r="M49" s="54">
        <f>CUSTOS!$F$31</f>
        <v>0</v>
      </c>
      <c r="N49" s="54">
        <f>CUSTOS!$F$32</f>
        <v>0</v>
      </c>
      <c r="O49" s="54">
        <f>CUSTOS!$F$33</f>
        <v>0</v>
      </c>
      <c r="P49" s="54">
        <f>CUSTOS!$F$34</f>
        <v>0</v>
      </c>
      <c r="Q49" s="54">
        <f>CUSTOS!$F$35</f>
        <v>0</v>
      </c>
      <c r="R49" s="54">
        <f>CUSTOS!$F$36</f>
        <v>0</v>
      </c>
      <c r="S49" s="54">
        <f>CUSTOS!$F$37</f>
        <v>0</v>
      </c>
      <c r="T49" s="54">
        <f>CUSTOS!$F$38</f>
        <v>0</v>
      </c>
      <c r="U49" s="54">
        <f>CUSTOS!$F$39</f>
        <v>0</v>
      </c>
      <c r="V49" s="54">
        <f>CUSTOS!$F$40</f>
        <v>0</v>
      </c>
      <c r="W49" s="54">
        <f>CUSTOS!$F$41</f>
        <v>0</v>
      </c>
      <c r="X49" s="54">
        <f>CUSTOS!$F$42</f>
        <v>0</v>
      </c>
      <c r="Y49" s="54">
        <f>CUSTOS!$F$43</f>
        <v>0</v>
      </c>
      <c r="Z49" s="54">
        <f>CUSTOS!$F$44</f>
        <v>0</v>
      </c>
      <c r="AA49" s="54">
        <f>CUSTOS!$F$45</f>
        <v>0</v>
      </c>
      <c r="AB49" s="54">
        <f>CUSTOS!$F$46</f>
        <v>0</v>
      </c>
    </row>
    <row r="50" spans="11:28" ht="11.25" customHeight="1" x14ac:dyDescent="0.25">
      <c r="K50" s="59" t="s">
        <v>562</v>
      </c>
      <c r="L50" s="54">
        <f>IF(SUMPRODUCT($I$5:$I$44,$L$5:$L$44)&lt;&gt;0,L47/SUMPRODUCT($I$5:$I$44,$L$5:$L$44),0)</f>
        <v>0</v>
      </c>
      <c r="M50" s="54">
        <f>IF(SUMPRODUCT($I$5:$I$44,$M$5:$M$44)&lt;&gt;0,M47/SUMPRODUCT($I$5:$I$44,$M$5:$M$44),0)</f>
        <v>23.65911890027094</v>
      </c>
      <c r="N50" s="54">
        <f>IF(SUMPRODUCT($I$5:$I$44,$N$5:$N$44)&lt;&gt;0,N47/SUMPRODUCT($I$5:$I$44,$N$5:$N$44),0)</f>
        <v>0</v>
      </c>
      <c r="O50" s="54">
        <f>IF(SUMPRODUCT($I$5:$I$44,$O$5:$O$44)&lt;&gt;0,O47/SUMPRODUCT($I$5:$I$44,$O$5:$O$44),0)</f>
        <v>0</v>
      </c>
      <c r="P50" s="54">
        <f>IF(SUMPRODUCT($I$5:$I$44,$P$5:$P$44)&lt;&gt;0,P47/SUMPRODUCT($I$5:$I$44,$P$5:$P$44),0)</f>
        <v>-15.309516955125503</v>
      </c>
      <c r="Q50" s="54"/>
      <c r="R50" s="54">
        <f>IF((CUSTOS!$M$12-CUSTOS!$M$13)&lt;&gt;0,(CUSTOS!$M$12*CUSTOS!$M$14)/(CUSTOS!$M$12-CUSTOS!$M$13),0)</f>
        <v>178.63149898243378</v>
      </c>
      <c r="S50" s="54"/>
      <c r="T50" s="54">
        <f>IF(SUMPRODUCT($I$5:$I$44,$T$5:$T$44)&lt;&gt;0,T47/SUMPRODUCT($I$5:$I$44,$T$5:$T$44),0)</f>
        <v>0</v>
      </c>
      <c r="U50" s="54">
        <f>IF(SUMPRODUCT($I$5:$I$44,$U$5:$U$44)&lt;&gt;0,U47/SUMPRODUCT($I$5:$I$44,$U$5:$U$44),0)</f>
        <v>0</v>
      </c>
      <c r="V50" s="54">
        <f>IF(SUMPRODUCT($I$5:$I$44,$V$5:$V$44)&lt;&gt;0,V47/SUMPRODUCT($I$5:$I$44,$V$5:$V$44),0)</f>
        <v>0</v>
      </c>
      <c r="W50" s="54"/>
      <c r="X50" s="54">
        <f>IF(SUMPRODUCT($I$5:$I$44,$X$5:$X$44)&lt;&gt;0,X47/SUMPRODUCT($I$5:$I$44,$X$5:$X$44),0)</f>
        <v>0</v>
      </c>
      <c r="Y50" s="54"/>
      <c r="Z50" s="54">
        <f>IF(SUMPRODUCT($I$5:$I$44,$Z$5:$Z$44)&lt;&gt;0,Z47/SUMPRODUCT($I$5:$I$44,$Z$5:$Z$44),0)</f>
        <v>4.5536608155500433</v>
      </c>
      <c r="AA50" s="54"/>
      <c r="AB50" s="54"/>
    </row>
    <row r="51" spans="11:28" ht="11.25" customHeight="1" x14ac:dyDescent="0.25">
      <c r="K51" s="59" t="s">
        <v>563</v>
      </c>
      <c r="L51" s="54">
        <f>IF(L46&lt;&gt;0,(L47-L50*0)/(L46-0),0)</f>
        <v>0</v>
      </c>
      <c r="M51" s="54">
        <f>IF(M46&lt;&gt;0,(M47-M50*0)/(M46-0),0)</f>
        <v>23.65911890027094</v>
      </c>
      <c r="N51" s="54">
        <f>IF(N46&lt;&gt;0,(N47-N50*0)/(N46-0),0)</f>
        <v>0</v>
      </c>
      <c r="O51" s="54">
        <f>IF(O46&lt;&gt;0,(O47-O50*0)/(O46-0),0)</f>
        <v>0</v>
      </c>
      <c r="P51" s="54">
        <f>IF(P46&lt;&gt;0,(P47-P50*0)/(P46-0),0)</f>
        <v>-15.309516955125503</v>
      </c>
      <c r="Q51" s="54"/>
      <c r="R51" s="54">
        <f>IF(R46&lt;&gt;0,(R47-R50*0)/(R46-0),0)</f>
        <v>177.20945275108451</v>
      </c>
      <c r="S51" s="54"/>
      <c r="T51" s="54">
        <f>IF(T46&lt;&gt;0,(T47-T50*0)/(T46-0),0)</f>
        <v>0</v>
      </c>
      <c r="U51" s="54">
        <f>IF(U46&lt;&gt;0,(U47-U50*0)/(U46-0),0)</f>
        <v>0</v>
      </c>
      <c r="V51" s="54">
        <f>IF(V46&lt;&gt;0,(V47-V50*0)/(V46-0),0)</f>
        <v>0</v>
      </c>
      <c r="W51" s="54"/>
      <c r="X51" s="54">
        <f>IF(X46&lt;&gt;0,(X47-X50*0)/(X46-0),0)</f>
        <v>0</v>
      </c>
      <c r="Y51" s="54"/>
      <c r="Z51" s="54">
        <f>IF(Z46&lt;&gt;0,(Z47-Z50*0)/(Z46-0),0)</f>
        <v>4.5536608155500433</v>
      </c>
      <c r="AA51" s="54"/>
      <c r="AB51" s="54"/>
    </row>
    <row r="52" spans="11:28" ht="11.25" customHeight="1" x14ac:dyDescent="0.25">
      <c r="K52" s="59" t="s">
        <v>564</v>
      </c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</row>
  </sheetData>
  <mergeCells count="67">
    <mergeCell ref="F7:F8"/>
    <mergeCell ref="A5:A6"/>
    <mergeCell ref="B5:B6"/>
    <mergeCell ref="C5:C6"/>
    <mergeCell ref="D5:D6"/>
    <mergeCell ref="E5:E6"/>
    <mergeCell ref="F5:F6"/>
    <mergeCell ref="A7:A9"/>
    <mergeCell ref="B7:B8"/>
    <mergeCell ref="C7:C8"/>
    <mergeCell ref="D7:D8"/>
    <mergeCell ref="E7:E8"/>
    <mergeCell ref="F10:F12"/>
    <mergeCell ref="B13:B17"/>
    <mergeCell ref="C13:C17"/>
    <mergeCell ref="B18:B22"/>
    <mergeCell ref="C18:C22"/>
    <mergeCell ref="A10:A22"/>
    <mergeCell ref="B10:B12"/>
    <mergeCell ref="C10:C12"/>
    <mergeCell ref="D10:D12"/>
    <mergeCell ref="E10:E12"/>
    <mergeCell ref="E31:E33"/>
    <mergeCell ref="F31:F33"/>
    <mergeCell ref="A23:A37"/>
    <mergeCell ref="B23:B25"/>
    <mergeCell ref="C23:C25"/>
    <mergeCell ref="D23:D25"/>
    <mergeCell ref="E23:E25"/>
    <mergeCell ref="F23:F25"/>
    <mergeCell ref="B27:B29"/>
    <mergeCell ref="C27:C29"/>
    <mergeCell ref="D27:D29"/>
    <mergeCell ref="E27:E29"/>
    <mergeCell ref="F1:F4"/>
    <mergeCell ref="E38:E40"/>
    <mergeCell ref="F38:F40"/>
    <mergeCell ref="A43:A44"/>
    <mergeCell ref="B43:B44"/>
    <mergeCell ref="C43:C44"/>
    <mergeCell ref="B35:B37"/>
    <mergeCell ref="C35:C37"/>
    <mergeCell ref="A38:A42"/>
    <mergeCell ref="B38:B40"/>
    <mergeCell ref="C38:C40"/>
    <mergeCell ref="D38:D40"/>
    <mergeCell ref="F27:F29"/>
    <mergeCell ref="B31:B33"/>
    <mergeCell ref="C31:C33"/>
    <mergeCell ref="D31:D33"/>
    <mergeCell ref="A1:A4"/>
    <mergeCell ref="B1:B4"/>
    <mergeCell ref="C1:C4"/>
    <mergeCell ref="D1:D4"/>
    <mergeCell ref="E1:E4"/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DEA06-5790-45A0-8A5E-0D04E58F1164}">
  <dimension ref="A1:AB52"/>
  <sheetViews>
    <sheetView showGridLines="0" topLeftCell="R27" workbookViewId="0">
      <selection activeCell="AB46" sqref="AB46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.85546875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5" width="9.28515625" style="9" bestFit="1" customWidth="1"/>
    <col min="26" max="26" width="11" style="9" bestFit="1" customWidth="1"/>
    <col min="27" max="27" width="10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19" t="s">
        <v>72</v>
      </c>
      <c r="B1" s="119" t="s">
        <v>73</v>
      </c>
      <c r="C1" s="119" t="s">
        <v>74</v>
      </c>
      <c r="D1" s="119" t="s">
        <v>75</v>
      </c>
      <c r="E1" s="119" t="s">
        <v>76</v>
      </c>
      <c r="F1" s="119" t="s">
        <v>15</v>
      </c>
      <c r="G1" s="119" t="s">
        <v>78</v>
      </c>
      <c r="H1" s="119" t="s">
        <v>79</v>
      </c>
      <c r="I1" s="119" t="s">
        <v>545</v>
      </c>
      <c r="J1" s="102"/>
      <c r="L1" s="117" t="s">
        <v>565</v>
      </c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</row>
    <row r="2" spans="1:28" ht="11.2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  <c r="J2" s="102"/>
      <c r="L2" s="117" t="s">
        <v>472</v>
      </c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</row>
    <row r="3" spans="1:28" ht="11.2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  <c r="J3" s="102"/>
      <c r="L3" s="117" t="s">
        <v>445</v>
      </c>
      <c r="M3" s="117"/>
      <c r="N3" s="117"/>
      <c r="O3" s="117"/>
      <c r="P3" s="117"/>
      <c r="Q3" s="117"/>
      <c r="R3" s="117" t="s">
        <v>476</v>
      </c>
      <c r="S3" s="117"/>
      <c r="T3" s="117" t="s">
        <v>454</v>
      </c>
      <c r="U3" s="117"/>
      <c r="V3" s="117"/>
      <c r="W3" s="117"/>
      <c r="X3" s="117" t="s">
        <v>464</v>
      </c>
      <c r="Y3" s="117"/>
      <c r="Z3" s="117" t="s">
        <v>467</v>
      </c>
      <c r="AA3" s="117"/>
      <c r="AB3" s="117" t="s">
        <v>453</v>
      </c>
    </row>
    <row r="4" spans="1:28" ht="11.25" customHeight="1" x14ac:dyDescent="0.25">
      <c r="A4" s="119"/>
      <c r="B4" s="119"/>
      <c r="C4" s="119"/>
      <c r="D4" s="119"/>
      <c r="E4" s="119"/>
      <c r="F4" s="119"/>
      <c r="G4" s="119"/>
      <c r="H4" s="119"/>
      <c r="I4" s="119"/>
      <c r="J4" s="102"/>
      <c r="L4" s="58" t="s">
        <v>447</v>
      </c>
      <c r="M4" s="58" t="s">
        <v>473</v>
      </c>
      <c r="N4" s="58" t="s">
        <v>474</v>
      </c>
      <c r="O4" s="58" t="s">
        <v>533</v>
      </c>
      <c r="P4" s="58" t="s">
        <v>475</v>
      </c>
      <c r="Q4" s="58" t="s">
        <v>453</v>
      </c>
      <c r="R4" s="58" t="s">
        <v>477</v>
      </c>
      <c r="S4" s="58" t="s">
        <v>453</v>
      </c>
      <c r="T4" s="58" t="s">
        <v>478</v>
      </c>
      <c r="U4" s="58" t="s">
        <v>479</v>
      </c>
      <c r="V4" s="58" t="s">
        <v>480</v>
      </c>
      <c r="W4" s="58" t="s">
        <v>453</v>
      </c>
      <c r="X4" s="58" t="s">
        <v>465</v>
      </c>
      <c r="Y4" s="58" t="s">
        <v>453</v>
      </c>
      <c r="Z4" s="58" t="s">
        <v>481</v>
      </c>
      <c r="AA4" s="58" t="s">
        <v>453</v>
      </c>
      <c r="AB4" s="118"/>
    </row>
    <row r="5" spans="1:28" ht="11.25" customHeight="1" x14ac:dyDescent="0.25">
      <c r="A5" s="120" t="s">
        <v>53</v>
      </c>
      <c r="B5" s="120" t="s">
        <v>81</v>
      </c>
      <c r="C5" s="120" t="s">
        <v>25</v>
      </c>
      <c r="D5" s="120" t="s">
        <v>25</v>
      </c>
      <c r="E5" s="120" t="s">
        <v>25</v>
      </c>
      <c r="F5" s="120" t="s">
        <v>25</v>
      </c>
      <c r="G5" s="57" t="s">
        <v>83</v>
      </c>
      <c r="H5" s="57" t="s">
        <v>82</v>
      </c>
      <c r="I5" s="57">
        <f>'MERCADO TE'!$U$2</f>
        <v>0</v>
      </c>
      <c r="J5" s="15"/>
      <c r="L5" s="54">
        <f>'TR TE'!$L$5*'TR TE'!$L$51</f>
        <v>0</v>
      </c>
      <c r="M5" s="54">
        <f>'TR TE'!$M$5*'TR TE'!$M$51</f>
        <v>23.65911890027094</v>
      </c>
      <c r="N5" s="54">
        <f>'TR TE'!$N$5*'TR TE'!$N$51</f>
        <v>0</v>
      </c>
      <c r="O5" s="54">
        <f>'TR TE'!$O$5*'TR TE'!$O$51</f>
        <v>0</v>
      </c>
      <c r="P5" s="54">
        <f>'TR TE'!$P$5*'TR TE'!$P$51</f>
        <v>-15.309516955125503</v>
      </c>
      <c r="Q5" s="54">
        <f>SUM($L$5:$P$5)</f>
        <v>8.3496019451454373</v>
      </c>
      <c r="R5" s="54">
        <f>'TR TE'!$R$5*'TR TE'!$R$51</f>
        <v>177.20945275108451</v>
      </c>
      <c r="S5" s="54">
        <f>SUM($R$5:$R$5)</f>
        <v>177.20945275108451</v>
      </c>
      <c r="T5" s="54">
        <f>'TR TE'!$T$5*'TR TE'!$T$51</f>
        <v>0</v>
      </c>
      <c r="U5" s="54">
        <f>'TR TE'!$U$5*'TR TE'!$U$51</f>
        <v>0</v>
      </c>
      <c r="V5" s="54">
        <f>'TR TE'!$V$5*'TR TE'!$V$51</f>
        <v>0</v>
      </c>
      <c r="W5" s="54">
        <f>SUM($T$5:$V$5)</f>
        <v>0</v>
      </c>
      <c r="X5" s="54"/>
      <c r="Y5" s="54">
        <f>SUM($X$5:$X$5)</f>
        <v>0</v>
      </c>
      <c r="Z5" s="54">
        <f>'TR TE'!$Z$5*'TR TE'!$Z$51</f>
        <v>4.5536608155500433</v>
      </c>
      <c r="AA5" s="54">
        <f>SUM($Z$5:$Z$5)</f>
        <v>4.5536608155500433</v>
      </c>
      <c r="AB5" s="54">
        <f>SUMIF($L$4:$AA$4,"SUBTOTAL",$L$5:$AA$5)</f>
        <v>190.11271551178001</v>
      </c>
    </row>
    <row r="6" spans="1:28" ht="11.25" customHeight="1" x14ac:dyDescent="0.25">
      <c r="A6" s="120"/>
      <c r="B6" s="120"/>
      <c r="C6" s="120"/>
      <c r="D6" s="120"/>
      <c r="E6" s="120"/>
      <c r="F6" s="120"/>
      <c r="G6" s="57" t="s">
        <v>84</v>
      </c>
      <c r="H6" s="57" t="s">
        <v>82</v>
      </c>
      <c r="I6" s="57">
        <f>'MERCADO TE'!$U$3</f>
        <v>0</v>
      </c>
      <c r="J6" s="15"/>
      <c r="L6" s="54">
        <f>'TR TE'!$L$6*'TR TE'!$L$51</f>
        <v>0</v>
      </c>
      <c r="M6" s="54">
        <f>'TR TE'!$M$6*'TR TE'!$M$51</f>
        <v>23.65911890027094</v>
      </c>
      <c r="N6" s="54">
        <f>'TR TE'!$N$6*'TR TE'!$N$51</f>
        <v>0</v>
      </c>
      <c r="O6" s="54">
        <f>'TR TE'!$O$6*'TR TE'!$O$51</f>
        <v>0</v>
      </c>
      <c r="P6" s="54">
        <f>'TR TE'!$P$6*'TR TE'!$P$51</f>
        <v>-15.309516955125503</v>
      </c>
      <c r="Q6" s="54">
        <f>SUM($L$6:$P$6)</f>
        <v>8.3496019451454373</v>
      </c>
      <c r="R6" s="54">
        <f>'TR TE'!$R$6*'TR TE'!$R$51</f>
        <v>177.20945275108451</v>
      </c>
      <c r="S6" s="54">
        <f>SUM($R$6:$R$6)</f>
        <v>177.20945275108451</v>
      </c>
      <c r="T6" s="54">
        <f>'TR TE'!$T$6*'TR TE'!$T$51</f>
        <v>0</v>
      </c>
      <c r="U6" s="54">
        <f>'TR TE'!$U$6*'TR TE'!$U$51</f>
        <v>0</v>
      </c>
      <c r="V6" s="54">
        <f>'TR TE'!$V$6*'TR TE'!$V$51</f>
        <v>0</v>
      </c>
      <c r="W6" s="54">
        <f>SUM($T$6:$V$6)</f>
        <v>0</v>
      </c>
      <c r="X6" s="54"/>
      <c r="Y6" s="54">
        <f>SUM($X$6:$X$6)</f>
        <v>0</v>
      </c>
      <c r="Z6" s="54">
        <f>'TR TE'!$Z$6*'TR TE'!$Z$51</f>
        <v>4.5536608155500433</v>
      </c>
      <c r="AA6" s="54">
        <f>SUM($Z$6:$Z$6)</f>
        <v>4.5536608155500433</v>
      </c>
      <c r="AB6" s="54">
        <f>SUMIF($L$4:$AA$4,"SUBTOTAL",$L$6:$AA$6)</f>
        <v>190.11271551178001</v>
      </c>
    </row>
    <row r="7" spans="1:28" ht="11.25" customHeight="1" x14ac:dyDescent="0.25">
      <c r="A7" s="120" t="s">
        <v>35</v>
      </c>
      <c r="B7" s="120" t="s">
        <v>81</v>
      </c>
      <c r="C7" s="120" t="s">
        <v>25</v>
      </c>
      <c r="D7" s="120" t="s">
        <v>25</v>
      </c>
      <c r="E7" s="120" t="s">
        <v>25</v>
      </c>
      <c r="F7" s="120" t="s">
        <v>25</v>
      </c>
      <c r="G7" s="57" t="s">
        <v>83</v>
      </c>
      <c r="H7" s="57" t="s">
        <v>82</v>
      </c>
      <c r="I7" s="57">
        <f>'MERCADO TE'!$U$4</f>
        <v>10174.852999999999</v>
      </c>
      <c r="J7" s="15"/>
      <c r="L7" s="54">
        <f>'TR TE'!$L$7*'TR TE'!$L$51</f>
        <v>0</v>
      </c>
      <c r="M7" s="54">
        <f>'TR TE'!$M$7*'TR TE'!$M$51</f>
        <v>23.65911890027094</v>
      </c>
      <c r="N7" s="54">
        <f>'TR TE'!$N$7*'TR TE'!$N$51</f>
        <v>0</v>
      </c>
      <c r="O7" s="54">
        <f>'TR TE'!$O$7*'TR TE'!$O$51</f>
        <v>0</v>
      </c>
      <c r="P7" s="54">
        <f>'TR TE'!$P$7*'TR TE'!$P$51</f>
        <v>-15.309516955125503</v>
      </c>
      <c r="Q7" s="54">
        <f>SUM($L$7:$P$7)</f>
        <v>8.3496019451454373</v>
      </c>
      <c r="R7" s="54">
        <f>'TR TE'!$R$7*'TR TE'!$R$51</f>
        <v>177.20945275108451</v>
      </c>
      <c r="S7" s="54">
        <f>SUM($R$7:$R$7)</f>
        <v>177.20945275108451</v>
      </c>
      <c r="T7" s="54">
        <f>'TR TE'!$T$7*'TR TE'!$T$51</f>
        <v>0</v>
      </c>
      <c r="U7" s="54">
        <f>'TR TE'!$U$7*'TR TE'!$U$51</f>
        <v>0</v>
      </c>
      <c r="V7" s="54">
        <f>'TR TE'!$V$7*'TR TE'!$V$51</f>
        <v>0</v>
      </c>
      <c r="W7" s="54">
        <f>SUM($T$7:$V$7)</f>
        <v>0</v>
      </c>
      <c r="X7" s="54"/>
      <c r="Y7" s="54">
        <f>SUM($X$7:$X$7)</f>
        <v>0</v>
      </c>
      <c r="Z7" s="54">
        <f>'TR TE'!$Z$7*'TR TE'!$Z$51</f>
        <v>4.5536608155500433</v>
      </c>
      <c r="AA7" s="54">
        <f>SUM($Z$7:$Z$7)</f>
        <v>4.5536608155500433</v>
      </c>
      <c r="AB7" s="54">
        <f>SUMIF($L$4:$AA$4,"SUBTOTAL",$L$7:$AA$7)</f>
        <v>190.11271551178001</v>
      </c>
    </row>
    <row r="8" spans="1:28" ht="11.25" customHeight="1" x14ac:dyDescent="0.25">
      <c r="A8" s="120"/>
      <c r="B8" s="120"/>
      <c r="C8" s="120"/>
      <c r="D8" s="120"/>
      <c r="E8" s="120"/>
      <c r="F8" s="120"/>
      <c r="G8" s="57" t="s">
        <v>84</v>
      </c>
      <c r="H8" s="57" t="s">
        <v>82</v>
      </c>
      <c r="I8" s="57">
        <f>'MERCADO TE'!$U$5</f>
        <v>179033.51300000001</v>
      </c>
      <c r="J8" s="15"/>
      <c r="L8" s="54">
        <f>'TR TE'!$L$8*'TR TE'!$L$51</f>
        <v>0</v>
      </c>
      <c r="M8" s="54">
        <f>'TR TE'!$M$8*'TR TE'!$M$51</f>
        <v>23.65911890027094</v>
      </c>
      <c r="N8" s="54">
        <f>'TR TE'!$N$8*'TR TE'!$N$51</f>
        <v>0</v>
      </c>
      <c r="O8" s="54">
        <f>'TR TE'!$O$8*'TR TE'!$O$51</f>
        <v>0</v>
      </c>
      <c r="P8" s="54">
        <f>'TR TE'!$P$8*'TR TE'!$P$51</f>
        <v>-15.309516955125503</v>
      </c>
      <c r="Q8" s="54">
        <f>SUM($L$8:$P$8)</f>
        <v>8.3496019451454373</v>
      </c>
      <c r="R8" s="54">
        <f>'TR TE'!$R$8*'TR TE'!$R$51</f>
        <v>177.20945275108451</v>
      </c>
      <c r="S8" s="54">
        <f>SUM($R$8:$R$8)</f>
        <v>177.20945275108451</v>
      </c>
      <c r="T8" s="54">
        <f>'TR TE'!$T$8*'TR TE'!$T$51</f>
        <v>0</v>
      </c>
      <c r="U8" s="54">
        <f>'TR TE'!$U$8*'TR TE'!$U$51</f>
        <v>0</v>
      </c>
      <c r="V8" s="54">
        <f>'TR TE'!$V$8*'TR TE'!$V$51</f>
        <v>0</v>
      </c>
      <c r="W8" s="54">
        <f>SUM($T$8:$V$8)</f>
        <v>0</v>
      </c>
      <c r="X8" s="54"/>
      <c r="Y8" s="54">
        <f>SUM($X$8:$X$8)</f>
        <v>0</v>
      </c>
      <c r="Z8" s="54">
        <f>'TR TE'!$Z$8*'TR TE'!$Z$51</f>
        <v>4.5536608155500433</v>
      </c>
      <c r="AA8" s="54">
        <f>SUM($Z$8:$Z$8)</f>
        <v>4.5536608155500433</v>
      </c>
      <c r="AB8" s="54">
        <f>SUMIF($L$4:$AA$4,"SUBTOTAL",$L$8:$AA$8)</f>
        <v>190.11271551178001</v>
      </c>
    </row>
    <row r="9" spans="1:28" ht="11.25" customHeight="1" x14ac:dyDescent="0.25">
      <c r="A9" s="120"/>
      <c r="B9" s="56" t="s">
        <v>90</v>
      </c>
      <c r="C9" s="56" t="s">
        <v>25</v>
      </c>
      <c r="D9" s="56" t="s">
        <v>25</v>
      </c>
      <c r="E9" s="56" t="s">
        <v>25</v>
      </c>
      <c r="F9" s="56" t="s">
        <v>25</v>
      </c>
      <c r="G9" s="57" t="s">
        <v>88</v>
      </c>
      <c r="H9" s="57" t="s">
        <v>82</v>
      </c>
      <c r="I9" s="57">
        <f>'MERCADO TE'!$U$6</f>
        <v>0</v>
      </c>
      <c r="J9" s="15"/>
      <c r="L9" s="54">
        <f>'TR TE'!$L$9*'TR TE'!$L$51</f>
        <v>0</v>
      </c>
      <c r="M9" s="54">
        <f>'TR TE'!$M$9*'TR TE'!$M$51</f>
        <v>23.65911890027094</v>
      </c>
      <c r="N9" s="54">
        <f>'TR TE'!$N$9*'TR TE'!$N$51</f>
        <v>0</v>
      </c>
      <c r="O9" s="54">
        <f>'TR TE'!$O$9*'TR TE'!$O$51</f>
        <v>0</v>
      </c>
      <c r="P9" s="54">
        <f>'TR TE'!$P$9*'TR TE'!$P$51</f>
        <v>-15.309516955125503</v>
      </c>
      <c r="Q9" s="54">
        <f>SUM($L$9:$P$9)</f>
        <v>8.3496019451454373</v>
      </c>
      <c r="R9" s="54">
        <f>'TR TE'!$R$9*'TR TE'!$R$51</f>
        <v>177.20945275108451</v>
      </c>
      <c r="S9" s="54">
        <f>SUM($R$9:$R$9)</f>
        <v>177.20945275108451</v>
      </c>
      <c r="T9" s="54">
        <f>'TR TE'!$T$9*'TR TE'!$T$51</f>
        <v>0</v>
      </c>
      <c r="U9" s="54">
        <f>'TR TE'!$U$9*'TR TE'!$U$51</f>
        <v>0</v>
      </c>
      <c r="V9" s="54">
        <f>'TR TE'!$V$9*'TR TE'!$V$51</f>
        <v>0</v>
      </c>
      <c r="W9" s="54">
        <f>SUM($T$9:$V$9)</f>
        <v>0</v>
      </c>
      <c r="X9" s="54"/>
      <c r="Y9" s="54">
        <f>SUM($X$9:$X$9)</f>
        <v>0</v>
      </c>
      <c r="Z9" s="54">
        <f>'TR TE'!$Z$9*'TR TE'!$Z$51</f>
        <v>4.5536608155500433</v>
      </c>
      <c r="AA9" s="54">
        <f>SUM($Z$9:$Z$9)</f>
        <v>4.5536608155500433</v>
      </c>
      <c r="AB9" s="54">
        <f>SUMIF($L$4:$AA$4,"SUBTOTAL",$L$9:$AA$9)</f>
        <v>190.11271551178001</v>
      </c>
    </row>
    <row r="10" spans="1:28" ht="11.25" customHeight="1" x14ac:dyDescent="0.25">
      <c r="A10" s="120" t="s">
        <v>22</v>
      </c>
      <c r="B10" s="120" t="s">
        <v>81</v>
      </c>
      <c r="C10" s="120" t="s">
        <v>24</v>
      </c>
      <c r="D10" s="120" t="s">
        <v>24</v>
      </c>
      <c r="E10" s="120" t="s">
        <v>25</v>
      </c>
      <c r="F10" s="120" t="s">
        <v>25</v>
      </c>
      <c r="G10" s="57" t="s">
        <v>83</v>
      </c>
      <c r="H10" s="57" t="s">
        <v>82</v>
      </c>
      <c r="I10" s="57">
        <f>'MERCADO TE'!$U$7</f>
        <v>0</v>
      </c>
      <c r="J10" s="15"/>
      <c r="L10" s="54">
        <f>'TR TE'!$L$10*'TR TE'!$L$51</f>
        <v>0</v>
      </c>
      <c r="M10" s="54">
        <f>'TR TE'!$M$10*'TR TE'!$M$51</f>
        <v>23.65911890027094</v>
      </c>
      <c r="N10" s="54">
        <f>'TR TE'!$N$10*'TR TE'!$N$51</f>
        <v>0</v>
      </c>
      <c r="O10" s="54">
        <f>'TR TE'!$O$10*'TR TE'!$O$51</f>
        <v>0</v>
      </c>
      <c r="P10" s="54">
        <f>'TR TE'!$P$10*'TR TE'!$P$51</f>
        <v>-15.309516955125503</v>
      </c>
      <c r="Q10" s="54">
        <f>SUM($L$10:$P$10)</f>
        <v>8.3496019451454373</v>
      </c>
      <c r="R10" s="54">
        <f>'TR TE'!$R$10*'TR TE'!$R$51</f>
        <v>177.20945275108451</v>
      </c>
      <c r="S10" s="54">
        <f>SUM($R$10:$R$10)</f>
        <v>177.20945275108451</v>
      </c>
      <c r="T10" s="54">
        <f>'TR TE'!$T$10*'TR TE'!$T$51</f>
        <v>0</v>
      </c>
      <c r="U10" s="54">
        <f>'TR TE'!$U$10*'TR TE'!$U$51</f>
        <v>0</v>
      </c>
      <c r="V10" s="54">
        <f>'TR TE'!$V$10*'TR TE'!$V$51</f>
        <v>0</v>
      </c>
      <c r="W10" s="54">
        <f>SUM($T$10:$V$10)</f>
        <v>0</v>
      </c>
      <c r="X10" s="54"/>
      <c r="Y10" s="54">
        <f>SUM($X$10:$X$10)</f>
        <v>0</v>
      </c>
      <c r="Z10" s="54">
        <f>'TR TE'!$Z$10*'TR TE'!$Z$51</f>
        <v>4.5536608155500433</v>
      </c>
      <c r="AA10" s="54">
        <f>SUM($Z$10:$Z$10)</f>
        <v>4.5536608155500433</v>
      </c>
      <c r="AB10" s="54">
        <f>SUMIF($L$4:$AA$4,"SUBTOTAL",$L$10:$AA$10)</f>
        <v>190.11271551178001</v>
      </c>
    </row>
    <row r="11" spans="1:28" ht="11.25" customHeight="1" x14ac:dyDescent="0.25">
      <c r="A11" s="120"/>
      <c r="B11" s="120"/>
      <c r="C11" s="120"/>
      <c r="D11" s="120"/>
      <c r="E11" s="120"/>
      <c r="F11" s="120"/>
      <c r="G11" s="57" t="s">
        <v>94</v>
      </c>
      <c r="H11" s="57" t="s">
        <v>82</v>
      </c>
      <c r="I11" s="57">
        <f>'MERCADO TE'!$U$8</f>
        <v>0</v>
      </c>
      <c r="J11" s="15"/>
      <c r="L11" s="54">
        <f>'TR TE'!$L$11*'TR TE'!$L$51</f>
        <v>0</v>
      </c>
      <c r="M11" s="54">
        <f>'TR TE'!$M$11*'TR TE'!$M$51</f>
        <v>23.65911890027094</v>
      </c>
      <c r="N11" s="54">
        <f>'TR TE'!$N$11*'TR TE'!$N$51</f>
        <v>0</v>
      </c>
      <c r="O11" s="54">
        <f>'TR TE'!$O$11*'TR TE'!$O$51</f>
        <v>0</v>
      </c>
      <c r="P11" s="54">
        <f>'TR TE'!$P$11*'TR TE'!$P$51</f>
        <v>-15.309516955125503</v>
      </c>
      <c r="Q11" s="54">
        <f>SUM($L$11:$P$11)</f>
        <v>8.3496019451454373</v>
      </c>
      <c r="R11" s="54">
        <f>'TR TE'!$R$11*'TR TE'!$R$51</f>
        <v>177.20945275108451</v>
      </c>
      <c r="S11" s="54">
        <f>SUM($R$11:$R$11)</f>
        <v>177.20945275108451</v>
      </c>
      <c r="T11" s="54">
        <f>'TR TE'!$T$11*'TR TE'!$T$51</f>
        <v>0</v>
      </c>
      <c r="U11" s="54">
        <f>'TR TE'!$U$11*'TR TE'!$U$51</f>
        <v>0</v>
      </c>
      <c r="V11" s="54">
        <f>'TR TE'!$V$11*'TR TE'!$V$51</f>
        <v>0</v>
      </c>
      <c r="W11" s="54">
        <f>SUM($T$11:$V$11)</f>
        <v>0</v>
      </c>
      <c r="X11" s="54"/>
      <c r="Y11" s="54">
        <f>SUM($X$11:$X$11)</f>
        <v>0</v>
      </c>
      <c r="Z11" s="54">
        <f>'TR TE'!$Z$11*'TR TE'!$Z$51</f>
        <v>4.5536608155500433</v>
      </c>
      <c r="AA11" s="54">
        <f>SUM($Z$11:$Z$11)</f>
        <v>4.5536608155500433</v>
      </c>
      <c r="AB11" s="54">
        <f>SUMIF($L$4:$AA$4,"SUBTOTAL",$L$11:$AA$11)</f>
        <v>190.11271551178001</v>
      </c>
    </row>
    <row r="12" spans="1:28" ht="11.25" customHeight="1" x14ac:dyDescent="0.25">
      <c r="A12" s="120"/>
      <c r="B12" s="120"/>
      <c r="C12" s="120"/>
      <c r="D12" s="120"/>
      <c r="E12" s="120"/>
      <c r="F12" s="120"/>
      <c r="G12" s="57" t="s">
        <v>84</v>
      </c>
      <c r="H12" s="57" t="s">
        <v>82</v>
      </c>
      <c r="I12" s="57">
        <f>'MERCADO TE'!$U$9</f>
        <v>0</v>
      </c>
      <c r="J12" s="15"/>
      <c r="L12" s="54">
        <f>'TR TE'!$L$12*'TR TE'!$L$51</f>
        <v>0</v>
      </c>
      <c r="M12" s="54">
        <f>'TR TE'!$M$12*'TR TE'!$M$51</f>
        <v>23.65911890027094</v>
      </c>
      <c r="N12" s="54">
        <f>'TR TE'!$N$12*'TR TE'!$N$51</f>
        <v>0</v>
      </c>
      <c r="O12" s="54">
        <f>'TR TE'!$O$12*'TR TE'!$O$51</f>
        <v>0</v>
      </c>
      <c r="P12" s="54">
        <f>'TR TE'!$P$12*'TR TE'!$P$51</f>
        <v>-15.309516955125503</v>
      </c>
      <c r="Q12" s="54">
        <f>SUM($L$12:$P$12)</f>
        <v>8.3496019451454373</v>
      </c>
      <c r="R12" s="54">
        <f>'TR TE'!$R$12*'TR TE'!$R$51</f>
        <v>177.20945275108451</v>
      </c>
      <c r="S12" s="54">
        <f>SUM($R$12:$R$12)</f>
        <v>177.20945275108451</v>
      </c>
      <c r="T12" s="54">
        <f>'TR TE'!$T$12*'TR TE'!$T$51</f>
        <v>0</v>
      </c>
      <c r="U12" s="54">
        <f>'TR TE'!$U$12*'TR TE'!$U$51</f>
        <v>0</v>
      </c>
      <c r="V12" s="54">
        <f>'TR TE'!$V$12*'TR TE'!$V$51</f>
        <v>0</v>
      </c>
      <c r="W12" s="54">
        <f>SUM($T$12:$V$12)</f>
        <v>0</v>
      </c>
      <c r="X12" s="54"/>
      <c r="Y12" s="54">
        <f>SUM($X$12:$X$12)</f>
        <v>0</v>
      </c>
      <c r="Z12" s="54">
        <f>'TR TE'!$Z$12*'TR TE'!$Z$51</f>
        <v>4.5536608155500433</v>
      </c>
      <c r="AA12" s="54">
        <f>SUM($Z$12:$Z$12)</f>
        <v>4.5536608155500433</v>
      </c>
      <c r="AB12" s="54">
        <f>SUMIF($L$4:$AA$4,"SUBTOTAL",$L$12:$AA$12)</f>
        <v>190.11271551178001</v>
      </c>
    </row>
    <row r="13" spans="1:28" ht="11.25" customHeight="1" x14ac:dyDescent="0.25">
      <c r="A13" s="120"/>
      <c r="B13" s="120" t="s">
        <v>90</v>
      </c>
      <c r="C13" s="120" t="s">
        <v>24</v>
      </c>
      <c r="D13" s="56" t="s">
        <v>24</v>
      </c>
      <c r="E13" s="56" t="s">
        <v>25</v>
      </c>
      <c r="F13" s="56" t="s">
        <v>25</v>
      </c>
      <c r="G13" s="57" t="s">
        <v>88</v>
      </c>
      <c r="H13" s="57" t="s">
        <v>82</v>
      </c>
      <c r="I13" s="57">
        <f>'MERCADO TE'!$U$10</f>
        <v>24573.046999999999</v>
      </c>
      <c r="J13" s="15"/>
      <c r="L13" s="54">
        <f>'TR TE'!$L$13*'TR TE'!$L$51</f>
        <v>0</v>
      </c>
      <c r="M13" s="54">
        <f>'TR TE'!$M$13*'TR TE'!$M$51</f>
        <v>23.65911890027094</v>
      </c>
      <c r="N13" s="54">
        <f>'TR TE'!$N$13*'TR TE'!$N$51</f>
        <v>0</v>
      </c>
      <c r="O13" s="54">
        <f>'TR TE'!$O$13*'TR TE'!$O$51</f>
        <v>0</v>
      </c>
      <c r="P13" s="54">
        <f>'TR TE'!$P$13*'TR TE'!$P$51</f>
        <v>-15.309516955125503</v>
      </c>
      <c r="Q13" s="54">
        <f>SUM($L$13:$P$13)</f>
        <v>8.3496019451454373</v>
      </c>
      <c r="R13" s="54">
        <f>'TR TE'!$R$13*'TR TE'!$R$51</f>
        <v>177.20945275108451</v>
      </c>
      <c r="S13" s="54">
        <f>SUM($R$13:$R$13)</f>
        <v>177.20945275108451</v>
      </c>
      <c r="T13" s="54">
        <f>'TR TE'!$T$13*'TR TE'!$T$51</f>
        <v>0</v>
      </c>
      <c r="U13" s="54">
        <f>'TR TE'!$U$13*'TR TE'!$U$51</f>
        <v>0</v>
      </c>
      <c r="V13" s="54">
        <f>'TR TE'!$V$13*'TR TE'!$V$51</f>
        <v>0</v>
      </c>
      <c r="W13" s="54">
        <f>SUM($T$13:$V$13)</f>
        <v>0</v>
      </c>
      <c r="X13" s="54"/>
      <c r="Y13" s="54">
        <f>SUM($X$13:$X$13)</f>
        <v>0</v>
      </c>
      <c r="Z13" s="54">
        <f>'TR TE'!$Z$13*'TR TE'!$Z$51</f>
        <v>4.5536608155500433</v>
      </c>
      <c r="AA13" s="54">
        <f>SUM($Z$13:$Z$13)</f>
        <v>4.5536608155500433</v>
      </c>
      <c r="AB13" s="54">
        <f>SUMIF($L$4:$AA$4,"SUBTOTAL",$L$13:$AA$13)</f>
        <v>190.11271551178001</v>
      </c>
    </row>
    <row r="14" spans="1:28" ht="11.25" customHeight="1" x14ac:dyDescent="0.25">
      <c r="A14" s="120"/>
      <c r="B14" s="120"/>
      <c r="C14" s="120"/>
      <c r="D14" s="56" t="s">
        <v>29</v>
      </c>
      <c r="E14" s="56" t="s">
        <v>25</v>
      </c>
      <c r="F14" s="56" t="s">
        <v>25</v>
      </c>
      <c r="G14" s="57" t="s">
        <v>88</v>
      </c>
      <c r="H14" s="57" t="s">
        <v>82</v>
      </c>
      <c r="I14" s="57">
        <f>'MERCADO TE'!$U$11</f>
        <v>175.73700000000002</v>
      </c>
      <c r="J14" s="15"/>
      <c r="L14" s="54">
        <f>'TR TE'!$L$14*'TR TE'!$L$51</f>
        <v>0</v>
      </c>
      <c r="M14" s="54">
        <f>'TR TE'!$M$14*'TR TE'!$M$51</f>
        <v>23.65911890027094</v>
      </c>
      <c r="N14" s="54">
        <f>'TR TE'!$N$14*'TR TE'!$N$51</f>
        <v>0</v>
      </c>
      <c r="O14" s="54">
        <f>'TR TE'!$O$14*'TR TE'!$O$51</f>
        <v>0</v>
      </c>
      <c r="P14" s="54">
        <f>'TR TE'!$P$14*'TR TE'!$P$51</f>
        <v>-15.309516955125503</v>
      </c>
      <c r="Q14" s="54">
        <f>SUM($L$14:$P$14)</f>
        <v>8.3496019451454373</v>
      </c>
      <c r="R14" s="54">
        <f>'TR TE'!$R$14*'TR TE'!$R$51</f>
        <v>177.20945275108451</v>
      </c>
      <c r="S14" s="54">
        <f>SUM($R$14:$R$14)</f>
        <v>177.20945275108451</v>
      </c>
      <c r="T14" s="54">
        <f>'TR TE'!$T$14*'TR TE'!$T$51</f>
        <v>0</v>
      </c>
      <c r="U14" s="54">
        <f>'TR TE'!$U$14*'TR TE'!$U$51</f>
        <v>0</v>
      </c>
      <c r="V14" s="54">
        <f>'TR TE'!$V$14*'TR TE'!$V$51</f>
        <v>0</v>
      </c>
      <c r="W14" s="54">
        <f>SUM($T$14:$V$14)</f>
        <v>0</v>
      </c>
      <c r="X14" s="54"/>
      <c r="Y14" s="54">
        <f>SUM($X$14:$X$14)</f>
        <v>0</v>
      </c>
      <c r="Z14" s="54">
        <f>'TR TE'!$Z$14*'TR TE'!$Z$51</f>
        <v>4.5536608155500433</v>
      </c>
      <c r="AA14" s="54">
        <f>SUM($Z$14:$Z$14)</f>
        <v>4.5536608155500433</v>
      </c>
      <c r="AB14" s="54">
        <f>SUMIF($L$4:$AA$4,"SUBTOTAL",$L$14:$AA$14)</f>
        <v>190.11271551178001</v>
      </c>
    </row>
    <row r="15" spans="1:28" ht="11.25" customHeight="1" x14ac:dyDescent="0.25">
      <c r="A15" s="120"/>
      <c r="B15" s="120"/>
      <c r="C15" s="120"/>
      <c r="D15" s="56" t="s">
        <v>30</v>
      </c>
      <c r="E15" s="56" t="s">
        <v>25</v>
      </c>
      <c r="F15" s="56" t="s">
        <v>25</v>
      </c>
      <c r="G15" s="57" t="s">
        <v>88</v>
      </c>
      <c r="H15" s="57" t="s">
        <v>82</v>
      </c>
      <c r="I15" s="57">
        <f>'MERCADO TE'!$U$12</f>
        <v>60.123000000000005</v>
      </c>
      <c r="J15" s="15"/>
      <c r="L15" s="54">
        <f>'TR TE'!$L$15*'TR TE'!$L$51</f>
        <v>0</v>
      </c>
      <c r="M15" s="54">
        <f>'TR TE'!$M$15*'TR TE'!$M$51</f>
        <v>23.65911890027094</v>
      </c>
      <c r="N15" s="54">
        <f>'TR TE'!$N$15*'TR TE'!$N$51</f>
        <v>0</v>
      </c>
      <c r="O15" s="54">
        <f>'TR TE'!$O$15*'TR TE'!$O$51</f>
        <v>0</v>
      </c>
      <c r="P15" s="54">
        <f>'TR TE'!$P$15*'TR TE'!$P$51</f>
        <v>-15.309516955125503</v>
      </c>
      <c r="Q15" s="54">
        <f>SUM($L$15:$P$15)</f>
        <v>8.3496019451454373</v>
      </c>
      <c r="R15" s="54">
        <f>'TR TE'!$R$15*'TR TE'!$R$51</f>
        <v>177.20945275108451</v>
      </c>
      <c r="S15" s="54">
        <f>SUM($R$15:$R$15)</f>
        <v>177.20945275108451</v>
      </c>
      <c r="T15" s="54">
        <f>'TR TE'!$T$15*'TR TE'!$T$51</f>
        <v>0</v>
      </c>
      <c r="U15" s="54">
        <f>'TR TE'!$U$15*'TR TE'!$U$51</f>
        <v>0</v>
      </c>
      <c r="V15" s="54">
        <f>'TR TE'!$V$15*'TR TE'!$V$51</f>
        <v>0</v>
      </c>
      <c r="W15" s="54">
        <f>SUM($T$15:$V$15)</f>
        <v>0</v>
      </c>
      <c r="X15" s="54"/>
      <c r="Y15" s="54">
        <f>SUM($X$15:$X$15)</f>
        <v>0</v>
      </c>
      <c r="Z15" s="54">
        <f>'TR TE'!$Z$15*'TR TE'!$Z$51</f>
        <v>4.5536608155500433</v>
      </c>
      <c r="AA15" s="54">
        <f>SUM($Z$15:$Z$15)</f>
        <v>4.5536608155500433</v>
      </c>
      <c r="AB15" s="54">
        <f>SUMIF($L$4:$AA$4,"SUBTOTAL",$L$15:$AA$15)</f>
        <v>190.11271551178001</v>
      </c>
    </row>
    <row r="16" spans="1:28" ht="11.25" customHeight="1" x14ac:dyDescent="0.25">
      <c r="A16" s="120"/>
      <c r="B16" s="120"/>
      <c r="C16" s="120"/>
      <c r="D16" s="56" t="s">
        <v>31</v>
      </c>
      <c r="E16" s="56" t="s">
        <v>25</v>
      </c>
      <c r="F16" s="56" t="s">
        <v>25</v>
      </c>
      <c r="G16" s="57" t="s">
        <v>88</v>
      </c>
      <c r="H16" s="57" t="s">
        <v>82</v>
      </c>
      <c r="I16" s="57">
        <f>'MERCADO TE'!$U$13</f>
        <v>463.43299999999999</v>
      </c>
      <c r="J16" s="15"/>
      <c r="L16" s="54">
        <f>'TR TE'!$L$16*'TR TE'!$L$51</f>
        <v>0</v>
      </c>
      <c r="M16" s="54">
        <f>'TR TE'!$M$16*'TR TE'!$M$51</f>
        <v>23.65911890027094</v>
      </c>
      <c r="N16" s="54">
        <f>'TR TE'!$N$16*'TR TE'!$N$51</f>
        <v>0</v>
      </c>
      <c r="O16" s="54">
        <f>'TR TE'!$O$16*'TR TE'!$O$51</f>
        <v>0</v>
      </c>
      <c r="P16" s="54">
        <f>'TR TE'!$P$16*'TR TE'!$P$51</f>
        <v>-15.309516955125503</v>
      </c>
      <c r="Q16" s="54">
        <f>SUM($L$16:$P$16)</f>
        <v>8.3496019451454373</v>
      </c>
      <c r="R16" s="54">
        <f>'TR TE'!$R$16*'TR TE'!$R$51</f>
        <v>177.20945275108451</v>
      </c>
      <c r="S16" s="54">
        <f>SUM($R$16:$R$16)</f>
        <v>177.20945275108451</v>
      </c>
      <c r="T16" s="54">
        <f>'TR TE'!$T$16*'TR TE'!$T$51</f>
        <v>0</v>
      </c>
      <c r="U16" s="54">
        <f>'TR TE'!$U$16*'TR TE'!$U$51</f>
        <v>0</v>
      </c>
      <c r="V16" s="54">
        <f>'TR TE'!$V$16*'TR TE'!$V$51</f>
        <v>0</v>
      </c>
      <c r="W16" s="54">
        <f>SUM($T$16:$V$16)</f>
        <v>0</v>
      </c>
      <c r="X16" s="54"/>
      <c r="Y16" s="54">
        <f>SUM($X$16:$X$16)</f>
        <v>0</v>
      </c>
      <c r="Z16" s="54">
        <f>'TR TE'!$Z$16*'TR TE'!$Z$51</f>
        <v>4.5536608155500433</v>
      </c>
      <c r="AA16" s="54">
        <f>SUM($Z$16:$Z$16)</f>
        <v>4.5536608155500433</v>
      </c>
      <c r="AB16" s="54">
        <f>SUMIF($L$4:$AA$4,"SUBTOTAL",$L$16:$AA$16)</f>
        <v>190.11271551178001</v>
      </c>
    </row>
    <row r="17" spans="1:28" ht="11.25" customHeight="1" x14ac:dyDescent="0.25">
      <c r="A17" s="120"/>
      <c r="B17" s="120"/>
      <c r="C17" s="120"/>
      <c r="D17" s="56" t="s">
        <v>32</v>
      </c>
      <c r="E17" s="56" t="s">
        <v>25</v>
      </c>
      <c r="F17" s="56" t="s">
        <v>25</v>
      </c>
      <c r="G17" s="57" t="s">
        <v>88</v>
      </c>
      <c r="H17" s="57" t="s">
        <v>82</v>
      </c>
      <c r="I17" s="57">
        <f>'MERCADO TE'!$U$14</f>
        <v>303.64100000000002</v>
      </c>
      <c r="J17" s="15"/>
      <c r="L17" s="54">
        <f>'TR TE'!$L$17*'TR TE'!$L$51</f>
        <v>0</v>
      </c>
      <c r="M17" s="54">
        <f>'TR TE'!$M$17*'TR TE'!$M$51</f>
        <v>23.65911890027094</v>
      </c>
      <c r="N17" s="54">
        <f>'TR TE'!$N$17*'TR TE'!$N$51</f>
        <v>0</v>
      </c>
      <c r="O17" s="54">
        <f>'TR TE'!$O$17*'TR TE'!$O$51</f>
        <v>0</v>
      </c>
      <c r="P17" s="54">
        <f>'TR TE'!$P$17*'TR TE'!$P$51</f>
        <v>-15.309516955125503</v>
      </c>
      <c r="Q17" s="54">
        <f>SUM($L$17:$P$17)</f>
        <v>8.3496019451454373</v>
      </c>
      <c r="R17" s="54">
        <f>'TR TE'!$R$17*'TR TE'!$R$51</f>
        <v>177.20945275108451</v>
      </c>
      <c r="S17" s="54">
        <f>SUM($R$17:$R$17)</f>
        <v>177.20945275108451</v>
      </c>
      <c r="T17" s="54">
        <f>'TR TE'!$T$17*'TR TE'!$T$51</f>
        <v>0</v>
      </c>
      <c r="U17" s="54">
        <f>'TR TE'!$U$17*'TR TE'!$U$51</f>
        <v>0</v>
      </c>
      <c r="V17" s="54">
        <f>'TR TE'!$V$17*'TR TE'!$V$51</f>
        <v>0</v>
      </c>
      <c r="W17" s="54">
        <f>SUM($T$17:$V$17)</f>
        <v>0</v>
      </c>
      <c r="X17" s="54"/>
      <c r="Y17" s="54">
        <f>SUM($X$17:$X$17)</f>
        <v>0</v>
      </c>
      <c r="Z17" s="54">
        <f>'TR TE'!$Z$17*'TR TE'!$Z$51</f>
        <v>4.5536608155500433</v>
      </c>
      <c r="AA17" s="54">
        <f>SUM($Z$17:$Z$17)</f>
        <v>4.5536608155500433</v>
      </c>
      <c r="AB17" s="54">
        <f>SUMIF($L$4:$AA$4,"SUBTOTAL",$L$17:$AA$17)</f>
        <v>190.11271551178001</v>
      </c>
    </row>
    <row r="18" spans="1:28" ht="11.25" customHeight="1" x14ac:dyDescent="0.25">
      <c r="A18" s="120"/>
      <c r="B18" s="120" t="s">
        <v>96</v>
      </c>
      <c r="C18" s="120" t="s">
        <v>24</v>
      </c>
      <c r="D18" s="56" t="s">
        <v>24</v>
      </c>
      <c r="E18" s="56" t="s">
        <v>25</v>
      </c>
      <c r="F18" s="56" t="s">
        <v>25</v>
      </c>
      <c r="G18" s="57" t="s">
        <v>88</v>
      </c>
      <c r="H18" s="57" t="s">
        <v>82</v>
      </c>
      <c r="I18" s="57">
        <f>'MERCADO TE'!$U$15</f>
        <v>0</v>
      </c>
      <c r="J18" s="15"/>
      <c r="L18" s="54">
        <f>'TR TE'!$L$18*'TR TE'!$L$51</f>
        <v>0</v>
      </c>
      <c r="M18" s="54">
        <f>'TR TE'!$M$18*'TR TE'!$M$51</f>
        <v>23.65911890027094</v>
      </c>
      <c r="N18" s="54">
        <f>'TR TE'!$N$18*'TR TE'!$N$51</f>
        <v>0</v>
      </c>
      <c r="O18" s="54">
        <f>'TR TE'!$O$18*'TR TE'!$O$51</f>
        <v>0</v>
      </c>
      <c r="P18" s="54">
        <f>'TR TE'!$P$18*'TR TE'!$P$51</f>
        <v>-15.309516955125503</v>
      </c>
      <c r="Q18" s="54">
        <f>SUM($L$18:$P$18)</f>
        <v>8.3496019451454373</v>
      </c>
      <c r="R18" s="54">
        <f>'TR TE'!$R$18*'TR TE'!$R$51</f>
        <v>177.20945275108451</v>
      </c>
      <c r="S18" s="54">
        <f>SUM($R$18:$R$18)</f>
        <v>177.20945275108451</v>
      </c>
      <c r="T18" s="54">
        <f>'TR TE'!$T$18*'TR TE'!$T$51</f>
        <v>0</v>
      </c>
      <c r="U18" s="54">
        <f>'TR TE'!$U$18*'TR TE'!$U$51</f>
        <v>0</v>
      </c>
      <c r="V18" s="54">
        <f>'TR TE'!$V$18*'TR TE'!$V$51</f>
        <v>0</v>
      </c>
      <c r="W18" s="54">
        <f>SUM($T$18:$V$18)</f>
        <v>0</v>
      </c>
      <c r="X18" s="54"/>
      <c r="Y18" s="54">
        <f>SUM($X$18:$X$18)</f>
        <v>0</v>
      </c>
      <c r="Z18" s="54">
        <f>'TR TE'!$Z$18*'TR TE'!$Z$51</f>
        <v>4.5536608155500433</v>
      </c>
      <c r="AA18" s="54">
        <f>SUM($Z$18:$Z$18)</f>
        <v>4.5536608155500433</v>
      </c>
      <c r="AB18" s="54">
        <f>SUMIF($L$4:$AA$4,"SUBTOTAL",$L$18:$AA$18)</f>
        <v>190.11271551178001</v>
      </c>
    </row>
    <row r="19" spans="1:28" ht="11.25" customHeight="1" x14ac:dyDescent="0.25">
      <c r="A19" s="120"/>
      <c r="B19" s="120"/>
      <c r="C19" s="120"/>
      <c r="D19" s="56" t="s">
        <v>29</v>
      </c>
      <c r="E19" s="56" t="s">
        <v>25</v>
      </c>
      <c r="F19" s="56" t="s">
        <v>25</v>
      </c>
      <c r="G19" s="57" t="s">
        <v>88</v>
      </c>
      <c r="H19" s="57" t="s">
        <v>82</v>
      </c>
      <c r="I19" s="57">
        <f>'MERCADO TE'!$U$16</f>
        <v>0</v>
      </c>
      <c r="J19" s="15"/>
      <c r="L19" s="54">
        <f>'TR TE'!$L$19*'TR TE'!$L$51</f>
        <v>0</v>
      </c>
      <c r="M19" s="54">
        <f>'TR TE'!$M$19*'TR TE'!$M$51</f>
        <v>23.65911890027094</v>
      </c>
      <c r="N19" s="54">
        <f>'TR TE'!$N$19*'TR TE'!$N$51</f>
        <v>0</v>
      </c>
      <c r="O19" s="54">
        <f>'TR TE'!$O$19*'TR TE'!$O$51</f>
        <v>0</v>
      </c>
      <c r="P19" s="54">
        <f>'TR TE'!$P$19*'TR TE'!$P$51</f>
        <v>-15.309516955125503</v>
      </c>
      <c r="Q19" s="54">
        <f>SUM($L$19:$P$19)</f>
        <v>8.3496019451454373</v>
      </c>
      <c r="R19" s="54">
        <f>'TR TE'!$R$19*'TR TE'!$R$51</f>
        <v>177.20945275108451</v>
      </c>
      <c r="S19" s="54">
        <f>SUM($R$19:$R$19)</f>
        <v>177.20945275108451</v>
      </c>
      <c r="T19" s="54">
        <f>'TR TE'!$T$19*'TR TE'!$T$51</f>
        <v>0</v>
      </c>
      <c r="U19" s="54">
        <f>'TR TE'!$U$19*'TR TE'!$U$51</f>
        <v>0</v>
      </c>
      <c r="V19" s="54">
        <f>'TR TE'!$V$19*'TR TE'!$V$51</f>
        <v>0</v>
      </c>
      <c r="W19" s="54">
        <f>SUM($T$19:$V$19)</f>
        <v>0</v>
      </c>
      <c r="X19" s="54"/>
      <c r="Y19" s="54">
        <f>SUM($X$19:$X$19)</f>
        <v>0</v>
      </c>
      <c r="Z19" s="54">
        <f>'TR TE'!$Z$19*'TR TE'!$Z$51</f>
        <v>4.5536608155500433</v>
      </c>
      <c r="AA19" s="54">
        <f>SUM($Z$19:$Z$19)</f>
        <v>4.5536608155500433</v>
      </c>
      <c r="AB19" s="54">
        <f>SUMIF($L$4:$AA$4,"SUBTOTAL",$L$19:$AA$19)</f>
        <v>190.11271551178001</v>
      </c>
    </row>
    <row r="20" spans="1:28" ht="11.25" customHeight="1" x14ac:dyDescent="0.25">
      <c r="A20" s="120"/>
      <c r="B20" s="120"/>
      <c r="C20" s="120"/>
      <c r="D20" s="56" t="s">
        <v>30</v>
      </c>
      <c r="E20" s="56" t="s">
        <v>25</v>
      </c>
      <c r="F20" s="56" t="s">
        <v>25</v>
      </c>
      <c r="G20" s="57" t="s">
        <v>88</v>
      </c>
      <c r="H20" s="57" t="s">
        <v>82</v>
      </c>
      <c r="I20" s="57">
        <f>'MERCADO TE'!$U$17</f>
        <v>0</v>
      </c>
      <c r="J20" s="15"/>
      <c r="L20" s="54">
        <f>'TR TE'!$L$20*'TR TE'!$L$51</f>
        <v>0</v>
      </c>
      <c r="M20" s="54">
        <f>'TR TE'!$M$20*'TR TE'!$M$51</f>
        <v>23.65911890027094</v>
      </c>
      <c r="N20" s="54">
        <f>'TR TE'!$N$20*'TR TE'!$N$51</f>
        <v>0</v>
      </c>
      <c r="O20" s="54">
        <f>'TR TE'!$O$20*'TR TE'!$O$51</f>
        <v>0</v>
      </c>
      <c r="P20" s="54">
        <f>'TR TE'!$P$20*'TR TE'!$P$51</f>
        <v>-15.309516955125503</v>
      </c>
      <c r="Q20" s="54">
        <f>SUM($L$20:$P$20)</f>
        <v>8.3496019451454373</v>
      </c>
      <c r="R20" s="54">
        <f>'TR TE'!$R$20*'TR TE'!$R$51</f>
        <v>177.20945275108451</v>
      </c>
      <c r="S20" s="54">
        <f>SUM($R$20:$R$20)</f>
        <v>177.20945275108451</v>
      </c>
      <c r="T20" s="54">
        <f>'TR TE'!$T$20*'TR TE'!$T$51</f>
        <v>0</v>
      </c>
      <c r="U20" s="54">
        <f>'TR TE'!$U$20*'TR TE'!$U$51</f>
        <v>0</v>
      </c>
      <c r="V20" s="54">
        <f>'TR TE'!$V$20*'TR TE'!$V$51</f>
        <v>0</v>
      </c>
      <c r="W20" s="54">
        <f>SUM($T$20:$V$20)</f>
        <v>0</v>
      </c>
      <c r="X20" s="54"/>
      <c r="Y20" s="54">
        <f>SUM($X$20:$X$20)</f>
        <v>0</v>
      </c>
      <c r="Z20" s="54">
        <f>'TR TE'!$Z$20*'TR TE'!$Z$51</f>
        <v>4.5536608155500433</v>
      </c>
      <c r="AA20" s="54">
        <f>SUM($Z$20:$Z$20)</f>
        <v>4.5536608155500433</v>
      </c>
      <c r="AB20" s="54">
        <f>SUMIF($L$4:$AA$4,"SUBTOTAL",$L$20:$AA$20)</f>
        <v>190.11271551178001</v>
      </c>
    </row>
    <row r="21" spans="1:28" ht="11.25" customHeight="1" x14ac:dyDescent="0.25">
      <c r="A21" s="120"/>
      <c r="B21" s="120"/>
      <c r="C21" s="120"/>
      <c r="D21" s="56" t="s">
        <v>31</v>
      </c>
      <c r="E21" s="56" t="s">
        <v>25</v>
      </c>
      <c r="F21" s="56" t="s">
        <v>25</v>
      </c>
      <c r="G21" s="57" t="s">
        <v>88</v>
      </c>
      <c r="H21" s="57" t="s">
        <v>82</v>
      </c>
      <c r="I21" s="57">
        <f>'MERCADO TE'!$U$18</f>
        <v>0</v>
      </c>
      <c r="J21" s="15"/>
      <c r="L21" s="54">
        <f>'TR TE'!$L$21*'TR TE'!$L$51</f>
        <v>0</v>
      </c>
      <c r="M21" s="54">
        <f>'TR TE'!$M$21*'TR TE'!$M$51</f>
        <v>23.65911890027094</v>
      </c>
      <c r="N21" s="54">
        <f>'TR TE'!$N$21*'TR TE'!$N$51</f>
        <v>0</v>
      </c>
      <c r="O21" s="54">
        <f>'TR TE'!$O$21*'TR TE'!$O$51</f>
        <v>0</v>
      </c>
      <c r="P21" s="54">
        <f>'TR TE'!$P$21*'TR TE'!$P$51</f>
        <v>-15.309516955125503</v>
      </c>
      <c r="Q21" s="54">
        <f>SUM($L$21:$P$21)</f>
        <v>8.3496019451454373</v>
      </c>
      <c r="R21" s="54">
        <f>'TR TE'!$R$21*'TR TE'!$R$51</f>
        <v>177.20945275108451</v>
      </c>
      <c r="S21" s="54">
        <f>SUM($R$21:$R$21)</f>
        <v>177.20945275108451</v>
      </c>
      <c r="T21" s="54">
        <f>'TR TE'!$T$21*'TR TE'!$T$51</f>
        <v>0</v>
      </c>
      <c r="U21" s="54">
        <f>'TR TE'!$U$21*'TR TE'!$U$51</f>
        <v>0</v>
      </c>
      <c r="V21" s="54">
        <f>'TR TE'!$V$21*'TR TE'!$V$51</f>
        <v>0</v>
      </c>
      <c r="W21" s="54">
        <f>SUM($T$21:$V$21)</f>
        <v>0</v>
      </c>
      <c r="X21" s="54"/>
      <c r="Y21" s="54">
        <f>SUM($X$21:$X$21)</f>
        <v>0</v>
      </c>
      <c r="Z21" s="54">
        <f>'TR TE'!$Z$21*'TR TE'!$Z$51</f>
        <v>4.5536608155500433</v>
      </c>
      <c r="AA21" s="54">
        <f>SUM($Z$21:$Z$21)</f>
        <v>4.5536608155500433</v>
      </c>
      <c r="AB21" s="54">
        <f>SUMIF($L$4:$AA$4,"SUBTOTAL",$L$21:$AA$21)</f>
        <v>190.11271551178001</v>
      </c>
    </row>
    <row r="22" spans="1:28" ht="11.25" customHeight="1" x14ac:dyDescent="0.25">
      <c r="A22" s="120"/>
      <c r="B22" s="120"/>
      <c r="C22" s="120"/>
      <c r="D22" s="56" t="s">
        <v>32</v>
      </c>
      <c r="E22" s="56" t="s">
        <v>25</v>
      </c>
      <c r="F22" s="56" t="s">
        <v>25</v>
      </c>
      <c r="G22" s="57" t="s">
        <v>88</v>
      </c>
      <c r="H22" s="57" t="s">
        <v>82</v>
      </c>
      <c r="I22" s="57">
        <f>'MERCADO TE'!$U$19</f>
        <v>0</v>
      </c>
      <c r="J22" s="15"/>
      <c r="L22" s="54">
        <f>'TR TE'!$L$22*'TR TE'!$L$51</f>
        <v>0</v>
      </c>
      <c r="M22" s="54">
        <f>'TR TE'!$M$22*'TR TE'!$M$51</f>
        <v>23.65911890027094</v>
      </c>
      <c r="N22" s="54">
        <f>'TR TE'!$N$22*'TR TE'!$N$51</f>
        <v>0</v>
      </c>
      <c r="O22" s="54">
        <f>'TR TE'!$O$22*'TR TE'!$O$51</f>
        <v>0</v>
      </c>
      <c r="P22" s="54">
        <f>'TR TE'!$P$22*'TR TE'!$P$51</f>
        <v>-15.309516955125503</v>
      </c>
      <c r="Q22" s="54">
        <f>SUM($L$22:$P$22)</f>
        <v>8.3496019451454373</v>
      </c>
      <c r="R22" s="54">
        <f>'TR TE'!$R$22*'TR TE'!$R$51</f>
        <v>177.20945275108451</v>
      </c>
      <c r="S22" s="54">
        <f>SUM($R$22:$R$22)</f>
        <v>177.20945275108451</v>
      </c>
      <c r="T22" s="54">
        <f>'TR TE'!$T$22*'TR TE'!$T$51</f>
        <v>0</v>
      </c>
      <c r="U22" s="54">
        <f>'TR TE'!$U$22*'TR TE'!$U$51</f>
        <v>0</v>
      </c>
      <c r="V22" s="54">
        <f>'TR TE'!$V$22*'TR TE'!$V$51</f>
        <v>0</v>
      </c>
      <c r="W22" s="54">
        <f>SUM($T$22:$V$22)</f>
        <v>0</v>
      </c>
      <c r="X22" s="54"/>
      <c r="Y22" s="54">
        <f>SUM($X$22:$X$22)</f>
        <v>0</v>
      </c>
      <c r="Z22" s="54">
        <f>'TR TE'!$Z$22*'TR TE'!$Z$51</f>
        <v>4.5536608155500433</v>
      </c>
      <c r="AA22" s="54">
        <f>SUM($Z$22:$Z$22)</f>
        <v>4.5536608155500433</v>
      </c>
      <c r="AB22" s="54">
        <f>SUMIF($L$4:$AA$4,"SUBTOTAL",$L$22:$AA$22)</f>
        <v>190.11271551178001</v>
      </c>
    </row>
    <row r="23" spans="1:28" ht="11.25" customHeight="1" x14ac:dyDescent="0.25">
      <c r="A23" s="120" t="s">
        <v>41</v>
      </c>
      <c r="B23" s="120" t="s">
        <v>81</v>
      </c>
      <c r="C23" s="120" t="s">
        <v>42</v>
      </c>
      <c r="D23" s="120" t="s">
        <v>25</v>
      </c>
      <c r="E23" s="120" t="s">
        <v>25</v>
      </c>
      <c r="F23" s="120" t="s">
        <v>25</v>
      </c>
      <c r="G23" s="57" t="s">
        <v>83</v>
      </c>
      <c r="H23" s="57" t="s">
        <v>82</v>
      </c>
      <c r="I23" s="57">
        <f>'MERCADO TE'!$U$20</f>
        <v>0</v>
      </c>
      <c r="J23" s="15"/>
      <c r="L23" s="54">
        <f>'TR TE'!$L$23*'TR TE'!$L$51</f>
        <v>0</v>
      </c>
      <c r="M23" s="54">
        <f>'TR TE'!$M$23*'TR TE'!$M$51</f>
        <v>23.65911890027094</v>
      </c>
      <c r="N23" s="54">
        <f>'TR TE'!$N$23*'TR TE'!$N$51</f>
        <v>0</v>
      </c>
      <c r="O23" s="54">
        <f>'TR TE'!$O$23*'TR TE'!$O$51</f>
        <v>0</v>
      </c>
      <c r="P23" s="54">
        <f>'TR TE'!$P$23*'TR TE'!$P$51</f>
        <v>-15.309516955125503</v>
      </c>
      <c r="Q23" s="54">
        <f>SUM($L$23:$P$23)</f>
        <v>8.3496019451454373</v>
      </c>
      <c r="R23" s="54">
        <f>'TR TE'!$R$23*'TR TE'!$R$51</f>
        <v>177.20945275108451</v>
      </c>
      <c r="S23" s="54">
        <f>SUM($R$23:$R$23)</f>
        <v>177.20945275108451</v>
      </c>
      <c r="T23" s="54">
        <f>'TR TE'!$T$23*'TR TE'!$T$51</f>
        <v>0</v>
      </c>
      <c r="U23" s="54">
        <f>'TR TE'!$U$23*'TR TE'!$U$51</f>
        <v>0</v>
      </c>
      <c r="V23" s="54">
        <f>'TR TE'!$V$23*'TR TE'!$V$51</f>
        <v>0</v>
      </c>
      <c r="W23" s="54">
        <f>SUM($T$23:$V$23)</f>
        <v>0</v>
      </c>
      <c r="X23" s="54"/>
      <c r="Y23" s="54">
        <f>SUM($X$23:$X$23)</f>
        <v>0</v>
      </c>
      <c r="Z23" s="54">
        <f>'TR TE'!$Z$23*'TR TE'!$Z$51</f>
        <v>4.5536608155500433</v>
      </c>
      <c r="AA23" s="54">
        <f>SUM($Z$23:$Z$23)</f>
        <v>4.5536608155500433</v>
      </c>
      <c r="AB23" s="54">
        <f>SUMIF($L$4:$AA$4,"SUBTOTAL",$L$23:$AA$23)</f>
        <v>190.11271551178001</v>
      </c>
    </row>
    <row r="24" spans="1:28" ht="11.25" customHeight="1" x14ac:dyDescent="0.25">
      <c r="A24" s="120"/>
      <c r="B24" s="120"/>
      <c r="C24" s="120"/>
      <c r="D24" s="120"/>
      <c r="E24" s="120"/>
      <c r="F24" s="120"/>
      <c r="G24" s="57" t="s">
        <v>94</v>
      </c>
      <c r="H24" s="57" t="s">
        <v>82</v>
      </c>
      <c r="I24" s="57">
        <f>'MERCADO TE'!$U$21</f>
        <v>0</v>
      </c>
      <c r="J24" s="15"/>
      <c r="L24" s="54">
        <f>'TR TE'!$L$24*'TR TE'!$L$51</f>
        <v>0</v>
      </c>
      <c r="M24" s="54">
        <f>'TR TE'!$M$24*'TR TE'!$M$51</f>
        <v>23.65911890027094</v>
      </c>
      <c r="N24" s="54">
        <f>'TR TE'!$N$24*'TR TE'!$N$51</f>
        <v>0</v>
      </c>
      <c r="O24" s="54">
        <f>'TR TE'!$O$24*'TR TE'!$O$51</f>
        <v>0</v>
      </c>
      <c r="P24" s="54">
        <f>'TR TE'!$P$24*'TR TE'!$P$51</f>
        <v>-15.309516955125503</v>
      </c>
      <c r="Q24" s="54">
        <f>SUM($L$24:$P$24)</f>
        <v>8.3496019451454373</v>
      </c>
      <c r="R24" s="54">
        <f>'TR TE'!$R$24*'TR TE'!$R$51</f>
        <v>177.20945275108451</v>
      </c>
      <c r="S24" s="54">
        <f>SUM($R$24:$R$24)</f>
        <v>177.20945275108451</v>
      </c>
      <c r="T24" s="54">
        <f>'TR TE'!$T$24*'TR TE'!$T$51</f>
        <v>0</v>
      </c>
      <c r="U24" s="54">
        <f>'TR TE'!$U$24*'TR TE'!$U$51</f>
        <v>0</v>
      </c>
      <c r="V24" s="54">
        <f>'TR TE'!$V$24*'TR TE'!$V$51</f>
        <v>0</v>
      </c>
      <c r="W24" s="54">
        <f>SUM($T$24:$V$24)</f>
        <v>0</v>
      </c>
      <c r="X24" s="54"/>
      <c r="Y24" s="54">
        <f>SUM($X$24:$X$24)</f>
        <v>0</v>
      </c>
      <c r="Z24" s="54">
        <f>'TR TE'!$Z$24*'TR TE'!$Z$51</f>
        <v>4.5536608155500433</v>
      </c>
      <c r="AA24" s="54">
        <f>SUM($Z$24:$Z$24)</f>
        <v>4.5536608155500433</v>
      </c>
      <c r="AB24" s="54">
        <f>SUMIF($L$4:$AA$4,"SUBTOTAL",$L$24:$AA$24)</f>
        <v>190.11271551178001</v>
      </c>
    </row>
    <row r="25" spans="1:28" ht="11.25" customHeight="1" x14ac:dyDescent="0.25">
      <c r="A25" s="120"/>
      <c r="B25" s="120"/>
      <c r="C25" s="120"/>
      <c r="D25" s="120"/>
      <c r="E25" s="120"/>
      <c r="F25" s="120"/>
      <c r="G25" s="57" t="s">
        <v>84</v>
      </c>
      <c r="H25" s="57" t="s">
        <v>82</v>
      </c>
      <c r="I25" s="57">
        <f>'MERCADO TE'!$U$22</f>
        <v>0</v>
      </c>
      <c r="J25" s="15"/>
      <c r="L25" s="54">
        <f>'TR TE'!$L$25*'TR TE'!$L$51</f>
        <v>0</v>
      </c>
      <c r="M25" s="54">
        <f>'TR TE'!$M$25*'TR TE'!$M$51</f>
        <v>23.65911890027094</v>
      </c>
      <c r="N25" s="54">
        <f>'TR TE'!$N$25*'TR TE'!$N$51</f>
        <v>0</v>
      </c>
      <c r="O25" s="54">
        <f>'TR TE'!$O$25*'TR TE'!$O$51</f>
        <v>0</v>
      </c>
      <c r="P25" s="54">
        <f>'TR TE'!$P$25*'TR TE'!$P$51</f>
        <v>-15.309516955125503</v>
      </c>
      <c r="Q25" s="54">
        <f>SUM($L$25:$P$25)</f>
        <v>8.3496019451454373</v>
      </c>
      <c r="R25" s="54">
        <f>'TR TE'!$R$25*'TR TE'!$R$51</f>
        <v>177.20945275108451</v>
      </c>
      <c r="S25" s="54">
        <f>SUM($R$25:$R$25)</f>
        <v>177.20945275108451</v>
      </c>
      <c r="T25" s="54">
        <f>'TR TE'!$T$25*'TR TE'!$T$51</f>
        <v>0</v>
      </c>
      <c r="U25" s="54">
        <f>'TR TE'!$U$25*'TR TE'!$U$51</f>
        <v>0</v>
      </c>
      <c r="V25" s="54">
        <f>'TR TE'!$V$25*'TR TE'!$V$51</f>
        <v>0</v>
      </c>
      <c r="W25" s="54">
        <f>SUM($T$25:$V$25)</f>
        <v>0</v>
      </c>
      <c r="X25" s="54"/>
      <c r="Y25" s="54">
        <f>SUM($X$25:$X$25)</f>
        <v>0</v>
      </c>
      <c r="Z25" s="54">
        <f>'TR TE'!$Z$25*'TR TE'!$Z$51</f>
        <v>4.5536608155500433</v>
      </c>
      <c r="AA25" s="54">
        <f>SUM($Z$25:$Z$25)</f>
        <v>4.5536608155500433</v>
      </c>
      <c r="AB25" s="54">
        <f>SUMIF($L$4:$AA$4,"SUBTOTAL",$L$25:$AA$25)</f>
        <v>190.11271551178001</v>
      </c>
    </row>
    <row r="26" spans="1:28" ht="11.25" customHeight="1" x14ac:dyDescent="0.25">
      <c r="A26" s="120"/>
      <c r="B26" s="56" t="s">
        <v>90</v>
      </c>
      <c r="C26" s="56" t="s">
        <v>42</v>
      </c>
      <c r="D26" s="56" t="s">
        <v>25</v>
      </c>
      <c r="E26" s="56" t="s">
        <v>25</v>
      </c>
      <c r="F26" s="56" t="s">
        <v>25</v>
      </c>
      <c r="G26" s="57" t="s">
        <v>88</v>
      </c>
      <c r="H26" s="57" t="s">
        <v>82</v>
      </c>
      <c r="I26" s="57">
        <f>'MERCADO TE'!$U$23</f>
        <v>185983.22399999999</v>
      </c>
      <c r="J26" s="15"/>
      <c r="L26" s="54">
        <f>'TR TE'!$L$26*'TR TE'!$L$51</f>
        <v>0</v>
      </c>
      <c r="M26" s="54">
        <f>'TR TE'!$M$26*'TR TE'!$M$51</f>
        <v>23.65911890027094</v>
      </c>
      <c r="N26" s="54">
        <f>'TR TE'!$N$26*'TR TE'!$N$51</f>
        <v>0</v>
      </c>
      <c r="O26" s="54">
        <f>'TR TE'!$O$26*'TR TE'!$O$51</f>
        <v>0</v>
      </c>
      <c r="P26" s="54">
        <f>'TR TE'!$P$26*'TR TE'!$P$51</f>
        <v>-15.309516955125503</v>
      </c>
      <c r="Q26" s="54">
        <f>SUM($L$26:$P$26)</f>
        <v>8.3496019451454373</v>
      </c>
      <c r="R26" s="54">
        <f>'TR TE'!$R$26*'TR TE'!$R$51</f>
        <v>177.20945275108451</v>
      </c>
      <c r="S26" s="54">
        <f>SUM($R$26:$R$26)</f>
        <v>177.20945275108451</v>
      </c>
      <c r="T26" s="54">
        <f>'TR TE'!$T$26*'TR TE'!$T$51</f>
        <v>0</v>
      </c>
      <c r="U26" s="54">
        <f>'TR TE'!$U$26*'TR TE'!$U$51</f>
        <v>0</v>
      </c>
      <c r="V26" s="54">
        <f>'TR TE'!$V$26*'TR TE'!$V$51</f>
        <v>0</v>
      </c>
      <c r="W26" s="54">
        <f>SUM($T$26:$V$26)</f>
        <v>0</v>
      </c>
      <c r="X26" s="54"/>
      <c r="Y26" s="54">
        <f>SUM($X$26:$X$26)</f>
        <v>0</v>
      </c>
      <c r="Z26" s="54">
        <f>'TR TE'!$Z$26*'TR TE'!$Z$51</f>
        <v>4.5536608155500433</v>
      </c>
      <c r="AA26" s="54">
        <f>SUM($Z$26:$Z$26)</f>
        <v>4.5536608155500433</v>
      </c>
      <c r="AB26" s="54">
        <f>SUMIF($L$4:$AA$4,"SUBTOTAL",$L$26:$AA$26)</f>
        <v>190.11271551178001</v>
      </c>
    </row>
    <row r="27" spans="1:28" ht="11.25" customHeight="1" x14ac:dyDescent="0.25">
      <c r="A27" s="120"/>
      <c r="B27" s="120" t="s">
        <v>81</v>
      </c>
      <c r="C27" s="120" t="s">
        <v>42</v>
      </c>
      <c r="D27" s="120" t="s">
        <v>98</v>
      </c>
      <c r="E27" s="120" t="s">
        <v>25</v>
      </c>
      <c r="F27" s="120" t="s">
        <v>25</v>
      </c>
      <c r="G27" s="57" t="s">
        <v>83</v>
      </c>
      <c r="H27" s="57" t="s">
        <v>82</v>
      </c>
      <c r="I27" s="57">
        <f>'MERCADO TE'!$U$24</f>
        <v>0</v>
      </c>
      <c r="J27" s="15"/>
      <c r="L27" s="54">
        <f>'TR TE'!$L$27*'TR TE'!$L$51</f>
        <v>0</v>
      </c>
      <c r="M27" s="54">
        <f>'TR TE'!$M$27*'TR TE'!$M$51</f>
        <v>23.65911890027094</v>
      </c>
      <c r="N27" s="54">
        <f>'TR TE'!$N$27*'TR TE'!$N$51</f>
        <v>0</v>
      </c>
      <c r="O27" s="54">
        <f>'TR TE'!$O$27*'TR TE'!$O$51</f>
        <v>0</v>
      </c>
      <c r="P27" s="54">
        <f>'TR TE'!$P$27*'TR TE'!$P$51</f>
        <v>-15.309516955125503</v>
      </c>
      <c r="Q27" s="54">
        <f>SUM($L$27:$P$27)</f>
        <v>8.3496019451454373</v>
      </c>
      <c r="R27" s="54">
        <f>'TR TE'!$R$27*'TR TE'!$R$51</f>
        <v>177.20945275108451</v>
      </c>
      <c r="S27" s="54">
        <f>SUM($R$27:$R$27)</f>
        <v>177.20945275108451</v>
      </c>
      <c r="T27" s="54">
        <f>'TR TE'!$T$27*'TR TE'!$T$51</f>
        <v>0</v>
      </c>
      <c r="U27" s="54">
        <f>'TR TE'!$U$27*'TR TE'!$U$51</f>
        <v>0</v>
      </c>
      <c r="V27" s="54">
        <f>'TR TE'!$V$27*'TR TE'!$V$51</f>
        <v>0</v>
      </c>
      <c r="W27" s="54">
        <f>SUM($T$27:$V$27)</f>
        <v>0</v>
      </c>
      <c r="X27" s="54"/>
      <c r="Y27" s="54">
        <f>SUM($X$27:$X$27)</f>
        <v>0</v>
      </c>
      <c r="Z27" s="54">
        <f>'TR TE'!$Z$27*'TR TE'!$Z$51</f>
        <v>4.5536608155500433</v>
      </c>
      <c r="AA27" s="54">
        <f>SUM($Z$27:$Z$27)</f>
        <v>4.5536608155500433</v>
      </c>
      <c r="AB27" s="54">
        <f>SUMIF($L$4:$AA$4,"SUBTOTAL",$L$27:$AA$27)</f>
        <v>190.11271551178001</v>
      </c>
    </row>
    <row r="28" spans="1:28" ht="11.25" customHeight="1" x14ac:dyDescent="0.25">
      <c r="A28" s="120"/>
      <c r="B28" s="120"/>
      <c r="C28" s="120"/>
      <c r="D28" s="120"/>
      <c r="E28" s="120"/>
      <c r="F28" s="120"/>
      <c r="G28" s="57" t="s">
        <v>94</v>
      </c>
      <c r="H28" s="57" t="s">
        <v>82</v>
      </c>
      <c r="I28" s="57">
        <f>'MERCADO TE'!$U$25</f>
        <v>0</v>
      </c>
      <c r="J28" s="15"/>
      <c r="L28" s="54">
        <f>'TR TE'!$L$28*'TR TE'!$L$51</f>
        <v>0</v>
      </c>
      <c r="M28" s="54">
        <f>'TR TE'!$M$28*'TR TE'!$M$51</f>
        <v>23.65911890027094</v>
      </c>
      <c r="N28" s="54">
        <f>'TR TE'!$N$28*'TR TE'!$N$51</f>
        <v>0</v>
      </c>
      <c r="O28" s="54">
        <f>'TR TE'!$O$28*'TR TE'!$O$51</f>
        <v>0</v>
      </c>
      <c r="P28" s="54">
        <f>'TR TE'!$P$28*'TR TE'!$P$51</f>
        <v>-15.309516955125503</v>
      </c>
      <c r="Q28" s="54">
        <f>SUM($L$28:$P$28)</f>
        <v>8.3496019451454373</v>
      </c>
      <c r="R28" s="54">
        <f>'TR TE'!$R$28*'TR TE'!$R$51</f>
        <v>177.20945275108451</v>
      </c>
      <c r="S28" s="54">
        <f>SUM($R$28:$R$28)</f>
        <v>177.20945275108451</v>
      </c>
      <c r="T28" s="54">
        <f>'TR TE'!$T$28*'TR TE'!$T$51</f>
        <v>0</v>
      </c>
      <c r="U28" s="54">
        <f>'TR TE'!$U$28*'TR TE'!$U$51</f>
        <v>0</v>
      </c>
      <c r="V28" s="54">
        <f>'TR TE'!$V$28*'TR TE'!$V$51</f>
        <v>0</v>
      </c>
      <c r="W28" s="54">
        <f>SUM($T$28:$V$28)</f>
        <v>0</v>
      </c>
      <c r="X28" s="54"/>
      <c r="Y28" s="54">
        <f>SUM($X$28:$X$28)</f>
        <v>0</v>
      </c>
      <c r="Z28" s="54">
        <f>'TR TE'!$Z$28*'TR TE'!$Z$51</f>
        <v>4.5536608155500433</v>
      </c>
      <c r="AA28" s="54">
        <f>SUM($Z$28:$Z$28)</f>
        <v>4.5536608155500433</v>
      </c>
      <c r="AB28" s="54">
        <f>SUMIF($L$4:$AA$4,"SUBTOTAL",$L$28:$AA$28)</f>
        <v>190.11271551178001</v>
      </c>
    </row>
    <row r="29" spans="1:28" ht="11.25" customHeight="1" x14ac:dyDescent="0.25">
      <c r="A29" s="120"/>
      <c r="B29" s="120"/>
      <c r="C29" s="120"/>
      <c r="D29" s="120"/>
      <c r="E29" s="120"/>
      <c r="F29" s="120"/>
      <c r="G29" s="57" t="s">
        <v>84</v>
      </c>
      <c r="H29" s="57" t="s">
        <v>82</v>
      </c>
      <c r="I29" s="57">
        <f>'MERCADO TE'!$U$26</f>
        <v>0</v>
      </c>
      <c r="J29" s="15"/>
      <c r="L29" s="54">
        <f>'TR TE'!$L$29*'TR TE'!$L$51</f>
        <v>0</v>
      </c>
      <c r="M29" s="54">
        <f>'TR TE'!$M$29*'TR TE'!$M$51</f>
        <v>23.65911890027094</v>
      </c>
      <c r="N29" s="54">
        <f>'TR TE'!$N$29*'TR TE'!$N$51</f>
        <v>0</v>
      </c>
      <c r="O29" s="54">
        <f>'TR TE'!$O$29*'TR TE'!$O$51</f>
        <v>0</v>
      </c>
      <c r="P29" s="54">
        <f>'TR TE'!$P$29*'TR TE'!$P$51</f>
        <v>-15.309516955125503</v>
      </c>
      <c r="Q29" s="54">
        <f>SUM($L$29:$P$29)</f>
        <v>8.3496019451454373</v>
      </c>
      <c r="R29" s="54">
        <f>'TR TE'!$R$29*'TR TE'!$R$51</f>
        <v>177.20945275108451</v>
      </c>
      <c r="S29" s="54">
        <f>SUM($R$29:$R$29)</f>
        <v>177.20945275108451</v>
      </c>
      <c r="T29" s="54">
        <f>'TR TE'!$T$29*'TR TE'!$T$51</f>
        <v>0</v>
      </c>
      <c r="U29" s="54">
        <f>'TR TE'!$U$29*'TR TE'!$U$51</f>
        <v>0</v>
      </c>
      <c r="V29" s="54">
        <f>'TR TE'!$V$29*'TR TE'!$V$51</f>
        <v>0</v>
      </c>
      <c r="W29" s="54">
        <f>SUM($T$29:$V$29)</f>
        <v>0</v>
      </c>
      <c r="X29" s="54"/>
      <c r="Y29" s="54">
        <f>SUM($X$29:$X$29)</f>
        <v>0</v>
      </c>
      <c r="Z29" s="54">
        <f>'TR TE'!$Z$29*'TR TE'!$Z$51</f>
        <v>4.5536608155500433</v>
      </c>
      <c r="AA29" s="54">
        <f>SUM($Z$29:$Z$29)</f>
        <v>4.5536608155500433</v>
      </c>
      <c r="AB29" s="54">
        <f>SUMIF($L$4:$AA$4,"SUBTOTAL",$L$29:$AA$29)</f>
        <v>190.11271551178001</v>
      </c>
    </row>
    <row r="30" spans="1:28" ht="11.25" customHeight="1" x14ac:dyDescent="0.25">
      <c r="A30" s="120"/>
      <c r="B30" s="56" t="s">
        <v>90</v>
      </c>
      <c r="C30" s="56" t="s">
        <v>42</v>
      </c>
      <c r="D30" s="56" t="s">
        <v>98</v>
      </c>
      <c r="E30" s="56" t="s">
        <v>25</v>
      </c>
      <c r="F30" s="56" t="s">
        <v>25</v>
      </c>
      <c r="G30" s="57" t="s">
        <v>88</v>
      </c>
      <c r="H30" s="57" t="s">
        <v>82</v>
      </c>
      <c r="I30" s="57">
        <f>'MERCADO TE'!$U$27</f>
        <v>0</v>
      </c>
      <c r="J30" s="15"/>
      <c r="L30" s="54">
        <f>'TR TE'!$L$30*'TR TE'!$L$51</f>
        <v>0</v>
      </c>
      <c r="M30" s="54">
        <f>'TR TE'!$M$30*'TR TE'!$M$51</f>
        <v>23.65911890027094</v>
      </c>
      <c r="N30" s="54">
        <f>'TR TE'!$N$30*'TR TE'!$N$51</f>
        <v>0</v>
      </c>
      <c r="O30" s="54">
        <f>'TR TE'!$O$30*'TR TE'!$O$51</f>
        <v>0</v>
      </c>
      <c r="P30" s="54">
        <f>'TR TE'!$P$30*'TR TE'!$P$51</f>
        <v>-15.309516955125503</v>
      </c>
      <c r="Q30" s="54">
        <f>SUM($L$30:$P$30)</f>
        <v>8.3496019451454373</v>
      </c>
      <c r="R30" s="54">
        <f>'TR TE'!$R$30*'TR TE'!$R$51</f>
        <v>177.20945275108451</v>
      </c>
      <c r="S30" s="54">
        <f>SUM($R$30:$R$30)</f>
        <v>177.20945275108451</v>
      </c>
      <c r="T30" s="54">
        <f>'TR TE'!$T$30*'TR TE'!$T$51</f>
        <v>0</v>
      </c>
      <c r="U30" s="54">
        <f>'TR TE'!$U$30*'TR TE'!$U$51</f>
        <v>0</v>
      </c>
      <c r="V30" s="54">
        <f>'TR TE'!$V$30*'TR TE'!$V$51</f>
        <v>0</v>
      </c>
      <c r="W30" s="54">
        <f>SUM($T$30:$V$30)</f>
        <v>0</v>
      </c>
      <c r="X30" s="54"/>
      <c r="Y30" s="54">
        <f>SUM($X$30:$X$30)</f>
        <v>0</v>
      </c>
      <c r="Z30" s="54">
        <f>'TR TE'!$Z$30*'TR TE'!$Z$51</f>
        <v>4.5536608155500433</v>
      </c>
      <c r="AA30" s="54">
        <f>SUM($Z$30:$Z$30)</f>
        <v>4.5536608155500433</v>
      </c>
      <c r="AB30" s="54">
        <f>SUMIF($L$4:$AA$4,"SUBTOTAL",$L$30:$AA$30)</f>
        <v>190.11271551178001</v>
      </c>
    </row>
    <row r="31" spans="1:28" ht="11.25" customHeight="1" x14ac:dyDescent="0.25">
      <c r="A31" s="120"/>
      <c r="B31" s="120" t="s">
        <v>81</v>
      </c>
      <c r="C31" s="120" t="s">
        <v>42</v>
      </c>
      <c r="D31" s="120" t="s">
        <v>99</v>
      </c>
      <c r="E31" s="120" t="s">
        <v>25</v>
      </c>
      <c r="F31" s="120" t="s">
        <v>25</v>
      </c>
      <c r="G31" s="57" t="s">
        <v>83</v>
      </c>
      <c r="H31" s="57" t="s">
        <v>82</v>
      </c>
      <c r="I31" s="57">
        <f>'MERCADO TE'!$U$28</f>
        <v>0</v>
      </c>
      <c r="J31" s="15"/>
      <c r="L31" s="54">
        <f>'TR TE'!$L$31*'TR TE'!$L$51</f>
        <v>0</v>
      </c>
      <c r="M31" s="54">
        <f>'TR TE'!$M$31*'TR TE'!$M$51</f>
        <v>23.65911890027094</v>
      </c>
      <c r="N31" s="54">
        <f>'TR TE'!$N$31*'TR TE'!$N$51</f>
        <v>0</v>
      </c>
      <c r="O31" s="54">
        <f>'TR TE'!$O$31*'TR TE'!$O$51</f>
        <v>0</v>
      </c>
      <c r="P31" s="54">
        <f>'TR TE'!$P$31*'TR TE'!$P$51</f>
        <v>-15.309516955125503</v>
      </c>
      <c r="Q31" s="54">
        <f>SUM($L$31:$P$31)</f>
        <v>8.3496019451454373</v>
      </c>
      <c r="R31" s="54">
        <f>'TR TE'!$R$31*'TR TE'!$R$51</f>
        <v>177.20945275108451</v>
      </c>
      <c r="S31" s="54">
        <f>SUM($R$31:$R$31)</f>
        <v>177.20945275108451</v>
      </c>
      <c r="T31" s="54">
        <f>'TR TE'!$T$31*'TR TE'!$T$51</f>
        <v>0</v>
      </c>
      <c r="U31" s="54">
        <f>'TR TE'!$U$31*'TR TE'!$U$51</f>
        <v>0</v>
      </c>
      <c r="V31" s="54">
        <f>'TR TE'!$V$31*'TR TE'!$V$51</f>
        <v>0</v>
      </c>
      <c r="W31" s="54">
        <f>SUM($T$31:$V$31)</f>
        <v>0</v>
      </c>
      <c r="X31" s="54"/>
      <c r="Y31" s="54">
        <f>SUM($X$31:$X$31)</f>
        <v>0</v>
      </c>
      <c r="Z31" s="54">
        <f>'TR TE'!$Z$31*'TR TE'!$Z$51</f>
        <v>4.5536608155500433</v>
      </c>
      <c r="AA31" s="54">
        <f>SUM($Z$31:$Z$31)</f>
        <v>4.5536608155500433</v>
      </c>
      <c r="AB31" s="54">
        <f>SUMIF($L$4:$AA$4,"SUBTOTAL",$L$31:$AA$31)</f>
        <v>190.11271551178001</v>
      </c>
    </row>
    <row r="32" spans="1:28" ht="11.25" customHeight="1" x14ac:dyDescent="0.25">
      <c r="A32" s="120"/>
      <c r="B32" s="120"/>
      <c r="C32" s="120"/>
      <c r="D32" s="120"/>
      <c r="E32" s="120"/>
      <c r="F32" s="120"/>
      <c r="G32" s="57" t="s">
        <v>94</v>
      </c>
      <c r="H32" s="57" t="s">
        <v>82</v>
      </c>
      <c r="I32" s="57">
        <f>'MERCADO TE'!$U$29</f>
        <v>0</v>
      </c>
      <c r="J32" s="15"/>
      <c r="L32" s="54">
        <f>'TR TE'!$L$32*'TR TE'!$L$51</f>
        <v>0</v>
      </c>
      <c r="M32" s="54">
        <f>'TR TE'!$M$32*'TR TE'!$M$51</f>
        <v>23.65911890027094</v>
      </c>
      <c r="N32" s="54">
        <f>'TR TE'!$N$32*'TR TE'!$N$51</f>
        <v>0</v>
      </c>
      <c r="O32" s="54">
        <f>'TR TE'!$O$32*'TR TE'!$O$51</f>
        <v>0</v>
      </c>
      <c r="P32" s="54">
        <f>'TR TE'!$P$32*'TR TE'!$P$51</f>
        <v>-15.309516955125503</v>
      </c>
      <c r="Q32" s="54">
        <f>SUM($L$32:$P$32)</f>
        <v>8.3496019451454373</v>
      </c>
      <c r="R32" s="54">
        <f>'TR TE'!$R$32*'TR TE'!$R$51</f>
        <v>177.20945275108451</v>
      </c>
      <c r="S32" s="54">
        <f>SUM($R$32:$R$32)</f>
        <v>177.20945275108451</v>
      </c>
      <c r="T32" s="54">
        <f>'TR TE'!$T$32*'TR TE'!$T$51</f>
        <v>0</v>
      </c>
      <c r="U32" s="54">
        <f>'TR TE'!$U$32*'TR TE'!$U$51</f>
        <v>0</v>
      </c>
      <c r="V32" s="54">
        <f>'TR TE'!$V$32*'TR TE'!$V$51</f>
        <v>0</v>
      </c>
      <c r="W32" s="54">
        <f>SUM($T$32:$V$32)</f>
        <v>0</v>
      </c>
      <c r="X32" s="54"/>
      <c r="Y32" s="54">
        <f>SUM($X$32:$X$32)</f>
        <v>0</v>
      </c>
      <c r="Z32" s="54">
        <f>'TR TE'!$Z$32*'TR TE'!$Z$51</f>
        <v>4.5536608155500433</v>
      </c>
      <c r="AA32" s="54">
        <f>SUM($Z$32:$Z$32)</f>
        <v>4.5536608155500433</v>
      </c>
      <c r="AB32" s="54">
        <f>SUMIF($L$4:$AA$4,"SUBTOTAL",$L$32:$AA$32)</f>
        <v>190.11271551178001</v>
      </c>
    </row>
    <row r="33" spans="1:28" ht="11.25" customHeight="1" x14ac:dyDescent="0.25">
      <c r="A33" s="120"/>
      <c r="B33" s="120"/>
      <c r="C33" s="120"/>
      <c r="D33" s="120"/>
      <c r="E33" s="120"/>
      <c r="F33" s="120"/>
      <c r="G33" s="57" t="s">
        <v>84</v>
      </c>
      <c r="H33" s="57" t="s">
        <v>82</v>
      </c>
      <c r="I33" s="57">
        <f>'MERCADO TE'!$U$30</f>
        <v>0</v>
      </c>
      <c r="J33" s="15"/>
      <c r="L33" s="54">
        <f>'TR TE'!$L$33*'TR TE'!$L$51</f>
        <v>0</v>
      </c>
      <c r="M33" s="54">
        <f>'TR TE'!$M$33*'TR TE'!$M$51</f>
        <v>23.65911890027094</v>
      </c>
      <c r="N33" s="54">
        <f>'TR TE'!$N$33*'TR TE'!$N$51</f>
        <v>0</v>
      </c>
      <c r="O33" s="54">
        <f>'TR TE'!$O$33*'TR TE'!$O$51</f>
        <v>0</v>
      </c>
      <c r="P33" s="54">
        <f>'TR TE'!$P$33*'TR TE'!$P$51</f>
        <v>-15.309516955125503</v>
      </c>
      <c r="Q33" s="54">
        <f>SUM($L$33:$P$33)</f>
        <v>8.3496019451454373</v>
      </c>
      <c r="R33" s="54">
        <f>'TR TE'!$R$33*'TR TE'!$R$51</f>
        <v>177.20945275108451</v>
      </c>
      <c r="S33" s="54">
        <f>SUM($R$33:$R$33)</f>
        <v>177.20945275108451</v>
      </c>
      <c r="T33" s="54">
        <f>'TR TE'!$T$33*'TR TE'!$T$51</f>
        <v>0</v>
      </c>
      <c r="U33" s="54">
        <f>'TR TE'!$U$33*'TR TE'!$U$51</f>
        <v>0</v>
      </c>
      <c r="V33" s="54">
        <f>'TR TE'!$V$33*'TR TE'!$V$51</f>
        <v>0</v>
      </c>
      <c r="W33" s="54">
        <f>SUM($T$33:$V$33)</f>
        <v>0</v>
      </c>
      <c r="X33" s="54"/>
      <c r="Y33" s="54">
        <f>SUM($X$33:$X$33)</f>
        <v>0</v>
      </c>
      <c r="Z33" s="54">
        <f>'TR TE'!$Z$33*'TR TE'!$Z$51</f>
        <v>4.5536608155500433</v>
      </c>
      <c r="AA33" s="54">
        <f>SUM($Z$33:$Z$33)</f>
        <v>4.5536608155500433</v>
      </c>
      <c r="AB33" s="54">
        <f>SUMIF($L$4:$AA$4,"SUBTOTAL",$L$33:$AA$33)</f>
        <v>190.11271551178001</v>
      </c>
    </row>
    <row r="34" spans="1:28" ht="11.25" customHeight="1" x14ac:dyDescent="0.25">
      <c r="A34" s="120"/>
      <c r="B34" s="56" t="s">
        <v>90</v>
      </c>
      <c r="C34" s="56" t="s">
        <v>42</v>
      </c>
      <c r="D34" s="56" t="s">
        <v>99</v>
      </c>
      <c r="E34" s="56" t="s">
        <v>25</v>
      </c>
      <c r="F34" s="56" t="s">
        <v>25</v>
      </c>
      <c r="G34" s="57" t="s">
        <v>88</v>
      </c>
      <c r="H34" s="57" t="s">
        <v>82</v>
      </c>
      <c r="I34" s="57">
        <f>'MERCADO TE'!$U$31</f>
        <v>0</v>
      </c>
      <c r="J34" s="15"/>
      <c r="L34" s="54">
        <f>'TR TE'!$L$34*'TR TE'!$L$51</f>
        <v>0</v>
      </c>
      <c r="M34" s="54">
        <f>'TR TE'!$M$34*'TR TE'!$M$51</f>
        <v>23.65911890027094</v>
      </c>
      <c r="N34" s="54">
        <f>'TR TE'!$N$34*'TR TE'!$N$51</f>
        <v>0</v>
      </c>
      <c r="O34" s="54">
        <f>'TR TE'!$O$34*'TR TE'!$O$51</f>
        <v>0</v>
      </c>
      <c r="P34" s="54">
        <f>'TR TE'!$P$34*'TR TE'!$P$51</f>
        <v>-15.309516955125503</v>
      </c>
      <c r="Q34" s="54">
        <f>SUM($L$34:$P$34)</f>
        <v>8.3496019451454373</v>
      </c>
      <c r="R34" s="54">
        <f>'TR TE'!$R$34*'TR TE'!$R$51</f>
        <v>177.20945275108451</v>
      </c>
      <c r="S34" s="54">
        <f>SUM($R$34:$R$34)</f>
        <v>177.20945275108451</v>
      </c>
      <c r="T34" s="54">
        <f>'TR TE'!$T$34*'TR TE'!$T$51</f>
        <v>0</v>
      </c>
      <c r="U34" s="54">
        <f>'TR TE'!$U$34*'TR TE'!$U$51</f>
        <v>0</v>
      </c>
      <c r="V34" s="54">
        <f>'TR TE'!$V$34*'TR TE'!$V$51</f>
        <v>0</v>
      </c>
      <c r="W34" s="54">
        <f>SUM($T$34:$V$34)</f>
        <v>0</v>
      </c>
      <c r="X34" s="54"/>
      <c r="Y34" s="54">
        <f>SUM($X$34:$X$34)</f>
        <v>0</v>
      </c>
      <c r="Z34" s="54">
        <f>'TR TE'!$Z$34*'TR TE'!$Z$51</f>
        <v>4.5536608155500433</v>
      </c>
      <c r="AA34" s="54">
        <f>SUM($Z$34:$Z$34)</f>
        <v>4.5536608155500433</v>
      </c>
      <c r="AB34" s="54">
        <f>SUMIF($L$4:$AA$4,"SUBTOTAL",$L$34:$AA$34)</f>
        <v>190.11271551178001</v>
      </c>
    </row>
    <row r="35" spans="1:28" ht="11.25" customHeight="1" x14ac:dyDescent="0.25">
      <c r="A35" s="120"/>
      <c r="B35" s="120" t="s">
        <v>96</v>
      </c>
      <c r="C35" s="120" t="s">
        <v>42</v>
      </c>
      <c r="D35" s="56" t="s">
        <v>25</v>
      </c>
      <c r="E35" s="56" t="s">
        <v>25</v>
      </c>
      <c r="F35" s="56" t="s">
        <v>25</v>
      </c>
      <c r="G35" s="57" t="s">
        <v>88</v>
      </c>
      <c r="H35" s="57" t="s">
        <v>82</v>
      </c>
      <c r="I35" s="57">
        <f>'MERCADO TE'!$U$32</f>
        <v>0</v>
      </c>
      <c r="J35" s="15"/>
      <c r="L35" s="54">
        <f>'TR TE'!$L$35*'TR TE'!$L$51</f>
        <v>0</v>
      </c>
      <c r="M35" s="54">
        <f>'TR TE'!$M$35*'TR TE'!$M$51</f>
        <v>23.65911890027094</v>
      </c>
      <c r="N35" s="54">
        <f>'TR TE'!$N$35*'TR TE'!$N$51</f>
        <v>0</v>
      </c>
      <c r="O35" s="54">
        <f>'TR TE'!$O$35*'TR TE'!$O$51</f>
        <v>0</v>
      </c>
      <c r="P35" s="54">
        <f>'TR TE'!$P$35*'TR TE'!$P$51</f>
        <v>-15.309516955125503</v>
      </c>
      <c r="Q35" s="54">
        <f>SUM($L$35:$P$35)</f>
        <v>8.3496019451454373</v>
      </c>
      <c r="R35" s="54">
        <f>'TR TE'!$R$35*'TR TE'!$R$51</f>
        <v>177.20945275108451</v>
      </c>
      <c r="S35" s="54">
        <f>SUM($R$35:$R$35)</f>
        <v>177.20945275108451</v>
      </c>
      <c r="T35" s="54">
        <f>'TR TE'!$T$35*'TR TE'!$T$51</f>
        <v>0</v>
      </c>
      <c r="U35" s="54">
        <f>'TR TE'!$U$35*'TR TE'!$U$51</f>
        <v>0</v>
      </c>
      <c r="V35" s="54">
        <f>'TR TE'!$V$35*'TR TE'!$V$51</f>
        <v>0</v>
      </c>
      <c r="W35" s="54">
        <f>SUM($T$35:$V$35)</f>
        <v>0</v>
      </c>
      <c r="X35" s="54"/>
      <c r="Y35" s="54">
        <f>SUM($X$35:$X$35)</f>
        <v>0</v>
      </c>
      <c r="Z35" s="54">
        <f>'TR TE'!$Z$35*'TR TE'!$Z$51</f>
        <v>4.5536608155500433</v>
      </c>
      <c r="AA35" s="54">
        <f>SUM($Z$35:$Z$35)</f>
        <v>4.5536608155500433</v>
      </c>
      <c r="AB35" s="54">
        <f>SUMIF($L$4:$AA$4,"SUBTOTAL",$L$35:$AA$35)</f>
        <v>190.11271551178001</v>
      </c>
    </row>
    <row r="36" spans="1:28" ht="11.25" customHeight="1" x14ac:dyDescent="0.25">
      <c r="A36" s="120"/>
      <c r="B36" s="120"/>
      <c r="C36" s="120"/>
      <c r="D36" s="56" t="s">
        <v>98</v>
      </c>
      <c r="E36" s="56" t="s">
        <v>25</v>
      </c>
      <c r="F36" s="56" t="s">
        <v>25</v>
      </c>
      <c r="G36" s="57" t="s">
        <v>88</v>
      </c>
      <c r="H36" s="57" t="s">
        <v>82</v>
      </c>
      <c r="I36" s="57">
        <f>'MERCADO TE'!$U$33</f>
        <v>0</v>
      </c>
      <c r="J36" s="15"/>
      <c r="L36" s="54">
        <f>'TR TE'!$L$36*'TR TE'!$L$51</f>
        <v>0</v>
      </c>
      <c r="M36" s="54">
        <f>'TR TE'!$M$36*'TR TE'!$M$51</f>
        <v>23.65911890027094</v>
      </c>
      <c r="N36" s="54">
        <f>'TR TE'!$N$36*'TR TE'!$N$51</f>
        <v>0</v>
      </c>
      <c r="O36" s="54">
        <f>'TR TE'!$O$36*'TR TE'!$O$51</f>
        <v>0</v>
      </c>
      <c r="P36" s="54">
        <f>'TR TE'!$P$36*'TR TE'!$P$51</f>
        <v>-15.309516955125503</v>
      </c>
      <c r="Q36" s="54">
        <f>SUM($L$36:$P$36)</f>
        <v>8.3496019451454373</v>
      </c>
      <c r="R36" s="54">
        <f>'TR TE'!$R$36*'TR TE'!$R$51</f>
        <v>177.20945275108451</v>
      </c>
      <c r="S36" s="54">
        <f>SUM($R$36:$R$36)</f>
        <v>177.20945275108451</v>
      </c>
      <c r="T36" s="54">
        <f>'TR TE'!$T$36*'TR TE'!$T$51</f>
        <v>0</v>
      </c>
      <c r="U36" s="54">
        <f>'TR TE'!$U$36*'TR TE'!$U$51</f>
        <v>0</v>
      </c>
      <c r="V36" s="54">
        <f>'TR TE'!$V$36*'TR TE'!$V$51</f>
        <v>0</v>
      </c>
      <c r="W36" s="54">
        <f>SUM($T$36:$V$36)</f>
        <v>0</v>
      </c>
      <c r="X36" s="54"/>
      <c r="Y36" s="54">
        <f>SUM($X$36:$X$36)</f>
        <v>0</v>
      </c>
      <c r="Z36" s="54">
        <f>'TR TE'!$Z$36*'TR TE'!$Z$51</f>
        <v>4.5536608155500433</v>
      </c>
      <c r="AA36" s="54">
        <f>SUM($Z$36:$Z$36)</f>
        <v>4.5536608155500433</v>
      </c>
      <c r="AB36" s="54">
        <f>SUMIF($L$4:$AA$4,"SUBTOTAL",$L$36:$AA$36)</f>
        <v>190.11271551178001</v>
      </c>
    </row>
    <row r="37" spans="1:28" ht="11.25" customHeight="1" x14ac:dyDescent="0.25">
      <c r="A37" s="120"/>
      <c r="B37" s="120"/>
      <c r="C37" s="120"/>
      <c r="D37" s="56" t="s">
        <v>99</v>
      </c>
      <c r="E37" s="56" t="s">
        <v>25</v>
      </c>
      <c r="F37" s="56" t="s">
        <v>25</v>
      </c>
      <c r="G37" s="57" t="s">
        <v>88</v>
      </c>
      <c r="H37" s="57" t="s">
        <v>82</v>
      </c>
      <c r="I37" s="57">
        <f>'MERCADO TE'!$U$34</f>
        <v>0</v>
      </c>
      <c r="J37" s="15"/>
      <c r="L37" s="54">
        <f>'TR TE'!$L$37*'TR TE'!$L$51</f>
        <v>0</v>
      </c>
      <c r="M37" s="54">
        <f>'TR TE'!$M$37*'TR TE'!$M$51</f>
        <v>23.65911890027094</v>
      </c>
      <c r="N37" s="54">
        <f>'TR TE'!$N$37*'TR TE'!$N$51</f>
        <v>0</v>
      </c>
      <c r="O37" s="54">
        <f>'TR TE'!$O$37*'TR TE'!$O$51</f>
        <v>0</v>
      </c>
      <c r="P37" s="54">
        <f>'TR TE'!$P$37*'TR TE'!$P$51</f>
        <v>-15.309516955125503</v>
      </c>
      <c r="Q37" s="54">
        <f>SUM($L$37:$P$37)</f>
        <v>8.3496019451454373</v>
      </c>
      <c r="R37" s="54">
        <f>'TR TE'!$R$37*'TR TE'!$R$51</f>
        <v>177.20945275108451</v>
      </c>
      <c r="S37" s="54">
        <f>SUM($R$37:$R$37)</f>
        <v>177.20945275108451</v>
      </c>
      <c r="T37" s="54">
        <f>'TR TE'!$T$37*'TR TE'!$T$51</f>
        <v>0</v>
      </c>
      <c r="U37" s="54">
        <f>'TR TE'!$U$37*'TR TE'!$U$51</f>
        <v>0</v>
      </c>
      <c r="V37" s="54">
        <f>'TR TE'!$V$37*'TR TE'!$V$51</f>
        <v>0</v>
      </c>
      <c r="W37" s="54">
        <f>SUM($T$37:$V$37)</f>
        <v>0</v>
      </c>
      <c r="X37" s="54"/>
      <c r="Y37" s="54">
        <f>SUM($X$37:$X$37)</f>
        <v>0</v>
      </c>
      <c r="Z37" s="54">
        <f>'TR TE'!$Z$37*'TR TE'!$Z$51</f>
        <v>4.5536608155500433</v>
      </c>
      <c r="AA37" s="54">
        <f>SUM($Z$37:$Z$37)</f>
        <v>4.5536608155500433</v>
      </c>
      <c r="AB37" s="54">
        <f>SUMIF($L$4:$AA$4,"SUBTOTAL",$L$37:$AA$37)</f>
        <v>190.11271551178001</v>
      </c>
    </row>
    <row r="38" spans="1:28" ht="11.25" customHeight="1" x14ac:dyDescent="0.25">
      <c r="A38" s="120" t="s">
        <v>33</v>
      </c>
      <c r="B38" s="120" t="s">
        <v>81</v>
      </c>
      <c r="C38" s="120" t="s">
        <v>25</v>
      </c>
      <c r="D38" s="120" t="s">
        <v>25</v>
      </c>
      <c r="E38" s="120" t="s">
        <v>25</v>
      </c>
      <c r="F38" s="120" t="s">
        <v>25</v>
      </c>
      <c r="G38" s="57" t="s">
        <v>83</v>
      </c>
      <c r="H38" s="57" t="s">
        <v>82</v>
      </c>
      <c r="I38" s="57">
        <f>'MERCADO TE'!$U$35</f>
        <v>0</v>
      </c>
      <c r="J38" s="15"/>
      <c r="L38" s="54">
        <f>'TR TE'!$L$38*'TR TE'!$L$51</f>
        <v>0</v>
      </c>
      <c r="M38" s="54">
        <f>'TR TE'!$M$38*'TR TE'!$M$51</f>
        <v>23.65911890027094</v>
      </c>
      <c r="N38" s="54">
        <f>'TR TE'!$N$38*'TR TE'!$N$51</f>
        <v>0</v>
      </c>
      <c r="O38" s="54">
        <f>'TR TE'!$O$38*'TR TE'!$O$51</f>
        <v>0</v>
      </c>
      <c r="P38" s="54">
        <f>'TR TE'!$P$38*'TR TE'!$P$51</f>
        <v>-15.309516955125503</v>
      </c>
      <c r="Q38" s="54">
        <f>SUM($L$38:$P$38)</f>
        <v>8.3496019451454373</v>
      </c>
      <c r="R38" s="54">
        <f>'TR TE'!$R$38*'TR TE'!$R$51</f>
        <v>177.20945275108451</v>
      </c>
      <c r="S38" s="54">
        <f>SUM($R$38:$R$38)</f>
        <v>177.20945275108451</v>
      </c>
      <c r="T38" s="54">
        <f>'TR TE'!$T$38*'TR TE'!$T$51</f>
        <v>0</v>
      </c>
      <c r="U38" s="54">
        <f>'TR TE'!$U$38*'TR TE'!$U$51</f>
        <v>0</v>
      </c>
      <c r="V38" s="54">
        <f>'TR TE'!$V$38*'TR TE'!$V$51</f>
        <v>0</v>
      </c>
      <c r="W38" s="54">
        <f>SUM($T$38:$V$38)</f>
        <v>0</v>
      </c>
      <c r="X38" s="54"/>
      <c r="Y38" s="54">
        <f>SUM($X$38:$X$38)</f>
        <v>0</v>
      </c>
      <c r="Z38" s="54">
        <f>'TR TE'!$Z$38*'TR TE'!$Z$51</f>
        <v>4.5536608155500433</v>
      </c>
      <c r="AA38" s="54">
        <f>SUM($Z$38:$Z$38)</f>
        <v>4.5536608155500433</v>
      </c>
      <c r="AB38" s="54">
        <f>SUMIF($L$4:$AA$4,"SUBTOTAL",$L$38:$AA$38)</f>
        <v>190.11271551178001</v>
      </c>
    </row>
    <row r="39" spans="1:28" ht="11.25" customHeight="1" x14ac:dyDescent="0.25">
      <c r="A39" s="120"/>
      <c r="B39" s="120"/>
      <c r="C39" s="120"/>
      <c r="D39" s="120"/>
      <c r="E39" s="120"/>
      <c r="F39" s="120"/>
      <c r="G39" s="57" t="s">
        <v>94</v>
      </c>
      <c r="H39" s="57" t="s">
        <v>82</v>
      </c>
      <c r="I39" s="57">
        <f>'MERCADO TE'!$U$36</f>
        <v>0</v>
      </c>
      <c r="J39" s="15"/>
      <c r="L39" s="54">
        <f>'TR TE'!$L$39*'TR TE'!$L$51</f>
        <v>0</v>
      </c>
      <c r="M39" s="54">
        <f>'TR TE'!$M$39*'TR TE'!$M$51</f>
        <v>23.65911890027094</v>
      </c>
      <c r="N39" s="54">
        <f>'TR TE'!$N$39*'TR TE'!$N$51</f>
        <v>0</v>
      </c>
      <c r="O39" s="54">
        <f>'TR TE'!$O$39*'TR TE'!$O$51</f>
        <v>0</v>
      </c>
      <c r="P39" s="54">
        <f>'TR TE'!$P$39*'TR TE'!$P$51</f>
        <v>-15.309516955125503</v>
      </c>
      <c r="Q39" s="54">
        <f>SUM($L$39:$P$39)</f>
        <v>8.3496019451454373</v>
      </c>
      <c r="R39" s="54">
        <f>'TR TE'!$R$39*'TR TE'!$R$51</f>
        <v>177.20945275108451</v>
      </c>
      <c r="S39" s="54">
        <f>SUM($R$39:$R$39)</f>
        <v>177.20945275108451</v>
      </c>
      <c r="T39" s="54">
        <f>'TR TE'!$T$39*'TR TE'!$T$51</f>
        <v>0</v>
      </c>
      <c r="U39" s="54">
        <f>'TR TE'!$U$39*'TR TE'!$U$51</f>
        <v>0</v>
      </c>
      <c r="V39" s="54">
        <f>'TR TE'!$V$39*'TR TE'!$V$51</f>
        <v>0</v>
      </c>
      <c r="W39" s="54">
        <f>SUM($T$39:$V$39)</f>
        <v>0</v>
      </c>
      <c r="X39" s="54"/>
      <c r="Y39" s="54">
        <f>SUM($X$39:$X$39)</f>
        <v>0</v>
      </c>
      <c r="Z39" s="54">
        <f>'TR TE'!$Z$39*'TR TE'!$Z$51</f>
        <v>4.5536608155500433</v>
      </c>
      <c r="AA39" s="54">
        <f>SUM($Z$39:$Z$39)</f>
        <v>4.5536608155500433</v>
      </c>
      <c r="AB39" s="54">
        <f>SUMIF($L$4:$AA$4,"SUBTOTAL",$L$39:$AA$39)</f>
        <v>190.11271551178001</v>
      </c>
    </row>
    <row r="40" spans="1:28" ht="11.25" customHeight="1" x14ac:dyDescent="0.25">
      <c r="A40" s="120"/>
      <c r="B40" s="120"/>
      <c r="C40" s="120"/>
      <c r="D40" s="120"/>
      <c r="E40" s="120"/>
      <c r="F40" s="120"/>
      <c r="G40" s="57" t="s">
        <v>84</v>
      </c>
      <c r="H40" s="57" t="s">
        <v>82</v>
      </c>
      <c r="I40" s="57">
        <f>'MERCADO TE'!$U$37</f>
        <v>0</v>
      </c>
      <c r="J40" s="15"/>
      <c r="L40" s="54">
        <f>'TR TE'!$L$40*'TR TE'!$L$51</f>
        <v>0</v>
      </c>
      <c r="M40" s="54">
        <f>'TR TE'!$M$40*'TR TE'!$M$51</f>
        <v>23.65911890027094</v>
      </c>
      <c r="N40" s="54">
        <f>'TR TE'!$N$40*'TR TE'!$N$51</f>
        <v>0</v>
      </c>
      <c r="O40" s="54">
        <f>'TR TE'!$O$40*'TR TE'!$O$51</f>
        <v>0</v>
      </c>
      <c r="P40" s="54">
        <f>'TR TE'!$P$40*'TR TE'!$P$51</f>
        <v>-15.309516955125503</v>
      </c>
      <c r="Q40" s="54">
        <f>SUM($L$40:$P$40)</f>
        <v>8.3496019451454373</v>
      </c>
      <c r="R40" s="54">
        <f>'TR TE'!$R$40*'TR TE'!$R$51</f>
        <v>177.20945275108451</v>
      </c>
      <c r="S40" s="54">
        <f>SUM($R$40:$R$40)</f>
        <v>177.20945275108451</v>
      </c>
      <c r="T40" s="54">
        <f>'TR TE'!$T$40*'TR TE'!$T$51</f>
        <v>0</v>
      </c>
      <c r="U40" s="54">
        <f>'TR TE'!$U$40*'TR TE'!$U$51</f>
        <v>0</v>
      </c>
      <c r="V40" s="54">
        <f>'TR TE'!$V$40*'TR TE'!$V$51</f>
        <v>0</v>
      </c>
      <c r="W40" s="54">
        <f>SUM($T$40:$V$40)</f>
        <v>0</v>
      </c>
      <c r="X40" s="54"/>
      <c r="Y40" s="54">
        <f>SUM($X$40:$X$40)</f>
        <v>0</v>
      </c>
      <c r="Z40" s="54">
        <f>'TR TE'!$Z$40*'TR TE'!$Z$51</f>
        <v>4.5536608155500433</v>
      </c>
      <c r="AA40" s="54">
        <f>SUM($Z$40:$Z$40)</f>
        <v>4.5536608155500433</v>
      </c>
      <c r="AB40" s="54">
        <f>SUMIF($L$4:$AA$4,"SUBTOTAL",$L$40:$AA$40)</f>
        <v>190.11271551178001</v>
      </c>
    </row>
    <row r="41" spans="1:28" ht="11.25" customHeight="1" x14ac:dyDescent="0.25">
      <c r="A41" s="120"/>
      <c r="B41" s="56" t="s">
        <v>90</v>
      </c>
      <c r="C41" s="56" t="s">
        <v>25</v>
      </c>
      <c r="D41" s="56" t="s">
        <v>25</v>
      </c>
      <c r="E41" s="56" t="s">
        <v>25</v>
      </c>
      <c r="F41" s="56" t="s">
        <v>25</v>
      </c>
      <c r="G41" s="57" t="s">
        <v>88</v>
      </c>
      <c r="H41" s="57" t="s">
        <v>82</v>
      </c>
      <c r="I41" s="57">
        <f>'MERCADO TE'!$U$38</f>
        <v>28646.591999999997</v>
      </c>
      <c r="J41" s="15"/>
      <c r="L41" s="54">
        <f>'TR TE'!$L$41*'TR TE'!$L$51</f>
        <v>0</v>
      </c>
      <c r="M41" s="54">
        <f>'TR TE'!$M$41*'TR TE'!$M$51</f>
        <v>23.65911890027094</v>
      </c>
      <c r="N41" s="54">
        <f>'TR TE'!$N$41*'TR TE'!$N$51</f>
        <v>0</v>
      </c>
      <c r="O41" s="54">
        <f>'TR TE'!$O$41*'TR TE'!$O$51</f>
        <v>0</v>
      </c>
      <c r="P41" s="54">
        <f>'TR TE'!$P$41*'TR TE'!$P$51</f>
        <v>-15.309516955125503</v>
      </c>
      <c r="Q41" s="54">
        <f>SUM($L$41:$P$41)</f>
        <v>8.3496019451454373</v>
      </c>
      <c r="R41" s="54">
        <f>'TR TE'!$R$41*'TR TE'!$R$51</f>
        <v>177.20945275108451</v>
      </c>
      <c r="S41" s="54">
        <f>SUM($R$41:$R$41)</f>
        <v>177.20945275108451</v>
      </c>
      <c r="T41" s="54">
        <f>'TR TE'!$T$41*'TR TE'!$T$51</f>
        <v>0</v>
      </c>
      <c r="U41" s="54">
        <f>'TR TE'!$U$41*'TR TE'!$U$51</f>
        <v>0</v>
      </c>
      <c r="V41" s="54">
        <f>'TR TE'!$V$41*'TR TE'!$V$51</f>
        <v>0</v>
      </c>
      <c r="W41" s="54">
        <f>SUM($T$41:$V$41)</f>
        <v>0</v>
      </c>
      <c r="X41" s="54"/>
      <c r="Y41" s="54">
        <f>SUM($X$41:$X$41)</f>
        <v>0</v>
      </c>
      <c r="Z41" s="54">
        <f>'TR TE'!$Z$41*'TR TE'!$Z$51</f>
        <v>4.5536608155500433</v>
      </c>
      <c r="AA41" s="54">
        <f>SUM($Z$41:$Z$41)</f>
        <v>4.5536608155500433</v>
      </c>
      <c r="AB41" s="54">
        <f>SUMIF($L$4:$AA$4,"SUBTOTAL",$L$41:$AA$41)</f>
        <v>190.11271551178001</v>
      </c>
    </row>
    <row r="42" spans="1:28" ht="11.25" customHeight="1" x14ac:dyDescent="0.25">
      <c r="A42" s="120"/>
      <c r="B42" s="56" t="s">
        <v>96</v>
      </c>
      <c r="C42" s="56" t="s">
        <v>25</v>
      </c>
      <c r="D42" s="56" t="s">
        <v>25</v>
      </c>
      <c r="E42" s="56" t="s">
        <v>25</v>
      </c>
      <c r="F42" s="56" t="s">
        <v>25</v>
      </c>
      <c r="G42" s="57" t="s">
        <v>88</v>
      </c>
      <c r="H42" s="57" t="s">
        <v>82</v>
      </c>
      <c r="I42" s="57">
        <f>'MERCADO TE'!$U$39</f>
        <v>0</v>
      </c>
      <c r="J42" s="15"/>
      <c r="L42" s="54">
        <f>'TR TE'!$L$42*'TR TE'!$L$51</f>
        <v>0</v>
      </c>
      <c r="M42" s="54">
        <f>'TR TE'!$M$42*'TR TE'!$M$51</f>
        <v>23.65911890027094</v>
      </c>
      <c r="N42" s="54">
        <f>'TR TE'!$N$42*'TR TE'!$N$51</f>
        <v>0</v>
      </c>
      <c r="O42" s="54">
        <f>'TR TE'!$O$42*'TR TE'!$O$51</f>
        <v>0</v>
      </c>
      <c r="P42" s="54">
        <f>'TR TE'!$P$42*'TR TE'!$P$51</f>
        <v>-15.309516955125503</v>
      </c>
      <c r="Q42" s="54">
        <f>SUM($L$42:$P$42)</f>
        <v>8.3496019451454373</v>
      </c>
      <c r="R42" s="54">
        <f>'TR TE'!$R$42*'TR TE'!$R$51</f>
        <v>177.20945275108451</v>
      </c>
      <c r="S42" s="54">
        <f>SUM($R$42:$R$42)</f>
        <v>177.20945275108451</v>
      </c>
      <c r="T42" s="54">
        <f>'TR TE'!$T$42*'TR TE'!$T$51</f>
        <v>0</v>
      </c>
      <c r="U42" s="54">
        <f>'TR TE'!$U$42*'TR TE'!$U$51</f>
        <v>0</v>
      </c>
      <c r="V42" s="54">
        <f>'TR TE'!$V$42*'TR TE'!$V$51</f>
        <v>0</v>
      </c>
      <c r="W42" s="54">
        <f>SUM($T$42:$V$42)</f>
        <v>0</v>
      </c>
      <c r="X42" s="54"/>
      <c r="Y42" s="54">
        <f>SUM($X$42:$X$42)</f>
        <v>0</v>
      </c>
      <c r="Z42" s="54">
        <f>'TR TE'!$Z$42*'TR TE'!$Z$51</f>
        <v>4.5536608155500433</v>
      </c>
      <c r="AA42" s="54">
        <f>SUM($Z$42:$Z$42)</f>
        <v>4.5536608155500433</v>
      </c>
      <c r="AB42" s="54">
        <f>SUMIF($L$4:$AA$4,"SUBTOTAL",$L$42:$AA$42)</f>
        <v>190.11271551178001</v>
      </c>
    </row>
    <row r="43" spans="1:28" ht="11.25" customHeight="1" x14ac:dyDescent="0.25">
      <c r="A43" s="120" t="s">
        <v>44</v>
      </c>
      <c r="B43" s="120" t="s">
        <v>90</v>
      </c>
      <c r="C43" s="120" t="s">
        <v>45</v>
      </c>
      <c r="D43" s="56" t="s">
        <v>46</v>
      </c>
      <c r="E43" s="56" t="s">
        <v>25</v>
      </c>
      <c r="F43" s="56" t="s">
        <v>25</v>
      </c>
      <c r="G43" s="57" t="s">
        <v>88</v>
      </c>
      <c r="H43" s="57" t="s">
        <v>82</v>
      </c>
      <c r="I43" s="57">
        <f>'MERCADO TE'!$U$40</f>
        <v>6635.9900000000007</v>
      </c>
      <c r="J43" s="15"/>
      <c r="L43" s="54">
        <f>'TR TE'!$L$43*'TR TE'!$L$51</f>
        <v>0</v>
      </c>
      <c r="M43" s="54">
        <f>'TR TE'!$M$43*'TR TE'!$M$51</f>
        <v>13.012515395149018</v>
      </c>
      <c r="N43" s="54">
        <f>'TR TE'!$N$43*'TR TE'!$N$51</f>
        <v>0</v>
      </c>
      <c r="O43" s="54">
        <f>'TR TE'!$O$43*'TR TE'!$O$51</f>
        <v>0</v>
      </c>
      <c r="P43" s="54">
        <f>'TR TE'!$P$43*'TR TE'!$P$51</f>
        <v>-8.4202343253190275</v>
      </c>
      <c r="Q43" s="54">
        <f>SUM($L$43:$P$43)</f>
        <v>4.5922810698299905</v>
      </c>
      <c r="R43" s="54">
        <f>'TR TE'!$R$43*'TR TE'!$R$51</f>
        <v>97.465199013096495</v>
      </c>
      <c r="S43" s="54">
        <f>SUM($R$43:$R$43)</f>
        <v>97.465199013096495</v>
      </c>
      <c r="T43" s="54">
        <f>'TR TE'!$T$43*'TR TE'!$T$51</f>
        <v>0</v>
      </c>
      <c r="U43" s="54">
        <f>'TR TE'!$U$43*'TR TE'!$U$51</f>
        <v>0</v>
      </c>
      <c r="V43" s="54">
        <f>'TR TE'!$V$43*'TR TE'!$V$51</f>
        <v>0</v>
      </c>
      <c r="W43" s="54">
        <f>SUM($T$43:$V$43)</f>
        <v>0</v>
      </c>
      <c r="X43" s="54"/>
      <c r="Y43" s="54">
        <f>SUM($X$43:$X$43)</f>
        <v>0</v>
      </c>
      <c r="Z43" s="54">
        <f>'TR TE'!$Z$43*'TR TE'!$Z$51</f>
        <v>2.5045134485525242</v>
      </c>
      <c r="AA43" s="54">
        <f>SUM($Z$43:$Z$43)</f>
        <v>2.5045134485525242</v>
      </c>
      <c r="AB43" s="54">
        <f>SUMIF($L$4:$AA$4,"SUBTOTAL",$L$43:$AA$43)</f>
        <v>104.56199353147902</v>
      </c>
    </row>
    <row r="44" spans="1:28" ht="11.25" customHeight="1" x14ac:dyDescent="0.25">
      <c r="A44" s="120"/>
      <c r="B44" s="120"/>
      <c r="C44" s="120"/>
      <c r="D44" s="57" t="s">
        <v>100</v>
      </c>
      <c r="E44" s="57" t="s">
        <v>25</v>
      </c>
      <c r="F44" s="57" t="s">
        <v>25</v>
      </c>
      <c r="G44" s="57" t="s">
        <v>88</v>
      </c>
      <c r="H44" s="57" t="s">
        <v>82</v>
      </c>
      <c r="I44" s="57">
        <f>'MERCADO TE'!$U$41</f>
        <v>0</v>
      </c>
      <c r="J44" s="15"/>
      <c r="L44" s="54">
        <f>'TR TE'!$L$44*'TR TE'!$L$51</f>
        <v>0</v>
      </c>
      <c r="M44" s="54">
        <f>'TR TE'!$M$44*'TR TE'!$M$51</f>
        <v>14.195471340162564</v>
      </c>
      <c r="N44" s="54">
        <f>'TR TE'!$N$44*'TR TE'!$N$51</f>
        <v>0</v>
      </c>
      <c r="O44" s="54">
        <f>'TR TE'!$O$44*'TR TE'!$O$51</f>
        <v>0</v>
      </c>
      <c r="P44" s="54">
        <f>'TR TE'!$P$44*'TR TE'!$P$51</f>
        <v>-9.1857101730753019</v>
      </c>
      <c r="Q44" s="54">
        <f>SUM($L$44:$P$44)</f>
        <v>5.0097611670872624</v>
      </c>
      <c r="R44" s="54">
        <f>'TR TE'!$R$44*'TR TE'!$R$51</f>
        <v>106.3256716506507</v>
      </c>
      <c r="S44" s="54">
        <f>SUM($R$44:$R$44)</f>
        <v>106.3256716506507</v>
      </c>
      <c r="T44" s="54">
        <f>'TR TE'!$T$44*'TR TE'!$T$51</f>
        <v>0</v>
      </c>
      <c r="U44" s="54">
        <f>'TR TE'!$U$44*'TR TE'!$U$51</f>
        <v>0</v>
      </c>
      <c r="V44" s="54">
        <f>'TR TE'!$V$44*'TR TE'!$V$51</f>
        <v>0</v>
      </c>
      <c r="W44" s="54">
        <f>SUM($T$44:$V$44)</f>
        <v>0</v>
      </c>
      <c r="X44" s="54"/>
      <c r="Y44" s="54">
        <f>SUM($X$44:$X$44)</f>
        <v>0</v>
      </c>
      <c r="Z44" s="54">
        <f>'TR TE'!$Z$44*'TR TE'!$Z$51</f>
        <v>2.7321964893300259</v>
      </c>
      <c r="AA44" s="54">
        <f>SUM($Z$44:$Z$44)</f>
        <v>2.7321964893300259</v>
      </c>
      <c r="AB44" s="54">
        <f>SUMIF($L$4:$AA$4,"SUBTOTAL",$L$44:$AA$44)</f>
        <v>114.06762930706799</v>
      </c>
    </row>
    <row r="46" spans="1:28" ht="11.25" customHeight="1" x14ac:dyDescent="0.25">
      <c r="K46" s="59" t="s">
        <v>561</v>
      </c>
      <c r="L46" s="54">
        <f t="shared" ref="L46:AB46" si="0">SUMPRODUCT($I$5:$I$44,L$5:L$44)</f>
        <v>0</v>
      </c>
      <c r="M46" s="54">
        <f t="shared" si="0"/>
        <v>10245911.661914384</v>
      </c>
      <c r="N46" s="54">
        <f t="shared" si="0"/>
        <v>0</v>
      </c>
      <c r="O46" s="54">
        <f t="shared" si="0"/>
        <v>0</v>
      </c>
      <c r="P46" s="54">
        <f t="shared" si="0"/>
        <v>-6630000.0000000009</v>
      </c>
      <c r="Q46" s="54">
        <f t="shared" si="0"/>
        <v>3615911.6619143807</v>
      </c>
      <c r="R46" s="54">
        <f t="shared" si="0"/>
        <v>76743026.914793938</v>
      </c>
      <c r="S46" s="54">
        <f t="shared" si="0"/>
        <v>76743026.914793938</v>
      </c>
      <c r="T46" s="54">
        <f t="shared" si="0"/>
        <v>0</v>
      </c>
      <c r="U46" s="54">
        <f t="shared" si="0"/>
        <v>0</v>
      </c>
      <c r="V46" s="54">
        <f t="shared" si="0"/>
        <v>0</v>
      </c>
      <c r="W46" s="54">
        <f t="shared" si="0"/>
        <v>0</v>
      </c>
      <c r="X46" s="54">
        <f t="shared" si="0"/>
        <v>0</v>
      </c>
      <c r="Y46" s="54">
        <f t="shared" si="0"/>
        <v>0</v>
      </c>
      <c r="Z46" s="54">
        <f t="shared" si="0"/>
        <v>1972026.3738947795</v>
      </c>
      <c r="AA46" s="54">
        <f t="shared" si="0"/>
        <v>1972026.3738947795</v>
      </c>
      <c r="AB46" s="54">
        <f t="shared" si="0"/>
        <v>82330964.950603098</v>
      </c>
    </row>
    <row r="47" spans="1:28" ht="11.25" customHeight="1" x14ac:dyDescent="0.25">
      <c r="K47" s="59" t="s">
        <v>486</v>
      </c>
      <c r="L47" s="54">
        <f>CUSTOS!$D$30</f>
        <v>0</v>
      </c>
      <c r="M47" s="54">
        <f>CUSTOS!$D$31</f>
        <v>10245911.661914382</v>
      </c>
      <c r="N47" s="54">
        <f>CUSTOS!$D$32</f>
        <v>0</v>
      </c>
      <c r="O47" s="54">
        <f>CUSTOS!$D$33</f>
        <v>0</v>
      </c>
      <c r="P47" s="54">
        <f>CUSTOS!$D$34</f>
        <v>-6630000</v>
      </c>
      <c r="Q47" s="54">
        <f>CUSTOS!$D$35</f>
        <v>3615911.6619143821</v>
      </c>
      <c r="R47" s="54">
        <f>CUSTOS!$D$36</f>
        <v>76743026.914793923</v>
      </c>
      <c r="S47" s="54">
        <f>CUSTOS!$D$37</f>
        <v>76743026.914793923</v>
      </c>
      <c r="T47" s="54">
        <f>CUSTOS!$D$38</f>
        <v>0</v>
      </c>
      <c r="U47" s="54">
        <f>CUSTOS!$D$39</f>
        <v>0</v>
      </c>
      <c r="V47" s="54">
        <f>CUSTOS!$D$40</f>
        <v>0</v>
      </c>
      <c r="W47" s="54">
        <f>CUSTOS!$D$41</f>
        <v>0</v>
      </c>
      <c r="X47" s="54">
        <f>CUSTOS!$D$42</f>
        <v>0</v>
      </c>
      <c r="Y47" s="54">
        <f>CUSTOS!$D$43</f>
        <v>0</v>
      </c>
      <c r="Z47" s="54">
        <f>CUSTOS!$D$44</f>
        <v>1972026.3738947795</v>
      </c>
      <c r="AA47" s="54">
        <f>CUSTOS!$D$45</f>
        <v>1972026.3738947795</v>
      </c>
      <c r="AB47" s="54">
        <f>CUSTOS!$D$46</f>
        <v>82330964.950603083</v>
      </c>
    </row>
    <row r="48" spans="1:28" ht="11.25" customHeight="1" x14ac:dyDescent="0.25">
      <c r="K48" s="59" t="s">
        <v>487</v>
      </c>
      <c r="L48" s="54">
        <f>CUSTOS!$E$30</f>
        <v>0</v>
      </c>
      <c r="M48" s="54">
        <f>CUSTOS!$E$31</f>
        <v>6697068.948998278</v>
      </c>
      <c r="N48" s="54">
        <f>CUSTOS!$E$32</f>
        <v>0</v>
      </c>
      <c r="O48" s="54">
        <f>CUSTOS!$E$33</f>
        <v>0</v>
      </c>
      <c r="P48" s="54">
        <f>CUSTOS!$E$34</f>
        <v>0</v>
      </c>
      <c r="Q48" s="54">
        <f>CUSTOS!$E$35</f>
        <v>6697068.948998278</v>
      </c>
      <c r="R48" s="54">
        <f>CUSTOS!$E$36</f>
        <v>-2887707.3096498107</v>
      </c>
      <c r="S48" s="54">
        <f>CUSTOS!$E$37</f>
        <v>-2887707.3096498107</v>
      </c>
      <c r="T48" s="54">
        <f>CUSTOS!$E$38</f>
        <v>0</v>
      </c>
      <c r="U48" s="54">
        <f>CUSTOS!$E$39</f>
        <v>0</v>
      </c>
      <c r="V48" s="54">
        <f>CUSTOS!$E$40</f>
        <v>0</v>
      </c>
      <c r="W48" s="54">
        <f>CUSTOS!$E$41</f>
        <v>0</v>
      </c>
      <c r="X48" s="54">
        <f>CUSTOS!$E$42</f>
        <v>-240664.03197342064</v>
      </c>
      <c r="Y48" s="54">
        <f>CUSTOS!$E$43</f>
        <v>-240664.03197342064</v>
      </c>
      <c r="Z48" s="54">
        <f>CUSTOS!$E$44</f>
        <v>-74203.94013179584</v>
      </c>
      <c r="AA48" s="54">
        <f>CUSTOS!$E$45</f>
        <v>-74203.94013179584</v>
      </c>
      <c r="AB48" s="54">
        <f>CUSTOS!$E$46</f>
        <v>3494493.6672432506</v>
      </c>
    </row>
    <row r="49" spans="11:28" ht="11.25" customHeight="1" x14ac:dyDescent="0.25">
      <c r="K49" s="59" t="s">
        <v>488</v>
      </c>
      <c r="L49" s="54">
        <f>CUSTOS!$F$30</f>
        <v>0</v>
      </c>
      <c r="M49" s="54">
        <f>CUSTOS!$F$31</f>
        <v>0</v>
      </c>
      <c r="N49" s="54">
        <f>CUSTOS!$F$32</f>
        <v>0</v>
      </c>
      <c r="O49" s="54">
        <f>CUSTOS!$F$33</f>
        <v>0</v>
      </c>
      <c r="P49" s="54">
        <f>CUSTOS!$F$34</f>
        <v>0</v>
      </c>
      <c r="Q49" s="54">
        <f>CUSTOS!$F$35</f>
        <v>0</v>
      </c>
      <c r="R49" s="54">
        <f>CUSTOS!$F$36</f>
        <v>0</v>
      </c>
      <c r="S49" s="54">
        <f>CUSTOS!$F$37</f>
        <v>0</v>
      </c>
      <c r="T49" s="54">
        <f>CUSTOS!$F$38</f>
        <v>0</v>
      </c>
      <c r="U49" s="54">
        <f>CUSTOS!$F$39</f>
        <v>0</v>
      </c>
      <c r="V49" s="54">
        <f>CUSTOS!$F$40</f>
        <v>0</v>
      </c>
      <c r="W49" s="54">
        <f>CUSTOS!$F$41</f>
        <v>0</v>
      </c>
      <c r="X49" s="54">
        <f>CUSTOS!$F$42</f>
        <v>0</v>
      </c>
      <c r="Y49" s="54">
        <f>CUSTOS!$F$43</f>
        <v>0</v>
      </c>
      <c r="Z49" s="54">
        <f>CUSTOS!$F$44</f>
        <v>0</v>
      </c>
      <c r="AA49" s="54">
        <f>CUSTOS!$F$45</f>
        <v>0</v>
      </c>
      <c r="AB49" s="54">
        <f>CUSTOS!$F$46</f>
        <v>0</v>
      </c>
    </row>
    <row r="50" spans="11:28" ht="11.25" customHeight="1" x14ac:dyDescent="0.25">
      <c r="K50" s="59" t="s">
        <v>562</v>
      </c>
      <c r="L50" s="54">
        <f>'TR TE'!$L$50*L51</f>
        <v>0</v>
      </c>
      <c r="M50" s="54">
        <f>'TR TE'!$M$50*M51</f>
        <v>15.464387726143839</v>
      </c>
      <c r="N50" s="54">
        <f>'TR TE'!$N$50*N51</f>
        <v>0</v>
      </c>
      <c r="O50" s="54">
        <f>'TR TE'!$O$50*O51</f>
        <v>0</v>
      </c>
      <c r="P50" s="54">
        <f>'TR TE'!$P$50*P51</f>
        <v>0</v>
      </c>
      <c r="Q50" s="54"/>
      <c r="R50" s="54">
        <f>'TR TE'!$R$50*R51</f>
        <v>-6.7215942096993047</v>
      </c>
      <c r="S50" s="54"/>
      <c r="T50" s="54">
        <f>'TR TE'!$T$50*T51</f>
        <v>0</v>
      </c>
      <c r="U50" s="54">
        <f>'TR TE'!$U$50*U51</f>
        <v>0</v>
      </c>
      <c r="V50" s="54">
        <f>'TR TE'!$V$50*V51</f>
        <v>0</v>
      </c>
      <c r="W50" s="54"/>
      <c r="X50" s="54"/>
      <c r="Y50" s="54"/>
      <c r="Z50" s="54">
        <f>'TR TE'!$Z$50*Z51</f>
        <v>-0.17134637701128899</v>
      </c>
      <c r="AA50" s="54"/>
      <c r="AB50" s="54"/>
    </row>
    <row r="51" spans="11:28" ht="11.25" customHeight="1" x14ac:dyDescent="0.25">
      <c r="K51" s="59" t="s">
        <v>555</v>
      </c>
      <c r="L51" s="54">
        <f>IF(L47&lt;&gt;0,L48/L47,0)</f>
        <v>0</v>
      </c>
      <c r="M51" s="54">
        <f>IF(M47&lt;&gt;0,M48/M47,0)</f>
        <v>0.65363329003628889</v>
      </c>
      <c r="N51" s="54">
        <f>IF(N47&lt;&gt;0,N48/N47,0)</f>
        <v>0</v>
      </c>
      <c r="O51" s="54">
        <f>IF(O47&lt;&gt;0,O48/O47,0)</f>
        <v>0</v>
      </c>
      <c r="P51" s="54">
        <f>IF(P47&lt;&gt;0,P48/P47,0)</f>
        <v>0</v>
      </c>
      <c r="Q51" s="54"/>
      <c r="R51" s="54">
        <f>IF(R47&lt;&gt;0,R48/R47,0)</f>
        <v>-3.762826963882944E-2</v>
      </c>
      <c r="S51" s="54"/>
      <c r="T51" s="54">
        <f>IF(T47&lt;&gt;0,T48/T47,0)</f>
        <v>0</v>
      </c>
      <c r="U51" s="54">
        <f>IF(U47&lt;&gt;0,U48/U47,0)</f>
        <v>0</v>
      </c>
      <c r="V51" s="54">
        <f>IF(V47&lt;&gt;0,V48/V47,0)</f>
        <v>0</v>
      </c>
      <c r="W51" s="54"/>
      <c r="X51" s="54">
        <f>IF(($AB47-0)&lt;&gt;0,X48/($AB47-0),0)</f>
        <v>-2.9231290088463581E-3</v>
      </c>
      <c r="Y51" s="54"/>
      <c r="Z51" s="54">
        <f>IF(Z47&lt;&gt;0,Z48/Z47,0)</f>
        <v>-3.762826963882944E-2</v>
      </c>
      <c r="AA51" s="54"/>
      <c r="AB51" s="54"/>
    </row>
    <row r="52" spans="11:28" ht="11.25" customHeight="1" x14ac:dyDescent="0.25">
      <c r="K52" s="59" t="s">
        <v>564</v>
      </c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</row>
  </sheetData>
  <mergeCells count="67">
    <mergeCell ref="E38:E40"/>
    <mergeCell ref="F38:F40"/>
    <mergeCell ref="A43:A44"/>
    <mergeCell ref="B43:B44"/>
    <mergeCell ref="C43:C44"/>
    <mergeCell ref="D38:D40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A10:A22"/>
    <mergeCell ref="B10:B12"/>
    <mergeCell ref="C10:C12"/>
    <mergeCell ref="D10:D12"/>
    <mergeCell ref="E10:E12"/>
    <mergeCell ref="F10:F12"/>
    <mergeCell ref="B13:B17"/>
    <mergeCell ref="C13:C17"/>
    <mergeCell ref="B18:B22"/>
    <mergeCell ref="C18:C22"/>
    <mergeCell ref="A7:A9"/>
    <mergeCell ref="B7:B8"/>
    <mergeCell ref="C7:C8"/>
    <mergeCell ref="D7:D8"/>
    <mergeCell ref="E7:E8"/>
    <mergeCell ref="F7:F8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6">
    <cfRule type="cellIs" dxfId="968" priority="33" operator="notEqual">
      <formula>$L$47</formula>
    </cfRule>
    <cfRule type="cellIs" dxfId="967" priority="34" operator="equal">
      <formula>$L$47</formula>
    </cfRule>
  </conditionalFormatting>
  <conditionalFormatting sqref="M46">
    <cfRule type="cellIs" dxfId="966" priority="31" operator="notEqual">
      <formula>$M$47</formula>
    </cfRule>
    <cfRule type="cellIs" dxfId="965" priority="32" operator="equal">
      <formula>$M$47</formula>
    </cfRule>
  </conditionalFormatting>
  <conditionalFormatting sqref="N46">
    <cfRule type="cellIs" dxfId="964" priority="29" operator="notEqual">
      <formula>$N$47</formula>
    </cfRule>
    <cfRule type="cellIs" dxfId="963" priority="30" operator="equal">
      <formula>$N$47</formula>
    </cfRule>
  </conditionalFormatting>
  <conditionalFormatting sqref="O46">
    <cfRule type="cellIs" dxfId="962" priority="27" operator="notEqual">
      <formula>$O$47</formula>
    </cfRule>
    <cfRule type="cellIs" dxfId="961" priority="28" operator="equal">
      <formula>$O$47</formula>
    </cfRule>
  </conditionalFormatting>
  <conditionalFormatting sqref="P46">
    <cfRule type="cellIs" dxfId="960" priority="25" operator="notEqual">
      <formula>$P$47</formula>
    </cfRule>
    <cfRule type="cellIs" dxfId="959" priority="26" operator="equal">
      <formula>$P$47</formula>
    </cfRule>
  </conditionalFormatting>
  <conditionalFormatting sqref="Q46">
    <cfRule type="cellIs" dxfId="958" priority="23" operator="notEqual">
      <formula>$Q$47</formula>
    </cfRule>
    <cfRule type="cellIs" dxfId="957" priority="24" operator="equal">
      <formula>$Q$47</formula>
    </cfRule>
  </conditionalFormatting>
  <conditionalFormatting sqref="R46">
    <cfRule type="cellIs" dxfId="956" priority="21" operator="notEqual">
      <formula>$R$47</formula>
    </cfRule>
    <cfRule type="cellIs" dxfId="955" priority="22" operator="equal">
      <formula>$R$47</formula>
    </cfRule>
  </conditionalFormatting>
  <conditionalFormatting sqref="S46">
    <cfRule type="cellIs" dxfId="954" priority="19" operator="notEqual">
      <formula>$S$47</formula>
    </cfRule>
    <cfRule type="cellIs" dxfId="953" priority="20" operator="equal">
      <formula>$S$47</formula>
    </cfRule>
  </conditionalFormatting>
  <conditionalFormatting sqref="T46">
    <cfRule type="cellIs" dxfId="952" priority="17" operator="notEqual">
      <formula>$T$47</formula>
    </cfRule>
    <cfRule type="cellIs" dxfId="951" priority="18" operator="equal">
      <formula>$T$47</formula>
    </cfRule>
  </conditionalFormatting>
  <conditionalFormatting sqref="U46">
    <cfRule type="cellIs" dxfId="950" priority="15" operator="notEqual">
      <formula>$U$47</formula>
    </cfRule>
    <cfRule type="cellIs" dxfId="949" priority="16" operator="equal">
      <formula>$U$47</formula>
    </cfRule>
  </conditionalFormatting>
  <conditionalFormatting sqref="V46">
    <cfRule type="cellIs" dxfId="948" priority="13" operator="notEqual">
      <formula>$V$47</formula>
    </cfRule>
    <cfRule type="cellIs" dxfId="947" priority="14" operator="equal">
      <formula>$V$47</formula>
    </cfRule>
  </conditionalFormatting>
  <conditionalFormatting sqref="W46">
    <cfRule type="cellIs" dxfId="946" priority="11" operator="notEqual">
      <formula>$W$47</formula>
    </cfRule>
    <cfRule type="cellIs" dxfId="945" priority="12" operator="equal">
      <formula>$W$47</formula>
    </cfRule>
  </conditionalFormatting>
  <conditionalFormatting sqref="X46">
    <cfRule type="cellIs" dxfId="944" priority="9" operator="notEqual">
      <formula>$X$47</formula>
    </cfRule>
    <cfRule type="cellIs" dxfId="943" priority="10" operator="equal">
      <formula>$X$47</formula>
    </cfRule>
  </conditionalFormatting>
  <conditionalFormatting sqref="Y46">
    <cfRule type="cellIs" dxfId="942" priority="7" operator="notEqual">
      <formula>$Y$47</formula>
    </cfRule>
    <cfRule type="cellIs" dxfId="941" priority="8" operator="equal">
      <formula>$Y$47</formula>
    </cfRule>
  </conditionalFormatting>
  <conditionalFormatting sqref="Z46">
    <cfRule type="cellIs" dxfId="940" priority="5" operator="notEqual">
      <formula>$Z$47</formula>
    </cfRule>
    <cfRule type="cellIs" dxfId="939" priority="6" operator="equal">
      <formula>$Z$47</formula>
    </cfRule>
  </conditionalFormatting>
  <conditionalFormatting sqref="AA46">
    <cfRule type="cellIs" dxfId="938" priority="3" operator="notEqual">
      <formula>$AA$47</formula>
    </cfRule>
    <cfRule type="cellIs" dxfId="937" priority="4" operator="equal">
      <formula>$AA$47</formula>
    </cfRule>
  </conditionalFormatting>
  <conditionalFormatting sqref="AB46">
    <cfRule type="cellIs" dxfId="936" priority="1" operator="notEqual">
      <formula>$AB$47</formula>
    </cfRule>
    <cfRule type="cellIs" dxfId="935" priority="2" operator="equal">
      <formula>$AB$47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E73E1-8519-405A-B173-A2ABB898E0E6}">
  <dimension ref="A1:AB52"/>
  <sheetViews>
    <sheetView showGridLines="0" topLeftCell="R27" workbookViewId="0">
      <selection activeCell="AB46" sqref="AB46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.85546875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5" width="9.28515625" style="9" bestFit="1" customWidth="1"/>
    <col min="26" max="26" width="11" style="9" bestFit="1" customWidth="1"/>
    <col min="27" max="27" width="10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19" t="s">
        <v>72</v>
      </c>
      <c r="B1" s="119" t="s">
        <v>73</v>
      </c>
      <c r="C1" s="119" t="s">
        <v>74</v>
      </c>
      <c r="D1" s="119" t="s">
        <v>75</v>
      </c>
      <c r="E1" s="119" t="s">
        <v>76</v>
      </c>
      <c r="F1" s="119" t="s">
        <v>15</v>
      </c>
      <c r="G1" s="119" t="s">
        <v>78</v>
      </c>
      <c r="H1" s="119" t="s">
        <v>79</v>
      </c>
      <c r="I1" s="119" t="s">
        <v>545</v>
      </c>
      <c r="J1" s="102"/>
      <c r="L1" s="117" t="s">
        <v>566</v>
      </c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</row>
    <row r="2" spans="1:28" ht="11.2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  <c r="J2" s="102"/>
      <c r="L2" s="117" t="s">
        <v>472</v>
      </c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</row>
    <row r="3" spans="1:28" ht="11.2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  <c r="J3" s="102"/>
      <c r="L3" s="117" t="s">
        <v>445</v>
      </c>
      <c r="M3" s="117"/>
      <c r="N3" s="117"/>
      <c r="O3" s="117"/>
      <c r="P3" s="117"/>
      <c r="Q3" s="117"/>
      <c r="R3" s="117" t="s">
        <v>476</v>
      </c>
      <c r="S3" s="117"/>
      <c r="T3" s="117" t="s">
        <v>454</v>
      </c>
      <c r="U3" s="117"/>
      <c r="V3" s="117"/>
      <c r="W3" s="117"/>
      <c r="X3" s="117" t="s">
        <v>464</v>
      </c>
      <c r="Y3" s="117"/>
      <c r="Z3" s="117" t="s">
        <v>467</v>
      </c>
      <c r="AA3" s="117"/>
      <c r="AB3" s="117" t="s">
        <v>453</v>
      </c>
    </row>
    <row r="4" spans="1:28" ht="11.25" customHeight="1" x14ac:dyDescent="0.25">
      <c r="A4" s="119"/>
      <c r="B4" s="119"/>
      <c r="C4" s="119"/>
      <c r="D4" s="119"/>
      <c r="E4" s="119"/>
      <c r="F4" s="119"/>
      <c r="G4" s="119"/>
      <c r="H4" s="119"/>
      <c r="I4" s="119"/>
      <c r="J4" s="102"/>
      <c r="L4" s="58" t="s">
        <v>447</v>
      </c>
      <c r="M4" s="58" t="s">
        <v>473</v>
      </c>
      <c r="N4" s="58" t="s">
        <v>474</v>
      </c>
      <c r="O4" s="58" t="s">
        <v>533</v>
      </c>
      <c r="P4" s="58" t="s">
        <v>475</v>
      </c>
      <c r="Q4" s="58" t="s">
        <v>453</v>
      </c>
      <c r="R4" s="58" t="s">
        <v>477</v>
      </c>
      <c r="S4" s="58" t="s">
        <v>453</v>
      </c>
      <c r="T4" s="58" t="s">
        <v>478</v>
      </c>
      <c r="U4" s="58" t="s">
        <v>479</v>
      </c>
      <c r="V4" s="58" t="s">
        <v>480</v>
      </c>
      <c r="W4" s="58" t="s">
        <v>453</v>
      </c>
      <c r="X4" s="58" t="s">
        <v>465</v>
      </c>
      <c r="Y4" s="58" t="s">
        <v>453</v>
      </c>
      <c r="Z4" s="58" t="s">
        <v>481</v>
      </c>
      <c r="AA4" s="58" t="s">
        <v>453</v>
      </c>
      <c r="AB4" s="118"/>
    </row>
    <row r="5" spans="1:28" ht="11.25" customHeight="1" x14ac:dyDescent="0.25">
      <c r="A5" s="120" t="s">
        <v>53</v>
      </c>
      <c r="B5" s="120" t="s">
        <v>81</v>
      </c>
      <c r="C5" s="120" t="s">
        <v>25</v>
      </c>
      <c r="D5" s="120" t="s">
        <v>25</v>
      </c>
      <c r="E5" s="120" t="s">
        <v>25</v>
      </c>
      <c r="F5" s="120" t="s">
        <v>25</v>
      </c>
      <c r="G5" s="57" t="s">
        <v>83</v>
      </c>
      <c r="H5" s="57" t="s">
        <v>82</v>
      </c>
      <c r="I5" s="57">
        <f>'MERCADO TE'!$U$2</f>
        <v>0</v>
      </c>
      <c r="J5" s="15"/>
      <c r="L5" s="54">
        <f>'TE BE'!$L$5*'TE BE'!$L$51</f>
        <v>0</v>
      </c>
      <c r="M5" s="54">
        <f>'TE BE'!$M$5*'TE BE'!$M$51</f>
        <v>15.464387726143839</v>
      </c>
      <c r="N5" s="54">
        <f>'TE BE'!$N$5*'TE BE'!$N$51</f>
        <v>0</v>
      </c>
      <c r="O5" s="54">
        <f>'TE BE'!$O$5*'TE BE'!$O$51</f>
        <v>0</v>
      </c>
      <c r="P5" s="54">
        <f>'TE BE'!$P$5*'TE BE'!$P$51</f>
        <v>0</v>
      </c>
      <c r="Q5" s="54">
        <f>SUM($L$5:$P$5)</f>
        <v>15.464387726143839</v>
      </c>
      <c r="R5" s="54">
        <f>'TE BE'!$R$5*'TE BE'!$R$51</f>
        <v>-6.6680850706672139</v>
      </c>
      <c r="S5" s="54">
        <f>SUM($R$5:$R$5)</f>
        <v>-6.6680850706672139</v>
      </c>
      <c r="T5" s="54">
        <f>'TE BE'!$T$5*'TE BE'!$T$51</f>
        <v>0</v>
      </c>
      <c r="U5" s="54">
        <f>'TE BE'!$U$5*'TE BE'!$U$51</f>
        <v>0</v>
      </c>
      <c r="V5" s="54">
        <f>'TE BE'!$V$5*'TE BE'!$V$51</f>
        <v>0</v>
      </c>
      <c r="W5" s="54">
        <f>SUM($T$5:$V$5)</f>
        <v>0</v>
      </c>
      <c r="X5" s="54">
        <f>'TE BE'!$AB$5*'TE BE'!$X$51</f>
        <v>-0.55572399366303915</v>
      </c>
      <c r="Y5" s="54">
        <f>SUM($X$5:$X$5)</f>
        <v>-0.55572399366303915</v>
      </c>
      <c r="Z5" s="54">
        <f>'TE BE'!$Z$5*'TE BE'!$Z$51</f>
        <v>-0.17134637701128899</v>
      </c>
      <c r="AA5" s="54">
        <f>SUM($Z$5:$Z$5)</f>
        <v>-0.17134637701128899</v>
      </c>
      <c r="AB5" s="54">
        <f>SUMIF($L$4:$AA$4,"SUBTOTAL",$L$5:$AA$5)</f>
        <v>8.0692322848022968</v>
      </c>
    </row>
    <row r="6" spans="1:28" ht="11.25" customHeight="1" x14ac:dyDescent="0.25">
      <c r="A6" s="120"/>
      <c r="B6" s="120"/>
      <c r="C6" s="120"/>
      <c r="D6" s="120"/>
      <c r="E6" s="120"/>
      <c r="F6" s="120"/>
      <c r="G6" s="57" t="s">
        <v>84</v>
      </c>
      <c r="H6" s="57" t="s">
        <v>82</v>
      </c>
      <c r="I6" s="57">
        <f>'MERCADO TE'!$U$3</f>
        <v>0</v>
      </c>
      <c r="J6" s="15"/>
      <c r="L6" s="54">
        <f>'TE BE'!$L$6*'TE BE'!$L$51</f>
        <v>0</v>
      </c>
      <c r="M6" s="54">
        <f>'TE BE'!$M$6*'TE BE'!$M$51</f>
        <v>15.464387726143839</v>
      </c>
      <c r="N6" s="54">
        <f>'TE BE'!$N$6*'TE BE'!$N$51</f>
        <v>0</v>
      </c>
      <c r="O6" s="54">
        <f>'TE BE'!$O$6*'TE BE'!$O$51</f>
        <v>0</v>
      </c>
      <c r="P6" s="54">
        <f>'TE BE'!$P$6*'TE BE'!$P$51</f>
        <v>0</v>
      </c>
      <c r="Q6" s="54">
        <f>SUM($L$6:$P$6)</f>
        <v>15.464387726143839</v>
      </c>
      <c r="R6" s="54">
        <f>'TE BE'!$R$6*'TE BE'!$R$51</f>
        <v>-6.6680850706672139</v>
      </c>
      <c r="S6" s="54">
        <f>SUM($R$6:$R$6)</f>
        <v>-6.6680850706672139</v>
      </c>
      <c r="T6" s="54">
        <f>'TE BE'!$T$6*'TE BE'!$T$51</f>
        <v>0</v>
      </c>
      <c r="U6" s="54">
        <f>'TE BE'!$U$6*'TE BE'!$U$51</f>
        <v>0</v>
      </c>
      <c r="V6" s="54">
        <f>'TE BE'!$V$6*'TE BE'!$V$51</f>
        <v>0</v>
      </c>
      <c r="W6" s="54">
        <f>SUM($T$6:$V$6)</f>
        <v>0</v>
      </c>
      <c r="X6" s="54">
        <f>'TE BE'!$AB$6*'TE BE'!$X$51</f>
        <v>-0.55572399366303915</v>
      </c>
      <c r="Y6" s="54">
        <f>SUM($X$6:$X$6)</f>
        <v>-0.55572399366303915</v>
      </c>
      <c r="Z6" s="54">
        <f>'TE BE'!$Z$6*'TE BE'!$Z$51</f>
        <v>-0.17134637701128899</v>
      </c>
      <c r="AA6" s="54">
        <f>SUM($Z$6:$Z$6)</f>
        <v>-0.17134637701128899</v>
      </c>
      <c r="AB6" s="54">
        <f>SUMIF($L$4:$AA$4,"SUBTOTAL",$L$6:$AA$6)</f>
        <v>8.0692322848022968</v>
      </c>
    </row>
    <row r="7" spans="1:28" ht="11.25" customHeight="1" x14ac:dyDescent="0.25">
      <c r="A7" s="120" t="s">
        <v>35</v>
      </c>
      <c r="B7" s="120" t="s">
        <v>81</v>
      </c>
      <c r="C7" s="120" t="s">
        <v>25</v>
      </c>
      <c r="D7" s="120" t="s">
        <v>25</v>
      </c>
      <c r="E7" s="120" t="s">
        <v>25</v>
      </c>
      <c r="F7" s="120" t="s">
        <v>25</v>
      </c>
      <c r="G7" s="57" t="s">
        <v>83</v>
      </c>
      <c r="H7" s="57" t="s">
        <v>82</v>
      </c>
      <c r="I7" s="57">
        <f>'MERCADO TE'!$U$4</f>
        <v>10174.852999999999</v>
      </c>
      <c r="J7" s="15"/>
      <c r="L7" s="54">
        <f>'TE BE'!$L$7*'TE BE'!$L$51</f>
        <v>0</v>
      </c>
      <c r="M7" s="54">
        <f>'TE BE'!$M$7*'TE BE'!$M$51</f>
        <v>15.464387726143839</v>
      </c>
      <c r="N7" s="54">
        <f>'TE BE'!$N$7*'TE BE'!$N$51</f>
        <v>0</v>
      </c>
      <c r="O7" s="54">
        <f>'TE BE'!$O$7*'TE BE'!$O$51</f>
        <v>0</v>
      </c>
      <c r="P7" s="54">
        <f>'TE BE'!$P$7*'TE BE'!$P$51</f>
        <v>0</v>
      </c>
      <c r="Q7" s="54">
        <f>SUM($L$7:$P$7)</f>
        <v>15.464387726143839</v>
      </c>
      <c r="R7" s="54">
        <f>'TE BE'!$R$7*'TE BE'!$R$51</f>
        <v>-6.6680850706672139</v>
      </c>
      <c r="S7" s="54">
        <f>SUM($R$7:$R$7)</f>
        <v>-6.6680850706672139</v>
      </c>
      <c r="T7" s="54">
        <f>'TE BE'!$T$7*'TE BE'!$T$51</f>
        <v>0</v>
      </c>
      <c r="U7" s="54">
        <f>'TE BE'!$U$7*'TE BE'!$U$51</f>
        <v>0</v>
      </c>
      <c r="V7" s="54">
        <f>'TE BE'!$V$7*'TE BE'!$V$51</f>
        <v>0</v>
      </c>
      <c r="W7" s="54">
        <f>SUM($T$7:$V$7)</f>
        <v>0</v>
      </c>
      <c r="X7" s="54">
        <f>'TE BE'!$AB$7*'TE BE'!$X$51</f>
        <v>-0.55572399366303915</v>
      </c>
      <c r="Y7" s="54">
        <f>SUM($X$7:$X$7)</f>
        <v>-0.55572399366303915</v>
      </c>
      <c r="Z7" s="54">
        <f>'TE BE'!$Z$7*'TE BE'!$Z$51</f>
        <v>-0.17134637701128899</v>
      </c>
      <c r="AA7" s="54">
        <f>SUM($Z$7:$Z$7)</f>
        <v>-0.17134637701128899</v>
      </c>
      <c r="AB7" s="54">
        <f>SUMIF($L$4:$AA$4,"SUBTOTAL",$L$7:$AA$7)</f>
        <v>8.0692322848022968</v>
      </c>
    </row>
    <row r="8" spans="1:28" ht="11.25" customHeight="1" x14ac:dyDescent="0.25">
      <c r="A8" s="120"/>
      <c r="B8" s="120"/>
      <c r="C8" s="120"/>
      <c r="D8" s="120"/>
      <c r="E8" s="120"/>
      <c r="F8" s="120"/>
      <c r="G8" s="57" t="s">
        <v>84</v>
      </c>
      <c r="H8" s="57" t="s">
        <v>82</v>
      </c>
      <c r="I8" s="57">
        <f>'MERCADO TE'!$U$5</f>
        <v>179033.51300000001</v>
      </c>
      <c r="J8" s="15"/>
      <c r="L8" s="54">
        <f>'TE BE'!$L$8*'TE BE'!$L$51</f>
        <v>0</v>
      </c>
      <c r="M8" s="54">
        <f>'TE BE'!$M$8*'TE BE'!$M$51</f>
        <v>15.464387726143839</v>
      </c>
      <c r="N8" s="54">
        <f>'TE BE'!$N$8*'TE BE'!$N$51</f>
        <v>0</v>
      </c>
      <c r="O8" s="54">
        <f>'TE BE'!$O$8*'TE BE'!$O$51</f>
        <v>0</v>
      </c>
      <c r="P8" s="54">
        <f>'TE BE'!$P$8*'TE BE'!$P$51</f>
        <v>0</v>
      </c>
      <c r="Q8" s="54">
        <f>SUM($L$8:$P$8)</f>
        <v>15.464387726143839</v>
      </c>
      <c r="R8" s="54">
        <f>'TE BE'!$R$8*'TE BE'!$R$51</f>
        <v>-6.6680850706672139</v>
      </c>
      <c r="S8" s="54">
        <f>SUM($R$8:$R$8)</f>
        <v>-6.6680850706672139</v>
      </c>
      <c r="T8" s="54">
        <f>'TE BE'!$T$8*'TE BE'!$T$51</f>
        <v>0</v>
      </c>
      <c r="U8" s="54">
        <f>'TE BE'!$U$8*'TE BE'!$U$51</f>
        <v>0</v>
      </c>
      <c r="V8" s="54">
        <f>'TE BE'!$V$8*'TE BE'!$V$51</f>
        <v>0</v>
      </c>
      <c r="W8" s="54">
        <f>SUM($T$8:$V$8)</f>
        <v>0</v>
      </c>
      <c r="X8" s="54">
        <f>'TE BE'!$AB$8*'TE BE'!$X$51</f>
        <v>-0.55572399366303915</v>
      </c>
      <c r="Y8" s="54">
        <f>SUM($X$8:$X$8)</f>
        <v>-0.55572399366303915</v>
      </c>
      <c r="Z8" s="54">
        <f>'TE BE'!$Z$8*'TE BE'!$Z$51</f>
        <v>-0.17134637701128899</v>
      </c>
      <c r="AA8" s="54">
        <f>SUM($Z$8:$Z$8)</f>
        <v>-0.17134637701128899</v>
      </c>
      <c r="AB8" s="54">
        <f>SUMIF($L$4:$AA$4,"SUBTOTAL",$L$8:$AA$8)</f>
        <v>8.0692322848022968</v>
      </c>
    </row>
    <row r="9" spans="1:28" ht="11.25" customHeight="1" x14ac:dyDescent="0.25">
      <c r="A9" s="120"/>
      <c r="B9" s="56" t="s">
        <v>90</v>
      </c>
      <c r="C9" s="56" t="s">
        <v>25</v>
      </c>
      <c r="D9" s="56" t="s">
        <v>25</v>
      </c>
      <c r="E9" s="56" t="s">
        <v>25</v>
      </c>
      <c r="F9" s="56" t="s">
        <v>25</v>
      </c>
      <c r="G9" s="57" t="s">
        <v>88</v>
      </c>
      <c r="H9" s="57" t="s">
        <v>82</v>
      </c>
      <c r="I9" s="57">
        <f>'MERCADO TE'!$U$6</f>
        <v>0</v>
      </c>
      <c r="J9" s="15"/>
      <c r="L9" s="54">
        <f>'TE BE'!$L$9*'TE BE'!$L$51</f>
        <v>0</v>
      </c>
      <c r="M9" s="54">
        <f>'TE BE'!$M$9*'TE BE'!$M$51</f>
        <v>15.464387726143839</v>
      </c>
      <c r="N9" s="54">
        <f>'TE BE'!$N$9*'TE BE'!$N$51</f>
        <v>0</v>
      </c>
      <c r="O9" s="54">
        <f>'TE BE'!$O$9*'TE BE'!$O$51</f>
        <v>0</v>
      </c>
      <c r="P9" s="54">
        <f>'TE BE'!$P$9*'TE BE'!$P$51</f>
        <v>0</v>
      </c>
      <c r="Q9" s="54">
        <f>SUM($L$9:$P$9)</f>
        <v>15.464387726143839</v>
      </c>
      <c r="R9" s="54">
        <f>'TE BE'!$R$9*'TE BE'!$R$51</f>
        <v>-6.6680850706672139</v>
      </c>
      <c r="S9" s="54">
        <f>SUM($R$9:$R$9)</f>
        <v>-6.6680850706672139</v>
      </c>
      <c r="T9" s="54">
        <f>'TE BE'!$T$9*'TE BE'!$T$51</f>
        <v>0</v>
      </c>
      <c r="U9" s="54">
        <f>'TE BE'!$U$9*'TE BE'!$U$51</f>
        <v>0</v>
      </c>
      <c r="V9" s="54">
        <f>'TE BE'!$V$9*'TE BE'!$V$51</f>
        <v>0</v>
      </c>
      <c r="W9" s="54">
        <f>SUM($T$9:$V$9)</f>
        <v>0</v>
      </c>
      <c r="X9" s="54">
        <f>'TE BE'!$AB$9*'TE BE'!$X$51</f>
        <v>-0.55572399366303915</v>
      </c>
      <c r="Y9" s="54">
        <f>SUM($X$9:$X$9)</f>
        <v>-0.55572399366303915</v>
      </c>
      <c r="Z9" s="54">
        <f>'TE BE'!$Z$9*'TE BE'!$Z$51</f>
        <v>-0.17134637701128899</v>
      </c>
      <c r="AA9" s="54">
        <f>SUM($Z$9:$Z$9)</f>
        <v>-0.17134637701128899</v>
      </c>
      <c r="AB9" s="54">
        <f>SUMIF($L$4:$AA$4,"SUBTOTAL",$L$9:$AA$9)</f>
        <v>8.0692322848022968</v>
      </c>
    </row>
    <row r="10" spans="1:28" ht="11.25" customHeight="1" x14ac:dyDescent="0.25">
      <c r="A10" s="120" t="s">
        <v>22</v>
      </c>
      <c r="B10" s="120" t="s">
        <v>81</v>
      </c>
      <c r="C10" s="120" t="s">
        <v>24</v>
      </c>
      <c r="D10" s="120" t="s">
        <v>24</v>
      </c>
      <c r="E10" s="120" t="s">
        <v>25</v>
      </c>
      <c r="F10" s="120" t="s">
        <v>25</v>
      </c>
      <c r="G10" s="57" t="s">
        <v>83</v>
      </c>
      <c r="H10" s="57" t="s">
        <v>82</v>
      </c>
      <c r="I10" s="57">
        <f>'MERCADO TE'!$U$7</f>
        <v>0</v>
      </c>
      <c r="J10" s="15"/>
      <c r="L10" s="54">
        <f>'TE BE'!$L$10*'TE BE'!$L$51</f>
        <v>0</v>
      </c>
      <c r="M10" s="54">
        <f>'TE BE'!$M$10*'TE BE'!$M$51</f>
        <v>15.464387726143839</v>
      </c>
      <c r="N10" s="54">
        <f>'TE BE'!$N$10*'TE BE'!$N$51</f>
        <v>0</v>
      </c>
      <c r="O10" s="54">
        <f>'TE BE'!$O$10*'TE BE'!$O$51</f>
        <v>0</v>
      </c>
      <c r="P10" s="54">
        <f>'TE BE'!$P$10*'TE BE'!$P$51</f>
        <v>0</v>
      </c>
      <c r="Q10" s="54">
        <f>SUM($L$10:$P$10)</f>
        <v>15.464387726143839</v>
      </c>
      <c r="R10" s="54">
        <f>'TE BE'!$R$10*'TE BE'!$R$51</f>
        <v>-6.6680850706672139</v>
      </c>
      <c r="S10" s="54">
        <f>SUM($R$10:$R$10)</f>
        <v>-6.6680850706672139</v>
      </c>
      <c r="T10" s="54">
        <f>'TE BE'!$T$10*'TE BE'!$T$51</f>
        <v>0</v>
      </c>
      <c r="U10" s="54">
        <f>'TE BE'!$U$10*'TE BE'!$U$51</f>
        <v>0</v>
      </c>
      <c r="V10" s="54">
        <f>'TE BE'!$V$10*'TE BE'!$V$51</f>
        <v>0</v>
      </c>
      <c r="W10" s="54">
        <f>SUM($T$10:$V$10)</f>
        <v>0</v>
      </c>
      <c r="X10" s="54">
        <f>'TE BE'!$AB$10*'TE BE'!$X$51</f>
        <v>-0.55572399366303915</v>
      </c>
      <c r="Y10" s="54">
        <f>SUM($X$10:$X$10)</f>
        <v>-0.55572399366303915</v>
      </c>
      <c r="Z10" s="54">
        <f>'TE BE'!$Z$10*'TE BE'!$Z$51</f>
        <v>-0.17134637701128899</v>
      </c>
      <c r="AA10" s="54">
        <f>SUM($Z$10:$Z$10)</f>
        <v>-0.17134637701128899</v>
      </c>
      <c r="AB10" s="54">
        <f>SUMIF($L$4:$AA$4,"SUBTOTAL",$L$10:$AA$10)</f>
        <v>8.0692322848022968</v>
      </c>
    </row>
    <row r="11" spans="1:28" ht="11.25" customHeight="1" x14ac:dyDescent="0.25">
      <c r="A11" s="120"/>
      <c r="B11" s="120"/>
      <c r="C11" s="120"/>
      <c r="D11" s="120"/>
      <c r="E11" s="120"/>
      <c r="F11" s="120"/>
      <c r="G11" s="57" t="s">
        <v>94</v>
      </c>
      <c r="H11" s="57" t="s">
        <v>82</v>
      </c>
      <c r="I11" s="57">
        <f>'MERCADO TE'!$U$8</f>
        <v>0</v>
      </c>
      <c r="J11" s="15"/>
      <c r="L11" s="54">
        <f>'TE BE'!$L$11*'TE BE'!$L$51</f>
        <v>0</v>
      </c>
      <c r="M11" s="54">
        <f>'TE BE'!$M$11*'TE BE'!$M$51</f>
        <v>15.464387726143839</v>
      </c>
      <c r="N11" s="54">
        <f>'TE BE'!$N$11*'TE BE'!$N$51</f>
        <v>0</v>
      </c>
      <c r="O11" s="54">
        <f>'TE BE'!$O$11*'TE BE'!$O$51</f>
        <v>0</v>
      </c>
      <c r="P11" s="54">
        <f>'TE BE'!$P$11*'TE BE'!$P$51</f>
        <v>0</v>
      </c>
      <c r="Q11" s="54">
        <f>SUM($L$11:$P$11)</f>
        <v>15.464387726143839</v>
      </c>
      <c r="R11" s="54">
        <f>'TE BE'!$R$11*'TE BE'!$R$51</f>
        <v>-6.6680850706672139</v>
      </c>
      <c r="S11" s="54">
        <f>SUM($R$11:$R$11)</f>
        <v>-6.6680850706672139</v>
      </c>
      <c r="T11" s="54">
        <f>'TE BE'!$T$11*'TE BE'!$T$51</f>
        <v>0</v>
      </c>
      <c r="U11" s="54">
        <f>'TE BE'!$U$11*'TE BE'!$U$51</f>
        <v>0</v>
      </c>
      <c r="V11" s="54">
        <f>'TE BE'!$V$11*'TE BE'!$V$51</f>
        <v>0</v>
      </c>
      <c r="W11" s="54">
        <f>SUM($T$11:$V$11)</f>
        <v>0</v>
      </c>
      <c r="X11" s="54">
        <f>'TE BE'!$AB$11*'TE BE'!$X$51</f>
        <v>-0.55572399366303915</v>
      </c>
      <c r="Y11" s="54">
        <f>SUM($X$11:$X$11)</f>
        <v>-0.55572399366303915</v>
      </c>
      <c r="Z11" s="54">
        <f>'TE BE'!$Z$11*'TE BE'!$Z$51</f>
        <v>-0.17134637701128899</v>
      </c>
      <c r="AA11" s="54">
        <f>SUM($Z$11:$Z$11)</f>
        <v>-0.17134637701128899</v>
      </c>
      <c r="AB11" s="54">
        <f>SUMIF($L$4:$AA$4,"SUBTOTAL",$L$11:$AA$11)</f>
        <v>8.0692322848022968</v>
      </c>
    </row>
    <row r="12" spans="1:28" ht="11.25" customHeight="1" x14ac:dyDescent="0.25">
      <c r="A12" s="120"/>
      <c r="B12" s="120"/>
      <c r="C12" s="120"/>
      <c r="D12" s="120"/>
      <c r="E12" s="120"/>
      <c r="F12" s="120"/>
      <c r="G12" s="57" t="s">
        <v>84</v>
      </c>
      <c r="H12" s="57" t="s">
        <v>82</v>
      </c>
      <c r="I12" s="57">
        <f>'MERCADO TE'!$U$9</f>
        <v>0</v>
      </c>
      <c r="J12" s="15"/>
      <c r="L12" s="54">
        <f>'TE BE'!$L$12*'TE BE'!$L$51</f>
        <v>0</v>
      </c>
      <c r="M12" s="54">
        <f>'TE BE'!$M$12*'TE BE'!$M$51</f>
        <v>15.464387726143839</v>
      </c>
      <c r="N12" s="54">
        <f>'TE BE'!$N$12*'TE BE'!$N$51</f>
        <v>0</v>
      </c>
      <c r="O12" s="54">
        <f>'TE BE'!$O$12*'TE BE'!$O$51</f>
        <v>0</v>
      </c>
      <c r="P12" s="54">
        <f>'TE BE'!$P$12*'TE BE'!$P$51</f>
        <v>0</v>
      </c>
      <c r="Q12" s="54">
        <f>SUM($L$12:$P$12)</f>
        <v>15.464387726143839</v>
      </c>
      <c r="R12" s="54">
        <f>'TE BE'!$R$12*'TE BE'!$R$51</f>
        <v>-6.6680850706672139</v>
      </c>
      <c r="S12" s="54">
        <f>SUM($R$12:$R$12)</f>
        <v>-6.6680850706672139</v>
      </c>
      <c r="T12" s="54">
        <f>'TE BE'!$T$12*'TE BE'!$T$51</f>
        <v>0</v>
      </c>
      <c r="U12" s="54">
        <f>'TE BE'!$U$12*'TE BE'!$U$51</f>
        <v>0</v>
      </c>
      <c r="V12" s="54">
        <f>'TE BE'!$V$12*'TE BE'!$V$51</f>
        <v>0</v>
      </c>
      <c r="W12" s="54">
        <f>SUM($T$12:$V$12)</f>
        <v>0</v>
      </c>
      <c r="X12" s="54">
        <f>'TE BE'!$AB$12*'TE BE'!$X$51</f>
        <v>-0.55572399366303915</v>
      </c>
      <c r="Y12" s="54">
        <f>SUM($X$12:$X$12)</f>
        <v>-0.55572399366303915</v>
      </c>
      <c r="Z12" s="54">
        <f>'TE BE'!$Z$12*'TE BE'!$Z$51</f>
        <v>-0.17134637701128899</v>
      </c>
      <c r="AA12" s="54">
        <f>SUM($Z$12:$Z$12)</f>
        <v>-0.17134637701128899</v>
      </c>
      <c r="AB12" s="54">
        <f>SUMIF($L$4:$AA$4,"SUBTOTAL",$L$12:$AA$12)</f>
        <v>8.0692322848022968</v>
      </c>
    </row>
    <row r="13" spans="1:28" ht="11.25" customHeight="1" x14ac:dyDescent="0.25">
      <c r="A13" s="120"/>
      <c r="B13" s="120" t="s">
        <v>90</v>
      </c>
      <c r="C13" s="120" t="s">
        <v>24</v>
      </c>
      <c r="D13" s="56" t="s">
        <v>24</v>
      </c>
      <c r="E13" s="56" t="s">
        <v>25</v>
      </c>
      <c r="F13" s="56" t="s">
        <v>25</v>
      </c>
      <c r="G13" s="57" t="s">
        <v>88</v>
      </c>
      <c r="H13" s="57" t="s">
        <v>82</v>
      </c>
      <c r="I13" s="57">
        <f>'MERCADO TE'!$U$10</f>
        <v>24573.046999999999</v>
      </c>
      <c r="J13" s="15"/>
      <c r="L13" s="54">
        <f>'TE BE'!$L$13*'TE BE'!$L$51</f>
        <v>0</v>
      </c>
      <c r="M13" s="54">
        <f>'TE BE'!$M$13*'TE BE'!$M$51</f>
        <v>15.464387726143839</v>
      </c>
      <c r="N13" s="54">
        <f>'TE BE'!$N$13*'TE BE'!$N$51</f>
        <v>0</v>
      </c>
      <c r="O13" s="54">
        <f>'TE BE'!$O$13*'TE BE'!$O$51</f>
        <v>0</v>
      </c>
      <c r="P13" s="54">
        <f>'TE BE'!$P$13*'TE BE'!$P$51</f>
        <v>0</v>
      </c>
      <c r="Q13" s="54">
        <f>SUM($L$13:$P$13)</f>
        <v>15.464387726143839</v>
      </c>
      <c r="R13" s="54">
        <f>'TE BE'!$R$13*'TE BE'!$R$51</f>
        <v>-6.6680850706672139</v>
      </c>
      <c r="S13" s="54">
        <f>SUM($R$13:$R$13)</f>
        <v>-6.6680850706672139</v>
      </c>
      <c r="T13" s="54">
        <f>'TE BE'!$T$13*'TE BE'!$T$51</f>
        <v>0</v>
      </c>
      <c r="U13" s="54">
        <f>'TE BE'!$U$13*'TE BE'!$U$51</f>
        <v>0</v>
      </c>
      <c r="V13" s="54">
        <f>'TE BE'!$V$13*'TE BE'!$V$51</f>
        <v>0</v>
      </c>
      <c r="W13" s="54">
        <f>SUM($T$13:$V$13)</f>
        <v>0</v>
      </c>
      <c r="X13" s="54">
        <f>'TE BE'!$AB$13*'TE BE'!$X$51</f>
        <v>-0.55572399366303915</v>
      </c>
      <c r="Y13" s="54">
        <f>SUM($X$13:$X$13)</f>
        <v>-0.55572399366303915</v>
      </c>
      <c r="Z13" s="54">
        <f>'TE BE'!$Z$13*'TE BE'!$Z$51</f>
        <v>-0.17134637701128899</v>
      </c>
      <c r="AA13" s="54">
        <f>SUM($Z$13:$Z$13)</f>
        <v>-0.17134637701128899</v>
      </c>
      <c r="AB13" s="54">
        <f>SUMIF($L$4:$AA$4,"SUBTOTAL",$L$13:$AA$13)</f>
        <v>8.0692322848022968</v>
      </c>
    </row>
    <row r="14" spans="1:28" ht="11.25" customHeight="1" x14ac:dyDescent="0.25">
      <c r="A14" s="120"/>
      <c r="B14" s="120"/>
      <c r="C14" s="120"/>
      <c r="D14" s="56" t="s">
        <v>29</v>
      </c>
      <c r="E14" s="56" t="s">
        <v>25</v>
      </c>
      <c r="F14" s="56" t="s">
        <v>25</v>
      </c>
      <c r="G14" s="57" t="s">
        <v>88</v>
      </c>
      <c r="H14" s="57" t="s">
        <v>82</v>
      </c>
      <c r="I14" s="57">
        <f>'MERCADO TE'!$U$11</f>
        <v>175.73700000000002</v>
      </c>
      <c r="J14" s="15"/>
      <c r="L14" s="54">
        <f>'TE BE'!$L$14*'TE BE'!$L$51</f>
        <v>0</v>
      </c>
      <c r="M14" s="54">
        <f>'TE BE'!$M$14*'TE BE'!$M$51</f>
        <v>15.464387726143839</v>
      </c>
      <c r="N14" s="54">
        <f>'TE BE'!$N$14*'TE BE'!$N$51</f>
        <v>0</v>
      </c>
      <c r="O14" s="54">
        <f>'TE BE'!$O$14*'TE BE'!$O$51</f>
        <v>0</v>
      </c>
      <c r="P14" s="54">
        <f>'TE BE'!$P$14*'TE BE'!$P$51</f>
        <v>0</v>
      </c>
      <c r="Q14" s="54">
        <f>SUM($L$14:$P$14)</f>
        <v>15.464387726143839</v>
      </c>
      <c r="R14" s="54">
        <f>'TE BE'!$R$14*'TE BE'!$R$51</f>
        <v>-6.6680850706672139</v>
      </c>
      <c r="S14" s="54">
        <f>SUM($R$14:$R$14)</f>
        <v>-6.6680850706672139</v>
      </c>
      <c r="T14" s="54">
        <f>'TE BE'!$T$14*'TE BE'!$T$51</f>
        <v>0</v>
      </c>
      <c r="U14" s="54">
        <f>'TE BE'!$U$14*'TE BE'!$U$51</f>
        <v>0</v>
      </c>
      <c r="V14" s="54">
        <f>'TE BE'!$V$14*'TE BE'!$V$51</f>
        <v>0</v>
      </c>
      <c r="W14" s="54">
        <f>SUM($T$14:$V$14)</f>
        <v>0</v>
      </c>
      <c r="X14" s="54">
        <f>'TE BE'!$AB$14*'TE BE'!$X$51</f>
        <v>-0.55572399366303915</v>
      </c>
      <c r="Y14" s="54">
        <f>SUM($X$14:$X$14)</f>
        <v>-0.55572399366303915</v>
      </c>
      <c r="Z14" s="54">
        <f>'TE BE'!$Z$14*'TE BE'!$Z$51</f>
        <v>-0.17134637701128899</v>
      </c>
      <c r="AA14" s="54">
        <f>SUM($Z$14:$Z$14)</f>
        <v>-0.17134637701128899</v>
      </c>
      <c r="AB14" s="54">
        <f>SUMIF($L$4:$AA$4,"SUBTOTAL",$L$14:$AA$14)</f>
        <v>8.0692322848022968</v>
      </c>
    </row>
    <row r="15" spans="1:28" ht="11.25" customHeight="1" x14ac:dyDescent="0.25">
      <c r="A15" s="120"/>
      <c r="B15" s="120"/>
      <c r="C15" s="120"/>
      <c r="D15" s="56" t="s">
        <v>30</v>
      </c>
      <c r="E15" s="56" t="s">
        <v>25</v>
      </c>
      <c r="F15" s="56" t="s">
        <v>25</v>
      </c>
      <c r="G15" s="57" t="s">
        <v>88</v>
      </c>
      <c r="H15" s="57" t="s">
        <v>82</v>
      </c>
      <c r="I15" s="57">
        <f>'MERCADO TE'!$U$12</f>
        <v>60.123000000000005</v>
      </c>
      <c r="J15" s="15"/>
      <c r="L15" s="54">
        <f>'TE BE'!$L$15*'TE BE'!$L$51</f>
        <v>0</v>
      </c>
      <c r="M15" s="54">
        <f>'TE BE'!$M$15*'TE BE'!$M$51</f>
        <v>15.464387726143839</v>
      </c>
      <c r="N15" s="54">
        <f>'TE BE'!$N$15*'TE BE'!$N$51</f>
        <v>0</v>
      </c>
      <c r="O15" s="54">
        <f>'TE BE'!$O$15*'TE BE'!$O$51</f>
        <v>0</v>
      </c>
      <c r="P15" s="54">
        <f>'TE BE'!$P$15*'TE BE'!$P$51</f>
        <v>0</v>
      </c>
      <c r="Q15" s="54">
        <f>SUM($L$15:$P$15)</f>
        <v>15.464387726143839</v>
      </c>
      <c r="R15" s="54">
        <f>'TE BE'!$R$15*'TE BE'!$R$51</f>
        <v>-6.6680850706672139</v>
      </c>
      <c r="S15" s="54">
        <f>SUM($R$15:$R$15)</f>
        <v>-6.6680850706672139</v>
      </c>
      <c r="T15" s="54">
        <f>'TE BE'!$T$15*'TE BE'!$T$51</f>
        <v>0</v>
      </c>
      <c r="U15" s="54">
        <f>'TE BE'!$U$15*'TE BE'!$U$51</f>
        <v>0</v>
      </c>
      <c r="V15" s="54">
        <f>'TE BE'!$V$15*'TE BE'!$V$51</f>
        <v>0</v>
      </c>
      <c r="W15" s="54">
        <f>SUM($T$15:$V$15)</f>
        <v>0</v>
      </c>
      <c r="X15" s="54">
        <f>'TE BE'!$AB$15*'TE BE'!$X$51</f>
        <v>-0.55572399366303915</v>
      </c>
      <c r="Y15" s="54">
        <f>SUM($X$15:$X$15)</f>
        <v>-0.55572399366303915</v>
      </c>
      <c r="Z15" s="54">
        <f>'TE BE'!$Z$15*'TE BE'!$Z$51</f>
        <v>-0.17134637701128899</v>
      </c>
      <c r="AA15" s="54">
        <f>SUM($Z$15:$Z$15)</f>
        <v>-0.17134637701128899</v>
      </c>
      <c r="AB15" s="54">
        <f>SUMIF($L$4:$AA$4,"SUBTOTAL",$L$15:$AA$15)</f>
        <v>8.0692322848022968</v>
      </c>
    </row>
    <row r="16" spans="1:28" ht="11.25" customHeight="1" x14ac:dyDescent="0.25">
      <c r="A16" s="120"/>
      <c r="B16" s="120"/>
      <c r="C16" s="120"/>
      <c r="D16" s="56" t="s">
        <v>31</v>
      </c>
      <c r="E16" s="56" t="s">
        <v>25</v>
      </c>
      <c r="F16" s="56" t="s">
        <v>25</v>
      </c>
      <c r="G16" s="57" t="s">
        <v>88</v>
      </c>
      <c r="H16" s="57" t="s">
        <v>82</v>
      </c>
      <c r="I16" s="57">
        <f>'MERCADO TE'!$U$13</f>
        <v>463.43299999999999</v>
      </c>
      <c r="J16" s="15"/>
      <c r="L16" s="54">
        <f>'TE BE'!$L$16*'TE BE'!$L$51</f>
        <v>0</v>
      </c>
      <c r="M16" s="54">
        <f>'TE BE'!$M$16*'TE BE'!$M$51</f>
        <v>15.464387726143839</v>
      </c>
      <c r="N16" s="54">
        <f>'TE BE'!$N$16*'TE BE'!$N$51</f>
        <v>0</v>
      </c>
      <c r="O16" s="54">
        <f>'TE BE'!$O$16*'TE BE'!$O$51</f>
        <v>0</v>
      </c>
      <c r="P16" s="54">
        <f>'TE BE'!$P$16*'TE BE'!$P$51</f>
        <v>0</v>
      </c>
      <c r="Q16" s="54">
        <f>SUM($L$16:$P$16)</f>
        <v>15.464387726143839</v>
      </c>
      <c r="R16" s="54">
        <f>'TE BE'!$R$16*'TE BE'!$R$51</f>
        <v>-6.6680850706672139</v>
      </c>
      <c r="S16" s="54">
        <f>SUM($R$16:$R$16)</f>
        <v>-6.6680850706672139</v>
      </c>
      <c r="T16" s="54">
        <f>'TE BE'!$T$16*'TE BE'!$T$51</f>
        <v>0</v>
      </c>
      <c r="U16" s="54">
        <f>'TE BE'!$U$16*'TE BE'!$U$51</f>
        <v>0</v>
      </c>
      <c r="V16" s="54">
        <f>'TE BE'!$V$16*'TE BE'!$V$51</f>
        <v>0</v>
      </c>
      <c r="W16" s="54">
        <f>SUM($T$16:$V$16)</f>
        <v>0</v>
      </c>
      <c r="X16" s="54">
        <f>'TE BE'!$AB$16*'TE BE'!$X$51</f>
        <v>-0.55572399366303915</v>
      </c>
      <c r="Y16" s="54">
        <f>SUM($X$16:$X$16)</f>
        <v>-0.55572399366303915</v>
      </c>
      <c r="Z16" s="54">
        <f>'TE BE'!$Z$16*'TE BE'!$Z$51</f>
        <v>-0.17134637701128899</v>
      </c>
      <c r="AA16" s="54">
        <f>SUM($Z$16:$Z$16)</f>
        <v>-0.17134637701128899</v>
      </c>
      <c r="AB16" s="54">
        <f>SUMIF($L$4:$AA$4,"SUBTOTAL",$L$16:$AA$16)</f>
        <v>8.0692322848022968</v>
      </c>
    </row>
    <row r="17" spans="1:28" ht="11.25" customHeight="1" x14ac:dyDescent="0.25">
      <c r="A17" s="120"/>
      <c r="B17" s="120"/>
      <c r="C17" s="120"/>
      <c r="D17" s="56" t="s">
        <v>32</v>
      </c>
      <c r="E17" s="56" t="s">
        <v>25</v>
      </c>
      <c r="F17" s="56" t="s">
        <v>25</v>
      </c>
      <c r="G17" s="57" t="s">
        <v>88</v>
      </c>
      <c r="H17" s="57" t="s">
        <v>82</v>
      </c>
      <c r="I17" s="57">
        <f>'MERCADO TE'!$U$14</f>
        <v>303.64100000000002</v>
      </c>
      <c r="J17" s="15"/>
      <c r="L17" s="54">
        <f>'TE BE'!$L$17*'TE BE'!$L$51</f>
        <v>0</v>
      </c>
      <c r="M17" s="54">
        <f>'TE BE'!$M$17*'TE BE'!$M$51</f>
        <v>15.464387726143839</v>
      </c>
      <c r="N17" s="54">
        <f>'TE BE'!$N$17*'TE BE'!$N$51</f>
        <v>0</v>
      </c>
      <c r="O17" s="54">
        <f>'TE BE'!$O$17*'TE BE'!$O$51</f>
        <v>0</v>
      </c>
      <c r="P17" s="54">
        <f>'TE BE'!$P$17*'TE BE'!$P$51</f>
        <v>0</v>
      </c>
      <c r="Q17" s="54">
        <f>SUM($L$17:$P$17)</f>
        <v>15.464387726143839</v>
      </c>
      <c r="R17" s="54">
        <f>'TE BE'!$R$17*'TE BE'!$R$51</f>
        <v>-6.6680850706672139</v>
      </c>
      <c r="S17" s="54">
        <f>SUM($R$17:$R$17)</f>
        <v>-6.6680850706672139</v>
      </c>
      <c r="T17" s="54">
        <f>'TE BE'!$T$17*'TE BE'!$T$51</f>
        <v>0</v>
      </c>
      <c r="U17" s="54">
        <f>'TE BE'!$U$17*'TE BE'!$U$51</f>
        <v>0</v>
      </c>
      <c r="V17" s="54">
        <f>'TE BE'!$V$17*'TE BE'!$V$51</f>
        <v>0</v>
      </c>
      <c r="W17" s="54">
        <f>SUM($T$17:$V$17)</f>
        <v>0</v>
      </c>
      <c r="X17" s="54">
        <f>'TE BE'!$AB$17*'TE BE'!$X$51</f>
        <v>-0.55572399366303915</v>
      </c>
      <c r="Y17" s="54">
        <f>SUM($X$17:$X$17)</f>
        <v>-0.55572399366303915</v>
      </c>
      <c r="Z17" s="54">
        <f>'TE BE'!$Z$17*'TE BE'!$Z$51</f>
        <v>-0.17134637701128899</v>
      </c>
      <c r="AA17" s="54">
        <f>SUM($Z$17:$Z$17)</f>
        <v>-0.17134637701128899</v>
      </c>
      <c r="AB17" s="54">
        <f>SUMIF($L$4:$AA$4,"SUBTOTAL",$L$17:$AA$17)</f>
        <v>8.0692322848022968</v>
      </c>
    </row>
    <row r="18" spans="1:28" ht="11.25" customHeight="1" x14ac:dyDescent="0.25">
      <c r="A18" s="120"/>
      <c r="B18" s="120" t="s">
        <v>96</v>
      </c>
      <c r="C18" s="120" t="s">
        <v>24</v>
      </c>
      <c r="D18" s="56" t="s">
        <v>24</v>
      </c>
      <c r="E18" s="56" t="s">
        <v>25</v>
      </c>
      <c r="F18" s="56" t="s">
        <v>25</v>
      </c>
      <c r="G18" s="57" t="s">
        <v>88</v>
      </c>
      <c r="H18" s="57" t="s">
        <v>82</v>
      </c>
      <c r="I18" s="57">
        <f>'MERCADO TE'!$U$15</f>
        <v>0</v>
      </c>
      <c r="J18" s="15"/>
      <c r="L18" s="54">
        <f>'TE BE'!$L$18*'TE BE'!$L$51</f>
        <v>0</v>
      </c>
      <c r="M18" s="54">
        <f>'TE BE'!$M$18*'TE BE'!$M$51</f>
        <v>15.464387726143839</v>
      </c>
      <c r="N18" s="54">
        <f>'TE BE'!$N$18*'TE BE'!$N$51</f>
        <v>0</v>
      </c>
      <c r="O18" s="54">
        <f>'TE BE'!$O$18*'TE BE'!$O$51</f>
        <v>0</v>
      </c>
      <c r="P18" s="54">
        <f>'TE BE'!$P$18*'TE BE'!$P$51</f>
        <v>0</v>
      </c>
      <c r="Q18" s="54">
        <f>SUM($L$18:$P$18)</f>
        <v>15.464387726143839</v>
      </c>
      <c r="R18" s="54">
        <f>'TE BE'!$R$18*'TE BE'!$R$51</f>
        <v>-6.6680850706672139</v>
      </c>
      <c r="S18" s="54">
        <f>SUM($R$18:$R$18)</f>
        <v>-6.6680850706672139</v>
      </c>
      <c r="T18" s="54">
        <f>'TE BE'!$T$18*'TE BE'!$T$51</f>
        <v>0</v>
      </c>
      <c r="U18" s="54">
        <f>'TE BE'!$U$18*'TE BE'!$U$51</f>
        <v>0</v>
      </c>
      <c r="V18" s="54">
        <f>'TE BE'!$V$18*'TE BE'!$V$51</f>
        <v>0</v>
      </c>
      <c r="W18" s="54">
        <f>SUM($T$18:$V$18)</f>
        <v>0</v>
      </c>
      <c r="X18" s="54">
        <f>'TE BE'!$AB$18*'TE BE'!$X$51</f>
        <v>-0.55572399366303915</v>
      </c>
      <c r="Y18" s="54">
        <f>SUM($X$18:$X$18)</f>
        <v>-0.55572399366303915</v>
      </c>
      <c r="Z18" s="54">
        <f>'TE BE'!$Z$18*'TE BE'!$Z$51</f>
        <v>-0.17134637701128899</v>
      </c>
      <c r="AA18" s="54">
        <f>SUM($Z$18:$Z$18)</f>
        <v>-0.17134637701128899</v>
      </c>
      <c r="AB18" s="54">
        <f>SUMIF($L$4:$AA$4,"SUBTOTAL",$L$18:$AA$18)</f>
        <v>8.0692322848022968</v>
      </c>
    </row>
    <row r="19" spans="1:28" ht="11.25" customHeight="1" x14ac:dyDescent="0.25">
      <c r="A19" s="120"/>
      <c r="B19" s="120"/>
      <c r="C19" s="120"/>
      <c r="D19" s="56" t="s">
        <v>29</v>
      </c>
      <c r="E19" s="56" t="s">
        <v>25</v>
      </c>
      <c r="F19" s="56" t="s">
        <v>25</v>
      </c>
      <c r="G19" s="57" t="s">
        <v>88</v>
      </c>
      <c r="H19" s="57" t="s">
        <v>82</v>
      </c>
      <c r="I19" s="57">
        <f>'MERCADO TE'!$U$16</f>
        <v>0</v>
      </c>
      <c r="J19" s="15"/>
      <c r="L19" s="54">
        <f>'TE BE'!$L$19*'TE BE'!$L$51</f>
        <v>0</v>
      </c>
      <c r="M19" s="54">
        <f>'TE BE'!$M$19*'TE BE'!$M$51</f>
        <v>15.464387726143839</v>
      </c>
      <c r="N19" s="54">
        <f>'TE BE'!$N$19*'TE BE'!$N$51</f>
        <v>0</v>
      </c>
      <c r="O19" s="54">
        <f>'TE BE'!$O$19*'TE BE'!$O$51</f>
        <v>0</v>
      </c>
      <c r="P19" s="54">
        <f>'TE BE'!$P$19*'TE BE'!$P$51</f>
        <v>0</v>
      </c>
      <c r="Q19" s="54">
        <f>SUM($L$19:$P$19)</f>
        <v>15.464387726143839</v>
      </c>
      <c r="R19" s="54">
        <f>'TE BE'!$R$19*'TE BE'!$R$51</f>
        <v>-6.6680850706672139</v>
      </c>
      <c r="S19" s="54">
        <f>SUM($R$19:$R$19)</f>
        <v>-6.6680850706672139</v>
      </c>
      <c r="T19" s="54">
        <f>'TE BE'!$T$19*'TE BE'!$T$51</f>
        <v>0</v>
      </c>
      <c r="U19" s="54">
        <f>'TE BE'!$U$19*'TE BE'!$U$51</f>
        <v>0</v>
      </c>
      <c r="V19" s="54">
        <f>'TE BE'!$V$19*'TE BE'!$V$51</f>
        <v>0</v>
      </c>
      <c r="W19" s="54">
        <f>SUM($T$19:$V$19)</f>
        <v>0</v>
      </c>
      <c r="X19" s="54">
        <f>'TE BE'!$AB$19*'TE BE'!$X$51</f>
        <v>-0.55572399366303915</v>
      </c>
      <c r="Y19" s="54">
        <f>SUM($X$19:$X$19)</f>
        <v>-0.55572399366303915</v>
      </c>
      <c r="Z19" s="54">
        <f>'TE BE'!$Z$19*'TE BE'!$Z$51</f>
        <v>-0.17134637701128899</v>
      </c>
      <c r="AA19" s="54">
        <f>SUM($Z$19:$Z$19)</f>
        <v>-0.17134637701128899</v>
      </c>
      <c r="AB19" s="54">
        <f>SUMIF($L$4:$AA$4,"SUBTOTAL",$L$19:$AA$19)</f>
        <v>8.0692322848022968</v>
      </c>
    </row>
    <row r="20" spans="1:28" ht="11.25" customHeight="1" x14ac:dyDescent="0.25">
      <c r="A20" s="120"/>
      <c r="B20" s="120"/>
      <c r="C20" s="120"/>
      <c r="D20" s="56" t="s">
        <v>30</v>
      </c>
      <c r="E20" s="56" t="s">
        <v>25</v>
      </c>
      <c r="F20" s="56" t="s">
        <v>25</v>
      </c>
      <c r="G20" s="57" t="s">
        <v>88</v>
      </c>
      <c r="H20" s="57" t="s">
        <v>82</v>
      </c>
      <c r="I20" s="57">
        <f>'MERCADO TE'!$U$17</f>
        <v>0</v>
      </c>
      <c r="J20" s="15"/>
      <c r="L20" s="54">
        <f>'TE BE'!$L$20*'TE BE'!$L$51</f>
        <v>0</v>
      </c>
      <c r="M20" s="54">
        <f>'TE BE'!$M$20*'TE BE'!$M$51</f>
        <v>15.464387726143839</v>
      </c>
      <c r="N20" s="54">
        <f>'TE BE'!$N$20*'TE BE'!$N$51</f>
        <v>0</v>
      </c>
      <c r="O20" s="54">
        <f>'TE BE'!$O$20*'TE BE'!$O$51</f>
        <v>0</v>
      </c>
      <c r="P20" s="54">
        <f>'TE BE'!$P$20*'TE BE'!$P$51</f>
        <v>0</v>
      </c>
      <c r="Q20" s="54">
        <f>SUM($L$20:$P$20)</f>
        <v>15.464387726143839</v>
      </c>
      <c r="R20" s="54">
        <f>'TE BE'!$R$20*'TE BE'!$R$51</f>
        <v>-6.6680850706672139</v>
      </c>
      <c r="S20" s="54">
        <f>SUM($R$20:$R$20)</f>
        <v>-6.6680850706672139</v>
      </c>
      <c r="T20" s="54">
        <f>'TE BE'!$T$20*'TE BE'!$T$51</f>
        <v>0</v>
      </c>
      <c r="U20" s="54">
        <f>'TE BE'!$U$20*'TE BE'!$U$51</f>
        <v>0</v>
      </c>
      <c r="V20" s="54">
        <f>'TE BE'!$V$20*'TE BE'!$V$51</f>
        <v>0</v>
      </c>
      <c r="W20" s="54">
        <f>SUM($T$20:$V$20)</f>
        <v>0</v>
      </c>
      <c r="X20" s="54">
        <f>'TE BE'!$AB$20*'TE BE'!$X$51</f>
        <v>-0.55572399366303915</v>
      </c>
      <c r="Y20" s="54">
        <f>SUM($X$20:$X$20)</f>
        <v>-0.55572399366303915</v>
      </c>
      <c r="Z20" s="54">
        <f>'TE BE'!$Z$20*'TE BE'!$Z$51</f>
        <v>-0.17134637701128899</v>
      </c>
      <c r="AA20" s="54">
        <f>SUM($Z$20:$Z$20)</f>
        <v>-0.17134637701128899</v>
      </c>
      <c r="AB20" s="54">
        <f>SUMIF($L$4:$AA$4,"SUBTOTAL",$L$20:$AA$20)</f>
        <v>8.0692322848022968</v>
      </c>
    </row>
    <row r="21" spans="1:28" ht="11.25" customHeight="1" x14ac:dyDescent="0.25">
      <c r="A21" s="120"/>
      <c r="B21" s="120"/>
      <c r="C21" s="120"/>
      <c r="D21" s="56" t="s">
        <v>31</v>
      </c>
      <c r="E21" s="56" t="s">
        <v>25</v>
      </c>
      <c r="F21" s="56" t="s">
        <v>25</v>
      </c>
      <c r="G21" s="57" t="s">
        <v>88</v>
      </c>
      <c r="H21" s="57" t="s">
        <v>82</v>
      </c>
      <c r="I21" s="57">
        <f>'MERCADO TE'!$U$18</f>
        <v>0</v>
      </c>
      <c r="J21" s="15"/>
      <c r="L21" s="54">
        <f>'TE BE'!$L$21*'TE BE'!$L$51</f>
        <v>0</v>
      </c>
      <c r="M21" s="54">
        <f>'TE BE'!$M$21*'TE BE'!$M$51</f>
        <v>15.464387726143839</v>
      </c>
      <c r="N21" s="54">
        <f>'TE BE'!$N$21*'TE BE'!$N$51</f>
        <v>0</v>
      </c>
      <c r="O21" s="54">
        <f>'TE BE'!$O$21*'TE BE'!$O$51</f>
        <v>0</v>
      </c>
      <c r="P21" s="54">
        <f>'TE BE'!$P$21*'TE BE'!$P$51</f>
        <v>0</v>
      </c>
      <c r="Q21" s="54">
        <f>SUM($L$21:$P$21)</f>
        <v>15.464387726143839</v>
      </c>
      <c r="R21" s="54">
        <f>'TE BE'!$R$21*'TE BE'!$R$51</f>
        <v>-6.6680850706672139</v>
      </c>
      <c r="S21" s="54">
        <f>SUM($R$21:$R$21)</f>
        <v>-6.6680850706672139</v>
      </c>
      <c r="T21" s="54">
        <f>'TE BE'!$T$21*'TE BE'!$T$51</f>
        <v>0</v>
      </c>
      <c r="U21" s="54">
        <f>'TE BE'!$U$21*'TE BE'!$U$51</f>
        <v>0</v>
      </c>
      <c r="V21" s="54">
        <f>'TE BE'!$V$21*'TE BE'!$V$51</f>
        <v>0</v>
      </c>
      <c r="W21" s="54">
        <f>SUM($T$21:$V$21)</f>
        <v>0</v>
      </c>
      <c r="X21" s="54">
        <f>'TE BE'!$AB$21*'TE BE'!$X$51</f>
        <v>-0.55572399366303915</v>
      </c>
      <c r="Y21" s="54">
        <f>SUM($X$21:$X$21)</f>
        <v>-0.55572399366303915</v>
      </c>
      <c r="Z21" s="54">
        <f>'TE BE'!$Z$21*'TE BE'!$Z$51</f>
        <v>-0.17134637701128899</v>
      </c>
      <c r="AA21" s="54">
        <f>SUM($Z$21:$Z$21)</f>
        <v>-0.17134637701128899</v>
      </c>
      <c r="AB21" s="54">
        <f>SUMIF($L$4:$AA$4,"SUBTOTAL",$L$21:$AA$21)</f>
        <v>8.0692322848022968</v>
      </c>
    </row>
    <row r="22" spans="1:28" ht="11.25" customHeight="1" x14ac:dyDescent="0.25">
      <c r="A22" s="120"/>
      <c r="B22" s="120"/>
      <c r="C22" s="120"/>
      <c r="D22" s="56" t="s">
        <v>32</v>
      </c>
      <c r="E22" s="56" t="s">
        <v>25</v>
      </c>
      <c r="F22" s="56" t="s">
        <v>25</v>
      </c>
      <c r="G22" s="57" t="s">
        <v>88</v>
      </c>
      <c r="H22" s="57" t="s">
        <v>82</v>
      </c>
      <c r="I22" s="57">
        <f>'MERCADO TE'!$U$19</f>
        <v>0</v>
      </c>
      <c r="J22" s="15"/>
      <c r="L22" s="54">
        <f>'TE BE'!$L$22*'TE BE'!$L$51</f>
        <v>0</v>
      </c>
      <c r="M22" s="54">
        <f>'TE BE'!$M$22*'TE BE'!$M$51</f>
        <v>15.464387726143839</v>
      </c>
      <c r="N22" s="54">
        <f>'TE BE'!$N$22*'TE BE'!$N$51</f>
        <v>0</v>
      </c>
      <c r="O22" s="54">
        <f>'TE BE'!$O$22*'TE BE'!$O$51</f>
        <v>0</v>
      </c>
      <c r="P22" s="54">
        <f>'TE BE'!$P$22*'TE BE'!$P$51</f>
        <v>0</v>
      </c>
      <c r="Q22" s="54">
        <f>SUM($L$22:$P$22)</f>
        <v>15.464387726143839</v>
      </c>
      <c r="R22" s="54">
        <f>'TE BE'!$R$22*'TE BE'!$R$51</f>
        <v>-6.6680850706672139</v>
      </c>
      <c r="S22" s="54">
        <f>SUM($R$22:$R$22)</f>
        <v>-6.6680850706672139</v>
      </c>
      <c r="T22" s="54">
        <f>'TE BE'!$T$22*'TE BE'!$T$51</f>
        <v>0</v>
      </c>
      <c r="U22" s="54">
        <f>'TE BE'!$U$22*'TE BE'!$U$51</f>
        <v>0</v>
      </c>
      <c r="V22" s="54">
        <f>'TE BE'!$V$22*'TE BE'!$V$51</f>
        <v>0</v>
      </c>
      <c r="W22" s="54">
        <f>SUM($T$22:$V$22)</f>
        <v>0</v>
      </c>
      <c r="X22" s="54">
        <f>'TE BE'!$AB$22*'TE BE'!$X$51</f>
        <v>-0.55572399366303915</v>
      </c>
      <c r="Y22" s="54">
        <f>SUM($X$22:$X$22)</f>
        <v>-0.55572399366303915</v>
      </c>
      <c r="Z22" s="54">
        <f>'TE BE'!$Z$22*'TE BE'!$Z$51</f>
        <v>-0.17134637701128899</v>
      </c>
      <c r="AA22" s="54">
        <f>SUM($Z$22:$Z$22)</f>
        <v>-0.17134637701128899</v>
      </c>
      <c r="AB22" s="54">
        <f>SUMIF($L$4:$AA$4,"SUBTOTAL",$L$22:$AA$22)</f>
        <v>8.0692322848022968</v>
      </c>
    </row>
    <row r="23" spans="1:28" ht="11.25" customHeight="1" x14ac:dyDescent="0.25">
      <c r="A23" s="120" t="s">
        <v>41</v>
      </c>
      <c r="B23" s="120" t="s">
        <v>81</v>
      </c>
      <c r="C23" s="120" t="s">
        <v>42</v>
      </c>
      <c r="D23" s="120" t="s">
        <v>25</v>
      </c>
      <c r="E23" s="120" t="s">
        <v>25</v>
      </c>
      <c r="F23" s="120" t="s">
        <v>25</v>
      </c>
      <c r="G23" s="57" t="s">
        <v>83</v>
      </c>
      <c r="H23" s="57" t="s">
        <v>82</v>
      </c>
      <c r="I23" s="57">
        <f>'MERCADO TE'!$U$20</f>
        <v>0</v>
      </c>
      <c r="J23" s="15"/>
      <c r="L23" s="54">
        <f>'TE BE'!$L$23*'TE BE'!$L$51</f>
        <v>0</v>
      </c>
      <c r="M23" s="54">
        <f>'TE BE'!$M$23*'TE BE'!$M$51</f>
        <v>15.464387726143839</v>
      </c>
      <c r="N23" s="54">
        <f>'TE BE'!$N$23*'TE BE'!$N$51</f>
        <v>0</v>
      </c>
      <c r="O23" s="54">
        <f>'TE BE'!$O$23*'TE BE'!$O$51</f>
        <v>0</v>
      </c>
      <c r="P23" s="54">
        <f>'TE BE'!$P$23*'TE BE'!$P$51</f>
        <v>0</v>
      </c>
      <c r="Q23" s="54">
        <f>SUM($L$23:$P$23)</f>
        <v>15.464387726143839</v>
      </c>
      <c r="R23" s="54">
        <f>'TE BE'!$R$23*'TE BE'!$R$51</f>
        <v>-6.6680850706672139</v>
      </c>
      <c r="S23" s="54">
        <f>SUM($R$23:$R$23)</f>
        <v>-6.6680850706672139</v>
      </c>
      <c r="T23" s="54">
        <f>'TE BE'!$T$23*'TE BE'!$T$51</f>
        <v>0</v>
      </c>
      <c r="U23" s="54">
        <f>'TE BE'!$U$23*'TE BE'!$U$51</f>
        <v>0</v>
      </c>
      <c r="V23" s="54">
        <f>'TE BE'!$V$23*'TE BE'!$V$51</f>
        <v>0</v>
      </c>
      <c r="W23" s="54">
        <f>SUM($T$23:$V$23)</f>
        <v>0</v>
      </c>
      <c r="X23" s="54">
        <f>'TE BE'!$AB$23*'TE BE'!$X$51</f>
        <v>-0.55572399366303915</v>
      </c>
      <c r="Y23" s="54">
        <f>SUM($X$23:$X$23)</f>
        <v>-0.55572399366303915</v>
      </c>
      <c r="Z23" s="54">
        <f>'TE BE'!$Z$23*'TE BE'!$Z$51</f>
        <v>-0.17134637701128899</v>
      </c>
      <c r="AA23" s="54">
        <f>SUM($Z$23:$Z$23)</f>
        <v>-0.17134637701128899</v>
      </c>
      <c r="AB23" s="54">
        <f>SUMIF($L$4:$AA$4,"SUBTOTAL",$L$23:$AA$23)</f>
        <v>8.0692322848022968</v>
      </c>
    </row>
    <row r="24" spans="1:28" ht="11.25" customHeight="1" x14ac:dyDescent="0.25">
      <c r="A24" s="120"/>
      <c r="B24" s="120"/>
      <c r="C24" s="120"/>
      <c r="D24" s="120"/>
      <c r="E24" s="120"/>
      <c r="F24" s="120"/>
      <c r="G24" s="57" t="s">
        <v>94</v>
      </c>
      <c r="H24" s="57" t="s">
        <v>82</v>
      </c>
      <c r="I24" s="57">
        <f>'MERCADO TE'!$U$21</f>
        <v>0</v>
      </c>
      <c r="J24" s="15"/>
      <c r="L24" s="54">
        <f>'TE BE'!$L$24*'TE BE'!$L$51</f>
        <v>0</v>
      </c>
      <c r="M24" s="54">
        <f>'TE BE'!$M$24*'TE BE'!$M$51</f>
        <v>15.464387726143839</v>
      </c>
      <c r="N24" s="54">
        <f>'TE BE'!$N$24*'TE BE'!$N$51</f>
        <v>0</v>
      </c>
      <c r="O24" s="54">
        <f>'TE BE'!$O$24*'TE BE'!$O$51</f>
        <v>0</v>
      </c>
      <c r="P24" s="54">
        <f>'TE BE'!$P$24*'TE BE'!$P$51</f>
        <v>0</v>
      </c>
      <c r="Q24" s="54">
        <f>SUM($L$24:$P$24)</f>
        <v>15.464387726143839</v>
      </c>
      <c r="R24" s="54">
        <f>'TE BE'!$R$24*'TE BE'!$R$51</f>
        <v>-6.6680850706672139</v>
      </c>
      <c r="S24" s="54">
        <f>SUM($R$24:$R$24)</f>
        <v>-6.6680850706672139</v>
      </c>
      <c r="T24" s="54">
        <f>'TE BE'!$T$24*'TE BE'!$T$51</f>
        <v>0</v>
      </c>
      <c r="U24" s="54">
        <f>'TE BE'!$U$24*'TE BE'!$U$51</f>
        <v>0</v>
      </c>
      <c r="V24" s="54">
        <f>'TE BE'!$V$24*'TE BE'!$V$51</f>
        <v>0</v>
      </c>
      <c r="W24" s="54">
        <f>SUM($T$24:$V$24)</f>
        <v>0</v>
      </c>
      <c r="X24" s="54">
        <f>'TE BE'!$AB$24*'TE BE'!$X$51</f>
        <v>-0.55572399366303915</v>
      </c>
      <c r="Y24" s="54">
        <f>SUM($X$24:$X$24)</f>
        <v>-0.55572399366303915</v>
      </c>
      <c r="Z24" s="54">
        <f>'TE BE'!$Z$24*'TE BE'!$Z$51</f>
        <v>-0.17134637701128899</v>
      </c>
      <c r="AA24" s="54">
        <f>SUM($Z$24:$Z$24)</f>
        <v>-0.17134637701128899</v>
      </c>
      <c r="AB24" s="54">
        <f>SUMIF($L$4:$AA$4,"SUBTOTAL",$L$24:$AA$24)</f>
        <v>8.0692322848022968</v>
      </c>
    </row>
    <row r="25" spans="1:28" ht="11.25" customHeight="1" x14ac:dyDescent="0.25">
      <c r="A25" s="120"/>
      <c r="B25" s="120"/>
      <c r="C25" s="120"/>
      <c r="D25" s="120"/>
      <c r="E25" s="120"/>
      <c r="F25" s="120"/>
      <c r="G25" s="57" t="s">
        <v>84</v>
      </c>
      <c r="H25" s="57" t="s">
        <v>82</v>
      </c>
      <c r="I25" s="57">
        <f>'MERCADO TE'!$U$22</f>
        <v>0</v>
      </c>
      <c r="J25" s="15"/>
      <c r="L25" s="54">
        <f>'TE BE'!$L$25*'TE BE'!$L$51</f>
        <v>0</v>
      </c>
      <c r="M25" s="54">
        <f>'TE BE'!$M$25*'TE BE'!$M$51</f>
        <v>15.464387726143839</v>
      </c>
      <c r="N25" s="54">
        <f>'TE BE'!$N$25*'TE BE'!$N$51</f>
        <v>0</v>
      </c>
      <c r="O25" s="54">
        <f>'TE BE'!$O$25*'TE BE'!$O$51</f>
        <v>0</v>
      </c>
      <c r="P25" s="54">
        <f>'TE BE'!$P$25*'TE BE'!$P$51</f>
        <v>0</v>
      </c>
      <c r="Q25" s="54">
        <f>SUM($L$25:$P$25)</f>
        <v>15.464387726143839</v>
      </c>
      <c r="R25" s="54">
        <f>'TE BE'!$R$25*'TE BE'!$R$51</f>
        <v>-6.6680850706672139</v>
      </c>
      <c r="S25" s="54">
        <f>SUM($R$25:$R$25)</f>
        <v>-6.6680850706672139</v>
      </c>
      <c r="T25" s="54">
        <f>'TE BE'!$T$25*'TE BE'!$T$51</f>
        <v>0</v>
      </c>
      <c r="U25" s="54">
        <f>'TE BE'!$U$25*'TE BE'!$U$51</f>
        <v>0</v>
      </c>
      <c r="V25" s="54">
        <f>'TE BE'!$V$25*'TE BE'!$V$51</f>
        <v>0</v>
      </c>
      <c r="W25" s="54">
        <f>SUM($T$25:$V$25)</f>
        <v>0</v>
      </c>
      <c r="X25" s="54">
        <f>'TE BE'!$AB$25*'TE BE'!$X$51</f>
        <v>-0.55572399366303915</v>
      </c>
      <c r="Y25" s="54">
        <f>SUM($X$25:$X$25)</f>
        <v>-0.55572399366303915</v>
      </c>
      <c r="Z25" s="54">
        <f>'TE BE'!$Z$25*'TE BE'!$Z$51</f>
        <v>-0.17134637701128899</v>
      </c>
      <c r="AA25" s="54">
        <f>SUM($Z$25:$Z$25)</f>
        <v>-0.17134637701128899</v>
      </c>
      <c r="AB25" s="54">
        <f>SUMIF($L$4:$AA$4,"SUBTOTAL",$L$25:$AA$25)</f>
        <v>8.0692322848022968</v>
      </c>
    </row>
    <row r="26" spans="1:28" ht="11.25" customHeight="1" x14ac:dyDescent="0.25">
      <c r="A26" s="120"/>
      <c r="B26" s="56" t="s">
        <v>90</v>
      </c>
      <c r="C26" s="56" t="s">
        <v>42</v>
      </c>
      <c r="D26" s="56" t="s">
        <v>25</v>
      </c>
      <c r="E26" s="56" t="s">
        <v>25</v>
      </c>
      <c r="F26" s="56" t="s">
        <v>25</v>
      </c>
      <c r="G26" s="57" t="s">
        <v>88</v>
      </c>
      <c r="H26" s="57" t="s">
        <v>82</v>
      </c>
      <c r="I26" s="57">
        <f>'MERCADO TE'!$U$23</f>
        <v>185983.22399999999</v>
      </c>
      <c r="J26" s="15"/>
      <c r="L26" s="54">
        <f>'TE BE'!$L$26*'TE BE'!$L$51</f>
        <v>0</v>
      </c>
      <c r="M26" s="54">
        <f>'TE BE'!$M$26*'TE BE'!$M$51</f>
        <v>15.464387726143839</v>
      </c>
      <c r="N26" s="54">
        <f>'TE BE'!$N$26*'TE BE'!$N$51</f>
        <v>0</v>
      </c>
      <c r="O26" s="54">
        <f>'TE BE'!$O$26*'TE BE'!$O$51</f>
        <v>0</v>
      </c>
      <c r="P26" s="54">
        <f>'TE BE'!$P$26*'TE BE'!$P$51</f>
        <v>0</v>
      </c>
      <c r="Q26" s="54">
        <f>SUM($L$26:$P$26)</f>
        <v>15.464387726143839</v>
      </c>
      <c r="R26" s="54">
        <f>'TE BE'!$R$26*'TE BE'!$R$51</f>
        <v>-6.6680850706672139</v>
      </c>
      <c r="S26" s="54">
        <f>SUM($R$26:$R$26)</f>
        <v>-6.6680850706672139</v>
      </c>
      <c r="T26" s="54">
        <f>'TE BE'!$T$26*'TE BE'!$T$51</f>
        <v>0</v>
      </c>
      <c r="U26" s="54">
        <f>'TE BE'!$U$26*'TE BE'!$U$51</f>
        <v>0</v>
      </c>
      <c r="V26" s="54">
        <f>'TE BE'!$V$26*'TE BE'!$V$51</f>
        <v>0</v>
      </c>
      <c r="W26" s="54">
        <f>SUM($T$26:$V$26)</f>
        <v>0</v>
      </c>
      <c r="X26" s="54">
        <f>'TE BE'!$AB$26*'TE BE'!$X$51</f>
        <v>-0.55572399366303915</v>
      </c>
      <c r="Y26" s="54">
        <f>SUM($X$26:$X$26)</f>
        <v>-0.55572399366303915</v>
      </c>
      <c r="Z26" s="54">
        <f>'TE BE'!$Z$26*'TE BE'!$Z$51</f>
        <v>-0.17134637701128899</v>
      </c>
      <c r="AA26" s="54">
        <f>SUM($Z$26:$Z$26)</f>
        <v>-0.17134637701128899</v>
      </c>
      <c r="AB26" s="54">
        <f>SUMIF($L$4:$AA$4,"SUBTOTAL",$L$26:$AA$26)</f>
        <v>8.0692322848022968</v>
      </c>
    </row>
    <row r="27" spans="1:28" ht="11.25" customHeight="1" x14ac:dyDescent="0.25">
      <c r="A27" s="120"/>
      <c r="B27" s="120" t="s">
        <v>81</v>
      </c>
      <c r="C27" s="120" t="s">
        <v>42</v>
      </c>
      <c r="D27" s="120" t="s">
        <v>98</v>
      </c>
      <c r="E27" s="120" t="s">
        <v>25</v>
      </c>
      <c r="F27" s="120" t="s">
        <v>25</v>
      </c>
      <c r="G27" s="57" t="s">
        <v>83</v>
      </c>
      <c r="H27" s="57" t="s">
        <v>82</v>
      </c>
      <c r="I27" s="57">
        <f>'MERCADO TE'!$U$24</f>
        <v>0</v>
      </c>
      <c r="J27" s="15"/>
      <c r="L27" s="54">
        <f>'TE BE'!$L$27*'TE BE'!$L$51</f>
        <v>0</v>
      </c>
      <c r="M27" s="54">
        <f>'TE BE'!$M$27*'TE BE'!$M$51</f>
        <v>15.464387726143839</v>
      </c>
      <c r="N27" s="54">
        <f>'TE BE'!$N$27*'TE BE'!$N$51</f>
        <v>0</v>
      </c>
      <c r="O27" s="54">
        <f>'TE BE'!$O$27*'TE BE'!$O$51</f>
        <v>0</v>
      </c>
      <c r="P27" s="54">
        <f>'TE BE'!$P$27*'TE BE'!$P$51</f>
        <v>0</v>
      </c>
      <c r="Q27" s="54">
        <f>SUM($L$27:$P$27)</f>
        <v>15.464387726143839</v>
      </c>
      <c r="R27" s="54">
        <f>'TE BE'!$R$27*'TE BE'!$R$51</f>
        <v>-6.6680850706672139</v>
      </c>
      <c r="S27" s="54">
        <f>SUM($R$27:$R$27)</f>
        <v>-6.6680850706672139</v>
      </c>
      <c r="T27" s="54">
        <f>'TE BE'!$T$27*'TE BE'!$T$51</f>
        <v>0</v>
      </c>
      <c r="U27" s="54">
        <f>'TE BE'!$U$27*'TE BE'!$U$51</f>
        <v>0</v>
      </c>
      <c r="V27" s="54">
        <f>'TE BE'!$V$27*'TE BE'!$V$51</f>
        <v>0</v>
      </c>
      <c r="W27" s="54">
        <f>SUM($T$27:$V$27)</f>
        <v>0</v>
      </c>
      <c r="X27" s="54">
        <f>'TE BE'!$AB$27*'TE BE'!$X$51</f>
        <v>-0.55572399366303915</v>
      </c>
      <c r="Y27" s="54">
        <f>SUM($X$27:$X$27)</f>
        <v>-0.55572399366303915</v>
      </c>
      <c r="Z27" s="54">
        <f>'TE BE'!$Z$27*'TE BE'!$Z$51</f>
        <v>-0.17134637701128899</v>
      </c>
      <c r="AA27" s="54">
        <f>SUM($Z$27:$Z$27)</f>
        <v>-0.17134637701128899</v>
      </c>
      <c r="AB27" s="54">
        <f>SUMIF($L$4:$AA$4,"SUBTOTAL",$L$27:$AA$27)</f>
        <v>8.0692322848022968</v>
      </c>
    </row>
    <row r="28" spans="1:28" ht="11.25" customHeight="1" x14ac:dyDescent="0.25">
      <c r="A28" s="120"/>
      <c r="B28" s="120"/>
      <c r="C28" s="120"/>
      <c r="D28" s="120"/>
      <c r="E28" s="120"/>
      <c r="F28" s="120"/>
      <c r="G28" s="57" t="s">
        <v>94</v>
      </c>
      <c r="H28" s="57" t="s">
        <v>82</v>
      </c>
      <c r="I28" s="57">
        <f>'MERCADO TE'!$U$25</f>
        <v>0</v>
      </c>
      <c r="J28" s="15"/>
      <c r="L28" s="54">
        <f>'TE BE'!$L$28*'TE BE'!$L$51</f>
        <v>0</v>
      </c>
      <c r="M28" s="54">
        <f>'TE BE'!$M$28*'TE BE'!$M$51</f>
        <v>15.464387726143839</v>
      </c>
      <c r="N28" s="54">
        <f>'TE BE'!$N$28*'TE BE'!$N$51</f>
        <v>0</v>
      </c>
      <c r="O28" s="54">
        <f>'TE BE'!$O$28*'TE BE'!$O$51</f>
        <v>0</v>
      </c>
      <c r="P28" s="54">
        <f>'TE BE'!$P$28*'TE BE'!$P$51</f>
        <v>0</v>
      </c>
      <c r="Q28" s="54">
        <f>SUM($L$28:$P$28)</f>
        <v>15.464387726143839</v>
      </c>
      <c r="R28" s="54">
        <f>'TE BE'!$R$28*'TE BE'!$R$51</f>
        <v>-6.6680850706672139</v>
      </c>
      <c r="S28" s="54">
        <f>SUM($R$28:$R$28)</f>
        <v>-6.6680850706672139</v>
      </c>
      <c r="T28" s="54">
        <f>'TE BE'!$T$28*'TE BE'!$T$51</f>
        <v>0</v>
      </c>
      <c r="U28" s="54">
        <f>'TE BE'!$U$28*'TE BE'!$U$51</f>
        <v>0</v>
      </c>
      <c r="V28" s="54">
        <f>'TE BE'!$V$28*'TE BE'!$V$51</f>
        <v>0</v>
      </c>
      <c r="W28" s="54">
        <f>SUM($T$28:$V$28)</f>
        <v>0</v>
      </c>
      <c r="X28" s="54">
        <f>'TE BE'!$AB$28*'TE BE'!$X$51</f>
        <v>-0.55572399366303915</v>
      </c>
      <c r="Y28" s="54">
        <f>SUM($X$28:$X$28)</f>
        <v>-0.55572399366303915</v>
      </c>
      <c r="Z28" s="54">
        <f>'TE BE'!$Z$28*'TE BE'!$Z$51</f>
        <v>-0.17134637701128899</v>
      </c>
      <c r="AA28" s="54">
        <f>SUM($Z$28:$Z$28)</f>
        <v>-0.17134637701128899</v>
      </c>
      <c r="AB28" s="54">
        <f>SUMIF($L$4:$AA$4,"SUBTOTAL",$L$28:$AA$28)</f>
        <v>8.0692322848022968</v>
      </c>
    </row>
    <row r="29" spans="1:28" ht="11.25" customHeight="1" x14ac:dyDescent="0.25">
      <c r="A29" s="120"/>
      <c r="B29" s="120"/>
      <c r="C29" s="120"/>
      <c r="D29" s="120"/>
      <c r="E29" s="120"/>
      <c r="F29" s="120"/>
      <c r="G29" s="57" t="s">
        <v>84</v>
      </c>
      <c r="H29" s="57" t="s">
        <v>82</v>
      </c>
      <c r="I29" s="57">
        <f>'MERCADO TE'!$U$26</f>
        <v>0</v>
      </c>
      <c r="J29" s="15"/>
      <c r="L29" s="54">
        <f>'TE BE'!$L$29*'TE BE'!$L$51</f>
        <v>0</v>
      </c>
      <c r="M29" s="54">
        <f>'TE BE'!$M$29*'TE BE'!$M$51</f>
        <v>15.464387726143839</v>
      </c>
      <c r="N29" s="54">
        <f>'TE BE'!$N$29*'TE BE'!$N$51</f>
        <v>0</v>
      </c>
      <c r="O29" s="54">
        <f>'TE BE'!$O$29*'TE BE'!$O$51</f>
        <v>0</v>
      </c>
      <c r="P29" s="54">
        <f>'TE BE'!$P$29*'TE BE'!$P$51</f>
        <v>0</v>
      </c>
      <c r="Q29" s="54">
        <f>SUM($L$29:$P$29)</f>
        <v>15.464387726143839</v>
      </c>
      <c r="R29" s="54">
        <f>'TE BE'!$R$29*'TE BE'!$R$51</f>
        <v>-6.6680850706672139</v>
      </c>
      <c r="S29" s="54">
        <f>SUM($R$29:$R$29)</f>
        <v>-6.6680850706672139</v>
      </c>
      <c r="T29" s="54">
        <f>'TE BE'!$T$29*'TE BE'!$T$51</f>
        <v>0</v>
      </c>
      <c r="U29" s="54">
        <f>'TE BE'!$U$29*'TE BE'!$U$51</f>
        <v>0</v>
      </c>
      <c r="V29" s="54">
        <f>'TE BE'!$V$29*'TE BE'!$V$51</f>
        <v>0</v>
      </c>
      <c r="W29" s="54">
        <f>SUM($T$29:$V$29)</f>
        <v>0</v>
      </c>
      <c r="X29" s="54">
        <f>'TE BE'!$AB$29*'TE BE'!$X$51</f>
        <v>-0.55572399366303915</v>
      </c>
      <c r="Y29" s="54">
        <f>SUM($X$29:$X$29)</f>
        <v>-0.55572399366303915</v>
      </c>
      <c r="Z29" s="54">
        <f>'TE BE'!$Z$29*'TE BE'!$Z$51</f>
        <v>-0.17134637701128899</v>
      </c>
      <c r="AA29" s="54">
        <f>SUM($Z$29:$Z$29)</f>
        <v>-0.17134637701128899</v>
      </c>
      <c r="AB29" s="54">
        <f>SUMIF($L$4:$AA$4,"SUBTOTAL",$L$29:$AA$29)</f>
        <v>8.0692322848022968</v>
      </c>
    </row>
    <row r="30" spans="1:28" ht="11.25" customHeight="1" x14ac:dyDescent="0.25">
      <c r="A30" s="120"/>
      <c r="B30" s="56" t="s">
        <v>90</v>
      </c>
      <c r="C30" s="56" t="s">
        <v>42</v>
      </c>
      <c r="D30" s="56" t="s">
        <v>98</v>
      </c>
      <c r="E30" s="56" t="s">
        <v>25</v>
      </c>
      <c r="F30" s="56" t="s">
        <v>25</v>
      </c>
      <c r="G30" s="57" t="s">
        <v>88</v>
      </c>
      <c r="H30" s="57" t="s">
        <v>82</v>
      </c>
      <c r="I30" s="57">
        <f>'MERCADO TE'!$U$27</f>
        <v>0</v>
      </c>
      <c r="J30" s="15"/>
      <c r="L30" s="54">
        <f>'TE BE'!$L$30*'TE BE'!$L$51</f>
        <v>0</v>
      </c>
      <c r="M30" s="54">
        <f>'TE BE'!$M$30*'TE BE'!$M$51</f>
        <v>15.464387726143839</v>
      </c>
      <c r="N30" s="54">
        <f>'TE BE'!$N$30*'TE BE'!$N$51</f>
        <v>0</v>
      </c>
      <c r="O30" s="54">
        <f>'TE BE'!$O$30*'TE BE'!$O$51</f>
        <v>0</v>
      </c>
      <c r="P30" s="54">
        <f>'TE BE'!$P$30*'TE BE'!$P$51</f>
        <v>0</v>
      </c>
      <c r="Q30" s="54">
        <f>SUM($L$30:$P$30)</f>
        <v>15.464387726143839</v>
      </c>
      <c r="R30" s="54">
        <f>'TE BE'!$R$30*'TE BE'!$R$51</f>
        <v>-6.6680850706672139</v>
      </c>
      <c r="S30" s="54">
        <f>SUM($R$30:$R$30)</f>
        <v>-6.6680850706672139</v>
      </c>
      <c r="T30" s="54">
        <f>'TE BE'!$T$30*'TE BE'!$T$51</f>
        <v>0</v>
      </c>
      <c r="U30" s="54">
        <f>'TE BE'!$U$30*'TE BE'!$U$51</f>
        <v>0</v>
      </c>
      <c r="V30" s="54">
        <f>'TE BE'!$V$30*'TE BE'!$V$51</f>
        <v>0</v>
      </c>
      <c r="W30" s="54">
        <f>SUM($T$30:$V$30)</f>
        <v>0</v>
      </c>
      <c r="X30" s="54">
        <f>'TE BE'!$AB$30*'TE BE'!$X$51</f>
        <v>-0.55572399366303915</v>
      </c>
      <c r="Y30" s="54">
        <f>SUM($X$30:$X$30)</f>
        <v>-0.55572399366303915</v>
      </c>
      <c r="Z30" s="54">
        <f>'TE BE'!$Z$30*'TE BE'!$Z$51</f>
        <v>-0.17134637701128899</v>
      </c>
      <c r="AA30" s="54">
        <f>SUM($Z$30:$Z$30)</f>
        <v>-0.17134637701128899</v>
      </c>
      <c r="AB30" s="54">
        <f>SUMIF($L$4:$AA$4,"SUBTOTAL",$L$30:$AA$30)</f>
        <v>8.0692322848022968</v>
      </c>
    </row>
    <row r="31" spans="1:28" ht="11.25" customHeight="1" x14ac:dyDescent="0.25">
      <c r="A31" s="120"/>
      <c r="B31" s="120" t="s">
        <v>81</v>
      </c>
      <c r="C31" s="120" t="s">
        <v>42</v>
      </c>
      <c r="D31" s="120" t="s">
        <v>99</v>
      </c>
      <c r="E31" s="120" t="s">
        <v>25</v>
      </c>
      <c r="F31" s="120" t="s">
        <v>25</v>
      </c>
      <c r="G31" s="57" t="s">
        <v>83</v>
      </c>
      <c r="H31" s="57" t="s">
        <v>82</v>
      </c>
      <c r="I31" s="57">
        <f>'MERCADO TE'!$U$28</f>
        <v>0</v>
      </c>
      <c r="J31" s="15"/>
      <c r="L31" s="54">
        <f>'TE BE'!$L$31*'TE BE'!$L$51</f>
        <v>0</v>
      </c>
      <c r="M31" s="54">
        <f>'TE BE'!$M$31*'TE BE'!$M$51</f>
        <v>15.464387726143839</v>
      </c>
      <c r="N31" s="54">
        <f>'TE BE'!$N$31*'TE BE'!$N$51</f>
        <v>0</v>
      </c>
      <c r="O31" s="54">
        <f>'TE BE'!$O$31*'TE BE'!$O$51</f>
        <v>0</v>
      </c>
      <c r="P31" s="54">
        <f>'TE BE'!$P$31*'TE BE'!$P$51</f>
        <v>0</v>
      </c>
      <c r="Q31" s="54">
        <f>SUM($L$31:$P$31)</f>
        <v>15.464387726143839</v>
      </c>
      <c r="R31" s="54">
        <f>'TE BE'!$R$31*'TE BE'!$R$51</f>
        <v>-6.6680850706672139</v>
      </c>
      <c r="S31" s="54">
        <f>SUM($R$31:$R$31)</f>
        <v>-6.6680850706672139</v>
      </c>
      <c r="T31" s="54">
        <f>'TE BE'!$T$31*'TE BE'!$T$51</f>
        <v>0</v>
      </c>
      <c r="U31" s="54">
        <f>'TE BE'!$U$31*'TE BE'!$U$51</f>
        <v>0</v>
      </c>
      <c r="V31" s="54">
        <f>'TE BE'!$V$31*'TE BE'!$V$51</f>
        <v>0</v>
      </c>
      <c r="W31" s="54">
        <f>SUM($T$31:$V$31)</f>
        <v>0</v>
      </c>
      <c r="X31" s="54">
        <f>'TE BE'!$AB$31*'TE BE'!$X$51</f>
        <v>-0.55572399366303915</v>
      </c>
      <c r="Y31" s="54">
        <f>SUM($X$31:$X$31)</f>
        <v>-0.55572399366303915</v>
      </c>
      <c r="Z31" s="54">
        <f>'TE BE'!$Z$31*'TE BE'!$Z$51</f>
        <v>-0.17134637701128899</v>
      </c>
      <c r="AA31" s="54">
        <f>SUM($Z$31:$Z$31)</f>
        <v>-0.17134637701128899</v>
      </c>
      <c r="AB31" s="54">
        <f>SUMIF($L$4:$AA$4,"SUBTOTAL",$L$31:$AA$31)</f>
        <v>8.0692322848022968</v>
      </c>
    </row>
    <row r="32" spans="1:28" ht="11.25" customHeight="1" x14ac:dyDescent="0.25">
      <c r="A32" s="120"/>
      <c r="B32" s="120"/>
      <c r="C32" s="120"/>
      <c r="D32" s="120"/>
      <c r="E32" s="120"/>
      <c r="F32" s="120"/>
      <c r="G32" s="57" t="s">
        <v>94</v>
      </c>
      <c r="H32" s="57" t="s">
        <v>82</v>
      </c>
      <c r="I32" s="57">
        <f>'MERCADO TE'!$U$29</f>
        <v>0</v>
      </c>
      <c r="J32" s="15"/>
      <c r="L32" s="54">
        <f>'TE BE'!$L$32*'TE BE'!$L$51</f>
        <v>0</v>
      </c>
      <c r="M32" s="54">
        <f>'TE BE'!$M$32*'TE BE'!$M$51</f>
        <v>15.464387726143839</v>
      </c>
      <c r="N32" s="54">
        <f>'TE BE'!$N$32*'TE BE'!$N$51</f>
        <v>0</v>
      </c>
      <c r="O32" s="54">
        <f>'TE BE'!$O$32*'TE BE'!$O$51</f>
        <v>0</v>
      </c>
      <c r="P32" s="54">
        <f>'TE BE'!$P$32*'TE BE'!$P$51</f>
        <v>0</v>
      </c>
      <c r="Q32" s="54">
        <f>SUM($L$32:$P$32)</f>
        <v>15.464387726143839</v>
      </c>
      <c r="R32" s="54">
        <f>'TE BE'!$R$32*'TE BE'!$R$51</f>
        <v>-6.6680850706672139</v>
      </c>
      <c r="S32" s="54">
        <f>SUM($R$32:$R$32)</f>
        <v>-6.6680850706672139</v>
      </c>
      <c r="T32" s="54">
        <f>'TE BE'!$T$32*'TE BE'!$T$51</f>
        <v>0</v>
      </c>
      <c r="U32" s="54">
        <f>'TE BE'!$U$32*'TE BE'!$U$51</f>
        <v>0</v>
      </c>
      <c r="V32" s="54">
        <f>'TE BE'!$V$32*'TE BE'!$V$51</f>
        <v>0</v>
      </c>
      <c r="W32" s="54">
        <f>SUM($T$32:$V$32)</f>
        <v>0</v>
      </c>
      <c r="X32" s="54">
        <f>'TE BE'!$AB$32*'TE BE'!$X$51</f>
        <v>-0.55572399366303915</v>
      </c>
      <c r="Y32" s="54">
        <f>SUM($X$32:$X$32)</f>
        <v>-0.55572399366303915</v>
      </c>
      <c r="Z32" s="54">
        <f>'TE BE'!$Z$32*'TE BE'!$Z$51</f>
        <v>-0.17134637701128899</v>
      </c>
      <c r="AA32" s="54">
        <f>SUM($Z$32:$Z$32)</f>
        <v>-0.17134637701128899</v>
      </c>
      <c r="AB32" s="54">
        <f>SUMIF($L$4:$AA$4,"SUBTOTAL",$L$32:$AA$32)</f>
        <v>8.0692322848022968</v>
      </c>
    </row>
    <row r="33" spans="1:28" ht="11.25" customHeight="1" x14ac:dyDescent="0.25">
      <c r="A33" s="120"/>
      <c r="B33" s="120"/>
      <c r="C33" s="120"/>
      <c r="D33" s="120"/>
      <c r="E33" s="120"/>
      <c r="F33" s="120"/>
      <c r="G33" s="57" t="s">
        <v>84</v>
      </c>
      <c r="H33" s="57" t="s">
        <v>82</v>
      </c>
      <c r="I33" s="57">
        <f>'MERCADO TE'!$U$30</f>
        <v>0</v>
      </c>
      <c r="J33" s="15"/>
      <c r="L33" s="54">
        <f>'TE BE'!$L$33*'TE BE'!$L$51</f>
        <v>0</v>
      </c>
      <c r="M33" s="54">
        <f>'TE BE'!$M$33*'TE BE'!$M$51</f>
        <v>15.464387726143839</v>
      </c>
      <c r="N33" s="54">
        <f>'TE BE'!$N$33*'TE BE'!$N$51</f>
        <v>0</v>
      </c>
      <c r="O33" s="54">
        <f>'TE BE'!$O$33*'TE BE'!$O$51</f>
        <v>0</v>
      </c>
      <c r="P33" s="54">
        <f>'TE BE'!$P$33*'TE BE'!$P$51</f>
        <v>0</v>
      </c>
      <c r="Q33" s="54">
        <f>SUM($L$33:$P$33)</f>
        <v>15.464387726143839</v>
      </c>
      <c r="R33" s="54">
        <f>'TE BE'!$R$33*'TE BE'!$R$51</f>
        <v>-6.6680850706672139</v>
      </c>
      <c r="S33" s="54">
        <f>SUM($R$33:$R$33)</f>
        <v>-6.6680850706672139</v>
      </c>
      <c r="T33" s="54">
        <f>'TE BE'!$T$33*'TE BE'!$T$51</f>
        <v>0</v>
      </c>
      <c r="U33" s="54">
        <f>'TE BE'!$U$33*'TE BE'!$U$51</f>
        <v>0</v>
      </c>
      <c r="V33" s="54">
        <f>'TE BE'!$V$33*'TE BE'!$V$51</f>
        <v>0</v>
      </c>
      <c r="W33" s="54">
        <f>SUM($T$33:$V$33)</f>
        <v>0</v>
      </c>
      <c r="X33" s="54">
        <f>'TE BE'!$AB$33*'TE BE'!$X$51</f>
        <v>-0.55572399366303915</v>
      </c>
      <c r="Y33" s="54">
        <f>SUM($X$33:$X$33)</f>
        <v>-0.55572399366303915</v>
      </c>
      <c r="Z33" s="54">
        <f>'TE BE'!$Z$33*'TE BE'!$Z$51</f>
        <v>-0.17134637701128899</v>
      </c>
      <c r="AA33" s="54">
        <f>SUM($Z$33:$Z$33)</f>
        <v>-0.17134637701128899</v>
      </c>
      <c r="AB33" s="54">
        <f>SUMIF($L$4:$AA$4,"SUBTOTAL",$L$33:$AA$33)</f>
        <v>8.0692322848022968</v>
      </c>
    </row>
    <row r="34" spans="1:28" ht="11.25" customHeight="1" x14ac:dyDescent="0.25">
      <c r="A34" s="120"/>
      <c r="B34" s="56" t="s">
        <v>90</v>
      </c>
      <c r="C34" s="56" t="s">
        <v>42</v>
      </c>
      <c r="D34" s="56" t="s">
        <v>99</v>
      </c>
      <c r="E34" s="56" t="s">
        <v>25</v>
      </c>
      <c r="F34" s="56" t="s">
        <v>25</v>
      </c>
      <c r="G34" s="57" t="s">
        <v>88</v>
      </c>
      <c r="H34" s="57" t="s">
        <v>82</v>
      </c>
      <c r="I34" s="57">
        <f>'MERCADO TE'!$U$31</f>
        <v>0</v>
      </c>
      <c r="J34" s="15"/>
      <c r="L34" s="54">
        <f>'TE BE'!$L$34*'TE BE'!$L$51</f>
        <v>0</v>
      </c>
      <c r="M34" s="54">
        <f>'TE BE'!$M$34*'TE BE'!$M$51</f>
        <v>15.464387726143839</v>
      </c>
      <c r="N34" s="54">
        <f>'TE BE'!$N$34*'TE BE'!$N$51</f>
        <v>0</v>
      </c>
      <c r="O34" s="54">
        <f>'TE BE'!$O$34*'TE BE'!$O$51</f>
        <v>0</v>
      </c>
      <c r="P34" s="54">
        <f>'TE BE'!$P$34*'TE BE'!$P$51</f>
        <v>0</v>
      </c>
      <c r="Q34" s="54">
        <f>SUM($L$34:$P$34)</f>
        <v>15.464387726143839</v>
      </c>
      <c r="R34" s="54">
        <f>'TE BE'!$R$34*'TE BE'!$R$51</f>
        <v>-6.6680850706672139</v>
      </c>
      <c r="S34" s="54">
        <f>SUM($R$34:$R$34)</f>
        <v>-6.6680850706672139</v>
      </c>
      <c r="T34" s="54">
        <f>'TE BE'!$T$34*'TE BE'!$T$51</f>
        <v>0</v>
      </c>
      <c r="U34" s="54">
        <f>'TE BE'!$U$34*'TE BE'!$U$51</f>
        <v>0</v>
      </c>
      <c r="V34" s="54">
        <f>'TE BE'!$V$34*'TE BE'!$V$51</f>
        <v>0</v>
      </c>
      <c r="W34" s="54">
        <f>SUM($T$34:$V$34)</f>
        <v>0</v>
      </c>
      <c r="X34" s="54">
        <f>'TE BE'!$AB$34*'TE BE'!$X$51</f>
        <v>-0.55572399366303915</v>
      </c>
      <c r="Y34" s="54">
        <f>SUM($X$34:$X$34)</f>
        <v>-0.55572399366303915</v>
      </c>
      <c r="Z34" s="54">
        <f>'TE BE'!$Z$34*'TE BE'!$Z$51</f>
        <v>-0.17134637701128899</v>
      </c>
      <c r="AA34" s="54">
        <f>SUM($Z$34:$Z$34)</f>
        <v>-0.17134637701128899</v>
      </c>
      <c r="AB34" s="54">
        <f>SUMIF($L$4:$AA$4,"SUBTOTAL",$L$34:$AA$34)</f>
        <v>8.0692322848022968</v>
      </c>
    </row>
    <row r="35" spans="1:28" ht="11.25" customHeight="1" x14ac:dyDescent="0.25">
      <c r="A35" s="120"/>
      <c r="B35" s="120" t="s">
        <v>96</v>
      </c>
      <c r="C35" s="120" t="s">
        <v>42</v>
      </c>
      <c r="D35" s="56" t="s">
        <v>25</v>
      </c>
      <c r="E35" s="56" t="s">
        <v>25</v>
      </c>
      <c r="F35" s="56" t="s">
        <v>25</v>
      </c>
      <c r="G35" s="57" t="s">
        <v>88</v>
      </c>
      <c r="H35" s="57" t="s">
        <v>82</v>
      </c>
      <c r="I35" s="57">
        <f>'MERCADO TE'!$U$32</f>
        <v>0</v>
      </c>
      <c r="J35" s="15"/>
      <c r="L35" s="54">
        <f>'TE BE'!$L$35*'TE BE'!$L$51</f>
        <v>0</v>
      </c>
      <c r="M35" s="54">
        <f>'TE BE'!$M$35*'TE BE'!$M$51</f>
        <v>15.464387726143839</v>
      </c>
      <c r="N35" s="54">
        <f>'TE BE'!$N$35*'TE BE'!$N$51</f>
        <v>0</v>
      </c>
      <c r="O35" s="54">
        <f>'TE BE'!$O$35*'TE BE'!$O$51</f>
        <v>0</v>
      </c>
      <c r="P35" s="54">
        <f>'TE BE'!$P$35*'TE BE'!$P$51</f>
        <v>0</v>
      </c>
      <c r="Q35" s="54">
        <f>SUM($L$35:$P$35)</f>
        <v>15.464387726143839</v>
      </c>
      <c r="R35" s="54">
        <f>'TE BE'!$R$35*'TE BE'!$R$51</f>
        <v>-6.6680850706672139</v>
      </c>
      <c r="S35" s="54">
        <f>SUM($R$35:$R$35)</f>
        <v>-6.6680850706672139</v>
      </c>
      <c r="T35" s="54">
        <f>'TE BE'!$T$35*'TE BE'!$T$51</f>
        <v>0</v>
      </c>
      <c r="U35" s="54">
        <f>'TE BE'!$U$35*'TE BE'!$U$51</f>
        <v>0</v>
      </c>
      <c r="V35" s="54">
        <f>'TE BE'!$V$35*'TE BE'!$V$51</f>
        <v>0</v>
      </c>
      <c r="W35" s="54">
        <f>SUM($T$35:$V$35)</f>
        <v>0</v>
      </c>
      <c r="X35" s="54">
        <f>'TE BE'!$AB$35*'TE BE'!$X$51</f>
        <v>-0.55572399366303915</v>
      </c>
      <c r="Y35" s="54">
        <f>SUM($X$35:$X$35)</f>
        <v>-0.55572399366303915</v>
      </c>
      <c r="Z35" s="54">
        <f>'TE BE'!$Z$35*'TE BE'!$Z$51</f>
        <v>-0.17134637701128899</v>
      </c>
      <c r="AA35" s="54">
        <f>SUM($Z$35:$Z$35)</f>
        <v>-0.17134637701128899</v>
      </c>
      <c r="AB35" s="54">
        <f>SUMIF($L$4:$AA$4,"SUBTOTAL",$L$35:$AA$35)</f>
        <v>8.0692322848022968</v>
      </c>
    </row>
    <row r="36" spans="1:28" ht="11.25" customHeight="1" x14ac:dyDescent="0.25">
      <c r="A36" s="120"/>
      <c r="B36" s="120"/>
      <c r="C36" s="120"/>
      <c r="D36" s="56" t="s">
        <v>98</v>
      </c>
      <c r="E36" s="56" t="s">
        <v>25</v>
      </c>
      <c r="F36" s="56" t="s">
        <v>25</v>
      </c>
      <c r="G36" s="57" t="s">
        <v>88</v>
      </c>
      <c r="H36" s="57" t="s">
        <v>82</v>
      </c>
      <c r="I36" s="57">
        <f>'MERCADO TE'!$U$33</f>
        <v>0</v>
      </c>
      <c r="J36" s="15"/>
      <c r="L36" s="54">
        <f>'TE BE'!$L$36*'TE BE'!$L$51</f>
        <v>0</v>
      </c>
      <c r="M36" s="54">
        <f>'TE BE'!$M$36*'TE BE'!$M$51</f>
        <v>15.464387726143839</v>
      </c>
      <c r="N36" s="54">
        <f>'TE BE'!$N$36*'TE BE'!$N$51</f>
        <v>0</v>
      </c>
      <c r="O36" s="54">
        <f>'TE BE'!$O$36*'TE BE'!$O$51</f>
        <v>0</v>
      </c>
      <c r="P36" s="54">
        <f>'TE BE'!$P$36*'TE BE'!$P$51</f>
        <v>0</v>
      </c>
      <c r="Q36" s="54">
        <f>SUM($L$36:$P$36)</f>
        <v>15.464387726143839</v>
      </c>
      <c r="R36" s="54">
        <f>'TE BE'!$R$36*'TE BE'!$R$51</f>
        <v>-6.6680850706672139</v>
      </c>
      <c r="S36" s="54">
        <f>SUM($R$36:$R$36)</f>
        <v>-6.6680850706672139</v>
      </c>
      <c r="T36" s="54">
        <f>'TE BE'!$T$36*'TE BE'!$T$51</f>
        <v>0</v>
      </c>
      <c r="U36" s="54">
        <f>'TE BE'!$U$36*'TE BE'!$U$51</f>
        <v>0</v>
      </c>
      <c r="V36" s="54">
        <f>'TE BE'!$V$36*'TE BE'!$V$51</f>
        <v>0</v>
      </c>
      <c r="W36" s="54">
        <f>SUM($T$36:$V$36)</f>
        <v>0</v>
      </c>
      <c r="X36" s="54">
        <f>'TE BE'!$AB$36*'TE BE'!$X$51</f>
        <v>-0.55572399366303915</v>
      </c>
      <c r="Y36" s="54">
        <f>SUM($X$36:$X$36)</f>
        <v>-0.55572399366303915</v>
      </c>
      <c r="Z36" s="54">
        <f>'TE BE'!$Z$36*'TE BE'!$Z$51</f>
        <v>-0.17134637701128899</v>
      </c>
      <c r="AA36" s="54">
        <f>SUM($Z$36:$Z$36)</f>
        <v>-0.17134637701128899</v>
      </c>
      <c r="AB36" s="54">
        <f>SUMIF($L$4:$AA$4,"SUBTOTAL",$L$36:$AA$36)</f>
        <v>8.0692322848022968</v>
      </c>
    </row>
    <row r="37" spans="1:28" ht="11.25" customHeight="1" x14ac:dyDescent="0.25">
      <c r="A37" s="120"/>
      <c r="B37" s="120"/>
      <c r="C37" s="120"/>
      <c r="D37" s="56" t="s">
        <v>99</v>
      </c>
      <c r="E37" s="56" t="s">
        <v>25</v>
      </c>
      <c r="F37" s="56" t="s">
        <v>25</v>
      </c>
      <c r="G37" s="57" t="s">
        <v>88</v>
      </c>
      <c r="H37" s="57" t="s">
        <v>82</v>
      </c>
      <c r="I37" s="57">
        <f>'MERCADO TE'!$U$34</f>
        <v>0</v>
      </c>
      <c r="J37" s="15"/>
      <c r="L37" s="54">
        <f>'TE BE'!$L$37*'TE BE'!$L$51</f>
        <v>0</v>
      </c>
      <c r="M37" s="54">
        <f>'TE BE'!$M$37*'TE BE'!$M$51</f>
        <v>15.464387726143839</v>
      </c>
      <c r="N37" s="54">
        <f>'TE BE'!$N$37*'TE BE'!$N$51</f>
        <v>0</v>
      </c>
      <c r="O37" s="54">
        <f>'TE BE'!$O$37*'TE BE'!$O$51</f>
        <v>0</v>
      </c>
      <c r="P37" s="54">
        <f>'TE BE'!$P$37*'TE BE'!$P$51</f>
        <v>0</v>
      </c>
      <c r="Q37" s="54">
        <f>SUM($L$37:$P$37)</f>
        <v>15.464387726143839</v>
      </c>
      <c r="R37" s="54">
        <f>'TE BE'!$R$37*'TE BE'!$R$51</f>
        <v>-6.6680850706672139</v>
      </c>
      <c r="S37" s="54">
        <f>SUM($R$37:$R$37)</f>
        <v>-6.6680850706672139</v>
      </c>
      <c r="T37" s="54">
        <f>'TE BE'!$T$37*'TE BE'!$T$51</f>
        <v>0</v>
      </c>
      <c r="U37" s="54">
        <f>'TE BE'!$U$37*'TE BE'!$U$51</f>
        <v>0</v>
      </c>
      <c r="V37" s="54">
        <f>'TE BE'!$V$37*'TE BE'!$V$51</f>
        <v>0</v>
      </c>
      <c r="W37" s="54">
        <f>SUM($T$37:$V$37)</f>
        <v>0</v>
      </c>
      <c r="X37" s="54">
        <f>'TE BE'!$AB$37*'TE BE'!$X$51</f>
        <v>-0.55572399366303915</v>
      </c>
      <c r="Y37" s="54">
        <f>SUM($X$37:$X$37)</f>
        <v>-0.55572399366303915</v>
      </c>
      <c r="Z37" s="54">
        <f>'TE BE'!$Z$37*'TE BE'!$Z$51</f>
        <v>-0.17134637701128899</v>
      </c>
      <c r="AA37" s="54">
        <f>SUM($Z$37:$Z$37)</f>
        <v>-0.17134637701128899</v>
      </c>
      <c r="AB37" s="54">
        <f>SUMIF($L$4:$AA$4,"SUBTOTAL",$L$37:$AA$37)</f>
        <v>8.0692322848022968</v>
      </c>
    </row>
    <row r="38" spans="1:28" ht="11.25" customHeight="1" x14ac:dyDescent="0.25">
      <c r="A38" s="120" t="s">
        <v>33</v>
      </c>
      <c r="B38" s="120" t="s">
        <v>81</v>
      </c>
      <c r="C38" s="120" t="s">
        <v>25</v>
      </c>
      <c r="D38" s="120" t="s">
        <v>25</v>
      </c>
      <c r="E38" s="120" t="s">
        <v>25</v>
      </c>
      <c r="F38" s="120" t="s">
        <v>25</v>
      </c>
      <c r="G38" s="57" t="s">
        <v>83</v>
      </c>
      <c r="H38" s="57" t="s">
        <v>82</v>
      </c>
      <c r="I38" s="57">
        <f>'MERCADO TE'!$U$35</f>
        <v>0</v>
      </c>
      <c r="J38" s="15"/>
      <c r="L38" s="54">
        <f>'TE BE'!$L$38*'TE BE'!$L$51</f>
        <v>0</v>
      </c>
      <c r="M38" s="54">
        <f>'TE BE'!$M$38*'TE BE'!$M$51</f>
        <v>15.464387726143839</v>
      </c>
      <c r="N38" s="54">
        <f>'TE BE'!$N$38*'TE BE'!$N$51</f>
        <v>0</v>
      </c>
      <c r="O38" s="54">
        <f>'TE BE'!$O$38*'TE BE'!$O$51</f>
        <v>0</v>
      </c>
      <c r="P38" s="54">
        <f>'TE BE'!$P$38*'TE BE'!$P$51</f>
        <v>0</v>
      </c>
      <c r="Q38" s="54">
        <f>SUM($L$38:$P$38)</f>
        <v>15.464387726143839</v>
      </c>
      <c r="R38" s="54">
        <f>'TE BE'!$R$38*'TE BE'!$R$51</f>
        <v>-6.6680850706672139</v>
      </c>
      <c r="S38" s="54">
        <f>SUM($R$38:$R$38)</f>
        <v>-6.6680850706672139</v>
      </c>
      <c r="T38" s="54">
        <f>'TE BE'!$T$38*'TE BE'!$T$51</f>
        <v>0</v>
      </c>
      <c r="U38" s="54">
        <f>'TE BE'!$U$38*'TE BE'!$U$51</f>
        <v>0</v>
      </c>
      <c r="V38" s="54">
        <f>'TE BE'!$V$38*'TE BE'!$V$51</f>
        <v>0</v>
      </c>
      <c r="W38" s="54">
        <f>SUM($T$38:$V$38)</f>
        <v>0</v>
      </c>
      <c r="X38" s="54">
        <f>'TE BE'!$AB$38*'TE BE'!$X$51</f>
        <v>-0.55572399366303915</v>
      </c>
      <c r="Y38" s="54">
        <f>SUM($X$38:$X$38)</f>
        <v>-0.55572399366303915</v>
      </c>
      <c r="Z38" s="54">
        <f>'TE BE'!$Z$38*'TE BE'!$Z$51</f>
        <v>-0.17134637701128899</v>
      </c>
      <c r="AA38" s="54">
        <f>SUM($Z$38:$Z$38)</f>
        <v>-0.17134637701128899</v>
      </c>
      <c r="AB38" s="54">
        <f>SUMIF($L$4:$AA$4,"SUBTOTAL",$L$38:$AA$38)</f>
        <v>8.0692322848022968</v>
      </c>
    </row>
    <row r="39" spans="1:28" ht="11.25" customHeight="1" x14ac:dyDescent="0.25">
      <c r="A39" s="120"/>
      <c r="B39" s="120"/>
      <c r="C39" s="120"/>
      <c r="D39" s="120"/>
      <c r="E39" s="120"/>
      <c r="F39" s="120"/>
      <c r="G39" s="57" t="s">
        <v>94</v>
      </c>
      <c r="H39" s="57" t="s">
        <v>82</v>
      </c>
      <c r="I39" s="57">
        <f>'MERCADO TE'!$U$36</f>
        <v>0</v>
      </c>
      <c r="J39" s="15"/>
      <c r="L39" s="54">
        <f>'TE BE'!$L$39*'TE BE'!$L$51</f>
        <v>0</v>
      </c>
      <c r="M39" s="54">
        <f>'TE BE'!$M$39*'TE BE'!$M$51</f>
        <v>15.464387726143839</v>
      </c>
      <c r="N39" s="54">
        <f>'TE BE'!$N$39*'TE BE'!$N$51</f>
        <v>0</v>
      </c>
      <c r="O39" s="54">
        <f>'TE BE'!$O$39*'TE BE'!$O$51</f>
        <v>0</v>
      </c>
      <c r="P39" s="54">
        <f>'TE BE'!$P$39*'TE BE'!$P$51</f>
        <v>0</v>
      </c>
      <c r="Q39" s="54">
        <f>SUM($L$39:$P$39)</f>
        <v>15.464387726143839</v>
      </c>
      <c r="R39" s="54">
        <f>'TE BE'!$R$39*'TE BE'!$R$51</f>
        <v>-6.6680850706672139</v>
      </c>
      <c r="S39" s="54">
        <f>SUM($R$39:$R$39)</f>
        <v>-6.6680850706672139</v>
      </c>
      <c r="T39" s="54">
        <f>'TE BE'!$T$39*'TE BE'!$T$51</f>
        <v>0</v>
      </c>
      <c r="U39" s="54">
        <f>'TE BE'!$U$39*'TE BE'!$U$51</f>
        <v>0</v>
      </c>
      <c r="V39" s="54">
        <f>'TE BE'!$V$39*'TE BE'!$V$51</f>
        <v>0</v>
      </c>
      <c r="W39" s="54">
        <f>SUM($T$39:$V$39)</f>
        <v>0</v>
      </c>
      <c r="X39" s="54">
        <f>'TE BE'!$AB$39*'TE BE'!$X$51</f>
        <v>-0.55572399366303915</v>
      </c>
      <c r="Y39" s="54">
        <f>SUM($X$39:$X$39)</f>
        <v>-0.55572399366303915</v>
      </c>
      <c r="Z39" s="54">
        <f>'TE BE'!$Z$39*'TE BE'!$Z$51</f>
        <v>-0.17134637701128899</v>
      </c>
      <c r="AA39" s="54">
        <f>SUM($Z$39:$Z$39)</f>
        <v>-0.17134637701128899</v>
      </c>
      <c r="AB39" s="54">
        <f>SUMIF($L$4:$AA$4,"SUBTOTAL",$L$39:$AA$39)</f>
        <v>8.0692322848022968</v>
      </c>
    </row>
    <row r="40" spans="1:28" ht="11.25" customHeight="1" x14ac:dyDescent="0.25">
      <c r="A40" s="120"/>
      <c r="B40" s="120"/>
      <c r="C40" s="120"/>
      <c r="D40" s="120"/>
      <c r="E40" s="120"/>
      <c r="F40" s="120"/>
      <c r="G40" s="57" t="s">
        <v>84</v>
      </c>
      <c r="H40" s="57" t="s">
        <v>82</v>
      </c>
      <c r="I40" s="57">
        <f>'MERCADO TE'!$U$37</f>
        <v>0</v>
      </c>
      <c r="J40" s="15"/>
      <c r="L40" s="54">
        <f>'TE BE'!$L$40*'TE BE'!$L$51</f>
        <v>0</v>
      </c>
      <c r="M40" s="54">
        <f>'TE BE'!$M$40*'TE BE'!$M$51</f>
        <v>15.464387726143839</v>
      </c>
      <c r="N40" s="54">
        <f>'TE BE'!$N$40*'TE BE'!$N$51</f>
        <v>0</v>
      </c>
      <c r="O40" s="54">
        <f>'TE BE'!$O$40*'TE BE'!$O$51</f>
        <v>0</v>
      </c>
      <c r="P40" s="54">
        <f>'TE BE'!$P$40*'TE BE'!$P$51</f>
        <v>0</v>
      </c>
      <c r="Q40" s="54">
        <f>SUM($L$40:$P$40)</f>
        <v>15.464387726143839</v>
      </c>
      <c r="R40" s="54">
        <f>'TE BE'!$R$40*'TE BE'!$R$51</f>
        <v>-6.6680850706672139</v>
      </c>
      <c r="S40" s="54">
        <f>SUM($R$40:$R$40)</f>
        <v>-6.6680850706672139</v>
      </c>
      <c r="T40" s="54">
        <f>'TE BE'!$T$40*'TE BE'!$T$51</f>
        <v>0</v>
      </c>
      <c r="U40" s="54">
        <f>'TE BE'!$U$40*'TE BE'!$U$51</f>
        <v>0</v>
      </c>
      <c r="V40" s="54">
        <f>'TE BE'!$V$40*'TE BE'!$V$51</f>
        <v>0</v>
      </c>
      <c r="W40" s="54">
        <f>SUM($T$40:$V$40)</f>
        <v>0</v>
      </c>
      <c r="X40" s="54">
        <f>'TE BE'!$AB$40*'TE BE'!$X$51</f>
        <v>-0.55572399366303915</v>
      </c>
      <c r="Y40" s="54">
        <f>SUM($X$40:$X$40)</f>
        <v>-0.55572399366303915</v>
      </c>
      <c r="Z40" s="54">
        <f>'TE BE'!$Z$40*'TE BE'!$Z$51</f>
        <v>-0.17134637701128899</v>
      </c>
      <c r="AA40" s="54">
        <f>SUM($Z$40:$Z$40)</f>
        <v>-0.17134637701128899</v>
      </c>
      <c r="AB40" s="54">
        <f>SUMIF($L$4:$AA$4,"SUBTOTAL",$L$40:$AA$40)</f>
        <v>8.0692322848022968</v>
      </c>
    </row>
    <row r="41" spans="1:28" ht="11.25" customHeight="1" x14ac:dyDescent="0.25">
      <c r="A41" s="120"/>
      <c r="B41" s="56" t="s">
        <v>90</v>
      </c>
      <c r="C41" s="56" t="s">
        <v>25</v>
      </c>
      <c r="D41" s="56" t="s">
        <v>25</v>
      </c>
      <c r="E41" s="56" t="s">
        <v>25</v>
      </c>
      <c r="F41" s="56" t="s">
        <v>25</v>
      </c>
      <c r="G41" s="57" t="s">
        <v>88</v>
      </c>
      <c r="H41" s="57" t="s">
        <v>82</v>
      </c>
      <c r="I41" s="57">
        <f>'MERCADO TE'!$U$38</f>
        <v>28646.591999999997</v>
      </c>
      <c r="J41" s="15"/>
      <c r="L41" s="54">
        <f>'TE BE'!$L$41*'TE BE'!$L$51</f>
        <v>0</v>
      </c>
      <c r="M41" s="54">
        <f>'TE BE'!$M$41*'TE BE'!$M$51</f>
        <v>15.464387726143839</v>
      </c>
      <c r="N41" s="54">
        <f>'TE BE'!$N$41*'TE BE'!$N$51</f>
        <v>0</v>
      </c>
      <c r="O41" s="54">
        <f>'TE BE'!$O$41*'TE BE'!$O$51</f>
        <v>0</v>
      </c>
      <c r="P41" s="54">
        <f>'TE BE'!$P$41*'TE BE'!$P$51</f>
        <v>0</v>
      </c>
      <c r="Q41" s="54">
        <f>SUM($L$41:$P$41)</f>
        <v>15.464387726143839</v>
      </c>
      <c r="R41" s="54">
        <f>'TE BE'!$R$41*'TE BE'!$R$51</f>
        <v>-6.6680850706672139</v>
      </c>
      <c r="S41" s="54">
        <f>SUM($R$41:$R$41)</f>
        <v>-6.6680850706672139</v>
      </c>
      <c r="T41" s="54">
        <f>'TE BE'!$T$41*'TE BE'!$T$51</f>
        <v>0</v>
      </c>
      <c r="U41" s="54">
        <f>'TE BE'!$U$41*'TE BE'!$U$51</f>
        <v>0</v>
      </c>
      <c r="V41" s="54">
        <f>'TE BE'!$V$41*'TE BE'!$V$51</f>
        <v>0</v>
      </c>
      <c r="W41" s="54">
        <f>SUM($T$41:$V$41)</f>
        <v>0</v>
      </c>
      <c r="X41" s="54">
        <f>'TE BE'!$AB$41*'TE BE'!$X$51</f>
        <v>-0.55572399366303915</v>
      </c>
      <c r="Y41" s="54">
        <f>SUM($X$41:$X$41)</f>
        <v>-0.55572399366303915</v>
      </c>
      <c r="Z41" s="54">
        <f>'TE BE'!$Z$41*'TE BE'!$Z$51</f>
        <v>-0.17134637701128899</v>
      </c>
      <c r="AA41" s="54">
        <f>SUM($Z$41:$Z$41)</f>
        <v>-0.17134637701128899</v>
      </c>
      <c r="AB41" s="54">
        <f>SUMIF($L$4:$AA$4,"SUBTOTAL",$L$41:$AA$41)</f>
        <v>8.0692322848022968</v>
      </c>
    </row>
    <row r="42" spans="1:28" ht="11.25" customHeight="1" x14ac:dyDescent="0.25">
      <c r="A42" s="120"/>
      <c r="B42" s="56" t="s">
        <v>96</v>
      </c>
      <c r="C42" s="56" t="s">
        <v>25</v>
      </c>
      <c r="D42" s="56" t="s">
        <v>25</v>
      </c>
      <c r="E42" s="56" t="s">
        <v>25</v>
      </c>
      <c r="F42" s="56" t="s">
        <v>25</v>
      </c>
      <c r="G42" s="57" t="s">
        <v>88</v>
      </c>
      <c r="H42" s="57" t="s">
        <v>82</v>
      </c>
      <c r="I42" s="57">
        <f>'MERCADO TE'!$U$39</f>
        <v>0</v>
      </c>
      <c r="J42" s="15"/>
      <c r="L42" s="54">
        <f>'TE BE'!$L$42*'TE BE'!$L$51</f>
        <v>0</v>
      </c>
      <c r="M42" s="54">
        <f>'TE BE'!$M$42*'TE BE'!$M$51</f>
        <v>15.464387726143839</v>
      </c>
      <c r="N42" s="54">
        <f>'TE BE'!$N$42*'TE BE'!$N$51</f>
        <v>0</v>
      </c>
      <c r="O42" s="54">
        <f>'TE BE'!$O$42*'TE BE'!$O$51</f>
        <v>0</v>
      </c>
      <c r="P42" s="54">
        <f>'TE BE'!$P$42*'TE BE'!$P$51</f>
        <v>0</v>
      </c>
      <c r="Q42" s="54">
        <f>SUM($L$42:$P$42)</f>
        <v>15.464387726143839</v>
      </c>
      <c r="R42" s="54">
        <f>'TE BE'!$R$42*'TE BE'!$R$51</f>
        <v>-6.6680850706672139</v>
      </c>
      <c r="S42" s="54">
        <f>SUM($R$42:$R$42)</f>
        <v>-6.6680850706672139</v>
      </c>
      <c r="T42" s="54">
        <f>'TE BE'!$T$42*'TE BE'!$T$51</f>
        <v>0</v>
      </c>
      <c r="U42" s="54">
        <f>'TE BE'!$U$42*'TE BE'!$U$51</f>
        <v>0</v>
      </c>
      <c r="V42" s="54">
        <f>'TE BE'!$V$42*'TE BE'!$V$51</f>
        <v>0</v>
      </c>
      <c r="W42" s="54">
        <f>SUM($T$42:$V$42)</f>
        <v>0</v>
      </c>
      <c r="X42" s="54">
        <f>'TE BE'!$AB$42*'TE BE'!$X$51</f>
        <v>-0.55572399366303915</v>
      </c>
      <c r="Y42" s="54">
        <f>SUM($X$42:$X$42)</f>
        <v>-0.55572399366303915</v>
      </c>
      <c r="Z42" s="54">
        <f>'TE BE'!$Z$42*'TE BE'!$Z$51</f>
        <v>-0.17134637701128899</v>
      </c>
      <c r="AA42" s="54">
        <f>SUM($Z$42:$Z$42)</f>
        <v>-0.17134637701128899</v>
      </c>
      <c r="AB42" s="54">
        <f>SUMIF($L$4:$AA$4,"SUBTOTAL",$L$42:$AA$42)</f>
        <v>8.0692322848022968</v>
      </c>
    </row>
    <row r="43" spans="1:28" ht="11.25" customHeight="1" x14ac:dyDescent="0.25">
      <c r="A43" s="120" t="s">
        <v>44</v>
      </c>
      <c r="B43" s="120" t="s">
        <v>90</v>
      </c>
      <c r="C43" s="120" t="s">
        <v>45</v>
      </c>
      <c r="D43" s="56" t="s">
        <v>46</v>
      </c>
      <c r="E43" s="56" t="s">
        <v>25</v>
      </c>
      <c r="F43" s="56" t="s">
        <v>25</v>
      </c>
      <c r="G43" s="57" t="s">
        <v>88</v>
      </c>
      <c r="H43" s="57" t="s">
        <v>82</v>
      </c>
      <c r="I43" s="57">
        <f>'MERCADO TE'!$U$40</f>
        <v>6635.9900000000007</v>
      </c>
      <c r="J43" s="15"/>
      <c r="L43" s="54">
        <f>'TE BE'!$L$43*'TE BE'!$L$51</f>
        <v>0</v>
      </c>
      <c r="M43" s="54">
        <f>'TE BE'!$M$43*'TE BE'!$M$51</f>
        <v>8.5054132493791119</v>
      </c>
      <c r="N43" s="54">
        <f>'TE BE'!$N$43*'TE BE'!$N$51</f>
        <v>0</v>
      </c>
      <c r="O43" s="54">
        <f>'TE BE'!$O$43*'TE BE'!$O$51</f>
        <v>0</v>
      </c>
      <c r="P43" s="54">
        <f>'TE BE'!$P$43*'TE BE'!$P$51</f>
        <v>0</v>
      </c>
      <c r="Q43" s="54">
        <f>SUM($L$43:$P$43)</f>
        <v>8.5054132493791119</v>
      </c>
      <c r="R43" s="54">
        <f>'TE BE'!$R$43*'TE BE'!$R$51</f>
        <v>-3.6674467888669677</v>
      </c>
      <c r="S43" s="54">
        <f>SUM($R$43:$R$43)</f>
        <v>-3.6674467888669677</v>
      </c>
      <c r="T43" s="54">
        <f>'TE BE'!$T$43*'TE BE'!$T$51</f>
        <v>0</v>
      </c>
      <c r="U43" s="54">
        <f>'TE BE'!$U$43*'TE BE'!$U$51</f>
        <v>0</v>
      </c>
      <c r="V43" s="54">
        <f>'TE BE'!$V$43*'TE BE'!$V$51</f>
        <v>0</v>
      </c>
      <c r="W43" s="54">
        <f>SUM($T$43:$V$43)</f>
        <v>0</v>
      </c>
      <c r="X43" s="54">
        <f>'TE BE'!$AB$43*'TE BE'!$X$51</f>
        <v>-0.30564819651467157</v>
      </c>
      <c r="Y43" s="54">
        <f>SUM($X$43:$X$43)</f>
        <v>-0.30564819651467157</v>
      </c>
      <c r="Z43" s="54">
        <f>'TE BE'!$Z$43*'TE BE'!$Z$51</f>
        <v>-9.4240507356208966E-2</v>
      </c>
      <c r="AA43" s="54">
        <f>SUM($Z$43:$Z$43)</f>
        <v>-9.4240507356208966E-2</v>
      </c>
      <c r="AB43" s="54">
        <f>SUMIF($L$4:$AA$4,"SUBTOTAL",$L$43:$AA$43)</f>
        <v>4.4380777566412632</v>
      </c>
    </row>
    <row r="44" spans="1:28" ht="11.25" customHeight="1" x14ac:dyDescent="0.25">
      <c r="A44" s="120"/>
      <c r="B44" s="120"/>
      <c r="C44" s="120"/>
      <c r="D44" s="57" t="s">
        <v>100</v>
      </c>
      <c r="E44" s="57" t="s">
        <v>25</v>
      </c>
      <c r="F44" s="57" t="s">
        <v>25</v>
      </c>
      <c r="G44" s="57" t="s">
        <v>88</v>
      </c>
      <c r="H44" s="57" t="s">
        <v>82</v>
      </c>
      <c r="I44" s="57">
        <f>'MERCADO TE'!$U$41</f>
        <v>0</v>
      </c>
      <c r="J44" s="15"/>
      <c r="L44" s="54">
        <f>'TE BE'!$L$44*'TE BE'!$L$51</f>
        <v>0</v>
      </c>
      <c r="M44" s="54">
        <f>'TE BE'!$M$44*'TE BE'!$M$51</f>
        <v>9.2786326356863036</v>
      </c>
      <c r="N44" s="54">
        <f>'TE BE'!$N$44*'TE BE'!$N$51</f>
        <v>0</v>
      </c>
      <c r="O44" s="54">
        <f>'TE BE'!$O$44*'TE BE'!$O$51</f>
        <v>0</v>
      </c>
      <c r="P44" s="54">
        <f>'TE BE'!$P$44*'TE BE'!$P$51</f>
        <v>0</v>
      </c>
      <c r="Q44" s="54">
        <f>SUM($L$44:$P$44)</f>
        <v>9.2786326356863036</v>
      </c>
      <c r="R44" s="54">
        <f>'TE BE'!$R$44*'TE BE'!$R$51</f>
        <v>-4.0008510424003276</v>
      </c>
      <c r="S44" s="54">
        <f>SUM($R$44:$R$44)</f>
        <v>-4.0008510424003276</v>
      </c>
      <c r="T44" s="54">
        <f>'TE BE'!$T$44*'TE BE'!$T$51</f>
        <v>0</v>
      </c>
      <c r="U44" s="54">
        <f>'TE BE'!$U$44*'TE BE'!$U$51</f>
        <v>0</v>
      </c>
      <c r="V44" s="54">
        <f>'TE BE'!$V$44*'TE BE'!$V$51</f>
        <v>0</v>
      </c>
      <c r="W44" s="54">
        <f>SUM($T$44:$V$44)</f>
        <v>0</v>
      </c>
      <c r="X44" s="54">
        <f>'TE BE'!$AB$44*'TE BE'!$X$51</f>
        <v>-0.33343439619782345</v>
      </c>
      <c r="Y44" s="54">
        <f>SUM($X$44:$X$44)</f>
        <v>-0.33343439619782345</v>
      </c>
      <c r="Z44" s="54">
        <f>'TE BE'!$Z$44*'TE BE'!$Z$51</f>
        <v>-0.1028078262067734</v>
      </c>
      <c r="AA44" s="54">
        <f>SUM($Z$44:$Z$44)</f>
        <v>-0.1028078262067734</v>
      </c>
      <c r="AB44" s="54">
        <f>SUMIF($L$4:$AA$4,"SUBTOTAL",$L$44:$AA$44)</f>
        <v>4.841539370881379</v>
      </c>
    </row>
    <row r="46" spans="1:28" ht="11.25" customHeight="1" x14ac:dyDescent="0.25">
      <c r="K46" s="59" t="s">
        <v>561</v>
      </c>
      <c r="L46" s="54">
        <f t="shared" ref="L46:AB46" si="0">SUMPRODUCT($I$5:$I$44,L$5:L$44)</f>
        <v>0</v>
      </c>
      <c r="M46" s="54">
        <f t="shared" si="0"/>
        <v>6697068.9489982771</v>
      </c>
      <c r="N46" s="54">
        <f t="shared" si="0"/>
        <v>0</v>
      </c>
      <c r="O46" s="54">
        <f t="shared" si="0"/>
        <v>0</v>
      </c>
      <c r="P46" s="54">
        <f t="shared" si="0"/>
        <v>0</v>
      </c>
      <c r="Q46" s="54">
        <f t="shared" si="0"/>
        <v>6697068.9489982771</v>
      </c>
      <c r="R46" s="54">
        <f t="shared" si="0"/>
        <v>-2887707.3096498107</v>
      </c>
      <c r="S46" s="54">
        <f t="shared" si="0"/>
        <v>-2887707.3096498107</v>
      </c>
      <c r="T46" s="54">
        <f t="shared" si="0"/>
        <v>0</v>
      </c>
      <c r="U46" s="54">
        <f t="shared" si="0"/>
        <v>0</v>
      </c>
      <c r="V46" s="54">
        <f t="shared" si="0"/>
        <v>0</v>
      </c>
      <c r="W46" s="54">
        <f t="shared" si="0"/>
        <v>0</v>
      </c>
      <c r="X46" s="54">
        <f t="shared" si="0"/>
        <v>-240664.03197342064</v>
      </c>
      <c r="Y46" s="54">
        <f t="shared" si="0"/>
        <v>-240664.03197342064</v>
      </c>
      <c r="Z46" s="54">
        <f t="shared" si="0"/>
        <v>-74203.94013179584</v>
      </c>
      <c r="AA46" s="54">
        <f t="shared" si="0"/>
        <v>-74203.94013179584</v>
      </c>
      <c r="AB46" s="54">
        <f t="shared" si="0"/>
        <v>3494493.6672432497</v>
      </c>
    </row>
    <row r="47" spans="1:28" ht="11.25" customHeight="1" x14ac:dyDescent="0.25">
      <c r="K47" s="59" t="s">
        <v>486</v>
      </c>
      <c r="L47" s="54">
        <f>CUSTOS!$D$30</f>
        <v>0</v>
      </c>
      <c r="M47" s="54">
        <f>CUSTOS!$D$31</f>
        <v>10245911.661914382</v>
      </c>
      <c r="N47" s="54">
        <f>CUSTOS!$D$32</f>
        <v>0</v>
      </c>
      <c r="O47" s="54">
        <f>CUSTOS!$D$33</f>
        <v>0</v>
      </c>
      <c r="P47" s="54">
        <f>CUSTOS!$D$34</f>
        <v>-6630000</v>
      </c>
      <c r="Q47" s="54">
        <f>CUSTOS!$D$35</f>
        <v>3615911.6619143821</v>
      </c>
      <c r="R47" s="54">
        <f>CUSTOS!$D$36</f>
        <v>76743026.914793923</v>
      </c>
      <c r="S47" s="54">
        <f>CUSTOS!$D$37</f>
        <v>76743026.914793923</v>
      </c>
      <c r="T47" s="54">
        <f>CUSTOS!$D$38</f>
        <v>0</v>
      </c>
      <c r="U47" s="54">
        <f>CUSTOS!$D$39</f>
        <v>0</v>
      </c>
      <c r="V47" s="54">
        <f>CUSTOS!$D$40</f>
        <v>0</v>
      </c>
      <c r="W47" s="54">
        <f>CUSTOS!$D$41</f>
        <v>0</v>
      </c>
      <c r="X47" s="54">
        <f>CUSTOS!$D$42</f>
        <v>0</v>
      </c>
      <c r="Y47" s="54">
        <f>CUSTOS!$D$43</f>
        <v>0</v>
      </c>
      <c r="Z47" s="54">
        <f>CUSTOS!$D$44</f>
        <v>1972026.3738947795</v>
      </c>
      <c r="AA47" s="54">
        <f>CUSTOS!$D$45</f>
        <v>1972026.3738947795</v>
      </c>
      <c r="AB47" s="54">
        <f>CUSTOS!$D$46</f>
        <v>82330964.950603083</v>
      </c>
    </row>
    <row r="48" spans="1:28" ht="11.25" customHeight="1" x14ac:dyDescent="0.25">
      <c r="K48" s="59" t="s">
        <v>487</v>
      </c>
      <c r="L48" s="54">
        <f>CUSTOS!$E$30</f>
        <v>0</v>
      </c>
      <c r="M48" s="54">
        <f>CUSTOS!$E$31</f>
        <v>6697068.948998278</v>
      </c>
      <c r="N48" s="54">
        <f>CUSTOS!$E$32</f>
        <v>0</v>
      </c>
      <c r="O48" s="54">
        <f>CUSTOS!$E$33</f>
        <v>0</v>
      </c>
      <c r="P48" s="54">
        <f>CUSTOS!$E$34</f>
        <v>0</v>
      </c>
      <c r="Q48" s="54">
        <f>CUSTOS!$E$35</f>
        <v>6697068.948998278</v>
      </c>
      <c r="R48" s="54">
        <f>CUSTOS!$E$36</f>
        <v>-2887707.3096498107</v>
      </c>
      <c r="S48" s="54">
        <f>CUSTOS!$E$37</f>
        <v>-2887707.3096498107</v>
      </c>
      <c r="T48" s="54">
        <f>CUSTOS!$E$38</f>
        <v>0</v>
      </c>
      <c r="U48" s="54">
        <f>CUSTOS!$E$39</f>
        <v>0</v>
      </c>
      <c r="V48" s="54">
        <f>CUSTOS!$E$40</f>
        <v>0</v>
      </c>
      <c r="W48" s="54">
        <f>CUSTOS!$E$41</f>
        <v>0</v>
      </c>
      <c r="X48" s="54">
        <f>CUSTOS!$E$42</f>
        <v>-240664.03197342064</v>
      </c>
      <c r="Y48" s="54">
        <f>CUSTOS!$E$43</f>
        <v>-240664.03197342064</v>
      </c>
      <c r="Z48" s="54">
        <f>CUSTOS!$E$44</f>
        <v>-74203.94013179584</v>
      </c>
      <c r="AA48" s="54">
        <f>CUSTOS!$E$45</f>
        <v>-74203.94013179584</v>
      </c>
      <c r="AB48" s="54">
        <f>CUSTOS!$E$46</f>
        <v>3494493.6672432506</v>
      </c>
    </row>
    <row r="49" spans="11:28" ht="11.25" customHeight="1" x14ac:dyDescent="0.25">
      <c r="K49" s="59" t="s">
        <v>488</v>
      </c>
      <c r="L49" s="54">
        <f>CUSTOS!$F$30</f>
        <v>0</v>
      </c>
      <c r="M49" s="54">
        <f>CUSTOS!$F$31</f>
        <v>0</v>
      </c>
      <c r="N49" s="54">
        <f>CUSTOS!$F$32</f>
        <v>0</v>
      </c>
      <c r="O49" s="54">
        <f>CUSTOS!$F$33</f>
        <v>0</v>
      </c>
      <c r="P49" s="54">
        <f>CUSTOS!$F$34</f>
        <v>0</v>
      </c>
      <c r="Q49" s="54">
        <f>CUSTOS!$F$35</f>
        <v>0</v>
      </c>
      <c r="R49" s="54">
        <f>CUSTOS!$F$36</f>
        <v>0</v>
      </c>
      <c r="S49" s="54">
        <f>CUSTOS!$F$37</f>
        <v>0</v>
      </c>
      <c r="T49" s="54">
        <f>CUSTOS!$F$38</f>
        <v>0</v>
      </c>
      <c r="U49" s="54">
        <f>CUSTOS!$F$39</f>
        <v>0</v>
      </c>
      <c r="V49" s="54">
        <f>CUSTOS!$F$40</f>
        <v>0</v>
      </c>
      <c r="W49" s="54">
        <f>CUSTOS!$F$41</f>
        <v>0</v>
      </c>
      <c r="X49" s="54">
        <f>CUSTOS!$F$42</f>
        <v>0</v>
      </c>
      <c r="Y49" s="54">
        <f>CUSTOS!$F$43</f>
        <v>0</v>
      </c>
      <c r="Z49" s="54">
        <f>CUSTOS!$F$44</f>
        <v>0</v>
      </c>
      <c r="AA49" s="54">
        <f>CUSTOS!$F$45</f>
        <v>0</v>
      </c>
      <c r="AB49" s="54">
        <f>CUSTOS!$F$46</f>
        <v>0</v>
      </c>
    </row>
    <row r="50" spans="11:28" ht="11.25" customHeight="1" x14ac:dyDescent="0.25">
      <c r="K50" s="59" t="s">
        <v>562</v>
      </c>
      <c r="L50" s="54">
        <f>'TR TE'!$L$50*L51</f>
        <v>0</v>
      </c>
      <c r="M50" s="54">
        <f>'TR TE'!$M$50*M51</f>
        <v>0</v>
      </c>
      <c r="N50" s="54">
        <f>'TR TE'!$N$50*N51</f>
        <v>0</v>
      </c>
      <c r="O50" s="54">
        <f>'TR TE'!$O$50*O51</f>
        <v>0</v>
      </c>
      <c r="P50" s="54">
        <f>'TR TE'!$P$50*P51</f>
        <v>0</v>
      </c>
      <c r="Q50" s="54"/>
      <c r="R50" s="54">
        <f>'TR TE'!$R$50*R51</f>
        <v>0</v>
      </c>
      <c r="S50" s="54"/>
      <c r="T50" s="54">
        <f>'TR TE'!$T$50*T51</f>
        <v>0</v>
      </c>
      <c r="U50" s="54">
        <f>'TR TE'!$U$50*U51</f>
        <v>0</v>
      </c>
      <c r="V50" s="54">
        <f>'TR TE'!$V$50*V51</f>
        <v>0</v>
      </c>
      <c r="W50" s="54"/>
      <c r="X50" s="54"/>
      <c r="Y50" s="54"/>
      <c r="Z50" s="54">
        <f>'TR TE'!$Z$50*Z51</f>
        <v>0</v>
      </c>
      <c r="AA50" s="54"/>
      <c r="AB50" s="54"/>
    </row>
    <row r="51" spans="11:28" ht="11.25" customHeight="1" x14ac:dyDescent="0.25">
      <c r="K51" s="59" t="s">
        <v>557</v>
      </c>
      <c r="L51" s="54">
        <f>IF(L47&lt;&gt;0,L49/L47,0)</f>
        <v>0</v>
      </c>
      <c r="M51" s="54">
        <f>IF(M47&lt;&gt;0,M49/M47,0)</f>
        <v>0</v>
      </c>
      <c r="N51" s="54">
        <f>IF(N47&lt;&gt;0,N49/N47,0)</f>
        <v>0</v>
      </c>
      <c r="O51" s="54">
        <f>IF(O47&lt;&gt;0,O49/O47,0)</f>
        <v>0</v>
      </c>
      <c r="P51" s="54">
        <f>IF(P47&lt;&gt;0,P49/P47,0)</f>
        <v>0</v>
      </c>
      <c r="Q51" s="54"/>
      <c r="R51" s="54">
        <f>IF(R47&lt;&gt;0,R49/R47,0)</f>
        <v>0</v>
      </c>
      <c r="S51" s="54"/>
      <c r="T51" s="54">
        <f>IF(T47&lt;&gt;0,T49/T47,0)</f>
        <v>0</v>
      </c>
      <c r="U51" s="54">
        <f>IF(U47&lt;&gt;0,U49/U47,0)</f>
        <v>0</v>
      </c>
      <c r="V51" s="54">
        <f>IF(V47&lt;&gt;0,V49/V47,0)</f>
        <v>0</v>
      </c>
      <c r="W51" s="54"/>
      <c r="X51" s="54">
        <f>IF($AB47&lt;&gt;0,X49/($AB47-SUM('TR TE'!$L50:'TR TE'!$AA50)*0),0)</f>
        <v>0</v>
      </c>
      <c r="Y51" s="54"/>
      <c r="Z51" s="54">
        <f>IF(Z47&lt;&gt;0,Z49/Z47,0)</f>
        <v>0</v>
      </c>
      <c r="AA51" s="54"/>
      <c r="AB51" s="54"/>
    </row>
    <row r="52" spans="11:28" ht="11.25" customHeight="1" x14ac:dyDescent="0.25"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</row>
  </sheetData>
  <mergeCells count="67"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F7:F8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A7:A9"/>
    <mergeCell ref="B7:B8"/>
    <mergeCell ref="C7:C8"/>
    <mergeCell ref="D7:D8"/>
    <mergeCell ref="E7:E8"/>
    <mergeCell ref="F10:F12"/>
    <mergeCell ref="B13:B17"/>
    <mergeCell ref="C13:C17"/>
    <mergeCell ref="B18:B22"/>
    <mergeCell ref="C18:C22"/>
    <mergeCell ref="A10:A22"/>
    <mergeCell ref="B10:B12"/>
    <mergeCell ref="C10:C12"/>
    <mergeCell ref="D10:D12"/>
    <mergeCell ref="E10:E12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E38:E40"/>
    <mergeCell ref="F38:F40"/>
    <mergeCell ref="A43:A44"/>
    <mergeCell ref="B43:B44"/>
    <mergeCell ref="C43:C44"/>
    <mergeCell ref="D38:D40"/>
  </mergeCells>
  <conditionalFormatting sqref="L46">
    <cfRule type="cellIs" dxfId="934" priority="33" operator="notEqual">
      <formula>$L$48</formula>
    </cfRule>
    <cfRule type="cellIs" dxfId="933" priority="34" operator="equal">
      <formula>$L$48</formula>
    </cfRule>
  </conditionalFormatting>
  <conditionalFormatting sqref="M46">
    <cfRule type="cellIs" dxfId="932" priority="31" operator="notEqual">
      <formula>$M$48</formula>
    </cfRule>
    <cfRule type="cellIs" dxfId="931" priority="32" operator="equal">
      <formula>$M$48</formula>
    </cfRule>
  </conditionalFormatting>
  <conditionalFormatting sqref="N46">
    <cfRule type="cellIs" dxfId="930" priority="29" operator="notEqual">
      <formula>$N$48</formula>
    </cfRule>
    <cfRule type="cellIs" dxfId="929" priority="30" operator="equal">
      <formula>$N$48</formula>
    </cfRule>
  </conditionalFormatting>
  <conditionalFormatting sqref="O46">
    <cfRule type="cellIs" dxfId="928" priority="27" operator="notEqual">
      <formula>$O$48</formula>
    </cfRule>
    <cfRule type="cellIs" dxfId="927" priority="28" operator="equal">
      <formula>$O$48</formula>
    </cfRule>
  </conditionalFormatting>
  <conditionalFormatting sqref="P46">
    <cfRule type="cellIs" dxfId="926" priority="25" operator="notEqual">
      <formula>$P$48</formula>
    </cfRule>
    <cfRule type="cellIs" dxfId="925" priority="26" operator="equal">
      <formula>$P$48</formula>
    </cfRule>
  </conditionalFormatting>
  <conditionalFormatting sqref="Q46">
    <cfRule type="cellIs" dxfId="924" priority="23" operator="notEqual">
      <formula>$Q$48</formula>
    </cfRule>
    <cfRule type="cellIs" dxfId="923" priority="24" operator="equal">
      <formula>$Q$48</formula>
    </cfRule>
  </conditionalFormatting>
  <conditionalFormatting sqref="R46">
    <cfRule type="cellIs" dxfId="922" priority="21" operator="notEqual">
      <formula>$R$48</formula>
    </cfRule>
    <cfRule type="cellIs" dxfId="921" priority="22" operator="equal">
      <formula>$R$48</formula>
    </cfRule>
  </conditionalFormatting>
  <conditionalFormatting sqref="S46">
    <cfRule type="cellIs" dxfId="920" priority="19" operator="notEqual">
      <formula>$S$48</formula>
    </cfRule>
    <cfRule type="cellIs" dxfId="919" priority="20" operator="equal">
      <formula>$S$48</formula>
    </cfRule>
  </conditionalFormatting>
  <conditionalFormatting sqref="T46">
    <cfRule type="cellIs" dxfId="918" priority="17" operator="notEqual">
      <formula>$T$48</formula>
    </cfRule>
    <cfRule type="cellIs" dxfId="917" priority="18" operator="equal">
      <formula>$T$48</formula>
    </cfRule>
  </conditionalFormatting>
  <conditionalFormatting sqref="U46">
    <cfRule type="cellIs" dxfId="916" priority="15" operator="notEqual">
      <formula>$U$48</formula>
    </cfRule>
    <cfRule type="cellIs" dxfId="915" priority="16" operator="equal">
      <formula>$U$48</formula>
    </cfRule>
  </conditionalFormatting>
  <conditionalFormatting sqref="V46">
    <cfRule type="cellIs" dxfId="914" priority="13" operator="notEqual">
      <formula>$V$48</formula>
    </cfRule>
    <cfRule type="cellIs" dxfId="913" priority="14" operator="equal">
      <formula>$V$48</formula>
    </cfRule>
  </conditionalFormatting>
  <conditionalFormatting sqref="W46">
    <cfRule type="cellIs" dxfId="912" priority="11" operator="notEqual">
      <formula>$W$48</formula>
    </cfRule>
    <cfRule type="cellIs" dxfId="911" priority="12" operator="equal">
      <formula>$W$48</formula>
    </cfRule>
  </conditionalFormatting>
  <conditionalFormatting sqref="X46">
    <cfRule type="cellIs" dxfId="910" priority="9" operator="notEqual">
      <formula>$X$48</formula>
    </cfRule>
    <cfRule type="cellIs" dxfId="909" priority="10" operator="equal">
      <formula>$X$48</formula>
    </cfRule>
  </conditionalFormatting>
  <conditionalFormatting sqref="Y46">
    <cfRule type="cellIs" dxfId="908" priority="7" operator="notEqual">
      <formula>$Y$48</formula>
    </cfRule>
    <cfRule type="cellIs" dxfId="907" priority="8" operator="equal">
      <formula>$Y$48</formula>
    </cfRule>
  </conditionalFormatting>
  <conditionalFormatting sqref="Z46">
    <cfRule type="cellIs" dxfId="906" priority="5" operator="notEqual">
      <formula>$Z$48</formula>
    </cfRule>
    <cfRule type="cellIs" dxfId="905" priority="6" operator="equal">
      <formula>$Z$48</formula>
    </cfRule>
  </conditionalFormatting>
  <conditionalFormatting sqref="AA46">
    <cfRule type="cellIs" dxfId="904" priority="3" operator="notEqual">
      <formula>$AA$48</formula>
    </cfRule>
    <cfRule type="cellIs" dxfId="903" priority="4" operator="equal">
      <formula>$AA$48</formula>
    </cfRule>
  </conditionalFormatting>
  <conditionalFormatting sqref="AB46">
    <cfRule type="cellIs" dxfId="902" priority="1" operator="notEqual">
      <formula>$AB$48</formula>
    </cfRule>
    <cfRule type="cellIs" dxfId="901" priority="2" operator="equal">
      <formula>$AB$48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6DB33-FE4A-4021-8C66-65F36E26C7D4}">
  <dimension ref="A1:AB52"/>
  <sheetViews>
    <sheetView showGridLines="0" topLeftCell="R27" workbookViewId="0">
      <selection activeCell="AB46" sqref="AB46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8.7109375" style="9" bestFit="1" customWidth="1"/>
    <col min="13" max="13" width="10.85546875" style="9" bestFit="1" customWidth="1"/>
    <col min="14" max="14" width="8.7109375" style="9" bestFit="1" customWidth="1"/>
    <col min="15" max="15" width="11.140625" style="9" bestFit="1" customWidth="1"/>
    <col min="16" max="16" width="10.5703125" style="9" bestFit="1" customWidth="1"/>
    <col min="17" max="17" width="10" style="9" bestFit="1" customWidth="1"/>
    <col min="18" max="18" width="15" style="9" bestFit="1" customWidth="1"/>
    <col min="19" max="19" width="10.85546875" style="9" bestFit="1" customWidth="1"/>
    <col min="20" max="20" width="8.7109375" style="9" bestFit="1" customWidth="1"/>
    <col min="21" max="21" width="10.42578125" style="9" bestFit="1" customWidth="1"/>
    <col min="22" max="22" width="8.7109375" style="9" bestFit="1" customWidth="1"/>
    <col min="23" max="25" width="9.28515625" style="9" bestFit="1" customWidth="1"/>
    <col min="26" max="26" width="11" style="9" bestFit="1" customWidth="1"/>
    <col min="27" max="27" width="10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19" t="s">
        <v>72</v>
      </c>
      <c r="B1" s="119" t="s">
        <v>73</v>
      </c>
      <c r="C1" s="119" t="s">
        <v>74</v>
      </c>
      <c r="D1" s="119" t="s">
        <v>75</v>
      </c>
      <c r="E1" s="119" t="s">
        <v>76</v>
      </c>
      <c r="F1" s="119" t="s">
        <v>15</v>
      </c>
      <c r="G1" s="119" t="s">
        <v>78</v>
      </c>
      <c r="H1" s="119" t="s">
        <v>79</v>
      </c>
      <c r="I1" s="119" t="s">
        <v>545</v>
      </c>
      <c r="J1" s="102"/>
      <c r="L1" s="117" t="s">
        <v>567</v>
      </c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</row>
    <row r="2" spans="1:28" ht="11.2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  <c r="J2" s="102"/>
      <c r="L2" s="117" t="s">
        <v>472</v>
      </c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</row>
    <row r="3" spans="1:28" ht="11.2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  <c r="J3" s="102"/>
      <c r="L3" s="117" t="s">
        <v>445</v>
      </c>
      <c r="M3" s="117"/>
      <c r="N3" s="117"/>
      <c r="O3" s="117"/>
      <c r="P3" s="117"/>
      <c r="Q3" s="117"/>
      <c r="R3" s="117" t="s">
        <v>476</v>
      </c>
      <c r="S3" s="117"/>
      <c r="T3" s="117" t="s">
        <v>454</v>
      </c>
      <c r="U3" s="117"/>
      <c r="V3" s="117"/>
      <c r="W3" s="117"/>
      <c r="X3" s="117" t="s">
        <v>464</v>
      </c>
      <c r="Y3" s="117"/>
      <c r="Z3" s="117" t="s">
        <v>467</v>
      </c>
      <c r="AA3" s="117"/>
      <c r="AB3" s="117" t="s">
        <v>453</v>
      </c>
    </row>
    <row r="4" spans="1:28" ht="11.25" customHeight="1" x14ac:dyDescent="0.25">
      <c r="A4" s="119"/>
      <c r="B4" s="119"/>
      <c r="C4" s="119"/>
      <c r="D4" s="119"/>
      <c r="E4" s="119"/>
      <c r="F4" s="119"/>
      <c r="G4" s="119"/>
      <c r="H4" s="119"/>
      <c r="I4" s="119"/>
      <c r="J4" s="102"/>
      <c r="L4" s="58" t="s">
        <v>447</v>
      </c>
      <c r="M4" s="58" t="s">
        <v>473</v>
      </c>
      <c r="N4" s="58" t="s">
        <v>474</v>
      </c>
      <c r="O4" s="58" t="s">
        <v>533</v>
      </c>
      <c r="P4" s="58" t="s">
        <v>475</v>
      </c>
      <c r="Q4" s="58" t="s">
        <v>453</v>
      </c>
      <c r="R4" s="58" t="s">
        <v>477</v>
      </c>
      <c r="S4" s="58" t="s">
        <v>453</v>
      </c>
      <c r="T4" s="58" t="s">
        <v>478</v>
      </c>
      <c r="U4" s="58" t="s">
        <v>479</v>
      </c>
      <c r="V4" s="58" t="s">
        <v>480</v>
      </c>
      <c r="W4" s="58" t="s">
        <v>453</v>
      </c>
      <c r="X4" s="58" t="s">
        <v>465</v>
      </c>
      <c r="Y4" s="58" t="s">
        <v>453</v>
      </c>
      <c r="Z4" s="58" t="s">
        <v>481</v>
      </c>
      <c r="AA4" s="58" t="s">
        <v>453</v>
      </c>
      <c r="AB4" s="118"/>
    </row>
    <row r="5" spans="1:28" ht="11.25" customHeight="1" x14ac:dyDescent="0.25">
      <c r="A5" s="120" t="s">
        <v>53</v>
      </c>
      <c r="B5" s="120" t="s">
        <v>81</v>
      </c>
      <c r="C5" s="120" t="s">
        <v>25</v>
      </c>
      <c r="D5" s="120" t="s">
        <v>25</v>
      </c>
      <c r="E5" s="120" t="s">
        <v>25</v>
      </c>
      <c r="F5" s="120" t="s">
        <v>25</v>
      </c>
      <c r="G5" s="57" t="s">
        <v>83</v>
      </c>
      <c r="H5" s="57" t="s">
        <v>82</v>
      </c>
      <c r="I5" s="57">
        <f>'MERCADO TE'!$U$2</f>
        <v>0</v>
      </c>
      <c r="J5" s="15"/>
      <c r="L5" s="54">
        <f>'TE BE'!$L$5*'TE BF'!$L$51</f>
        <v>0</v>
      </c>
      <c r="M5" s="54">
        <f>'TE BE'!$M$5*'TE BF'!$M$51</f>
        <v>0</v>
      </c>
      <c r="N5" s="54">
        <f>'TE BE'!$N$5*'TE BF'!$N$51</f>
        <v>0</v>
      </c>
      <c r="O5" s="54">
        <f>'TE BE'!$O$5*'TE BF'!$O$51</f>
        <v>0</v>
      </c>
      <c r="P5" s="54">
        <f>'TE BE'!$P$5*'TE BF'!$P$51</f>
        <v>0</v>
      </c>
      <c r="Q5" s="54">
        <f>SUM($L$5:$P$5)</f>
        <v>0</v>
      </c>
      <c r="R5" s="54">
        <f>'TE BE'!$R$5*'TE BF'!$R$51</f>
        <v>0</v>
      </c>
      <c r="S5" s="54">
        <f>SUM($R$5:$R$5)</f>
        <v>0</v>
      </c>
      <c r="T5" s="54">
        <f>'TE BE'!$T$5*'TE BF'!$T$51</f>
        <v>0</v>
      </c>
      <c r="U5" s="54">
        <f>'TE BE'!$U$5*'TE BF'!$U$51</f>
        <v>0</v>
      </c>
      <c r="V5" s="54">
        <f>'TE BE'!$V$5*'TE BF'!$V$51</f>
        <v>0</v>
      </c>
      <c r="W5" s="54">
        <f>SUM($T$5:$V$5)</f>
        <v>0</v>
      </c>
      <c r="X5" s="54">
        <f>'TE BE'!$AB$5*'TE BF'!$X$51</f>
        <v>0</v>
      </c>
      <c r="Y5" s="54">
        <f>SUM($X$5:$X$5)</f>
        <v>0</v>
      </c>
      <c r="Z5" s="54">
        <f>'TE BE'!$Z$5*'TE BF'!$Z$51</f>
        <v>0</v>
      </c>
      <c r="AA5" s="54">
        <f>SUM($Z$5:$Z$5)</f>
        <v>0</v>
      </c>
      <c r="AB5" s="54">
        <f>SUMIF($L$4:$AA$4,"SUBTOTAL",$L$5:$AA$5)</f>
        <v>0</v>
      </c>
    </row>
    <row r="6" spans="1:28" ht="11.25" customHeight="1" x14ac:dyDescent="0.25">
      <c r="A6" s="120"/>
      <c r="B6" s="120"/>
      <c r="C6" s="120"/>
      <c r="D6" s="120"/>
      <c r="E6" s="120"/>
      <c r="F6" s="120"/>
      <c r="G6" s="57" t="s">
        <v>84</v>
      </c>
      <c r="H6" s="57" t="s">
        <v>82</v>
      </c>
      <c r="I6" s="57">
        <f>'MERCADO TE'!$U$3</f>
        <v>0</v>
      </c>
      <c r="J6" s="15"/>
      <c r="L6" s="54">
        <f>'TE BE'!$L$6*'TE BF'!$L$51</f>
        <v>0</v>
      </c>
      <c r="M6" s="54">
        <f>'TE BE'!$M$6*'TE BF'!$M$51</f>
        <v>0</v>
      </c>
      <c r="N6" s="54">
        <f>'TE BE'!$N$6*'TE BF'!$N$51</f>
        <v>0</v>
      </c>
      <c r="O6" s="54">
        <f>'TE BE'!$O$6*'TE BF'!$O$51</f>
        <v>0</v>
      </c>
      <c r="P6" s="54">
        <f>'TE BE'!$P$6*'TE BF'!$P$51</f>
        <v>0</v>
      </c>
      <c r="Q6" s="54">
        <f>SUM($L$6:$P$6)</f>
        <v>0</v>
      </c>
      <c r="R6" s="54">
        <f>'TE BE'!$R$6*'TE BF'!$R$51</f>
        <v>0</v>
      </c>
      <c r="S6" s="54">
        <f>SUM($R$6:$R$6)</f>
        <v>0</v>
      </c>
      <c r="T6" s="54">
        <f>'TE BE'!$T$6*'TE BF'!$T$51</f>
        <v>0</v>
      </c>
      <c r="U6" s="54">
        <f>'TE BE'!$U$6*'TE BF'!$U$51</f>
        <v>0</v>
      </c>
      <c r="V6" s="54">
        <f>'TE BE'!$V$6*'TE BF'!$V$51</f>
        <v>0</v>
      </c>
      <c r="W6" s="54">
        <f>SUM($T$6:$V$6)</f>
        <v>0</v>
      </c>
      <c r="X6" s="54">
        <f>'TE BE'!$AB$6*'TE BF'!$X$51</f>
        <v>0</v>
      </c>
      <c r="Y6" s="54">
        <f>SUM($X$6:$X$6)</f>
        <v>0</v>
      </c>
      <c r="Z6" s="54">
        <f>'TE BE'!$Z$6*'TE BF'!$Z$51</f>
        <v>0</v>
      </c>
      <c r="AA6" s="54">
        <f>SUM($Z$6:$Z$6)</f>
        <v>0</v>
      </c>
      <c r="AB6" s="54">
        <f>SUMIF($L$4:$AA$4,"SUBTOTAL",$L$6:$AA$6)</f>
        <v>0</v>
      </c>
    </row>
    <row r="7" spans="1:28" ht="11.25" customHeight="1" x14ac:dyDescent="0.25">
      <c r="A7" s="120" t="s">
        <v>35</v>
      </c>
      <c r="B7" s="120" t="s">
        <v>81</v>
      </c>
      <c r="C7" s="120" t="s">
        <v>25</v>
      </c>
      <c r="D7" s="120" t="s">
        <v>25</v>
      </c>
      <c r="E7" s="120" t="s">
        <v>25</v>
      </c>
      <c r="F7" s="120" t="s">
        <v>25</v>
      </c>
      <c r="G7" s="57" t="s">
        <v>83</v>
      </c>
      <c r="H7" s="57" t="s">
        <v>82</v>
      </c>
      <c r="I7" s="57">
        <f>'MERCADO TE'!$U$4</f>
        <v>10174.852999999999</v>
      </c>
      <c r="J7" s="15"/>
      <c r="L7" s="54">
        <f>'TE BE'!$L$7*'TE BF'!$L$51</f>
        <v>0</v>
      </c>
      <c r="M7" s="54">
        <f>'TE BE'!$M$7*'TE BF'!$M$51</f>
        <v>0</v>
      </c>
      <c r="N7" s="54">
        <f>'TE BE'!$N$7*'TE BF'!$N$51</f>
        <v>0</v>
      </c>
      <c r="O7" s="54">
        <f>'TE BE'!$O$7*'TE BF'!$O$51</f>
        <v>0</v>
      </c>
      <c r="P7" s="54">
        <f>'TE BE'!$P$7*'TE BF'!$P$51</f>
        <v>0</v>
      </c>
      <c r="Q7" s="54">
        <f>SUM($L$7:$P$7)</f>
        <v>0</v>
      </c>
      <c r="R7" s="54">
        <f>'TE BE'!$R$7*'TE BF'!$R$51</f>
        <v>0</v>
      </c>
      <c r="S7" s="54">
        <f>SUM($R$7:$R$7)</f>
        <v>0</v>
      </c>
      <c r="T7" s="54">
        <f>'TE BE'!$T$7*'TE BF'!$T$51</f>
        <v>0</v>
      </c>
      <c r="U7" s="54">
        <f>'TE BE'!$U$7*'TE BF'!$U$51</f>
        <v>0</v>
      </c>
      <c r="V7" s="54">
        <f>'TE BE'!$V$7*'TE BF'!$V$51</f>
        <v>0</v>
      </c>
      <c r="W7" s="54">
        <f>SUM($T$7:$V$7)</f>
        <v>0</v>
      </c>
      <c r="X7" s="54">
        <f>'TE BE'!$AB$7*'TE BF'!$X$51</f>
        <v>0</v>
      </c>
      <c r="Y7" s="54">
        <f>SUM($X$7:$X$7)</f>
        <v>0</v>
      </c>
      <c r="Z7" s="54">
        <f>'TE BE'!$Z$7*'TE BF'!$Z$51</f>
        <v>0</v>
      </c>
      <c r="AA7" s="54">
        <f>SUM($Z$7:$Z$7)</f>
        <v>0</v>
      </c>
      <c r="AB7" s="54">
        <f>SUMIF($L$4:$AA$4,"SUBTOTAL",$L$7:$AA$7)</f>
        <v>0</v>
      </c>
    </row>
    <row r="8" spans="1:28" ht="11.25" customHeight="1" x14ac:dyDescent="0.25">
      <c r="A8" s="120"/>
      <c r="B8" s="120"/>
      <c r="C8" s="120"/>
      <c r="D8" s="120"/>
      <c r="E8" s="120"/>
      <c r="F8" s="120"/>
      <c r="G8" s="57" t="s">
        <v>84</v>
      </c>
      <c r="H8" s="57" t="s">
        <v>82</v>
      </c>
      <c r="I8" s="57">
        <f>'MERCADO TE'!$U$5</f>
        <v>179033.51300000001</v>
      </c>
      <c r="J8" s="15"/>
      <c r="L8" s="54">
        <f>'TE BE'!$L$8*'TE BF'!$L$51</f>
        <v>0</v>
      </c>
      <c r="M8" s="54">
        <f>'TE BE'!$M$8*'TE BF'!$M$51</f>
        <v>0</v>
      </c>
      <c r="N8" s="54">
        <f>'TE BE'!$N$8*'TE BF'!$N$51</f>
        <v>0</v>
      </c>
      <c r="O8" s="54">
        <f>'TE BE'!$O$8*'TE BF'!$O$51</f>
        <v>0</v>
      </c>
      <c r="P8" s="54">
        <f>'TE BE'!$P$8*'TE BF'!$P$51</f>
        <v>0</v>
      </c>
      <c r="Q8" s="54">
        <f>SUM($L$8:$P$8)</f>
        <v>0</v>
      </c>
      <c r="R8" s="54">
        <f>'TE BE'!$R$8*'TE BF'!$R$51</f>
        <v>0</v>
      </c>
      <c r="S8" s="54">
        <f>SUM($R$8:$R$8)</f>
        <v>0</v>
      </c>
      <c r="T8" s="54">
        <f>'TE BE'!$T$8*'TE BF'!$T$51</f>
        <v>0</v>
      </c>
      <c r="U8" s="54">
        <f>'TE BE'!$U$8*'TE BF'!$U$51</f>
        <v>0</v>
      </c>
      <c r="V8" s="54">
        <f>'TE BE'!$V$8*'TE BF'!$V$51</f>
        <v>0</v>
      </c>
      <c r="W8" s="54">
        <f>SUM($T$8:$V$8)</f>
        <v>0</v>
      </c>
      <c r="X8" s="54">
        <f>'TE BE'!$AB$8*'TE BF'!$X$51</f>
        <v>0</v>
      </c>
      <c r="Y8" s="54">
        <f>SUM($X$8:$X$8)</f>
        <v>0</v>
      </c>
      <c r="Z8" s="54">
        <f>'TE BE'!$Z$8*'TE BF'!$Z$51</f>
        <v>0</v>
      </c>
      <c r="AA8" s="54">
        <f>SUM($Z$8:$Z$8)</f>
        <v>0</v>
      </c>
      <c r="AB8" s="54">
        <f>SUMIF($L$4:$AA$4,"SUBTOTAL",$L$8:$AA$8)</f>
        <v>0</v>
      </c>
    </row>
    <row r="9" spans="1:28" ht="11.25" customHeight="1" x14ac:dyDescent="0.25">
      <c r="A9" s="120"/>
      <c r="B9" s="56" t="s">
        <v>90</v>
      </c>
      <c r="C9" s="56" t="s">
        <v>25</v>
      </c>
      <c r="D9" s="56" t="s">
        <v>25</v>
      </c>
      <c r="E9" s="56" t="s">
        <v>25</v>
      </c>
      <c r="F9" s="56" t="s">
        <v>25</v>
      </c>
      <c r="G9" s="57" t="s">
        <v>88</v>
      </c>
      <c r="H9" s="57" t="s">
        <v>82</v>
      </c>
      <c r="I9" s="57">
        <f>'MERCADO TE'!$U$6</f>
        <v>0</v>
      </c>
      <c r="J9" s="15"/>
      <c r="L9" s="54">
        <f>'TE BE'!$L$9*'TE BF'!$L$51</f>
        <v>0</v>
      </c>
      <c r="M9" s="54">
        <f>'TE BE'!$M$9*'TE BF'!$M$51</f>
        <v>0</v>
      </c>
      <c r="N9" s="54">
        <f>'TE BE'!$N$9*'TE BF'!$N$51</f>
        <v>0</v>
      </c>
      <c r="O9" s="54">
        <f>'TE BE'!$O$9*'TE BF'!$O$51</f>
        <v>0</v>
      </c>
      <c r="P9" s="54">
        <f>'TE BE'!$P$9*'TE BF'!$P$51</f>
        <v>0</v>
      </c>
      <c r="Q9" s="54">
        <f>SUM($L$9:$P$9)</f>
        <v>0</v>
      </c>
      <c r="R9" s="54">
        <f>'TE BE'!$R$9*'TE BF'!$R$51</f>
        <v>0</v>
      </c>
      <c r="S9" s="54">
        <f>SUM($R$9:$R$9)</f>
        <v>0</v>
      </c>
      <c r="T9" s="54">
        <f>'TE BE'!$T$9*'TE BF'!$T$51</f>
        <v>0</v>
      </c>
      <c r="U9" s="54">
        <f>'TE BE'!$U$9*'TE BF'!$U$51</f>
        <v>0</v>
      </c>
      <c r="V9" s="54">
        <f>'TE BE'!$V$9*'TE BF'!$V$51</f>
        <v>0</v>
      </c>
      <c r="W9" s="54">
        <f>SUM($T$9:$V$9)</f>
        <v>0</v>
      </c>
      <c r="X9" s="54">
        <f>'TE BE'!$AB$9*'TE BF'!$X$51</f>
        <v>0</v>
      </c>
      <c r="Y9" s="54">
        <f>SUM($X$9:$X$9)</f>
        <v>0</v>
      </c>
      <c r="Z9" s="54">
        <f>'TE BE'!$Z$9*'TE BF'!$Z$51</f>
        <v>0</v>
      </c>
      <c r="AA9" s="54">
        <f>SUM($Z$9:$Z$9)</f>
        <v>0</v>
      </c>
      <c r="AB9" s="54">
        <f>SUMIF($L$4:$AA$4,"SUBTOTAL",$L$9:$AA$9)</f>
        <v>0</v>
      </c>
    </row>
    <row r="10" spans="1:28" ht="11.25" customHeight="1" x14ac:dyDescent="0.25">
      <c r="A10" s="120" t="s">
        <v>22</v>
      </c>
      <c r="B10" s="120" t="s">
        <v>81</v>
      </c>
      <c r="C10" s="120" t="s">
        <v>24</v>
      </c>
      <c r="D10" s="120" t="s">
        <v>24</v>
      </c>
      <c r="E10" s="120" t="s">
        <v>25</v>
      </c>
      <c r="F10" s="120" t="s">
        <v>25</v>
      </c>
      <c r="G10" s="57" t="s">
        <v>83</v>
      </c>
      <c r="H10" s="57" t="s">
        <v>82</v>
      </c>
      <c r="I10" s="57">
        <f>'MERCADO TE'!$U$7</f>
        <v>0</v>
      </c>
      <c r="J10" s="15"/>
      <c r="L10" s="54">
        <f>'TE BE'!$L$10*'TE BF'!$L$51</f>
        <v>0</v>
      </c>
      <c r="M10" s="54">
        <f>'TE BE'!$M$10*'TE BF'!$M$51</f>
        <v>0</v>
      </c>
      <c r="N10" s="54">
        <f>'TE BE'!$N$10*'TE BF'!$N$51</f>
        <v>0</v>
      </c>
      <c r="O10" s="54">
        <f>'TE BE'!$O$10*'TE BF'!$O$51</f>
        <v>0</v>
      </c>
      <c r="P10" s="54">
        <f>'TE BE'!$P$10*'TE BF'!$P$51</f>
        <v>0</v>
      </c>
      <c r="Q10" s="54">
        <f>SUM($L$10:$P$10)</f>
        <v>0</v>
      </c>
      <c r="R10" s="54">
        <f>'TE BE'!$R$10*'TE BF'!$R$51</f>
        <v>0</v>
      </c>
      <c r="S10" s="54">
        <f>SUM($R$10:$R$10)</f>
        <v>0</v>
      </c>
      <c r="T10" s="54">
        <f>'TE BE'!$T$10*'TE BF'!$T$51</f>
        <v>0</v>
      </c>
      <c r="U10" s="54">
        <f>'TE BE'!$U$10*'TE BF'!$U$51</f>
        <v>0</v>
      </c>
      <c r="V10" s="54">
        <f>'TE BE'!$V$10*'TE BF'!$V$51</f>
        <v>0</v>
      </c>
      <c r="W10" s="54">
        <f>SUM($T$10:$V$10)</f>
        <v>0</v>
      </c>
      <c r="X10" s="54">
        <f>'TE BE'!$AB$10*'TE BF'!$X$51</f>
        <v>0</v>
      </c>
      <c r="Y10" s="54">
        <f>SUM($X$10:$X$10)</f>
        <v>0</v>
      </c>
      <c r="Z10" s="54">
        <f>'TE BE'!$Z$10*'TE BF'!$Z$51</f>
        <v>0</v>
      </c>
      <c r="AA10" s="54">
        <f>SUM($Z$10:$Z$10)</f>
        <v>0</v>
      </c>
      <c r="AB10" s="54">
        <f>SUMIF($L$4:$AA$4,"SUBTOTAL",$L$10:$AA$10)</f>
        <v>0</v>
      </c>
    </row>
    <row r="11" spans="1:28" ht="11.25" customHeight="1" x14ac:dyDescent="0.25">
      <c r="A11" s="120"/>
      <c r="B11" s="120"/>
      <c r="C11" s="120"/>
      <c r="D11" s="120"/>
      <c r="E11" s="120"/>
      <c r="F11" s="120"/>
      <c r="G11" s="57" t="s">
        <v>94</v>
      </c>
      <c r="H11" s="57" t="s">
        <v>82</v>
      </c>
      <c r="I11" s="57">
        <f>'MERCADO TE'!$U$8</f>
        <v>0</v>
      </c>
      <c r="J11" s="15"/>
      <c r="L11" s="54">
        <f>'TE BE'!$L$11*'TE BF'!$L$51</f>
        <v>0</v>
      </c>
      <c r="M11" s="54">
        <f>'TE BE'!$M$11*'TE BF'!$M$51</f>
        <v>0</v>
      </c>
      <c r="N11" s="54">
        <f>'TE BE'!$N$11*'TE BF'!$N$51</f>
        <v>0</v>
      </c>
      <c r="O11" s="54">
        <f>'TE BE'!$O$11*'TE BF'!$O$51</f>
        <v>0</v>
      </c>
      <c r="P11" s="54">
        <f>'TE BE'!$P$11*'TE BF'!$P$51</f>
        <v>0</v>
      </c>
      <c r="Q11" s="54">
        <f>SUM($L$11:$P$11)</f>
        <v>0</v>
      </c>
      <c r="R11" s="54">
        <f>'TE BE'!$R$11*'TE BF'!$R$51</f>
        <v>0</v>
      </c>
      <c r="S11" s="54">
        <f>SUM($R$11:$R$11)</f>
        <v>0</v>
      </c>
      <c r="T11" s="54">
        <f>'TE BE'!$T$11*'TE BF'!$T$51</f>
        <v>0</v>
      </c>
      <c r="U11" s="54">
        <f>'TE BE'!$U$11*'TE BF'!$U$51</f>
        <v>0</v>
      </c>
      <c r="V11" s="54">
        <f>'TE BE'!$V$11*'TE BF'!$V$51</f>
        <v>0</v>
      </c>
      <c r="W11" s="54">
        <f>SUM($T$11:$V$11)</f>
        <v>0</v>
      </c>
      <c r="X11" s="54">
        <f>'TE BE'!$AB$11*'TE BF'!$X$51</f>
        <v>0</v>
      </c>
      <c r="Y11" s="54">
        <f>SUM($X$11:$X$11)</f>
        <v>0</v>
      </c>
      <c r="Z11" s="54">
        <f>'TE BE'!$Z$11*'TE BF'!$Z$51</f>
        <v>0</v>
      </c>
      <c r="AA11" s="54">
        <f>SUM($Z$11:$Z$11)</f>
        <v>0</v>
      </c>
      <c r="AB11" s="54">
        <f>SUMIF($L$4:$AA$4,"SUBTOTAL",$L$11:$AA$11)</f>
        <v>0</v>
      </c>
    </row>
    <row r="12" spans="1:28" ht="11.25" customHeight="1" x14ac:dyDescent="0.25">
      <c r="A12" s="120"/>
      <c r="B12" s="120"/>
      <c r="C12" s="120"/>
      <c r="D12" s="120"/>
      <c r="E12" s="120"/>
      <c r="F12" s="120"/>
      <c r="G12" s="57" t="s">
        <v>84</v>
      </c>
      <c r="H12" s="57" t="s">
        <v>82</v>
      </c>
      <c r="I12" s="57">
        <f>'MERCADO TE'!$U$9</f>
        <v>0</v>
      </c>
      <c r="J12" s="15"/>
      <c r="L12" s="54">
        <f>'TE BE'!$L$12*'TE BF'!$L$51</f>
        <v>0</v>
      </c>
      <c r="M12" s="54">
        <f>'TE BE'!$M$12*'TE BF'!$M$51</f>
        <v>0</v>
      </c>
      <c r="N12" s="54">
        <f>'TE BE'!$N$12*'TE BF'!$N$51</f>
        <v>0</v>
      </c>
      <c r="O12" s="54">
        <f>'TE BE'!$O$12*'TE BF'!$O$51</f>
        <v>0</v>
      </c>
      <c r="P12" s="54">
        <f>'TE BE'!$P$12*'TE BF'!$P$51</f>
        <v>0</v>
      </c>
      <c r="Q12" s="54">
        <f>SUM($L$12:$P$12)</f>
        <v>0</v>
      </c>
      <c r="R12" s="54">
        <f>'TE BE'!$R$12*'TE BF'!$R$51</f>
        <v>0</v>
      </c>
      <c r="S12" s="54">
        <f>SUM($R$12:$R$12)</f>
        <v>0</v>
      </c>
      <c r="T12" s="54">
        <f>'TE BE'!$T$12*'TE BF'!$T$51</f>
        <v>0</v>
      </c>
      <c r="U12" s="54">
        <f>'TE BE'!$U$12*'TE BF'!$U$51</f>
        <v>0</v>
      </c>
      <c r="V12" s="54">
        <f>'TE BE'!$V$12*'TE BF'!$V$51</f>
        <v>0</v>
      </c>
      <c r="W12" s="54">
        <f>SUM($T$12:$V$12)</f>
        <v>0</v>
      </c>
      <c r="X12" s="54">
        <f>'TE BE'!$AB$12*'TE BF'!$X$51</f>
        <v>0</v>
      </c>
      <c r="Y12" s="54">
        <f>SUM($X$12:$X$12)</f>
        <v>0</v>
      </c>
      <c r="Z12" s="54">
        <f>'TE BE'!$Z$12*'TE BF'!$Z$51</f>
        <v>0</v>
      </c>
      <c r="AA12" s="54">
        <f>SUM($Z$12:$Z$12)</f>
        <v>0</v>
      </c>
      <c r="AB12" s="54">
        <f>SUMIF($L$4:$AA$4,"SUBTOTAL",$L$12:$AA$12)</f>
        <v>0</v>
      </c>
    </row>
    <row r="13" spans="1:28" ht="11.25" customHeight="1" x14ac:dyDescent="0.25">
      <c r="A13" s="120"/>
      <c r="B13" s="120" t="s">
        <v>90</v>
      </c>
      <c r="C13" s="120" t="s">
        <v>24</v>
      </c>
      <c r="D13" s="56" t="s">
        <v>24</v>
      </c>
      <c r="E13" s="56" t="s">
        <v>25</v>
      </c>
      <c r="F13" s="56" t="s">
        <v>25</v>
      </c>
      <c r="G13" s="57" t="s">
        <v>88</v>
      </c>
      <c r="H13" s="57" t="s">
        <v>82</v>
      </c>
      <c r="I13" s="57">
        <f>'MERCADO TE'!$U$10</f>
        <v>24573.046999999999</v>
      </c>
      <c r="J13" s="15"/>
      <c r="L13" s="54">
        <f>'TE BE'!$L$13*'TE BF'!$L$51</f>
        <v>0</v>
      </c>
      <c r="M13" s="54">
        <f>'TE BE'!$M$13*'TE BF'!$M$51</f>
        <v>0</v>
      </c>
      <c r="N13" s="54">
        <f>'TE BE'!$N$13*'TE BF'!$N$51</f>
        <v>0</v>
      </c>
      <c r="O13" s="54">
        <f>'TE BE'!$O$13*'TE BF'!$O$51</f>
        <v>0</v>
      </c>
      <c r="P13" s="54">
        <f>'TE BE'!$P$13*'TE BF'!$P$51</f>
        <v>0</v>
      </c>
      <c r="Q13" s="54">
        <f>SUM($L$13:$P$13)</f>
        <v>0</v>
      </c>
      <c r="R13" s="54">
        <f>'TE BE'!$R$13*'TE BF'!$R$51</f>
        <v>0</v>
      </c>
      <c r="S13" s="54">
        <f>SUM($R$13:$R$13)</f>
        <v>0</v>
      </c>
      <c r="T13" s="54">
        <f>'TE BE'!$T$13*'TE BF'!$T$51</f>
        <v>0</v>
      </c>
      <c r="U13" s="54">
        <f>'TE BE'!$U$13*'TE BF'!$U$51</f>
        <v>0</v>
      </c>
      <c r="V13" s="54">
        <f>'TE BE'!$V$13*'TE BF'!$V$51</f>
        <v>0</v>
      </c>
      <c r="W13" s="54">
        <f>SUM($T$13:$V$13)</f>
        <v>0</v>
      </c>
      <c r="X13" s="54">
        <f>'TE BE'!$AB$13*'TE BF'!$X$51</f>
        <v>0</v>
      </c>
      <c r="Y13" s="54">
        <f>SUM($X$13:$X$13)</f>
        <v>0</v>
      </c>
      <c r="Z13" s="54">
        <f>'TE BE'!$Z$13*'TE BF'!$Z$51</f>
        <v>0</v>
      </c>
      <c r="AA13" s="54">
        <f>SUM($Z$13:$Z$13)</f>
        <v>0</v>
      </c>
      <c r="AB13" s="54">
        <f>SUMIF($L$4:$AA$4,"SUBTOTAL",$L$13:$AA$13)</f>
        <v>0</v>
      </c>
    </row>
    <row r="14" spans="1:28" ht="11.25" customHeight="1" x14ac:dyDescent="0.25">
      <c r="A14" s="120"/>
      <c r="B14" s="120"/>
      <c r="C14" s="120"/>
      <c r="D14" s="56" t="s">
        <v>29</v>
      </c>
      <c r="E14" s="56" t="s">
        <v>25</v>
      </c>
      <c r="F14" s="56" t="s">
        <v>25</v>
      </c>
      <c r="G14" s="57" t="s">
        <v>88</v>
      </c>
      <c r="H14" s="57" t="s">
        <v>82</v>
      </c>
      <c r="I14" s="57">
        <f>'MERCADO TE'!$U$11</f>
        <v>175.73700000000002</v>
      </c>
      <c r="J14" s="15"/>
      <c r="L14" s="54">
        <f>'TE BE'!$L$14*'TE BF'!$L$51</f>
        <v>0</v>
      </c>
      <c r="M14" s="54">
        <f>'TE BE'!$M$14*'TE BF'!$M$51</f>
        <v>0</v>
      </c>
      <c r="N14" s="54">
        <f>'TE BE'!$N$14*'TE BF'!$N$51</f>
        <v>0</v>
      </c>
      <c r="O14" s="54">
        <f>'TE BE'!$O$14*'TE BF'!$O$51</f>
        <v>0</v>
      </c>
      <c r="P14" s="54">
        <f>'TE BE'!$P$14*'TE BF'!$P$51</f>
        <v>0</v>
      </c>
      <c r="Q14" s="54">
        <f>SUM($L$14:$P$14)</f>
        <v>0</v>
      </c>
      <c r="R14" s="54">
        <f>'TE BE'!$R$14*'TE BF'!$R$51</f>
        <v>0</v>
      </c>
      <c r="S14" s="54">
        <f>SUM($R$14:$R$14)</f>
        <v>0</v>
      </c>
      <c r="T14" s="54">
        <f>'TE BE'!$T$14*'TE BF'!$T$51</f>
        <v>0</v>
      </c>
      <c r="U14" s="54">
        <f>'TE BE'!$U$14*'TE BF'!$U$51</f>
        <v>0</v>
      </c>
      <c r="V14" s="54">
        <f>'TE BE'!$V$14*'TE BF'!$V$51</f>
        <v>0</v>
      </c>
      <c r="W14" s="54">
        <f>SUM($T$14:$V$14)</f>
        <v>0</v>
      </c>
      <c r="X14" s="54">
        <f>'TE BE'!$AB$14*'TE BF'!$X$51</f>
        <v>0</v>
      </c>
      <c r="Y14" s="54">
        <f>SUM($X$14:$X$14)</f>
        <v>0</v>
      </c>
      <c r="Z14" s="54">
        <f>'TE BE'!$Z$14*'TE BF'!$Z$51</f>
        <v>0</v>
      </c>
      <c r="AA14" s="54">
        <f>SUM($Z$14:$Z$14)</f>
        <v>0</v>
      </c>
      <c r="AB14" s="54">
        <f>SUMIF($L$4:$AA$4,"SUBTOTAL",$L$14:$AA$14)</f>
        <v>0</v>
      </c>
    </row>
    <row r="15" spans="1:28" ht="11.25" customHeight="1" x14ac:dyDescent="0.25">
      <c r="A15" s="120"/>
      <c r="B15" s="120"/>
      <c r="C15" s="120"/>
      <c r="D15" s="56" t="s">
        <v>30</v>
      </c>
      <c r="E15" s="56" t="s">
        <v>25</v>
      </c>
      <c r="F15" s="56" t="s">
        <v>25</v>
      </c>
      <c r="G15" s="57" t="s">
        <v>88</v>
      </c>
      <c r="H15" s="57" t="s">
        <v>82</v>
      </c>
      <c r="I15" s="57">
        <f>'MERCADO TE'!$U$12</f>
        <v>60.123000000000005</v>
      </c>
      <c r="J15" s="15"/>
      <c r="L15" s="54">
        <f>'TE BE'!$L$15*'TE BF'!$L$51</f>
        <v>0</v>
      </c>
      <c r="M15" s="54">
        <f>'TE BE'!$M$15*'TE BF'!$M$51</f>
        <v>0</v>
      </c>
      <c r="N15" s="54">
        <f>'TE BE'!$N$15*'TE BF'!$N$51</f>
        <v>0</v>
      </c>
      <c r="O15" s="54">
        <f>'TE BE'!$O$15*'TE BF'!$O$51</f>
        <v>0</v>
      </c>
      <c r="P15" s="54">
        <f>'TE BE'!$P$15*'TE BF'!$P$51</f>
        <v>0</v>
      </c>
      <c r="Q15" s="54">
        <f>SUM($L$15:$P$15)</f>
        <v>0</v>
      </c>
      <c r="R15" s="54">
        <f>'TE BE'!$R$15*'TE BF'!$R$51</f>
        <v>0</v>
      </c>
      <c r="S15" s="54">
        <f>SUM($R$15:$R$15)</f>
        <v>0</v>
      </c>
      <c r="T15" s="54">
        <f>'TE BE'!$T$15*'TE BF'!$T$51</f>
        <v>0</v>
      </c>
      <c r="U15" s="54">
        <f>'TE BE'!$U$15*'TE BF'!$U$51</f>
        <v>0</v>
      </c>
      <c r="V15" s="54">
        <f>'TE BE'!$V$15*'TE BF'!$V$51</f>
        <v>0</v>
      </c>
      <c r="W15" s="54">
        <f>SUM($T$15:$V$15)</f>
        <v>0</v>
      </c>
      <c r="X15" s="54">
        <f>'TE BE'!$AB$15*'TE BF'!$X$51</f>
        <v>0</v>
      </c>
      <c r="Y15" s="54">
        <f>SUM($X$15:$X$15)</f>
        <v>0</v>
      </c>
      <c r="Z15" s="54">
        <f>'TE BE'!$Z$15*'TE BF'!$Z$51</f>
        <v>0</v>
      </c>
      <c r="AA15" s="54">
        <f>SUM($Z$15:$Z$15)</f>
        <v>0</v>
      </c>
      <c r="AB15" s="54">
        <f>SUMIF($L$4:$AA$4,"SUBTOTAL",$L$15:$AA$15)</f>
        <v>0</v>
      </c>
    </row>
    <row r="16" spans="1:28" ht="11.25" customHeight="1" x14ac:dyDescent="0.25">
      <c r="A16" s="120"/>
      <c r="B16" s="120"/>
      <c r="C16" s="120"/>
      <c r="D16" s="56" t="s">
        <v>31</v>
      </c>
      <c r="E16" s="56" t="s">
        <v>25</v>
      </c>
      <c r="F16" s="56" t="s">
        <v>25</v>
      </c>
      <c r="G16" s="57" t="s">
        <v>88</v>
      </c>
      <c r="H16" s="57" t="s">
        <v>82</v>
      </c>
      <c r="I16" s="57">
        <f>'MERCADO TE'!$U$13</f>
        <v>463.43299999999999</v>
      </c>
      <c r="J16" s="15"/>
      <c r="L16" s="54">
        <f>'TE BE'!$L$16*'TE BF'!$L$51</f>
        <v>0</v>
      </c>
      <c r="M16" s="54">
        <f>'TE BE'!$M$16*'TE BF'!$M$51</f>
        <v>0</v>
      </c>
      <c r="N16" s="54">
        <f>'TE BE'!$N$16*'TE BF'!$N$51</f>
        <v>0</v>
      </c>
      <c r="O16" s="54">
        <f>'TE BE'!$O$16*'TE BF'!$O$51</f>
        <v>0</v>
      </c>
      <c r="P16" s="54">
        <f>'TE BE'!$P$16*'TE BF'!$P$51</f>
        <v>0</v>
      </c>
      <c r="Q16" s="54">
        <f>SUM($L$16:$P$16)</f>
        <v>0</v>
      </c>
      <c r="R16" s="54">
        <f>'TE BE'!$R$16*'TE BF'!$R$51</f>
        <v>0</v>
      </c>
      <c r="S16" s="54">
        <f>SUM($R$16:$R$16)</f>
        <v>0</v>
      </c>
      <c r="T16" s="54">
        <f>'TE BE'!$T$16*'TE BF'!$T$51</f>
        <v>0</v>
      </c>
      <c r="U16" s="54">
        <f>'TE BE'!$U$16*'TE BF'!$U$51</f>
        <v>0</v>
      </c>
      <c r="V16" s="54">
        <f>'TE BE'!$V$16*'TE BF'!$V$51</f>
        <v>0</v>
      </c>
      <c r="W16" s="54">
        <f>SUM($T$16:$V$16)</f>
        <v>0</v>
      </c>
      <c r="X16" s="54">
        <f>'TE BE'!$AB$16*'TE BF'!$X$51</f>
        <v>0</v>
      </c>
      <c r="Y16" s="54">
        <f>SUM($X$16:$X$16)</f>
        <v>0</v>
      </c>
      <c r="Z16" s="54">
        <f>'TE BE'!$Z$16*'TE BF'!$Z$51</f>
        <v>0</v>
      </c>
      <c r="AA16" s="54">
        <f>SUM($Z$16:$Z$16)</f>
        <v>0</v>
      </c>
      <c r="AB16" s="54">
        <f>SUMIF($L$4:$AA$4,"SUBTOTAL",$L$16:$AA$16)</f>
        <v>0</v>
      </c>
    </row>
    <row r="17" spans="1:28" ht="11.25" customHeight="1" x14ac:dyDescent="0.25">
      <c r="A17" s="120"/>
      <c r="B17" s="120"/>
      <c r="C17" s="120"/>
      <c r="D17" s="56" t="s">
        <v>32</v>
      </c>
      <c r="E17" s="56" t="s">
        <v>25</v>
      </c>
      <c r="F17" s="56" t="s">
        <v>25</v>
      </c>
      <c r="G17" s="57" t="s">
        <v>88</v>
      </c>
      <c r="H17" s="57" t="s">
        <v>82</v>
      </c>
      <c r="I17" s="57">
        <f>'MERCADO TE'!$U$14</f>
        <v>303.64100000000002</v>
      </c>
      <c r="J17" s="15"/>
      <c r="L17" s="54">
        <f>'TE BE'!$L$17*'TE BF'!$L$51</f>
        <v>0</v>
      </c>
      <c r="M17" s="54">
        <f>'TE BE'!$M$17*'TE BF'!$M$51</f>
        <v>0</v>
      </c>
      <c r="N17" s="54">
        <f>'TE BE'!$N$17*'TE BF'!$N$51</f>
        <v>0</v>
      </c>
      <c r="O17" s="54">
        <f>'TE BE'!$O$17*'TE BF'!$O$51</f>
        <v>0</v>
      </c>
      <c r="P17" s="54">
        <f>'TE BE'!$P$17*'TE BF'!$P$51</f>
        <v>0</v>
      </c>
      <c r="Q17" s="54">
        <f>SUM($L$17:$P$17)</f>
        <v>0</v>
      </c>
      <c r="R17" s="54">
        <f>'TE BE'!$R$17*'TE BF'!$R$51</f>
        <v>0</v>
      </c>
      <c r="S17" s="54">
        <f>SUM($R$17:$R$17)</f>
        <v>0</v>
      </c>
      <c r="T17" s="54">
        <f>'TE BE'!$T$17*'TE BF'!$T$51</f>
        <v>0</v>
      </c>
      <c r="U17" s="54">
        <f>'TE BE'!$U$17*'TE BF'!$U$51</f>
        <v>0</v>
      </c>
      <c r="V17" s="54">
        <f>'TE BE'!$V$17*'TE BF'!$V$51</f>
        <v>0</v>
      </c>
      <c r="W17" s="54">
        <f>SUM($T$17:$V$17)</f>
        <v>0</v>
      </c>
      <c r="X17" s="54">
        <f>'TE BE'!$AB$17*'TE BF'!$X$51</f>
        <v>0</v>
      </c>
      <c r="Y17" s="54">
        <f>SUM($X$17:$X$17)</f>
        <v>0</v>
      </c>
      <c r="Z17" s="54">
        <f>'TE BE'!$Z$17*'TE BF'!$Z$51</f>
        <v>0</v>
      </c>
      <c r="AA17" s="54">
        <f>SUM($Z$17:$Z$17)</f>
        <v>0</v>
      </c>
      <c r="AB17" s="54">
        <f>SUMIF($L$4:$AA$4,"SUBTOTAL",$L$17:$AA$17)</f>
        <v>0</v>
      </c>
    </row>
    <row r="18" spans="1:28" ht="11.25" customHeight="1" x14ac:dyDescent="0.25">
      <c r="A18" s="120"/>
      <c r="B18" s="120" t="s">
        <v>96</v>
      </c>
      <c r="C18" s="120" t="s">
        <v>24</v>
      </c>
      <c r="D18" s="56" t="s">
        <v>24</v>
      </c>
      <c r="E18" s="56" t="s">
        <v>25</v>
      </c>
      <c r="F18" s="56" t="s">
        <v>25</v>
      </c>
      <c r="G18" s="57" t="s">
        <v>88</v>
      </c>
      <c r="H18" s="57" t="s">
        <v>82</v>
      </c>
      <c r="I18" s="57">
        <f>'MERCADO TE'!$U$15</f>
        <v>0</v>
      </c>
      <c r="J18" s="15"/>
      <c r="L18" s="54">
        <f>'TE BE'!$L$18*'TE BF'!$L$51</f>
        <v>0</v>
      </c>
      <c r="M18" s="54">
        <f>'TE BE'!$M$18*'TE BF'!$M$51</f>
        <v>0</v>
      </c>
      <c r="N18" s="54">
        <f>'TE BE'!$N$18*'TE BF'!$N$51</f>
        <v>0</v>
      </c>
      <c r="O18" s="54">
        <f>'TE BE'!$O$18*'TE BF'!$O$51</f>
        <v>0</v>
      </c>
      <c r="P18" s="54">
        <f>'TE BE'!$P$18*'TE BF'!$P$51</f>
        <v>0</v>
      </c>
      <c r="Q18" s="54">
        <f>SUM($L$18:$P$18)</f>
        <v>0</v>
      </c>
      <c r="R18" s="54">
        <f>'TE BE'!$R$18*'TE BF'!$R$51</f>
        <v>0</v>
      </c>
      <c r="S18" s="54">
        <f>SUM($R$18:$R$18)</f>
        <v>0</v>
      </c>
      <c r="T18" s="54">
        <f>'TE BE'!$T$18*'TE BF'!$T$51</f>
        <v>0</v>
      </c>
      <c r="U18" s="54">
        <f>'TE BE'!$U$18*'TE BF'!$U$51</f>
        <v>0</v>
      </c>
      <c r="V18" s="54">
        <f>'TE BE'!$V$18*'TE BF'!$V$51</f>
        <v>0</v>
      </c>
      <c r="W18" s="54">
        <f>SUM($T$18:$V$18)</f>
        <v>0</v>
      </c>
      <c r="X18" s="54">
        <f>'TE BE'!$AB$18*'TE BF'!$X$51</f>
        <v>0</v>
      </c>
      <c r="Y18" s="54">
        <f>SUM($X$18:$X$18)</f>
        <v>0</v>
      </c>
      <c r="Z18" s="54">
        <f>'TE BE'!$Z$18*'TE BF'!$Z$51</f>
        <v>0</v>
      </c>
      <c r="AA18" s="54">
        <f>SUM($Z$18:$Z$18)</f>
        <v>0</v>
      </c>
      <c r="AB18" s="54">
        <f>SUMIF($L$4:$AA$4,"SUBTOTAL",$L$18:$AA$18)</f>
        <v>0</v>
      </c>
    </row>
    <row r="19" spans="1:28" ht="11.25" customHeight="1" x14ac:dyDescent="0.25">
      <c r="A19" s="120"/>
      <c r="B19" s="120"/>
      <c r="C19" s="120"/>
      <c r="D19" s="56" t="s">
        <v>29</v>
      </c>
      <c r="E19" s="56" t="s">
        <v>25</v>
      </c>
      <c r="F19" s="56" t="s">
        <v>25</v>
      </c>
      <c r="G19" s="57" t="s">
        <v>88</v>
      </c>
      <c r="H19" s="57" t="s">
        <v>82</v>
      </c>
      <c r="I19" s="57">
        <f>'MERCADO TE'!$U$16</f>
        <v>0</v>
      </c>
      <c r="J19" s="15"/>
      <c r="L19" s="54">
        <f>'TE BE'!$L$19*'TE BF'!$L$51</f>
        <v>0</v>
      </c>
      <c r="M19" s="54">
        <f>'TE BE'!$M$19*'TE BF'!$M$51</f>
        <v>0</v>
      </c>
      <c r="N19" s="54">
        <f>'TE BE'!$N$19*'TE BF'!$N$51</f>
        <v>0</v>
      </c>
      <c r="O19" s="54">
        <f>'TE BE'!$O$19*'TE BF'!$O$51</f>
        <v>0</v>
      </c>
      <c r="P19" s="54">
        <f>'TE BE'!$P$19*'TE BF'!$P$51</f>
        <v>0</v>
      </c>
      <c r="Q19" s="54">
        <f>SUM($L$19:$P$19)</f>
        <v>0</v>
      </c>
      <c r="R19" s="54">
        <f>'TE BE'!$R$19*'TE BF'!$R$51</f>
        <v>0</v>
      </c>
      <c r="S19" s="54">
        <f>SUM($R$19:$R$19)</f>
        <v>0</v>
      </c>
      <c r="T19" s="54">
        <f>'TE BE'!$T$19*'TE BF'!$T$51</f>
        <v>0</v>
      </c>
      <c r="U19" s="54">
        <f>'TE BE'!$U$19*'TE BF'!$U$51</f>
        <v>0</v>
      </c>
      <c r="V19" s="54">
        <f>'TE BE'!$V$19*'TE BF'!$V$51</f>
        <v>0</v>
      </c>
      <c r="W19" s="54">
        <f>SUM($T$19:$V$19)</f>
        <v>0</v>
      </c>
      <c r="X19" s="54">
        <f>'TE BE'!$AB$19*'TE BF'!$X$51</f>
        <v>0</v>
      </c>
      <c r="Y19" s="54">
        <f>SUM($X$19:$X$19)</f>
        <v>0</v>
      </c>
      <c r="Z19" s="54">
        <f>'TE BE'!$Z$19*'TE BF'!$Z$51</f>
        <v>0</v>
      </c>
      <c r="AA19" s="54">
        <f>SUM($Z$19:$Z$19)</f>
        <v>0</v>
      </c>
      <c r="AB19" s="54">
        <f>SUMIF($L$4:$AA$4,"SUBTOTAL",$L$19:$AA$19)</f>
        <v>0</v>
      </c>
    </row>
    <row r="20" spans="1:28" ht="11.25" customHeight="1" x14ac:dyDescent="0.25">
      <c r="A20" s="120"/>
      <c r="B20" s="120"/>
      <c r="C20" s="120"/>
      <c r="D20" s="56" t="s">
        <v>30</v>
      </c>
      <c r="E20" s="56" t="s">
        <v>25</v>
      </c>
      <c r="F20" s="56" t="s">
        <v>25</v>
      </c>
      <c r="G20" s="57" t="s">
        <v>88</v>
      </c>
      <c r="H20" s="57" t="s">
        <v>82</v>
      </c>
      <c r="I20" s="57">
        <f>'MERCADO TE'!$U$17</f>
        <v>0</v>
      </c>
      <c r="J20" s="15"/>
      <c r="L20" s="54">
        <f>'TE BE'!$L$20*'TE BF'!$L$51</f>
        <v>0</v>
      </c>
      <c r="M20" s="54">
        <f>'TE BE'!$M$20*'TE BF'!$M$51</f>
        <v>0</v>
      </c>
      <c r="N20" s="54">
        <f>'TE BE'!$N$20*'TE BF'!$N$51</f>
        <v>0</v>
      </c>
      <c r="O20" s="54">
        <f>'TE BE'!$O$20*'TE BF'!$O$51</f>
        <v>0</v>
      </c>
      <c r="P20" s="54">
        <f>'TE BE'!$P$20*'TE BF'!$P$51</f>
        <v>0</v>
      </c>
      <c r="Q20" s="54">
        <f>SUM($L$20:$P$20)</f>
        <v>0</v>
      </c>
      <c r="R20" s="54">
        <f>'TE BE'!$R$20*'TE BF'!$R$51</f>
        <v>0</v>
      </c>
      <c r="S20" s="54">
        <f>SUM($R$20:$R$20)</f>
        <v>0</v>
      </c>
      <c r="T20" s="54">
        <f>'TE BE'!$T$20*'TE BF'!$T$51</f>
        <v>0</v>
      </c>
      <c r="U20" s="54">
        <f>'TE BE'!$U$20*'TE BF'!$U$51</f>
        <v>0</v>
      </c>
      <c r="V20" s="54">
        <f>'TE BE'!$V$20*'TE BF'!$V$51</f>
        <v>0</v>
      </c>
      <c r="W20" s="54">
        <f>SUM($T$20:$V$20)</f>
        <v>0</v>
      </c>
      <c r="X20" s="54">
        <f>'TE BE'!$AB$20*'TE BF'!$X$51</f>
        <v>0</v>
      </c>
      <c r="Y20" s="54">
        <f>SUM($X$20:$X$20)</f>
        <v>0</v>
      </c>
      <c r="Z20" s="54">
        <f>'TE BE'!$Z$20*'TE BF'!$Z$51</f>
        <v>0</v>
      </c>
      <c r="AA20" s="54">
        <f>SUM($Z$20:$Z$20)</f>
        <v>0</v>
      </c>
      <c r="AB20" s="54">
        <f>SUMIF($L$4:$AA$4,"SUBTOTAL",$L$20:$AA$20)</f>
        <v>0</v>
      </c>
    </row>
    <row r="21" spans="1:28" ht="11.25" customHeight="1" x14ac:dyDescent="0.25">
      <c r="A21" s="120"/>
      <c r="B21" s="120"/>
      <c r="C21" s="120"/>
      <c r="D21" s="56" t="s">
        <v>31</v>
      </c>
      <c r="E21" s="56" t="s">
        <v>25</v>
      </c>
      <c r="F21" s="56" t="s">
        <v>25</v>
      </c>
      <c r="G21" s="57" t="s">
        <v>88</v>
      </c>
      <c r="H21" s="57" t="s">
        <v>82</v>
      </c>
      <c r="I21" s="57">
        <f>'MERCADO TE'!$U$18</f>
        <v>0</v>
      </c>
      <c r="J21" s="15"/>
      <c r="L21" s="54">
        <f>'TE BE'!$L$21*'TE BF'!$L$51</f>
        <v>0</v>
      </c>
      <c r="M21" s="54">
        <f>'TE BE'!$M$21*'TE BF'!$M$51</f>
        <v>0</v>
      </c>
      <c r="N21" s="54">
        <f>'TE BE'!$N$21*'TE BF'!$N$51</f>
        <v>0</v>
      </c>
      <c r="O21" s="54">
        <f>'TE BE'!$O$21*'TE BF'!$O$51</f>
        <v>0</v>
      </c>
      <c r="P21" s="54">
        <f>'TE BE'!$P$21*'TE BF'!$P$51</f>
        <v>0</v>
      </c>
      <c r="Q21" s="54">
        <f>SUM($L$21:$P$21)</f>
        <v>0</v>
      </c>
      <c r="R21" s="54">
        <f>'TE BE'!$R$21*'TE BF'!$R$51</f>
        <v>0</v>
      </c>
      <c r="S21" s="54">
        <f>SUM($R$21:$R$21)</f>
        <v>0</v>
      </c>
      <c r="T21" s="54">
        <f>'TE BE'!$T$21*'TE BF'!$T$51</f>
        <v>0</v>
      </c>
      <c r="U21" s="54">
        <f>'TE BE'!$U$21*'TE BF'!$U$51</f>
        <v>0</v>
      </c>
      <c r="V21" s="54">
        <f>'TE BE'!$V$21*'TE BF'!$V$51</f>
        <v>0</v>
      </c>
      <c r="W21" s="54">
        <f>SUM($T$21:$V$21)</f>
        <v>0</v>
      </c>
      <c r="X21" s="54">
        <f>'TE BE'!$AB$21*'TE BF'!$X$51</f>
        <v>0</v>
      </c>
      <c r="Y21" s="54">
        <f>SUM($X$21:$X$21)</f>
        <v>0</v>
      </c>
      <c r="Z21" s="54">
        <f>'TE BE'!$Z$21*'TE BF'!$Z$51</f>
        <v>0</v>
      </c>
      <c r="AA21" s="54">
        <f>SUM($Z$21:$Z$21)</f>
        <v>0</v>
      </c>
      <c r="AB21" s="54">
        <f>SUMIF($L$4:$AA$4,"SUBTOTAL",$L$21:$AA$21)</f>
        <v>0</v>
      </c>
    </row>
    <row r="22" spans="1:28" ht="11.25" customHeight="1" x14ac:dyDescent="0.25">
      <c r="A22" s="120"/>
      <c r="B22" s="120"/>
      <c r="C22" s="120"/>
      <c r="D22" s="56" t="s">
        <v>32</v>
      </c>
      <c r="E22" s="56" t="s">
        <v>25</v>
      </c>
      <c r="F22" s="56" t="s">
        <v>25</v>
      </c>
      <c r="G22" s="57" t="s">
        <v>88</v>
      </c>
      <c r="H22" s="57" t="s">
        <v>82</v>
      </c>
      <c r="I22" s="57">
        <f>'MERCADO TE'!$U$19</f>
        <v>0</v>
      </c>
      <c r="J22" s="15"/>
      <c r="L22" s="54">
        <f>'TE BE'!$L$22*'TE BF'!$L$51</f>
        <v>0</v>
      </c>
      <c r="M22" s="54">
        <f>'TE BE'!$M$22*'TE BF'!$M$51</f>
        <v>0</v>
      </c>
      <c r="N22" s="54">
        <f>'TE BE'!$N$22*'TE BF'!$N$51</f>
        <v>0</v>
      </c>
      <c r="O22" s="54">
        <f>'TE BE'!$O$22*'TE BF'!$O$51</f>
        <v>0</v>
      </c>
      <c r="P22" s="54">
        <f>'TE BE'!$P$22*'TE BF'!$P$51</f>
        <v>0</v>
      </c>
      <c r="Q22" s="54">
        <f>SUM($L$22:$P$22)</f>
        <v>0</v>
      </c>
      <c r="R22" s="54">
        <f>'TE BE'!$R$22*'TE BF'!$R$51</f>
        <v>0</v>
      </c>
      <c r="S22" s="54">
        <f>SUM($R$22:$R$22)</f>
        <v>0</v>
      </c>
      <c r="T22" s="54">
        <f>'TE BE'!$T$22*'TE BF'!$T$51</f>
        <v>0</v>
      </c>
      <c r="U22" s="54">
        <f>'TE BE'!$U$22*'TE BF'!$U$51</f>
        <v>0</v>
      </c>
      <c r="V22" s="54">
        <f>'TE BE'!$V$22*'TE BF'!$V$51</f>
        <v>0</v>
      </c>
      <c r="W22" s="54">
        <f>SUM($T$22:$V$22)</f>
        <v>0</v>
      </c>
      <c r="X22" s="54">
        <f>'TE BE'!$AB$22*'TE BF'!$X$51</f>
        <v>0</v>
      </c>
      <c r="Y22" s="54">
        <f>SUM($X$22:$X$22)</f>
        <v>0</v>
      </c>
      <c r="Z22" s="54">
        <f>'TE BE'!$Z$22*'TE BF'!$Z$51</f>
        <v>0</v>
      </c>
      <c r="AA22" s="54">
        <f>SUM($Z$22:$Z$22)</f>
        <v>0</v>
      </c>
      <c r="AB22" s="54">
        <f>SUMIF($L$4:$AA$4,"SUBTOTAL",$L$22:$AA$22)</f>
        <v>0</v>
      </c>
    </row>
    <row r="23" spans="1:28" ht="11.25" customHeight="1" x14ac:dyDescent="0.25">
      <c r="A23" s="120" t="s">
        <v>41</v>
      </c>
      <c r="B23" s="120" t="s">
        <v>81</v>
      </c>
      <c r="C23" s="120" t="s">
        <v>42</v>
      </c>
      <c r="D23" s="120" t="s">
        <v>25</v>
      </c>
      <c r="E23" s="120" t="s">
        <v>25</v>
      </c>
      <c r="F23" s="120" t="s">
        <v>25</v>
      </c>
      <c r="G23" s="57" t="s">
        <v>83</v>
      </c>
      <c r="H23" s="57" t="s">
        <v>82</v>
      </c>
      <c r="I23" s="57">
        <f>'MERCADO TE'!$U$20</f>
        <v>0</v>
      </c>
      <c r="J23" s="15"/>
      <c r="L23" s="54">
        <f>'TE BE'!$L$23*'TE BF'!$L$51</f>
        <v>0</v>
      </c>
      <c r="M23" s="54">
        <f>'TE BE'!$M$23*'TE BF'!$M$51</f>
        <v>0</v>
      </c>
      <c r="N23" s="54">
        <f>'TE BE'!$N$23*'TE BF'!$N$51</f>
        <v>0</v>
      </c>
      <c r="O23" s="54">
        <f>'TE BE'!$O$23*'TE BF'!$O$51</f>
        <v>0</v>
      </c>
      <c r="P23" s="54">
        <f>'TE BE'!$P$23*'TE BF'!$P$51</f>
        <v>0</v>
      </c>
      <c r="Q23" s="54">
        <f>SUM($L$23:$P$23)</f>
        <v>0</v>
      </c>
      <c r="R23" s="54">
        <f>'TE BE'!$R$23*'TE BF'!$R$51</f>
        <v>0</v>
      </c>
      <c r="S23" s="54">
        <f>SUM($R$23:$R$23)</f>
        <v>0</v>
      </c>
      <c r="T23" s="54">
        <f>'TE BE'!$T$23*'TE BF'!$T$51</f>
        <v>0</v>
      </c>
      <c r="U23" s="54">
        <f>'TE BE'!$U$23*'TE BF'!$U$51</f>
        <v>0</v>
      </c>
      <c r="V23" s="54">
        <f>'TE BE'!$V$23*'TE BF'!$V$51</f>
        <v>0</v>
      </c>
      <c r="W23" s="54">
        <f>SUM($T$23:$V$23)</f>
        <v>0</v>
      </c>
      <c r="X23" s="54">
        <f>'TE BE'!$AB$23*'TE BF'!$X$51</f>
        <v>0</v>
      </c>
      <c r="Y23" s="54">
        <f>SUM($X$23:$X$23)</f>
        <v>0</v>
      </c>
      <c r="Z23" s="54">
        <f>'TE BE'!$Z$23*'TE BF'!$Z$51</f>
        <v>0</v>
      </c>
      <c r="AA23" s="54">
        <f>SUM($Z$23:$Z$23)</f>
        <v>0</v>
      </c>
      <c r="AB23" s="54">
        <f>SUMIF($L$4:$AA$4,"SUBTOTAL",$L$23:$AA$23)</f>
        <v>0</v>
      </c>
    </row>
    <row r="24" spans="1:28" ht="11.25" customHeight="1" x14ac:dyDescent="0.25">
      <c r="A24" s="120"/>
      <c r="B24" s="120"/>
      <c r="C24" s="120"/>
      <c r="D24" s="120"/>
      <c r="E24" s="120"/>
      <c r="F24" s="120"/>
      <c r="G24" s="57" t="s">
        <v>94</v>
      </c>
      <c r="H24" s="57" t="s">
        <v>82</v>
      </c>
      <c r="I24" s="57">
        <f>'MERCADO TE'!$U$21</f>
        <v>0</v>
      </c>
      <c r="J24" s="15"/>
      <c r="L24" s="54">
        <f>'TE BE'!$L$24*'TE BF'!$L$51</f>
        <v>0</v>
      </c>
      <c r="M24" s="54">
        <f>'TE BE'!$M$24*'TE BF'!$M$51</f>
        <v>0</v>
      </c>
      <c r="N24" s="54">
        <f>'TE BE'!$N$24*'TE BF'!$N$51</f>
        <v>0</v>
      </c>
      <c r="O24" s="54">
        <f>'TE BE'!$O$24*'TE BF'!$O$51</f>
        <v>0</v>
      </c>
      <c r="P24" s="54">
        <f>'TE BE'!$P$24*'TE BF'!$P$51</f>
        <v>0</v>
      </c>
      <c r="Q24" s="54">
        <f>SUM($L$24:$P$24)</f>
        <v>0</v>
      </c>
      <c r="R24" s="54">
        <f>'TE BE'!$R$24*'TE BF'!$R$51</f>
        <v>0</v>
      </c>
      <c r="S24" s="54">
        <f>SUM($R$24:$R$24)</f>
        <v>0</v>
      </c>
      <c r="T24" s="54">
        <f>'TE BE'!$T$24*'TE BF'!$T$51</f>
        <v>0</v>
      </c>
      <c r="U24" s="54">
        <f>'TE BE'!$U$24*'TE BF'!$U$51</f>
        <v>0</v>
      </c>
      <c r="V24" s="54">
        <f>'TE BE'!$V$24*'TE BF'!$V$51</f>
        <v>0</v>
      </c>
      <c r="W24" s="54">
        <f>SUM($T$24:$V$24)</f>
        <v>0</v>
      </c>
      <c r="X24" s="54">
        <f>'TE BE'!$AB$24*'TE BF'!$X$51</f>
        <v>0</v>
      </c>
      <c r="Y24" s="54">
        <f>SUM($X$24:$X$24)</f>
        <v>0</v>
      </c>
      <c r="Z24" s="54">
        <f>'TE BE'!$Z$24*'TE BF'!$Z$51</f>
        <v>0</v>
      </c>
      <c r="AA24" s="54">
        <f>SUM($Z$24:$Z$24)</f>
        <v>0</v>
      </c>
      <c r="AB24" s="54">
        <f>SUMIF($L$4:$AA$4,"SUBTOTAL",$L$24:$AA$24)</f>
        <v>0</v>
      </c>
    </row>
    <row r="25" spans="1:28" ht="11.25" customHeight="1" x14ac:dyDescent="0.25">
      <c r="A25" s="120"/>
      <c r="B25" s="120"/>
      <c r="C25" s="120"/>
      <c r="D25" s="120"/>
      <c r="E25" s="120"/>
      <c r="F25" s="120"/>
      <c r="G25" s="57" t="s">
        <v>84</v>
      </c>
      <c r="H25" s="57" t="s">
        <v>82</v>
      </c>
      <c r="I25" s="57">
        <f>'MERCADO TE'!$U$22</f>
        <v>0</v>
      </c>
      <c r="J25" s="15"/>
      <c r="L25" s="54">
        <f>'TE BE'!$L$25*'TE BF'!$L$51</f>
        <v>0</v>
      </c>
      <c r="M25" s="54">
        <f>'TE BE'!$M$25*'TE BF'!$M$51</f>
        <v>0</v>
      </c>
      <c r="N25" s="54">
        <f>'TE BE'!$N$25*'TE BF'!$N$51</f>
        <v>0</v>
      </c>
      <c r="O25" s="54">
        <f>'TE BE'!$O$25*'TE BF'!$O$51</f>
        <v>0</v>
      </c>
      <c r="P25" s="54">
        <f>'TE BE'!$P$25*'TE BF'!$P$51</f>
        <v>0</v>
      </c>
      <c r="Q25" s="54">
        <f>SUM($L$25:$P$25)</f>
        <v>0</v>
      </c>
      <c r="R25" s="54">
        <f>'TE BE'!$R$25*'TE BF'!$R$51</f>
        <v>0</v>
      </c>
      <c r="S25" s="54">
        <f>SUM($R$25:$R$25)</f>
        <v>0</v>
      </c>
      <c r="T25" s="54">
        <f>'TE BE'!$T$25*'TE BF'!$T$51</f>
        <v>0</v>
      </c>
      <c r="U25" s="54">
        <f>'TE BE'!$U$25*'TE BF'!$U$51</f>
        <v>0</v>
      </c>
      <c r="V25" s="54">
        <f>'TE BE'!$V$25*'TE BF'!$V$51</f>
        <v>0</v>
      </c>
      <c r="W25" s="54">
        <f>SUM($T$25:$V$25)</f>
        <v>0</v>
      </c>
      <c r="X25" s="54">
        <f>'TE BE'!$AB$25*'TE BF'!$X$51</f>
        <v>0</v>
      </c>
      <c r="Y25" s="54">
        <f>SUM($X$25:$X$25)</f>
        <v>0</v>
      </c>
      <c r="Z25" s="54">
        <f>'TE BE'!$Z$25*'TE BF'!$Z$51</f>
        <v>0</v>
      </c>
      <c r="AA25" s="54">
        <f>SUM($Z$25:$Z$25)</f>
        <v>0</v>
      </c>
      <c r="AB25" s="54">
        <f>SUMIF($L$4:$AA$4,"SUBTOTAL",$L$25:$AA$25)</f>
        <v>0</v>
      </c>
    </row>
    <row r="26" spans="1:28" ht="11.25" customHeight="1" x14ac:dyDescent="0.25">
      <c r="A26" s="120"/>
      <c r="B26" s="56" t="s">
        <v>90</v>
      </c>
      <c r="C26" s="56" t="s">
        <v>42</v>
      </c>
      <c r="D26" s="56" t="s">
        <v>25</v>
      </c>
      <c r="E26" s="56" t="s">
        <v>25</v>
      </c>
      <c r="F26" s="56" t="s">
        <v>25</v>
      </c>
      <c r="G26" s="57" t="s">
        <v>88</v>
      </c>
      <c r="H26" s="57" t="s">
        <v>82</v>
      </c>
      <c r="I26" s="57">
        <f>'MERCADO TE'!$U$23</f>
        <v>185983.22399999999</v>
      </c>
      <c r="J26" s="15"/>
      <c r="L26" s="54">
        <f>'TE BE'!$L$26*'TE BF'!$L$51</f>
        <v>0</v>
      </c>
      <c r="M26" s="54">
        <f>'TE BE'!$M$26*'TE BF'!$M$51</f>
        <v>0</v>
      </c>
      <c r="N26" s="54">
        <f>'TE BE'!$N$26*'TE BF'!$N$51</f>
        <v>0</v>
      </c>
      <c r="O26" s="54">
        <f>'TE BE'!$O$26*'TE BF'!$O$51</f>
        <v>0</v>
      </c>
      <c r="P26" s="54">
        <f>'TE BE'!$P$26*'TE BF'!$P$51</f>
        <v>0</v>
      </c>
      <c r="Q26" s="54">
        <f>SUM($L$26:$P$26)</f>
        <v>0</v>
      </c>
      <c r="R26" s="54">
        <f>'TE BE'!$R$26*'TE BF'!$R$51</f>
        <v>0</v>
      </c>
      <c r="S26" s="54">
        <f>SUM($R$26:$R$26)</f>
        <v>0</v>
      </c>
      <c r="T26" s="54">
        <f>'TE BE'!$T$26*'TE BF'!$T$51</f>
        <v>0</v>
      </c>
      <c r="U26" s="54">
        <f>'TE BE'!$U$26*'TE BF'!$U$51</f>
        <v>0</v>
      </c>
      <c r="V26" s="54">
        <f>'TE BE'!$V$26*'TE BF'!$V$51</f>
        <v>0</v>
      </c>
      <c r="W26" s="54">
        <f>SUM($T$26:$V$26)</f>
        <v>0</v>
      </c>
      <c r="X26" s="54">
        <f>'TE BE'!$AB$26*'TE BF'!$X$51</f>
        <v>0</v>
      </c>
      <c r="Y26" s="54">
        <f>SUM($X$26:$X$26)</f>
        <v>0</v>
      </c>
      <c r="Z26" s="54">
        <f>'TE BE'!$Z$26*'TE BF'!$Z$51</f>
        <v>0</v>
      </c>
      <c r="AA26" s="54">
        <f>SUM($Z$26:$Z$26)</f>
        <v>0</v>
      </c>
      <c r="AB26" s="54">
        <f>SUMIF($L$4:$AA$4,"SUBTOTAL",$L$26:$AA$26)</f>
        <v>0</v>
      </c>
    </row>
    <row r="27" spans="1:28" ht="11.25" customHeight="1" x14ac:dyDescent="0.25">
      <c r="A27" s="120"/>
      <c r="B27" s="120" t="s">
        <v>81</v>
      </c>
      <c r="C27" s="120" t="s">
        <v>42</v>
      </c>
      <c r="D27" s="120" t="s">
        <v>98</v>
      </c>
      <c r="E27" s="120" t="s">
        <v>25</v>
      </c>
      <c r="F27" s="120" t="s">
        <v>25</v>
      </c>
      <c r="G27" s="57" t="s">
        <v>83</v>
      </c>
      <c r="H27" s="57" t="s">
        <v>82</v>
      </c>
      <c r="I27" s="57">
        <f>'MERCADO TE'!$U$24</f>
        <v>0</v>
      </c>
      <c r="J27" s="15"/>
      <c r="L27" s="54">
        <f>'TE BE'!$L$27*'TE BF'!$L$51</f>
        <v>0</v>
      </c>
      <c r="M27" s="54">
        <f>'TE BE'!$M$27*'TE BF'!$M$51</f>
        <v>0</v>
      </c>
      <c r="N27" s="54">
        <f>'TE BE'!$N$27*'TE BF'!$N$51</f>
        <v>0</v>
      </c>
      <c r="O27" s="54">
        <f>'TE BE'!$O$27*'TE BF'!$O$51</f>
        <v>0</v>
      </c>
      <c r="P27" s="54">
        <f>'TE BE'!$P$27*'TE BF'!$P$51</f>
        <v>0</v>
      </c>
      <c r="Q27" s="54">
        <f>SUM($L$27:$P$27)</f>
        <v>0</v>
      </c>
      <c r="R27" s="54">
        <f>'TE BE'!$R$27*'TE BF'!$R$51</f>
        <v>0</v>
      </c>
      <c r="S27" s="54">
        <f>SUM($R$27:$R$27)</f>
        <v>0</v>
      </c>
      <c r="T27" s="54">
        <f>'TE BE'!$T$27*'TE BF'!$T$51</f>
        <v>0</v>
      </c>
      <c r="U27" s="54">
        <f>'TE BE'!$U$27*'TE BF'!$U$51</f>
        <v>0</v>
      </c>
      <c r="V27" s="54">
        <f>'TE BE'!$V$27*'TE BF'!$V$51</f>
        <v>0</v>
      </c>
      <c r="W27" s="54">
        <f>SUM($T$27:$V$27)</f>
        <v>0</v>
      </c>
      <c r="X27" s="54">
        <f>'TE BE'!$AB$27*'TE BF'!$X$51</f>
        <v>0</v>
      </c>
      <c r="Y27" s="54">
        <f>SUM($X$27:$X$27)</f>
        <v>0</v>
      </c>
      <c r="Z27" s="54">
        <f>'TE BE'!$Z$27*'TE BF'!$Z$51</f>
        <v>0</v>
      </c>
      <c r="AA27" s="54">
        <f>SUM($Z$27:$Z$27)</f>
        <v>0</v>
      </c>
      <c r="AB27" s="54">
        <f>SUMIF($L$4:$AA$4,"SUBTOTAL",$L$27:$AA$27)</f>
        <v>0</v>
      </c>
    </row>
    <row r="28" spans="1:28" ht="11.25" customHeight="1" x14ac:dyDescent="0.25">
      <c r="A28" s="120"/>
      <c r="B28" s="120"/>
      <c r="C28" s="120"/>
      <c r="D28" s="120"/>
      <c r="E28" s="120"/>
      <c r="F28" s="120"/>
      <c r="G28" s="57" t="s">
        <v>94</v>
      </c>
      <c r="H28" s="57" t="s">
        <v>82</v>
      </c>
      <c r="I28" s="57">
        <f>'MERCADO TE'!$U$25</f>
        <v>0</v>
      </c>
      <c r="J28" s="15"/>
      <c r="L28" s="54">
        <f>'TE BE'!$L$28*'TE BF'!$L$51</f>
        <v>0</v>
      </c>
      <c r="M28" s="54">
        <f>'TE BE'!$M$28*'TE BF'!$M$51</f>
        <v>0</v>
      </c>
      <c r="N28" s="54">
        <f>'TE BE'!$N$28*'TE BF'!$N$51</f>
        <v>0</v>
      </c>
      <c r="O28" s="54">
        <f>'TE BE'!$O$28*'TE BF'!$O$51</f>
        <v>0</v>
      </c>
      <c r="P28" s="54">
        <f>'TE BE'!$P$28*'TE BF'!$P$51</f>
        <v>0</v>
      </c>
      <c r="Q28" s="54">
        <f>SUM($L$28:$P$28)</f>
        <v>0</v>
      </c>
      <c r="R28" s="54">
        <f>'TE BE'!$R$28*'TE BF'!$R$51</f>
        <v>0</v>
      </c>
      <c r="S28" s="54">
        <f>SUM($R$28:$R$28)</f>
        <v>0</v>
      </c>
      <c r="T28" s="54">
        <f>'TE BE'!$T$28*'TE BF'!$T$51</f>
        <v>0</v>
      </c>
      <c r="U28" s="54">
        <f>'TE BE'!$U$28*'TE BF'!$U$51</f>
        <v>0</v>
      </c>
      <c r="V28" s="54">
        <f>'TE BE'!$V$28*'TE BF'!$V$51</f>
        <v>0</v>
      </c>
      <c r="W28" s="54">
        <f>SUM($T$28:$V$28)</f>
        <v>0</v>
      </c>
      <c r="X28" s="54">
        <f>'TE BE'!$AB$28*'TE BF'!$X$51</f>
        <v>0</v>
      </c>
      <c r="Y28" s="54">
        <f>SUM($X$28:$X$28)</f>
        <v>0</v>
      </c>
      <c r="Z28" s="54">
        <f>'TE BE'!$Z$28*'TE BF'!$Z$51</f>
        <v>0</v>
      </c>
      <c r="AA28" s="54">
        <f>SUM($Z$28:$Z$28)</f>
        <v>0</v>
      </c>
      <c r="AB28" s="54">
        <f>SUMIF($L$4:$AA$4,"SUBTOTAL",$L$28:$AA$28)</f>
        <v>0</v>
      </c>
    </row>
    <row r="29" spans="1:28" ht="11.25" customHeight="1" x14ac:dyDescent="0.25">
      <c r="A29" s="120"/>
      <c r="B29" s="120"/>
      <c r="C29" s="120"/>
      <c r="D29" s="120"/>
      <c r="E29" s="120"/>
      <c r="F29" s="120"/>
      <c r="G29" s="57" t="s">
        <v>84</v>
      </c>
      <c r="H29" s="57" t="s">
        <v>82</v>
      </c>
      <c r="I29" s="57">
        <f>'MERCADO TE'!$U$26</f>
        <v>0</v>
      </c>
      <c r="J29" s="15"/>
      <c r="L29" s="54">
        <f>'TE BE'!$L$29*'TE BF'!$L$51</f>
        <v>0</v>
      </c>
      <c r="M29" s="54">
        <f>'TE BE'!$M$29*'TE BF'!$M$51</f>
        <v>0</v>
      </c>
      <c r="N29" s="54">
        <f>'TE BE'!$N$29*'TE BF'!$N$51</f>
        <v>0</v>
      </c>
      <c r="O29" s="54">
        <f>'TE BE'!$O$29*'TE BF'!$O$51</f>
        <v>0</v>
      </c>
      <c r="P29" s="54">
        <f>'TE BE'!$P$29*'TE BF'!$P$51</f>
        <v>0</v>
      </c>
      <c r="Q29" s="54">
        <f>SUM($L$29:$P$29)</f>
        <v>0</v>
      </c>
      <c r="R29" s="54">
        <f>'TE BE'!$R$29*'TE BF'!$R$51</f>
        <v>0</v>
      </c>
      <c r="S29" s="54">
        <f>SUM($R$29:$R$29)</f>
        <v>0</v>
      </c>
      <c r="T29" s="54">
        <f>'TE BE'!$T$29*'TE BF'!$T$51</f>
        <v>0</v>
      </c>
      <c r="U29" s="54">
        <f>'TE BE'!$U$29*'TE BF'!$U$51</f>
        <v>0</v>
      </c>
      <c r="V29" s="54">
        <f>'TE BE'!$V$29*'TE BF'!$V$51</f>
        <v>0</v>
      </c>
      <c r="W29" s="54">
        <f>SUM($T$29:$V$29)</f>
        <v>0</v>
      </c>
      <c r="X29" s="54">
        <f>'TE BE'!$AB$29*'TE BF'!$X$51</f>
        <v>0</v>
      </c>
      <c r="Y29" s="54">
        <f>SUM($X$29:$X$29)</f>
        <v>0</v>
      </c>
      <c r="Z29" s="54">
        <f>'TE BE'!$Z$29*'TE BF'!$Z$51</f>
        <v>0</v>
      </c>
      <c r="AA29" s="54">
        <f>SUM($Z$29:$Z$29)</f>
        <v>0</v>
      </c>
      <c r="AB29" s="54">
        <f>SUMIF($L$4:$AA$4,"SUBTOTAL",$L$29:$AA$29)</f>
        <v>0</v>
      </c>
    </row>
    <row r="30" spans="1:28" ht="11.25" customHeight="1" x14ac:dyDescent="0.25">
      <c r="A30" s="120"/>
      <c r="B30" s="56" t="s">
        <v>90</v>
      </c>
      <c r="C30" s="56" t="s">
        <v>42</v>
      </c>
      <c r="D30" s="56" t="s">
        <v>98</v>
      </c>
      <c r="E30" s="56" t="s">
        <v>25</v>
      </c>
      <c r="F30" s="56" t="s">
        <v>25</v>
      </c>
      <c r="G30" s="57" t="s">
        <v>88</v>
      </c>
      <c r="H30" s="57" t="s">
        <v>82</v>
      </c>
      <c r="I30" s="57">
        <f>'MERCADO TE'!$U$27</f>
        <v>0</v>
      </c>
      <c r="J30" s="15"/>
      <c r="L30" s="54">
        <f>'TE BE'!$L$30*'TE BF'!$L$51</f>
        <v>0</v>
      </c>
      <c r="M30" s="54">
        <f>'TE BE'!$M$30*'TE BF'!$M$51</f>
        <v>0</v>
      </c>
      <c r="N30" s="54">
        <f>'TE BE'!$N$30*'TE BF'!$N$51</f>
        <v>0</v>
      </c>
      <c r="O30" s="54">
        <f>'TE BE'!$O$30*'TE BF'!$O$51</f>
        <v>0</v>
      </c>
      <c r="P30" s="54">
        <f>'TE BE'!$P$30*'TE BF'!$P$51</f>
        <v>0</v>
      </c>
      <c r="Q30" s="54">
        <f>SUM($L$30:$P$30)</f>
        <v>0</v>
      </c>
      <c r="R30" s="54">
        <f>'TE BE'!$R$30*'TE BF'!$R$51</f>
        <v>0</v>
      </c>
      <c r="S30" s="54">
        <f>SUM($R$30:$R$30)</f>
        <v>0</v>
      </c>
      <c r="T30" s="54">
        <f>'TE BE'!$T$30*'TE BF'!$T$51</f>
        <v>0</v>
      </c>
      <c r="U30" s="54">
        <f>'TE BE'!$U$30*'TE BF'!$U$51</f>
        <v>0</v>
      </c>
      <c r="V30" s="54">
        <f>'TE BE'!$V$30*'TE BF'!$V$51</f>
        <v>0</v>
      </c>
      <c r="W30" s="54">
        <f>SUM($T$30:$V$30)</f>
        <v>0</v>
      </c>
      <c r="X30" s="54">
        <f>'TE BE'!$AB$30*'TE BF'!$X$51</f>
        <v>0</v>
      </c>
      <c r="Y30" s="54">
        <f>SUM($X$30:$X$30)</f>
        <v>0</v>
      </c>
      <c r="Z30" s="54">
        <f>'TE BE'!$Z$30*'TE BF'!$Z$51</f>
        <v>0</v>
      </c>
      <c r="AA30" s="54">
        <f>SUM($Z$30:$Z$30)</f>
        <v>0</v>
      </c>
      <c r="AB30" s="54">
        <f>SUMIF($L$4:$AA$4,"SUBTOTAL",$L$30:$AA$30)</f>
        <v>0</v>
      </c>
    </row>
    <row r="31" spans="1:28" ht="11.25" customHeight="1" x14ac:dyDescent="0.25">
      <c r="A31" s="120"/>
      <c r="B31" s="120" t="s">
        <v>81</v>
      </c>
      <c r="C31" s="120" t="s">
        <v>42</v>
      </c>
      <c r="D31" s="120" t="s">
        <v>99</v>
      </c>
      <c r="E31" s="120" t="s">
        <v>25</v>
      </c>
      <c r="F31" s="120" t="s">
        <v>25</v>
      </c>
      <c r="G31" s="57" t="s">
        <v>83</v>
      </c>
      <c r="H31" s="57" t="s">
        <v>82</v>
      </c>
      <c r="I31" s="57">
        <f>'MERCADO TE'!$U$28</f>
        <v>0</v>
      </c>
      <c r="J31" s="15"/>
      <c r="L31" s="54">
        <f>'TE BE'!$L$31*'TE BF'!$L$51</f>
        <v>0</v>
      </c>
      <c r="M31" s="54">
        <f>'TE BE'!$M$31*'TE BF'!$M$51</f>
        <v>0</v>
      </c>
      <c r="N31" s="54">
        <f>'TE BE'!$N$31*'TE BF'!$N$51</f>
        <v>0</v>
      </c>
      <c r="O31" s="54">
        <f>'TE BE'!$O$31*'TE BF'!$O$51</f>
        <v>0</v>
      </c>
      <c r="P31" s="54">
        <f>'TE BE'!$P$31*'TE BF'!$P$51</f>
        <v>0</v>
      </c>
      <c r="Q31" s="54">
        <f>SUM($L$31:$P$31)</f>
        <v>0</v>
      </c>
      <c r="R31" s="54">
        <f>'TE BE'!$R$31*'TE BF'!$R$51</f>
        <v>0</v>
      </c>
      <c r="S31" s="54">
        <f>SUM($R$31:$R$31)</f>
        <v>0</v>
      </c>
      <c r="T31" s="54">
        <f>'TE BE'!$T$31*'TE BF'!$T$51</f>
        <v>0</v>
      </c>
      <c r="U31" s="54">
        <f>'TE BE'!$U$31*'TE BF'!$U$51</f>
        <v>0</v>
      </c>
      <c r="V31" s="54">
        <f>'TE BE'!$V$31*'TE BF'!$V$51</f>
        <v>0</v>
      </c>
      <c r="W31" s="54">
        <f>SUM($T$31:$V$31)</f>
        <v>0</v>
      </c>
      <c r="X31" s="54">
        <f>'TE BE'!$AB$31*'TE BF'!$X$51</f>
        <v>0</v>
      </c>
      <c r="Y31" s="54">
        <f>SUM($X$31:$X$31)</f>
        <v>0</v>
      </c>
      <c r="Z31" s="54">
        <f>'TE BE'!$Z$31*'TE BF'!$Z$51</f>
        <v>0</v>
      </c>
      <c r="AA31" s="54">
        <f>SUM($Z$31:$Z$31)</f>
        <v>0</v>
      </c>
      <c r="AB31" s="54">
        <f>SUMIF($L$4:$AA$4,"SUBTOTAL",$L$31:$AA$31)</f>
        <v>0</v>
      </c>
    </row>
    <row r="32" spans="1:28" ht="11.25" customHeight="1" x14ac:dyDescent="0.25">
      <c r="A32" s="120"/>
      <c r="B32" s="120"/>
      <c r="C32" s="120"/>
      <c r="D32" s="120"/>
      <c r="E32" s="120"/>
      <c r="F32" s="120"/>
      <c r="G32" s="57" t="s">
        <v>94</v>
      </c>
      <c r="H32" s="57" t="s">
        <v>82</v>
      </c>
      <c r="I32" s="57">
        <f>'MERCADO TE'!$U$29</f>
        <v>0</v>
      </c>
      <c r="J32" s="15"/>
      <c r="L32" s="54">
        <f>'TE BE'!$L$32*'TE BF'!$L$51</f>
        <v>0</v>
      </c>
      <c r="M32" s="54">
        <f>'TE BE'!$M$32*'TE BF'!$M$51</f>
        <v>0</v>
      </c>
      <c r="N32" s="54">
        <f>'TE BE'!$N$32*'TE BF'!$N$51</f>
        <v>0</v>
      </c>
      <c r="O32" s="54">
        <f>'TE BE'!$O$32*'TE BF'!$O$51</f>
        <v>0</v>
      </c>
      <c r="P32" s="54">
        <f>'TE BE'!$P$32*'TE BF'!$P$51</f>
        <v>0</v>
      </c>
      <c r="Q32" s="54">
        <f>SUM($L$32:$P$32)</f>
        <v>0</v>
      </c>
      <c r="R32" s="54">
        <f>'TE BE'!$R$32*'TE BF'!$R$51</f>
        <v>0</v>
      </c>
      <c r="S32" s="54">
        <f>SUM($R$32:$R$32)</f>
        <v>0</v>
      </c>
      <c r="T32" s="54">
        <f>'TE BE'!$T$32*'TE BF'!$T$51</f>
        <v>0</v>
      </c>
      <c r="U32" s="54">
        <f>'TE BE'!$U$32*'TE BF'!$U$51</f>
        <v>0</v>
      </c>
      <c r="V32" s="54">
        <f>'TE BE'!$V$32*'TE BF'!$V$51</f>
        <v>0</v>
      </c>
      <c r="W32" s="54">
        <f>SUM($T$32:$V$32)</f>
        <v>0</v>
      </c>
      <c r="X32" s="54">
        <f>'TE BE'!$AB$32*'TE BF'!$X$51</f>
        <v>0</v>
      </c>
      <c r="Y32" s="54">
        <f>SUM($X$32:$X$32)</f>
        <v>0</v>
      </c>
      <c r="Z32" s="54">
        <f>'TE BE'!$Z$32*'TE BF'!$Z$51</f>
        <v>0</v>
      </c>
      <c r="AA32" s="54">
        <f>SUM($Z$32:$Z$32)</f>
        <v>0</v>
      </c>
      <c r="AB32" s="54">
        <f>SUMIF($L$4:$AA$4,"SUBTOTAL",$L$32:$AA$32)</f>
        <v>0</v>
      </c>
    </row>
    <row r="33" spans="1:28" ht="11.25" customHeight="1" x14ac:dyDescent="0.25">
      <c r="A33" s="120"/>
      <c r="B33" s="120"/>
      <c r="C33" s="120"/>
      <c r="D33" s="120"/>
      <c r="E33" s="120"/>
      <c r="F33" s="120"/>
      <c r="G33" s="57" t="s">
        <v>84</v>
      </c>
      <c r="H33" s="57" t="s">
        <v>82</v>
      </c>
      <c r="I33" s="57">
        <f>'MERCADO TE'!$U$30</f>
        <v>0</v>
      </c>
      <c r="J33" s="15"/>
      <c r="L33" s="54">
        <f>'TE BE'!$L$33*'TE BF'!$L$51</f>
        <v>0</v>
      </c>
      <c r="M33" s="54">
        <f>'TE BE'!$M$33*'TE BF'!$M$51</f>
        <v>0</v>
      </c>
      <c r="N33" s="54">
        <f>'TE BE'!$N$33*'TE BF'!$N$51</f>
        <v>0</v>
      </c>
      <c r="O33" s="54">
        <f>'TE BE'!$O$33*'TE BF'!$O$51</f>
        <v>0</v>
      </c>
      <c r="P33" s="54">
        <f>'TE BE'!$P$33*'TE BF'!$P$51</f>
        <v>0</v>
      </c>
      <c r="Q33" s="54">
        <f>SUM($L$33:$P$33)</f>
        <v>0</v>
      </c>
      <c r="R33" s="54">
        <f>'TE BE'!$R$33*'TE BF'!$R$51</f>
        <v>0</v>
      </c>
      <c r="S33" s="54">
        <f>SUM($R$33:$R$33)</f>
        <v>0</v>
      </c>
      <c r="T33" s="54">
        <f>'TE BE'!$T$33*'TE BF'!$T$51</f>
        <v>0</v>
      </c>
      <c r="U33" s="54">
        <f>'TE BE'!$U$33*'TE BF'!$U$51</f>
        <v>0</v>
      </c>
      <c r="V33" s="54">
        <f>'TE BE'!$V$33*'TE BF'!$V$51</f>
        <v>0</v>
      </c>
      <c r="W33" s="54">
        <f>SUM($T$33:$V$33)</f>
        <v>0</v>
      </c>
      <c r="X33" s="54">
        <f>'TE BE'!$AB$33*'TE BF'!$X$51</f>
        <v>0</v>
      </c>
      <c r="Y33" s="54">
        <f>SUM($X$33:$X$33)</f>
        <v>0</v>
      </c>
      <c r="Z33" s="54">
        <f>'TE BE'!$Z$33*'TE BF'!$Z$51</f>
        <v>0</v>
      </c>
      <c r="AA33" s="54">
        <f>SUM($Z$33:$Z$33)</f>
        <v>0</v>
      </c>
      <c r="AB33" s="54">
        <f>SUMIF($L$4:$AA$4,"SUBTOTAL",$L$33:$AA$33)</f>
        <v>0</v>
      </c>
    </row>
    <row r="34" spans="1:28" ht="11.25" customHeight="1" x14ac:dyDescent="0.25">
      <c r="A34" s="120"/>
      <c r="B34" s="56" t="s">
        <v>90</v>
      </c>
      <c r="C34" s="56" t="s">
        <v>42</v>
      </c>
      <c r="D34" s="56" t="s">
        <v>99</v>
      </c>
      <c r="E34" s="56" t="s">
        <v>25</v>
      </c>
      <c r="F34" s="56" t="s">
        <v>25</v>
      </c>
      <c r="G34" s="57" t="s">
        <v>88</v>
      </c>
      <c r="H34" s="57" t="s">
        <v>82</v>
      </c>
      <c r="I34" s="57">
        <f>'MERCADO TE'!$U$31</f>
        <v>0</v>
      </c>
      <c r="J34" s="15"/>
      <c r="L34" s="54">
        <f>'TE BE'!$L$34*'TE BF'!$L$51</f>
        <v>0</v>
      </c>
      <c r="M34" s="54">
        <f>'TE BE'!$M$34*'TE BF'!$M$51</f>
        <v>0</v>
      </c>
      <c r="N34" s="54">
        <f>'TE BE'!$N$34*'TE BF'!$N$51</f>
        <v>0</v>
      </c>
      <c r="O34" s="54">
        <f>'TE BE'!$O$34*'TE BF'!$O$51</f>
        <v>0</v>
      </c>
      <c r="P34" s="54">
        <f>'TE BE'!$P$34*'TE BF'!$P$51</f>
        <v>0</v>
      </c>
      <c r="Q34" s="54">
        <f>SUM($L$34:$P$34)</f>
        <v>0</v>
      </c>
      <c r="R34" s="54">
        <f>'TE BE'!$R$34*'TE BF'!$R$51</f>
        <v>0</v>
      </c>
      <c r="S34" s="54">
        <f>SUM($R$34:$R$34)</f>
        <v>0</v>
      </c>
      <c r="T34" s="54">
        <f>'TE BE'!$T$34*'TE BF'!$T$51</f>
        <v>0</v>
      </c>
      <c r="U34" s="54">
        <f>'TE BE'!$U$34*'TE BF'!$U$51</f>
        <v>0</v>
      </c>
      <c r="V34" s="54">
        <f>'TE BE'!$V$34*'TE BF'!$V$51</f>
        <v>0</v>
      </c>
      <c r="W34" s="54">
        <f>SUM($T$34:$V$34)</f>
        <v>0</v>
      </c>
      <c r="X34" s="54">
        <f>'TE BE'!$AB$34*'TE BF'!$X$51</f>
        <v>0</v>
      </c>
      <c r="Y34" s="54">
        <f>SUM($X$34:$X$34)</f>
        <v>0</v>
      </c>
      <c r="Z34" s="54">
        <f>'TE BE'!$Z$34*'TE BF'!$Z$51</f>
        <v>0</v>
      </c>
      <c r="AA34" s="54">
        <f>SUM($Z$34:$Z$34)</f>
        <v>0</v>
      </c>
      <c r="AB34" s="54">
        <f>SUMIF($L$4:$AA$4,"SUBTOTAL",$L$34:$AA$34)</f>
        <v>0</v>
      </c>
    </row>
    <row r="35" spans="1:28" ht="11.25" customHeight="1" x14ac:dyDescent="0.25">
      <c r="A35" s="120"/>
      <c r="B35" s="120" t="s">
        <v>96</v>
      </c>
      <c r="C35" s="120" t="s">
        <v>42</v>
      </c>
      <c r="D35" s="56" t="s">
        <v>25</v>
      </c>
      <c r="E35" s="56" t="s">
        <v>25</v>
      </c>
      <c r="F35" s="56" t="s">
        <v>25</v>
      </c>
      <c r="G35" s="57" t="s">
        <v>88</v>
      </c>
      <c r="H35" s="57" t="s">
        <v>82</v>
      </c>
      <c r="I35" s="57">
        <f>'MERCADO TE'!$U$32</f>
        <v>0</v>
      </c>
      <c r="J35" s="15"/>
      <c r="L35" s="54">
        <f>'TE BE'!$L$35*'TE BF'!$L$51</f>
        <v>0</v>
      </c>
      <c r="M35" s="54">
        <f>'TE BE'!$M$35*'TE BF'!$M$51</f>
        <v>0</v>
      </c>
      <c r="N35" s="54">
        <f>'TE BE'!$N$35*'TE BF'!$N$51</f>
        <v>0</v>
      </c>
      <c r="O35" s="54">
        <f>'TE BE'!$O$35*'TE BF'!$O$51</f>
        <v>0</v>
      </c>
      <c r="P35" s="54">
        <f>'TE BE'!$P$35*'TE BF'!$P$51</f>
        <v>0</v>
      </c>
      <c r="Q35" s="54">
        <f>SUM($L$35:$P$35)</f>
        <v>0</v>
      </c>
      <c r="R35" s="54">
        <f>'TE BE'!$R$35*'TE BF'!$R$51</f>
        <v>0</v>
      </c>
      <c r="S35" s="54">
        <f>SUM($R$35:$R$35)</f>
        <v>0</v>
      </c>
      <c r="T35" s="54">
        <f>'TE BE'!$T$35*'TE BF'!$T$51</f>
        <v>0</v>
      </c>
      <c r="U35" s="54">
        <f>'TE BE'!$U$35*'TE BF'!$U$51</f>
        <v>0</v>
      </c>
      <c r="V35" s="54">
        <f>'TE BE'!$V$35*'TE BF'!$V$51</f>
        <v>0</v>
      </c>
      <c r="W35" s="54">
        <f>SUM($T$35:$V$35)</f>
        <v>0</v>
      </c>
      <c r="X35" s="54">
        <f>'TE BE'!$AB$35*'TE BF'!$X$51</f>
        <v>0</v>
      </c>
      <c r="Y35" s="54">
        <f>SUM($X$35:$X$35)</f>
        <v>0</v>
      </c>
      <c r="Z35" s="54">
        <f>'TE BE'!$Z$35*'TE BF'!$Z$51</f>
        <v>0</v>
      </c>
      <c r="AA35" s="54">
        <f>SUM($Z$35:$Z$35)</f>
        <v>0</v>
      </c>
      <c r="AB35" s="54">
        <f>SUMIF($L$4:$AA$4,"SUBTOTAL",$L$35:$AA$35)</f>
        <v>0</v>
      </c>
    </row>
    <row r="36" spans="1:28" ht="11.25" customHeight="1" x14ac:dyDescent="0.25">
      <c r="A36" s="120"/>
      <c r="B36" s="120"/>
      <c r="C36" s="120"/>
      <c r="D36" s="56" t="s">
        <v>98</v>
      </c>
      <c r="E36" s="56" t="s">
        <v>25</v>
      </c>
      <c r="F36" s="56" t="s">
        <v>25</v>
      </c>
      <c r="G36" s="57" t="s">
        <v>88</v>
      </c>
      <c r="H36" s="57" t="s">
        <v>82</v>
      </c>
      <c r="I36" s="57">
        <f>'MERCADO TE'!$U$33</f>
        <v>0</v>
      </c>
      <c r="J36" s="15"/>
      <c r="L36" s="54">
        <f>'TE BE'!$L$36*'TE BF'!$L$51</f>
        <v>0</v>
      </c>
      <c r="M36" s="54">
        <f>'TE BE'!$M$36*'TE BF'!$M$51</f>
        <v>0</v>
      </c>
      <c r="N36" s="54">
        <f>'TE BE'!$N$36*'TE BF'!$N$51</f>
        <v>0</v>
      </c>
      <c r="O36" s="54">
        <f>'TE BE'!$O$36*'TE BF'!$O$51</f>
        <v>0</v>
      </c>
      <c r="P36" s="54">
        <f>'TE BE'!$P$36*'TE BF'!$P$51</f>
        <v>0</v>
      </c>
      <c r="Q36" s="54">
        <f>SUM($L$36:$P$36)</f>
        <v>0</v>
      </c>
      <c r="R36" s="54">
        <f>'TE BE'!$R$36*'TE BF'!$R$51</f>
        <v>0</v>
      </c>
      <c r="S36" s="54">
        <f>SUM($R$36:$R$36)</f>
        <v>0</v>
      </c>
      <c r="T36" s="54">
        <f>'TE BE'!$T$36*'TE BF'!$T$51</f>
        <v>0</v>
      </c>
      <c r="U36" s="54">
        <f>'TE BE'!$U$36*'TE BF'!$U$51</f>
        <v>0</v>
      </c>
      <c r="V36" s="54">
        <f>'TE BE'!$V$36*'TE BF'!$V$51</f>
        <v>0</v>
      </c>
      <c r="W36" s="54">
        <f>SUM($T$36:$V$36)</f>
        <v>0</v>
      </c>
      <c r="X36" s="54">
        <f>'TE BE'!$AB$36*'TE BF'!$X$51</f>
        <v>0</v>
      </c>
      <c r="Y36" s="54">
        <f>SUM($X$36:$X$36)</f>
        <v>0</v>
      </c>
      <c r="Z36" s="54">
        <f>'TE BE'!$Z$36*'TE BF'!$Z$51</f>
        <v>0</v>
      </c>
      <c r="AA36" s="54">
        <f>SUM($Z$36:$Z$36)</f>
        <v>0</v>
      </c>
      <c r="AB36" s="54">
        <f>SUMIF($L$4:$AA$4,"SUBTOTAL",$L$36:$AA$36)</f>
        <v>0</v>
      </c>
    </row>
    <row r="37" spans="1:28" ht="11.25" customHeight="1" x14ac:dyDescent="0.25">
      <c r="A37" s="120"/>
      <c r="B37" s="120"/>
      <c r="C37" s="120"/>
      <c r="D37" s="56" t="s">
        <v>99</v>
      </c>
      <c r="E37" s="56" t="s">
        <v>25</v>
      </c>
      <c r="F37" s="56" t="s">
        <v>25</v>
      </c>
      <c r="G37" s="57" t="s">
        <v>88</v>
      </c>
      <c r="H37" s="57" t="s">
        <v>82</v>
      </c>
      <c r="I37" s="57">
        <f>'MERCADO TE'!$U$34</f>
        <v>0</v>
      </c>
      <c r="J37" s="15"/>
      <c r="L37" s="54">
        <f>'TE BE'!$L$37*'TE BF'!$L$51</f>
        <v>0</v>
      </c>
      <c r="M37" s="54">
        <f>'TE BE'!$M$37*'TE BF'!$M$51</f>
        <v>0</v>
      </c>
      <c r="N37" s="54">
        <f>'TE BE'!$N$37*'TE BF'!$N$51</f>
        <v>0</v>
      </c>
      <c r="O37" s="54">
        <f>'TE BE'!$O$37*'TE BF'!$O$51</f>
        <v>0</v>
      </c>
      <c r="P37" s="54">
        <f>'TE BE'!$P$37*'TE BF'!$P$51</f>
        <v>0</v>
      </c>
      <c r="Q37" s="54">
        <f>SUM($L$37:$P$37)</f>
        <v>0</v>
      </c>
      <c r="R37" s="54">
        <f>'TE BE'!$R$37*'TE BF'!$R$51</f>
        <v>0</v>
      </c>
      <c r="S37" s="54">
        <f>SUM($R$37:$R$37)</f>
        <v>0</v>
      </c>
      <c r="T37" s="54">
        <f>'TE BE'!$T$37*'TE BF'!$T$51</f>
        <v>0</v>
      </c>
      <c r="U37" s="54">
        <f>'TE BE'!$U$37*'TE BF'!$U$51</f>
        <v>0</v>
      </c>
      <c r="V37" s="54">
        <f>'TE BE'!$V$37*'TE BF'!$V$51</f>
        <v>0</v>
      </c>
      <c r="W37" s="54">
        <f>SUM($T$37:$V$37)</f>
        <v>0</v>
      </c>
      <c r="X37" s="54">
        <f>'TE BE'!$AB$37*'TE BF'!$X$51</f>
        <v>0</v>
      </c>
      <c r="Y37" s="54">
        <f>SUM($X$37:$X$37)</f>
        <v>0</v>
      </c>
      <c r="Z37" s="54">
        <f>'TE BE'!$Z$37*'TE BF'!$Z$51</f>
        <v>0</v>
      </c>
      <c r="AA37" s="54">
        <f>SUM($Z$37:$Z$37)</f>
        <v>0</v>
      </c>
      <c r="AB37" s="54">
        <f>SUMIF($L$4:$AA$4,"SUBTOTAL",$L$37:$AA$37)</f>
        <v>0</v>
      </c>
    </row>
    <row r="38" spans="1:28" ht="11.25" customHeight="1" x14ac:dyDescent="0.25">
      <c r="A38" s="120" t="s">
        <v>33</v>
      </c>
      <c r="B38" s="120" t="s">
        <v>81</v>
      </c>
      <c r="C38" s="120" t="s">
        <v>25</v>
      </c>
      <c r="D38" s="120" t="s">
        <v>25</v>
      </c>
      <c r="E38" s="120" t="s">
        <v>25</v>
      </c>
      <c r="F38" s="120" t="s">
        <v>25</v>
      </c>
      <c r="G38" s="57" t="s">
        <v>83</v>
      </c>
      <c r="H38" s="57" t="s">
        <v>82</v>
      </c>
      <c r="I38" s="57">
        <f>'MERCADO TE'!$U$35</f>
        <v>0</v>
      </c>
      <c r="J38" s="15"/>
      <c r="L38" s="54">
        <f>'TE BE'!$L$38*'TE BF'!$L$51</f>
        <v>0</v>
      </c>
      <c r="M38" s="54">
        <f>'TE BE'!$M$38*'TE BF'!$M$51</f>
        <v>0</v>
      </c>
      <c r="N38" s="54">
        <f>'TE BE'!$N$38*'TE BF'!$N$51</f>
        <v>0</v>
      </c>
      <c r="O38" s="54">
        <f>'TE BE'!$O$38*'TE BF'!$O$51</f>
        <v>0</v>
      </c>
      <c r="P38" s="54">
        <f>'TE BE'!$P$38*'TE BF'!$P$51</f>
        <v>0</v>
      </c>
      <c r="Q38" s="54">
        <f>SUM($L$38:$P$38)</f>
        <v>0</v>
      </c>
      <c r="R38" s="54">
        <f>'TE BE'!$R$38*'TE BF'!$R$51</f>
        <v>0</v>
      </c>
      <c r="S38" s="54">
        <f>SUM($R$38:$R$38)</f>
        <v>0</v>
      </c>
      <c r="T38" s="54">
        <f>'TE BE'!$T$38*'TE BF'!$T$51</f>
        <v>0</v>
      </c>
      <c r="U38" s="54">
        <f>'TE BE'!$U$38*'TE BF'!$U$51</f>
        <v>0</v>
      </c>
      <c r="V38" s="54">
        <f>'TE BE'!$V$38*'TE BF'!$V$51</f>
        <v>0</v>
      </c>
      <c r="W38" s="54">
        <f>SUM($T$38:$V$38)</f>
        <v>0</v>
      </c>
      <c r="X38" s="54">
        <f>'TE BE'!$AB$38*'TE BF'!$X$51</f>
        <v>0</v>
      </c>
      <c r="Y38" s="54">
        <f>SUM($X$38:$X$38)</f>
        <v>0</v>
      </c>
      <c r="Z38" s="54">
        <f>'TE BE'!$Z$38*'TE BF'!$Z$51</f>
        <v>0</v>
      </c>
      <c r="AA38" s="54">
        <f>SUM($Z$38:$Z$38)</f>
        <v>0</v>
      </c>
      <c r="AB38" s="54">
        <f>SUMIF($L$4:$AA$4,"SUBTOTAL",$L$38:$AA$38)</f>
        <v>0</v>
      </c>
    </row>
    <row r="39" spans="1:28" ht="11.25" customHeight="1" x14ac:dyDescent="0.25">
      <c r="A39" s="120"/>
      <c r="B39" s="120"/>
      <c r="C39" s="120"/>
      <c r="D39" s="120"/>
      <c r="E39" s="120"/>
      <c r="F39" s="120"/>
      <c r="G39" s="57" t="s">
        <v>94</v>
      </c>
      <c r="H39" s="57" t="s">
        <v>82</v>
      </c>
      <c r="I39" s="57">
        <f>'MERCADO TE'!$U$36</f>
        <v>0</v>
      </c>
      <c r="J39" s="15"/>
      <c r="L39" s="54">
        <f>'TE BE'!$L$39*'TE BF'!$L$51</f>
        <v>0</v>
      </c>
      <c r="M39" s="54">
        <f>'TE BE'!$M$39*'TE BF'!$M$51</f>
        <v>0</v>
      </c>
      <c r="N39" s="54">
        <f>'TE BE'!$N$39*'TE BF'!$N$51</f>
        <v>0</v>
      </c>
      <c r="O39" s="54">
        <f>'TE BE'!$O$39*'TE BF'!$O$51</f>
        <v>0</v>
      </c>
      <c r="P39" s="54">
        <f>'TE BE'!$P$39*'TE BF'!$P$51</f>
        <v>0</v>
      </c>
      <c r="Q39" s="54">
        <f>SUM($L$39:$P$39)</f>
        <v>0</v>
      </c>
      <c r="R39" s="54">
        <f>'TE BE'!$R$39*'TE BF'!$R$51</f>
        <v>0</v>
      </c>
      <c r="S39" s="54">
        <f>SUM($R$39:$R$39)</f>
        <v>0</v>
      </c>
      <c r="T39" s="54">
        <f>'TE BE'!$T$39*'TE BF'!$T$51</f>
        <v>0</v>
      </c>
      <c r="U39" s="54">
        <f>'TE BE'!$U$39*'TE BF'!$U$51</f>
        <v>0</v>
      </c>
      <c r="V39" s="54">
        <f>'TE BE'!$V$39*'TE BF'!$V$51</f>
        <v>0</v>
      </c>
      <c r="W39" s="54">
        <f>SUM($T$39:$V$39)</f>
        <v>0</v>
      </c>
      <c r="X39" s="54">
        <f>'TE BE'!$AB$39*'TE BF'!$X$51</f>
        <v>0</v>
      </c>
      <c r="Y39" s="54">
        <f>SUM($X$39:$X$39)</f>
        <v>0</v>
      </c>
      <c r="Z39" s="54">
        <f>'TE BE'!$Z$39*'TE BF'!$Z$51</f>
        <v>0</v>
      </c>
      <c r="AA39" s="54">
        <f>SUM($Z$39:$Z$39)</f>
        <v>0</v>
      </c>
      <c r="AB39" s="54">
        <f>SUMIF($L$4:$AA$4,"SUBTOTAL",$L$39:$AA$39)</f>
        <v>0</v>
      </c>
    </row>
    <row r="40" spans="1:28" ht="11.25" customHeight="1" x14ac:dyDescent="0.25">
      <c r="A40" s="120"/>
      <c r="B40" s="120"/>
      <c r="C40" s="120"/>
      <c r="D40" s="120"/>
      <c r="E40" s="120"/>
      <c r="F40" s="120"/>
      <c r="G40" s="57" t="s">
        <v>84</v>
      </c>
      <c r="H40" s="57" t="s">
        <v>82</v>
      </c>
      <c r="I40" s="57">
        <f>'MERCADO TE'!$U$37</f>
        <v>0</v>
      </c>
      <c r="J40" s="15"/>
      <c r="L40" s="54">
        <f>'TE BE'!$L$40*'TE BF'!$L$51</f>
        <v>0</v>
      </c>
      <c r="M40" s="54">
        <f>'TE BE'!$M$40*'TE BF'!$M$51</f>
        <v>0</v>
      </c>
      <c r="N40" s="54">
        <f>'TE BE'!$N$40*'TE BF'!$N$51</f>
        <v>0</v>
      </c>
      <c r="O40" s="54">
        <f>'TE BE'!$O$40*'TE BF'!$O$51</f>
        <v>0</v>
      </c>
      <c r="P40" s="54">
        <f>'TE BE'!$P$40*'TE BF'!$P$51</f>
        <v>0</v>
      </c>
      <c r="Q40" s="54">
        <f>SUM($L$40:$P$40)</f>
        <v>0</v>
      </c>
      <c r="R40" s="54">
        <f>'TE BE'!$R$40*'TE BF'!$R$51</f>
        <v>0</v>
      </c>
      <c r="S40" s="54">
        <f>SUM($R$40:$R$40)</f>
        <v>0</v>
      </c>
      <c r="T40" s="54">
        <f>'TE BE'!$T$40*'TE BF'!$T$51</f>
        <v>0</v>
      </c>
      <c r="U40" s="54">
        <f>'TE BE'!$U$40*'TE BF'!$U$51</f>
        <v>0</v>
      </c>
      <c r="V40" s="54">
        <f>'TE BE'!$V$40*'TE BF'!$V$51</f>
        <v>0</v>
      </c>
      <c r="W40" s="54">
        <f>SUM($T$40:$V$40)</f>
        <v>0</v>
      </c>
      <c r="X40" s="54">
        <f>'TE BE'!$AB$40*'TE BF'!$X$51</f>
        <v>0</v>
      </c>
      <c r="Y40" s="54">
        <f>SUM($X$40:$X$40)</f>
        <v>0</v>
      </c>
      <c r="Z40" s="54">
        <f>'TE BE'!$Z$40*'TE BF'!$Z$51</f>
        <v>0</v>
      </c>
      <c r="AA40" s="54">
        <f>SUM($Z$40:$Z$40)</f>
        <v>0</v>
      </c>
      <c r="AB40" s="54">
        <f>SUMIF($L$4:$AA$4,"SUBTOTAL",$L$40:$AA$40)</f>
        <v>0</v>
      </c>
    </row>
    <row r="41" spans="1:28" ht="11.25" customHeight="1" x14ac:dyDescent="0.25">
      <c r="A41" s="120"/>
      <c r="B41" s="56" t="s">
        <v>90</v>
      </c>
      <c r="C41" s="56" t="s">
        <v>25</v>
      </c>
      <c r="D41" s="56" t="s">
        <v>25</v>
      </c>
      <c r="E41" s="56" t="s">
        <v>25</v>
      </c>
      <c r="F41" s="56" t="s">
        <v>25</v>
      </c>
      <c r="G41" s="57" t="s">
        <v>88</v>
      </c>
      <c r="H41" s="57" t="s">
        <v>82</v>
      </c>
      <c r="I41" s="57">
        <f>'MERCADO TE'!$U$38</f>
        <v>28646.591999999997</v>
      </c>
      <c r="J41" s="15"/>
      <c r="L41" s="54">
        <f>'TE BE'!$L$41*'TE BF'!$L$51</f>
        <v>0</v>
      </c>
      <c r="M41" s="54">
        <f>'TE BE'!$M$41*'TE BF'!$M$51</f>
        <v>0</v>
      </c>
      <c r="N41" s="54">
        <f>'TE BE'!$N$41*'TE BF'!$N$51</f>
        <v>0</v>
      </c>
      <c r="O41" s="54">
        <f>'TE BE'!$O$41*'TE BF'!$O$51</f>
        <v>0</v>
      </c>
      <c r="P41" s="54">
        <f>'TE BE'!$P$41*'TE BF'!$P$51</f>
        <v>0</v>
      </c>
      <c r="Q41" s="54">
        <f>SUM($L$41:$P$41)</f>
        <v>0</v>
      </c>
      <c r="R41" s="54">
        <f>'TE BE'!$R$41*'TE BF'!$R$51</f>
        <v>0</v>
      </c>
      <c r="S41" s="54">
        <f>SUM($R$41:$R$41)</f>
        <v>0</v>
      </c>
      <c r="T41" s="54">
        <f>'TE BE'!$T$41*'TE BF'!$T$51</f>
        <v>0</v>
      </c>
      <c r="U41" s="54">
        <f>'TE BE'!$U$41*'TE BF'!$U$51</f>
        <v>0</v>
      </c>
      <c r="V41" s="54">
        <f>'TE BE'!$V$41*'TE BF'!$V$51</f>
        <v>0</v>
      </c>
      <c r="W41" s="54">
        <f>SUM($T$41:$V$41)</f>
        <v>0</v>
      </c>
      <c r="X41" s="54">
        <f>'TE BE'!$AB$41*'TE BF'!$X$51</f>
        <v>0</v>
      </c>
      <c r="Y41" s="54">
        <f>SUM($X$41:$X$41)</f>
        <v>0</v>
      </c>
      <c r="Z41" s="54">
        <f>'TE BE'!$Z$41*'TE BF'!$Z$51</f>
        <v>0</v>
      </c>
      <c r="AA41" s="54">
        <f>SUM($Z$41:$Z$41)</f>
        <v>0</v>
      </c>
      <c r="AB41" s="54">
        <f>SUMIF($L$4:$AA$4,"SUBTOTAL",$L$41:$AA$41)</f>
        <v>0</v>
      </c>
    </row>
    <row r="42" spans="1:28" ht="11.25" customHeight="1" x14ac:dyDescent="0.25">
      <c r="A42" s="120"/>
      <c r="B42" s="56" t="s">
        <v>96</v>
      </c>
      <c r="C42" s="56" t="s">
        <v>25</v>
      </c>
      <c r="D42" s="56" t="s">
        <v>25</v>
      </c>
      <c r="E42" s="56" t="s">
        <v>25</v>
      </c>
      <c r="F42" s="56" t="s">
        <v>25</v>
      </c>
      <c r="G42" s="57" t="s">
        <v>88</v>
      </c>
      <c r="H42" s="57" t="s">
        <v>82</v>
      </c>
      <c r="I42" s="57">
        <f>'MERCADO TE'!$U$39</f>
        <v>0</v>
      </c>
      <c r="J42" s="15"/>
      <c r="L42" s="54">
        <f>'TE BE'!$L$42*'TE BF'!$L$51</f>
        <v>0</v>
      </c>
      <c r="M42" s="54">
        <f>'TE BE'!$M$42*'TE BF'!$M$51</f>
        <v>0</v>
      </c>
      <c r="N42" s="54">
        <f>'TE BE'!$N$42*'TE BF'!$N$51</f>
        <v>0</v>
      </c>
      <c r="O42" s="54">
        <f>'TE BE'!$O$42*'TE BF'!$O$51</f>
        <v>0</v>
      </c>
      <c r="P42" s="54">
        <f>'TE BE'!$P$42*'TE BF'!$P$51</f>
        <v>0</v>
      </c>
      <c r="Q42" s="54">
        <f>SUM($L$42:$P$42)</f>
        <v>0</v>
      </c>
      <c r="R42" s="54">
        <f>'TE BE'!$R$42*'TE BF'!$R$51</f>
        <v>0</v>
      </c>
      <c r="S42" s="54">
        <f>SUM($R$42:$R$42)</f>
        <v>0</v>
      </c>
      <c r="T42" s="54">
        <f>'TE BE'!$T$42*'TE BF'!$T$51</f>
        <v>0</v>
      </c>
      <c r="U42" s="54">
        <f>'TE BE'!$U$42*'TE BF'!$U$51</f>
        <v>0</v>
      </c>
      <c r="V42" s="54">
        <f>'TE BE'!$V$42*'TE BF'!$V$51</f>
        <v>0</v>
      </c>
      <c r="W42" s="54">
        <f>SUM($T$42:$V$42)</f>
        <v>0</v>
      </c>
      <c r="X42" s="54">
        <f>'TE BE'!$AB$42*'TE BF'!$X$51</f>
        <v>0</v>
      </c>
      <c r="Y42" s="54">
        <f>SUM($X$42:$X$42)</f>
        <v>0</v>
      </c>
      <c r="Z42" s="54">
        <f>'TE BE'!$Z$42*'TE BF'!$Z$51</f>
        <v>0</v>
      </c>
      <c r="AA42" s="54">
        <f>SUM($Z$42:$Z$42)</f>
        <v>0</v>
      </c>
      <c r="AB42" s="54">
        <f>SUMIF($L$4:$AA$4,"SUBTOTAL",$L$42:$AA$42)</f>
        <v>0</v>
      </c>
    </row>
    <row r="43" spans="1:28" ht="11.25" customHeight="1" x14ac:dyDescent="0.25">
      <c r="A43" s="120" t="s">
        <v>44</v>
      </c>
      <c r="B43" s="120" t="s">
        <v>90</v>
      </c>
      <c r="C43" s="120" t="s">
        <v>45</v>
      </c>
      <c r="D43" s="56" t="s">
        <v>46</v>
      </c>
      <c r="E43" s="56" t="s">
        <v>25</v>
      </c>
      <c r="F43" s="56" t="s">
        <v>25</v>
      </c>
      <c r="G43" s="57" t="s">
        <v>88</v>
      </c>
      <c r="H43" s="57" t="s">
        <v>82</v>
      </c>
      <c r="I43" s="57">
        <f>'MERCADO TE'!$U$40</f>
        <v>6635.9900000000007</v>
      </c>
      <c r="J43" s="15"/>
      <c r="L43" s="54">
        <f>'TE BE'!$L$43*'TE BF'!$L$51</f>
        <v>0</v>
      </c>
      <c r="M43" s="54">
        <f>'TE BE'!$M$43*'TE BF'!$M$51</f>
        <v>0</v>
      </c>
      <c r="N43" s="54">
        <f>'TE BE'!$N$43*'TE BF'!$N$51</f>
        <v>0</v>
      </c>
      <c r="O43" s="54">
        <f>'TE BE'!$O$43*'TE BF'!$O$51</f>
        <v>0</v>
      </c>
      <c r="P43" s="54">
        <f>'TE BE'!$P$43*'TE BF'!$P$51</f>
        <v>0</v>
      </c>
      <c r="Q43" s="54">
        <f>SUM($L$43:$P$43)</f>
        <v>0</v>
      </c>
      <c r="R43" s="54">
        <f>'TE BE'!$R$43*'TE BF'!$R$51</f>
        <v>0</v>
      </c>
      <c r="S43" s="54">
        <f>SUM($R$43:$R$43)</f>
        <v>0</v>
      </c>
      <c r="T43" s="54">
        <f>'TE BE'!$T$43*'TE BF'!$T$51</f>
        <v>0</v>
      </c>
      <c r="U43" s="54">
        <f>'TE BE'!$U$43*'TE BF'!$U$51</f>
        <v>0</v>
      </c>
      <c r="V43" s="54">
        <f>'TE BE'!$V$43*'TE BF'!$V$51</f>
        <v>0</v>
      </c>
      <c r="W43" s="54">
        <f>SUM($T$43:$V$43)</f>
        <v>0</v>
      </c>
      <c r="X43" s="54">
        <f>'TE BE'!$AB$43*'TE BF'!$X$51</f>
        <v>0</v>
      </c>
      <c r="Y43" s="54">
        <f>SUM($X$43:$X$43)</f>
        <v>0</v>
      </c>
      <c r="Z43" s="54">
        <f>'TE BE'!$Z$43*'TE BF'!$Z$51</f>
        <v>0</v>
      </c>
      <c r="AA43" s="54">
        <f>SUM($Z$43:$Z$43)</f>
        <v>0</v>
      </c>
      <c r="AB43" s="54">
        <f>SUMIF($L$4:$AA$4,"SUBTOTAL",$L$43:$AA$43)</f>
        <v>0</v>
      </c>
    </row>
    <row r="44" spans="1:28" ht="11.25" customHeight="1" x14ac:dyDescent="0.25">
      <c r="A44" s="120"/>
      <c r="B44" s="120"/>
      <c r="C44" s="120"/>
      <c r="D44" s="57" t="s">
        <v>100</v>
      </c>
      <c r="E44" s="57" t="s">
        <v>25</v>
      </c>
      <c r="F44" s="57" t="s">
        <v>25</v>
      </c>
      <c r="G44" s="57" t="s">
        <v>88</v>
      </c>
      <c r="H44" s="57" t="s">
        <v>82</v>
      </c>
      <c r="I44" s="57">
        <f>'MERCADO TE'!$U$41</f>
        <v>0</v>
      </c>
      <c r="J44" s="15"/>
      <c r="L44" s="54">
        <f>'TE BE'!$L$44*'TE BF'!$L$51</f>
        <v>0</v>
      </c>
      <c r="M44" s="54">
        <f>'TE BE'!$M$44*'TE BF'!$M$51</f>
        <v>0</v>
      </c>
      <c r="N44" s="54">
        <f>'TE BE'!$N$44*'TE BF'!$N$51</f>
        <v>0</v>
      </c>
      <c r="O44" s="54">
        <f>'TE BE'!$O$44*'TE BF'!$O$51</f>
        <v>0</v>
      </c>
      <c r="P44" s="54">
        <f>'TE BE'!$P$44*'TE BF'!$P$51</f>
        <v>0</v>
      </c>
      <c r="Q44" s="54">
        <f>SUM($L$44:$P$44)</f>
        <v>0</v>
      </c>
      <c r="R44" s="54">
        <f>'TE BE'!$R$44*'TE BF'!$R$51</f>
        <v>0</v>
      </c>
      <c r="S44" s="54">
        <f>SUM($R$44:$R$44)</f>
        <v>0</v>
      </c>
      <c r="T44" s="54">
        <f>'TE BE'!$T$44*'TE BF'!$T$51</f>
        <v>0</v>
      </c>
      <c r="U44" s="54">
        <f>'TE BE'!$U$44*'TE BF'!$U$51</f>
        <v>0</v>
      </c>
      <c r="V44" s="54">
        <f>'TE BE'!$V$44*'TE BF'!$V$51</f>
        <v>0</v>
      </c>
      <c r="W44" s="54">
        <f>SUM($T$44:$V$44)</f>
        <v>0</v>
      </c>
      <c r="X44" s="54">
        <f>'TE BE'!$AB$44*'TE BF'!$X$51</f>
        <v>0</v>
      </c>
      <c r="Y44" s="54">
        <f>SUM($X$44:$X$44)</f>
        <v>0</v>
      </c>
      <c r="Z44" s="54">
        <f>'TE BE'!$Z$44*'TE BF'!$Z$51</f>
        <v>0</v>
      </c>
      <c r="AA44" s="54">
        <f>SUM($Z$44:$Z$44)</f>
        <v>0</v>
      </c>
      <c r="AB44" s="54">
        <f>SUMIF($L$4:$AA$4,"SUBTOTAL",$L$44:$AA$44)</f>
        <v>0</v>
      </c>
    </row>
    <row r="46" spans="1:28" ht="11.25" customHeight="1" x14ac:dyDescent="0.25">
      <c r="K46" s="59" t="s">
        <v>561</v>
      </c>
      <c r="L46" s="54">
        <f t="shared" ref="L46:AB46" si="0">SUMPRODUCT($I$5:$I$44,L$5:L$44)</f>
        <v>0</v>
      </c>
      <c r="M46" s="54">
        <f t="shared" si="0"/>
        <v>0</v>
      </c>
      <c r="N46" s="54">
        <f t="shared" si="0"/>
        <v>0</v>
      </c>
      <c r="O46" s="54">
        <f t="shared" si="0"/>
        <v>0</v>
      </c>
      <c r="P46" s="54">
        <f t="shared" si="0"/>
        <v>0</v>
      </c>
      <c r="Q46" s="54">
        <f t="shared" si="0"/>
        <v>0</v>
      </c>
      <c r="R46" s="54">
        <f t="shared" si="0"/>
        <v>0</v>
      </c>
      <c r="S46" s="54">
        <f t="shared" si="0"/>
        <v>0</v>
      </c>
      <c r="T46" s="54">
        <f t="shared" si="0"/>
        <v>0</v>
      </c>
      <c r="U46" s="54">
        <f t="shared" si="0"/>
        <v>0</v>
      </c>
      <c r="V46" s="54">
        <f t="shared" si="0"/>
        <v>0</v>
      </c>
      <c r="W46" s="54">
        <f t="shared" si="0"/>
        <v>0</v>
      </c>
      <c r="X46" s="54">
        <f t="shared" si="0"/>
        <v>0</v>
      </c>
      <c r="Y46" s="54">
        <f t="shared" si="0"/>
        <v>0</v>
      </c>
      <c r="Z46" s="54">
        <f t="shared" si="0"/>
        <v>0</v>
      </c>
      <c r="AA46" s="54">
        <f t="shared" si="0"/>
        <v>0</v>
      </c>
      <c r="AB46" s="54">
        <f t="shared" si="0"/>
        <v>0</v>
      </c>
    </row>
    <row r="47" spans="1:28" ht="11.25" customHeight="1" x14ac:dyDescent="0.25">
      <c r="K47" s="59" t="s">
        <v>486</v>
      </c>
      <c r="L47" s="54">
        <f>CUSTOS!$D$30</f>
        <v>0</v>
      </c>
      <c r="M47" s="54">
        <f>CUSTOS!$D$31</f>
        <v>10245911.661914382</v>
      </c>
      <c r="N47" s="54">
        <f>CUSTOS!$D$32</f>
        <v>0</v>
      </c>
      <c r="O47" s="54">
        <f>CUSTOS!$D$33</f>
        <v>0</v>
      </c>
      <c r="P47" s="54">
        <f>CUSTOS!$D$34</f>
        <v>-6630000</v>
      </c>
      <c r="Q47" s="54">
        <f>CUSTOS!$D$35</f>
        <v>3615911.6619143821</v>
      </c>
      <c r="R47" s="54">
        <f>CUSTOS!$D$36</f>
        <v>76743026.914793923</v>
      </c>
      <c r="S47" s="54">
        <f>CUSTOS!$D$37</f>
        <v>76743026.914793923</v>
      </c>
      <c r="T47" s="54">
        <f>CUSTOS!$D$38</f>
        <v>0</v>
      </c>
      <c r="U47" s="54">
        <f>CUSTOS!$D$39</f>
        <v>0</v>
      </c>
      <c r="V47" s="54">
        <f>CUSTOS!$D$40</f>
        <v>0</v>
      </c>
      <c r="W47" s="54">
        <f>CUSTOS!$D$41</f>
        <v>0</v>
      </c>
      <c r="X47" s="54">
        <f>CUSTOS!$D$42</f>
        <v>0</v>
      </c>
      <c r="Y47" s="54">
        <f>CUSTOS!$D$43</f>
        <v>0</v>
      </c>
      <c r="Z47" s="54">
        <f>CUSTOS!$D$44</f>
        <v>1972026.3738947795</v>
      </c>
      <c r="AA47" s="54">
        <f>CUSTOS!$D$45</f>
        <v>1972026.3738947795</v>
      </c>
      <c r="AB47" s="54">
        <f>CUSTOS!$D$46</f>
        <v>82330964.950603083</v>
      </c>
    </row>
    <row r="48" spans="1:28" ht="11.25" customHeight="1" x14ac:dyDescent="0.25">
      <c r="K48" s="59" t="s">
        <v>487</v>
      </c>
      <c r="L48" s="54">
        <f>CUSTOS!$E$30</f>
        <v>0</v>
      </c>
      <c r="M48" s="54">
        <f>CUSTOS!$E$31</f>
        <v>6697068.948998278</v>
      </c>
      <c r="N48" s="54">
        <f>CUSTOS!$E$32</f>
        <v>0</v>
      </c>
      <c r="O48" s="54">
        <f>CUSTOS!$E$33</f>
        <v>0</v>
      </c>
      <c r="P48" s="54">
        <f>CUSTOS!$E$34</f>
        <v>0</v>
      </c>
      <c r="Q48" s="54">
        <f>CUSTOS!$E$35</f>
        <v>6697068.948998278</v>
      </c>
      <c r="R48" s="54">
        <f>CUSTOS!$E$36</f>
        <v>-2887707.3096498107</v>
      </c>
      <c r="S48" s="54">
        <f>CUSTOS!$E$37</f>
        <v>-2887707.3096498107</v>
      </c>
      <c r="T48" s="54">
        <f>CUSTOS!$E$38</f>
        <v>0</v>
      </c>
      <c r="U48" s="54">
        <f>CUSTOS!$E$39</f>
        <v>0</v>
      </c>
      <c r="V48" s="54">
        <f>CUSTOS!$E$40</f>
        <v>0</v>
      </c>
      <c r="W48" s="54">
        <f>CUSTOS!$E$41</f>
        <v>0</v>
      </c>
      <c r="X48" s="54">
        <f>CUSTOS!$E$42</f>
        <v>-240664.03197342064</v>
      </c>
      <c r="Y48" s="54">
        <f>CUSTOS!$E$43</f>
        <v>-240664.03197342064</v>
      </c>
      <c r="Z48" s="54">
        <f>CUSTOS!$E$44</f>
        <v>-74203.94013179584</v>
      </c>
      <c r="AA48" s="54">
        <f>CUSTOS!$E$45</f>
        <v>-74203.94013179584</v>
      </c>
      <c r="AB48" s="54">
        <f>CUSTOS!$E$46</f>
        <v>3494493.6672432506</v>
      </c>
    </row>
    <row r="49" spans="11:28" ht="11.25" customHeight="1" x14ac:dyDescent="0.25">
      <c r="K49" s="59" t="s">
        <v>488</v>
      </c>
      <c r="L49" s="54">
        <f>CUSTOS!$F$30</f>
        <v>0</v>
      </c>
      <c r="M49" s="54">
        <f>CUSTOS!$F$31</f>
        <v>0</v>
      </c>
      <c r="N49" s="54">
        <f>CUSTOS!$F$32</f>
        <v>0</v>
      </c>
      <c r="O49" s="54">
        <f>CUSTOS!$F$33</f>
        <v>0</v>
      </c>
      <c r="P49" s="54">
        <f>CUSTOS!$F$34</f>
        <v>0</v>
      </c>
      <c r="Q49" s="54">
        <f>CUSTOS!$F$35</f>
        <v>0</v>
      </c>
      <c r="R49" s="54">
        <f>CUSTOS!$F$36</f>
        <v>0</v>
      </c>
      <c r="S49" s="54">
        <f>CUSTOS!$F$37</f>
        <v>0</v>
      </c>
      <c r="T49" s="54">
        <f>CUSTOS!$F$38</f>
        <v>0</v>
      </c>
      <c r="U49" s="54">
        <f>CUSTOS!$F$39</f>
        <v>0</v>
      </c>
      <c r="V49" s="54">
        <f>CUSTOS!$F$40</f>
        <v>0</v>
      </c>
      <c r="W49" s="54">
        <f>CUSTOS!$F$41</f>
        <v>0</v>
      </c>
      <c r="X49" s="54">
        <f>CUSTOS!$F$42</f>
        <v>0</v>
      </c>
      <c r="Y49" s="54">
        <f>CUSTOS!$F$43</f>
        <v>0</v>
      </c>
      <c r="Z49" s="54">
        <f>CUSTOS!$F$44</f>
        <v>0</v>
      </c>
      <c r="AA49" s="54">
        <f>CUSTOS!$F$45</f>
        <v>0</v>
      </c>
      <c r="AB49" s="54">
        <f>CUSTOS!$F$46</f>
        <v>0</v>
      </c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  <row r="51" spans="11:28" ht="11.25" customHeight="1" x14ac:dyDescent="0.25"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</row>
    <row r="52" spans="11:28" ht="11.25" customHeight="1" x14ac:dyDescent="0.25"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</row>
  </sheetData>
  <mergeCells count="67"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F7:F8"/>
    <mergeCell ref="Z3:AA3"/>
    <mergeCell ref="AB3:AB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A7:A9"/>
    <mergeCell ref="B7:B8"/>
    <mergeCell ref="C7:C8"/>
    <mergeCell ref="D7:D8"/>
    <mergeCell ref="E7:E8"/>
    <mergeCell ref="F10:F12"/>
    <mergeCell ref="B13:B17"/>
    <mergeCell ref="C13:C17"/>
    <mergeCell ref="B18:B22"/>
    <mergeCell ref="C18:C22"/>
    <mergeCell ref="A10:A22"/>
    <mergeCell ref="B10:B12"/>
    <mergeCell ref="C10:C12"/>
    <mergeCell ref="D10:D12"/>
    <mergeCell ref="E10:E12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E38:E40"/>
    <mergeCell ref="F38:F40"/>
    <mergeCell ref="A43:A44"/>
    <mergeCell ref="B43:B44"/>
    <mergeCell ref="C43:C44"/>
    <mergeCell ref="D38:D40"/>
  </mergeCells>
  <conditionalFormatting sqref="L46">
    <cfRule type="cellIs" dxfId="900" priority="33" operator="notEqual">
      <formula>$L$49</formula>
    </cfRule>
    <cfRule type="cellIs" dxfId="899" priority="34" operator="equal">
      <formula>$L$49</formula>
    </cfRule>
  </conditionalFormatting>
  <conditionalFormatting sqref="M46">
    <cfRule type="cellIs" dxfId="898" priority="31" operator="notEqual">
      <formula>$M$49</formula>
    </cfRule>
    <cfRule type="cellIs" dxfId="897" priority="32" operator="equal">
      <formula>$M$49</formula>
    </cfRule>
  </conditionalFormatting>
  <conditionalFormatting sqref="N46">
    <cfRule type="cellIs" dxfId="896" priority="29" operator="notEqual">
      <formula>$N$49</formula>
    </cfRule>
    <cfRule type="cellIs" dxfId="895" priority="30" operator="equal">
      <formula>$N$49</formula>
    </cfRule>
  </conditionalFormatting>
  <conditionalFormatting sqref="O46">
    <cfRule type="cellIs" dxfId="894" priority="27" operator="notEqual">
      <formula>$O$49</formula>
    </cfRule>
    <cfRule type="cellIs" dxfId="893" priority="28" operator="equal">
      <formula>$O$49</formula>
    </cfRule>
  </conditionalFormatting>
  <conditionalFormatting sqref="P46">
    <cfRule type="cellIs" dxfId="892" priority="25" operator="notEqual">
      <formula>$P$49</formula>
    </cfRule>
    <cfRule type="cellIs" dxfId="891" priority="26" operator="equal">
      <formula>$P$49</formula>
    </cfRule>
  </conditionalFormatting>
  <conditionalFormatting sqref="Q46">
    <cfRule type="cellIs" dxfId="890" priority="23" operator="notEqual">
      <formula>$Q$49</formula>
    </cfRule>
    <cfRule type="cellIs" dxfId="889" priority="24" operator="equal">
      <formula>$Q$49</formula>
    </cfRule>
  </conditionalFormatting>
  <conditionalFormatting sqref="R46">
    <cfRule type="cellIs" dxfId="888" priority="21" operator="notEqual">
      <formula>$R$49</formula>
    </cfRule>
    <cfRule type="cellIs" dxfId="887" priority="22" operator="equal">
      <formula>$R$49</formula>
    </cfRule>
  </conditionalFormatting>
  <conditionalFormatting sqref="S46">
    <cfRule type="cellIs" dxfId="886" priority="19" operator="notEqual">
      <formula>$S$49</formula>
    </cfRule>
    <cfRule type="cellIs" dxfId="885" priority="20" operator="equal">
      <formula>$S$49</formula>
    </cfRule>
  </conditionalFormatting>
  <conditionalFormatting sqref="T46">
    <cfRule type="cellIs" dxfId="884" priority="17" operator="notEqual">
      <formula>$T$49</formula>
    </cfRule>
    <cfRule type="cellIs" dxfId="883" priority="18" operator="equal">
      <formula>$T$49</formula>
    </cfRule>
  </conditionalFormatting>
  <conditionalFormatting sqref="U46">
    <cfRule type="cellIs" dxfId="882" priority="15" operator="notEqual">
      <formula>$U$49</formula>
    </cfRule>
    <cfRule type="cellIs" dxfId="881" priority="16" operator="equal">
      <formula>$U$49</formula>
    </cfRule>
  </conditionalFormatting>
  <conditionalFormatting sqref="V46">
    <cfRule type="cellIs" dxfId="880" priority="13" operator="notEqual">
      <formula>$V$49</formula>
    </cfRule>
    <cfRule type="cellIs" dxfId="879" priority="14" operator="equal">
      <formula>$V$49</formula>
    </cfRule>
  </conditionalFormatting>
  <conditionalFormatting sqref="W46">
    <cfRule type="cellIs" dxfId="878" priority="11" operator="notEqual">
      <formula>$W$49</formula>
    </cfRule>
    <cfRule type="cellIs" dxfId="877" priority="12" operator="equal">
      <formula>$W$49</formula>
    </cfRule>
  </conditionalFormatting>
  <conditionalFormatting sqref="X46">
    <cfRule type="cellIs" dxfId="876" priority="9" operator="notEqual">
      <formula>$X$49</formula>
    </cfRule>
    <cfRule type="cellIs" dxfId="875" priority="10" operator="equal">
      <formula>$X$49</formula>
    </cfRule>
  </conditionalFormatting>
  <conditionalFormatting sqref="Y46">
    <cfRule type="cellIs" dxfId="874" priority="7" operator="notEqual">
      <formula>$Y$49</formula>
    </cfRule>
    <cfRule type="cellIs" dxfId="873" priority="8" operator="equal">
      <formula>$Y$49</formula>
    </cfRule>
  </conditionalFormatting>
  <conditionalFormatting sqref="Z46">
    <cfRule type="cellIs" dxfId="872" priority="5" operator="notEqual">
      <formula>$Z$49</formula>
    </cfRule>
    <cfRule type="cellIs" dxfId="871" priority="6" operator="equal">
      <formula>$Z$49</formula>
    </cfRule>
  </conditionalFormatting>
  <conditionalFormatting sqref="AA46">
    <cfRule type="cellIs" dxfId="870" priority="3" operator="notEqual">
      <formula>$AA$49</formula>
    </cfRule>
    <cfRule type="cellIs" dxfId="869" priority="4" operator="equal">
      <formula>$AA$49</formula>
    </cfRule>
  </conditionalFormatting>
  <conditionalFormatting sqref="AB46">
    <cfRule type="cellIs" dxfId="868" priority="1" operator="notEqual">
      <formula>$AB$49</formula>
    </cfRule>
    <cfRule type="cellIs" dxfId="867" priority="2" operator="equal">
      <formula>$AB$49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59B41-1896-4F58-BD59-D0C7004FA513}">
  <dimension ref="A1:AV1099"/>
  <sheetViews>
    <sheetView showGridLines="0" tabSelected="1" topLeftCell="AI1" workbookViewId="0">
      <selection activeCell="AZ22" sqref="AZ22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24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8.4257812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6" width="11.7109375" style="4" bestFit="1" customWidth="1"/>
    <col min="47" max="47" width="12.14062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588</v>
      </c>
      <c r="W1" s="1" t="s">
        <v>589</v>
      </c>
      <c r="X1" s="1" t="s">
        <v>590</v>
      </c>
      <c r="Y1" s="1" t="s">
        <v>591</v>
      </c>
      <c r="Z1" s="1" t="s">
        <v>592</v>
      </c>
      <c r="AA1" s="1" t="s">
        <v>593</v>
      </c>
      <c r="AB1" s="1" t="s">
        <v>606</v>
      </c>
      <c r="AC1" s="1" t="s">
        <v>607</v>
      </c>
      <c r="AD1" s="1" t="s">
        <v>608</v>
      </c>
      <c r="AE1" s="1" t="s">
        <v>609</v>
      </c>
      <c r="AF1" s="1" t="s">
        <v>610</v>
      </c>
      <c r="AG1" s="1" t="s">
        <v>611</v>
      </c>
      <c r="AI1" s="69" t="s">
        <v>72</v>
      </c>
      <c r="AJ1" s="69" t="s">
        <v>612</v>
      </c>
      <c r="AK1" s="69" t="s">
        <v>613</v>
      </c>
      <c r="AL1" s="69" t="s">
        <v>614</v>
      </c>
      <c r="AN1" s="69" t="s">
        <v>72</v>
      </c>
      <c r="AO1" s="69" t="s">
        <v>615</v>
      </c>
      <c r="AP1" s="69" t="s">
        <v>616</v>
      </c>
      <c r="AQ1" s="69" t="s">
        <v>614</v>
      </c>
      <c r="AS1" s="69" t="s">
        <v>72</v>
      </c>
      <c r="AT1" s="69" t="s">
        <v>617</v>
      </c>
      <c r="AU1" s="69" t="s">
        <v>618</v>
      </c>
      <c r="AV1" s="69" t="s">
        <v>614</v>
      </c>
    </row>
    <row r="2" spans="1:48" ht="11.25" customHeight="1" x14ac:dyDescent="0.25">
      <c r="A2" s="4" t="s">
        <v>21</v>
      </c>
      <c r="B2" s="4" t="s">
        <v>53</v>
      </c>
      <c r="C2" s="4" t="s">
        <v>36</v>
      </c>
      <c r="D2" s="4" t="s">
        <v>34</v>
      </c>
      <c r="E2" s="4" t="s">
        <v>25</v>
      </c>
      <c r="F2" s="4" t="s">
        <v>25</v>
      </c>
      <c r="G2" s="4" t="s">
        <v>25</v>
      </c>
      <c r="H2" s="4" t="s">
        <v>38</v>
      </c>
      <c r="I2" s="5">
        <v>44378</v>
      </c>
      <c r="J2" s="6">
        <v>3300</v>
      </c>
      <c r="K2" s="6">
        <v>3300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54</v>
      </c>
      <c r="R2" s="4">
        <v>0</v>
      </c>
      <c r="S2" s="6">
        <v>19</v>
      </c>
      <c r="T2" s="6">
        <v>0</v>
      </c>
      <c r="U2" s="6">
        <v>0</v>
      </c>
      <c r="V2" s="6">
        <f>IF(ISERROR(VLOOKUP($S$2,'TAR FIN'!$A$1:$O$93,15,0)),0,VLOOKUP($S$2,'TAR FIN'!$A$1:$O$93,15,0))</f>
        <v>10.39</v>
      </c>
      <c r="W2" s="6">
        <f>IF(ISERROR(VLOOKUP($T$2,'TAR FIN'!$A$1:$O$93,15,0)),0,VLOOKUP($T$2,'TAR FIN'!$A$1:$O$93,15,0))</f>
        <v>0</v>
      </c>
      <c r="X2" s="6">
        <f>IF(ISERROR(VLOOKUP($U$2,'TAR FIN'!$A$1:$O$93,15,0)),0,VLOOKUP($U$2,'TAR FIN'!$A$1:$O$93,15,0))</f>
        <v>0</v>
      </c>
      <c r="Y2" s="6">
        <f ca="1">('TUSD BE'!$AM$6+'TUSD BF'!$AM$6+'TUSD CVA'!$AM$6)*1</f>
        <v>11.047315999953963</v>
      </c>
      <c r="Z2" s="6">
        <f ca="1">('TUSD BE'!$AM$7+'TUSD BF'!$AM$7+'TUSD CVA'!$AM$7)*1</f>
        <v>65.413161375527963</v>
      </c>
      <c r="AA2" s="6"/>
      <c r="AB2" s="6">
        <f>$K$2*$V$2</f>
        <v>34287</v>
      </c>
      <c r="AC2" s="6">
        <f>$M$2*$W$2</f>
        <v>0</v>
      </c>
      <c r="AD2" s="6">
        <f>$O$2*$X$2</f>
        <v>0</v>
      </c>
      <c r="AE2" s="6">
        <f ca="1">$K$2*$Y$2</f>
        <v>36456.142799848079</v>
      </c>
      <c r="AF2" s="6">
        <f ca="1">$M$2*$Z$2</f>
        <v>0</v>
      </c>
      <c r="AG2" s="6">
        <f>$O$2*$AA$2</f>
        <v>0</v>
      </c>
      <c r="AI2" s="70" t="s">
        <v>53</v>
      </c>
      <c r="AJ2" s="71">
        <f t="shared" ref="AJ2:AJ7" si="0">SUMIF($B$2:$B$1099,AI2,$AB$2:$AB$1099)+SUMIF($B$2:$B$1099,AI2,$AC$2:$AC$1099)</f>
        <v>2122580.5468799998</v>
      </c>
      <c r="AK2" s="71">
        <f t="shared" ref="AK2:AK7" ca="1" si="1">SUMIF($B$2:$B$1099,AI2,$AE$2:$AE$1099)+SUMIF($B$2:$B$1099,AI2,$AF$2:$AF$1099)</f>
        <v>2493322.8573807045</v>
      </c>
      <c r="AL2" s="72">
        <f t="shared" ref="AL2:AL10" ca="1" si="2">IF(AJ2&lt;&gt;0,AK2/AJ2-1,0)</f>
        <v>0.17466583826261006</v>
      </c>
      <c r="AN2" s="70" t="s">
        <v>53</v>
      </c>
      <c r="AO2" s="71">
        <f t="shared" ref="AO2:AO7" si="3">SUMIF($B$2:$B$1099,AN2,$AD$2:$AD$1099)</f>
        <v>0</v>
      </c>
      <c r="AP2" s="71">
        <f t="shared" ref="AP2:AP7" si="4">SUMIF($B$2:$B$1099,AN2,$AG$2:$AG$1099)</f>
        <v>0</v>
      </c>
      <c r="AQ2" s="72">
        <f t="shared" ref="AQ2:AQ10" si="5">IF(AO2&lt;&gt;0,AP2/AO2-1,0)</f>
        <v>0</v>
      </c>
      <c r="AS2" s="70" t="s">
        <v>53</v>
      </c>
      <c r="AT2" s="71">
        <f t="shared" ref="AT2:AT7" si="6">SUMIF($B$2:$B$1099,AS2,$AB$2:$AB$1099)+SUMIF($B$2:$B$1099,AS2,$AC$2:$AC$1099)+SUMIF($B$2:$B$1099,AS2,$AD$2:$AD$1099)</f>
        <v>2122580.5468799998</v>
      </c>
      <c r="AU2" s="71">
        <f t="shared" ref="AU2:AU7" ca="1" si="7">SUMIF($B$2:$B$1099,AS2,$AE$2:$AE$1099)+SUMIF($B$2:$B$1099,AS2,$AF$2:$AF$1099)+SUMIF($B$2:$B$1099,AS2,$AG$2:$AG$1099)</f>
        <v>2493322.8573807045</v>
      </c>
      <c r="AV2" s="72">
        <f t="shared" ref="AV2:AV10" ca="1" si="8">IF(AT2&lt;&gt;0,AU2/AT2-1,0)</f>
        <v>0.17466583826261006</v>
      </c>
    </row>
    <row r="3" spans="1:48" ht="11.25" customHeight="1" x14ac:dyDescent="0.25">
      <c r="A3" s="4" t="s">
        <v>21</v>
      </c>
      <c r="B3" s="4" t="s">
        <v>53</v>
      </c>
      <c r="C3" s="4" t="s">
        <v>36</v>
      </c>
      <c r="D3" s="4" t="s">
        <v>34</v>
      </c>
      <c r="E3" s="4" t="s">
        <v>25</v>
      </c>
      <c r="F3" s="4" t="s">
        <v>25</v>
      </c>
      <c r="G3" s="4" t="s">
        <v>25</v>
      </c>
      <c r="H3" s="4" t="s">
        <v>38</v>
      </c>
      <c r="I3" s="5">
        <v>44409</v>
      </c>
      <c r="J3" s="6">
        <v>3300</v>
      </c>
      <c r="K3" s="6">
        <v>3300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54</v>
      </c>
      <c r="R3" s="4">
        <v>0</v>
      </c>
      <c r="S3" s="6">
        <v>19</v>
      </c>
      <c r="T3" s="6">
        <v>0</v>
      </c>
      <c r="U3" s="6">
        <v>0</v>
      </c>
      <c r="V3" s="6">
        <f>IF(ISERROR(VLOOKUP($S$3,'TAR FIN'!$A$1:$O$93,15,0)),0,VLOOKUP($S$3,'TAR FIN'!$A$1:$O$93,15,0))</f>
        <v>10.39</v>
      </c>
      <c r="W3" s="6">
        <f>IF(ISERROR(VLOOKUP($T$3,'TAR FIN'!$A$1:$O$93,15,0)),0,VLOOKUP($T$3,'TAR FIN'!$A$1:$O$93,15,0))</f>
        <v>0</v>
      </c>
      <c r="X3" s="6">
        <f>IF(ISERROR(VLOOKUP($U$3,'TAR FIN'!$A$1:$O$93,15,0)),0,VLOOKUP($U$3,'TAR FIN'!$A$1:$O$93,15,0))</f>
        <v>0</v>
      </c>
      <c r="Y3" s="6">
        <f ca="1">('TUSD BE'!$AM$6+'TUSD BF'!$AM$6+'TUSD CVA'!$AM$6)*1</f>
        <v>11.047315999953963</v>
      </c>
      <c r="Z3" s="6">
        <f ca="1">('TUSD BE'!$AM$7+'TUSD BF'!$AM$7+'TUSD CVA'!$AM$7)*1</f>
        <v>65.413161375527963</v>
      </c>
      <c r="AA3" s="6"/>
      <c r="AB3" s="6">
        <f>$K$3*$V$3</f>
        <v>34287</v>
      </c>
      <c r="AC3" s="6">
        <f>$M$3*$W$3</f>
        <v>0</v>
      </c>
      <c r="AD3" s="6">
        <f>$O$3*$X$3</f>
        <v>0</v>
      </c>
      <c r="AE3" s="6">
        <f ca="1">$K$3*$Y$3</f>
        <v>36456.142799848079</v>
      </c>
      <c r="AF3" s="6">
        <f ca="1">$M$3*$Z$3</f>
        <v>0</v>
      </c>
      <c r="AG3" s="6">
        <f>$O$3*$AA$3</f>
        <v>0</v>
      </c>
      <c r="AI3" s="70" t="s">
        <v>35</v>
      </c>
      <c r="AJ3" s="71">
        <f t="shared" si="0"/>
        <v>56082359.325841911</v>
      </c>
      <c r="AK3" s="71">
        <f t="shared" ca="1" si="1"/>
        <v>68354629.140614823</v>
      </c>
      <c r="AL3" s="72">
        <f t="shared" ca="1" si="2"/>
        <v>0.21882584759799917</v>
      </c>
      <c r="AN3" s="70" t="s">
        <v>35</v>
      </c>
      <c r="AO3" s="71">
        <f t="shared" si="3"/>
        <v>31838430.191585205</v>
      </c>
      <c r="AP3" s="71">
        <f t="shared" si="4"/>
        <v>34265717.67766761</v>
      </c>
      <c r="AQ3" s="72">
        <f t="shared" si="5"/>
        <v>7.6237662204964085E-2</v>
      </c>
      <c r="AS3" s="70" t="s">
        <v>35</v>
      </c>
      <c r="AT3" s="71">
        <f t="shared" si="6"/>
        <v>87920789.517427117</v>
      </c>
      <c r="AU3" s="71">
        <f t="shared" ca="1" si="7"/>
        <v>102620346.81828243</v>
      </c>
      <c r="AV3" s="72">
        <f t="shared" ca="1" si="8"/>
        <v>0.16719091561321409</v>
      </c>
    </row>
    <row r="4" spans="1:48" ht="11.25" customHeight="1" x14ac:dyDescent="0.25">
      <c r="A4" s="4" t="s">
        <v>21</v>
      </c>
      <c r="B4" s="4" t="s">
        <v>53</v>
      </c>
      <c r="C4" s="4" t="s">
        <v>36</v>
      </c>
      <c r="D4" s="4" t="s">
        <v>34</v>
      </c>
      <c r="E4" s="4" t="s">
        <v>25</v>
      </c>
      <c r="F4" s="4" t="s">
        <v>25</v>
      </c>
      <c r="G4" s="4" t="s">
        <v>25</v>
      </c>
      <c r="H4" s="4" t="s">
        <v>38</v>
      </c>
      <c r="I4" s="5">
        <v>44440</v>
      </c>
      <c r="J4" s="6">
        <v>3300</v>
      </c>
      <c r="K4" s="6">
        <v>3300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54</v>
      </c>
      <c r="R4" s="4">
        <v>0</v>
      </c>
      <c r="S4" s="6">
        <v>19</v>
      </c>
      <c r="T4" s="6">
        <v>0</v>
      </c>
      <c r="U4" s="6">
        <v>0</v>
      </c>
      <c r="V4" s="6">
        <f>IF(ISERROR(VLOOKUP($S$4,'TAR FIN'!$A$1:$O$93,15,0)),0,VLOOKUP($S$4,'TAR FIN'!$A$1:$O$93,15,0))</f>
        <v>10.39</v>
      </c>
      <c r="W4" s="6">
        <f>IF(ISERROR(VLOOKUP($T$4,'TAR FIN'!$A$1:$O$93,15,0)),0,VLOOKUP($T$4,'TAR FIN'!$A$1:$O$93,15,0))</f>
        <v>0</v>
      </c>
      <c r="X4" s="6">
        <f>IF(ISERROR(VLOOKUP($U$4,'TAR FIN'!$A$1:$O$93,15,0)),0,VLOOKUP($U$4,'TAR FIN'!$A$1:$O$93,15,0))</f>
        <v>0</v>
      </c>
      <c r="Y4" s="6">
        <f ca="1">('TUSD BE'!$AM$6+'TUSD BF'!$AM$6+'TUSD CVA'!$AM$6)*1</f>
        <v>11.047315999953963</v>
      </c>
      <c r="Z4" s="6">
        <f ca="1">('TUSD BE'!$AM$7+'TUSD BF'!$AM$7+'TUSD CVA'!$AM$7)*1</f>
        <v>65.413161375527963</v>
      </c>
      <c r="AA4" s="6"/>
      <c r="AB4" s="6">
        <f>$K$4*$V$4</f>
        <v>34287</v>
      </c>
      <c r="AC4" s="6">
        <f>$M$4*$W$4</f>
        <v>0</v>
      </c>
      <c r="AD4" s="6">
        <f>$O$4*$X$4</f>
        <v>0</v>
      </c>
      <c r="AE4" s="6">
        <f ca="1">$K$4*$Y$4</f>
        <v>36456.142799848079</v>
      </c>
      <c r="AF4" s="6">
        <f ca="1">$M$4*$Z$4</f>
        <v>0</v>
      </c>
      <c r="AG4" s="6">
        <f>$O$4*$AA$4</f>
        <v>0</v>
      </c>
      <c r="AI4" s="70" t="s">
        <v>22</v>
      </c>
      <c r="AJ4" s="71">
        <f t="shared" si="0"/>
        <v>6874165.6715900078</v>
      </c>
      <c r="AK4" s="71">
        <f t="shared" ca="1" si="1"/>
        <v>7338926.0735064708</v>
      </c>
      <c r="AL4" s="72">
        <f t="shared" ca="1" si="2"/>
        <v>6.7609717909077327E-2</v>
      </c>
      <c r="AN4" s="70" t="s">
        <v>22</v>
      </c>
      <c r="AO4" s="71">
        <f t="shared" si="3"/>
        <v>4701970.6091200039</v>
      </c>
      <c r="AP4" s="71">
        <f t="shared" si="4"/>
        <v>5032109.073004161</v>
      </c>
      <c r="AQ4" s="72">
        <f t="shared" si="5"/>
        <v>7.021278764350769E-2</v>
      </c>
      <c r="AS4" s="70" t="s">
        <v>22</v>
      </c>
      <c r="AT4" s="71">
        <f t="shared" si="6"/>
        <v>11576136.280710012</v>
      </c>
      <c r="AU4" s="71">
        <f t="shared" ca="1" si="7"/>
        <v>12371035.146510631</v>
      </c>
      <c r="AV4" s="72">
        <f t="shared" ca="1" si="8"/>
        <v>6.8667027281391402E-2</v>
      </c>
    </row>
    <row r="5" spans="1:48" ht="11.25" customHeight="1" x14ac:dyDescent="0.25">
      <c r="A5" s="4" t="s">
        <v>21</v>
      </c>
      <c r="B5" s="4" t="s">
        <v>53</v>
      </c>
      <c r="C5" s="4" t="s">
        <v>36</v>
      </c>
      <c r="D5" s="4" t="s">
        <v>34</v>
      </c>
      <c r="E5" s="4" t="s">
        <v>25</v>
      </c>
      <c r="F5" s="4" t="s">
        <v>25</v>
      </c>
      <c r="G5" s="4" t="s">
        <v>25</v>
      </c>
      <c r="H5" s="4" t="s">
        <v>38</v>
      </c>
      <c r="I5" s="5">
        <v>44470</v>
      </c>
      <c r="J5" s="6">
        <v>3300</v>
      </c>
      <c r="K5" s="6">
        <v>3300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54</v>
      </c>
      <c r="R5" s="4">
        <v>0</v>
      </c>
      <c r="S5" s="6">
        <v>19</v>
      </c>
      <c r="T5" s="6">
        <v>0</v>
      </c>
      <c r="U5" s="6">
        <v>0</v>
      </c>
      <c r="V5" s="6">
        <f>IF(ISERROR(VLOOKUP($S$5,'TAR FIN'!$A$1:$O$93,15,0)),0,VLOOKUP($S$5,'TAR FIN'!$A$1:$O$93,15,0))</f>
        <v>10.39</v>
      </c>
      <c r="W5" s="6">
        <f>IF(ISERROR(VLOOKUP($T$5,'TAR FIN'!$A$1:$O$93,15,0)),0,VLOOKUP($T$5,'TAR FIN'!$A$1:$O$93,15,0))</f>
        <v>0</v>
      </c>
      <c r="X5" s="6">
        <f>IF(ISERROR(VLOOKUP($U$5,'TAR FIN'!$A$1:$O$93,15,0)),0,VLOOKUP($U$5,'TAR FIN'!$A$1:$O$93,15,0))</f>
        <v>0</v>
      </c>
      <c r="Y5" s="6">
        <f ca="1">('TUSD BE'!$AM$6+'TUSD BF'!$AM$6+'TUSD CVA'!$AM$6)*1</f>
        <v>11.047315999953963</v>
      </c>
      <c r="Z5" s="6">
        <f ca="1">('TUSD BE'!$AM$7+'TUSD BF'!$AM$7+'TUSD CVA'!$AM$7)*1</f>
        <v>65.413161375527963</v>
      </c>
      <c r="AA5" s="6"/>
      <c r="AB5" s="6">
        <f>$K$5*$V$5</f>
        <v>34287</v>
      </c>
      <c r="AC5" s="6">
        <f>$M$5*$W$5</f>
        <v>0</v>
      </c>
      <c r="AD5" s="6">
        <f>$O$5*$X$5</f>
        <v>0</v>
      </c>
      <c r="AE5" s="6">
        <f ca="1">$K$5*$Y$5</f>
        <v>36456.142799848079</v>
      </c>
      <c r="AF5" s="6">
        <f ca="1">$M$5*$Z$5</f>
        <v>0</v>
      </c>
      <c r="AG5" s="6">
        <f>$O$5*$AA$5</f>
        <v>0</v>
      </c>
      <c r="AI5" s="70" t="s">
        <v>41</v>
      </c>
      <c r="AJ5" s="71">
        <f t="shared" si="0"/>
        <v>43464519.009312004</v>
      </c>
      <c r="AK5" s="71">
        <f t="shared" ca="1" si="1"/>
        <v>49704138.64850913</v>
      </c>
      <c r="AL5" s="72">
        <f t="shared" ca="1" si="2"/>
        <v>0.14355662460823115</v>
      </c>
      <c r="AN5" s="70" t="s">
        <v>41</v>
      </c>
      <c r="AO5" s="71">
        <f t="shared" si="3"/>
        <v>29492746.576272003</v>
      </c>
      <c r="AP5" s="71">
        <f t="shared" si="4"/>
        <v>33715231.741624765</v>
      </c>
      <c r="AQ5" s="72">
        <f t="shared" si="5"/>
        <v>0.14317029288651972</v>
      </c>
      <c r="AS5" s="70" t="s">
        <v>41</v>
      </c>
      <c r="AT5" s="71">
        <f t="shared" si="6"/>
        <v>72957265.585584015</v>
      </c>
      <c r="AU5" s="71">
        <f t="shared" ca="1" si="7"/>
        <v>83419370.390133888</v>
      </c>
      <c r="AV5" s="72">
        <f t="shared" ca="1" si="8"/>
        <v>0.14340045121725531</v>
      </c>
    </row>
    <row r="6" spans="1:48" ht="11.25" customHeight="1" x14ac:dyDescent="0.25">
      <c r="A6" s="4" t="s">
        <v>21</v>
      </c>
      <c r="B6" s="4" t="s">
        <v>53</v>
      </c>
      <c r="C6" s="4" t="s">
        <v>36</v>
      </c>
      <c r="D6" s="4" t="s">
        <v>34</v>
      </c>
      <c r="E6" s="4" t="s">
        <v>25</v>
      </c>
      <c r="F6" s="4" t="s">
        <v>25</v>
      </c>
      <c r="G6" s="4" t="s">
        <v>25</v>
      </c>
      <c r="H6" s="4" t="s">
        <v>38</v>
      </c>
      <c r="I6" s="5">
        <v>44501</v>
      </c>
      <c r="J6" s="6">
        <v>3300</v>
      </c>
      <c r="K6" s="6">
        <v>3300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54</v>
      </c>
      <c r="R6" s="4">
        <v>0</v>
      </c>
      <c r="S6" s="6">
        <v>19</v>
      </c>
      <c r="T6" s="6">
        <v>0</v>
      </c>
      <c r="U6" s="6">
        <v>0</v>
      </c>
      <c r="V6" s="6">
        <f>IF(ISERROR(VLOOKUP($S$6,'TAR FIN'!$A$1:$O$93,15,0)),0,VLOOKUP($S$6,'TAR FIN'!$A$1:$O$93,15,0))</f>
        <v>10.39</v>
      </c>
      <c r="W6" s="6">
        <f>IF(ISERROR(VLOOKUP($T$6,'TAR FIN'!$A$1:$O$93,15,0)),0,VLOOKUP($T$6,'TAR FIN'!$A$1:$O$93,15,0))</f>
        <v>0</v>
      </c>
      <c r="X6" s="6">
        <f>IF(ISERROR(VLOOKUP($U$6,'TAR FIN'!$A$1:$O$93,15,0)),0,VLOOKUP($U$6,'TAR FIN'!$A$1:$O$93,15,0))</f>
        <v>0</v>
      </c>
      <c r="Y6" s="6">
        <f ca="1">('TUSD BE'!$AM$6+'TUSD BF'!$AM$6+'TUSD CVA'!$AM$6)*1</f>
        <v>11.047315999953963</v>
      </c>
      <c r="Z6" s="6">
        <f ca="1">('TUSD BE'!$AM$7+'TUSD BF'!$AM$7+'TUSD CVA'!$AM$7)*1</f>
        <v>65.413161375527963</v>
      </c>
      <c r="AA6" s="6"/>
      <c r="AB6" s="6">
        <f>$K$6*$V$6</f>
        <v>34287</v>
      </c>
      <c r="AC6" s="6">
        <f>$M$6*$W$6</f>
        <v>0</v>
      </c>
      <c r="AD6" s="6">
        <f>$O$6*$X$6</f>
        <v>0</v>
      </c>
      <c r="AE6" s="6">
        <f ca="1">$K$6*$Y$6</f>
        <v>36456.142799848079</v>
      </c>
      <c r="AF6" s="6">
        <f ca="1">$M$6*$Z$6</f>
        <v>0</v>
      </c>
      <c r="AG6" s="6">
        <f>$O$6*$AA$6</f>
        <v>0</v>
      </c>
      <c r="AI6" s="70" t="s">
        <v>33</v>
      </c>
      <c r="AJ6" s="71">
        <f t="shared" si="0"/>
        <v>7804674.2469366053</v>
      </c>
      <c r="AK6" s="71">
        <f t="shared" ca="1" si="1"/>
        <v>8362474.3594089504</v>
      </c>
      <c r="AL6" s="72">
        <f t="shared" ca="1" si="2"/>
        <v>7.1470005643257339E-2</v>
      </c>
      <c r="AN6" s="70" t="s">
        <v>33</v>
      </c>
      <c r="AO6" s="71">
        <f t="shared" si="3"/>
        <v>5295773.614186801</v>
      </c>
      <c r="AP6" s="71">
        <f t="shared" si="4"/>
        <v>5672420.217452554</v>
      </c>
      <c r="AQ6" s="72">
        <f t="shared" si="5"/>
        <v>7.1122111839667435E-2</v>
      </c>
      <c r="AS6" s="70" t="s">
        <v>33</v>
      </c>
      <c r="AT6" s="71">
        <f t="shared" si="6"/>
        <v>13100447.861123405</v>
      </c>
      <c r="AU6" s="71">
        <f t="shared" ca="1" si="7"/>
        <v>14034894.576861504</v>
      </c>
      <c r="AV6" s="72">
        <f t="shared" ca="1" si="8"/>
        <v>7.132937176225429E-2</v>
      </c>
    </row>
    <row r="7" spans="1:48" ht="11.25" customHeight="1" x14ac:dyDescent="0.25">
      <c r="A7" s="4" t="s">
        <v>65</v>
      </c>
      <c r="B7" s="4" t="s">
        <v>53</v>
      </c>
      <c r="C7" s="4" t="s">
        <v>36</v>
      </c>
      <c r="D7" s="4" t="s">
        <v>34</v>
      </c>
      <c r="E7" s="4" t="s">
        <v>25</v>
      </c>
      <c r="F7" s="4" t="s">
        <v>25</v>
      </c>
      <c r="G7" s="4" t="s">
        <v>25</v>
      </c>
      <c r="H7" s="4" t="s">
        <v>38</v>
      </c>
      <c r="I7" s="5">
        <v>44531</v>
      </c>
      <c r="J7" s="6">
        <v>3300</v>
      </c>
      <c r="K7" s="6">
        <v>3300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54</v>
      </c>
      <c r="R7" s="4">
        <v>0</v>
      </c>
      <c r="S7" s="6">
        <v>19</v>
      </c>
      <c r="T7" s="6">
        <v>0</v>
      </c>
      <c r="U7" s="6">
        <v>0</v>
      </c>
      <c r="V7" s="6">
        <f>IF(ISERROR(VLOOKUP($S$7,'TAR FIN'!$A$1:$O$93,15,0)),0,VLOOKUP($S$7,'TAR FIN'!$A$1:$O$93,15,0))</f>
        <v>10.39</v>
      </c>
      <c r="W7" s="6">
        <f>IF(ISERROR(VLOOKUP($T$7,'TAR FIN'!$A$1:$O$93,15,0)),0,VLOOKUP($T$7,'TAR FIN'!$A$1:$O$93,15,0))</f>
        <v>0</v>
      </c>
      <c r="X7" s="6">
        <f>IF(ISERROR(VLOOKUP($U$7,'TAR FIN'!$A$1:$O$93,15,0)),0,VLOOKUP($U$7,'TAR FIN'!$A$1:$O$93,15,0))</f>
        <v>0</v>
      </c>
      <c r="Y7" s="6">
        <f ca="1">('TUSD BE'!$AM$6+'TUSD BF'!$AM$6+'TUSD CVA'!$AM$6)*1</f>
        <v>11.047315999953963</v>
      </c>
      <c r="Z7" s="6">
        <f ca="1">('TUSD BE'!$AM$7+'TUSD BF'!$AM$7+'TUSD CVA'!$AM$7)*1</f>
        <v>65.413161375527963</v>
      </c>
      <c r="AA7" s="6"/>
      <c r="AB7" s="6">
        <f>$K$7*$V$7</f>
        <v>34287</v>
      </c>
      <c r="AC7" s="6">
        <f>$M$7*$W$7</f>
        <v>0</v>
      </c>
      <c r="AD7" s="6">
        <f>$O$7*$X$7</f>
        <v>0</v>
      </c>
      <c r="AE7" s="6">
        <f ca="1">$K$7*$Y$7</f>
        <v>36456.142799848079</v>
      </c>
      <c r="AF7" s="6">
        <f ca="1">$M$7*$Z$7</f>
        <v>0</v>
      </c>
      <c r="AG7" s="6">
        <f>$O$7*$AA$7</f>
        <v>0</v>
      </c>
      <c r="AI7" s="70" t="s">
        <v>44</v>
      </c>
      <c r="AJ7" s="71">
        <f t="shared" si="0"/>
        <v>996062.0989999997</v>
      </c>
      <c r="AK7" s="71">
        <f t="shared" ca="1" si="1"/>
        <v>1066347.8749071432</v>
      </c>
      <c r="AL7" s="72">
        <f t="shared" ca="1" si="2"/>
        <v>7.0563648569408555E-2</v>
      </c>
      <c r="AN7" s="70" t="s">
        <v>44</v>
      </c>
      <c r="AO7" s="71">
        <f t="shared" si="3"/>
        <v>675875.58149999997</v>
      </c>
      <c r="AP7" s="71">
        <f t="shared" si="4"/>
        <v>723323.38306725339</v>
      </c>
      <c r="AQ7" s="72">
        <f t="shared" si="5"/>
        <v>7.0201976319296033E-2</v>
      </c>
      <c r="AS7" s="70" t="s">
        <v>44</v>
      </c>
      <c r="AT7" s="71">
        <f t="shared" si="6"/>
        <v>1671937.6804999998</v>
      </c>
      <c r="AU7" s="71">
        <f t="shared" ca="1" si="7"/>
        <v>1789671.2579743965</v>
      </c>
      <c r="AV7" s="72">
        <f t="shared" ca="1" si="8"/>
        <v>7.0417443692750492E-2</v>
      </c>
    </row>
    <row r="8" spans="1:48" ht="11.25" customHeight="1" x14ac:dyDescent="0.25">
      <c r="A8" s="4" t="s">
        <v>21</v>
      </c>
      <c r="B8" s="4" t="s">
        <v>53</v>
      </c>
      <c r="C8" s="4" t="s">
        <v>36</v>
      </c>
      <c r="D8" s="4" t="s">
        <v>34</v>
      </c>
      <c r="E8" s="4" t="s">
        <v>25</v>
      </c>
      <c r="F8" s="4" t="s">
        <v>25</v>
      </c>
      <c r="G8" s="4" t="s">
        <v>25</v>
      </c>
      <c r="H8" s="4" t="s">
        <v>38</v>
      </c>
      <c r="I8" s="5">
        <v>44562</v>
      </c>
      <c r="J8" s="6">
        <v>3300</v>
      </c>
      <c r="K8" s="6">
        <v>3300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54</v>
      </c>
      <c r="R8" s="4">
        <v>0</v>
      </c>
      <c r="S8" s="6">
        <v>19</v>
      </c>
      <c r="T8" s="6">
        <v>0</v>
      </c>
      <c r="U8" s="6">
        <v>0</v>
      </c>
      <c r="V8" s="6">
        <f>IF(ISERROR(VLOOKUP($S$8,'TAR FIN'!$A$1:$O$93,15,0)),0,VLOOKUP($S$8,'TAR FIN'!$A$1:$O$93,15,0))</f>
        <v>10.39</v>
      </c>
      <c r="W8" s="6">
        <f>IF(ISERROR(VLOOKUP($T$8,'TAR FIN'!$A$1:$O$93,15,0)),0,VLOOKUP($T$8,'TAR FIN'!$A$1:$O$93,15,0))</f>
        <v>0</v>
      </c>
      <c r="X8" s="6">
        <f>IF(ISERROR(VLOOKUP($U$8,'TAR FIN'!$A$1:$O$93,15,0)),0,VLOOKUP($U$8,'TAR FIN'!$A$1:$O$93,15,0))</f>
        <v>0</v>
      </c>
      <c r="Y8" s="6">
        <f ca="1">('TUSD BE'!$AM$6+'TUSD BF'!$AM$6+'TUSD CVA'!$AM$6)*1</f>
        <v>11.047315999953963</v>
      </c>
      <c r="Z8" s="6">
        <f ca="1">('TUSD BE'!$AM$7+'TUSD BF'!$AM$7+'TUSD CVA'!$AM$7)*1</f>
        <v>65.413161375527963</v>
      </c>
      <c r="AA8" s="6"/>
      <c r="AB8" s="6">
        <f>$K$8*$V$8</f>
        <v>34287</v>
      </c>
      <c r="AC8" s="6">
        <f>$M$8*$W$8</f>
        <v>0</v>
      </c>
      <c r="AD8" s="6">
        <f>$O$8*$X$8</f>
        <v>0</v>
      </c>
      <c r="AE8" s="6">
        <f ca="1">$K$8*$Y$8</f>
        <v>36456.142799848079</v>
      </c>
      <c r="AF8" s="6">
        <f ca="1">$M$8*$Z$8</f>
        <v>0</v>
      </c>
      <c r="AG8" s="6">
        <f>$O$8*$AA$8</f>
        <v>0</v>
      </c>
      <c r="AI8" s="70" t="s">
        <v>619</v>
      </c>
      <c r="AJ8" s="71">
        <f>+$AJ$2+$AJ$3</f>
        <v>58204939.87272191</v>
      </c>
      <c r="AK8" s="71">
        <f ca="1">+$AK$2+$AK$3</f>
        <v>70847951.997995526</v>
      </c>
      <c r="AL8" s="72">
        <f t="shared" ca="1" si="2"/>
        <v>0.21721544860144837</v>
      </c>
      <c r="AN8" s="70" t="s">
        <v>619</v>
      </c>
      <c r="AO8" s="71">
        <f>+$AO$2+$AO$3</f>
        <v>31838430.191585205</v>
      </c>
      <c r="AP8" s="71">
        <f>+$AP$2+$AP$3</f>
        <v>34265717.67766761</v>
      </c>
      <c r="AQ8" s="72">
        <f t="shared" si="5"/>
        <v>7.6237662204964085E-2</v>
      </c>
      <c r="AS8" s="70" t="s">
        <v>619</v>
      </c>
      <c r="AT8" s="71">
        <f>+$AT$2+$AT$3</f>
        <v>90043370.064307123</v>
      </c>
      <c r="AU8" s="71">
        <f ca="1">+$AU$2+$AU$3</f>
        <v>105113669.67566313</v>
      </c>
      <c r="AV8" s="72">
        <f t="shared" ca="1" si="8"/>
        <v>0.16736712098395601</v>
      </c>
    </row>
    <row r="9" spans="1:48" ht="11.25" customHeight="1" x14ac:dyDescent="0.25">
      <c r="A9" s="4" t="s">
        <v>21</v>
      </c>
      <c r="B9" s="4" t="s">
        <v>53</v>
      </c>
      <c r="C9" s="4" t="s">
        <v>36</v>
      </c>
      <c r="D9" s="4" t="s">
        <v>34</v>
      </c>
      <c r="E9" s="4" t="s">
        <v>25</v>
      </c>
      <c r="F9" s="4" t="s">
        <v>25</v>
      </c>
      <c r="G9" s="4" t="s">
        <v>25</v>
      </c>
      <c r="H9" s="4" t="s">
        <v>38</v>
      </c>
      <c r="I9" s="5">
        <v>44593</v>
      </c>
      <c r="J9" s="6">
        <v>3300</v>
      </c>
      <c r="K9" s="6">
        <v>3300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54</v>
      </c>
      <c r="R9" s="4">
        <v>0</v>
      </c>
      <c r="S9" s="6">
        <v>19</v>
      </c>
      <c r="T9" s="6">
        <v>0</v>
      </c>
      <c r="U9" s="6">
        <v>0</v>
      </c>
      <c r="V9" s="6">
        <f>IF(ISERROR(VLOOKUP($S$9,'TAR FIN'!$A$1:$O$93,15,0)),0,VLOOKUP($S$9,'TAR FIN'!$A$1:$O$93,15,0))</f>
        <v>10.39</v>
      </c>
      <c r="W9" s="6">
        <f>IF(ISERROR(VLOOKUP($T$9,'TAR FIN'!$A$1:$O$93,15,0)),0,VLOOKUP($T$9,'TAR FIN'!$A$1:$O$93,15,0))</f>
        <v>0</v>
      </c>
      <c r="X9" s="6">
        <f>IF(ISERROR(VLOOKUP($U$9,'TAR FIN'!$A$1:$O$93,15,0)),0,VLOOKUP($U$9,'TAR FIN'!$A$1:$O$93,15,0))</f>
        <v>0</v>
      </c>
      <c r="Y9" s="6">
        <f ca="1">('TUSD BE'!$AM$6+'TUSD BF'!$AM$6+'TUSD CVA'!$AM$6)*1</f>
        <v>11.047315999953963</v>
      </c>
      <c r="Z9" s="6">
        <f ca="1">('TUSD BE'!$AM$7+'TUSD BF'!$AM$7+'TUSD CVA'!$AM$7)*1</f>
        <v>65.413161375527963</v>
      </c>
      <c r="AA9" s="6"/>
      <c r="AB9" s="6">
        <f>$K$9*$V$9</f>
        <v>34287</v>
      </c>
      <c r="AC9" s="6">
        <f>$M$9*$W$9</f>
        <v>0</v>
      </c>
      <c r="AD9" s="6">
        <f>$O$9*$X$9</f>
        <v>0</v>
      </c>
      <c r="AE9" s="6">
        <f ca="1">$K$9*$Y$9</f>
        <v>36456.142799848079</v>
      </c>
      <c r="AF9" s="6">
        <f ca="1">$M$9*$Z$9</f>
        <v>0</v>
      </c>
      <c r="AG9" s="6">
        <f>$O$9*$AA$9</f>
        <v>0</v>
      </c>
      <c r="AI9" s="70" t="s">
        <v>91</v>
      </c>
      <c r="AJ9" s="71">
        <f>+$AJ$4+$AJ$5+$AJ$6+$AJ$7</f>
        <v>59139421.026838616</v>
      </c>
      <c r="AK9" s="71">
        <f ca="1">+$AK$4+$AK$5+$AK$6+$AK$7</f>
        <v>66471886.9563317</v>
      </c>
      <c r="AL9" s="72">
        <f t="shared" ca="1" si="2"/>
        <v>0.12398609594377774</v>
      </c>
      <c r="AN9" s="70" t="s">
        <v>91</v>
      </c>
      <c r="AO9" s="71">
        <f>+$AO$4+$AO$5+$AO$6+$AO$7</f>
        <v>40166366.381078809</v>
      </c>
      <c r="AP9" s="71">
        <f>+$AP$4+$AP$5+$AP$6+$AP$7</f>
        <v>45143084.415148735</v>
      </c>
      <c r="AQ9" s="72">
        <f t="shared" si="5"/>
        <v>0.12390262008898856</v>
      </c>
      <c r="AS9" s="70" t="s">
        <v>91</v>
      </c>
      <c r="AT9" s="71">
        <f>+$AT$4+$AT$5+$AT$6+$AT$7</f>
        <v>99305787.40791744</v>
      </c>
      <c r="AU9" s="71">
        <f ca="1">+$AU$4+$AU$5+$AU$6+$AU$7</f>
        <v>111614971.37148042</v>
      </c>
      <c r="AV9" s="72">
        <f t="shared" ca="1" si="8"/>
        <v>0.12395233233487857</v>
      </c>
    </row>
    <row r="10" spans="1:48" ht="11.25" customHeight="1" x14ac:dyDescent="0.25">
      <c r="A10" s="4" t="s">
        <v>21</v>
      </c>
      <c r="B10" s="4" t="s">
        <v>53</v>
      </c>
      <c r="C10" s="4" t="s">
        <v>36</v>
      </c>
      <c r="D10" s="4" t="s">
        <v>34</v>
      </c>
      <c r="E10" s="4" t="s">
        <v>25</v>
      </c>
      <c r="F10" s="4" t="s">
        <v>25</v>
      </c>
      <c r="G10" s="4" t="s">
        <v>25</v>
      </c>
      <c r="H10" s="4" t="s">
        <v>38</v>
      </c>
      <c r="I10" s="5">
        <v>44621</v>
      </c>
      <c r="J10" s="6">
        <v>3300</v>
      </c>
      <c r="K10" s="6">
        <v>3300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54</v>
      </c>
      <c r="R10" s="4">
        <v>0</v>
      </c>
      <c r="S10" s="6">
        <v>19</v>
      </c>
      <c r="T10" s="6">
        <v>0</v>
      </c>
      <c r="U10" s="6">
        <v>0</v>
      </c>
      <c r="V10" s="6">
        <f>IF(ISERROR(VLOOKUP($S$10,'TAR FIN'!$A$1:$O$93,15,0)),0,VLOOKUP($S$10,'TAR FIN'!$A$1:$O$93,15,0))</f>
        <v>10.39</v>
      </c>
      <c r="W10" s="6">
        <f>IF(ISERROR(VLOOKUP($T$10,'TAR FIN'!$A$1:$O$93,15,0)),0,VLOOKUP($T$10,'TAR FIN'!$A$1:$O$93,15,0))</f>
        <v>0</v>
      </c>
      <c r="X10" s="6">
        <f>IF(ISERROR(VLOOKUP($U$10,'TAR FIN'!$A$1:$O$93,15,0)),0,VLOOKUP($U$10,'TAR FIN'!$A$1:$O$93,15,0))</f>
        <v>0</v>
      </c>
      <c r="Y10" s="6">
        <f ca="1">('TUSD BE'!$AM$6+'TUSD BF'!$AM$6+'TUSD CVA'!$AM$6)*1</f>
        <v>11.047315999953963</v>
      </c>
      <c r="Z10" s="6">
        <f ca="1">('TUSD BE'!$AM$7+'TUSD BF'!$AM$7+'TUSD CVA'!$AM$7)*1</f>
        <v>65.413161375527963</v>
      </c>
      <c r="AA10" s="6"/>
      <c r="AB10" s="6">
        <f>$K$10*$V$10</f>
        <v>34287</v>
      </c>
      <c r="AC10" s="6">
        <f>$M$10*$W$10</f>
        <v>0</v>
      </c>
      <c r="AD10" s="6">
        <f>$O$10*$X$10</f>
        <v>0</v>
      </c>
      <c r="AE10" s="6">
        <f ca="1">$K$10*$Y$10</f>
        <v>36456.142799848079</v>
      </c>
      <c r="AF10" s="6">
        <f ca="1">$M$10*$Z$10</f>
        <v>0</v>
      </c>
      <c r="AG10" s="6">
        <f>$O$10*$AA$10</f>
        <v>0</v>
      </c>
      <c r="AI10" s="70" t="s">
        <v>620</v>
      </c>
      <c r="AJ10" s="71">
        <f>AJ9+AJ8</f>
        <v>117344360.89956053</v>
      </c>
      <c r="AK10" s="71">
        <f ca="1">AK9+AK8</f>
        <v>137319838.95432723</v>
      </c>
      <c r="AL10" s="72">
        <f t="shared" ca="1" si="2"/>
        <v>0.17022955258893502</v>
      </c>
      <c r="AN10" s="70" t="s">
        <v>620</v>
      </c>
      <c r="AO10" s="71">
        <f>AO9+AO8</f>
        <v>72004796.572664022</v>
      </c>
      <c r="AP10" s="71">
        <f>AP9+AP8</f>
        <v>79408802.092816353</v>
      </c>
      <c r="AQ10" s="72">
        <f t="shared" si="5"/>
        <v>0.10282655979286792</v>
      </c>
      <c r="AS10" s="70" t="s">
        <v>620</v>
      </c>
      <c r="AT10" s="71">
        <f>AT9+AT8</f>
        <v>189349157.47222456</v>
      </c>
      <c r="AU10" s="71">
        <f ca="1">AU9+AU8</f>
        <v>216728641.04714355</v>
      </c>
      <c r="AV10" s="72">
        <f t="shared" ca="1" si="8"/>
        <v>0.14459786323018231</v>
      </c>
    </row>
    <row r="11" spans="1:48" ht="11.25" customHeight="1" x14ac:dyDescent="0.25">
      <c r="A11" s="4" t="s">
        <v>65</v>
      </c>
      <c r="B11" s="4" t="s">
        <v>53</v>
      </c>
      <c r="C11" s="4" t="s">
        <v>36</v>
      </c>
      <c r="D11" s="4" t="s">
        <v>34</v>
      </c>
      <c r="E11" s="4" t="s">
        <v>25</v>
      </c>
      <c r="F11" s="4" t="s">
        <v>25</v>
      </c>
      <c r="G11" s="4" t="s">
        <v>25</v>
      </c>
      <c r="H11" s="4" t="s">
        <v>38</v>
      </c>
      <c r="I11" s="5">
        <v>44652</v>
      </c>
      <c r="J11" s="6">
        <v>3300</v>
      </c>
      <c r="K11" s="6">
        <v>3300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54</v>
      </c>
      <c r="R11" s="4">
        <v>0</v>
      </c>
      <c r="S11" s="6">
        <v>19</v>
      </c>
      <c r="T11" s="6">
        <v>0</v>
      </c>
      <c r="U11" s="6">
        <v>0</v>
      </c>
      <c r="V11" s="6">
        <f>IF(ISERROR(VLOOKUP($S$11,'TAR FIN'!$A$1:$O$93,15,0)),0,VLOOKUP($S$11,'TAR FIN'!$A$1:$O$93,15,0))</f>
        <v>10.39</v>
      </c>
      <c r="W11" s="6">
        <f>IF(ISERROR(VLOOKUP($T$11,'TAR FIN'!$A$1:$O$93,15,0)),0,VLOOKUP($T$11,'TAR FIN'!$A$1:$O$93,15,0))</f>
        <v>0</v>
      </c>
      <c r="X11" s="6">
        <f>IF(ISERROR(VLOOKUP($U$11,'TAR FIN'!$A$1:$O$93,15,0)),0,VLOOKUP($U$11,'TAR FIN'!$A$1:$O$93,15,0))</f>
        <v>0</v>
      </c>
      <c r="Y11" s="6">
        <f ca="1">('TUSD BE'!$AM$6+'TUSD BF'!$AM$6+'TUSD CVA'!$AM$6)*1</f>
        <v>11.047315999953963</v>
      </c>
      <c r="Z11" s="6">
        <f ca="1">('TUSD BE'!$AM$7+'TUSD BF'!$AM$7+'TUSD CVA'!$AM$7)*1</f>
        <v>65.413161375527963</v>
      </c>
      <c r="AA11" s="6"/>
      <c r="AB11" s="6">
        <f>$K$11*$V$11</f>
        <v>34287</v>
      </c>
      <c r="AC11" s="6">
        <f>$M$11*$W$11</f>
        <v>0</v>
      </c>
      <c r="AD11" s="6">
        <f>$O$11*$X$11</f>
        <v>0</v>
      </c>
      <c r="AE11" s="6">
        <f ca="1">$K$11*$Y$11</f>
        <v>36456.142799848079</v>
      </c>
      <c r="AF11" s="6">
        <f ca="1">$M$11*$Z$11</f>
        <v>0</v>
      </c>
      <c r="AG11" s="6">
        <f>$O$11*$AA$11</f>
        <v>0</v>
      </c>
    </row>
    <row r="12" spans="1:48" ht="11.25" customHeight="1" x14ac:dyDescent="0.25">
      <c r="A12" s="4" t="s">
        <v>21</v>
      </c>
      <c r="B12" s="4" t="s">
        <v>53</v>
      </c>
      <c r="C12" s="4" t="s">
        <v>36</v>
      </c>
      <c r="D12" s="4" t="s">
        <v>34</v>
      </c>
      <c r="E12" s="4" t="s">
        <v>25</v>
      </c>
      <c r="F12" s="4" t="s">
        <v>25</v>
      </c>
      <c r="G12" s="4" t="s">
        <v>25</v>
      </c>
      <c r="H12" s="4" t="s">
        <v>38</v>
      </c>
      <c r="I12" s="5">
        <v>44682</v>
      </c>
      <c r="J12" s="6">
        <v>3300</v>
      </c>
      <c r="K12" s="6">
        <v>3300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54</v>
      </c>
      <c r="R12" s="4">
        <v>0</v>
      </c>
      <c r="S12" s="6">
        <v>19</v>
      </c>
      <c r="T12" s="6">
        <v>0</v>
      </c>
      <c r="U12" s="6">
        <v>0</v>
      </c>
      <c r="V12" s="6">
        <f>IF(ISERROR(VLOOKUP($S$12,'TAR FIN'!$A$1:$O$93,15,0)),0,VLOOKUP($S$12,'TAR FIN'!$A$1:$O$93,15,0))</f>
        <v>10.39</v>
      </c>
      <c r="W12" s="6">
        <f>IF(ISERROR(VLOOKUP($T$12,'TAR FIN'!$A$1:$O$93,15,0)),0,VLOOKUP($T$12,'TAR FIN'!$A$1:$O$93,15,0))</f>
        <v>0</v>
      </c>
      <c r="X12" s="6">
        <f>IF(ISERROR(VLOOKUP($U$12,'TAR FIN'!$A$1:$O$93,15,0)),0,VLOOKUP($U$12,'TAR FIN'!$A$1:$O$93,15,0))</f>
        <v>0</v>
      </c>
      <c r="Y12" s="6">
        <f ca="1">('TUSD BE'!$AM$6+'TUSD BF'!$AM$6+'TUSD CVA'!$AM$6)*1</f>
        <v>11.047315999953963</v>
      </c>
      <c r="Z12" s="6">
        <f ca="1">('TUSD BE'!$AM$7+'TUSD BF'!$AM$7+'TUSD CVA'!$AM$7)*1</f>
        <v>65.413161375527963</v>
      </c>
      <c r="AA12" s="6"/>
      <c r="AB12" s="6">
        <f>$K$12*$V$12</f>
        <v>34287</v>
      </c>
      <c r="AC12" s="6">
        <f>$M$12*$W$12</f>
        <v>0</v>
      </c>
      <c r="AD12" s="6">
        <f>$O$12*$X$12</f>
        <v>0</v>
      </c>
      <c r="AE12" s="6">
        <f ca="1">$K$12*$Y$12</f>
        <v>36456.142799848079</v>
      </c>
      <c r="AF12" s="6">
        <f ca="1">$M$12*$Z$12</f>
        <v>0</v>
      </c>
      <c r="AG12" s="6">
        <f>$O$12*$AA$12</f>
        <v>0</v>
      </c>
    </row>
    <row r="13" spans="1:48" ht="11.25" customHeight="1" x14ac:dyDescent="0.25">
      <c r="A13" s="4" t="s">
        <v>21</v>
      </c>
      <c r="B13" s="4" t="s">
        <v>53</v>
      </c>
      <c r="C13" s="4" t="s">
        <v>36</v>
      </c>
      <c r="D13" s="4" t="s">
        <v>34</v>
      </c>
      <c r="E13" s="4" t="s">
        <v>25</v>
      </c>
      <c r="F13" s="4" t="s">
        <v>25</v>
      </c>
      <c r="G13" s="4" t="s">
        <v>25</v>
      </c>
      <c r="H13" s="4" t="s">
        <v>38</v>
      </c>
      <c r="I13" s="5">
        <v>44713</v>
      </c>
      <c r="J13" s="6">
        <v>3300</v>
      </c>
      <c r="K13" s="6">
        <v>3300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54</v>
      </c>
      <c r="R13" s="4">
        <v>0</v>
      </c>
      <c r="S13" s="6">
        <v>19</v>
      </c>
      <c r="T13" s="6">
        <v>0</v>
      </c>
      <c r="U13" s="6">
        <v>0</v>
      </c>
      <c r="V13" s="6">
        <f>IF(ISERROR(VLOOKUP($S$13,'TAR FIN'!$A$1:$O$93,15,0)),0,VLOOKUP($S$13,'TAR FIN'!$A$1:$O$93,15,0))</f>
        <v>10.39</v>
      </c>
      <c r="W13" s="6">
        <f>IF(ISERROR(VLOOKUP($T$13,'TAR FIN'!$A$1:$O$93,15,0)),0,VLOOKUP($T$13,'TAR FIN'!$A$1:$O$93,15,0))</f>
        <v>0</v>
      </c>
      <c r="X13" s="6">
        <f>IF(ISERROR(VLOOKUP($U$13,'TAR FIN'!$A$1:$O$93,15,0)),0,VLOOKUP($U$13,'TAR FIN'!$A$1:$O$93,15,0))</f>
        <v>0</v>
      </c>
      <c r="Y13" s="6">
        <f ca="1">('TUSD BE'!$AM$6+'TUSD BF'!$AM$6+'TUSD CVA'!$AM$6)*1</f>
        <v>11.047315999953963</v>
      </c>
      <c r="Z13" s="6">
        <f ca="1">('TUSD BE'!$AM$7+'TUSD BF'!$AM$7+'TUSD CVA'!$AM$7)*1</f>
        <v>65.413161375527963</v>
      </c>
      <c r="AA13" s="6"/>
      <c r="AB13" s="6">
        <f>$K$13*$V$13</f>
        <v>34287</v>
      </c>
      <c r="AC13" s="6">
        <f>$M$13*$W$13</f>
        <v>0</v>
      </c>
      <c r="AD13" s="6">
        <f>$O$13*$X$13</f>
        <v>0</v>
      </c>
      <c r="AE13" s="6">
        <f ca="1">$K$13*$Y$13</f>
        <v>36456.142799848079</v>
      </c>
      <c r="AF13" s="6">
        <f ca="1">$M$13*$Z$13</f>
        <v>0</v>
      </c>
      <c r="AG13" s="6">
        <f>$O$13*$AA$13</f>
        <v>0</v>
      </c>
      <c r="AU13" s="132">
        <f ca="1">AU10+SUM(SUBSIDIO!AJ2:AJ9)</f>
        <v>238637046.49438724</v>
      </c>
    </row>
    <row r="14" spans="1:48" ht="11.25" customHeight="1" x14ac:dyDescent="0.25">
      <c r="A14" s="4" t="s">
        <v>21</v>
      </c>
      <c r="B14" s="4" t="s">
        <v>53</v>
      </c>
      <c r="C14" s="4" t="s">
        <v>36</v>
      </c>
      <c r="D14" s="4" t="s">
        <v>34</v>
      </c>
      <c r="E14" s="4" t="s">
        <v>25</v>
      </c>
      <c r="F14" s="4" t="s">
        <v>25</v>
      </c>
      <c r="G14" s="4" t="s">
        <v>25</v>
      </c>
      <c r="H14" s="4" t="s">
        <v>25</v>
      </c>
      <c r="I14" s="5">
        <v>44378</v>
      </c>
      <c r="J14" s="6">
        <v>0</v>
      </c>
      <c r="K14" s="6">
        <v>0</v>
      </c>
      <c r="L14" s="6">
        <v>1287.8820000000001</v>
      </c>
      <c r="M14" s="6">
        <v>1287.8820000000001</v>
      </c>
      <c r="N14" s="6">
        <v>0</v>
      </c>
      <c r="O14" s="6">
        <v>0</v>
      </c>
      <c r="P14" s="6">
        <v>1</v>
      </c>
      <c r="Q14" s="4" t="s">
        <v>54</v>
      </c>
      <c r="R14" s="4">
        <v>0</v>
      </c>
      <c r="S14" s="6">
        <v>0</v>
      </c>
      <c r="T14" s="6">
        <v>42</v>
      </c>
      <c r="U14" s="6">
        <v>0</v>
      </c>
      <c r="V14" s="6">
        <f>IF(ISERROR(VLOOKUP($S$14,'TAR FIN'!$A$1:$O$93,15,0)),0,VLOOKUP($S$14,'TAR FIN'!$A$1:$O$93,15,0))</f>
        <v>0</v>
      </c>
      <c r="W14" s="6">
        <f>IF(ISERROR(VLOOKUP($T$14,'TAR FIN'!$A$1:$O$93,15,0)),0,VLOOKUP($T$14,'TAR FIN'!$A$1:$O$93,15,0))</f>
        <v>48.44</v>
      </c>
      <c r="X14" s="6">
        <f>IF(ISERROR(VLOOKUP($U$14,'TAR FIN'!$A$1:$O$93,15,0)),0,VLOOKUP($U$14,'TAR FIN'!$A$1:$O$93,15,0))</f>
        <v>0</v>
      </c>
      <c r="Y14" s="6"/>
      <c r="Z14" s="6">
        <f ca="1">('TUSD BE'!$AM$7+'TUSD BF'!$AM$7+'TUSD CVA'!$AM$7)*1</f>
        <v>65.413161375527963</v>
      </c>
      <c r="AA14" s="6"/>
      <c r="AB14" s="6">
        <f>$K$14*$V$14</f>
        <v>0</v>
      </c>
      <c r="AC14" s="6">
        <f>$M$14*$W$14</f>
        <v>62385.004079999999</v>
      </c>
      <c r="AD14" s="6">
        <f>$O$14*$X$14</f>
        <v>0</v>
      </c>
      <c r="AE14" s="6">
        <f>$K$14*$Y$14</f>
        <v>0</v>
      </c>
      <c r="AF14" s="6">
        <f ca="1">$M$14*$Z$14</f>
        <v>84244.433098637703</v>
      </c>
      <c r="AG14" s="6">
        <f>$O$14*$AA$14</f>
        <v>0</v>
      </c>
      <c r="AU14" s="133"/>
    </row>
    <row r="15" spans="1:48" ht="11.25" customHeight="1" x14ac:dyDescent="0.25">
      <c r="A15" s="4" t="s">
        <v>21</v>
      </c>
      <c r="B15" s="4" t="s">
        <v>53</v>
      </c>
      <c r="C15" s="4" t="s">
        <v>36</v>
      </c>
      <c r="D15" s="4" t="s">
        <v>34</v>
      </c>
      <c r="E15" s="4" t="s">
        <v>25</v>
      </c>
      <c r="F15" s="4" t="s">
        <v>25</v>
      </c>
      <c r="G15" s="4" t="s">
        <v>25</v>
      </c>
      <c r="H15" s="4" t="s">
        <v>25</v>
      </c>
      <c r="I15" s="5">
        <v>44409</v>
      </c>
      <c r="J15" s="6">
        <v>0</v>
      </c>
      <c r="K15" s="6">
        <v>0</v>
      </c>
      <c r="L15" s="6">
        <v>1277.1189999999999</v>
      </c>
      <c r="M15" s="6">
        <v>1277.1189999999999</v>
      </c>
      <c r="N15" s="6">
        <v>0</v>
      </c>
      <c r="O15" s="6">
        <v>0</v>
      </c>
      <c r="P15" s="6">
        <v>1</v>
      </c>
      <c r="Q15" s="4" t="s">
        <v>54</v>
      </c>
      <c r="R15" s="4">
        <v>0</v>
      </c>
      <c r="S15" s="6">
        <v>0</v>
      </c>
      <c r="T15" s="6">
        <v>42</v>
      </c>
      <c r="U15" s="6">
        <v>0</v>
      </c>
      <c r="V15" s="6">
        <f>IF(ISERROR(VLOOKUP($S$15,'TAR FIN'!$A$1:$O$93,15,0)),0,VLOOKUP($S$15,'TAR FIN'!$A$1:$O$93,15,0))</f>
        <v>0</v>
      </c>
      <c r="W15" s="6">
        <f>IF(ISERROR(VLOOKUP($T$15,'TAR FIN'!$A$1:$O$93,15,0)),0,VLOOKUP($T$15,'TAR FIN'!$A$1:$O$93,15,0))</f>
        <v>48.44</v>
      </c>
      <c r="X15" s="6">
        <f>IF(ISERROR(VLOOKUP($U$15,'TAR FIN'!$A$1:$O$93,15,0)),0,VLOOKUP($U$15,'TAR FIN'!$A$1:$O$93,15,0))</f>
        <v>0</v>
      </c>
      <c r="Y15" s="6"/>
      <c r="Z15" s="6">
        <f ca="1">('TUSD BE'!$AM$7+'TUSD BF'!$AM$7+'TUSD CVA'!$AM$7)*1</f>
        <v>65.413161375527963</v>
      </c>
      <c r="AA15" s="6"/>
      <c r="AB15" s="6">
        <f>$K$15*$V$15</f>
        <v>0</v>
      </c>
      <c r="AC15" s="6">
        <f>$M$15*$W$15</f>
        <v>61863.644359999991</v>
      </c>
      <c r="AD15" s="6">
        <f>$O$15*$X$15</f>
        <v>0</v>
      </c>
      <c r="AE15" s="6">
        <f>$K$15*$Y$15</f>
        <v>0</v>
      </c>
      <c r="AF15" s="6">
        <f ca="1">$M$15*$Z$15</f>
        <v>83540.391242752885</v>
      </c>
      <c r="AG15" s="6">
        <f>$O$15*$AA$15</f>
        <v>0</v>
      </c>
      <c r="AU15" s="132">
        <f ca="1">CUSTOS!D48+CUSTOS!E48+CUSTOS!F48</f>
        <v>238637046.49438739</v>
      </c>
    </row>
    <row r="16" spans="1:48" ht="11.25" customHeight="1" x14ac:dyDescent="0.25">
      <c r="A16" s="4" t="s">
        <v>21</v>
      </c>
      <c r="B16" s="4" t="s">
        <v>53</v>
      </c>
      <c r="C16" s="4" t="s">
        <v>36</v>
      </c>
      <c r="D16" s="4" t="s">
        <v>34</v>
      </c>
      <c r="E16" s="4" t="s">
        <v>25</v>
      </c>
      <c r="F16" s="4" t="s">
        <v>25</v>
      </c>
      <c r="G16" s="4" t="s">
        <v>25</v>
      </c>
      <c r="H16" s="4" t="s">
        <v>25</v>
      </c>
      <c r="I16" s="5">
        <v>44440</v>
      </c>
      <c r="J16" s="6">
        <v>0</v>
      </c>
      <c r="K16" s="6">
        <v>0</v>
      </c>
      <c r="L16" s="6">
        <v>1380.8340000000001</v>
      </c>
      <c r="M16" s="6">
        <v>1380.8340000000001</v>
      </c>
      <c r="N16" s="6">
        <v>0</v>
      </c>
      <c r="O16" s="6">
        <v>0</v>
      </c>
      <c r="P16" s="6">
        <v>1</v>
      </c>
      <c r="Q16" s="4" t="s">
        <v>54</v>
      </c>
      <c r="R16" s="4">
        <v>0</v>
      </c>
      <c r="S16" s="6">
        <v>0</v>
      </c>
      <c r="T16" s="6">
        <v>42</v>
      </c>
      <c r="U16" s="6">
        <v>0</v>
      </c>
      <c r="V16" s="6">
        <f>IF(ISERROR(VLOOKUP($S$16,'TAR FIN'!$A$1:$O$93,15,0)),0,VLOOKUP($S$16,'TAR FIN'!$A$1:$O$93,15,0))</f>
        <v>0</v>
      </c>
      <c r="W16" s="6">
        <f>IF(ISERROR(VLOOKUP($T$16,'TAR FIN'!$A$1:$O$93,15,0)),0,VLOOKUP($T$16,'TAR FIN'!$A$1:$O$93,15,0))</f>
        <v>48.44</v>
      </c>
      <c r="X16" s="6">
        <f>IF(ISERROR(VLOOKUP($U$16,'TAR FIN'!$A$1:$O$93,15,0)),0,VLOOKUP($U$16,'TAR FIN'!$A$1:$O$93,15,0))</f>
        <v>0</v>
      </c>
      <c r="Y16" s="6"/>
      <c r="Z16" s="6">
        <f ca="1">('TUSD BE'!$AM$7+'TUSD BF'!$AM$7+'TUSD CVA'!$AM$7)*1</f>
        <v>65.413161375527963</v>
      </c>
      <c r="AA16" s="6"/>
      <c r="AB16" s="6">
        <f>$K$16*$V$16</f>
        <v>0</v>
      </c>
      <c r="AC16" s="6">
        <f>$M$16*$W$16</f>
        <v>66887.598960000003</v>
      </c>
      <c r="AD16" s="6">
        <f>$O$16*$X$16</f>
        <v>0</v>
      </c>
      <c r="AE16" s="6">
        <f>$K$16*$Y$16</f>
        <v>0</v>
      </c>
      <c r="AF16" s="6">
        <f ca="1">$M$16*$Z$16</f>
        <v>90324.71727481579</v>
      </c>
      <c r="AG16" s="6">
        <f>$O$16*$AA$16</f>
        <v>0</v>
      </c>
    </row>
    <row r="17" spans="1:33" ht="11.25" customHeight="1" x14ac:dyDescent="0.25">
      <c r="A17" s="4" t="s">
        <v>21</v>
      </c>
      <c r="B17" s="4" t="s">
        <v>53</v>
      </c>
      <c r="C17" s="4" t="s">
        <v>36</v>
      </c>
      <c r="D17" s="4" t="s">
        <v>34</v>
      </c>
      <c r="E17" s="4" t="s">
        <v>25</v>
      </c>
      <c r="F17" s="4" t="s">
        <v>25</v>
      </c>
      <c r="G17" s="4" t="s">
        <v>25</v>
      </c>
      <c r="H17" s="4" t="s">
        <v>25</v>
      </c>
      <c r="I17" s="5">
        <v>44470</v>
      </c>
      <c r="J17" s="6">
        <v>0</v>
      </c>
      <c r="K17" s="6">
        <v>0</v>
      </c>
      <c r="L17" s="6">
        <v>1365.3340000000001</v>
      </c>
      <c r="M17" s="6">
        <v>1365.3340000000001</v>
      </c>
      <c r="N17" s="6">
        <v>0</v>
      </c>
      <c r="O17" s="6">
        <v>0</v>
      </c>
      <c r="P17" s="6">
        <v>1</v>
      </c>
      <c r="Q17" s="4" t="s">
        <v>54</v>
      </c>
      <c r="R17" s="4">
        <v>0</v>
      </c>
      <c r="S17" s="6">
        <v>0</v>
      </c>
      <c r="T17" s="6">
        <v>42</v>
      </c>
      <c r="U17" s="6">
        <v>0</v>
      </c>
      <c r="V17" s="6">
        <f>IF(ISERROR(VLOOKUP($S$17,'TAR FIN'!$A$1:$O$93,15,0)),0,VLOOKUP($S$17,'TAR FIN'!$A$1:$O$93,15,0))</f>
        <v>0</v>
      </c>
      <c r="W17" s="6">
        <f>IF(ISERROR(VLOOKUP($T$17,'TAR FIN'!$A$1:$O$93,15,0)),0,VLOOKUP($T$17,'TAR FIN'!$A$1:$O$93,15,0))</f>
        <v>48.44</v>
      </c>
      <c r="X17" s="6">
        <f>IF(ISERROR(VLOOKUP($U$17,'TAR FIN'!$A$1:$O$93,15,0)),0,VLOOKUP($U$17,'TAR FIN'!$A$1:$O$93,15,0))</f>
        <v>0</v>
      </c>
      <c r="Y17" s="6"/>
      <c r="Z17" s="6">
        <f ca="1">('TUSD BE'!$AM$7+'TUSD BF'!$AM$7+'TUSD CVA'!$AM$7)*1</f>
        <v>65.413161375527963</v>
      </c>
      <c r="AA17" s="6"/>
      <c r="AB17" s="6">
        <f>$K$17*$V$17</f>
        <v>0</v>
      </c>
      <c r="AC17" s="6">
        <f>$M$17*$W$17</f>
        <v>66136.778959999996</v>
      </c>
      <c r="AD17" s="6">
        <f>$O$17*$X$17</f>
        <v>0</v>
      </c>
      <c r="AE17" s="6">
        <f>$K$17*$Y$17</f>
        <v>0</v>
      </c>
      <c r="AF17" s="6">
        <f ca="1">$M$17*$Z$17</f>
        <v>89310.813273495107</v>
      </c>
      <c r="AG17" s="6">
        <f>$O$17*$AA$17</f>
        <v>0</v>
      </c>
    </row>
    <row r="18" spans="1:33" ht="11.25" customHeight="1" x14ac:dyDescent="0.25">
      <c r="A18" s="4" t="s">
        <v>21</v>
      </c>
      <c r="B18" s="4" t="s">
        <v>53</v>
      </c>
      <c r="C18" s="4" t="s">
        <v>36</v>
      </c>
      <c r="D18" s="4" t="s">
        <v>34</v>
      </c>
      <c r="E18" s="4" t="s">
        <v>25</v>
      </c>
      <c r="F18" s="4" t="s">
        <v>25</v>
      </c>
      <c r="G18" s="4" t="s">
        <v>25</v>
      </c>
      <c r="H18" s="4" t="s">
        <v>25</v>
      </c>
      <c r="I18" s="5">
        <v>44501</v>
      </c>
      <c r="J18" s="6">
        <v>0</v>
      </c>
      <c r="K18" s="6">
        <v>0</v>
      </c>
      <c r="L18" s="6">
        <v>1450.1990000000001</v>
      </c>
      <c r="M18" s="6">
        <v>1450.1990000000001</v>
      </c>
      <c r="N18" s="6">
        <v>0</v>
      </c>
      <c r="O18" s="6">
        <v>0</v>
      </c>
      <c r="P18" s="6">
        <v>1</v>
      </c>
      <c r="Q18" s="4" t="s">
        <v>54</v>
      </c>
      <c r="R18" s="4">
        <v>0</v>
      </c>
      <c r="S18" s="6">
        <v>0</v>
      </c>
      <c r="T18" s="6">
        <v>42</v>
      </c>
      <c r="U18" s="6">
        <v>0</v>
      </c>
      <c r="V18" s="6">
        <f>IF(ISERROR(VLOOKUP($S$18,'TAR FIN'!$A$1:$O$93,15,0)),0,VLOOKUP($S$18,'TAR FIN'!$A$1:$O$93,15,0))</f>
        <v>0</v>
      </c>
      <c r="W18" s="6">
        <f>IF(ISERROR(VLOOKUP($T$18,'TAR FIN'!$A$1:$O$93,15,0)),0,VLOOKUP($T$18,'TAR FIN'!$A$1:$O$93,15,0))</f>
        <v>48.44</v>
      </c>
      <c r="X18" s="6">
        <f>IF(ISERROR(VLOOKUP($U$18,'TAR FIN'!$A$1:$O$93,15,0)),0,VLOOKUP($U$18,'TAR FIN'!$A$1:$O$93,15,0))</f>
        <v>0</v>
      </c>
      <c r="Y18" s="6"/>
      <c r="Z18" s="6">
        <f ca="1">('TUSD BE'!$AM$7+'TUSD BF'!$AM$7+'TUSD CVA'!$AM$7)*1</f>
        <v>65.413161375527963</v>
      </c>
      <c r="AA18" s="6"/>
      <c r="AB18" s="6">
        <f>$K$18*$V$18</f>
        <v>0</v>
      </c>
      <c r="AC18" s="6">
        <f>$M$18*$W$18</f>
        <v>70247.639559999996</v>
      </c>
      <c r="AD18" s="6">
        <f>$O$18*$X$18</f>
        <v>0</v>
      </c>
      <c r="AE18" s="6">
        <f>$K$18*$Y$18</f>
        <v>0</v>
      </c>
      <c r="AF18" s="6">
        <f ca="1">$M$18*$Z$18</f>
        <v>94862.101213629285</v>
      </c>
      <c r="AG18" s="6">
        <f>$O$18*$AA$18</f>
        <v>0</v>
      </c>
    </row>
    <row r="19" spans="1:33" ht="11.25" customHeight="1" x14ac:dyDescent="0.25">
      <c r="A19" s="4" t="s">
        <v>65</v>
      </c>
      <c r="B19" s="4" t="s">
        <v>53</v>
      </c>
      <c r="C19" s="4" t="s">
        <v>36</v>
      </c>
      <c r="D19" s="4" t="s">
        <v>34</v>
      </c>
      <c r="E19" s="4" t="s">
        <v>25</v>
      </c>
      <c r="F19" s="4" t="s">
        <v>25</v>
      </c>
      <c r="G19" s="4" t="s">
        <v>25</v>
      </c>
      <c r="H19" s="4" t="s">
        <v>25</v>
      </c>
      <c r="I19" s="5">
        <v>44531</v>
      </c>
      <c r="J19" s="6">
        <v>0</v>
      </c>
      <c r="K19" s="6">
        <v>0</v>
      </c>
      <c r="L19" s="6">
        <v>1450.1990000000001</v>
      </c>
      <c r="M19" s="6">
        <v>1450.1990000000001</v>
      </c>
      <c r="N19" s="6">
        <v>0</v>
      </c>
      <c r="O19" s="6">
        <v>0</v>
      </c>
      <c r="P19" s="6">
        <v>1</v>
      </c>
      <c r="Q19" s="4" t="s">
        <v>54</v>
      </c>
      <c r="R19" s="4">
        <v>0</v>
      </c>
      <c r="S19" s="6">
        <v>0</v>
      </c>
      <c r="T19" s="6">
        <v>42</v>
      </c>
      <c r="U19" s="6">
        <v>0</v>
      </c>
      <c r="V19" s="6">
        <f>IF(ISERROR(VLOOKUP($S$19,'TAR FIN'!$A$1:$O$93,15,0)),0,VLOOKUP($S$19,'TAR FIN'!$A$1:$O$93,15,0))</f>
        <v>0</v>
      </c>
      <c r="W19" s="6">
        <f>IF(ISERROR(VLOOKUP($T$19,'TAR FIN'!$A$1:$O$93,15,0)),0,VLOOKUP($T$19,'TAR FIN'!$A$1:$O$93,15,0))</f>
        <v>48.44</v>
      </c>
      <c r="X19" s="6">
        <f>IF(ISERROR(VLOOKUP($U$19,'TAR FIN'!$A$1:$O$93,15,0)),0,VLOOKUP($U$19,'TAR FIN'!$A$1:$O$93,15,0))</f>
        <v>0</v>
      </c>
      <c r="Y19" s="6"/>
      <c r="Z19" s="6">
        <f ca="1">('TUSD BE'!$AM$7+'TUSD BF'!$AM$7+'TUSD CVA'!$AM$7)*1</f>
        <v>65.413161375527963</v>
      </c>
      <c r="AA19" s="6"/>
      <c r="AB19" s="6">
        <f>$K$19*$V$19</f>
        <v>0</v>
      </c>
      <c r="AC19" s="6">
        <f>$M$19*$W$19</f>
        <v>70247.639559999996</v>
      </c>
      <c r="AD19" s="6">
        <f>$O$19*$X$19</f>
        <v>0</v>
      </c>
      <c r="AE19" s="6">
        <f>$K$19*$Y$19</f>
        <v>0</v>
      </c>
      <c r="AF19" s="6">
        <f ca="1">$M$19*$Z$19</f>
        <v>94862.101213629285</v>
      </c>
      <c r="AG19" s="6">
        <f>$O$19*$AA$19</f>
        <v>0</v>
      </c>
    </row>
    <row r="20" spans="1:33" ht="11.25" customHeight="1" x14ac:dyDescent="0.25">
      <c r="A20" s="4" t="s">
        <v>21</v>
      </c>
      <c r="B20" s="4" t="s">
        <v>53</v>
      </c>
      <c r="C20" s="4" t="s">
        <v>36</v>
      </c>
      <c r="D20" s="4" t="s">
        <v>34</v>
      </c>
      <c r="E20" s="4" t="s">
        <v>25</v>
      </c>
      <c r="F20" s="4" t="s">
        <v>25</v>
      </c>
      <c r="G20" s="4" t="s">
        <v>25</v>
      </c>
      <c r="H20" s="4" t="s">
        <v>25</v>
      </c>
      <c r="I20" s="5">
        <v>44562</v>
      </c>
      <c r="J20" s="6">
        <v>0</v>
      </c>
      <c r="K20" s="6">
        <v>0</v>
      </c>
      <c r="L20" s="6">
        <v>1424.0119999999999</v>
      </c>
      <c r="M20" s="6">
        <v>1424.0119999999999</v>
      </c>
      <c r="N20" s="6">
        <v>0</v>
      </c>
      <c r="O20" s="6">
        <v>0</v>
      </c>
      <c r="P20" s="6">
        <v>1</v>
      </c>
      <c r="Q20" s="4" t="s">
        <v>54</v>
      </c>
      <c r="R20" s="4">
        <v>0</v>
      </c>
      <c r="S20" s="6">
        <v>0</v>
      </c>
      <c r="T20" s="6">
        <v>42</v>
      </c>
      <c r="U20" s="6">
        <v>0</v>
      </c>
      <c r="V20" s="6">
        <f>IF(ISERROR(VLOOKUP($S$20,'TAR FIN'!$A$1:$O$93,15,0)),0,VLOOKUP($S$20,'TAR FIN'!$A$1:$O$93,15,0))</f>
        <v>0</v>
      </c>
      <c r="W20" s="6">
        <f>IF(ISERROR(VLOOKUP($T$20,'TAR FIN'!$A$1:$O$93,15,0)),0,VLOOKUP($T$20,'TAR FIN'!$A$1:$O$93,15,0))</f>
        <v>48.44</v>
      </c>
      <c r="X20" s="6">
        <f>IF(ISERROR(VLOOKUP($U$20,'TAR FIN'!$A$1:$O$93,15,0)),0,VLOOKUP($U$20,'TAR FIN'!$A$1:$O$93,15,0))</f>
        <v>0</v>
      </c>
      <c r="Y20" s="6"/>
      <c r="Z20" s="6">
        <f ca="1">('TUSD BE'!$AM$7+'TUSD BF'!$AM$7+'TUSD CVA'!$AM$7)*1</f>
        <v>65.413161375527963</v>
      </c>
      <c r="AA20" s="6"/>
      <c r="AB20" s="6">
        <f>$K$20*$V$20</f>
        <v>0</v>
      </c>
      <c r="AC20" s="6">
        <f>$M$20*$W$20</f>
        <v>68979.141279999996</v>
      </c>
      <c r="AD20" s="6">
        <f>$O$20*$X$20</f>
        <v>0</v>
      </c>
      <c r="AE20" s="6">
        <f>$K$20*$Y$20</f>
        <v>0</v>
      </c>
      <c r="AF20" s="6">
        <f ca="1">$M$20*$Z$20</f>
        <v>93149.126756688318</v>
      </c>
      <c r="AG20" s="6">
        <f>$O$20*$AA$20</f>
        <v>0</v>
      </c>
    </row>
    <row r="21" spans="1:33" ht="11.25" customHeight="1" x14ac:dyDescent="0.25">
      <c r="A21" s="4" t="s">
        <v>21</v>
      </c>
      <c r="B21" s="4" t="s">
        <v>53</v>
      </c>
      <c r="C21" s="4" t="s">
        <v>36</v>
      </c>
      <c r="D21" s="4" t="s">
        <v>34</v>
      </c>
      <c r="E21" s="4" t="s">
        <v>25</v>
      </c>
      <c r="F21" s="4" t="s">
        <v>25</v>
      </c>
      <c r="G21" s="4" t="s">
        <v>25</v>
      </c>
      <c r="H21" s="4" t="s">
        <v>25</v>
      </c>
      <c r="I21" s="5">
        <v>44593</v>
      </c>
      <c r="J21" s="6">
        <v>0</v>
      </c>
      <c r="K21" s="6">
        <v>0</v>
      </c>
      <c r="L21" s="6">
        <v>1638.89</v>
      </c>
      <c r="M21" s="6">
        <v>1638.89</v>
      </c>
      <c r="N21" s="6">
        <v>0</v>
      </c>
      <c r="O21" s="6">
        <v>0</v>
      </c>
      <c r="P21" s="6">
        <v>1</v>
      </c>
      <c r="Q21" s="4" t="s">
        <v>54</v>
      </c>
      <c r="R21" s="4">
        <v>0</v>
      </c>
      <c r="S21" s="6">
        <v>0</v>
      </c>
      <c r="T21" s="6">
        <v>42</v>
      </c>
      <c r="U21" s="6">
        <v>0</v>
      </c>
      <c r="V21" s="6">
        <f>IF(ISERROR(VLOOKUP($S$21,'TAR FIN'!$A$1:$O$93,15,0)),0,VLOOKUP($S$21,'TAR FIN'!$A$1:$O$93,15,0))</f>
        <v>0</v>
      </c>
      <c r="W21" s="6">
        <f>IF(ISERROR(VLOOKUP($T$21,'TAR FIN'!$A$1:$O$93,15,0)),0,VLOOKUP($T$21,'TAR FIN'!$A$1:$O$93,15,0))</f>
        <v>48.44</v>
      </c>
      <c r="X21" s="6">
        <f>IF(ISERROR(VLOOKUP($U$21,'TAR FIN'!$A$1:$O$93,15,0)),0,VLOOKUP($U$21,'TAR FIN'!$A$1:$O$93,15,0))</f>
        <v>0</v>
      </c>
      <c r="Y21" s="6"/>
      <c r="Z21" s="6">
        <f ca="1">('TUSD BE'!$AM$7+'TUSD BF'!$AM$7+'TUSD CVA'!$AM$7)*1</f>
        <v>65.413161375527963</v>
      </c>
      <c r="AA21" s="6"/>
      <c r="AB21" s="6">
        <f>$K$21*$V$21</f>
        <v>0</v>
      </c>
      <c r="AC21" s="6">
        <f>$M$21*$W$21</f>
        <v>79387.831600000005</v>
      </c>
      <c r="AD21" s="6">
        <f>$O$21*$X$21</f>
        <v>0</v>
      </c>
      <c r="AE21" s="6">
        <f>$K$21*$Y$21</f>
        <v>0</v>
      </c>
      <c r="AF21" s="6">
        <f ca="1">$M$21*$Z$21</f>
        <v>107204.97604673903</v>
      </c>
      <c r="AG21" s="6">
        <f>$O$21*$AA$21</f>
        <v>0</v>
      </c>
    </row>
    <row r="22" spans="1:33" ht="11.25" customHeight="1" x14ac:dyDescent="0.25">
      <c r="A22" s="4" t="s">
        <v>21</v>
      </c>
      <c r="B22" s="4" t="s">
        <v>53</v>
      </c>
      <c r="C22" s="4" t="s">
        <v>36</v>
      </c>
      <c r="D22" s="4" t="s">
        <v>34</v>
      </c>
      <c r="E22" s="4" t="s">
        <v>25</v>
      </c>
      <c r="F22" s="4" t="s">
        <v>25</v>
      </c>
      <c r="G22" s="4" t="s">
        <v>25</v>
      </c>
      <c r="H22" s="4" t="s">
        <v>25</v>
      </c>
      <c r="I22" s="5">
        <v>44621</v>
      </c>
      <c r="J22" s="6">
        <v>0</v>
      </c>
      <c r="K22" s="6">
        <v>0</v>
      </c>
      <c r="L22" s="6">
        <v>1425.896</v>
      </c>
      <c r="M22" s="6">
        <v>1425.896</v>
      </c>
      <c r="N22" s="6">
        <v>0</v>
      </c>
      <c r="O22" s="6">
        <v>0</v>
      </c>
      <c r="P22" s="6">
        <v>1</v>
      </c>
      <c r="Q22" s="4" t="s">
        <v>54</v>
      </c>
      <c r="R22" s="4">
        <v>0</v>
      </c>
      <c r="S22" s="6">
        <v>0</v>
      </c>
      <c r="T22" s="6">
        <v>42</v>
      </c>
      <c r="U22" s="6">
        <v>0</v>
      </c>
      <c r="V22" s="6">
        <f>IF(ISERROR(VLOOKUP($S$22,'TAR FIN'!$A$1:$O$93,15,0)),0,VLOOKUP($S$22,'TAR FIN'!$A$1:$O$93,15,0))</f>
        <v>0</v>
      </c>
      <c r="W22" s="6">
        <f>IF(ISERROR(VLOOKUP($T$22,'TAR FIN'!$A$1:$O$93,15,0)),0,VLOOKUP($T$22,'TAR FIN'!$A$1:$O$93,15,0))</f>
        <v>48.44</v>
      </c>
      <c r="X22" s="6">
        <f>IF(ISERROR(VLOOKUP($U$22,'TAR FIN'!$A$1:$O$93,15,0)),0,VLOOKUP($U$22,'TAR FIN'!$A$1:$O$93,15,0))</f>
        <v>0</v>
      </c>
      <c r="Y22" s="6"/>
      <c r="Z22" s="6">
        <f ca="1">('TUSD BE'!$AM$7+'TUSD BF'!$AM$7+'TUSD CVA'!$AM$7)*1</f>
        <v>65.413161375527963</v>
      </c>
      <c r="AA22" s="6"/>
      <c r="AB22" s="6">
        <f>$K$22*$V$22</f>
        <v>0</v>
      </c>
      <c r="AC22" s="6">
        <f>$M$22*$W$22</f>
        <v>69070.402239999996</v>
      </c>
      <c r="AD22" s="6">
        <f>$O$22*$X$22</f>
        <v>0</v>
      </c>
      <c r="AE22" s="6">
        <f>$K$22*$Y$22</f>
        <v>0</v>
      </c>
      <c r="AF22" s="6">
        <f ca="1">$M$22*$Z$22</f>
        <v>93272.365152719824</v>
      </c>
      <c r="AG22" s="6">
        <f>$O$22*$AA$22</f>
        <v>0</v>
      </c>
    </row>
    <row r="23" spans="1:33" ht="11.25" customHeight="1" x14ac:dyDescent="0.25">
      <c r="A23" s="4" t="s">
        <v>65</v>
      </c>
      <c r="B23" s="4" t="s">
        <v>53</v>
      </c>
      <c r="C23" s="4" t="s">
        <v>36</v>
      </c>
      <c r="D23" s="4" t="s">
        <v>34</v>
      </c>
      <c r="E23" s="4" t="s">
        <v>25</v>
      </c>
      <c r="F23" s="4" t="s">
        <v>25</v>
      </c>
      <c r="G23" s="4" t="s">
        <v>25</v>
      </c>
      <c r="H23" s="4" t="s">
        <v>25</v>
      </c>
      <c r="I23" s="5">
        <v>44652</v>
      </c>
      <c r="J23" s="6">
        <v>0</v>
      </c>
      <c r="K23" s="6">
        <v>0</v>
      </c>
      <c r="L23" s="6">
        <v>1425.896</v>
      </c>
      <c r="M23" s="6">
        <v>1425.896</v>
      </c>
      <c r="N23" s="6">
        <v>0</v>
      </c>
      <c r="O23" s="6">
        <v>0</v>
      </c>
      <c r="P23" s="6">
        <v>1</v>
      </c>
      <c r="Q23" s="4" t="s">
        <v>54</v>
      </c>
      <c r="R23" s="4">
        <v>0</v>
      </c>
      <c r="S23" s="6">
        <v>0</v>
      </c>
      <c r="T23" s="6">
        <v>42</v>
      </c>
      <c r="U23" s="6">
        <v>0</v>
      </c>
      <c r="V23" s="6">
        <f>IF(ISERROR(VLOOKUP($S$23,'TAR FIN'!$A$1:$O$93,15,0)),0,VLOOKUP($S$23,'TAR FIN'!$A$1:$O$93,15,0))</f>
        <v>0</v>
      </c>
      <c r="W23" s="6">
        <f>IF(ISERROR(VLOOKUP($T$23,'TAR FIN'!$A$1:$O$93,15,0)),0,VLOOKUP($T$23,'TAR FIN'!$A$1:$O$93,15,0))</f>
        <v>48.44</v>
      </c>
      <c r="X23" s="6">
        <f>IF(ISERROR(VLOOKUP($U$23,'TAR FIN'!$A$1:$O$93,15,0)),0,VLOOKUP($U$23,'TAR FIN'!$A$1:$O$93,15,0))</f>
        <v>0</v>
      </c>
      <c r="Y23" s="6"/>
      <c r="Z23" s="6">
        <f ca="1">('TUSD BE'!$AM$7+'TUSD BF'!$AM$7+'TUSD CVA'!$AM$7)*1</f>
        <v>65.413161375527963</v>
      </c>
      <c r="AA23" s="6"/>
      <c r="AB23" s="6">
        <f>$K$23*$V$23</f>
        <v>0</v>
      </c>
      <c r="AC23" s="6">
        <f>$M$23*$W$23</f>
        <v>69070.402239999996</v>
      </c>
      <c r="AD23" s="6">
        <f>$O$23*$X$23</f>
        <v>0</v>
      </c>
      <c r="AE23" s="6">
        <f>$K$23*$Y$23</f>
        <v>0</v>
      </c>
      <c r="AF23" s="6">
        <f ca="1">$M$23*$Z$23</f>
        <v>93272.365152719824</v>
      </c>
      <c r="AG23" s="6">
        <f>$O$23*$AA$23</f>
        <v>0</v>
      </c>
    </row>
    <row r="24" spans="1:33" ht="11.25" customHeight="1" x14ac:dyDescent="0.25">
      <c r="A24" s="4" t="s">
        <v>21</v>
      </c>
      <c r="B24" s="4" t="s">
        <v>53</v>
      </c>
      <c r="C24" s="4" t="s">
        <v>36</v>
      </c>
      <c r="D24" s="4" t="s">
        <v>34</v>
      </c>
      <c r="E24" s="4" t="s">
        <v>25</v>
      </c>
      <c r="F24" s="4" t="s">
        <v>25</v>
      </c>
      <c r="G24" s="4" t="s">
        <v>25</v>
      </c>
      <c r="H24" s="4" t="s">
        <v>25</v>
      </c>
      <c r="I24" s="5">
        <v>44682</v>
      </c>
      <c r="J24" s="6">
        <v>0</v>
      </c>
      <c r="K24" s="6">
        <v>0</v>
      </c>
      <c r="L24" s="6">
        <v>1382.0039999999999</v>
      </c>
      <c r="M24" s="6">
        <v>1382.0039999999999</v>
      </c>
      <c r="N24" s="6">
        <v>0</v>
      </c>
      <c r="O24" s="6">
        <v>0</v>
      </c>
      <c r="P24" s="6">
        <v>1</v>
      </c>
      <c r="Q24" s="4" t="s">
        <v>54</v>
      </c>
      <c r="R24" s="4">
        <v>0</v>
      </c>
      <c r="S24" s="6">
        <v>0</v>
      </c>
      <c r="T24" s="6">
        <v>42</v>
      </c>
      <c r="U24" s="6">
        <v>0</v>
      </c>
      <c r="V24" s="6">
        <f>IF(ISERROR(VLOOKUP($S$24,'TAR FIN'!$A$1:$O$93,15,0)),0,VLOOKUP($S$24,'TAR FIN'!$A$1:$O$93,15,0))</f>
        <v>0</v>
      </c>
      <c r="W24" s="6">
        <f>IF(ISERROR(VLOOKUP($T$24,'TAR FIN'!$A$1:$O$93,15,0)),0,VLOOKUP($T$24,'TAR FIN'!$A$1:$O$93,15,0))</f>
        <v>48.44</v>
      </c>
      <c r="X24" s="6">
        <f>IF(ISERROR(VLOOKUP($U$24,'TAR FIN'!$A$1:$O$93,15,0)),0,VLOOKUP($U$24,'TAR FIN'!$A$1:$O$93,15,0))</f>
        <v>0</v>
      </c>
      <c r="Y24" s="6"/>
      <c r="Z24" s="6">
        <f ca="1">('TUSD BE'!$AM$7+'TUSD BF'!$AM$7+'TUSD CVA'!$AM$7)*1</f>
        <v>65.413161375527963</v>
      </c>
      <c r="AA24" s="6"/>
      <c r="AB24" s="6">
        <f>$K$24*$V$24</f>
        <v>0</v>
      </c>
      <c r="AC24" s="6">
        <f>$M$24*$W$24</f>
        <v>66944.273759999996</v>
      </c>
      <c r="AD24" s="6">
        <f>$O$24*$X$24</f>
        <v>0</v>
      </c>
      <c r="AE24" s="6">
        <f>$K$24*$Y$24</f>
        <v>0</v>
      </c>
      <c r="AF24" s="6">
        <f ca="1">$M$24*$Z$24</f>
        <v>90401.250673625138</v>
      </c>
      <c r="AG24" s="6">
        <f>$O$24*$AA$24</f>
        <v>0</v>
      </c>
    </row>
    <row r="25" spans="1:33" ht="11.25" customHeight="1" x14ac:dyDescent="0.25">
      <c r="A25" s="4" t="s">
        <v>21</v>
      </c>
      <c r="B25" s="4" t="s">
        <v>53</v>
      </c>
      <c r="C25" s="4" t="s">
        <v>36</v>
      </c>
      <c r="D25" s="4" t="s">
        <v>34</v>
      </c>
      <c r="E25" s="4" t="s">
        <v>25</v>
      </c>
      <c r="F25" s="4" t="s">
        <v>25</v>
      </c>
      <c r="G25" s="4" t="s">
        <v>25</v>
      </c>
      <c r="H25" s="4" t="s">
        <v>25</v>
      </c>
      <c r="I25" s="5">
        <v>44713</v>
      </c>
      <c r="J25" s="6">
        <v>0</v>
      </c>
      <c r="K25" s="6">
        <v>0</v>
      </c>
      <c r="L25" s="6">
        <v>1365.4870000000001</v>
      </c>
      <c r="M25" s="6">
        <v>1365.4870000000001</v>
      </c>
      <c r="N25" s="6">
        <v>0</v>
      </c>
      <c r="O25" s="6">
        <v>0</v>
      </c>
      <c r="P25" s="6">
        <v>1</v>
      </c>
      <c r="Q25" s="4" t="s">
        <v>54</v>
      </c>
      <c r="R25" s="4">
        <v>0</v>
      </c>
      <c r="S25" s="6">
        <v>0</v>
      </c>
      <c r="T25" s="6">
        <v>42</v>
      </c>
      <c r="U25" s="6">
        <v>0</v>
      </c>
      <c r="V25" s="6">
        <f>IF(ISERROR(VLOOKUP($S$25,'TAR FIN'!$A$1:$O$93,15,0)),0,VLOOKUP($S$25,'TAR FIN'!$A$1:$O$93,15,0))</f>
        <v>0</v>
      </c>
      <c r="W25" s="6">
        <f>IF(ISERROR(VLOOKUP($T$25,'TAR FIN'!$A$1:$O$93,15,0)),0,VLOOKUP($T$25,'TAR FIN'!$A$1:$O$93,15,0))</f>
        <v>48.44</v>
      </c>
      <c r="X25" s="6">
        <f>IF(ISERROR(VLOOKUP($U$25,'TAR FIN'!$A$1:$O$93,15,0)),0,VLOOKUP($U$25,'TAR FIN'!$A$1:$O$93,15,0))</f>
        <v>0</v>
      </c>
      <c r="Y25" s="6"/>
      <c r="Z25" s="6">
        <f ca="1">('TUSD BE'!$AM$7+'TUSD BF'!$AM$7+'TUSD CVA'!$AM$7)*1</f>
        <v>65.413161375527963</v>
      </c>
      <c r="AA25" s="6"/>
      <c r="AB25" s="6">
        <f>$K$25*$V$25</f>
        <v>0</v>
      </c>
      <c r="AC25" s="6">
        <f>$M$25*$W$25</f>
        <v>66144.190279999995</v>
      </c>
      <c r="AD25" s="6">
        <f>$O$25*$X$25</f>
        <v>0</v>
      </c>
      <c r="AE25" s="6">
        <f>$K$25*$Y$25</f>
        <v>0</v>
      </c>
      <c r="AF25" s="6">
        <f ca="1">$M$25*$Z$25</f>
        <v>89320.82148718556</v>
      </c>
      <c r="AG25" s="6">
        <f>$O$25*$AA$25</f>
        <v>0</v>
      </c>
    </row>
    <row r="26" spans="1:33" ht="11.25" customHeight="1" x14ac:dyDescent="0.25">
      <c r="A26" s="4" t="s">
        <v>21</v>
      </c>
      <c r="B26" s="4" t="s">
        <v>53</v>
      </c>
      <c r="C26" s="4" t="s">
        <v>36</v>
      </c>
      <c r="D26" s="4" t="s">
        <v>34</v>
      </c>
      <c r="E26" s="4" t="s">
        <v>25</v>
      </c>
      <c r="F26" s="4" t="s">
        <v>25</v>
      </c>
      <c r="G26" s="4" t="s">
        <v>25</v>
      </c>
      <c r="H26" s="4" t="s">
        <v>37</v>
      </c>
      <c r="I26" s="5">
        <v>44378</v>
      </c>
      <c r="J26" s="6">
        <v>3300</v>
      </c>
      <c r="K26" s="6">
        <v>3300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54</v>
      </c>
      <c r="R26" s="4">
        <v>0</v>
      </c>
      <c r="S26" s="6">
        <v>43</v>
      </c>
      <c r="T26" s="6">
        <v>0</v>
      </c>
      <c r="U26" s="6">
        <v>0</v>
      </c>
      <c r="V26" s="6">
        <f>IF(ISERROR(VLOOKUP($S$26,'TAR FIN'!$A$1:$O$93,15,0)),0,VLOOKUP($S$26,'TAR FIN'!$A$1:$O$93,15,0))</f>
        <v>22.57</v>
      </c>
      <c r="W26" s="6">
        <f>IF(ISERROR(VLOOKUP($T$26,'TAR FIN'!$A$1:$O$93,15,0)),0,VLOOKUP($T$26,'TAR FIN'!$A$1:$O$93,15,0))</f>
        <v>0</v>
      </c>
      <c r="X26" s="6">
        <f>IF(ISERROR(VLOOKUP($U$26,'TAR FIN'!$A$1:$O$93,15,0)),0,VLOOKUP($U$26,'TAR FIN'!$A$1:$O$93,15,0))</f>
        <v>0</v>
      </c>
      <c r="Y26" s="6">
        <f ca="1">('TUSD BE'!$AM$5+'TUSD BF'!$AM$5+'TUSD CVA'!$AM$5)*1</f>
        <v>24.042517201916397</v>
      </c>
      <c r="Z26" s="6">
        <f ca="1">('TUSD BE'!$AM$7+'TUSD BF'!$AM$7+'TUSD CVA'!$AM$7)*1</f>
        <v>65.413161375527963</v>
      </c>
      <c r="AA26" s="6"/>
      <c r="AB26" s="6">
        <f>$K$26*$V$26</f>
        <v>74481</v>
      </c>
      <c r="AC26" s="6">
        <f>$M$26*$W$26</f>
        <v>0</v>
      </c>
      <c r="AD26" s="6">
        <f>$O$26*$X$26</f>
        <v>0</v>
      </c>
      <c r="AE26" s="6">
        <f ca="1">$K$26*$Y$26</f>
        <v>79340.306766324109</v>
      </c>
      <c r="AF26" s="6">
        <f ca="1">$M$26*$Z$26</f>
        <v>0</v>
      </c>
      <c r="AG26" s="6">
        <f>$O$26*$AA$26</f>
        <v>0</v>
      </c>
    </row>
    <row r="27" spans="1:33" ht="11.25" customHeight="1" x14ac:dyDescent="0.25">
      <c r="A27" s="4" t="s">
        <v>21</v>
      </c>
      <c r="B27" s="4" t="s">
        <v>53</v>
      </c>
      <c r="C27" s="4" t="s">
        <v>36</v>
      </c>
      <c r="D27" s="4" t="s">
        <v>34</v>
      </c>
      <c r="E27" s="4" t="s">
        <v>25</v>
      </c>
      <c r="F27" s="4" t="s">
        <v>25</v>
      </c>
      <c r="G27" s="4" t="s">
        <v>25</v>
      </c>
      <c r="H27" s="4" t="s">
        <v>37</v>
      </c>
      <c r="I27" s="5">
        <v>44409</v>
      </c>
      <c r="J27" s="6">
        <v>3300</v>
      </c>
      <c r="K27" s="6">
        <v>3300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54</v>
      </c>
      <c r="R27" s="4">
        <v>0</v>
      </c>
      <c r="S27" s="6">
        <v>43</v>
      </c>
      <c r="T27" s="6">
        <v>0</v>
      </c>
      <c r="U27" s="6">
        <v>0</v>
      </c>
      <c r="V27" s="6">
        <f>IF(ISERROR(VLOOKUP($S$27,'TAR FIN'!$A$1:$O$93,15,0)),0,VLOOKUP($S$27,'TAR FIN'!$A$1:$O$93,15,0))</f>
        <v>22.57</v>
      </c>
      <c r="W27" s="6">
        <f>IF(ISERROR(VLOOKUP($T$27,'TAR FIN'!$A$1:$O$93,15,0)),0,VLOOKUP($T$27,'TAR FIN'!$A$1:$O$93,15,0))</f>
        <v>0</v>
      </c>
      <c r="X27" s="6">
        <f>IF(ISERROR(VLOOKUP($U$27,'TAR FIN'!$A$1:$O$93,15,0)),0,VLOOKUP($U$27,'TAR FIN'!$A$1:$O$93,15,0))</f>
        <v>0</v>
      </c>
      <c r="Y27" s="6">
        <f ca="1">('TUSD BE'!$AM$5+'TUSD BF'!$AM$5+'TUSD CVA'!$AM$5)*1</f>
        <v>24.042517201916397</v>
      </c>
      <c r="Z27" s="6">
        <f ca="1">('TUSD BE'!$AM$7+'TUSD BF'!$AM$7+'TUSD CVA'!$AM$7)*1</f>
        <v>65.413161375527963</v>
      </c>
      <c r="AA27" s="6"/>
      <c r="AB27" s="6">
        <f>$K$27*$V$27</f>
        <v>74481</v>
      </c>
      <c r="AC27" s="6">
        <f>$M$27*$W$27</f>
        <v>0</v>
      </c>
      <c r="AD27" s="6">
        <f>$O$27*$X$27</f>
        <v>0</v>
      </c>
      <c r="AE27" s="6">
        <f ca="1">$K$27*$Y$27</f>
        <v>79340.306766324109</v>
      </c>
      <c r="AF27" s="6">
        <f ca="1">$M$27*$Z$27</f>
        <v>0</v>
      </c>
      <c r="AG27" s="6">
        <f>$O$27*$AA$27</f>
        <v>0</v>
      </c>
    </row>
    <row r="28" spans="1:33" ht="11.25" customHeight="1" x14ac:dyDescent="0.25">
      <c r="A28" s="4" t="s">
        <v>21</v>
      </c>
      <c r="B28" s="4" t="s">
        <v>53</v>
      </c>
      <c r="C28" s="4" t="s">
        <v>36</v>
      </c>
      <c r="D28" s="4" t="s">
        <v>34</v>
      </c>
      <c r="E28" s="4" t="s">
        <v>25</v>
      </c>
      <c r="F28" s="4" t="s">
        <v>25</v>
      </c>
      <c r="G28" s="4" t="s">
        <v>25</v>
      </c>
      <c r="H28" s="4" t="s">
        <v>37</v>
      </c>
      <c r="I28" s="5">
        <v>44440</v>
      </c>
      <c r="J28" s="6">
        <v>3300</v>
      </c>
      <c r="K28" s="6">
        <v>3300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54</v>
      </c>
      <c r="R28" s="4">
        <v>0</v>
      </c>
      <c r="S28" s="6">
        <v>43</v>
      </c>
      <c r="T28" s="6">
        <v>0</v>
      </c>
      <c r="U28" s="6">
        <v>0</v>
      </c>
      <c r="V28" s="6">
        <f>IF(ISERROR(VLOOKUP($S$28,'TAR FIN'!$A$1:$O$93,15,0)),0,VLOOKUP($S$28,'TAR FIN'!$A$1:$O$93,15,0))</f>
        <v>22.57</v>
      </c>
      <c r="W28" s="6">
        <f>IF(ISERROR(VLOOKUP($T$28,'TAR FIN'!$A$1:$O$93,15,0)),0,VLOOKUP($T$28,'TAR FIN'!$A$1:$O$93,15,0))</f>
        <v>0</v>
      </c>
      <c r="X28" s="6">
        <f>IF(ISERROR(VLOOKUP($U$28,'TAR FIN'!$A$1:$O$93,15,0)),0,VLOOKUP($U$28,'TAR FIN'!$A$1:$O$93,15,0))</f>
        <v>0</v>
      </c>
      <c r="Y28" s="6">
        <f ca="1">('TUSD BE'!$AM$5+'TUSD BF'!$AM$5+'TUSD CVA'!$AM$5)*1</f>
        <v>24.042517201916397</v>
      </c>
      <c r="Z28" s="6">
        <f ca="1">('TUSD BE'!$AM$7+'TUSD BF'!$AM$7+'TUSD CVA'!$AM$7)*1</f>
        <v>65.413161375527963</v>
      </c>
      <c r="AA28" s="6"/>
      <c r="AB28" s="6">
        <f>$K$28*$V$28</f>
        <v>74481</v>
      </c>
      <c r="AC28" s="6">
        <f>$M$28*$W$28</f>
        <v>0</v>
      </c>
      <c r="AD28" s="6">
        <f>$O$28*$X$28</f>
        <v>0</v>
      </c>
      <c r="AE28" s="6">
        <f ca="1">$K$28*$Y$28</f>
        <v>79340.306766324109</v>
      </c>
      <c r="AF28" s="6">
        <f ca="1">$M$28*$Z$28</f>
        <v>0</v>
      </c>
      <c r="AG28" s="6">
        <f>$O$28*$AA$28</f>
        <v>0</v>
      </c>
    </row>
    <row r="29" spans="1:33" ht="11.25" customHeight="1" x14ac:dyDescent="0.25">
      <c r="A29" s="4" t="s">
        <v>21</v>
      </c>
      <c r="B29" s="4" t="s">
        <v>53</v>
      </c>
      <c r="C29" s="4" t="s">
        <v>36</v>
      </c>
      <c r="D29" s="4" t="s">
        <v>34</v>
      </c>
      <c r="E29" s="4" t="s">
        <v>25</v>
      </c>
      <c r="F29" s="4" t="s">
        <v>25</v>
      </c>
      <c r="G29" s="4" t="s">
        <v>25</v>
      </c>
      <c r="H29" s="4" t="s">
        <v>37</v>
      </c>
      <c r="I29" s="5">
        <v>44470</v>
      </c>
      <c r="J29" s="6">
        <v>3300</v>
      </c>
      <c r="K29" s="6">
        <v>3300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54</v>
      </c>
      <c r="R29" s="4">
        <v>0</v>
      </c>
      <c r="S29" s="6">
        <v>43</v>
      </c>
      <c r="T29" s="6">
        <v>0</v>
      </c>
      <c r="U29" s="6">
        <v>0</v>
      </c>
      <c r="V29" s="6">
        <f>IF(ISERROR(VLOOKUP($S$29,'TAR FIN'!$A$1:$O$93,15,0)),0,VLOOKUP($S$29,'TAR FIN'!$A$1:$O$93,15,0))</f>
        <v>22.57</v>
      </c>
      <c r="W29" s="6">
        <f>IF(ISERROR(VLOOKUP($T$29,'TAR FIN'!$A$1:$O$93,15,0)),0,VLOOKUP($T$29,'TAR FIN'!$A$1:$O$93,15,0))</f>
        <v>0</v>
      </c>
      <c r="X29" s="6">
        <f>IF(ISERROR(VLOOKUP($U$29,'TAR FIN'!$A$1:$O$93,15,0)),0,VLOOKUP($U$29,'TAR FIN'!$A$1:$O$93,15,0))</f>
        <v>0</v>
      </c>
      <c r="Y29" s="6">
        <f ca="1">('TUSD BE'!$AM$5+'TUSD BF'!$AM$5+'TUSD CVA'!$AM$5)*1</f>
        <v>24.042517201916397</v>
      </c>
      <c r="Z29" s="6">
        <f ca="1">('TUSD BE'!$AM$7+'TUSD BF'!$AM$7+'TUSD CVA'!$AM$7)*1</f>
        <v>65.413161375527963</v>
      </c>
      <c r="AA29" s="6"/>
      <c r="AB29" s="6">
        <f>$K$29*$V$29</f>
        <v>74481</v>
      </c>
      <c r="AC29" s="6">
        <f>$M$29*$W$29</f>
        <v>0</v>
      </c>
      <c r="AD29" s="6">
        <f>$O$29*$X$29</f>
        <v>0</v>
      </c>
      <c r="AE29" s="6">
        <f ca="1">$K$29*$Y$29</f>
        <v>79340.306766324109</v>
      </c>
      <c r="AF29" s="6">
        <f ca="1">$M$29*$Z$29</f>
        <v>0</v>
      </c>
      <c r="AG29" s="6">
        <f>$O$29*$AA$29</f>
        <v>0</v>
      </c>
    </row>
    <row r="30" spans="1:33" ht="11.25" customHeight="1" x14ac:dyDescent="0.25">
      <c r="A30" s="4" t="s">
        <v>21</v>
      </c>
      <c r="B30" s="4" t="s">
        <v>53</v>
      </c>
      <c r="C30" s="4" t="s">
        <v>36</v>
      </c>
      <c r="D30" s="4" t="s">
        <v>34</v>
      </c>
      <c r="E30" s="4" t="s">
        <v>25</v>
      </c>
      <c r="F30" s="4" t="s">
        <v>25</v>
      </c>
      <c r="G30" s="4" t="s">
        <v>25</v>
      </c>
      <c r="H30" s="4" t="s">
        <v>37</v>
      </c>
      <c r="I30" s="5">
        <v>44501</v>
      </c>
      <c r="J30" s="6">
        <v>3300</v>
      </c>
      <c r="K30" s="6">
        <v>3300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54</v>
      </c>
      <c r="R30" s="4">
        <v>0</v>
      </c>
      <c r="S30" s="6">
        <v>43</v>
      </c>
      <c r="T30" s="6">
        <v>0</v>
      </c>
      <c r="U30" s="6">
        <v>0</v>
      </c>
      <c r="V30" s="6">
        <f>IF(ISERROR(VLOOKUP($S$30,'TAR FIN'!$A$1:$O$93,15,0)),0,VLOOKUP($S$30,'TAR FIN'!$A$1:$O$93,15,0))</f>
        <v>22.57</v>
      </c>
      <c r="W30" s="6">
        <f>IF(ISERROR(VLOOKUP($T$30,'TAR FIN'!$A$1:$O$93,15,0)),0,VLOOKUP($T$30,'TAR FIN'!$A$1:$O$93,15,0))</f>
        <v>0</v>
      </c>
      <c r="X30" s="6">
        <f>IF(ISERROR(VLOOKUP($U$30,'TAR FIN'!$A$1:$O$93,15,0)),0,VLOOKUP($U$30,'TAR FIN'!$A$1:$O$93,15,0))</f>
        <v>0</v>
      </c>
      <c r="Y30" s="6">
        <f ca="1">('TUSD BE'!$AM$5+'TUSD BF'!$AM$5+'TUSD CVA'!$AM$5)*1</f>
        <v>24.042517201916397</v>
      </c>
      <c r="Z30" s="6">
        <f ca="1">('TUSD BE'!$AM$7+'TUSD BF'!$AM$7+'TUSD CVA'!$AM$7)*1</f>
        <v>65.413161375527963</v>
      </c>
      <c r="AA30" s="6"/>
      <c r="AB30" s="6">
        <f>$K$30*$V$30</f>
        <v>74481</v>
      </c>
      <c r="AC30" s="6">
        <f>$M$30*$W$30</f>
        <v>0</v>
      </c>
      <c r="AD30" s="6">
        <f>$O$30*$X$30</f>
        <v>0</v>
      </c>
      <c r="AE30" s="6">
        <f ca="1">$K$30*$Y$30</f>
        <v>79340.306766324109</v>
      </c>
      <c r="AF30" s="6">
        <f ca="1">$M$30*$Z$30</f>
        <v>0</v>
      </c>
      <c r="AG30" s="6">
        <f>$O$30*$AA$30</f>
        <v>0</v>
      </c>
    </row>
    <row r="31" spans="1:33" ht="11.25" customHeight="1" x14ac:dyDescent="0.25">
      <c r="A31" s="4" t="s">
        <v>65</v>
      </c>
      <c r="B31" s="4" t="s">
        <v>53</v>
      </c>
      <c r="C31" s="4" t="s">
        <v>36</v>
      </c>
      <c r="D31" s="4" t="s">
        <v>34</v>
      </c>
      <c r="E31" s="4" t="s">
        <v>25</v>
      </c>
      <c r="F31" s="4" t="s">
        <v>25</v>
      </c>
      <c r="G31" s="4" t="s">
        <v>25</v>
      </c>
      <c r="H31" s="4" t="s">
        <v>37</v>
      </c>
      <c r="I31" s="5">
        <v>44531</v>
      </c>
      <c r="J31" s="6">
        <v>3300</v>
      </c>
      <c r="K31" s="6">
        <v>3300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54</v>
      </c>
      <c r="R31" s="4">
        <v>0</v>
      </c>
      <c r="S31" s="6">
        <v>43</v>
      </c>
      <c r="T31" s="6">
        <v>0</v>
      </c>
      <c r="U31" s="6">
        <v>0</v>
      </c>
      <c r="V31" s="6">
        <f>IF(ISERROR(VLOOKUP($S$31,'TAR FIN'!$A$1:$O$93,15,0)),0,VLOOKUP($S$31,'TAR FIN'!$A$1:$O$93,15,0))</f>
        <v>22.57</v>
      </c>
      <c r="W31" s="6">
        <f>IF(ISERROR(VLOOKUP($T$31,'TAR FIN'!$A$1:$O$93,15,0)),0,VLOOKUP($T$31,'TAR FIN'!$A$1:$O$93,15,0))</f>
        <v>0</v>
      </c>
      <c r="X31" s="6">
        <f>IF(ISERROR(VLOOKUP($U$31,'TAR FIN'!$A$1:$O$93,15,0)),0,VLOOKUP($U$31,'TAR FIN'!$A$1:$O$93,15,0))</f>
        <v>0</v>
      </c>
      <c r="Y31" s="6">
        <f ca="1">('TUSD BE'!$AM$5+'TUSD BF'!$AM$5+'TUSD CVA'!$AM$5)*1</f>
        <v>24.042517201916397</v>
      </c>
      <c r="Z31" s="6">
        <f ca="1">('TUSD BE'!$AM$7+'TUSD BF'!$AM$7+'TUSD CVA'!$AM$7)*1</f>
        <v>65.413161375527963</v>
      </c>
      <c r="AA31" s="6"/>
      <c r="AB31" s="6">
        <f>$K$31*$V$31</f>
        <v>74481</v>
      </c>
      <c r="AC31" s="6">
        <f>$M$31*$W$31</f>
        <v>0</v>
      </c>
      <c r="AD31" s="6">
        <f>$O$31*$X$31</f>
        <v>0</v>
      </c>
      <c r="AE31" s="6">
        <f ca="1">$K$31*$Y$31</f>
        <v>79340.306766324109</v>
      </c>
      <c r="AF31" s="6">
        <f ca="1">$M$31*$Z$31</f>
        <v>0</v>
      </c>
      <c r="AG31" s="6">
        <f>$O$31*$AA$31</f>
        <v>0</v>
      </c>
    </row>
    <row r="32" spans="1:33" ht="11.25" customHeight="1" x14ac:dyDescent="0.25">
      <c r="A32" s="4" t="s">
        <v>21</v>
      </c>
      <c r="B32" s="4" t="s">
        <v>53</v>
      </c>
      <c r="C32" s="4" t="s">
        <v>36</v>
      </c>
      <c r="D32" s="4" t="s">
        <v>34</v>
      </c>
      <c r="E32" s="4" t="s">
        <v>25</v>
      </c>
      <c r="F32" s="4" t="s">
        <v>25</v>
      </c>
      <c r="G32" s="4" t="s">
        <v>25</v>
      </c>
      <c r="H32" s="4" t="s">
        <v>37</v>
      </c>
      <c r="I32" s="5">
        <v>44562</v>
      </c>
      <c r="J32" s="6">
        <v>3300</v>
      </c>
      <c r="K32" s="6">
        <v>3300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54</v>
      </c>
      <c r="R32" s="4">
        <v>0</v>
      </c>
      <c r="S32" s="6">
        <v>43</v>
      </c>
      <c r="T32" s="6">
        <v>0</v>
      </c>
      <c r="U32" s="6">
        <v>0</v>
      </c>
      <c r="V32" s="6">
        <f>IF(ISERROR(VLOOKUP($S$32,'TAR FIN'!$A$1:$O$93,15,0)),0,VLOOKUP($S$32,'TAR FIN'!$A$1:$O$93,15,0))</f>
        <v>22.57</v>
      </c>
      <c r="W32" s="6">
        <f>IF(ISERROR(VLOOKUP($T$32,'TAR FIN'!$A$1:$O$93,15,0)),0,VLOOKUP($T$32,'TAR FIN'!$A$1:$O$93,15,0))</f>
        <v>0</v>
      </c>
      <c r="X32" s="6">
        <f>IF(ISERROR(VLOOKUP($U$32,'TAR FIN'!$A$1:$O$93,15,0)),0,VLOOKUP($U$32,'TAR FIN'!$A$1:$O$93,15,0))</f>
        <v>0</v>
      </c>
      <c r="Y32" s="6">
        <f ca="1">('TUSD BE'!$AM$5+'TUSD BF'!$AM$5+'TUSD CVA'!$AM$5)*1</f>
        <v>24.042517201916397</v>
      </c>
      <c r="Z32" s="6">
        <f ca="1">('TUSD BE'!$AM$7+'TUSD BF'!$AM$7+'TUSD CVA'!$AM$7)*1</f>
        <v>65.413161375527963</v>
      </c>
      <c r="AA32" s="6"/>
      <c r="AB32" s="6">
        <f>$K$32*$V$32</f>
        <v>74481</v>
      </c>
      <c r="AC32" s="6">
        <f>$M$32*$W$32</f>
        <v>0</v>
      </c>
      <c r="AD32" s="6">
        <f>$O$32*$X$32</f>
        <v>0</v>
      </c>
      <c r="AE32" s="6">
        <f ca="1">$K$32*$Y$32</f>
        <v>79340.306766324109</v>
      </c>
      <c r="AF32" s="6">
        <f ca="1">$M$32*$Z$32</f>
        <v>0</v>
      </c>
      <c r="AG32" s="6">
        <f>$O$32*$AA$32</f>
        <v>0</v>
      </c>
    </row>
    <row r="33" spans="1:33" ht="11.25" customHeight="1" x14ac:dyDescent="0.25">
      <c r="A33" s="4" t="s">
        <v>21</v>
      </c>
      <c r="B33" s="4" t="s">
        <v>53</v>
      </c>
      <c r="C33" s="4" t="s">
        <v>36</v>
      </c>
      <c r="D33" s="4" t="s">
        <v>34</v>
      </c>
      <c r="E33" s="4" t="s">
        <v>25</v>
      </c>
      <c r="F33" s="4" t="s">
        <v>25</v>
      </c>
      <c r="G33" s="4" t="s">
        <v>25</v>
      </c>
      <c r="H33" s="4" t="s">
        <v>37</v>
      </c>
      <c r="I33" s="5">
        <v>44593</v>
      </c>
      <c r="J33" s="6">
        <v>3300</v>
      </c>
      <c r="K33" s="6">
        <v>3300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54</v>
      </c>
      <c r="R33" s="4">
        <v>0</v>
      </c>
      <c r="S33" s="6">
        <v>43</v>
      </c>
      <c r="T33" s="6">
        <v>0</v>
      </c>
      <c r="U33" s="6">
        <v>0</v>
      </c>
      <c r="V33" s="6">
        <f>IF(ISERROR(VLOOKUP($S$33,'TAR FIN'!$A$1:$O$93,15,0)),0,VLOOKUP($S$33,'TAR FIN'!$A$1:$O$93,15,0))</f>
        <v>22.57</v>
      </c>
      <c r="W33" s="6">
        <f>IF(ISERROR(VLOOKUP($T$33,'TAR FIN'!$A$1:$O$93,15,0)),0,VLOOKUP($T$33,'TAR FIN'!$A$1:$O$93,15,0))</f>
        <v>0</v>
      </c>
      <c r="X33" s="6">
        <f>IF(ISERROR(VLOOKUP($U$33,'TAR FIN'!$A$1:$O$93,15,0)),0,VLOOKUP($U$33,'TAR FIN'!$A$1:$O$93,15,0))</f>
        <v>0</v>
      </c>
      <c r="Y33" s="6">
        <f ca="1">('TUSD BE'!$AM$5+'TUSD BF'!$AM$5+'TUSD CVA'!$AM$5)*1</f>
        <v>24.042517201916397</v>
      </c>
      <c r="Z33" s="6">
        <f ca="1">('TUSD BE'!$AM$7+'TUSD BF'!$AM$7+'TUSD CVA'!$AM$7)*1</f>
        <v>65.413161375527963</v>
      </c>
      <c r="AA33" s="6"/>
      <c r="AB33" s="6">
        <f>$K$33*$V$33</f>
        <v>74481</v>
      </c>
      <c r="AC33" s="6">
        <f>$M$33*$W$33</f>
        <v>0</v>
      </c>
      <c r="AD33" s="6">
        <f>$O$33*$X$33</f>
        <v>0</v>
      </c>
      <c r="AE33" s="6">
        <f ca="1">$K$33*$Y$33</f>
        <v>79340.306766324109</v>
      </c>
      <c r="AF33" s="6">
        <f ca="1">$M$33*$Z$33</f>
        <v>0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53</v>
      </c>
      <c r="C34" s="4" t="s">
        <v>36</v>
      </c>
      <c r="D34" s="4" t="s">
        <v>34</v>
      </c>
      <c r="E34" s="4" t="s">
        <v>25</v>
      </c>
      <c r="F34" s="4" t="s">
        <v>25</v>
      </c>
      <c r="G34" s="4" t="s">
        <v>25</v>
      </c>
      <c r="H34" s="4" t="s">
        <v>37</v>
      </c>
      <c r="I34" s="5">
        <v>44621</v>
      </c>
      <c r="J34" s="6">
        <v>3300</v>
      </c>
      <c r="K34" s="6">
        <v>3300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54</v>
      </c>
      <c r="R34" s="4">
        <v>0</v>
      </c>
      <c r="S34" s="6">
        <v>43</v>
      </c>
      <c r="T34" s="6">
        <v>0</v>
      </c>
      <c r="U34" s="6">
        <v>0</v>
      </c>
      <c r="V34" s="6">
        <f>IF(ISERROR(VLOOKUP($S$34,'TAR FIN'!$A$1:$O$93,15,0)),0,VLOOKUP($S$34,'TAR FIN'!$A$1:$O$93,15,0))</f>
        <v>22.57</v>
      </c>
      <c r="W34" s="6">
        <f>IF(ISERROR(VLOOKUP($T$34,'TAR FIN'!$A$1:$O$93,15,0)),0,VLOOKUP($T$34,'TAR FIN'!$A$1:$O$93,15,0))</f>
        <v>0</v>
      </c>
      <c r="X34" s="6">
        <f>IF(ISERROR(VLOOKUP($U$34,'TAR FIN'!$A$1:$O$93,15,0)),0,VLOOKUP($U$34,'TAR FIN'!$A$1:$O$93,15,0))</f>
        <v>0</v>
      </c>
      <c r="Y34" s="6">
        <f ca="1">('TUSD BE'!$AM$5+'TUSD BF'!$AM$5+'TUSD CVA'!$AM$5)*1</f>
        <v>24.042517201916397</v>
      </c>
      <c r="Z34" s="6">
        <f ca="1">('TUSD BE'!$AM$7+'TUSD BF'!$AM$7+'TUSD CVA'!$AM$7)*1</f>
        <v>65.413161375527963</v>
      </c>
      <c r="AA34" s="6"/>
      <c r="AB34" s="6">
        <f>$K$34*$V$34</f>
        <v>74481</v>
      </c>
      <c r="AC34" s="6">
        <f>$M$34*$W$34</f>
        <v>0</v>
      </c>
      <c r="AD34" s="6">
        <f>$O$34*$X$34</f>
        <v>0</v>
      </c>
      <c r="AE34" s="6">
        <f ca="1">$K$34*$Y$34</f>
        <v>79340.306766324109</v>
      </c>
      <c r="AF34" s="6">
        <f ca="1">$M$34*$Z$34</f>
        <v>0</v>
      </c>
      <c r="AG34" s="6">
        <f>$O$34*$AA$34</f>
        <v>0</v>
      </c>
    </row>
    <row r="35" spans="1:33" ht="11.25" customHeight="1" x14ac:dyDescent="0.25">
      <c r="A35" s="4" t="s">
        <v>65</v>
      </c>
      <c r="B35" s="4" t="s">
        <v>53</v>
      </c>
      <c r="C35" s="4" t="s">
        <v>36</v>
      </c>
      <c r="D35" s="4" t="s">
        <v>34</v>
      </c>
      <c r="E35" s="4" t="s">
        <v>25</v>
      </c>
      <c r="F35" s="4" t="s">
        <v>25</v>
      </c>
      <c r="G35" s="4" t="s">
        <v>25</v>
      </c>
      <c r="H35" s="4" t="s">
        <v>37</v>
      </c>
      <c r="I35" s="5">
        <v>44652</v>
      </c>
      <c r="J35" s="6">
        <v>3300</v>
      </c>
      <c r="K35" s="6">
        <v>3300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54</v>
      </c>
      <c r="R35" s="4">
        <v>0</v>
      </c>
      <c r="S35" s="6">
        <v>43</v>
      </c>
      <c r="T35" s="6">
        <v>0</v>
      </c>
      <c r="U35" s="6">
        <v>0</v>
      </c>
      <c r="V35" s="6">
        <f>IF(ISERROR(VLOOKUP($S$35,'TAR FIN'!$A$1:$O$93,15,0)),0,VLOOKUP($S$35,'TAR FIN'!$A$1:$O$93,15,0))</f>
        <v>22.57</v>
      </c>
      <c r="W35" s="6">
        <f>IF(ISERROR(VLOOKUP($T$35,'TAR FIN'!$A$1:$O$93,15,0)),0,VLOOKUP($T$35,'TAR FIN'!$A$1:$O$93,15,0))</f>
        <v>0</v>
      </c>
      <c r="X35" s="6">
        <f>IF(ISERROR(VLOOKUP($U$35,'TAR FIN'!$A$1:$O$93,15,0)),0,VLOOKUP($U$35,'TAR FIN'!$A$1:$O$93,15,0))</f>
        <v>0</v>
      </c>
      <c r="Y35" s="6">
        <f ca="1">('TUSD BE'!$AM$5+'TUSD BF'!$AM$5+'TUSD CVA'!$AM$5)*1</f>
        <v>24.042517201916397</v>
      </c>
      <c r="Z35" s="6">
        <f ca="1">('TUSD BE'!$AM$7+'TUSD BF'!$AM$7+'TUSD CVA'!$AM$7)*1</f>
        <v>65.413161375527963</v>
      </c>
      <c r="AA35" s="6"/>
      <c r="AB35" s="6">
        <f>$K$35*$V$35</f>
        <v>74481</v>
      </c>
      <c r="AC35" s="6">
        <f>$M$35*$W$35</f>
        <v>0</v>
      </c>
      <c r="AD35" s="6">
        <f>$O$35*$X$35</f>
        <v>0</v>
      </c>
      <c r="AE35" s="6">
        <f ca="1">$K$35*$Y$35</f>
        <v>79340.306766324109</v>
      </c>
      <c r="AF35" s="6">
        <f ca="1">$M$35*$Z$35</f>
        <v>0</v>
      </c>
      <c r="AG35" s="6">
        <f>$O$35*$AA$35</f>
        <v>0</v>
      </c>
    </row>
    <row r="36" spans="1:33" ht="11.25" customHeight="1" x14ac:dyDescent="0.25">
      <c r="A36" s="4" t="s">
        <v>21</v>
      </c>
      <c r="B36" s="4" t="s">
        <v>53</v>
      </c>
      <c r="C36" s="4" t="s">
        <v>36</v>
      </c>
      <c r="D36" s="4" t="s">
        <v>34</v>
      </c>
      <c r="E36" s="4" t="s">
        <v>25</v>
      </c>
      <c r="F36" s="4" t="s">
        <v>25</v>
      </c>
      <c r="G36" s="4" t="s">
        <v>25</v>
      </c>
      <c r="H36" s="4" t="s">
        <v>37</v>
      </c>
      <c r="I36" s="5">
        <v>44682</v>
      </c>
      <c r="J36" s="6">
        <v>3300</v>
      </c>
      <c r="K36" s="6">
        <v>3300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54</v>
      </c>
      <c r="R36" s="4">
        <v>0</v>
      </c>
      <c r="S36" s="6">
        <v>43</v>
      </c>
      <c r="T36" s="6">
        <v>0</v>
      </c>
      <c r="U36" s="6">
        <v>0</v>
      </c>
      <c r="V36" s="6">
        <f>IF(ISERROR(VLOOKUP($S$36,'TAR FIN'!$A$1:$O$93,15,0)),0,VLOOKUP($S$36,'TAR FIN'!$A$1:$O$93,15,0))</f>
        <v>22.57</v>
      </c>
      <c r="W36" s="6">
        <f>IF(ISERROR(VLOOKUP($T$36,'TAR FIN'!$A$1:$O$93,15,0)),0,VLOOKUP($T$36,'TAR FIN'!$A$1:$O$93,15,0))</f>
        <v>0</v>
      </c>
      <c r="X36" s="6">
        <f>IF(ISERROR(VLOOKUP($U$36,'TAR FIN'!$A$1:$O$93,15,0)),0,VLOOKUP($U$36,'TAR FIN'!$A$1:$O$93,15,0))</f>
        <v>0</v>
      </c>
      <c r="Y36" s="6">
        <f ca="1">('TUSD BE'!$AM$5+'TUSD BF'!$AM$5+'TUSD CVA'!$AM$5)*1</f>
        <v>24.042517201916397</v>
      </c>
      <c r="Z36" s="6">
        <f ca="1">('TUSD BE'!$AM$7+'TUSD BF'!$AM$7+'TUSD CVA'!$AM$7)*1</f>
        <v>65.413161375527963</v>
      </c>
      <c r="AA36" s="6"/>
      <c r="AB36" s="6">
        <f>$K$36*$V$36</f>
        <v>74481</v>
      </c>
      <c r="AC36" s="6">
        <f>$M$36*$W$36</f>
        <v>0</v>
      </c>
      <c r="AD36" s="6">
        <f>$O$36*$X$36</f>
        <v>0</v>
      </c>
      <c r="AE36" s="6">
        <f ca="1">$K$36*$Y$36</f>
        <v>79340.306766324109</v>
      </c>
      <c r="AF36" s="6">
        <f ca="1">$M$36*$Z$36</f>
        <v>0</v>
      </c>
      <c r="AG36" s="6">
        <f>$O$36*$AA$36</f>
        <v>0</v>
      </c>
    </row>
    <row r="37" spans="1:33" ht="11.25" customHeight="1" x14ac:dyDescent="0.25">
      <c r="A37" s="4" t="s">
        <v>21</v>
      </c>
      <c r="B37" s="4" t="s">
        <v>53</v>
      </c>
      <c r="C37" s="4" t="s">
        <v>36</v>
      </c>
      <c r="D37" s="4" t="s">
        <v>34</v>
      </c>
      <c r="E37" s="4" t="s">
        <v>25</v>
      </c>
      <c r="F37" s="4" t="s">
        <v>25</v>
      </c>
      <c r="G37" s="4" t="s">
        <v>25</v>
      </c>
      <c r="H37" s="4" t="s">
        <v>37</v>
      </c>
      <c r="I37" s="5">
        <v>44713</v>
      </c>
      <c r="J37" s="6">
        <v>3300</v>
      </c>
      <c r="K37" s="6">
        <v>3300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54</v>
      </c>
      <c r="R37" s="4">
        <v>0</v>
      </c>
      <c r="S37" s="6">
        <v>43</v>
      </c>
      <c r="T37" s="6">
        <v>0</v>
      </c>
      <c r="U37" s="6">
        <v>0</v>
      </c>
      <c r="V37" s="6">
        <f>IF(ISERROR(VLOOKUP($S$37,'TAR FIN'!$A$1:$O$93,15,0)),0,VLOOKUP($S$37,'TAR FIN'!$A$1:$O$93,15,0))</f>
        <v>22.57</v>
      </c>
      <c r="W37" s="6">
        <f>IF(ISERROR(VLOOKUP($T$37,'TAR FIN'!$A$1:$O$93,15,0)),0,VLOOKUP($T$37,'TAR FIN'!$A$1:$O$93,15,0))</f>
        <v>0</v>
      </c>
      <c r="X37" s="6">
        <f>IF(ISERROR(VLOOKUP($U$37,'TAR FIN'!$A$1:$O$93,15,0)),0,VLOOKUP($U$37,'TAR FIN'!$A$1:$O$93,15,0))</f>
        <v>0</v>
      </c>
      <c r="Y37" s="6">
        <f ca="1">('TUSD BE'!$AM$5+'TUSD BF'!$AM$5+'TUSD CVA'!$AM$5)*1</f>
        <v>24.042517201916397</v>
      </c>
      <c r="Z37" s="6">
        <f ca="1">('TUSD BE'!$AM$7+'TUSD BF'!$AM$7+'TUSD CVA'!$AM$7)*1</f>
        <v>65.413161375527963</v>
      </c>
      <c r="AA37" s="6"/>
      <c r="AB37" s="6">
        <f>$K$37*$V$37</f>
        <v>74481</v>
      </c>
      <c r="AC37" s="6">
        <f>$M$37*$W$37</f>
        <v>0</v>
      </c>
      <c r="AD37" s="6">
        <f>$O$37*$X$37</f>
        <v>0</v>
      </c>
      <c r="AE37" s="6">
        <f ca="1">$K$37*$Y$37</f>
        <v>79340.306766324109</v>
      </c>
      <c r="AF37" s="6">
        <f ca="1">$M$37*$Z$37</f>
        <v>0</v>
      </c>
      <c r="AG37" s="6">
        <f>$O$37*$AA$37</f>
        <v>0</v>
      </c>
    </row>
    <row r="38" spans="1:33" ht="11.25" customHeight="1" x14ac:dyDescent="0.25">
      <c r="A38" s="4" t="s">
        <v>21</v>
      </c>
      <c r="B38" s="4" t="s">
        <v>35</v>
      </c>
      <c r="C38" s="4" t="s">
        <v>36</v>
      </c>
      <c r="D38" s="4" t="s">
        <v>40</v>
      </c>
      <c r="E38" s="4" t="s">
        <v>25</v>
      </c>
      <c r="F38" s="4" t="s">
        <v>25</v>
      </c>
      <c r="G38" s="4" t="s">
        <v>25</v>
      </c>
      <c r="H38" s="4" t="s">
        <v>38</v>
      </c>
      <c r="I38" s="5">
        <v>44378</v>
      </c>
      <c r="J38" s="6">
        <v>581</v>
      </c>
      <c r="K38" s="6">
        <v>581</v>
      </c>
      <c r="L38" s="6">
        <v>162.06299999999999</v>
      </c>
      <c r="M38" s="6">
        <v>162.06299999999999</v>
      </c>
      <c r="N38" s="6">
        <v>162.06299999999999</v>
      </c>
      <c r="O38" s="6">
        <v>162.06299999999999</v>
      </c>
      <c r="P38" s="6">
        <v>0</v>
      </c>
      <c r="Q38" s="4" t="s">
        <v>26</v>
      </c>
      <c r="R38" s="4">
        <v>0</v>
      </c>
      <c r="S38" s="6">
        <v>8</v>
      </c>
      <c r="T38" s="6">
        <v>9</v>
      </c>
      <c r="U38" s="6">
        <v>59</v>
      </c>
      <c r="V38" s="6">
        <f>IF(ISERROR(VLOOKUP($S$38,'TAR FIN'!$A$1:$O$93,15,0)),0,VLOOKUP($S$38,'TAR FIN'!$A$1:$O$93,15,0))</f>
        <v>26.17</v>
      </c>
      <c r="W38" s="6">
        <f>IF(ISERROR(VLOOKUP($T$38,'TAR FIN'!$A$1:$O$93,15,0)),0,VLOOKUP($T$38,'TAR FIN'!$A$1:$O$93,15,0))</f>
        <v>69.489999999999995</v>
      </c>
      <c r="X38" s="6">
        <f>IF(ISERROR(VLOOKUP($U$38,'TAR FIN'!$A$1:$O$93,15,0)),0,VLOOKUP($U$38,'TAR FIN'!$A$1:$O$93,15,0))</f>
        <v>185.18</v>
      </c>
      <c r="Y38" s="6">
        <f ca="1">('TUSD BE'!$AM$10+'TUSD BF'!$AM$10+'TUSD CVA'!$AM$10)*1</f>
        <v>30.453482365333407</v>
      </c>
      <c r="Z38" s="6">
        <f ca="1">('TUSD BE'!$AM$11+'TUSD BF'!$AM$11+'TUSD CVA'!$AM$11)*1</f>
        <v>92.504793470158234</v>
      </c>
      <c r="AA38" s="6">
        <f>('TE BE'!$AB$8+'TE BF'!$AB$8+'TE CVA'!$AB$8)*1</f>
        <v>198.18194779658231</v>
      </c>
      <c r="AB38" s="6">
        <f>$K$38*$V$38</f>
        <v>15204.77</v>
      </c>
      <c r="AC38" s="6">
        <f>$M$38*$W$38</f>
        <v>11261.757869999998</v>
      </c>
      <c r="AD38" s="6">
        <f>$O$38*$X$38</f>
        <v>30010.82634</v>
      </c>
      <c r="AE38" s="6">
        <f ca="1">$K$38*$Y$38</f>
        <v>17693.473254258708</v>
      </c>
      <c r="AF38" s="6">
        <f ca="1">$M$38*$Z$38</f>
        <v>14991.604344154253</v>
      </c>
      <c r="AG38" s="6">
        <f>$O$38*$AA$38</f>
        <v>32117.961005757516</v>
      </c>
    </row>
    <row r="39" spans="1:33" ht="11.25" customHeight="1" x14ac:dyDescent="0.25">
      <c r="A39" s="4" t="s">
        <v>21</v>
      </c>
      <c r="B39" s="4" t="s">
        <v>35</v>
      </c>
      <c r="C39" s="4" t="s">
        <v>36</v>
      </c>
      <c r="D39" s="4" t="s">
        <v>40</v>
      </c>
      <c r="E39" s="4" t="s">
        <v>25</v>
      </c>
      <c r="F39" s="4" t="s">
        <v>25</v>
      </c>
      <c r="G39" s="4" t="s">
        <v>25</v>
      </c>
      <c r="H39" s="4" t="s">
        <v>38</v>
      </c>
      <c r="I39" s="5">
        <v>44409</v>
      </c>
      <c r="J39" s="6">
        <v>550</v>
      </c>
      <c r="K39" s="6">
        <v>550</v>
      </c>
      <c r="L39" s="6">
        <v>166.43</v>
      </c>
      <c r="M39" s="6">
        <v>166.43</v>
      </c>
      <c r="N39" s="6">
        <v>166.43</v>
      </c>
      <c r="O39" s="6">
        <v>166.43</v>
      </c>
      <c r="P39" s="6">
        <v>0</v>
      </c>
      <c r="Q39" s="4" t="s">
        <v>26</v>
      </c>
      <c r="R39" s="4">
        <v>0</v>
      </c>
      <c r="S39" s="6">
        <v>8</v>
      </c>
      <c r="T39" s="6">
        <v>9</v>
      </c>
      <c r="U39" s="6">
        <v>59</v>
      </c>
      <c r="V39" s="6">
        <f>IF(ISERROR(VLOOKUP($S$39,'TAR FIN'!$A$1:$O$93,15,0)),0,VLOOKUP($S$39,'TAR FIN'!$A$1:$O$93,15,0))</f>
        <v>26.17</v>
      </c>
      <c r="W39" s="6">
        <f>IF(ISERROR(VLOOKUP($T$39,'TAR FIN'!$A$1:$O$93,15,0)),0,VLOOKUP($T$39,'TAR FIN'!$A$1:$O$93,15,0))</f>
        <v>69.489999999999995</v>
      </c>
      <c r="X39" s="6">
        <f>IF(ISERROR(VLOOKUP($U$39,'TAR FIN'!$A$1:$O$93,15,0)),0,VLOOKUP($U$39,'TAR FIN'!$A$1:$O$93,15,0))</f>
        <v>185.18</v>
      </c>
      <c r="Y39" s="6">
        <f ca="1">('TUSD BE'!$AM$10+'TUSD BF'!$AM$10+'TUSD CVA'!$AM$10)*1</f>
        <v>30.453482365333407</v>
      </c>
      <c r="Z39" s="6">
        <f ca="1">('TUSD BE'!$AM$11+'TUSD BF'!$AM$11+'TUSD CVA'!$AM$11)*1</f>
        <v>92.504793470158234</v>
      </c>
      <c r="AA39" s="6">
        <f>('TE BE'!$AB$8+'TE BF'!$AB$8+'TE CVA'!$AB$8)*1</f>
        <v>198.18194779658231</v>
      </c>
      <c r="AB39" s="6">
        <f>$K$39*$V$39</f>
        <v>14393.500000000002</v>
      </c>
      <c r="AC39" s="6">
        <f>$M$39*$W$39</f>
        <v>11565.2207</v>
      </c>
      <c r="AD39" s="6">
        <f>$O$39*$X$39</f>
        <v>30819.507400000002</v>
      </c>
      <c r="AE39" s="6">
        <f ca="1">$K$39*$Y$39</f>
        <v>16749.415300933375</v>
      </c>
      <c r="AF39" s="6">
        <f ca="1">$M$39*$Z$39</f>
        <v>15395.572777238436</v>
      </c>
      <c r="AG39" s="6">
        <f>$O$39*$AA$39</f>
        <v>32983.421571785191</v>
      </c>
    </row>
    <row r="40" spans="1:33" ht="11.25" customHeight="1" x14ac:dyDescent="0.25">
      <c r="A40" s="4" t="s">
        <v>21</v>
      </c>
      <c r="B40" s="4" t="s">
        <v>35</v>
      </c>
      <c r="C40" s="4" t="s">
        <v>36</v>
      </c>
      <c r="D40" s="4" t="s">
        <v>40</v>
      </c>
      <c r="E40" s="4" t="s">
        <v>25</v>
      </c>
      <c r="F40" s="4" t="s">
        <v>25</v>
      </c>
      <c r="G40" s="4" t="s">
        <v>25</v>
      </c>
      <c r="H40" s="4" t="s">
        <v>38</v>
      </c>
      <c r="I40" s="5">
        <v>44440</v>
      </c>
      <c r="J40" s="6">
        <v>550</v>
      </c>
      <c r="K40" s="6">
        <v>550</v>
      </c>
      <c r="L40" s="6">
        <v>162.376</v>
      </c>
      <c r="M40" s="6">
        <v>162.376</v>
      </c>
      <c r="N40" s="6">
        <v>162.376</v>
      </c>
      <c r="O40" s="6">
        <v>162.376</v>
      </c>
      <c r="P40" s="6">
        <v>0</v>
      </c>
      <c r="Q40" s="4" t="s">
        <v>26</v>
      </c>
      <c r="R40" s="4">
        <v>0</v>
      </c>
      <c r="S40" s="6">
        <v>8</v>
      </c>
      <c r="T40" s="6">
        <v>9</v>
      </c>
      <c r="U40" s="6">
        <v>59</v>
      </c>
      <c r="V40" s="6">
        <f>IF(ISERROR(VLOOKUP($S$40,'TAR FIN'!$A$1:$O$93,15,0)),0,VLOOKUP($S$40,'TAR FIN'!$A$1:$O$93,15,0))</f>
        <v>26.17</v>
      </c>
      <c r="W40" s="6">
        <f>IF(ISERROR(VLOOKUP($T$40,'TAR FIN'!$A$1:$O$93,15,0)),0,VLOOKUP($T$40,'TAR FIN'!$A$1:$O$93,15,0))</f>
        <v>69.489999999999995</v>
      </c>
      <c r="X40" s="6">
        <f>IF(ISERROR(VLOOKUP($U$40,'TAR FIN'!$A$1:$O$93,15,0)),0,VLOOKUP($U$40,'TAR FIN'!$A$1:$O$93,15,0))</f>
        <v>185.18</v>
      </c>
      <c r="Y40" s="6">
        <f ca="1">('TUSD BE'!$AM$10+'TUSD BF'!$AM$10+'TUSD CVA'!$AM$10)*1</f>
        <v>30.453482365333407</v>
      </c>
      <c r="Z40" s="6">
        <f ca="1">('TUSD BE'!$AM$11+'TUSD BF'!$AM$11+'TUSD CVA'!$AM$11)*1</f>
        <v>92.504793470158234</v>
      </c>
      <c r="AA40" s="6">
        <f>('TE BE'!$AB$8+'TE BF'!$AB$8+'TE CVA'!$AB$8)*1</f>
        <v>198.18194779658231</v>
      </c>
      <c r="AB40" s="6">
        <f>$K$40*$V$40</f>
        <v>14393.500000000002</v>
      </c>
      <c r="AC40" s="6">
        <f>$M$40*$W$40</f>
        <v>11283.508239999999</v>
      </c>
      <c r="AD40" s="6">
        <f>$O$40*$X$40</f>
        <v>30068.787680000001</v>
      </c>
      <c r="AE40" s="6">
        <f ca="1">$K$40*$Y$40</f>
        <v>16749.415300933375</v>
      </c>
      <c r="AF40" s="6">
        <f ca="1">$M$40*$Z$40</f>
        <v>15020.558344510413</v>
      </c>
      <c r="AG40" s="6">
        <f>$O$40*$AA$40</f>
        <v>32179.991955417849</v>
      </c>
    </row>
    <row r="41" spans="1:33" ht="11.25" customHeight="1" x14ac:dyDescent="0.25">
      <c r="A41" s="4" t="s">
        <v>21</v>
      </c>
      <c r="B41" s="4" t="s">
        <v>35</v>
      </c>
      <c r="C41" s="4" t="s">
        <v>36</v>
      </c>
      <c r="D41" s="4" t="s">
        <v>40</v>
      </c>
      <c r="E41" s="4" t="s">
        <v>25</v>
      </c>
      <c r="F41" s="4" t="s">
        <v>25</v>
      </c>
      <c r="G41" s="4" t="s">
        <v>25</v>
      </c>
      <c r="H41" s="4" t="s">
        <v>38</v>
      </c>
      <c r="I41" s="5">
        <v>44470</v>
      </c>
      <c r="J41" s="6">
        <v>550</v>
      </c>
      <c r="K41" s="6">
        <v>550</v>
      </c>
      <c r="L41" s="6">
        <v>162.346</v>
      </c>
      <c r="M41" s="6">
        <v>162.346</v>
      </c>
      <c r="N41" s="6">
        <v>162.346</v>
      </c>
      <c r="O41" s="6">
        <v>162.346</v>
      </c>
      <c r="P41" s="6">
        <v>0</v>
      </c>
      <c r="Q41" s="4" t="s">
        <v>26</v>
      </c>
      <c r="R41" s="4">
        <v>0</v>
      </c>
      <c r="S41" s="6">
        <v>8</v>
      </c>
      <c r="T41" s="6">
        <v>9</v>
      </c>
      <c r="U41" s="6">
        <v>59</v>
      </c>
      <c r="V41" s="6">
        <f>IF(ISERROR(VLOOKUP($S$41,'TAR FIN'!$A$1:$O$93,15,0)),0,VLOOKUP($S$41,'TAR FIN'!$A$1:$O$93,15,0))</f>
        <v>26.17</v>
      </c>
      <c r="W41" s="6">
        <f>IF(ISERROR(VLOOKUP($T$41,'TAR FIN'!$A$1:$O$93,15,0)),0,VLOOKUP($T$41,'TAR FIN'!$A$1:$O$93,15,0))</f>
        <v>69.489999999999995</v>
      </c>
      <c r="X41" s="6">
        <f>IF(ISERROR(VLOOKUP($U$41,'TAR FIN'!$A$1:$O$93,15,0)),0,VLOOKUP($U$41,'TAR FIN'!$A$1:$O$93,15,0))</f>
        <v>185.18</v>
      </c>
      <c r="Y41" s="6">
        <f ca="1">('TUSD BE'!$AM$10+'TUSD BF'!$AM$10+'TUSD CVA'!$AM$10)*1</f>
        <v>30.453482365333407</v>
      </c>
      <c r="Z41" s="6">
        <f ca="1">('TUSD BE'!$AM$11+'TUSD BF'!$AM$11+'TUSD CVA'!$AM$11)*1</f>
        <v>92.504793470158234</v>
      </c>
      <c r="AA41" s="6">
        <f>('TE BE'!$AB$8+'TE BF'!$AB$8+'TE CVA'!$AB$8)*1</f>
        <v>198.18194779658231</v>
      </c>
      <c r="AB41" s="6">
        <f>$K$41*$V$41</f>
        <v>14393.500000000002</v>
      </c>
      <c r="AC41" s="6">
        <f>$M$41*$W$41</f>
        <v>11281.42354</v>
      </c>
      <c r="AD41" s="6">
        <f>$O$41*$X$41</f>
        <v>30063.23228</v>
      </c>
      <c r="AE41" s="6">
        <f ca="1">$K$41*$Y$41</f>
        <v>16749.415300933375</v>
      </c>
      <c r="AF41" s="6">
        <f ca="1">$M$41*$Z$41</f>
        <v>15017.78320070631</v>
      </c>
      <c r="AG41" s="6">
        <f>$O$41*$AA$41</f>
        <v>32174.046496983952</v>
      </c>
    </row>
    <row r="42" spans="1:33" ht="11.25" customHeight="1" x14ac:dyDescent="0.25">
      <c r="A42" s="4" t="s">
        <v>21</v>
      </c>
      <c r="B42" s="4" t="s">
        <v>35</v>
      </c>
      <c r="C42" s="4" t="s">
        <v>36</v>
      </c>
      <c r="D42" s="4" t="s">
        <v>40</v>
      </c>
      <c r="E42" s="4" t="s">
        <v>25</v>
      </c>
      <c r="F42" s="4" t="s">
        <v>25</v>
      </c>
      <c r="G42" s="4" t="s">
        <v>25</v>
      </c>
      <c r="H42" s="4" t="s">
        <v>38</v>
      </c>
      <c r="I42" s="5">
        <v>44501</v>
      </c>
      <c r="J42" s="6">
        <v>550</v>
      </c>
      <c r="K42" s="6">
        <v>550</v>
      </c>
      <c r="L42" s="6">
        <v>167.602</v>
      </c>
      <c r="M42" s="6">
        <v>167.602</v>
      </c>
      <c r="N42" s="6">
        <v>167.602</v>
      </c>
      <c r="O42" s="6">
        <v>167.602</v>
      </c>
      <c r="P42" s="6">
        <v>0</v>
      </c>
      <c r="Q42" s="4" t="s">
        <v>26</v>
      </c>
      <c r="R42" s="4">
        <v>0</v>
      </c>
      <c r="S42" s="6">
        <v>8</v>
      </c>
      <c r="T42" s="6">
        <v>9</v>
      </c>
      <c r="U42" s="6">
        <v>59</v>
      </c>
      <c r="V42" s="6">
        <f>IF(ISERROR(VLOOKUP($S$42,'TAR FIN'!$A$1:$O$93,15,0)),0,VLOOKUP($S$42,'TAR FIN'!$A$1:$O$93,15,0))</f>
        <v>26.17</v>
      </c>
      <c r="W42" s="6">
        <f>IF(ISERROR(VLOOKUP($T$42,'TAR FIN'!$A$1:$O$93,15,0)),0,VLOOKUP($T$42,'TAR FIN'!$A$1:$O$93,15,0))</f>
        <v>69.489999999999995</v>
      </c>
      <c r="X42" s="6">
        <f>IF(ISERROR(VLOOKUP($U$42,'TAR FIN'!$A$1:$O$93,15,0)),0,VLOOKUP($U$42,'TAR FIN'!$A$1:$O$93,15,0))</f>
        <v>185.18</v>
      </c>
      <c r="Y42" s="6">
        <f ca="1">('TUSD BE'!$AM$10+'TUSD BF'!$AM$10+'TUSD CVA'!$AM$10)*1</f>
        <v>30.453482365333407</v>
      </c>
      <c r="Z42" s="6">
        <f ca="1">('TUSD BE'!$AM$11+'TUSD BF'!$AM$11+'TUSD CVA'!$AM$11)*1</f>
        <v>92.504793470158234</v>
      </c>
      <c r="AA42" s="6">
        <f>('TE BE'!$AB$8+'TE BF'!$AB$8+'TE CVA'!$AB$8)*1</f>
        <v>198.18194779658231</v>
      </c>
      <c r="AB42" s="6">
        <f>$K$42*$V$42</f>
        <v>14393.500000000002</v>
      </c>
      <c r="AC42" s="6">
        <f>$M$42*$W$42</f>
        <v>11646.662979999999</v>
      </c>
      <c r="AD42" s="6">
        <f>$O$42*$X$42</f>
        <v>31036.538360000002</v>
      </c>
      <c r="AE42" s="6">
        <f ca="1">$K$42*$Y$42</f>
        <v>16749.415300933375</v>
      </c>
      <c r="AF42" s="6">
        <f ca="1">$M$42*$Z$42</f>
        <v>15503.988395185461</v>
      </c>
      <c r="AG42" s="6">
        <f>$O$42*$AA$42</f>
        <v>33215.690814602785</v>
      </c>
    </row>
    <row r="43" spans="1:33" ht="11.25" customHeight="1" x14ac:dyDescent="0.25">
      <c r="A43" s="4" t="s">
        <v>21</v>
      </c>
      <c r="B43" s="4" t="s">
        <v>35</v>
      </c>
      <c r="C43" s="4" t="s">
        <v>36</v>
      </c>
      <c r="D43" s="4" t="s">
        <v>40</v>
      </c>
      <c r="E43" s="4" t="s">
        <v>25</v>
      </c>
      <c r="F43" s="4" t="s">
        <v>25</v>
      </c>
      <c r="G43" s="4" t="s">
        <v>25</v>
      </c>
      <c r="H43" s="4" t="s">
        <v>38</v>
      </c>
      <c r="I43" s="5">
        <v>44531</v>
      </c>
      <c r="J43" s="6">
        <v>583</v>
      </c>
      <c r="K43" s="6">
        <v>583</v>
      </c>
      <c r="L43" s="6">
        <v>189.77699999999999</v>
      </c>
      <c r="M43" s="6">
        <v>189.77699999999999</v>
      </c>
      <c r="N43" s="6">
        <v>189.77699999999999</v>
      </c>
      <c r="O43" s="6">
        <v>189.77699999999999</v>
      </c>
      <c r="P43" s="6">
        <v>0</v>
      </c>
      <c r="Q43" s="4" t="s">
        <v>26</v>
      </c>
      <c r="R43" s="4">
        <v>0</v>
      </c>
      <c r="S43" s="6">
        <v>8</v>
      </c>
      <c r="T43" s="6">
        <v>9</v>
      </c>
      <c r="U43" s="6">
        <v>59</v>
      </c>
      <c r="V43" s="6">
        <f>IF(ISERROR(VLOOKUP($S$43,'TAR FIN'!$A$1:$O$93,15,0)),0,VLOOKUP($S$43,'TAR FIN'!$A$1:$O$93,15,0))</f>
        <v>26.17</v>
      </c>
      <c r="W43" s="6">
        <f>IF(ISERROR(VLOOKUP($T$43,'TAR FIN'!$A$1:$O$93,15,0)),0,VLOOKUP($T$43,'TAR FIN'!$A$1:$O$93,15,0))</f>
        <v>69.489999999999995</v>
      </c>
      <c r="X43" s="6">
        <f>IF(ISERROR(VLOOKUP($U$43,'TAR FIN'!$A$1:$O$93,15,0)),0,VLOOKUP($U$43,'TAR FIN'!$A$1:$O$93,15,0))</f>
        <v>185.18</v>
      </c>
      <c r="Y43" s="6">
        <f ca="1">('TUSD BE'!$AM$10+'TUSD BF'!$AM$10+'TUSD CVA'!$AM$10)*1</f>
        <v>30.453482365333407</v>
      </c>
      <c r="Z43" s="6">
        <f ca="1">('TUSD BE'!$AM$11+'TUSD BF'!$AM$11+'TUSD CVA'!$AM$11)*1</f>
        <v>92.504793470158234</v>
      </c>
      <c r="AA43" s="6">
        <f>('TE BE'!$AB$8+'TE BF'!$AB$8+'TE CVA'!$AB$8)*1</f>
        <v>198.18194779658231</v>
      </c>
      <c r="AB43" s="6">
        <f>$K$43*$V$43</f>
        <v>15257.11</v>
      </c>
      <c r="AC43" s="6">
        <f>$M$43*$W$43</f>
        <v>13187.603729999999</v>
      </c>
      <c r="AD43" s="6">
        <f>$O$43*$X$43</f>
        <v>35142.904860000002</v>
      </c>
      <c r="AE43" s="6">
        <f ca="1">$K$43*$Y$43</f>
        <v>17754.380218989376</v>
      </c>
      <c r="AF43" s="6">
        <f ca="1">$M$43*$Z$43</f>
        <v>17555.282190386217</v>
      </c>
      <c r="AG43" s="6">
        <f>$O$43*$AA$43</f>
        <v>37610.375506992001</v>
      </c>
    </row>
    <row r="44" spans="1:33" ht="11.25" customHeight="1" x14ac:dyDescent="0.25">
      <c r="A44" s="4" t="s">
        <v>21</v>
      </c>
      <c r="B44" s="4" t="s">
        <v>35</v>
      </c>
      <c r="C44" s="4" t="s">
        <v>36</v>
      </c>
      <c r="D44" s="4" t="s">
        <v>40</v>
      </c>
      <c r="E44" s="4" t="s">
        <v>25</v>
      </c>
      <c r="F44" s="4" t="s">
        <v>25</v>
      </c>
      <c r="G44" s="4" t="s">
        <v>25</v>
      </c>
      <c r="H44" s="4" t="s">
        <v>38</v>
      </c>
      <c r="I44" s="5">
        <v>44562</v>
      </c>
      <c r="J44" s="6">
        <v>623</v>
      </c>
      <c r="K44" s="6">
        <v>623</v>
      </c>
      <c r="L44" s="6">
        <v>194.16900000000001</v>
      </c>
      <c r="M44" s="6">
        <v>194.16900000000001</v>
      </c>
      <c r="N44" s="6">
        <v>194.16900000000001</v>
      </c>
      <c r="O44" s="6">
        <v>194.16900000000001</v>
      </c>
      <c r="P44" s="6">
        <v>0</v>
      </c>
      <c r="Q44" s="4" t="s">
        <v>26</v>
      </c>
      <c r="R44" s="4">
        <v>0</v>
      </c>
      <c r="S44" s="6">
        <v>8</v>
      </c>
      <c r="T44" s="6">
        <v>9</v>
      </c>
      <c r="U44" s="6">
        <v>59</v>
      </c>
      <c r="V44" s="6">
        <f>IF(ISERROR(VLOOKUP($S$44,'TAR FIN'!$A$1:$O$93,15,0)),0,VLOOKUP($S$44,'TAR FIN'!$A$1:$O$93,15,0))</f>
        <v>26.17</v>
      </c>
      <c r="W44" s="6">
        <f>IF(ISERROR(VLOOKUP($T$44,'TAR FIN'!$A$1:$O$93,15,0)),0,VLOOKUP($T$44,'TAR FIN'!$A$1:$O$93,15,0))</f>
        <v>69.489999999999995</v>
      </c>
      <c r="X44" s="6">
        <f>IF(ISERROR(VLOOKUP($U$44,'TAR FIN'!$A$1:$O$93,15,0)),0,VLOOKUP($U$44,'TAR FIN'!$A$1:$O$93,15,0))</f>
        <v>185.18</v>
      </c>
      <c r="Y44" s="6">
        <f ca="1">('TUSD BE'!$AM$10+'TUSD BF'!$AM$10+'TUSD CVA'!$AM$10)*1</f>
        <v>30.453482365333407</v>
      </c>
      <c r="Z44" s="6">
        <f ca="1">('TUSD BE'!$AM$11+'TUSD BF'!$AM$11+'TUSD CVA'!$AM$11)*1</f>
        <v>92.504793470158234</v>
      </c>
      <c r="AA44" s="6">
        <f>('TE BE'!$AB$8+'TE BF'!$AB$8+'TE CVA'!$AB$8)*1</f>
        <v>198.18194779658231</v>
      </c>
      <c r="AB44" s="6">
        <f>$K$44*$V$44</f>
        <v>16303.910000000002</v>
      </c>
      <c r="AC44" s="6">
        <f>$M$44*$W$44</f>
        <v>13492.803809999999</v>
      </c>
      <c r="AD44" s="6">
        <f>$O$44*$X$44</f>
        <v>35956.21542</v>
      </c>
      <c r="AE44" s="6">
        <f ca="1">$K$44*$Y$44</f>
        <v>18972.519513602714</v>
      </c>
      <c r="AF44" s="6">
        <f ca="1">$M$44*$Z$44</f>
        <v>17961.563243307155</v>
      </c>
      <c r="AG44" s="6">
        <f>$O$44*$AA$44</f>
        <v>38480.790621714594</v>
      </c>
    </row>
    <row r="45" spans="1:33" ht="11.25" customHeight="1" x14ac:dyDescent="0.25">
      <c r="A45" s="4" t="s">
        <v>21</v>
      </c>
      <c r="B45" s="4" t="s">
        <v>35</v>
      </c>
      <c r="C45" s="4" t="s">
        <v>36</v>
      </c>
      <c r="D45" s="4" t="s">
        <v>40</v>
      </c>
      <c r="E45" s="4" t="s">
        <v>25</v>
      </c>
      <c r="F45" s="4" t="s">
        <v>25</v>
      </c>
      <c r="G45" s="4" t="s">
        <v>25</v>
      </c>
      <c r="H45" s="4" t="s">
        <v>38</v>
      </c>
      <c r="I45" s="5">
        <v>44593</v>
      </c>
      <c r="J45" s="6">
        <v>661</v>
      </c>
      <c r="K45" s="6">
        <v>661</v>
      </c>
      <c r="L45" s="6">
        <v>198.131</v>
      </c>
      <c r="M45" s="6">
        <v>198.131</v>
      </c>
      <c r="N45" s="6">
        <v>198.131</v>
      </c>
      <c r="O45" s="6">
        <v>198.131</v>
      </c>
      <c r="P45" s="6">
        <v>0</v>
      </c>
      <c r="Q45" s="4" t="s">
        <v>26</v>
      </c>
      <c r="R45" s="4">
        <v>0</v>
      </c>
      <c r="S45" s="6">
        <v>8</v>
      </c>
      <c r="T45" s="6">
        <v>9</v>
      </c>
      <c r="U45" s="6">
        <v>59</v>
      </c>
      <c r="V45" s="6">
        <f>IF(ISERROR(VLOOKUP($S$45,'TAR FIN'!$A$1:$O$93,15,0)),0,VLOOKUP($S$45,'TAR FIN'!$A$1:$O$93,15,0))</f>
        <v>26.17</v>
      </c>
      <c r="W45" s="6">
        <f>IF(ISERROR(VLOOKUP($T$45,'TAR FIN'!$A$1:$O$93,15,0)),0,VLOOKUP($T$45,'TAR FIN'!$A$1:$O$93,15,0))</f>
        <v>69.489999999999995</v>
      </c>
      <c r="X45" s="6">
        <f>IF(ISERROR(VLOOKUP($U$45,'TAR FIN'!$A$1:$O$93,15,0)),0,VLOOKUP($U$45,'TAR FIN'!$A$1:$O$93,15,0))</f>
        <v>185.18</v>
      </c>
      <c r="Y45" s="6">
        <f ca="1">('TUSD BE'!$AM$10+'TUSD BF'!$AM$10+'TUSD CVA'!$AM$10)*1</f>
        <v>30.453482365333407</v>
      </c>
      <c r="Z45" s="6">
        <f ca="1">('TUSD BE'!$AM$11+'TUSD BF'!$AM$11+'TUSD CVA'!$AM$11)*1</f>
        <v>92.504793470158234</v>
      </c>
      <c r="AA45" s="6">
        <f>('TE BE'!$AB$8+'TE BF'!$AB$8+'TE CVA'!$AB$8)*1</f>
        <v>198.18194779658231</v>
      </c>
      <c r="AB45" s="6">
        <f>$K$45*$V$45</f>
        <v>17298.370000000003</v>
      </c>
      <c r="AC45" s="6">
        <f>$M$45*$W$45</f>
        <v>13768.123189999998</v>
      </c>
      <c r="AD45" s="6">
        <f>$O$45*$X$45</f>
        <v>36689.898580000001</v>
      </c>
      <c r="AE45" s="6">
        <f ca="1">$K$45*$Y$45</f>
        <v>20129.751843485381</v>
      </c>
      <c r="AF45" s="6">
        <f ca="1">$M$45*$Z$45</f>
        <v>18328.06723503592</v>
      </c>
      <c r="AG45" s="6">
        <f>$O$45*$AA$45</f>
        <v>39265.98749888465</v>
      </c>
    </row>
    <row r="46" spans="1:33" ht="11.25" customHeight="1" x14ac:dyDescent="0.25">
      <c r="A46" s="4" t="s">
        <v>21</v>
      </c>
      <c r="B46" s="4" t="s">
        <v>35</v>
      </c>
      <c r="C46" s="4" t="s">
        <v>36</v>
      </c>
      <c r="D46" s="4" t="s">
        <v>40</v>
      </c>
      <c r="E46" s="4" t="s">
        <v>25</v>
      </c>
      <c r="F46" s="4" t="s">
        <v>25</v>
      </c>
      <c r="G46" s="4" t="s">
        <v>25</v>
      </c>
      <c r="H46" s="4" t="s">
        <v>38</v>
      </c>
      <c r="I46" s="5">
        <v>44621</v>
      </c>
      <c r="J46" s="6">
        <v>575</v>
      </c>
      <c r="K46" s="6">
        <v>575</v>
      </c>
      <c r="L46" s="6">
        <v>191.43199999999999</v>
      </c>
      <c r="M46" s="6">
        <v>191.43199999999999</v>
      </c>
      <c r="N46" s="6">
        <v>191.43199999999999</v>
      </c>
      <c r="O46" s="6">
        <v>191.43199999999999</v>
      </c>
      <c r="P46" s="6">
        <v>0</v>
      </c>
      <c r="Q46" s="4" t="s">
        <v>26</v>
      </c>
      <c r="R46" s="4">
        <v>0</v>
      </c>
      <c r="S46" s="6">
        <v>8</v>
      </c>
      <c r="T46" s="6">
        <v>9</v>
      </c>
      <c r="U46" s="6">
        <v>59</v>
      </c>
      <c r="V46" s="6">
        <f>IF(ISERROR(VLOOKUP($S$46,'TAR FIN'!$A$1:$O$93,15,0)),0,VLOOKUP($S$46,'TAR FIN'!$A$1:$O$93,15,0))</f>
        <v>26.17</v>
      </c>
      <c r="W46" s="6">
        <f>IF(ISERROR(VLOOKUP($T$46,'TAR FIN'!$A$1:$O$93,15,0)),0,VLOOKUP($T$46,'TAR FIN'!$A$1:$O$93,15,0))</f>
        <v>69.489999999999995</v>
      </c>
      <c r="X46" s="6">
        <f>IF(ISERROR(VLOOKUP($U$46,'TAR FIN'!$A$1:$O$93,15,0)),0,VLOOKUP($U$46,'TAR FIN'!$A$1:$O$93,15,0))</f>
        <v>185.18</v>
      </c>
      <c r="Y46" s="6">
        <f ca="1">('TUSD BE'!$AM$10+'TUSD BF'!$AM$10+'TUSD CVA'!$AM$10)*1</f>
        <v>30.453482365333407</v>
      </c>
      <c r="Z46" s="6">
        <f ca="1">('TUSD BE'!$AM$11+'TUSD BF'!$AM$11+'TUSD CVA'!$AM$11)*1</f>
        <v>92.504793470158234</v>
      </c>
      <c r="AA46" s="6">
        <f>('TE BE'!$AB$8+'TE BF'!$AB$8+'TE CVA'!$AB$8)*1</f>
        <v>198.18194779658231</v>
      </c>
      <c r="AB46" s="6">
        <f>$K$46*$V$46</f>
        <v>15047.750000000002</v>
      </c>
      <c r="AC46" s="6">
        <f>$M$46*$W$46</f>
        <v>13302.609679999998</v>
      </c>
      <c r="AD46" s="6">
        <f>$O$46*$X$46</f>
        <v>35449.377759999996</v>
      </c>
      <c r="AE46" s="6">
        <f ca="1">$K$46*$Y$46</f>
        <v>17510.752360066708</v>
      </c>
      <c r="AF46" s="6">
        <f ca="1">$M$46*$Z$46</f>
        <v>17708.37762357933</v>
      </c>
      <c r="AG46" s="6">
        <f>$O$46*$AA$46</f>
        <v>37938.366630595345</v>
      </c>
    </row>
    <row r="47" spans="1:33" ht="11.25" customHeight="1" x14ac:dyDescent="0.25">
      <c r="A47" s="4" t="s">
        <v>21</v>
      </c>
      <c r="B47" s="4" t="s">
        <v>35</v>
      </c>
      <c r="C47" s="4" t="s">
        <v>36</v>
      </c>
      <c r="D47" s="4" t="s">
        <v>40</v>
      </c>
      <c r="E47" s="4" t="s">
        <v>25</v>
      </c>
      <c r="F47" s="4" t="s">
        <v>25</v>
      </c>
      <c r="G47" s="4" t="s">
        <v>25</v>
      </c>
      <c r="H47" s="4" t="s">
        <v>38</v>
      </c>
      <c r="I47" s="5">
        <v>44652</v>
      </c>
      <c r="J47" s="6">
        <v>589</v>
      </c>
      <c r="K47" s="6">
        <v>589</v>
      </c>
      <c r="L47" s="6">
        <v>202.691</v>
      </c>
      <c r="M47" s="6">
        <v>202.691</v>
      </c>
      <c r="N47" s="6">
        <v>202.691</v>
      </c>
      <c r="O47" s="6">
        <v>202.691</v>
      </c>
      <c r="P47" s="6">
        <v>0</v>
      </c>
      <c r="Q47" s="4" t="s">
        <v>26</v>
      </c>
      <c r="R47" s="4">
        <v>0</v>
      </c>
      <c r="S47" s="6">
        <v>8</v>
      </c>
      <c r="T47" s="6">
        <v>9</v>
      </c>
      <c r="U47" s="6">
        <v>59</v>
      </c>
      <c r="V47" s="6">
        <f>IF(ISERROR(VLOOKUP($S$47,'TAR FIN'!$A$1:$O$93,15,0)),0,VLOOKUP($S$47,'TAR FIN'!$A$1:$O$93,15,0))</f>
        <v>26.17</v>
      </c>
      <c r="W47" s="6">
        <f>IF(ISERROR(VLOOKUP($T$47,'TAR FIN'!$A$1:$O$93,15,0)),0,VLOOKUP($T$47,'TAR FIN'!$A$1:$O$93,15,0))</f>
        <v>69.489999999999995</v>
      </c>
      <c r="X47" s="6">
        <f>IF(ISERROR(VLOOKUP($U$47,'TAR FIN'!$A$1:$O$93,15,0)),0,VLOOKUP($U$47,'TAR FIN'!$A$1:$O$93,15,0))</f>
        <v>185.18</v>
      </c>
      <c r="Y47" s="6">
        <f ca="1">('TUSD BE'!$AM$10+'TUSD BF'!$AM$10+'TUSD CVA'!$AM$10)*1</f>
        <v>30.453482365333407</v>
      </c>
      <c r="Z47" s="6">
        <f ca="1">('TUSD BE'!$AM$11+'TUSD BF'!$AM$11+'TUSD CVA'!$AM$11)*1</f>
        <v>92.504793470158234</v>
      </c>
      <c r="AA47" s="6">
        <f>('TE BE'!$AB$8+'TE BF'!$AB$8+'TE CVA'!$AB$8)*1</f>
        <v>198.18194779658231</v>
      </c>
      <c r="AB47" s="6">
        <f>$K$47*$V$47</f>
        <v>15414.130000000001</v>
      </c>
      <c r="AC47" s="6">
        <f>$M$47*$W$47</f>
        <v>14084.997589999999</v>
      </c>
      <c r="AD47" s="6">
        <f>$O$47*$X$47</f>
        <v>37534.319380000001</v>
      </c>
      <c r="AE47" s="6">
        <f ca="1">$K$47*$Y$47</f>
        <v>17937.101113181376</v>
      </c>
      <c r="AF47" s="6">
        <f ca="1">$M$47*$Z$47</f>
        <v>18749.889093259844</v>
      </c>
      <c r="AG47" s="6">
        <f>$O$47*$AA$47</f>
        <v>40169.697180837065</v>
      </c>
    </row>
    <row r="48" spans="1:33" ht="11.25" customHeight="1" x14ac:dyDescent="0.25">
      <c r="A48" s="4" t="s">
        <v>21</v>
      </c>
      <c r="B48" s="4" t="s">
        <v>35</v>
      </c>
      <c r="C48" s="4" t="s">
        <v>36</v>
      </c>
      <c r="D48" s="4" t="s">
        <v>40</v>
      </c>
      <c r="E48" s="4" t="s">
        <v>25</v>
      </c>
      <c r="F48" s="4" t="s">
        <v>25</v>
      </c>
      <c r="G48" s="4" t="s">
        <v>25</v>
      </c>
      <c r="H48" s="4" t="s">
        <v>38</v>
      </c>
      <c r="I48" s="5">
        <v>44682</v>
      </c>
      <c r="J48" s="6">
        <v>550</v>
      </c>
      <c r="K48" s="6">
        <v>550</v>
      </c>
      <c r="L48" s="6">
        <v>179.97300000000001</v>
      </c>
      <c r="M48" s="6">
        <v>179.97300000000001</v>
      </c>
      <c r="N48" s="6">
        <v>179.97300000000001</v>
      </c>
      <c r="O48" s="6">
        <v>179.97300000000001</v>
      </c>
      <c r="P48" s="6">
        <v>0</v>
      </c>
      <c r="Q48" s="4" t="s">
        <v>26</v>
      </c>
      <c r="R48" s="4">
        <v>0</v>
      </c>
      <c r="S48" s="6">
        <v>8</v>
      </c>
      <c r="T48" s="6">
        <v>9</v>
      </c>
      <c r="U48" s="6">
        <v>59</v>
      </c>
      <c r="V48" s="6">
        <f>IF(ISERROR(VLOOKUP($S$48,'TAR FIN'!$A$1:$O$93,15,0)),0,VLOOKUP($S$48,'TAR FIN'!$A$1:$O$93,15,0))</f>
        <v>26.17</v>
      </c>
      <c r="W48" s="6">
        <f>IF(ISERROR(VLOOKUP($T$48,'TAR FIN'!$A$1:$O$93,15,0)),0,VLOOKUP($T$48,'TAR FIN'!$A$1:$O$93,15,0))</f>
        <v>69.489999999999995</v>
      </c>
      <c r="X48" s="6">
        <f>IF(ISERROR(VLOOKUP($U$48,'TAR FIN'!$A$1:$O$93,15,0)),0,VLOOKUP($U$48,'TAR FIN'!$A$1:$O$93,15,0))</f>
        <v>185.18</v>
      </c>
      <c r="Y48" s="6">
        <f ca="1">('TUSD BE'!$AM$10+'TUSD BF'!$AM$10+'TUSD CVA'!$AM$10)*1</f>
        <v>30.453482365333407</v>
      </c>
      <c r="Z48" s="6">
        <f ca="1">('TUSD BE'!$AM$11+'TUSD BF'!$AM$11+'TUSD CVA'!$AM$11)*1</f>
        <v>92.504793470158234</v>
      </c>
      <c r="AA48" s="6">
        <f>('TE BE'!$AB$8+'TE BF'!$AB$8+'TE CVA'!$AB$8)*1</f>
        <v>198.18194779658231</v>
      </c>
      <c r="AB48" s="6">
        <f>$K$48*$V$48</f>
        <v>14393.500000000002</v>
      </c>
      <c r="AC48" s="6">
        <f>$M$48*$W$48</f>
        <v>12506.323770000001</v>
      </c>
      <c r="AD48" s="6">
        <f>$O$48*$X$48</f>
        <v>33327.400140000005</v>
      </c>
      <c r="AE48" s="6">
        <f ca="1">$K$48*$Y$48</f>
        <v>16749.415300933375</v>
      </c>
      <c r="AF48" s="6">
        <f ca="1">$M$48*$Z$48</f>
        <v>16648.365195204788</v>
      </c>
      <c r="AG48" s="6">
        <f>$O$48*$AA$48</f>
        <v>35667.399690794307</v>
      </c>
    </row>
    <row r="49" spans="1:33" ht="11.25" customHeight="1" x14ac:dyDescent="0.25">
      <c r="A49" s="4" t="s">
        <v>21</v>
      </c>
      <c r="B49" s="4" t="s">
        <v>35</v>
      </c>
      <c r="C49" s="4" t="s">
        <v>36</v>
      </c>
      <c r="D49" s="4" t="s">
        <v>40</v>
      </c>
      <c r="E49" s="4" t="s">
        <v>25</v>
      </c>
      <c r="F49" s="4" t="s">
        <v>25</v>
      </c>
      <c r="G49" s="4" t="s">
        <v>25</v>
      </c>
      <c r="H49" s="4" t="s">
        <v>38</v>
      </c>
      <c r="I49" s="5">
        <v>44713</v>
      </c>
      <c r="J49" s="6">
        <v>550</v>
      </c>
      <c r="K49" s="6">
        <v>550</v>
      </c>
      <c r="L49" s="6">
        <v>190.90299999999999</v>
      </c>
      <c r="M49" s="6">
        <v>190.90299999999999</v>
      </c>
      <c r="N49" s="6">
        <v>190.90299999999999</v>
      </c>
      <c r="O49" s="6">
        <v>190.90299999999999</v>
      </c>
      <c r="P49" s="6">
        <v>0</v>
      </c>
      <c r="Q49" s="4" t="s">
        <v>26</v>
      </c>
      <c r="R49" s="4">
        <v>0</v>
      </c>
      <c r="S49" s="6">
        <v>8</v>
      </c>
      <c r="T49" s="6">
        <v>9</v>
      </c>
      <c r="U49" s="6">
        <v>59</v>
      </c>
      <c r="V49" s="6">
        <f>IF(ISERROR(VLOOKUP($S$49,'TAR FIN'!$A$1:$O$93,15,0)),0,VLOOKUP($S$49,'TAR FIN'!$A$1:$O$93,15,0))</f>
        <v>26.17</v>
      </c>
      <c r="W49" s="6">
        <f>IF(ISERROR(VLOOKUP($T$49,'TAR FIN'!$A$1:$O$93,15,0)),0,VLOOKUP($T$49,'TAR FIN'!$A$1:$O$93,15,0))</f>
        <v>69.489999999999995</v>
      </c>
      <c r="X49" s="6">
        <f>IF(ISERROR(VLOOKUP($U$49,'TAR FIN'!$A$1:$O$93,15,0)),0,VLOOKUP($U$49,'TAR FIN'!$A$1:$O$93,15,0))</f>
        <v>185.18</v>
      </c>
      <c r="Y49" s="6">
        <f ca="1">('TUSD BE'!$AM$10+'TUSD BF'!$AM$10+'TUSD CVA'!$AM$10)*1</f>
        <v>30.453482365333407</v>
      </c>
      <c r="Z49" s="6">
        <f ca="1">('TUSD BE'!$AM$11+'TUSD BF'!$AM$11+'TUSD CVA'!$AM$11)*1</f>
        <v>92.504793470158234</v>
      </c>
      <c r="AA49" s="6">
        <f>('TE BE'!$AB$8+'TE BF'!$AB$8+'TE CVA'!$AB$8)*1</f>
        <v>198.18194779658231</v>
      </c>
      <c r="AB49" s="6">
        <f>$K$49*$V$49</f>
        <v>14393.500000000002</v>
      </c>
      <c r="AC49" s="6">
        <f>$M$49*$W$49</f>
        <v>13265.849469999999</v>
      </c>
      <c r="AD49" s="6">
        <f>$O$49*$X$49</f>
        <v>35351.417540000002</v>
      </c>
      <c r="AE49" s="6">
        <f ca="1">$K$49*$Y$49</f>
        <v>16749.415300933375</v>
      </c>
      <c r="AF49" s="6">
        <f ca="1">$M$49*$Z$49</f>
        <v>17659.442587833615</v>
      </c>
      <c r="AG49" s="6">
        <f>$O$49*$AA$49</f>
        <v>37833.528380210948</v>
      </c>
    </row>
    <row r="50" spans="1:33" ht="11.25" customHeight="1" x14ac:dyDescent="0.25">
      <c r="A50" s="4" t="s">
        <v>21</v>
      </c>
      <c r="B50" s="4" t="s">
        <v>35</v>
      </c>
      <c r="C50" s="4" t="s">
        <v>36</v>
      </c>
      <c r="D50" s="4" t="s">
        <v>40</v>
      </c>
      <c r="E50" s="4" t="s">
        <v>25</v>
      </c>
      <c r="F50" s="4" t="s">
        <v>25</v>
      </c>
      <c r="G50" s="4" t="s">
        <v>25</v>
      </c>
      <c r="H50" s="4" t="s">
        <v>37</v>
      </c>
      <c r="I50" s="5">
        <v>44378</v>
      </c>
      <c r="J50" s="6">
        <v>400</v>
      </c>
      <c r="K50" s="6">
        <v>400</v>
      </c>
      <c r="L50" s="6">
        <v>18.995000000000001</v>
      </c>
      <c r="M50" s="6">
        <v>18.995000000000001</v>
      </c>
      <c r="N50" s="6">
        <v>18.995000000000001</v>
      </c>
      <c r="O50" s="6">
        <v>18.995000000000001</v>
      </c>
      <c r="P50" s="6">
        <v>0</v>
      </c>
      <c r="Q50" s="4" t="s">
        <v>26</v>
      </c>
      <c r="R50" s="4">
        <v>0</v>
      </c>
      <c r="S50" s="6">
        <v>3</v>
      </c>
      <c r="T50" s="6">
        <v>9</v>
      </c>
      <c r="U50" s="6">
        <v>66</v>
      </c>
      <c r="V50" s="6">
        <f>IF(ISERROR(VLOOKUP($S$50,'TAR FIN'!$A$1:$O$93,15,0)),0,VLOOKUP($S$50,'TAR FIN'!$A$1:$O$93,15,0))</f>
        <v>43.88</v>
      </c>
      <c r="W50" s="6">
        <f>IF(ISERROR(VLOOKUP($T$50,'TAR FIN'!$A$1:$O$93,15,0)),0,VLOOKUP($T$50,'TAR FIN'!$A$1:$O$93,15,0))</f>
        <v>69.489999999999995</v>
      </c>
      <c r="X50" s="6">
        <f>IF(ISERROR(VLOOKUP($U$50,'TAR FIN'!$A$1:$O$93,15,0)),0,VLOOKUP($U$50,'TAR FIN'!$A$1:$O$93,15,0))</f>
        <v>185.18</v>
      </c>
      <c r="Y50" s="6">
        <f ca="1">('TUSD BE'!$AM$9+'TUSD BF'!$AM$9+'TUSD CVA'!$AM$9)*1</f>
        <v>50.306190347472103</v>
      </c>
      <c r="Z50" s="6">
        <f ca="1">('TUSD BE'!$AM$11+'TUSD BF'!$AM$11+'TUSD CVA'!$AM$11)*1</f>
        <v>92.504793470158234</v>
      </c>
      <c r="AA50" s="6">
        <f>('TE BE'!$AB$7+'TE BF'!$AB$7+'TE CVA'!$AB$7)*1</f>
        <v>198.18194779658231</v>
      </c>
      <c r="AB50" s="6">
        <f>$K$50*$V$50</f>
        <v>17552</v>
      </c>
      <c r="AC50" s="6">
        <f>$M$50*$W$50</f>
        <v>1319.96255</v>
      </c>
      <c r="AD50" s="6">
        <f>$O$50*$X$50</f>
        <v>3517.4941000000003</v>
      </c>
      <c r="AE50" s="6">
        <f ca="1">$K$50*$Y$50</f>
        <v>20122.476138988841</v>
      </c>
      <c r="AF50" s="6">
        <f ca="1">$M$50*$Z$50</f>
        <v>1757.1285519656558</v>
      </c>
      <c r="AG50" s="6">
        <f>$O$50*$AA$50</f>
        <v>3764.4660983960812</v>
      </c>
    </row>
    <row r="51" spans="1:33" ht="11.25" customHeight="1" x14ac:dyDescent="0.25">
      <c r="A51" s="4" t="s">
        <v>21</v>
      </c>
      <c r="B51" s="4" t="s">
        <v>35</v>
      </c>
      <c r="C51" s="4" t="s">
        <v>36</v>
      </c>
      <c r="D51" s="4" t="s">
        <v>40</v>
      </c>
      <c r="E51" s="4" t="s">
        <v>25</v>
      </c>
      <c r="F51" s="4" t="s">
        <v>25</v>
      </c>
      <c r="G51" s="4" t="s">
        <v>25</v>
      </c>
      <c r="H51" s="4" t="s">
        <v>37</v>
      </c>
      <c r="I51" s="5">
        <v>44409</v>
      </c>
      <c r="J51" s="6">
        <v>400</v>
      </c>
      <c r="K51" s="6">
        <v>400</v>
      </c>
      <c r="L51" s="6">
        <v>19.504000000000001</v>
      </c>
      <c r="M51" s="6">
        <v>19.504000000000001</v>
      </c>
      <c r="N51" s="6">
        <v>19.504000000000001</v>
      </c>
      <c r="O51" s="6">
        <v>19.504000000000001</v>
      </c>
      <c r="P51" s="6">
        <v>0</v>
      </c>
      <c r="Q51" s="4" t="s">
        <v>26</v>
      </c>
      <c r="R51" s="4">
        <v>0</v>
      </c>
      <c r="S51" s="6">
        <v>3</v>
      </c>
      <c r="T51" s="6">
        <v>9</v>
      </c>
      <c r="U51" s="6">
        <v>66</v>
      </c>
      <c r="V51" s="6">
        <f>IF(ISERROR(VLOOKUP($S$51,'TAR FIN'!$A$1:$O$93,15,0)),0,VLOOKUP($S$51,'TAR FIN'!$A$1:$O$93,15,0))</f>
        <v>43.88</v>
      </c>
      <c r="W51" s="6">
        <f>IF(ISERROR(VLOOKUP($T$51,'TAR FIN'!$A$1:$O$93,15,0)),0,VLOOKUP($T$51,'TAR FIN'!$A$1:$O$93,15,0))</f>
        <v>69.489999999999995</v>
      </c>
      <c r="X51" s="6">
        <f>IF(ISERROR(VLOOKUP($U$51,'TAR FIN'!$A$1:$O$93,15,0)),0,VLOOKUP($U$51,'TAR FIN'!$A$1:$O$93,15,0))</f>
        <v>185.18</v>
      </c>
      <c r="Y51" s="6">
        <f ca="1">('TUSD BE'!$AM$9+'TUSD BF'!$AM$9+'TUSD CVA'!$AM$9)*1</f>
        <v>50.306190347472103</v>
      </c>
      <c r="Z51" s="6">
        <f ca="1">('TUSD BE'!$AM$11+'TUSD BF'!$AM$11+'TUSD CVA'!$AM$11)*1</f>
        <v>92.504793470158234</v>
      </c>
      <c r="AA51" s="6">
        <f>('TE BE'!$AB$7+'TE BF'!$AB$7+'TE CVA'!$AB$7)*1</f>
        <v>198.18194779658231</v>
      </c>
      <c r="AB51" s="6">
        <f>$K$51*$V$51</f>
        <v>17552</v>
      </c>
      <c r="AC51" s="6">
        <f>$M$51*$W$51</f>
        <v>1355.33296</v>
      </c>
      <c r="AD51" s="6">
        <f>$O$51*$X$51</f>
        <v>3611.7507200000005</v>
      </c>
      <c r="AE51" s="6">
        <f ca="1">$K$51*$Y$51</f>
        <v>20122.476138988841</v>
      </c>
      <c r="AF51" s="6">
        <f ca="1">$M$51*$Z$51</f>
        <v>1804.2134918419663</v>
      </c>
      <c r="AG51" s="6">
        <f>$O$51*$AA$51</f>
        <v>3865.3407098245416</v>
      </c>
    </row>
    <row r="52" spans="1:33" ht="11.25" customHeight="1" x14ac:dyDescent="0.25">
      <c r="A52" s="4" t="s">
        <v>21</v>
      </c>
      <c r="B52" s="4" t="s">
        <v>35</v>
      </c>
      <c r="C52" s="4" t="s">
        <v>36</v>
      </c>
      <c r="D52" s="4" t="s">
        <v>40</v>
      </c>
      <c r="E52" s="4" t="s">
        <v>25</v>
      </c>
      <c r="F52" s="4" t="s">
        <v>25</v>
      </c>
      <c r="G52" s="4" t="s">
        <v>25</v>
      </c>
      <c r="H52" s="4" t="s">
        <v>37</v>
      </c>
      <c r="I52" s="5">
        <v>44440</v>
      </c>
      <c r="J52" s="6">
        <v>400</v>
      </c>
      <c r="K52" s="6">
        <v>400</v>
      </c>
      <c r="L52" s="6">
        <v>19.146000000000001</v>
      </c>
      <c r="M52" s="6">
        <v>19.146000000000001</v>
      </c>
      <c r="N52" s="6">
        <v>19.146000000000001</v>
      </c>
      <c r="O52" s="6">
        <v>19.146000000000001</v>
      </c>
      <c r="P52" s="6">
        <v>0</v>
      </c>
      <c r="Q52" s="4" t="s">
        <v>26</v>
      </c>
      <c r="R52" s="4">
        <v>0</v>
      </c>
      <c r="S52" s="6">
        <v>3</v>
      </c>
      <c r="T52" s="6">
        <v>9</v>
      </c>
      <c r="U52" s="6">
        <v>66</v>
      </c>
      <c r="V52" s="6">
        <f>IF(ISERROR(VLOOKUP($S$52,'TAR FIN'!$A$1:$O$93,15,0)),0,VLOOKUP($S$52,'TAR FIN'!$A$1:$O$93,15,0))</f>
        <v>43.88</v>
      </c>
      <c r="W52" s="6">
        <f>IF(ISERROR(VLOOKUP($T$52,'TAR FIN'!$A$1:$O$93,15,0)),0,VLOOKUP($T$52,'TAR FIN'!$A$1:$O$93,15,0))</f>
        <v>69.489999999999995</v>
      </c>
      <c r="X52" s="6">
        <f>IF(ISERROR(VLOOKUP($U$52,'TAR FIN'!$A$1:$O$93,15,0)),0,VLOOKUP($U$52,'TAR FIN'!$A$1:$O$93,15,0))</f>
        <v>185.18</v>
      </c>
      <c r="Y52" s="6">
        <f ca="1">('TUSD BE'!$AM$9+'TUSD BF'!$AM$9+'TUSD CVA'!$AM$9)*1</f>
        <v>50.306190347472103</v>
      </c>
      <c r="Z52" s="6">
        <f ca="1">('TUSD BE'!$AM$11+'TUSD BF'!$AM$11+'TUSD CVA'!$AM$11)*1</f>
        <v>92.504793470158234</v>
      </c>
      <c r="AA52" s="6">
        <f>('TE BE'!$AB$7+'TE BF'!$AB$7+'TE CVA'!$AB$7)*1</f>
        <v>198.18194779658231</v>
      </c>
      <c r="AB52" s="6">
        <f>$K$52*$V$52</f>
        <v>17552</v>
      </c>
      <c r="AC52" s="6">
        <f>$M$52*$W$52</f>
        <v>1330.4555399999999</v>
      </c>
      <c r="AD52" s="6">
        <f>$O$52*$X$52</f>
        <v>3545.4562800000003</v>
      </c>
      <c r="AE52" s="6">
        <f ca="1">$K$52*$Y$52</f>
        <v>20122.476138988841</v>
      </c>
      <c r="AF52" s="6">
        <f ca="1">$M$52*$Z$52</f>
        <v>1771.0967757796495</v>
      </c>
      <c r="AG52" s="6">
        <f>$O$52*$AA$52</f>
        <v>3794.3915725133652</v>
      </c>
    </row>
    <row r="53" spans="1:33" ht="11.25" customHeight="1" x14ac:dyDescent="0.25">
      <c r="A53" s="4" t="s">
        <v>21</v>
      </c>
      <c r="B53" s="4" t="s">
        <v>35</v>
      </c>
      <c r="C53" s="4" t="s">
        <v>36</v>
      </c>
      <c r="D53" s="4" t="s">
        <v>40</v>
      </c>
      <c r="E53" s="4" t="s">
        <v>25</v>
      </c>
      <c r="F53" s="4" t="s">
        <v>25</v>
      </c>
      <c r="G53" s="4" t="s">
        <v>25</v>
      </c>
      <c r="H53" s="4" t="s">
        <v>37</v>
      </c>
      <c r="I53" s="5">
        <v>44470</v>
      </c>
      <c r="J53" s="6">
        <v>400</v>
      </c>
      <c r="K53" s="6">
        <v>400</v>
      </c>
      <c r="L53" s="6">
        <v>18.858000000000001</v>
      </c>
      <c r="M53" s="6">
        <v>18.858000000000001</v>
      </c>
      <c r="N53" s="6">
        <v>18.858000000000001</v>
      </c>
      <c r="O53" s="6">
        <v>18.858000000000001</v>
      </c>
      <c r="P53" s="6">
        <v>0</v>
      </c>
      <c r="Q53" s="4" t="s">
        <v>26</v>
      </c>
      <c r="R53" s="4">
        <v>0</v>
      </c>
      <c r="S53" s="6">
        <v>3</v>
      </c>
      <c r="T53" s="6">
        <v>9</v>
      </c>
      <c r="U53" s="6">
        <v>66</v>
      </c>
      <c r="V53" s="6">
        <f>IF(ISERROR(VLOOKUP($S$53,'TAR FIN'!$A$1:$O$93,15,0)),0,VLOOKUP($S$53,'TAR FIN'!$A$1:$O$93,15,0))</f>
        <v>43.88</v>
      </c>
      <c r="W53" s="6">
        <f>IF(ISERROR(VLOOKUP($T$53,'TAR FIN'!$A$1:$O$93,15,0)),0,VLOOKUP($T$53,'TAR FIN'!$A$1:$O$93,15,0))</f>
        <v>69.489999999999995</v>
      </c>
      <c r="X53" s="6">
        <f>IF(ISERROR(VLOOKUP($U$53,'TAR FIN'!$A$1:$O$93,15,0)),0,VLOOKUP($U$53,'TAR FIN'!$A$1:$O$93,15,0))</f>
        <v>185.18</v>
      </c>
      <c r="Y53" s="6">
        <f ca="1">('TUSD BE'!$AM$9+'TUSD BF'!$AM$9+'TUSD CVA'!$AM$9)*1</f>
        <v>50.306190347472103</v>
      </c>
      <c r="Z53" s="6">
        <f ca="1">('TUSD BE'!$AM$11+'TUSD BF'!$AM$11+'TUSD CVA'!$AM$11)*1</f>
        <v>92.504793470158234</v>
      </c>
      <c r="AA53" s="6">
        <f>('TE BE'!$AB$7+'TE BF'!$AB$7+'TE CVA'!$AB$7)*1</f>
        <v>198.18194779658231</v>
      </c>
      <c r="AB53" s="6">
        <f>$K$53*$V$53</f>
        <v>17552</v>
      </c>
      <c r="AC53" s="6">
        <f>$M$53*$W$53</f>
        <v>1310.4424199999999</v>
      </c>
      <c r="AD53" s="6">
        <f>$O$53*$X$53</f>
        <v>3492.12444</v>
      </c>
      <c r="AE53" s="6">
        <f ca="1">$K$53*$Y$53</f>
        <v>20122.476138988841</v>
      </c>
      <c r="AF53" s="6">
        <f ca="1">$M$53*$Z$53</f>
        <v>1744.4553952602439</v>
      </c>
      <c r="AG53" s="6">
        <f>$O$53*$AA$53</f>
        <v>3737.3151715479494</v>
      </c>
    </row>
    <row r="54" spans="1:33" ht="11.25" customHeight="1" x14ac:dyDescent="0.25">
      <c r="A54" s="4" t="s">
        <v>21</v>
      </c>
      <c r="B54" s="4" t="s">
        <v>35</v>
      </c>
      <c r="C54" s="4" t="s">
        <v>36</v>
      </c>
      <c r="D54" s="4" t="s">
        <v>40</v>
      </c>
      <c r="E54" s="4" t="s">
        <v>25</v>
      </c>
      <c r="F54" s="4" t="s">
        <v>25</v>
      </c>
      <c r="G54" s="4" t="s">
        <v>25</v>
      </c>
      <c r="H54" s="4" t="s">
        <v>37</v>
      </c>
      <c r="I54" s="5">
        <v>44501</v>
      </c>
      <c r="J54" s="6">
        <v>400</v>
      </c>
      <c r="K54" s="6">
        <v>400</v>
      </c>
      <c r="L54" s="6">
        <v>17.555</v>
      </c>
      <c r="M54" s="6">
        <v>17.555</v>
      </c>
      <c r="N54" s="6">
        <v>17.555</v>
      </c>
      <c r="O54" s="6">
        <v>17.555</v>
      </c>
      <c r="P54" s="6">
        <v>0</v>
      </c>
      <c r="Q54" s="4" t="s">
        <v>26</v>
      </c>
      <c r="R54" s="4">
        <v>0</v>
      </c>
      <c r="S54" s="6">
        <v>3</v>
      </c>
      <c r="T54" s="6">
        <v>9</v>
      </c>
      <c r="U54" s="6">
        <v>66</v>
      </c>
      <c r="V54" s="6">
        <f>IF(ISERROR(VLOOKUP($S$54,'TAR FIN'!$A$1:$O$93,15,0)),0,VLOOKUP($S$54,'TAR FIN'!$A$1:$O$93,15,0))</f>
        <v>43.88</v>
      </c>
      <c r="W54" s="6">
        <f>IF(ISERROR(VLOOKUP($T$54,'TAR FIN'!$A$1:$O$93,15,0)),0,VLOOKUP($T$54,'TAR FIN'!$A$1:$O$93,15,0))</f>
        <v>69.489999999999995</v>
      </c>
      <c r="X54" s="6">
        <f>IF(ISERROR(VLOOKUP($U$54,'TAR FIN'!$A$1:$O$93,15,0)),0,VLOOKUP($U$54,'TAR FIN'!$A$1:$O$93,15,0))</f>
        <v>185.18</v>
      </c>
      <c r="Y54" s="6">
        <f ca="1">('TUSD BE'!$AM$9+'TUSD BF'!$AM$9+'TUSD CVA'!$AM$9)*1</f>
        <v>50.306190347472103</v>
      </c>
      <c r="Z54" s="6">
        <f ca="1">('TUSD BE'!$AM$11+'TUSD BF'!$AM$11+'TUSD CVA'!$AM$11)*1</f>
        <v>92.504793470158234</v>
      </c>
      <c r="AA54" s="6">
        <f>('TE BE'!$AB$7+'TE BF'!$AB$7+'TE CVA'!$AB$7)*1</f>
        <v>198.18194779658231</v>
      </c>
      <c r="AB54" s="6">
        <f>$K$54*$V$54</f>
        <v>17552</v>
      </c>
      <c r="AC54" s="6">
        <f>$M$54*$W$54</f>
        <v>1219.8969499999998</v>
      </c>
      <c r="AD54" s="6">
        <f>$O$54*$X$54</f>
        <v>3250.8349000000003</v>
      </c>
      <c r="AE54" s="6">
        <f ca="1">$K$54*$Y$54</f>
        <v>20122.476138988841</v>
      </c>
      <c r="AF54" s="6">
        <f ca="1">$M$54*$Z$54</f>
        <v>1623.9216493686279</v>
      </c>
      <c r="AG54" s="6">
        <f>$O$54*$AA$54</f>
        <v>3479.0840935690026</v>
      </c>
    </row>
    <row r="55" spans="1:33" ht="11.25" customHeight="1" x14ac:dyDescent="0.25">
      <c r="A55" s="4" t="s">
        <v>21</v>
      </c>
      <c r="B55" s="4" t="s">
        <v>35</v>
      </c>
      <c r="C55" s="4" t="s">
        <v>36</v>
      </c>
      <c r="D55" s="4" t="s">
        <v>40</v>
      </c>
      <c r="E55" s="4" t="s">
        <v>25</v>
      </c>
      <c r="F55" s="4" t="s">
        <v>25</v>
      </c>
      <c r="G55" s="4" t="s">
        <v>25</v>
      </c>
      <c r="H55" s="4" t="s">
        <v>37</v>
      </c>
      <c r="I55" s="5">
        <v>44531</v>
      </c>
      <c r="J55" s="6">
        <v>400</v>
      </c>
      <c r="K55" s="6">
        <v>400</v>
      </c>
      <c r="L55" s="6">
        <v>18.72</v>
      </c>
      <c r="M55" s="6">
        <v>18.72</v>
      </c>
      <c r="N55" s="6">
        <v>18.72</v>
      </c>
      <c r="O55" s="6">
        <v>18.72</v>
      </c>
      <c r="P55" s="6">
        <v>0</v>
      </c>
      <c r="Q55" s="4" t="s">
        <v>26</v>
      </c>
      <c r="R55" s="4">
        <v>0</v>
      </c>
      <c r="S55" s="6">
        <v>3</v>
      </c>
      <c r="T55" s="6">
        <v>9</v>
      </c>
      <c r="U55" s="6">
        <v>66</v>
      </c>
      <c r="V55" s="6">
        <f>IF(ISERROR(VLOOKUP($S$55,'TAR FIN'!$A$1:$O$93,15,0)),0,VLOOKUP($S$55,'TAR FIN'!$A$1:$O$93,15,0))</f>
        <v>43.88</v>
      </c>
      <c r="W55" s="6">
        <f>IF(ISERROR(VLOOKUP($T$55,'TAR FIN'!$A$1:$O$93,15,0)),0,VLOOKUP($T$55,'TAR FIN'!$A$1:$O$93,15,0))</f>
        <v>69.489999999999995</v>
      </c>
      <c r="X55" s="6">
        <f>IF(ISERROR(VLOOKUP($U$55,'TAR FIN'!$A$1:$O$93,15,0)),0,VLOOKUP($U$55,'TAR FIN'!$A$1:$O$93,15,0))</f>
        <v>185.18</v>
      </c>
      <c r="Y55" s="6">
        <f ca="1">('TUSD BE'!$AM$9+'TUSD BF'!$AM$9+'TUSD CVA'!$AM$9)*1</f>
        <v>50.306190347472103</v>
      </c>
      <c r="Z55" s="6">
        <f ca="1">('TUSD BE'!$AM$11+'TUSD BF'!$AM$11+'TUSD CVA'!$AM$11)*1</f>
        <v>92.504793470158234</v>
      </c>
      <c r="AA55" s="6">
        <f>('TE BE'!$AB$7+'TE BF'!$AB$7+'TE CVA'!$AB$7)*1</f>
        <v>198.18194779658231</v>
      </c>
      <c r="AB55" s="6">
        <f>$K$55*$V$55</f>
        <v>17552</v>
      </c>
      <c r="AC55" s="6">
        <f>$M$55*$W$55</f>
        <v>1300.8527999999999</v>
      </c>
      <c r="AD55" s="6">
        <f>$O$55*$X$55</f>
        <v>3466.5695999999998</v>
      </c>
      <c r="AE55" s="6">
        <f ca="1">$K$55*$Y$55</f>
        <v>20122.476138988841</v>
      </c>
      <c r="AF55" s="6">
        <f ca="1">$M$55*$Z$55</f>
        <v>1731.689733761362</v>
      </c>
      <c r="AG55" s="6">
        <f>$O$55*$AA$55</f>
        <v>3709.9660627520207</v>
      </c>
    </row>
    <row r="56" spans="1:33" ht="11.25" customHeight="1" x14ac:dyDescent="0.25">
      <c r="A56" s="4" t="s">
        <v>21</v>
      </c>
      <c r="B56" s="4" t="s">
        <v>35</v>
      </c>
      <c r="C56" s="4" t="s">
        <v>36</v>
      </c>
      <c r="D56" s="4" t="s">
        <v>40</v>
      </c>
      <c r="E56" s="4" t="s">
        <v>25</v>
      </c>
      <c r="F56" s="4" t="s">
        <v>25</v>
      </c>
      <c r="G56" s="4" t="s">
        <v>25</v>
      </c>
      <c r="H56" s="4" t="s">
        <v>37</v>
      </c>
      <c r="I56" s="5">
        <v>44562</v>
      </c>
      <c r="J56" s="6">
        <v>400</v>
      </c>
      <c r="K56" s="6">
        <v>400</v>
      </c>
      <c r="L56" s="6">
        <v>20.831</v>
      </c>
      <c r="M56" s="6">
        <v>20.831</v>
      </c>
      <c r="N56" s="6">
        <v>20.831</v>
      </c>
      <c r="O56" s="6">
        <v>20.831</v>
      </c>
      <c r="P56" s="6">
        <v>0</v>
      </c>
      <c r="Q56" s="4" t="s">
        <v>26</v>
      </c>
      <c r="R56" s="4">
        <v>0</v>
      </c>
      <c r="S56" s="6">
        <v>3</v>
      </c>
      <c r="T56" s="6">
        <v>9</v>
      </c>
      <c r="U56" s="6">
        <v>66</v>
      </c>
      <c r="V56" s="6">
        <f>IF(ISERROR(VLOOKUP($S$56,'TAR FIN'!$A$1:$O$93,15,0)),0,VLOOKUP($S$56,'TAR FIN'!$A$1:$O$93,15,0))</f>
        <v>43.88</v>
      </c>
      <c r="W56" s="6">
        <f>IF(ISERROR(VLOOKUP($T$56,'TAR FIN'!$A$1:$O$93,15,0)),0,VLOOKUP($T$56,'TAR FIN'!$A$1:$O$93,15,0))</f>
        <v>69.489999999999995</v>
      </c>
      <c r="X56" s="6">
        <f>IF(ISERROR(VLOOKUP($U$56,'TAR FIN'!$A$1:$O$93,15,0)),0,VLOOKUP($U$56,'TAR FIN'!$A$1:$O$93,15,0))</f>
        <v>185.18</v>
      </c>
      <c r="Y56" s="6">
        <f ca="1">('TUSD BE'!$AM$9+'TUSD BF'!$AM$9+'TUSD CVA'!$AM$9)*1</f>
        <v>50.306190347472103</v>
      </c>
      <c r="Z56" s="6">
        <f ca="1">('TUSD BE'!$AM$11+'TUSD BF'!$AM$11+'TUSD CVA'!$AM$11)*1</f>
        <v>92.504793470158234</v>
      </c>
      <c r="AA56" s="6">
        <f>('TE BE'!$AB$7+'TE BF'!$AB$7+'TE CVA'!$AB$7)*1</f>
        <v>198.18194779658231</v>
      </c>
      <c r="AB56" s="6">
        <f>$K$56*$V$56</f>
        <v>17552</v>
      </c>
      <c r="AC56" s="6">
        <f>$M$56*$W$56</f>
        <v>1447.5461899999998</v>
      </c>
      <c r="AD56" s="6">
        <f>$O$56*$X$56</f>
        <v>3857.4845800000003</v>
      </c>
      <c r="AE56" s="6">
        <f ca="1">$K$56*$Y$56</f>
        <v>20122.476138988841</v>
      </c>
      <c r="AF56" s="6">
        <f ca="1">$M$56*$Z$56</f>
        <v>1926.9673527768662</v>
      </c>
      <c r="AG56" s="6">
        <f>$O$56*$AA$56</f>
        <v>4128.3281545506061</v>
      </c>
    </row>
    <row r="57" spans="1:33" ht="11.25" customHeight="1" x14ac:dyDescent="0.25">
      <c r="A57" s="4" t="s">
        <v>21</v>
      </c>
      <c r="B57" s="4" t="s">
        <v>35</v>
      </c>
      <c r="C57" s="4" t="s">
        <v>36</v>
      </c>
      <c r="D57" s="4" t="s">
        <v>40</v>
      </c>
      <c r="E57" s="4" t="s">
        <v>25</v>
      </c>
      <c r="F57" s="4" t="s">
        <v>25</v>
      </c>
      <c r="G57" s="4" t="s">
        <v>25</v>
      </c>
      <c r="H57" s="4" t="s">
        <v>37</v>
      </c>
      <c r="I57" s="5">
        <v>44593</v>
      </c>
      <c r="J57" s="6">
        <v>515</v>
      </c>
      <c r="K57" s="6">
        <v>515</v>
      </c>
      <c r="L57" s="6">
        <v>21.283000000000001</v>
      </c>
      <c r="M57" s="6">
        <v>21.283000000000001</v>
      </c>
      <c r="N57" s="6">
        <v>21.283000000000001</v>
      </c>
      <c r="O57" s="6">
        <v>21.283000000000001</v>
      </c>
      <c r="P57" s="6">
        <v>0</v>
      </c>
      <c r="Q57" s="4" t="s">
        <v>26</v>
      </c>
      <c r="R57" s="4">
        <v>0</v>
      </c>
      <c r="S57" s="6">
        <v>3</v>
      </c>
      <c r="T57" s="6">
        <v>9</v>
      </c>
      <c r="U57" s="6">
        <v>66</v>
      </c>
      <c r="V57" s="6">
        <f>IF(ISERROR(VLOOKUP($S$57,'TAR FIN'!$A$1:$O$93,15,0)),0,VLOOKUP($S$57,'TAR FIN'!$A$1:$O$93,15,0))</f>
        <v>43.88</v>
      </c>
      <c r="W57" s="6">
        <f>IF(ISERROR(VLOOKUP($T$57,'TAR FIN'!$A$1:$O$93,15,0)),0,VLOOKUP($T$57,'TAR FIN'!$A$1:$O$93,15,0))</f>
        <v>69.489999999999995</v>
      </c>
      <c r="X57" s="6">
        <f>IF(ISERROR(VLOOKUP($U$57,'TAR FIN'!$A$1:$O$93,15,0)),0,VLOOKUP($U$57,'TAR FIN'!$A$1:$O$93,15,0))</f>
        <v>185.18</v>
      </c>
      <c r="Y57" s="6">
        <f ca="1">('TUSD BE'!$AM$9+'TUSD BF'!$AM$9+'TUSD CVA'!$AM$9)*1</f>
        <v>50.306190347472103</v>
      </c>
      <c r="Z57" s="6">
        <f ca="1">('TUSD BE'!$AM$11+'TUSD BF'!$AM$11+'TUSD CVA'!$AM$11)*1</f>
        <v>92.504793470158234</v>
      </c>
      <c r="AA57" s="6">
        <f>('TE BE'!$AB$7+'TE BF'!$AB$7+'TE CVA'!$AB$7)*1</f>
        <v>198.18194779658231</v>
      </c>
      <c r="AB57" s="6">
        <f>$K$57*$V$57</f>
        <v>22598.2</v>
      </c>
      <c r="AC57" s="6">
        <f>$M$57*$W$57</f>
        <v>1478.9556700000001</v>
      </c>
      <c r="AD57" s="6">
        <f>$O$57*$X$57</f>
        <v>3941.1859400000003</v>
      </c>
      <c r="AE57" s="6">
        <f ca="1">$K$57*$Y$57</f>
        <v>25907.688028948134</v>
      </c>
      <c r="AF57" s="6">
        <f ca="1">$M$57*$Z$57</f>
        <v>1968.7795194253779</v>
      </c>
      <c r="AG57" s="6">
        <f>$O$57*$AA$57</f>
        <v>4217.9063949546617</v>
      </c>
    </row>
    <row r="58" spans="1:33" ht="11.25" customHeight="1" x14ac:dyDescent="0.25">
      <c r="A58" s="4" t="s">
        <v>21</v>
      </c>
      <c r="B58" s="4" t="s">
        <v>35</v>
      </c>
      <c r="C58" s="4" t="s">
        <v>36</v>
      </c>
      <c r="D58" s="4" t="s">
        <v>40</v>
      </c>
      <c r="E58" s="4" t="s">
        <v>25</v>
      </c>
      <c r="F58" s="4" t="s">
        <v>25</v>
      </c>
      <c r="G58" s="4" t="s">
        <v>25</v>
      </c>
      <c r="H58" s="4" t="s">
        <v>37</v>
      </c>
      <c r="I58" s="5">
        <v>44621</v>
      </c>
      <c r="J58" s="6">
        <v>400</v>
      </c>
      <c r="K58" s="6">
        <v>400</v>
      </c>
      <c r="L58" s="6">
        <v>19.175000000000001</v>
      </c>
      <c r="M58" s="6">
        <v>19.175000000000001</v>
      </c>
      <c r="N58" s="6">
        <v>19.175000000000001</v>
      </c>
      <c r="O58" s="6">
        <v>19.175000000000001</v>
      </c>
      <c r="P58" s="6">
        <v>0</v>
      </c>
      <c r="Q58" s="4" t="s">
        <v>26</v>
      </c>
      <c r="R58" s="4">
        <v>0</v>
      </c>
      <c r="S58" s="6">
        <v>3</v>
      </c>
      <c r="T58" s="6">
        <v>9</v>
      </c>
      <c r="U58" s="6">
        <v>66</v>
      </c>
      <c r="V58" s="6">
        <f>IF(ISERROR(VLOOKUP($S$58,'TAR FIN'!$A$1:$O$93,15,0)),0,VLOOKUP($S$58,'TAR FIN'!$A$1:$O$93,15,0))</f>
        <v>43.88</v>
      </c>
      <c r="W58" s="6">
        <f>IF(ISERROR(VLOOKUP($T$58,'TAR FIN'!$A$1:$O$93,15,0)),0,VLOOKUP($T$58,'TAR FIN'!$A$1:$O$93,15,0))</f>
        <v>69.489999999999995</v>
      </c>
      <c r="X58" s="6">
        <f>IF(ISERROR(VLOOKUP($U$58,'TAR FIN'!$A$1:$O$93,15,0)),0,VLOOKUP($U$58,'TAR FIN'!$A$1:$O$93,15,0))</f>
        <v>185.18</v>
      </c>
      <c r="Y58" s="6">
        <f ca="1">('TUSD BE'!$AM$9+'TUSD BF'!$AM$9+'TUSD CVA'!$AM$9)*1</f>
        <v>50.306190347472103</v>
      </c>
      <c r="Z58" s="6">
        <f ca="1">('TUSD BE'!$AM$11+'TUSD BF'!$AM$11+'TUSD CVA'!$AM$11)*1</f>
        <v>92.504793470158234</v>
      </c>
      <c r="AA58" s="6">
        <f>('TE BE'!$AB$7+'TE BF'!$AB$7+'TE CVA'!$AB$7)*1</f>
        <v>198.18194779658231</v>
      </c>
      <c r="AB58" s="6">
        <f>$K$58*$V$58</f>
        <v>17552</v>
      </c>
      <c r="AC58" s="6">
        <f>$M$58*$W$58</f>
        <v>1332.47075</v>
      </c>
      <c r="AD58" s="6">
        <f>$O$58*$X$58</f>
        <v>3550.8265000000001</v>
      </c>
      <c r="AE58" s="6">
        <f ca="1">$K$58*$Y$58</f>
        <v>20122.476138988841</v>
      </c>
      <c r="AF58" s="6">
        <f ca="1">$M$58*$Z$58</f>
        <v>1773.7794147902841</v>
      </c>
      <c r="AG58" s="6">
        <f>$O$58*$AA$58</f>
        <v>3800.1388489994661</v>
      </c>
    </row>
    <row r="59" spans="1:33" ht="11.25" customHeight="1" x14ac:dyDescent="0.25">
      <c r="A59" s="4" t="s">
        <v>21</v>
      </c>
      <c r="B59" s="4" t="s">
        <v>35</v>
      </c>
      <c r="C59" s="4" t="s">
        <v>36</v>
      </c>
      <c r="D59" s="4" t="s">
        <v>40</v>
      </c>
      <c r="E59" s="4" t="s">
        <v>25</v>
      </c>
      <c r="F59" s="4" t="s">
        <v>25</v>
      </c>
      <c r="G59" s="4" t="s">
        <v>25</v>
      </c>
      <c r="H59" s="4" t="s">
        <v>37</v>
      </c>
      <c r="I59" s="5">
        <v>44652</v>
      </c>
      <c r="J59" s="6">
        <v>400</v>
      </c>
      <c r="K59" s="6">
        <v>400</v>
      </c>
      <c r="L59" s="6">
        <v>20.885999999999999</v>
      </c>
      <c r="M59" s="6">
        <v>20.885999999999999</v>
      </c>
      <c r="N59" s="6">
        <v>20.885999999999999</v>
      </c>
      <c r="O59" s="6">
        <v>20.885999999999999</v>
      </c>
      <c r="P59" s="6">
        <v>0</v>
      </c>
      <c r="Q59" s="4" t="s">
        <v>26</v>
      </c>
      <c r="R59" s="4">
        <v>0</v>
      </c>
      <c r="S59" s="6">
        <v>3</v>
      </c>
      <c r="T59" s="6">
        <v>9</v>
      </c>
      <c r="U59" s="6">
        <v>66</v>
      </c>
      <c r="V59" s="6">
        <f>IF(ISERROR(VLOOKUP($S$59,'TAR FIN'!$A$1:$O$93,15,0)),0,VLOOKUP($S$59,'TAR FIN'!$A$1:$O$93,15,0))</f>
        <v>43.88</v>
      </c>
      <c r="W59" s="6">
        <f>IF(ISERROR(VLOOKUP($T$59,'TAR FIN'!$A$1:$O$93,15,0)),0,VLOOKUP($T$59,'TAR FIN'!$A$1:$O$93,15,0))</f>
        <v>69.489999999999995</v>
      </c>
      <c r="X59" s="6">
        <f>IF(ISERROR(VLOOKUP($U$59,'TAR FIN'!$A$1:$O$93,15,0)),0,VLOOKUP($U$59,'TAR FIN'!$A$1:$O$93,15,0))</f>
        <v>185.18</v>
      </c>
      <c r="Y59" s="6">
        <f ca="1">('TUSD BE'!$AM$9+'TUSD BF'!$AM$9+'TUSD CVA'!$AM$9)*1</f>
        <v>50.306190347472103</v>
      </c>
      <c r="Z59" s="6">
        <f ca="1">('TUSD BE'!$AM$11+'TUSD BF'!$AM$11+'TUSD CVA'!$AM$11)*1</f>
        <v>92.504793470158234</v>
      </c>
      <c r="AA59" s="6">
        <f>('TE BE'!$AB$7+'TE BF'!$AB$7+'TE CVA'!$AB$7)*1</f>
        <v>198.18194779658231</v>
      </c>
      <c r="AB59" s="6">
        <f>$K$59*$V$59</f>
        <v>17552</v>
      </c>
      <c r="AC59" s="6">
        <f>$M$59*$W$59</f>
        <v>1451.3681399999998</v>
      </c>
      <c r="AD59" s="6">
        <f>$O$59*$X$59</f>
        <v>3867.66948</v>
      </c>
      <c r="AE59" s="6">
        <f ca="1">$K$59*$Y$59</f>
        <v>20122.476138988841</v>
      </c>
      <c r="AF59" s="6">
        <f ca="1">$M$59*$Z$59</f>
        <v>1932.0551164177248</v>
      </c>
      <c r="AG59" s="6">
        <f>$O$59*$AA$59</f>
        <v>4139.228161679418</v>
      </c>
    </row>
    <row r="60" spans="1:33" ht="11.25" customHeight="1" x14ac:dyDescent="0.25">
      <c r="A60" s="4" t="s">
        <v>21</v>
      </c>
      <c r="B60" s="4" t="s">
        <v>35</v>
      </c>
      <c r="C60" s="4" t="s">
        <v>36</v>
      </c>
      <c r="D60" s="4" t="s">
        <v>40</v>
      </c>
      <c r="E60" s="4" t="s">
        <v>25</v>
      </c>
      <c r="F60" s="4" t="s">
        <v>25</v>
      </c>
      <c r="G60" s="4" t="s">
        <v>25</v>
      </c>
      <c r="H60" s="4" t="s">
        <v>37</v>
      </c>
      <c r="I60" s="5">
        <v>44682</v>
      </c>
      <c r="J60" s="6">
        <v>400</v>
      </c>
      <c r="K60" s="6">
        <v>400</v>
      </c>
      <c r="L60" s="6">
        <v>18.021999999999998</v>
      </c>
      <c r="M60" s="6">
        <v>18.021999999999998</v>
      </c>
      <c r="N60" s="6">
        <v>18.021999999999998</v>
      </c>
      <c r="O60" s="6">
        <v>18.021999999999998</v>
      </c>
      <c r="P60" s="6">
        <v>0</v>
      </c>
      <c r="Q60" s="4" t="s">
        <v>26</v>
      </c>
      <c r="R60" s="4">
        <v>0</v>
      </c>
      <c r="S60" s="6">
        <v>3</v>
      </c>
      <c r="T60" s="6">
        <v>9</v>
      </c>
      <c r="U60" s="6">
        <v>66</v>
      </c>
      <c r="V60" s="6">
        <f>IF(ISERROR(VLOOKUP($S$60,'TAR FIN'!$A$1:$O$93,15,0)),0,VLOOKUP($S$60,'TAR FIN'!$A$1:$O$93,15,0))</f>
        <v>43.88</v>
      </c>
      <c r="W60" s="6">
        <f>IF(ISERROR(VLOOKUP($T$60,'TAR FIN'!$A$1:$O$93,15,0)),0,VLOOKUP($T$60,'TAR FIN'!$A$1:$O$93,15,0))</f>
        <v>69.489999999999995</v>
      </c>
      <c r="X60" s="6">
        <f>IF(ISERROR(VLOOKUP($U$60,'TAR FIN'!$A$1:$O$93,15,0)),0,VLOOKUP($U$60,'TAR FIN'!$A$1:$O$93,15,0))</f>
        <v>185.18</v>
      </c>
      <c r="Y60" s="6">
        <f ca="1">('TUSD BE'!$AM$9+'TUSD BF'!$AM$9+'TUSD CVA'!$AM$9)*1</f>
        <v>50.306190347472103</v>
      </c>
      <c r="Z60" s="6">
        <f ca="1">('TUSD BE'!$AM$11+'TUSD BF'!$AM$11+'TUSD CVA'!$AM$11)*1</f>
        <v>92.504793470158234</v>
      </c>
      <c r="AA60" s="6">
        <f>('TE BE'!$AB$7+'TE BF'!$AB$7+'TE CVA'!$AB$7)*1</f>
        <v>198.18194779658231</v>
      </c>
      <c r="AB60" s="6">
        <f>$K$60*$V$60</f>
        <v>17552</v>
      </c>
      <c r="AC60" s="6">
        <f>$M$60*$W$60</f>
        <v>1252.3487799999998</v>
      </c>
      <c r="AD60" s="6">
        <f>$O$60*$X$60</f>
        <v>3337.31396</v>
      </c>
      <c r="AE60" s="6">
        <f ca="1">$K$60*$Y$60</f>
        <v>20122.476138988841</v>
      </c>
      <c r="AF60" s="6">
        <f ca="1">$M$60*$Z$60</f>
        <v>1667.1213879191916</v>
      </c>
      <c r="AG60" s="6">
        <f>$O$60*$AA$60</f>
        <v>3571.6350631900059</v>
      </c>
    </row>
    <row r="61" spans="1:33" ht="11.25" customHeight="1" x14ac:dyDescent="0.25">
      <c r="A61" s="4" t="s">
        <v>21</v>
      </c>
      <c r="B61" s="4" t="s">
        <v>35</v>
      </c>
      <c r="C61" s="4" t="s">
        <v>36</v>
      </c>
      <c r="D61" s="4" t="s">
        <v>40</v>
      </c>
      <c r="E61" s="4" t="s">
        <v>25</v>
      </c>
      <c r="F61" s="4" t="s">
        <v>25</v>
      </c>
      <c r="G61" s="4" t="s">
        <v>25</v>
      </c>
      <c r="H61" s="4" t="s">
        <v>37</v>
      </c>
      <c r="I61" s="5">
        <v>44713</v>
      </c>
      <c r="J61" s="6">
        <v>400</v>
      </c>
      <c r="K61" s="6">
        <v>400</v>
      </c>
      <c r="L61" s="6">
        <v>21.54</v>
      </c>
      <c r="M61" s="6">
        <v>21.54</v>
      </c>
      <c r="N61" s="6">
        <v>21.54</v>
      </c>
      <c r="O61" s="6">
        <v>21.54</v>
      </c>
      <c r="P61" s="6">
        <v>0</v>
      </c>
      <c r="Q61" s="4" t="s">
        <v>26</v>
      </c>
      <c r="R61" s="4">
        <v>0</v>
      </c>
      <c r="S61" s="6">
        <v>3</v>
      </c>
      <c r="T61" s="6">
        <v>9</v>
      </c>
      <c r="U61" s="6">
        <v>66</v>
      </c>
      <c r="V61" s="6">
        <f>IF(ISERROR(VLOOKUP($S$61,'TAR FIN'!$A$1:$O$93,15,0)),0,VLOOKUP($S$61,'TAR FIN'!$A$1:$O$93,15,0))</f>
        <v>43.88</v>
      </c>
      <c r="W61" s="6">
        <f>IF(ISERROR(VLOOKUP($T$61,'TAR FIN'!$A$1:$O$93,15,0)),0,VLOOKUP($T$61,'TAR FIN'!$A$1:$O$93,15,0))</f>
        <v>69.489999999999995</v>
      </c>
      <c r="X61" s="6">
        <f>IF(ISERROR(VLOOKUP($U$61,'TAR FIN'!$A$1:$O$93,15,0)),0,VLOOKUP($U$61,'TAR FIN'!$A$1:$O$93,15,0))</f>
        <v>185.18</v>
      </c>
      <c r="Y61" s="6">
        <f ca="1">('TUSD BE'!$AM$9+'TUSD BF'!$AM$9+'TUSD CVA'!$AM$9)*1</f>
        <v>50.306190347472103</v>
      </c>
      <c r="Z61" s="6">
        <f ca="1">('TUSD BE'!$AM$11+'TUSD BF'!$AM$11+'TUSD CVA'!$AM$11)*1</f>
        <v>92.504793470158234</v>
      </c>
      <c r="AA61" s="6">
        <f>('TE BE'!$AB$7+'TE BF'!$AB$7+'TE CVA'!$AB$7)*1</f>
        <v>198.18194779658231</v>
      </c>
      <c r="AB61" s="6">
        <f>$K$61*$V$61</f>
        <v>17552</v>
      </c>
      <c r="AC61" s="6">
        <f>$M$61*$W$61</f>
        <v>1496.8145999999999</v>
      </c>
      <c r="AD61" s="6">
        <f>$O$61*$X$61</f>
        <v>3988.7772</v>
      </c>
      <c r="AE61" s="6">
        <f ca="1">$K$61*$Y$61</f>
        <v>20122.476138988841</v>
      </c>
      <c r="AF61" s="6">
        <f ca="1">$M$61*$Z$61</f>
        <v>1992.5532513472083</v>
      </c>
      <c r="AG61" s="6">
        <f>$O$61*$AA$61</f>
        <v>4268.8391555383823</v>
      </c>
    </row>
    <row r="62" spans="1:33" ht="11.25" customHeight="1" x14ac:dyDescent="0.25">
      <c r="A62" s="4" t="s">
        <v>21</v>
      </c>
      <c r="B62" s="4" t="s">
        <v>35</v>
      </c>
      <c r="C62" s="4" t="s">
        <v>36</v>
      </c>
      <c r="D62" s="4" t="s">
        <v>34</v>
      </c>
      <c r="E62" s="4" t="s">
        <v>25</v>
      </c>
      <c r="F62" s="4" t="s">
        <v>55</v>
      </c>
      <c r="G62" s="4" t="s">
        <v>25</v>
      </c>
      <c r="H62" s="4" t="s">
        <v>38</v>
      </c>
      <c r="I62" s="5">
        <v>44378</v>
      </c>
      <c r="J62" s="6">
        <v>10052</v>
      </c>
      <c r="K62" s="6">
        <v>5026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54</v>
      </c>
      <c r="R62" s="4">
        <v>0</v>
      </c>
      <c r="S62" s="6">
        <v>8</v>
      </c>
      <c r="T62" s="6">
        <v>0</v>
      </c>
      <c r="U62" s="6">
        <v>0</v>
      </c>
      <c r="V62" s="6">
        <f>IF(ISERROR(VLOOKUP($S$62,'TAR FIN'!$A$1:$O$93,15,0)),0,VLOOKUP($S$62,'TAR FIN'!$A$1:$O$93,15,0))</f>
        <v>26.17</v>
      </c>
      <c r="W62" s="6">
        <f>IF(ISERROR(VLOOKUP($T$62,'TAR FIN'!$A$1:$O$93,15,0)),0,VLOOKUP($T$62,'TAR FIN'!$A$1:$O$93,15,0))</f>
        <v>0</v>
      </c>
      <c r="X62" s="6">
        <f>IF(ISERROR(VLOOKUP($U$62,'TAR FIN'!$A$1:$O$93,15,0)),0,VLOOKUP($U$62,'TAR FIN'!$A$1:$O$93,15,0))</f>
        <v>0</v>
      </c>
      <c r="Y62" s="6">
        <f ca="1">('TUSD BE'!$AM$10+'TUSD BF'!$AM$10+'TUSD CVA'!$AM$10)*1</f>
        <v>30.453482365333407</v>
      </c>
      <c r="Z62" s="6">
        <f ca="1">('TUSD BE'!$AM$11+'TUSD BF'!$AM$11+'TUSD CVA'!$AM$11)*1</f>
        <v>92.504793470158234</v>
      </c>
      <c r="AA62" s="6"/>
      <c r="AB62" s="6">
        <f>$K$62*$V$62</f>
        <v>131530.42000000001</v>
      </c>
      <c r="AC62" s="6">
        <f>$M$62*$W$62</f>
        <v>0</v>
      </c>
      <c r="AD62" s="6">
        <f>$O$62*$X$62</f>
        <v>0</v>
      </c>
      <c r="AE62" s="6">
        <f ca="1">$K$62*$Y$62</f>
        <v>153059.20236816572</v>
      </c>
      <c r="AF62" s="6">
        <f ca="1">$M$62*$Z$62</f>
        <v>0</v>
      </c>
      <c r="AG62" s="6">
        <f>$O$62*$AA$62</f>
        <v>0</v>
      </c>
    </row>
    <row r="63" spans="1:33" ht="11.25" customHeight="1" x14ac:dyDescent="0.25">
      <c r="A63" s="4" t="s">
        <v>21</v>
      </c>
      <c r="B63" s="4" t="s">
        <v>35</v>
      </c>
      <c r="C63" s="4" t="s">
        <v>36</v>
      </c>
      <c r="D63" s="4" t="s">
        <v>34</v>
      </c>
      <c r="E63" s="4" t="s">
        <v>25</v>
      </c>
      <c r="F63" s="4" t="s">
        <v>55</v>
      </c>
      <c r="G63" s="4" t="s">
        <v>25</v>
      </c>
      <c r="H63" s="4" t="s">
        <v>38</v>
      </c>
      <c r="I63" s="5">
        <v>44409</v>
      </c>
      <c r="J63" s="6">
        <v>9827</v>
      </c>
      <c r="K63" s="6">
        <v>4913.5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54</v>
      </c>
      <c r="R63" s="4">
        <v>0</v>
      </c>
      <c r="S63" s="6">
        <v>8</v>
      </c>
      <c r="T63" s="6">
        <v>0</v>
      </c>
      <c r="U63" s="6">
        <v>0</v>
      </c>
      <c r="V63" s="6">
        <f>IF(ISERROR(VLOOKUP($S$63,'TAR FIN'!$A$1:$O$93,15,0)),0,VLOOKUP($S$63,'TAR FIN'!$A$1:$O$93,15,0))</f>
        <v>26.17</v>
      </c>
      <c r="W63" s="6">
        <f>IF(ISERROR(VLOOKUP($T$63,'TAR FIN'!$A$1:$O$93,15,0)),0,VLOOKUP($T$63,'TAR FIN'!$A$1:$O$93,15,0))</f>
        <v>0</v>
      </c>
      <c r="X63" s="6">
        <f>IF(ISERROR(VLOOKUP($U$63,'TAR FIN'!$A$1:$O$93,15,0)),0,VLOOKUP($U$63,'TAR FIN'!$A$1:$O$93,15,0))</f>
        <v>0</v>
      </c>
      <c r="Y63" s="6">
        <f ca="1">('TUSD BE'!$AM$10+'TUSD BF'!$AM$10+'TUSD CVA'!$AM$10)*1</f>
        <v>30.453482365333407</v>
      </c>
      <c r="Z63" s="6">
        <f ca="1">('TUSD BE'!$AM$11+'TUSD BF'!$AM$11+'TUSD CVA'!$AM$11)*1</f>
        <v>92.504793470158234</v>
      </c>
      <c r="AA63" s="6"/>
      <c r="AB63" s="6">
        <f>$K$63*$V$63</f>
        <v>128586.29500000001</v>
      </c>
      <c r="AC63" s="6">
        <f>$M$63*$W$63</f>
        <v>0</v>
      </c>
      <c r="AD63" s="6">
        <f>$O$63*$X$63</f>
        <v>0</v>
      </c>
      <c r="AE63" s="6">
        <f ca="1">$K$63*$Y$63</f>
        <v>149633.1856020657</v>
      </c>
      <c r="AF63" s="6">
        <f ca="1">$M$63*$Z$63</f>
        <v>0</v>
      </c>
      <c r="AG63" s="6">
        <f>$O$63*$AA$63</f>
        <v>0</v>
      </c>
    </row>
    <row r="64" spans="1:33" ht="11.25" customHeight="1" x14ac:dyDescent="0.25">
      <c r="A64" s="4" t="s">
        <v>21</v>
      </c>
      <c r="B64" s="4" t="s">
        <v>35</v>
      </c>
      <c r="C64" s="4" t="s">
        <v>36</v>
      </c>
      <c r="D64" s="4" t="s">
        <v>34</v>
      </c>
      <c r="E64" s="4" t="s">
        <v>25</v>
      </c>
      <c r="F64" s="4" t="s">
        <v>55</v>
      </c>
      <c r="G64" s="4" t="s">
        <v>25</v>
      </c>
      <c r="H64" s="4" t="s">
        <v>38</v>
      </c>
      <c r="I64" s="5">
        <v>44440</v>
      </c>
      <c r="J64" s="6">
        <v>10125</v>
      </c>
      <c r="K64" s="6">
        <v>5062.5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54</v>
      </c>
      <c r="R64" s="4">
        <v>0</v>
      </c>
      <c r="S64" s="6">
        <v>8</v>
      </c>
      <c r="T64" s="6">
        <v>0</v>
      </c>
      <c r="U64" s="6">
        <v>0</v>
      </c>
      <c r="V64" s="6">
        <f>IF(ISERROR(VLOOKUP($S$64,'TAR FIN'!$A$1:$O$93,15,0)),0,VLOOKUP($S$64,'TAR FIN'!$A$1:$O$93,15,0))</f>
        <v>26.17</v>
      </c>
      <c r="W64" s="6">
        <f>IF(ISERROR(VLOOKUP($T$64,'TAR FIN'!$A$1:$O$93,15,0)),0,VLOOKUP($T$64,'TAR FIN'!$A$1:$O$93,15,0))</f>
        <v>0</v>
      </c>
      <c r="X64" s="6">
        <f>IF(ISERROR(VLOOKUP($U$64,'TAR FIN'!$A$1:$O$93,15,0)),0,VLOOKUP($U$64,'TAR FIN'!$A$1:$O$93,15,0))</f>
        <v>0</v>
      </c>
      <c r="Y64" s="6">
        <f ca="1">('TUSD BE'!$AM$10+'TUSD BF'!$AM$10+'TUSD CVA'!$AM$10)*1</f>
        <v>30.453482365333407</v>
      </c>
      <c r="Z64" s="6">
        <f ca="1">('TUSD BE'!$AM$11+'TUSD BF'!$AM$11+'TUSD CVA'!$AM$11)*1</f>
        <v>92.504793470158234</v>
      </c>
      <c r="AA64" s="6"/>
      <c r="AB64" s="6">
        <f>$K$64*$V$64</f>
        <v>132485.625</v>
      </c>
      <c r="AC64" s="6">
        <f>$M$64*$W$64</f>
        <v>0</v>
      </c>
      <c r="AD64" s="6">
        <f>$O$64*$X$64</f>
        <v>0</v>
      </c>
      <c r="AE64" s="6">
        <f ca="1">$K$64*$Y$64</f>
        <v>154170.75447450037</v>
      </c>
      <c r="AF64" s="6">
        <f ca="1">$M$64*$Z$64</f>
        <v>0</v>
      </c>
      <c r="AG64" s="6">
        <f>$O$64*$AA$64</f>
        <v>0</v>
      </c>
    </row>
    <row r="65" spans="1:33" ht="11.25" customHeight="1" x14ac:dyDescent="0.25">
      <c r="A65" s="4" t="s">
        <v>21</v>
      </c>
      <c r="B65" s="4" t="s">
        <v>35</v>
      </c>
      <c r="C65" s="4" t="s">
        <v>36</v>
      </c>
      <c r="D65" s="4" t="s">
        <v>34</v>
      </c>
      <c r="E65" s="4" t="s">
        <v>25</v>
      </c>
      <c r="F65" s="4" t="s">
        <v>55</v>
      </c>
      <c r="G65" s="4" t="s">
        <v>25</v>
      </c>
      <c r="H65" s="4" t="s">
        <v>38</v>
      </c>
      <c r="I65" s="5">
        <v>44470</v>
      </c>
      <c r="J65" s="6">
        <v>10363</v>
      </c>
      <c r="K65" s="6">
        <v>5181.5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54</v>
      </c>
      <c r="R65" s="4">
        <v>0</v>
      </c>
      <c r="S65" s="6">
        <v>8</v>
      </c>
      <c r="T65" s="6">
        <v>0</v>
      </c>
      <c r="U65" s="6">
        <v>0</v>
      </c>
      <c r="V65" s="6">
        <f>IF(ISERROR(VLOOKUP($S$65,'TAR FIN'!$A$1:$O$93,15,0)),0,VLOOKUP($S$65,'TAR FIN'!$A$1:$O$93,15,0))</f>
        <v>26.17</v>
      </c>
      <c r="W65" s="6">
        <f>IF(ISERROR(VLOOKUP($T$65,'TAR FIN'!$A$1:$O$93,15,0)),0,VLOOKUP($T$65,'TAR FIN'!$A$1:$O$93,15,0))</f>
        <v>0</v>
      </c>
      <c r="X65" s="6">
        <f>IF(ISERROR(VLOOKUP($U$65,'TAR FIN'!$A$1:$O$93,15,0)),0,VLOOKUP($U$65,'TAR FIN'!$A$1:$O$93,15,0))</f>
        <v>0</v>
      </c>
      <c r="Y65" s="6">
        <f ca="1">('TUSD BE'!$AM$10+'TUSD BF'!$AM$10+'TUSD CVA'!$AM$10)*1</f>
        <v>30.453482365333407</v>
      </c>
      <c r="Z65" s="6">
        <f ca="1">('TUSD BE'!$AM$11+'TUSD BF'!$AM$11+'TUSD CVA'!$AM$11)*1</f>
        <v>92.504793470158234</v>
      </c>
      <c r="AA65" s="6"/>
      <c r="AB65" s="6">
        <f>$K$65*$V$65</f>
        <v>135599.85500000001</v>
      </c>
      <c r="AC65" s="6">
        <f>$M$65*$W$65</f>
        <v>0</v>
      </c>
      <c r="AD65" s="6">
        <f>$O$65*$X$65</f>
        <v>0</v>
      </c>
      <c r="AE65" s="6">
        <f ca="1">$K$65*$Y$65</f>
        <v>157794.71887597506</v>
      </c>
      <c r="AF65" s="6">
        <f ca="1">$M$65*$Z$65</f>
        <v>0</v>
      </c>
      <c r="AG65" s="6">
        <f>$O$65*$AA$65</f>
        <v>0</v>
      </c>
    </row>
    <row r="66" spans="1:33" ht="11.25" customHeight="1" x14ac:dyDescent="0.25">
      <c r="A66" s="4" t="s">
        <v>21</v>
      </c>
      <c r="B66" s="4" t="s">
        <v>35</v>
      </c>
      <c r="C66" s="4" t="s">
        <v>36</v>
      </c>
      <c r="D66" s="4" t="s">
        <v>34</v>
      </c>
      <c r="E66" s="4" t="s">
        <v>25</v>
      </c>
      <c r="F66" s="4" t="s">
        <v>55</v>
      </c>
      <c r="G66" s="4" t="s">
        <v>25</v>
      </c>
      <c r="H66" s="4" t="s">
        <v>38</v>
      </c>
      <c r="I66" s="5">
        <v>44501</v>
      </c>
      <c r="J66" s="6">
        <v>10291</v>
      </c>
      <c r="K66" s="6">
        <v>5145.5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54</v>
      </c>
      <c r="R66" s="4">
        <v>0</v>
      </c>
      <c r="S66" s="6">
        <v>8</v>
      </c>
      <c r="T66" s="6">
        <v>0</v>
      </c>
      <c r="U66" s="6">
        <v>0</v>
      </c>
      <c r="V66" s="6">
        <f>IF(ISERROR(VLOOKUP($S$66,'TAR FIN'!$A$1:$O$93,15,0)),0,VLOOKUP($S$66,'TAR FIN'!$A$1:$O$93,15,0))</f>
        <v>26.17</v>
      </c>
      <c r="W66" s="6">
        <f>IF(ISERROR(VLOOKUP($T$66,'TAR FIN'!$A$1:$O$93,15,0)),0,VLOOKUP($T$66,'TAR FIN'!$A$1:$O$93,15,0))</f>
        <v>0</v>
      </c>
      <c r="X66" s="6">
        <f>IF(ISERROR(VLOOKUP($U$66,'TAR FIN'!$A$1:$O$93,15,0)),0,VLOOKUP($U$66,'TAR FIN'!$A$1:$O$93,15,0))</f>
        <v>0</v>
      </c>
      <c r="Y66" s="6">
        <f ca="1">('TUSD BE'!$AM$10+'TUSD BF'!$AM$10+'TUSD CVA'!$AM$10)*1</f>
        <v>30.453482365333407</v>
      </c>
      <c r="Z66" s="6">
        <f ca="1">('TUSD BE'!$AM$11+'TUSD BF'!$AM$11+'TUSD CVA'!$AM$11)*1</f>
        <v>92.504793470158234</v>
      </c>
      <c r="AA66" s="6"/>
      <c r="AB66" s="6">
        <f>$K$66*$V$66</f>
        <v>134657.73500000002</v>
      </c>
      <c r="AC66" s="6">
        <f>$M$66*$W$66</f>
        <v>0</v>
      </c>
      <c r="AD66" s="6">
        <f>$O$66*$X$66</f>
        <v>0</v>
      </c>
      <c r="AE66" s="6">
        <f ca="1">$K$66*$Y$66</f>
        <v>156698.39351082305</v>
      </c>
      <c r="AF66" s="6">
        <f ca="1">$M$66*$Z$66</f>
        <v>0</v>
      </c>
      <c r="AG66" s="6">
        <f>$O$66*$AA$66</f>
        <v>0</v>
      </c>
    </row>
    <row r="67" spans="1:33" ht="11.25" customHeight="1" x14ac:dyDescent="0.25">
      <c r="A67" s="4" t="s">
        <v>65</v>
      </c>
      <c r="B67" s="4" t="s">
        <v>35</v>
      </c>
      <c r="C67" s="4" t="s">
        <v>36</v>
      </c>
      <c r="D67" s="4" t="s">
        <v>34</v>
      </c>
      <c r="E67" s="4" t="s">
        <v>25</v>
      </c>
      <c r="F67" s="4" t="s">
        <v>55</v>
      </c>
      <c r="G67" s="4" t="s">
        <v>25</v>
      </c>
      <c r="H67" s="4" t="s">
        <v>38</v>
      </c>
      <c r="I67" s="5">
        <v>44531</v>
      </c>
      <c r="J67" s="6">
        <v>10291</v>
      </c>
      <c r="K67" s="6">
        <v>5145.5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54</v>
      </c>
      <c r="R67" s="4">
        <v>0</v>
      </c>
      <c r="S67" s="6">
        <v>8</v>
      </c>
      <c r="T67" s="6">
        <v>0</v>
      </c>
      <c r="U67" s="6">
        <v>0</v>
      </c>
      <c r="V67" s="6">
        <f>IF(ISERROR(VLOOKUP($S$67,'TAR FIN'!$A$1:$O$93,15,0)),0,VLOOKUP($S$67,'TAR FIN'!$A$1:$O$93,15,0))</f>
        <v>26.17</v>
      </c>
      <c r="W67" s="6">
        <f>IF(ISERROR(VLOOKUP($T$67,'TAR FIN'!$A$1:$O$93,15,0)),0,VLOOKUP($T$67,'TAR FIN'!$A$1:$O$93,15,0))</f>
        <v>0</v>
      </c>
      <c r="X67" s="6">
        <f>IF(ISERROR(VLOOKUP($U$67,'TAR FIN'!$A$1:$O$93,15,0)),0,VLOOKUP($U$67,'TAR FIN'!$A$1:$O$93,15,0))</f>
        <v>0</v>
      </c>
      <c r="Y67" s="6">
        <f ca="1">('TUSD BE'!$AM$10+'TUSD BF'!$AM$10+'TUSD CVA'!$AM$10)*1</f>
        <v>30.453482365333407</v>
      </c>
      <c r="Z67" s="6">
        <f ca="1">('TUSD BE'!$AM$11+'TUSD BF'!$AM$11+'TUSD CVA'!$AM$11)*1</f>
        <v>92.504793470158234</v>
      </c>
      <c r="AA67" s="6"/>
      <c r="AB67" s="6">
        <f>$K$67*$V$67</f>
        <v>134657.73500000002</v>
      </c>
      <c r="AC67" s="6">
        <f>$M$67*$W$67</f>
        <v>0</v>
      </c>
      <c r="AD67" s="6">
        <f>$O$67*$X$67</f>
        <v>0</v>
      </c>
      <c r="AE67" s="6">
        <f ca="1">$K$67*$Y$67</f>
        <v>156698.39351082305</v>
      </c>
      <c r="AF67" s="6">
        <f ca="1">$M$67*$Z$67</f>
        <v>0</v>
      </c>
      <c r="AG67" s="6">
        <f>$O$67*$AA$67</f>
        <v>0</v>
      </c>
    </row>
    <row r="68" spans="1:33" ht="11.25" customHeight="1" x14ac:dyDescent="0.25">
      <c r="A68" s="4" t="s">
        <v>21</v>
      </c>
      <c r="B68" s="4" t="s">
        <v>35</v>
      </c>
      <c r="C68" s="4" t="s">
        <v>36</v>
      </c>
      <c r="D68" s="4" t="s">
        <v>34</v>
      </c>
      <c r="E68" s="4" t="s">
        <v>25</v>
      </c>
      <c r="F68" s="4" t="s">
        <v>55</v>
      </c>
      <c r="G68" s="4" t="s">
        <v>25</v>
      </c>
      <c r="H68" s="4" t="s">
        <v>38</v>
      </c>
      <c r="I68" s="5">
        <v>44562</v>
      </c>
      <c r="J68" s="6">
        <v>10294</v>
      </c>
      <c r="K68" s="6">
        <v>5147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54</v>
      </c>
      <c r="R68" s="4">
        <v>0</v>
      </c>
      <c r="S68" s="6">
        <v>8</v>
      </c>
      <c r="T68" s="6">
        <v>0</v>
      </c>
      <c r="U68" s="6">
        <v>0</v>
      </c>
      <c r="V68" s="6">
        <f>IF(ISERROR(VLOOKUP($S$68,'TAR FIN'!$A$1:$O$93,15,0)),0,VLOOKUP($S$68,'TAR FIN'!$A$1:$O$93,15,0))</f>
        <v>26.17</v>
      </c>
      <c r="W68" s="6">
        <f>IF(ISERROR(VLOOKUP($T$68,'TAR FIN'!$A$1:$O$93,15,0)),0,VLOOKUP($T$68,'TAR FIN'!$A$1:$O$93,15,0))</f>
        <v>0</v>
      </c>
      <c r="X68" s="6">
        <f>IF(ISERROR(VLOOKUP($U$68,'TAR FIN'!$A$1:$O$93,15,0)),0,VLOOKUP($U$68,'TAR FIN'!$A$1:$O$93,15,0))</f>
        <v>0</v>
      </c>
      <c r="Y68" s="6">
        <f ca="1">('TUSD BE'!$AM$10+'TUSD BF'!$AM$10+'TUSD CVA'!$AM$10)*1</f>
        <v>30.453482365333407</v>
      </c>
      <c r="Z68" s="6">
        <f ca="1">('TUSD BE'!$AM$11+'TUSD BF'!$AM$11+'TUSD CVA'!$AM$11)*1</f>
        <v>92.504793470158234</v>
      </c>
      <c r="AA68" s="6"/>
      <c r="AB68" s="6">
        <f>$K$68*$V$68</f>
        <v>134696.99000000002</v>
      </c>
      <c r="AC68" s="6">
        <f>$M$68*$W$68</f>
        <v>0</v>
      </c>
      <c r="AD68" s="6">
        <f>$O$68*$X$68</f>
        <v>0</v>
      </c>
      <c r="AE68" s="6">
        <f ca="1">$K$68*$Y$68</f>
        <v>156744.07373437105</v>
      </c>
      <c r="AF68" s="6">
        <f ca="1">$M$68*$Z$68</f>
        <v>0</v>
      </c>
      <c r="AG68" s="6">
        <f>$O$68*$AA$68</f>
        <v>0</v>
      </c>
    </row>
    <row r="69" spans="1:33" ht="11.25" customHeight="1" x14ac:dyDescent="0.25">
      <c r="A69" s="4" t="s">
        <v>21</v>
      </c>
      <c r="B69" s="4" t="s">
        <v>35</v>
      </c>
      <c r="C69" s="4" t="s">
        <v>36</v>
      </c>
      <c r="D69" s="4" t="s">
        <v>34</v>
      </c>
      <c r="E69" s="4" t="s">
        <v>25</v>
      </c>
      <c r="F69" s="4" t="s">
        <v>55</v>
      </c>
      <c r="G69" s="4" t="s">
        <v>25</v>
      </c>
      <c r="H69" s="4" t="s">
        <v>38</v>
      </c>
      <c r="I69" s="5">
        <v>44593</v>
      </c>
      <c r="J69" s="6">
        <v>10730</v>
      </c>
      <c r="K69" s="6">
        <v>5365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54</v>
      </c>
      <c r="R69" s="4">
        <v>0</v>
      </c>
      <c r="S69" s="6">
        <v>8</v>
      </c>
      <c r="T69" s="6">
        <v>0</v>
      </c>
      <c r="U69" s="6">
        <v>0</v>
      </c>
      <c r="V69" s="6">
        <f>IF(ISERROR(VLOOKUP($S$69,'TAR FIN'!$A$1:$O$93,15,0)),0,VLOOKUP($S$69,'TAR FIN'!$A$1:$O$93,15,0))</f>
        <v>26.17</v>
      </c>
      <c r="W69" s="6">
        <f>IF(ISERROR(VLOOKUP($T$69,'TAR FIN'!$A$1:$O$93,15,0)),0,VLOOKUP($T$69,'TAR FIN'!$A$1:$O$93,15,0))</f>
        <v>0</v>
      </c>
      <c r="X69" s="6">
        <f>IF(ISERROR(VLOOKUP($U$69,'TAR FIN'!$A$1:$O$93,15,0)),0,VLOOKUP($U$69,'TAR FIN'!$A$1:$O$93,15,0))</f>
        <v>0</v>
      </c>
      <c r="Y69" s="6">
        <f ca="1">('TUSD BE'!$AM$10+'TUSD BF'!$AM$10+'TUSD CVA'!$AM$10)*1</f>
        <v>30.453482365333407</v>
      </c>
      <c r="Z69" s="6">
        <f ca="1">('TUSD BE'!$AM$11+'TUSD BF'!$AM$11+'TUSD CVA'!$AM$11)*1</f>
        <v>92.504793470158234</v>
      </c>
      <c r="AA69" s="6"/>
      <c r="AB69" s="6">
        <f>$K$69*$V$69</f>
        <v>140402.05000000002</v>
      </c>
      <c r="AC69" s="6">
        <f>$M$69*$W$69</f>
        <v>0</v>
      </c>
      <c r="AD69" s="6">
        <f>$O$69*$X$69</f>
        <v>0</v>
      </c>
      <c r="AE69" s="6">
        <f ca="1">$K$69*$Y$69</f>
        <v>163382.93289001373</v>
      </c>
      <c r="AF69" s="6">
        <f ca="1">$M$69*$Z$69</f>
        <v>0</v>
      </c>
      <c r="AG69" s="6">
        <f>$O$69*$AA$69</f>
        <v>0</v>
      </c>
    </row>
    <row r="70" spans="1:33" ht="11.25" customHeight="1" x14ac:dyDescent="0.25">
      <c r="A70" s="4" t="s">
        <v>21</v>
      </c>
      <c r="B70" s="4" t="s">
        <v>35</v>
      </c>
      <c r="C70" s="4" t="s">
        <v>36</v>
      </c>
      <c r="D70" s="4" t="s">
        <v>34</v>
      </c>
      <c r="E70" s="4" t="s">
        <v>25</v>
      </c>
      <c r="F70" s="4" t="s">
        <v>55</v>
      </c>
      <c r="G70" s="4" t="s">
        <v>25</v>
      </c>
      <c r="H70" s="4" t="s">
        <v>38</v>
      </c>
      <c r="I70" s="5">
        <v>44621</v>
      </c>
      <c r="J70" s="6">
        <v>10598</v>
      </c>
      <c r="K70" s="6">
        <v>5299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54</v>
      </c>
      <c r="R70" s="4">
        <v>0</v>
      </c>
      <c r="S70" s="6">
        <v>8</v>
      </c>
      <c r="T70" s="6">
        <v>0</v>
      </c>
      <c r="U70" s="6">
        <v>0</v>
      </c>
      <c r="V70" s="6">
        <f>IF(ISERROR(VLOOKUP($S$70,'TAR FIN'!$A$1:$O$93,15,0)),0,VLOOKUP($S$70,'TAR FIN'!$A$1:$O$93,15,0))</f>
        <v>26.17</v>
      </c>
      <c r="W70" s="6">
        <f>IF(ISERROR(VLOOKUP($T$70,'TAR FIN'!$A$1:$O$93,15,0)),0,VLOOKUP($T$70,'TAR FIN'!$A$1:$O$93,15,0))</f>
        <v>0</v>
      </c>
      <c r="X70" s="6">
        <f>IF(ISERROR(VLOOKUP($U$70,'TAR FIN'!$A$1:$O$93,15,0)),0,VLOOKUP($U$70,'TAR FIN'!$A$1:$O$93,15,0))</f>
        <v>0</v>
      </c>
      <c r="Y70" s="6">
        <f ca="1">('TUSD BE'!$AM$10+'TUSD BF'!$AM$10+'TUSD CVA'!$AM$10)*1</f>
        <v>30.453482365333407</v>
      </c>
      <c r="Z70" s="6">
        <f ca="1">('TUSD BE'!$AM$11+'TUSD BF'!$AM$11+'TUSD CVA'!$AM$11)*1</f>
        <v>92.504793470158234</v>
      </c>
      <c r="AA70" s="6"/>
      <c r="AB70" s="6">
        <f>$K$70*$V$70</f>
        <v>138674.83000000002</v>
      </c>
      <c r="AC70" s="6">
        <f>$M$70*$W$70</f>
        <v>0</v>
      </c>
      <c r="AD70" s="6">
        <f>$O$70*$X$70</f>
        <v>0</v>
      </c>
      <c r="AE70" s="6">
        <f ca="1">$K$70*$Y$70</f>
        <v>161373.00305390172</v>
      </c>
      <c r="AF70" s="6">
        <f ca="1">$M$70*$Z$70</f>
        <v>0</v>
      </c>
      <c r="AG70" s="6">
        <f>$O$70*$AA$70</f>
        <v>0</v>
      </c>
    </row>
    <row r="71" spans="1:33" ht="11.25" customHeight="1" x14ac:dyDescent="0.25">
      <c r="A71" s="4" t="s">
        <v>65</v>
      </c>
      <c r="B71" s="4" t="s">
        <v>35</v>
      </c>
      <c r="C71" s="4" t="s">
        <v>36</v>
      </c>
      <c r="D71" s="4" t="s">
        <v>34</v>
      </c>
      <c r="E71" s="4" t="s">
        <v>25</v>
      </c>
      <c r="F71" s="4" t="s">
        <v>55</v>
      </c>
      <c r="G71" s="4" t="s">
        <v>25</v>
      </c>
      <c r="H71" s="4" t="s">
        <v>38</v>
      </c>
      <c r="I71" s="5">
        <v>44652</v>
      </c>
      <c r="J71" s="6">
        <v>10598</v>
      </c>
      <c r="K71" s="6">
        <v>5299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54</v>
      </c>
      <c r="R71" s="4">
        <v>0</v>
      </c>
      <c r="S71" s="6">
        <v>8</v>
      </c>
      <c r="T71" s="6">
        <v>0</v>
      </c>
      <c r="U71" s="6">
        <v>0</v>
      </c>
      <c r="V71" s="6">
        <f>IF(ISERROR(VLOOKUP($S$71,'TAR FIN'!$A$1:$O$93,15,0)),0,VLOOKUP($S$71,'TAR FIN'!$A$1:$O$93,15,0))</f>
        <v>26.17</v>
      </c>
      <c r="W71" s="6">
        <f>IF(ISERROR(VLOOKUP($T$71,'TAR FIN'!$A$1:$O$93,15,0)),0,VLOOKUP($T$71,'TAR FIN'!$A$1:$O$93,15,0))</f>
        <v>0</v>
      </c>
      <c r="X71" s="6">
        <f>IF(ISERROR(VLOOKUP($U$71,'TAR FIN'!$A$1:$O$93,15,0)),0,VLOOKUP($U$71,'TAR FIN'!$A$1:$O$93,15,0))</f>
        <v>0</v>
      </c>
      <c r="Y71" s="6">
        <f ca="1">('TUSD BE'!$AM$10+'TUSD BF'!$AM$10+'TUSD CVA'!$AM$10)*1</f>
        <v>30.453482365333407</v>
      </c>
      <c r="Z71" s="6">
        <f ca="1">('TUSD BE'!$AM$11+'TUSD BF'!$AM$11+'TUSD CVA'!$AM$11)*1</f>
        <v>92.504793470158234</v>
      </c>
      <c r="AA71" s="6"/>
      <c r="AB71" s="6">
        <f>$K$71*$V$71</f>
        <v>138674.83000000002</v>
      </c>
      <c r="AC71" s="6">
        <f>$M$71*$W$71</f>
        <v>0</v>
      </c>
      <c r="AD71" s="6">
        <f>$O$71*$X$71</f>
        <v>0</v>
      </c>
      <c r="AE71" s="6">
        <f ca="1">$K$71*$Y$71</f>
        <v>161373.00305390172</v>
      </c>
      <c r="AF71" s="6">
        <f ca="1">$M$71*$Z$71</f>
        <v>0</v>
      </c>
      <c r="AG71" s="6">
        <f>$O$71*$AA$71</f>
        <v>0</v>
      </c>
    </row>
    <row r="72" spans="1:33" ht="11.25" customHeight="1" x14ac:dyDescent="0.25">
      <c r="A72" s="4" t="s">
        <v>21</v>
      </c>
      <c r="B72" s="4" t="s">
        <v>35</v>
      </c>
      <c r="C72" s="4" t="s">
        <v>36</v>
      </c>
      <c r="D72" s="4" t="s">
        <v>34</v>
      </c>
      <c r="E72" s="4" t="s">
        <v>25</v>
      </c>
      <c r="F72" s="4" t="s">
        <v>55</v>
      </c>
      <c r="G72" s="4" t="s">
        <v>25</v>
      </c>
      <c r="H72" s="4" t="s">
        <v>38</v>
      </c>
      <c r="I72" s="5">
        <v>44682</v>
      </c>
      <c r="J72" s="6">
        <v>12966</v>
      </c>
      <c r="K72" s="6">
        <v>6483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54</v>
      </c>
      <c r="R72" s="4">
        <v>0</v>
      </c>
      <c r="S72" s="6">
        <v>8</v>
      </c>
      <c r="T72" s="6">
        <v>0</v>
      </c>
      <c r="U72" s="6">
        <v>0</v>
      </c>
      <c r="V72" s="6">
        <f>IF(ISERROR(VLOOKUP($S$72,'TAR FIN'!$A$1:$O$93,15,0)),0,VLOOKUP($S$72,'TAR FIN'!$A$1:$O$93,15,0))</f>
        <v>26.17</v>
      </c>
      <c r="W72" s="6">
        <f>IF(ISERROR(VLOOKUP($T$72,'TAR FIN'!$A$1:$O$93,15,0)),0,VLOOKUP($T$72,'TAR FIN'!$A$1:$O$93,15,0))</f>
        <v>0</v>
      </c>
      <c r="X72" s="6">
        <f>IF(ISERROR(VLOOKUP($U$72,'TAR FIN'!$A$1:$O$93,15,0)),0,VLOOKUP($U$72,'TAR FIN'!$A$1:$O$93,15,0))</f>
        <v>0</v>
      </c>
      <c r="Y72" s="6">
        <f ca="1">('TUSD BE'!$AM$10+'TUSD BF'!$AM$10+'TUSD CVA'!$AM$10)*1</f>
        <v>30.453482365333407</v>
      </c>
      <c r="Z72" s="6">
        <f ca="1">('TUSD BE'!$AM$11+'TUSD BF'!$AM$11+'TUSD CVA'!$AM$11)*1</f>
        <v>92.504793470158234</v>
      </c>
      <c r="AA72" s="6"/>
      <c r="AB72" s="6">
        <f>$K$72*$V$72</f>
        <v>169660.11000000002</v>
      </c>
      <c r="AC72" s="6">
        <f>$M$72*$W$72</f>
        <v>0</v>
      </c>
      <c r="AD72" s="6">
        <f>$O$72*$X$72</f>
        <v>0</v>
      </c>
      <c r="AE72" s="6">
        <f ca="1">$K$72*$Y$72</f>
        <v>197429.92617445649</v>
      </c>
      <c r="AF72" s="6">
        <f ca="1">$M$72*$Z$72</f>
        <v>0</v>
      </c>
      <c r="AG72" s="6">
        <f>$O$72*$AA$72</f>
        <v>0</v>
      </c>
    </row>
    <row r="73" spans="1:33" ht="11.25" customHeight="1" x14ac:dyDescent="0.25">
      <c r="A73" s="4" t="s">
        <v>21</v>
      </c>
      <c r="B73" s="4" t="s">
        <v>35</v>
      </c>
      <c r="C73" s="4" t="s">
        <v>36</v>
      </c>
      <c r="D73" s="4" t="s">
        <v>34</v>
      </c>
      <c r="E73" s="4" t="s">
        <v>25</v>
      </c>
      <c r="F73" s="4" t="s">
        <v>55</v>
      </c>
      <c r="G73" s="4" t="s">
        <v>25</v>
      </c>
      <c r="H73" s="4" t="s">
        <v>38</v>
      </c>
      <c r="I73" s="5">
        <v>44713</v>
      </c>
      <c r="J73" s="6">
        <v>13200</v>
      </c>
      <c r="K73" s="6">
        <v>6600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54</v>
      </c>
      <c r="R73" s="4">
        <v>0</v>
      </c>
      <c r="S73" s="6">
        <v>8</v>
      </c>
      <c r="T73" s="6">
        <v>0</v>
      </c>
      <c r="U73" s="6">
        <v>0</v>
      </c>
      <c r="V73" s="6">
        <f>IF(ISERROR(VLOOKUP($S$73,'TAR FIN'!$A$1:$O$93,15,0)),0,VLOOKUP($S$73,'TAR FIN'!$A$1:$O$93,15,0))</f>
        <v>26.17</v>
      </c>
      <c r="W73" s="6">
        <f>IF(ISERROR(VLOOKUP($T$73,'TAR FIN'!$A$1:$O$93,15,0)),0,VLOOKUP($T$73,'TAR FIN'!$A$1:$O$93,15,0))</f>
        <v>0</v>
      </c>
      <c r="X73" s="6">
        <f>IF(ISERROR(VLOOKUP($U$73,'TAR FIN'!$A$1:$O$93,15,0)),0,VLOOKUP($U$73,'TAR FIN'!$A$1:$O$93,15,0))</f>
        <v>0</v>
      </c>
      <c r="Y73" s="6">
        <f ca="1">('TUSD BE'!$AM$10+'TUSD BF'!$AM$10+'TUSD CVA'!$AM$10)*1</f>
        <v>30.453482365333407</v>
      </c>
      <c r="Z73" s="6">
        <f ca="1">('TUSD BE'!$AM$11+'TUSD BF'!$AM$11+'TUSD CVA'!$AM$11)*1</f>
        <v>92.504793470158234</v>
      </c>
      <c r="AA73" s="6"/>
      <c r="AB73" s="6">
        <f>$K$73*$V$73</f>
        <v>172722</v>
      </c>
      <c r="AC73" s="6">
        <f>$M$73*$W$73</f>
        <v>0</v>
      </c>
      <c r="AD73" s="6">
        <f>$O$73*$X$73</f>
        <v>0</v>
      </c>
      <c r="AE73" s="6">
        <f ca="1">$K$73*$Y$73</f>
        <v>200992.9836112005</v>
      </c>
      <c r="AF73" s="6">
        <f ca="1">$M$73*$Z$73</f>
        <v>0</v>
      </c>
      <c r="AG73" s="6">
        <f>$O$73*$AA$73</f>
        <v>0</v>
      </c>
    </row>
    <row r="74" spans="1:33" ht="11.25" customHeight="1" x14ac:dyDescent="0.25">
      <c r="A74" s="4" t="s">
        <v>21</v>
      </c>
      <c r="B74" s="4" t="s">
        <v>35</v>
      </c>
      <c r="C74" s="4" t="s">
        <v>36</v>
      </c>
      <c r="D74" s="4" t="s">
        <v>34</v>
      </c>
      <c r="E74" s="4" t="s">
        <v>25</v>
      </c>
      <c r="F74" s="4" t="s">
        <v>55</v>
      </c>
      <c r="G74" s="4" t="s">
        <v>25</v>
      </c>
      <c r="H74" s="4" t="s">
        <v>25</v>
      </c>
      <c r="I74" s="5">
        <v>44378</v>
      </c>
      <c r="J74" s="6">
        <v>0</v>
      </c>
      <c r="K74" s="6">
        <v>0</v>
      </c>
      <c r="L74" s="6">
        <v>4211.4489999999996</v>
      </c>
      <c r="M74" s="6">
        <v>2105.7244999999998</v>
      </c>
      <c r="N74" s="6">
        <v>0</v>
      </c>
      <c r="O74" s="6">
        <v>0</v>
      </c>
      <c r="P74" s="6">
        <v>4</v>
      </c>
      <c r="Q74" s="4" t="s">
        <v>54</v>
      </c>
      <c r="R74" s="4">
        <v>0</v>
      </c>
      <c r="S74" s="6">
        <v>0</v>
      </c>
      <c r="T74" s="6">
        <v>9</v>
      </c>
      <c r="U74" s="6">
        <v>0</v>
      </c>
      <c r="V74" s="6">
        <f>IF(ISERROR(VLOOKUP($S$74,'TAR FIN'!$A$1:$O$93,15,0)),0,VLOOKUP($S$74,'TAR FIN'!$A$1:$O$93,15,0))</f>
        <v>0</v>
      </c>
      <c r="W74" s="6">
        <f>IF(ISERROR(VLOOKUP($T$74,'TAR FIN'!$A$1:$O$93,15,0)),0,VLOOKUP($T$74,'TAR FIN'!$A$1:$O$93,15,0))</f>
        <v>69.489999999999995</v>
      </c>
      <c r="X74" s="6">
        <f>IF(ISERROR(VLOOKUP($U$74,'TAR FIN'!$A$1:$O$93,15,0)),0,VLOOKUP($U$74,'TAR FIN'!$A$1:$O$93,15,0))</f>
        <v>0</v>
      </c>
      <c r="Y74" s="6"/>
      <c r="Z74" s="6">
        <f ca="1">('TUSD BE'!$AM$11+'TUSD BF'!$AM$11+'TUSD CVA'!$AM$11)*1</f>
        <v>92.504793470158234</v>
      </c>
      <c r="AA74" s="6"/>
      <c r="AB74" s="6">
        <f>$K$74*$V$74</f>
        <v>0</v>
      </c>
      <c r="AC74" s="6">
        <f>$M$74*$W$74</f>
        <v>146326.79550499999</v>
      </c>
      <c r="AD74" s="6">
        <f>$O$74*$X$74</f>
        <v>0</v>
      </c>
      <c r="AE74" s="6">
        <f>$K$74*$Y$74</f>
        <v>0</v>
      </c>
      <c r="AF74" s="6">
        <f ca="1">$M$74*$Z$74</f>
        <v>194789.6099775522</v>
      </c>
      <c r="AG74" s="6">
        <f>$O$74*$AA$74</f>
        <v>0</v>
      </c>
    </row>
    <row r="75" spans="1:33" ht="11.25" customHeight="1" x14ac:dyDescent="0.25">
      <c r="A75" s="4" t="s">
        <v>21</v>
      </c>
      <c r="B75" s="4" t="s">
        <v>35</v>
      </c>
      <c r="C75" s="4" t="s">
        <v>36</v>
      </c>
      <c r="D75" s="4" t="s">
        <v>34</v>
      </c>
      <c r="E75" s="4" t="s">
        <v>25</v>
      </c>
      <c r="F75" s="4" t="s">
        <v>55</v>
      </c>
      <c r="G75" s="4" t="s">
        <v>25</v>
      </c>
      <c r="H75" s="4" t="s">
        <v>25</v>
      </c>
      <c r="I75" s="5">
        <v>44409</v>
      </c>
      <c r="J75" s="6">
        <v>0</v>
      </c>
      <c r="K75" s="6">
        <v>0</v>
      </c>
      <c r="L75" s="6">
        <v>4403.2659999999996</v>
      </c>
      <c r="M75" s="6">
        <v>2201.6329999999998</v>
      </c>
      <c r="N75" s="6">
        <v>0</v>
      </c>
      <c r="O75" s="6">
        <v>0</v>
      </c>
      <c r="P75" s="6">
        <v>4</v>
      </c>
      <c r="Q75" s="4" t="s">
        <v>54</v>
      </c>
      <c r="R75" s="4">
        <v>0</v>
      </c>
      <c r="S75" s="6">
        <v>0</v>
      </c>
      <c r="T75" s="6">
        <v>9</v>
      </c>
      <c r="U75" s="6">
        <v>0</v>
      </c>
      <c r="V75" s="6">
        <f>IF(ISERROR(VLOOKUP($S$75,'TAR FIN'!$A$1:$O$93,15,0)),0,VLOOKUP($S$75,'TAR FIN'!$A$1:$O$93,15,0))</f>
        <v>0</v>
      </c>
      <c r="W75" s="6">
        <f>IF(ISERROR(VLOOKUP($T$75,'TAR FIN'!$A$1:$O$93,15,0)),0,VLOOKUP($T$75,'TAR FIN'!$A$1:$O$93,15,0))</f>
        <v>69.489999999999995</v>
      </c>
      <c r="X75" s="6">
        <f>IF(ISERROR(VLOOKUP($U$75,'TAR FIN'!$A$1:$O$93,15,0)),0,VLOOKUP($U$75,'TAR FIN'!$A$1:$O$93,15,0))</f>
        <v>0</v>
      </c>
      <c r="Y75" s="6"/>
      <c r="Z75" s="6">
        <f ca="1">('TUSD BE'!$AM$11+'TUSD BF'!$AM$11+'TUSD CVA'!$AM$11)*1</f>
        <v>92.504793470158234</v>
      </c>
      <c r="AA75" s="6"/>
      <c r="AB75" s="6">
        <f>$K$75*$V$75</f>
        <v>0</v>
      </c>
      <c r="AC75" s="6">
        <f>$M$75*$W$75</f>
        <v>152991.47716999997</v>
      </c>
      <c r="AD75" s="6">
        <f>$O$75*$X$75</f>
        <v>0</v>
      </c>
      <c r="AE75" s="6">
        <f>$K$75*$Y$75</f>
        <v>0</v>
      </c>
      <c r="AF75" s="6">
        <f ca="1">$M$75*$Z$75</f>
        <v>203661.60596208487</v>
      </c>
      <c r="AG75" s="6">
        <f>$O$75*$AA$75</f>
        <v>0</v>
      </c>
    </row>
    <row r="76" spans="1:33" ht="11.25" customHeight="1" x14ac:dyDescent="0.25">
      <c r="A76" s="4" t="s">
        <v>21</v>
      </c>
      <c r="B76" s="4" t="s">
        <v>35</v>
      </c>
      <c r="C76" s="4" t="s">
        <v>36</v>
      </c>
      <c r="D76" s="4" t="s">
        <v>34</v>
      </c>
      <c r="E76" s="4" t="s">
        <v>25</v>
      </c>
      <c r="F76" s="4" t="s">
        <v>55</v>
      </c>
      <c r="G76" s="4" t="s">
        <v>25</v>
      </c>
      <c r="H76" s="4" t="s">
        <v>25</v>
      </c>
      <c r="I76" s="5">
        <v>44440</v>
      </c>
      <c r="J76" s="6">
        <v>0</v>
      </c>
      <c r="K76" s="6">
        <v>0</v>
      </c>
      <c r="L76" s="6">
        <v>4302.3959999999997</v>
      </c>
      <c r="M76" s="6">
        <v>2151.1979999999999</v>
      </c>
      <c r="N76" s="6">
        <v>0</v>
      </c>
      <c r="O76" s="6">
        <v>0</v>
      </c>
      <c r="P76" s="6">
        <v>4</v>
      </c>
      <c r="Q76" s="4" t="s">
        <v>54</v>
      </c>
      <c r="R76" s="4">
        <v>0</v>
      </c>
      <c r="S76" s="6">
        <v>0</v>
      </c>
      <c r="T76" s="6">
        <v>9</v>
      </c>
      <c r="U76" s="6">
        <v>0</v>
      </c>
      <c r="V76" s="6">
        <f>IF(ISERROR(VLOOKUP($S$76,'TAR FIN'!$A$1:$O$93,15,0)),0,VLOOKUP($S$76,'TAR FIN'!$A$1:$O$93,15,0))</f>
        <v>0</v>
      </c>
      <c r="W76" s="6">
        <f>IF(ISERROR(VLOOKUP($T$76,'TAR FIN'!$A$1:$O$93,15,0)),0,VLOOKUP($T$76,'TAR FIN'!$A$1:$O$93,15,0))</f>
        <v>69.489999999999995</v>
      </c>
      <c r="X76" s="6">
        <f>IF(ISERROR(VLOOKUP($U$76,'TAR FIN'!$A$1:$O$93,15,0)),0,VLOOKUP($U$76,'TAR FIN'!$A$1:$O$93,15,0))</f>
        <v>0</v>
      </c>
      <c r="Y76" s="6"/>
      <c r="Z76" s="6">
        <f ca="1">('TUSD BE'!$AM$11+'TUSD BF'!$AM$11+'TUSD CVA'!$AM$11)*1</f>
        <v>92.504793470158234</v>
      </c>
      <c r="AA76" s="6"/>
      <c r="AB76" s="6">
        <f>$K$76*$V$76</f>
        <v>0</v>
      </c>
      <c r="AC76" s="6">
        <f>$M$76*$W$76</f>
        <v>149486.74901999999</v>
      </c>
      <c r="AD76" s="6">
        <f>$O$76*$X$76</f>
        <v>0</v>
      </c>
      <c r="AE76" s="6">
        <f>$K$76*$Y$76</f>
        <v>0</v>
      </c>
      <c r="AF76" s="6">
        <f ca="1">$M$76*$Z$76</f>
        <v>198996.12670341745</v>
      </c>
      <c r="AG76" s="6">
        <f>$O$76*$AA$76</f>
        <v>0</v>
      </c>
    </row>
    <row r="77" spans="1:33" ht="11.25" customHeight="1" x14ac:dyDescent="0.25">
      <c r="A77" s="4" t="s">
        <v>21</v>
      </c>
      <c r="B77" s="4" t="s">
        <v>35</v>
      </c>
      <c r="C77" s="4" t="s">
        <v>36</v>
      </c>
      <c r="D77" s="4" t="s">
        <v>34</v>
      </c>
      <c r="E77" s="4" t="s">
        <v>25</v>
      </c>
      <c r="F77" s="4" t="s">
        <v>55</v>
      </c>
      <c r="G77" s="4" t="s">
        <v>25</v>
      </c>
      <c r="H77" s="4" t="s">
        <v>25</v>
      </c>
      <c r="I77" s="5">
        <v>44470</v>
      </c>
      <c r="J77" s="6">
        <v>0</v>
      </c>
      <c r="K77" s="6">
        <v>0</v>
      </c>
      <c r="L77" s="6">
        <v>4369.4129999999996</v>
      </c>
      <c r="M77" s="6">
        <v>2184.7064999999998</v>
      </c>
      <c r="N77" s="6">
        <v>0</v>
      </c>
      <c r="O77" s="6">
        <v>0</v>
      </c>
      <c r="P77" s="6">
        <v>4</v>
      </c>
      <c r="Q77" s="4" t="s">
        <v>54</v>
      </c>
      <c r="R77" s="4">
        <v>0</v>
      </c>
      <c r="S77" s="6">
        <v>0</v>
      </c>
      <c r="T77" s="6">
        <v>9</v>
      </c>
      <c r="U77" s="6">
        <v>0</v>
      </c>
      <c r="V77" s="6">
        <f>IF(ISERROR(VLOOKUP($S$77,'TAR FIN'!$A$1:$O$93,15,0)),0,VLOOKUP($S$77,'TAR FIN'!$A$1:$O$93,15,0))</f>
        <v>0</v>
      </c>
      <c r="W77" s="6">
        <f>IF(ISERROR(VLOOKUP($T$77,'TAR FIN'!$A$1:$O$93,15,0)),0,VLOOKUP($T$77,'TAR FIN'!$A$1:$O$93,15,0))</f>
        <v>69.489999999999995</v>
      </c>
      <c r="X77" s="6">
        <f>IF(ISERROR(VLOOKUP($U$77,'TAR FIN'!$A$1:$O$93,15,0)),0,VLOOKUP($U$77,'TAR FIN'!$A$1:$O$93,15,0))</f>
        <v>0</v>
      </c>
      <c r="Y77" s="6"/>
      <c r="Z77" s="6">
        <f ca="1">('TUSD BE'!$AM$11+'TUSD BF'!$AM$11+'TUSD CVA'!$AM$11)*1</f>
        <v>92.504793470158234</v>
      </c>
      <c r="AA77" s="6"/>
      <c r="AB77" s="6">
        <f>$K$77*$V$77</f>
        <v>0</v>
      </c>
      <c r="AC77" s="6">
        <f>$M$77*$W$77</f>
        <v>151815.25468499996</v>
      </c>
      <c r="AD77" s="6">
        <f>$O$77*$X$77</f>
        <v>0</v>
      </c>
      <c r="AE77" s="6">
        <f>$K$77*$Y$77</f>
        <v>0</v>
      </c>
      <c r="AF77" s="6">
        <f ca="1">$M$77*$Z$77</f>
        <v>202095.82357541221</v>
      </c>
      <c r="AG77" s="6">
        <f>$O$77*$AA$77</f>
        <v>0</v>
      </c>
    </row>
    <row r="78" spans="1:33" ht="11.25" customHeight="1" x14ac:dyDescent="0.25">
      <c r="A78" s="4" t="s">
        <v>21</v>
      </c>
      <c r="B78" s="4" t="s">
        <v>35</v>
      </c>
      <c r="C78" s="4" t="s">
        <v>36</v>
      </c>
      <c r="D78" s="4" t="s">
        <v>34</v>
      </c>
      <c r="E78" s="4" t="s">
        <v>25</v>
      </c>
      <c r="F78" s="4" t="s">
        <v>55</v>
      </c>
      <c r="G78" s="4" t="s">
        <v>25</v>
      </c>
      <c r="H78" s="4" t="s">
        <v>25</v>
      </c>
      <c r="I78" s="5">
        <v>44501</v>
      </c>
      <c r="J78" s="6">
        <v>0</v>
      </c>
      <c r="K78" s="6">
        <v>0</v>
      </c>
      <c r="L78" s="6">
        <v>4623.4799999999996</v>
      </c>
      <c r="M78" s="6">
        <v>2311.7399999999998</v>
      </c>
      <c r="N78" s="6">
        <v>0</v>
      </c>
      <c r="O78" s="6">
        <v>0</v>
      </c>
      <c r="P78" s="6">
        <v>4</v>
      </c>
      <c r="Q78" s="4" t="s">
        <v>54</v>
      </c>
      <c r="R78" s="4">
        <v>0</v>
      </c>
      <c r="S78" s="6">
        <v>0</v>
      </c>
      <c r="T78" s="6">
        <v>9</v>
      </c>
      <c r="U78" s="6">
        <v>0</v>
      </c>
      <c r="V78" s="6">
        <f>IF(ISERROR(VLOOKUP($S$78,'TAR FIN'!$A$1:$O$93,15,0)),0,VLOOKUP($S$78,'TAR FIN'!$A$1:$O$93,15,0))</f>
        <v>0</v>
      </c>
      <c r="W78" s="6">
        <f>IF(ISERROR(VLOOKUP($T$78,'TAR FIN'!$A$1:$O$93,15,0)),0,VLOOKUP($T$78,'TAR FIN'!$A$1:$O$93,15,0))</f>
        <v>69.489999999999995</v>
      </c>
      <c r="X78" s="6">
        <f>IF(ISERROR(VLOOKUP($U$78,'TAR FIN'!$A$1:$O$93,15,0)),0,VLOOKUP($U$78,'TAR FIN'!$A$1:$O$93,15,0))</f>
        <v>0</v>
      </c>
      <c r="Y78" s="6"/>
      <c r="Z78" s="6">
        <f ca="1">('TUSD BE'!$AM$11+'TUSD BF'!$AM$11+'TUSD CVA'!$AM$11)*1</f>
        <v>92.504793470158234</v>
      </c>
      <c r="AA78" s="6"/>
      <c r="AB78" s="6">
        <f>$K$78*$V$78</f>
        <v>0</v>
      </c>
      <c r="AC78" s="6">
        <f>$M$78*$W$78</f>
        <v>160642.81259999998</v>
      </c>
      <c r="AD78" s="6">
        <f>$O$78*$X$78</f>
        <v>0</v>
      </c>
      <c r="AE78" s="6">
        <f>$K$78*$Y$78</f>
        <v>0</v>
      </c>
      <c r="AF78" s="6">
        <f ca="1">$M$78*$Z$78</f>
        <v>213847.03125670357</v>
      </c>
      <c r="AG78" s="6">
        <f>$O$78*$AA$78</f>
        <v>0</v>
      </c>
    </row>
    <row r="79" spans="1:33" ht="11.25" customHeight="1" x14ac:dyDescent="0.25">
      <c r="A79" s="4" t="s">
        <v>65</v>
      </c>
      <c r="B79" s="4" t="s">
        <v>35</v>
      </c>
      <c r="C79" s="4" t="s">
        <v>36</v>
      </c>
      <c r="D79" s="4" t="s">
        <v>34</v>
      </c>
      <c r="E79" s="4" t="s">
        <v>25</v>
      </c>
      <c r="F79" s="4" t="s">
        <v>55</v>
      </c>
      <c r="G79" s="4" t="s">
        <v>25</v>
      </c>
      <c r="H79" s="4" t="s">
        <v>25</v>
      </c>
      <c r="I79" s="5">
        <v>44531</v>
      </c>
      <c r="J79" s="6">
        <v>0</v>
      </c>
      <c r="K79" s="6">
        <v>0</v>
      </c>
      <c r="L79" s="6">
        <v>4623.4799999999996</v>
      </c>
      <c r="M79" s="6">
        <v>2311.7399999999998</v>
      </c>
      <c r="N79" s="6">
        <v>0</v>
      </c>
      <c r="O79" s="6">
        <v>0</v>
      </c>
      <c r="P79" s="6">
        <v>4</v>
      </c>
      <c r="Q79" s="4" t="s">
        <v>54</v>
      </c>
      <c r="R79" s="4">
        <v>0</v>
      </c>
      <c r="S79" s="6">
        <v>0</v>
      </c>
      <c r="T79" s="6">
        <v>9</v>
      </c>
      <c r="U79" s="6">
        <v>0</v>
      </c>
      <c r="V79" s="6">
        <f>IF(ISERROR(VLOOKUP($S$79,'TAR FIN'!$A$1:$O$93,15,0)),0,VLOOKUP($S$79,'TAR FIN'!$A$1:$O$93,15,0))</f>
        <v>0</v>
      </c>
      <c r="W79" s="6">
        <f>IF(ISERROR(VLOOKUP($T$79,'TAR FIN'!$A$1:$O$93,15,0)),0,VLOOKUP($T$79,'TAR FIN'!$A$1:$O$93,15,0))</f>
        <v>69.489999999999995</v>
      </c>
      <c r="X79" s="6">
        <f>IF(ISERROR(VLOOKUP($U$79,'TAR FIN'!$A$1:$O$93,15,0)),0,VLOOKUP($U$79,'TAR FIN'!$A$1:$O$93,15,0))</f>
        <v>0</v>
      </c>
      <c r="Y79" s="6"/>
      <c r="Z79" s="6">
        <f ca="1">('TUSD BE'!$AM$11+'TUSD BF'!$AM$11+'TUSD CVA'!$AM$11)*1</f>
        <v>92.504793470158234</v>
      </c>
      <c r="AA79" s="6"/>
      <c r="AB79" s="6">
        <f>$K$79*$V$79</f>
        <v>0</v>
      </c>
      <c r="AC79" s="6">
        <f>$M$79*$W$79</f>
        <v>160642.81259999998</v>
      </c>
      <c r="AD79" s="6">
        <f>$O$79*$X$79</f>
        <v>0</v>
      </c>
      <c r="AE79" s="6">
        <f>$K$79*$Y$79</f>
        <v>0</v>
      </c>
      <c r="AF79" s="6">
        <f ca="1">$M$79*$Z$79</f>
        <v>213847.03125670357</v>
      </c>
      <c r="AG79" s="6">
        <f>$O$79*$AA$79</f>
        <v>0</v>
      </c>
    </row>
    <row r="80" spans="1:33" ht="11.25" customHeight="1" x14ac:dyDescent="0.25">
      <c r="A80" s="4" t="s">
        <v>21</v>
      </c>
      <c r="B80" s="4" t="s">
        <v>35</v>
      </c>
      <c r="C80" s="4" t="s">
        <v>36</v>
      </c>
      <c r="D80" s="4" t="s">
        <v>34</v>
      </c>
      <c r="E80" s="4" t="s">
        <v>25</v>
      </c>
      <c r="F80" s="4" t="s">
        <v>55</v>
      </c>
      <c r="G80" s="4" t="s">
        <v>25</v>
      </c>
      <c r="H80" s="4" t="s">
        <v>25</v>
      </c>
      <c r="I80" s="5">
        <v>44562</v>
      </c>
      <c r="J80" s="6">
        <v>0</v>
      </c>
      <c r="K80" s="6">
        <v>0</v>
      </c>
      <c r="L80" s="6">
        <v>4275.4930000000004</v>
      </c>
      <c r="M80" s="6">
        <v>2137.7465000000002</v>
      </c>
      <c r="N80" s="6">
        <v>0</v>
      </c>
      <c r="O80" s="6">
        <v>0</v>
      </c>
      <c r="P80" s="6">
        <v>4</v>
      </c>
      <c r="Q80" s="4" t="s">
        <v>54</v>
      </c>
      <c r="R80" s="4">
        <v>0</v>
      </c>
      <c r="S80" s="6">
        <v>0</v>
      </c>
      <c r="T80" s="6">
        <v>9</v>
      </c>
      <c r="U80" s="6">
        <v>0</v>
      </c>
      <c r="V80" s="6">
        <f>IF(ISERROR(VLOOKUP($S$80,'TAR FIN'!$A$1:$O$93,15,0)),0,VLOOKUP($S$80,'TAR FIN'!$A$1:$O$93,15,0))</f>
        <v>0</v>
      </c>
      <c r="W80" s="6">
        <f>IF(ISERROR(VLOOKUP($T$80,'TAR FIN'!$A$1:$O$93,15,0)),0,VLOOKUP($T$80,'TAR FIN'!$A$1:$O$93,15,0))</f>
        <v>69.489999999999995</v>
      </c>
      <c r="X80" s="6">
        <f>IF(ISERROR(VLOOKUP($U$80,'TAR FIN'!$A$1:$O$93,15,0)),0,VLOOKUP($U$80,'TAR FIN'!$A$1:$O$93,15,0))</f>
        <v>0</v>
      </c>
      <c r="Y80" s="6"/>
      <c r="Z80" s="6">
        <f ca="1">('TUSD BE'!$AM$11+'TUSD BF'!$AM$11+'TUSD CVA'!$AM$11)*1</f>
        <v>92.504793470158234</v>
      </c>
      <c r="AA80" s="6"/>
      <c r="AB80" s="6">
        <f>$K$80*$V$80</f>
        <v>0</v>
      </c>
      <c r="AC80" s="6">
        <f>$M$80*$W$80</f>
        <v>148552.004285</v>
      </c>
      <c r="AD80" s="6">
        <f>$O$80*$X$80</f>
        <v>0</v>
      </c>
      <c r="AE80" s="6">
        <f>$K$80*$Y$80</f>
        <v>0</v>
      </c>
      <c r="AF80" s="6">
        <f ca="1">$M$80*$Z$80</f>
        <v>197751.79847405365</v>
      </c>
      <c r="AG80" s="6">
        <f>$O$80*$AA$80</f>
        <v>0</v>
      </c>
    </row>
    <row r="81" spans="1:33" ht="11.25" customHeight="1" x14ac:dyDescent="0.25">
      <c r="A81" s="4" t="s">
        <v>21</v>
      </c>
      <c r="B81" s="4" t="s">
        <v>35</v>
      </c>
      <c r="C81" s="4" t="s">
        <v>36</v>
      </c>
      <c r="D81" s="4" t="s">
        <v>34</v>
      </c>
      <c r="E81" s="4" t="s">
        <v>25</v>
      </c>
      <c r="F81" s="4" t="s">
        <v>55</v>
      </c>
      <c r="G81" s="4" t="s">
        <v>25</v>
      </c>
      <c r="H81" s="4" t="s">
        <v>25</v>
      </c>
      <c r="I81" s="5">
        <v>44593</v>
      </c>
      <c r="J81" s="6">
        <v>0</v>
      </c>
      <c r="K81" s="6">
        <v>0</v>
      </c>
      <c r="L81" s="6">
        <v>4336.7749999999996</v>
      </c>
      <c r="M81" s="6">
        <v>2168.3874999999998</v>
      </c>
      <c r="N81" s="6">
        <v>0</v>
      </c>
      <c r="O81" s="6">
        <v>0</v>
      </c>
      <c r="P81" s="6">
        <v>4</v>
      </c>
      <c r="Q81" s="4" t="s">
        <v>54</v>
      </c>
      <c r="R81" s="4">
        <v>0</v>
      </c>
      <c r="S81" s="6">
        <v>0</v>
      </c>
      <c r="T81" s="6">
        <v>9</v>
      </c>
      <c r="U81" s="6">
        <v>0</v>
      </c>
      <c r="V81" s="6">
        <f>IF(ISERROR(VLOOKUP($S$81,'TAR FIN'!$A$1:$O$93,15,0)),0,VLOOKUP($S$81,'TAR FIN'!$A$1:$O$93,15,0))</f>
        <v>0</v>
      </c>
      <c r="W81" s="6">
        <f>IF(ISERROR(VLOOKUP($T$81,'TAR FIN'!$A$1:$O$93,15,0)),0,VLOOKUP($T$81,'TAR FIN'!$A$1:$O$93,15,0))</f>
        <v>69.489999999999995</v>
      </c>
      <c r="X81" s="6">
        <f>IF(ISERROR(VLOOKUP($U$81,'TAR FIN'!$A$1:$O$93,15,0)),0,VLOOKUP($U$81,'TAR FIN'!$A$1:$O$93,15,0))</f>
        <v>0</v>
      </c>
      <c r="Y81" s="6"/>
      <c r="Z81" s="6">
        <f ca="1">('TUSD BE'!$AM$11+'TUSD BF'!$AM$11+'TUSD CVA'!$AM$11)*1</f>
        <v>92.504793470158234</v>
      </c>
      <c r="AA81" s="6"/>
      <c r="AB81" s="6">
        <f>$K$81*$V$81</f>
        <v>0</v>
      </c>
      <c r="AC81" s="6">
        <f>$M$81*$W$81</f>
        <v>150681.24737499998</v>
      </c>
      <c r="AD81" s="6">
        <f>$O$81*$X$81</f>
        <v>0</v>
      </c>
      <c r="AE81" s="6">
        <f>$K$81*$Y$81</f>
        <v>0</v>
      </c>
      <c r="AF81" s="6">
        <f ca="1">$M$81*$Z$81</f>
        <v>200586.23785077271</v>
      </c>
      <c r="AG81" s="6">
        <f>$O$81*$AA$81</f>
        <v>0</v>
      </c>
    </row>
    <row r="82" spans="1:33" ht="11.25" customHeight="1" x14ac:dyDescent="0.25">
      <c r="A82" s="4" t="s">
        <v>21</v>
      </c>
      <c r="B82" s="4" t="s">
        <v>35</v>
      </c>
      <c r="C82" s="4" t="s">
        <v>36</v>
      </c>
      <c r="D82" s="4" t="s">
        <v>34</v>
      </c>
      <c r="E82" s="4" t="s">
        <v>25</v>
      </c>
      <c r="F82" s="4" t="s">
        <v>55</v>
      </c>
      <c r="G82" s="4" t="s">
        <v>25</v>
      </c>
      <c r="H82" s="4" t="s">
        <v>25</v>
      </c>
      <c r="I82" s="5">
        <v>44621</v>
      </c>
      <c r="J82" s="6">
        <v>0</v>
      </c>
      <c r="K82" s="6">
        <v>0</v>
      </c>
      <c r="L82" s="6">
        <v>4394.4470000000001</v>
      </c>
      <c r="M82" s="6">
        <v>2197.2235000000001</v>
      </c>
      <c r="N82" s="6">
        <v>0</v>
      </c>
      <c r="O82" s="6">
        <v>0</v>
      </c>
      <c r="P82" s="6">
        <v>4</v>
      </c>
      <c r="Q82" s="4" t="s">
        <v>54</v>
      </c>
      <c r="R82" s="4">
        <v>0</v>
      </c>
      <c r="S82" s="6">
        <v>0</v>
      </c>
      <c r="T82" s="6">
        <v>9</v>
      </c>
      <c r="U82" s="6">
        <v>0</v>
      </c>
      <c r="V82" s="6">
        <f>IF(ISERROR(VLOOKUP($S$82,'TAR FIN'!$A$1:$O$93,15,0)),0,VLOOKUP($S$82,'TAR FIN'!$A$1:$O$93,15,0))</f>
        <v>0</v>
      </c>
      <c r="W82" s="6">
        <f>IF(ISERROR(VLOOKUP($T$82,'TAR FIN'!$A$1:$O$93,15,0)),0,VLOOKUP($T$82,'TAR FIN'!$A$1:$O$93,15,0))</f>
        <v>69.489999999999995</v>
      </c>
      <c r="X82" s="6">
        <f>IF(ISERROR(VLOOKUP($U$82,'TAR FIN'!$A$1:$O$93,15,0)),0,VLOOKUP($U$82,'TAR FIN'!$A$1:$O$93,15,0))</f>
        <v>0</v>
      </c>
      <c r="Y82" s="6"/>
      <c r="Z82" s="6">
        <f ca="1">('TUSD BE'!$AM$11+'TUSD BF'!$AM$11+'TUSD CVA'!$AM$11)*1</f>
        <v>92.504793470158234</v>
      </c>
      <c r="AA82" s="6"/>
      <c r="AB82" s="6">
        <f>$K$82*$V$82</f>
        <v>0</v>
      </c>
      <c r="AC82" s="6">
        <f>$M$82*$W$82</f>
        <v>152685.06101499998</v>
      </c>
      <c r="AD82" s="6">
        <f>$O$82*$X$82</f>
        <v>0</v>
      </c>
      <c r="AE82" s="6">
        <f>$K$82*$Y$82</f>
        <v>0</v>
      </c>
      <c r="AF82" s="6">
        <f ca="1">$M$82*$Z$82</f>
        <v>203253.70607527823</v>
      </c>
      <c r="AG82" s="6">
        <f>$O$82*$AA$82</f>
        <v>0</v>
      </c>
    </row>
    <row r="83" spans="1:33" ht="11.25" customHeight="1" x14ac:dyDescent="0.25">
      <c r="A83" s="4" t="s">
        <v>65</v>
      </c>
      <c r="B83" s="4" t="s">
        <v>35</v>
      </c>
      <c r="C83" s="4" t="s">
        <v>36</v>
      </c>
      <c r="D83" s="4" t="s">
        <v>34</v>
      </c>
      <c r="E83" s="4" t="s">
        <v>25</v>
      </c>
      <c r="F83" s="4" t="s">
        <v>55</v>
      </c>
      <c r="G83" s="4" t="s">
        <v>25</v>
      </c>
      <c r="H83" s="4" t="s">
        <v>25</v>
      </c>
      <c r="I83" s="5">
        <v>44652</v>
      </c>
      <c r="J83" s="6">
        <v>0</v>
      </c>
      <c r="K83" s="6">
        <v>0</v>
      </c>
      <c r="L83" s="6">
        <v>4394.4470000000001</v>
      </c>
      <c r="M83" s="6">
        <v>2197.2235000000001</v>
      </c>
      <c r="N83" s="6">
        <v>0</v>
      </c>
      <c r="O83" s="6">
        <v>0</v>
      </c>
      <c r="P83" s="6">
        <v>4</v>
      </c>
      <c r="Q83" s="4" t="s">
        <v>54</v>
      </c>
      <c r="R83" s="4">
        <v>0</v>
      </c>
      <c r="S83" s="6">
        <v>0</v>
      </c>
      <c r="T83" s="6">
        <v>9</v>
      </c>
      <c r="U83" s="6">
        <v>0</v>
      </c>
      <c r="V83" s="6">
        <f>IF(ISERROR(VLOOKUP($S$83,'TAR FIN'!$A$1:$O$93,15,0)),0,VLOOKUP($S$83,'TAR FIN'!$A$1:$O$93,15,0))</f>
        <v>0</v>
      </c>
      <c r="W83" s="6">
        <f>IF(ISERROR(VLOOKUP($T$83,'TAR FIN'!$A$1:$O$93,15,0)),0,VLOOKUP($T$83,'TAR FIN'!$A$1:$O$93,15,0))</f>
        <v>69.489999999999995</v>
      </c>
      <c r="X83" s="6">
        <f>IF(ISERROR(VLOOKUP($U$83,'TAR FIN'!$A$1:$O$93,15,0)),0,VLOOKUP($U$83,'TAR FIN'!$A$1:$O$93,15,0))</f>
        <v>0</v>
      </c>
      <c r="Y83" s="6"/>
      <c r="Z83" s="6">
        <f ca="1">('TUSD BE'!$AM$11+'TUSD BF'!$AM$11+'TUSD CVA'!$AM$11)*1</f>
        <v>92.504793470158234</v>
      </c>
      <c r="AA83" s="6"/>
      <c r="AB83" s="6">
        <f>$K$83*$V$83</f>
        <v>0</v>
      </c>
      <c r="AC83" s="6">
        <f>$M$83*$W$83</f>
        <v>152685.06101499998</v>
      </c>
      <c r="AD83" s="6">
        <f>$O$83*$X$83</f>
        <v>0</v>
      </c>
      <c r="AE83" s="6">
        <f>$K$83*$Y$83</f>
        <v>0</v>
      </c>
      <c r="AF83" s="6">
        <f ca="1">$M$83*$Z$83</f>
        <v>203253.70607527823</v>
      </c>
      <c r="AG83" s="6">
        <f>$O$83*$AA$83</f>
        <v>0</v>
      </c>
    </row>
    <row r="84" spans="1:33" ht="11.25" customHeight="1" x14ac:dyDescent="0.25">
      <c r="A84" s="4" t="s">
        <v>21</v>
      </c>
      <c r="B84" s="4" t="s">
        <v>35</v>
      </c>
      <c r="C84" s="4" t="s">
        <v>36</v>
      </c>
      <c r="D84" s="4" t="s">
        <v>34</v>
      </c>
      <c r="E84" s="4" t="s">
        <v>25</v>
      </c>
      <c r="F84" s="4" t="s">
        <v>55</v>
      </c>
      <c r="G84" s="4" t="s">
        <v>25</v>
      </c>
      <c r="H84" s="4" t="s">
        <v>25</v>
      </c>
      <c r="I84" s="5">
        <v>44682</v>
      </c>
      <c r="J84" s="6">
        <v>0</v>
      </c>
      <c r="K84" s="6">
        <v>0</v>
      </c>
      <c r="L84" s="6">
        <v>5031.1610000000001</v>
      </c>
      <c r="M84" s="6">
        <v>5031.1610000000001</v>
      </c>
      <c r="N84" s="6">
        <v>0</v>
      </c>
      <c r="O84" s="6">
        <v>0</v>
      </c>
      <c r="P84" s="6">
        <v>5</v>
      </c>
      <c r="Q84" s="4" t="s">
        <v>54</v>
      </c>
      <c r="R84" s="4">
        <v>0</v>
      </c>
      <c r="S84" s="6">
        <v>0</v>
      </c>
      <c r="T84" s="6">
        <v>9</v>
      </c>
      <c r="U84" s="6">
        <v>0</v>
      </c>
      <c r="V84" s="6">
        <f>IF(ISERROR(VLOOKUP($S$84,'TAR FIN'!$A$1:$O$93,15,0)),0,VLOOKUP($S$84,'TAR FIN'!$A$1:$O$93,15,0))</f>
        <v>0</v>
      </c>
      <c r="W84" s="6">
        <f>IF(ISERROR(VLOOKUP($T$84,'TAR FIN'!$A$1:$O$93,15,0)),0,VLOOKUP($T$84,'TAR FIN'!$A$1:$O$93,15,0))</f>
        <v>69.489999999999995</v>
      </c>
      <c r="X84" s="6">
        <f>IF(ISERROR(VLOOKUP($U$84,'TAR FIN'!$A$1:$O$93,15,0)),0,VLOOKUP($U$84,'TAR FIN'!$A$1:$O$93,15,0))</f>
        <v>0</v>
      </c>
      <c r="Y84" s="6"/>
      <c r="Z84" s="6">
        <f ca="1">('TUSD BE'!$AM$11+'TUSD BF'!$AM$11+'TUSD CVA'!$AM$11)*1</f>
        <v>92.504793470158234</v>
      </c>
      <c r="AA84" s="6"/>
      <c r="AB84" s="6">
        <f>$K$84*$V$84</f>
        <v>0</v>
      </c>
      <c r="AC84" s="6">
        <f>$M$84*$W$84</f>
        <v>349615.37789</v>
      </c>
      <c r="AD84" s="6">
        <f>$O$84*$X$84</f>
        <v>0</v>
      </c>
      <c r="AE84" s="6">
        <f>$K$84*$Y$84</f>
        <v>0</v>
      </c>
      <c r="AF84" s="6">
        <f ca="1">$M$84*$Z$84</f>
        <v>465406.50922011479</v>
      </c>
      <c r="AG84" s="6">
        <f>$O$84*$AA$84</f>
        <v>0</v>
      </c>
    </row>
    <row r="85" spans="1:33" ht="11.25" customHeight="1" x14ac:dyDescent="0.25">
      <c r="A85" s="4" t="s">
        <v>21</v>
      </c>
      <c r="B85" s="4" t="s">
        <v>35</v>
      </c>
      <c r="C85" s="4" t="s">
        <v>36</v>
      </c>
      <c r="D85" s="4" t="s">
        <v>34</v>
      </c>
      <c r="E85" s="4" t="s">
        <v>25</v>
      </c>
      <c r="F85" s="4" t="s">
        <v>55</v>
      </c>
      <c r="G85" s="4" t="s">
        <v>25</v>
      </c>
      <c r="H85" s="4" t="s">
        <v>25</v>
      </c>
      <c r="I85" s="5">
        <v>44713</v>
      </c>
      <c r="J85" s="6">
        <v>0</v>
      </c>
      <c r="K85" s="6">
        <v>0</v>
      </c>
      <c r="L85" s="6">
        <v>3797.1529999999998</v>
      </c>
      <c r="M85" s="6">
        <v>3797.1529999999998</v>
      </c>
      <c r="N85" s="6">
        <v>0</v>
      </c>
      <c r="O85" s="6">
        <v>0</v>
      </c>
      <c r="P85" s="6">
        <v>5</v>
      </c>
      <c r="Q85" s="4" t="s">
        <v>54</v>
      </c>
      <c r="R85" s="4">
        <v>0</v>
      </c>
      <c r="S85" s="6">
        <v>0</v>
      </c>
      <c r="T85" s="6">
        <v>9</v>
      </c>
      <c r="U85" s="6">
        <v>0</v>
      </c>
      <c r="V85" s="6">
        <f>IF(ISERROR(VLOOKUP($S$85,'TAR FIN'!$A$1:$O$93,15,0)),0,VLOOKUP($S$85,'TAR FIN'!$A$1:$O$93,15,0))</f>
        <v>0</v>
      </c>
      <c r="W85" s="6">
        <f>IF(ISERROR(VLOOKUP($T$85,'TAR FIN'!$A$1:$O$93,15,0)),0,VLOOKUP($T$85,'TAR FIN'!$A$1:$O$93,15,0))</f>
        <v>69.489999999999995</v>
      </c>
      <c r="X85" s="6">
        <f>IF(ISERROR(VLOOKUP($U$85,'TAR FIN'!$A$1:$O$93,15,0)),0,VLOOKUP($U$85,'TAR FIN'!$A$1:$O$93,15,0))</f>
        <v>0</v>
      </c>
      <c r="Y85" s="6"/>
      <c r="Z85" s="6">
        <f ca="1">('TUSD BE'!$AM$11+'TUSD BF'!$AM$11+'TUSD CVA'!$AM$11)*1</f>
        <v>92.504793470158234</v>
      </c>
      <c r="AA85" s="6"/>
      <c r="AB85" s="6">
        <f>$K$85*$V$85</f>
        <v>0</v>
      </c>
      <c r="AC85" s="6">
        <f>$M$85*$W$85</f>
        <v>263864.16196999996</v>
      </c>
      <c r="AD85" s="6">
        <f>$O$85*$X$85</f>
        <v>0</v>
      </c>
      <c r="AE85" s="6">
        <f>$K$85*$Y$85</f>
        <v>0</v>
      </c>
      <c r="AF85" s="6">
        <f ca="1">$M$85*$Z$85</f>
        <v>351254.85403959174</v>
      </c>
      <c r="AG85" s="6">
        <f>$O$85*$AA$85</f>
        <v>0</v>
      </c>
    </row>
    <row r="86" spans="1:33" ht="11.25" customHeight="1" x14ac:dyDescent="0.25">
      <c r="A86" s="4" t="s">
        <v>21</v>
      </c>
      <c r="B86" s="4" t="s">
        <v>35</v>
      </c>
      <c r="C86" s="4" t="s">
        <v>36</v>
      </c>
      <c r="D86" s="4" t="s">
        <v>34</v>
      </c>
      <c r="E86" s="4" t="s">
        <v>25</v>
      </c>
      <c r="F86" s="4" t="s">
        <v>55</v>
      </c>
      <c r="G86" s="4" t="s">
        <v>25</v>
      </c>
      <c r="H86" s="4" t="s">
        <v>37</v>
      </c>
      <c r="I86" s="5">
        <v>44378</v>
      </c>
      <c r="J86" s="6">
        <v>7706</v>
      </c>
      <c r="K86" s="6">
        <v>3853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4" t="s">
        <v>54</v>
      </c>
      <c r="R86" s="4">
        <v>0</v>
      </c>
      <c r="S86" s="6">
        <v>3</v>
      </c>
      <c r="T86" s="6">
        <v>0</v>
      </c>
      <c r="U86" s="6">
        <v>0</v>
      </c>
      <c r="V86" s="6">
        <f>IF(ISERROR(VLOOKUP($S$86,'TAR FIN'!$A$1:$O$93,15,0)),0,VLOOKUP($S$86,'TAR FIN'!$A$1:$O$93,15,0))</f>
        <v>43.88</v>
      </c>
      <c r="W86" s="6">
        <f>IF(ISERROR(VLOOKUP($T$86,'TAR FIN'!$A$1:$O$93,15,0)),0,VLOOKUP($T$86,'TAR FIN'!$A$1:$O$93,15,0))</f>
        <v>0</v>
      </c>
      <c r="X86" s="6">
        <f>IF(ISERROR(VLOOKUP($U$86,'TAR FIN'!$A$1:$O$93,15,0)),0,VLOOKUP($U$86,'TAR FIN'!$A$1:$O$93,15,0))</f>
        <v>0</v>
      </c>
      <c r="Y86" s="6">
        <f ca="1">('TUSD BE'!$AM$9+'TUSD BF'!$AM$9+'TUSD CVA'!$AM$9)*1</f>
        <v>50.306190347472103</v>
      </c>
      <c r="Z86" s="6">
        <f ca="1">('TUSD BE'!$AM$11+'TUSD BF'!$AM$11+'TUSD CVA'!$AM$11)*1</f>
        <v>92.504793470158234</v>
      </c>
      <c r="AA86" s="6"/>
      <c r="AB86" s="6">
        <f>$K$86*$V$86</f>
        <v>169069.64</v>
      </c>
      <c r="AC86" s="6">
        <f>$M$86*$W$86</f>
        <v>0</v>
      </c>
      <c r="AD86" s="6">
        <f>$O$86*$X$86</f>
        <v>0</v>
      </c>
      <c r="AE86" s="6">
        <f ca="1">$K$86*$Y$86</f>
        <v>193829.75140881003</v>
      </c>
      <c r="AF86" s="6">
        <f ca="1">$M$86*$Z$86</f>
        <v>0</v>
      </c>
      <c r="AG86" s="6">
        <f>$O$86*$AA$86</f>
        <v>0</v>
      </c>
    </row>
    <row r="87" spans="1:33" ht="11.25" customHeight="1" x14ac:dyDescent="0.25">
      <c r="A87" s="4" t="s">
        <v>21</v>
      </c>
      <c r="B87" s="4" t="s">
        <v>35</v>
      </c>
      <c r="C87" s="4" t="s">
        <v>36</v>
      </c>
      <c r="D87" s="4" t="s">
        <v>34</v>
      </c>
      <c r="E87" s="4" t="s">
        <v>25</v>
      </c>
      <c r="F87" s="4" t="s">
        <v>55</v>
      </c>
      <c r="G87" s="4" t="s">
        <v>25</v>
      </c>
      <c r="H87" s="4" t="s">
        <v>37</v>
      </c>
      <c r="I87" s="5">
        <v>44409</v>
      </c>
      <c r="J87" s="6">
        <v>7647</v>
      </c>
      <c r="K87" s="6">
        <v>3823.5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54</v>
      </c>
      <c r="R87" s="4">
        <v>0</v>
      </c>
      <c r="S87" s="6">
        <v>3</v>
      </c>
      <c r="T87" s="6">
        <v>0</v>
      </c>
      <c r="U87" s="6">
        <v>0</v>
      </c>
      <c r="V87" s="6">
        <f>IF(ISERROR(VLOOKUP($S$87,'TAR FIN'!$A$1:$O$93,15,0)),0,VLOOKUP($S$87,'TAR FIN'!$A$1:$O$93,15,0))</f>
        <v>43.88</v>
      </c>
      <c r="W87" s="6">
        <f>IF(ISERROR(VLOOKUP($T$87,'TAR FIN'!$A$1:$O$93,15,0)),0,VLOOKUP($T$87,'TAR FIN'!$A$1:$O$93,15,0))</f>
        <v>0</v>
      </c>
      <c r="X87" s="6">
        <f>IF(ISERROR(VLOOKUP($U$87,'TAR FIN'!$A$1:$O$93,15,0)),0,VLOOKUP($U$87,'TAR FIN'!$A$1:$O$93,15,0))</f>
        <v>0</v>
      </c>
      <c r="Y87" s="6">
        <f ca="1">('TUSD BE'!$AM$9+'TUSD BF'!$AM$9+'TUSD CVA'!$AM$9)*1</f>
        <v>50.306190347472103</v>
      </c>
      <c r="Z87" s="6">
        <f ca="1">('TUSD BE'!$AM$11+'TUSD BF'!$AM$11+'TUSD CVA'!$AM$11)*1</f>
        <v>92.504793470158234</v>
      </c>
      <c r="AA87" s="6"/>
      <c r="AB87" s="6">
        <f>$K$87*$V$87</f>
        <v>167775.18000000002</v>
      </c>
      <c r="AC87" s="6">
        <f>$M$87*$W$87</f>
        <v>0</v>
      </c>
      <c r="AD87" s="6">
        <f>$O$87*$X$87</f>
        <v>0</v>
      </c>
      <c r="AE87" s="6">
        <f ca="1">$K$87*$Y$87</f>
        <v>192345.71879355959</v>
      </c>
      <c r="AF87" s="6">
        <f ca="1">$M$87*$Z$87</f>
        <v>0</v>
      </c>
      <c r="AG87" s="6">
        <f>$O$87*$AA$87</f>
        <v>0</v>
      </c>
    </row>
    <row r="88" spans="1:33" ht="11.25" customHeight="1" x14ac:dyDescent="0.25">
      <c r="A88" s="4" t="s">
        <v>21</v>
      </c>
      <c r="B88" s="4" t="s">
        <v>35</v>
      </c>
      <c r="C88" s="4" t="s">
        <v>36</v>
      </c>
      <c r="D88" s="4" t="s">
        <v>34</v>
      </c>
      <c r="E88" s="4" t="s">
        <v>25</v>
      </c>
      <c r="F88" s="4" t="s">
        <v>55</v>
      </c>
      <c r="G88" s="4" t="s">
        <v>25</v>
      </c>
      <c r="H88" s="4" t="s">
        <v>37</v>
      </c>
      <c r="I88" s="5">
        <v>44440</v>
      </c>
      <c r="J88" s="6">
        <v>7653</v>
      </c>
      <c r="K88" s="6">
        <v>3826.5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54</v>
      </c>
      <c r="R88" s="4">
        <v>0</v>
      </c>
      <c r="S88" s="6">
        <v>3</v>
      </c>
      <c r="T88" s="6">
        <v>0</v>
      </c>
      <c r="U88" s="6">
        <v>0</v>
      </c>
      <c r="V88" s="6">
        <f>IF(ISERROR(VLOOKUP($S$88,'TAR FIN'!$A$1:$O$93,15,0)),0,VLOOKUP($S$88,'TAR FIN'!$A$1:$O$93,15,0))</f>
        <v>43.88</v>
      </c>
      <c r="W88" s="6">
        <f>IF(ISERROR(VLOOKUP($T$88,'TAR FIN'!$A$1:$O$93,15,0)),0,VLOOKUP($T$88,'TAR FIN'!$A$1:$O$93,15,0))</f>
        <v>0</v>
      </c>
      <c r="X88" s="6">
        <f>IF(ISERROR(VLOOKUP($U$88,'TAR FIN'!$A$1:$O$93,15,0)),0,VLOOKUP($U$88,'TAR FIN'!$A$1:$O$93,15,0))</f>
        <v>0</v>
      </c>
      <c r="Y88" s="6">
        <f ca="1">('TUSD BE'!$AM$9+'TUSD BF'!$AM$9+'TUSD CVA'!$AM$9)*1</f>
        <v>50.306190347472103</v>
      </c>
      <c r="Z88" s="6">
        <f ca="1">('TUSD BE'!$AM$11+'TUSD BF'!$AM$11+'TUSD CVA'!$AM$11)*1</f>
        <v>92.504793470158234</v>
      </c>
      <c r="AA88" s="6"/>
      <c r="AB88" s="6">
        <f>$K$88*$V$88</f>
        <v>167906.82</v>
      </c>
      <c r="AC88" s="6">
        <f>$M$88*$W$88</f>
        <v>0</v>
      </c>
      <c r="AD88" s="6">
        <f>$O$88*$X$88</f>
        <v>0</v>
      </c>
      <c r="AE88" s="6">
        <f ca="1">$K$88*$Y$88</f>
        <v>192496.63736460201</v>
      </c>
      <c r="AF88" s="6">
        <f ca="1">$M$88*$Z$88</f>
        <v>0</v>
      </c>
      <c r="AG88" s="6">
        <f>$O$88*$AA$88</f>
        <v>0</v>
      </c>
    </row>
    <row r="89" spans="1:33" ht="11.25" customHeight="1" x14ac:dyDescent="0.25">
      <c r="A89" s="4" t="s">
        <v>21</v>
      </c>
      <c r="B89" s="4" t="s">
        <v>35</v>
      </c>
      <c r="C89" s="4" t="s">
        <v>36</v>
      </c>
      <c r="D89" s="4" t="s">
        <v>34</v>
      </c>
      <c r="E89" s="4" t="s">
        <v>25</v>
      </c>
      <c r="F89" s="4" t="s">
        <v>55</v>
      </c>
      <c r="G89" s="4" t="s">
        <v>25</v>
      </c>
      <c r="H89" s="4" t="s">
        <v>37</v>
      </c>
      <c r="I89" s="5">
        <v>44470</v>
      </c>
      <c r="J89" s="6">
        <v>7932</v>
      </c>
      <c r="K89" s="6">
        <v>3966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54</v>
      </c>
      <c r="R89" s="4">
        <v>0</v>
      </c>
      <c r="S89" s="6">
        <v>3</v>
      </c>
      <c r="T89" s="6">
        <v>0</v>
      </c>
      <c r="U89" s="6">
        <v>0</v>
      </c>
      <c r="V89" s="6">
        <f>IF(ISERROR(VLOOKUP($S$89,'TAR FIN'!$A$1:$O$93,15,0)),0,VLOOKUP($S$89,'TAR FIN'!$A$1:$O$93,15,0))</f>
        <v>43.88</v>
      </c>
      <c r="W89" s="6">
        <f>IF(ISERROR(VLOOKUP($T$89,'TAR FIN'!$A$1:$O$93,15,0)),0,VLOOKUP($T$89,'TAR FIN'!$A$1:$O$93,15,0))</f>
        <v>0</v>
      </c>
      <c r="X89" s="6">
        <f>IF(ISERROR(VLOOKUP($U$89,'TAR FIN'!$A$1:$O$93,15,0)),0,VLOOKUP($U$89,'TAR FIN'!$A$1:$O$93,15,0))</f>
        <v>0</v>
      </c>
      <c r="Y89" s="6">
        <f ca="1">('TUSD BE'!$AM$9+'TUSD BF'!$AM$9+'TUSD CVA'!$AM$9)*1</f>
        <v>50.306190347472103</v>
      </c>
      <c r="Z89" s="6">
        <f ca="1">('TUSD BE'!$AM$11+'TUSD BF'!$AM$11+'TUSD CVA'!$AM$11)*1</f>
        <v>92.504793470158234</v>
      </c>
      <c r="AA89" s="6"/>
      <c r="AB89" s="6">
        <f>$K$89*$V$89</f>
        <v>174028.08000000002</v>
      </c>
      <c r="AC89" s="6">
        <f>$M$89*$W$89</f>
        <v>0</v>
      </c>
      <c r="AD89" s="6">
        <f>$O$89*$X$89</f>
        <v>0</v>
      </c>
      <c r="AE89" s="6">
        <f ca="1">$K$89*$Y$89</f>
        <v>199514.35091807437</v>
      </c>
      <c r="AF89" s="6">
        <f ca="1">$M$89*$Z$89</f>
        <v>0</v>
      </c>
      <c r="AG89" s="6">
        <f>$O$89*$AA$89</f>
        <v>0</v>
      </c>
    </row>
    <row r="90" spans="1:33" ht="11.25" customHeight="1" x14ac:dyDescent="0.25">
      <c r="A90" s="4" t="s">
        <v>21</v>
      </c>
      <c r="B90" s="4" t="s">
        <v>35</v>
      </c>
      <c r="C90" s="4" t="s">
        <v>36</v>
      </c>
      <c r="D90" s="4" t="s">
        <v>34</v>
      </c>
      <c r="E90" s="4" t="s">
        <v>25</v>
      </c>
      <c r="F90" s="4" t="s">
        <v>55</v>
      </c>
      <c r="G90" s="4" t="s">
        <v>25</v>
      </c>
      <c r="H90" s="4" t="s">
        <v>37</v>
      </c>
      <c r="I90" s="5">
        <v>44501</v>
      </c>
      <c r="J90" s="6">
        <v>7829</v>
      </c>
      <c r="K90" s="6">
        <v>3914.5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54</v>
      </c>
      <c r="R90" s="4">
        <v>0</v>
      </c>
      <c r="S90" s="6">
        <v>3</v>
      </c>
      <c r="T90" s="6">
        <v>0</v>
      </c>
      <c r="U90" s="6">
        <v>0</v>
      </c>
      <c r="V90" s="6">
        <f>IF(ISERROR(VLOOKUP($S$90,'TAR FIN'!$A$1:$O$93,15,0)),0,VLOOKUP($S$90,'TAR FIN'!$A$1:$O$93,15,0))</f>
        <v>43.88</v>
      </c>
      <c r="W90" s="6">
        <f>IF(ISERROR(VLOOKUP($T$90,'TAR FIN'!$A$1:$O$93,15,0)),0,VLOOKUP($T$90,'TAR FIN'!$A$1:$O$93,15,0))</f>
        <v>0</v>
      </c>
      <c r="X90" s="6">
        <f>IF(ISERROR(VLOOKUP($U$90,'TAR FIN'!$A$1:$O$93,15,0)),0,VLOOKUP($U$90,'TAR FIN'!$A$1:$O$93,15,0))</f>
        <v>0</v>
      </c>
      <c r="Y90" s="6">
        <f ca="1">('TUSD BE'!$AM$9+'TUSD BF'!$AM$9+'TUSD CVA'!$AM$9)*1</f>
        <v>50.306190347472103</v>
      </c>
      <c r="Z90" s="6">
        <f ca="1">('TUSD BE'!$AM$11+'TUSD BF'!$AM$11+'TUSD CVA'!$AM$11)*1</f>
        <v>92.504793470158234</v>
      </c>
      <c r="AA90" s="6"/>
      <c r="AB90" s="6">
        <f>$K$90*$V$90</f>
        <v>171768.26</v>
      </c>
      <c r="AC90" s="6">
        <f>$M$90*$W$90</f>
        <v>0</v>
      </c>
      <c r="AD90" s="6">
        <f>$O$90*$X$90</f>
        <v>0</v>
      </c>
      <c r="AE90" s="6">
        <f ca="1">$K$90*$Y$90</f>
        <v>196923.58211517954</v>
      </c>
      <c r="AF90" s="6">
        <f ca="1">$M$90*$Z$90</f>
        <v>0</v>
      </c>
      <c r="AG90" s="6">
        <f>$O$90*$AA$90</f>
        <v>0</v>
      </c>
    </row>
    <row r="91" spans="1:33" ht="11.25" customHeight="1" x14ac:dyDescent="0.25">
      <c r="A91" s="4" t="s">
        <v>65</v>
      </c>
      <c r="B91" s="4" t="s">
        <v>35</v>
      </c>
      <c r="C91" s="4" t="s">
        <v>36</v>
      </c>
      <c r="D91" s="4" t="s">
        <v>34</v>
      </c>
      <c r="E91" s="4" t="s">
        <v>25</v>
      </c>
      <c r="F91" s="4" t="s">
        <v>55</v>
      </c>
      <c r="G91" s="4" t="s">
        <v>25</v>
      </c>
      <c r="H91" s="4" t="s">
        <v>37</v>
      </c>
      <c r="I91" s="5">
        <v>44531</v>
      </c>
      <c r="J91" s="6">
        <v>7829</v>
      </c>
      <c r="K91" s="6">
        <v>3914.5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54</v>
      </c>
      <c r="R91" s="4">
        <v>0</v>
      </c>
      <c r="S91" s="6">
        <v>3</v>
      </c>
      <c r="T91" s="6">
        <v>0</v>
      </c>
      <c r="U91" s="6">
        <v>0</v>
      </c>
      <c r="V91" s="6">
        <f>IF(ISERROR(VLOOKUP($S$91,'TAR FIN'!$A$1:$O$93,15,0)),0,VLOOKUP($S$91,'TAR FIN'!$A$1:$O$93,15,0))</f>
        <v>43.88</v>
      </c>
      <c r="W91" s="6">
        <f>IF(ISERROR(VLOOKUP($T$91,'TAR FIN'!$A$1:$O$93,15,0)),0,VLOOKUP($T$91,'TAR FIN'!$A$1:$O$93,15,0))</f>
        <v>0</v>
      </c>
      <c r="X91" s="6">
        <f>IF(ISERROR(VLOOKUP($U$91,'TAR FIN'!$A$1:$O$93,15,0)),0,VLOOKUP($U$91,'TAR FIN'!$A$1:$O$93,15,0))</f>
        <v>0</v>
      </c>
      <c r="Y91" s="6">
        <f ca="1">('TUSD BE'!$AM$9+'TUSD BF'!$AM$9+'TUSD CVA'!$AM$9)*1</f>
        <v>50.306190347472103</v>
      </c>
      <c r="Z91" s="6">
        <f ca="1">('TUSD BE'!$AM$11+'TUSD BF'!$AM$11+'TUSD CVA'!$AM$11)*1</f>
        <v>92.504793470158234</v>
      </c>
      <c r="AA91" s="6"/>
      <c r="AB91" s="6">
        <f>$K$91*$V$91</f>
        <v>171768.26</v>
      </c>
      <c r="AC91" s="6">
        <f>$M$91*$W$91</f>
        <v>0</v>
      </c>
      <c r="AD91" s="6">
        <f>$O$91*$X$91</f>
        <v>0</v>
      </c>
      <c r="AE91" s="6">
        <f ca="1">$K$91*$Y$91</f>
        <v>196923.58211517954</v>
      </c>
      <c r="AF91" s="6">
        <f ca="1">$M$91*$Z$91</f>
        <v>0</v>
      </c>
      <c r="AG91" s="6">
        <f>$O$91*$AA$91</f>
        <v>0</v>
      </c>
    </row>
    <row r="92" spans="1:33" ht="11.25" customHeight="1" x14ac:dyDescent="0.25">
      <c r="A92" s="4" t="s">
        <v>21</v>
      </c>
      <c r="B92" s="4" t="s">
        <v>35</v>
      </c>
      <c r="C92" s="4" t="s">
        <v>36</v>
      </c>
      <c r="D92" s="4" t="s">
        <v>34</v>
      </c>
      <c r="E92" s="4" t="s">
        <v>25</v>
      </c>
      <c r="F92" s="4" t="s">
        <v>55</v>
      </c>
      <c r="G92" s="4" t="s">
        <v>25</v>
      </c>
      <c r="H92" s="4" t="s">
        <v>37</v>
      </c>
      <c r="I92" s="5">
        <v>44562</v>
      </c>
      <c r="J92" s="6">
        <v>7757</v>
      </c>
      <c r="K92" s="6">
        <v>3878.5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54</v>
      </c>
      <c r="R92" s="4">
        <v>0</v>
      </c>
      <c r="S92" s="6">
        <v>3</v>
      </c>
      <c r="T92" s="6">
        <v>0</v>
      </c>
      <c r="U92" s="6">
        <v>0</v>
      </c>
      <c r="V92" s="6">
        <f>IF(ISERROR(VLOOKUP($S$92,'TAR FIN'!$A$1:$O$93,15,0)),0,VLOOKUP($S$92,'TAR FIN'!$A$1:$O$93,15,0))</f>
        <v>43.88</v>
      </c>
      <c r="W92" s="6">
        <f>IF(ISERROR(VLOOKUP($T$92,'TAR FIN'!$A$1:$O$93,15,0)),0,VLOOKUP($T$92,'TAR FIN'!$A$1:$O$93,15,0))</f>
        <v>0</v>
      </c>
      <c r="X92" s="6">
        <f>IF(ISERROR(VLOOKUP($U$92,'TAR FIN'!$A$1:$O$93,15,0)),0,VLOOKUP($U$92,'TAR FIN'!$A$1:$O$93,15,0))</f>
        <v>0</v>
      </c>
      <c r="Y92" s="6">
        <f ca="1">('TUSD BE'!$AM$9+'TUSD BF'!$AM$9+'TUSD CVA'!$AM$9)*1</f>
        <v>50.306190347472103</v>
      </c>
      <c r="Z92" s="6">
        <f ca="1">('TUSD BE'!$AM$11+'TUSD BF'!$AM$11+'TUSD CVA'!$AM$11)*1</f>
        <v>92.504793470158234</v>
      </c>
      <c r="AA92" s="6"/>
      <c r="AB92" s="6">
        <f>$K$92*$V$92</f>
        <v>170188.58000000002</v>
      </c>
      <c r="AC92" s="6">
        <f>$M$92*$W$92</f>
        <v>0</v>
      </c>
      <c r="AD92" s="6">
        <f>$O$92*$X$92</f>
        <v>0</v>
      </c>
      <c r="AE92" s="6">
        <f ca="1">$K$92*$Y$92</f>
        <v>195112.55926267055</v>
      </c>
      <c r="AF92" s="6">
        <f ca="1">$M$92*$Z$92</f>
        <v>0</v>
      </c>
      <c r="AG92" s="6">
        <f>$O$92*$AA$92</f>
        <v>0</v>
      </c>
    </row>
    <row r="93" spans="1:33" ht="11.25" customHeight="1" x14ac:dyDescent="0.25">
      <c r="A93" s="4" t="s">
        <v>21</v>
      </c>
      <c r="B93" s="4" t="s">
        <v>35</v>
      </c>
      <c r="C93" s="4" t="s">
        <v>36</v>
      </c>
      <c r="D93" s="4" t="s">
        <v>34</v>
      </c>
      <c r="E93" s="4" t="s">
        <v>25</v>
      </c>
      <c r="F93" s="4" t="s">
        <v>55</v>
      </c>
      <c r="G93" s="4" t="s">
        <v>25</v>
      </c>
      <c r="H93" s="4" t="s">
        <v>37</v>
      </c>
      <c r="I93" s="5">
        <v>44593</v>
      </c>
      <c r="J93" s="6">
        <v>8174</v>
      </c>
      <c r="K93" s="6">
        <v>4087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54</v>
      </c>
      <c r="R93" s="4">
        <v>0</v>
      </c>
      <c r="S93" s="6">
        <v>3</v>
      </c>
      <c r="T93" s="6">
        <v>0</v>
      </c>
      <c r="U93" s="6">
        <v>0</v>
      </c>
      <c r="V93" s="6">
        <f>IF(ISERROR(VLOOKUP($S$93,'TAR FIN'!$A$1:$O$93,15,0)),0,VLOOKUP($S$93,'TAR FIN'!$A$1:$O$93,15,0))</f>
        <v>43.88</v>
      </c>
      <c r="W93" s="6">
        <f>IF(ISERROR(VLOOKUP($T$93,'TAR FIN'!$A$1:$O$93,15,0)),0,VLOOKUP($T$93,'TAR FIN'!$A$1:$O$93,15,0))</f>
        <v>0</v>
      </c>
      <c r="X93" s="6">
        <f>IF(ISERROR(VLOOKUP($U$93,'TAR FIN'!$A$1:$O$93,15,0)),0,VLOOKUP($U$93,'TAR FIN'!$A$1:$O$93,15,0))</f>
        <v>0</v>
      </c>
      <c r="Y93" s="6">
        <f ca="1">('TUSD BE'!$AM$9+'TUSD BF'!$AM$9+'TUSD CVA'!$AM$9)*1</f>
        <v>50.306190347472103</v>
      </c>
      <c r="Z93" s="6">
        <f ca="1">('TUSD BE'!$AM$11+'TUSD BF'!$AM$11+'TUSD CVA'!$AM$11)*1</f>
        <v>92.504793470158234</v>
      </c>
      <c r="AA93" s="6"/>
      <c r="AB93" s="6">
        <f>$K$93*$V$93</f>
        <v>179337.56</v>
      </c>
      <c r="AC93" s="6">
        <f>$M$93*$W$93</f>
        <v>0</v>
      </c>
      <c r="AD93" s="6">
        <f>$O$93*$X$93</f>
        <v>0</v>
      </c>
      <c r="AE93" s="6">
        <f ca="1">$K$93*$Y$93</f>
        <v>205601.39995011847</v>
      </c>
      <c r="AF93" s="6">
        <f ca="1">$M$93*$Z$93</f>
        <v>0</v>
      </c>
      <c r="AG93" s="6">
        <f>$O$93*$AA$93</f>
        <v>0</v>
      </c>
    </row>
    <row r="94" spans="1:33" ht="11.25" customHeight="1" x14ac:dyDescent="0.25">
      <c r="A94" s="4" t="s">
        <v>21</v>
      </c>
      <c r="B94" s="4" t="s">
        <v>35</v>
      </c>
      <c r="C94" s="4" t="s">
        <v>36</v>
      </c>
      <c r="D94" s="4" t="s">
        <v>34</v>
      </c>
      <c r="E94" s="4" t="s">
        <v>25</v>
      </c>
      <c r="F94" s="4" t="s">
        <v>55</v>
      </c>
      <c r="G94" s="4" t="s">
        <v>25</v>
      </c>
      <c r="H94" s="4" t="s">
        <v>37</v>
      </c>
      <c r="I94" s="5">
        <v>44621</v>
      </c>
      <c r="J94" s="6">
        <v>8100</v>
      </c>
      <c r="K94" s="6">
        <v>4050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54</v>
      </c>
      <c r="R94" s="4">
        <v>0</v>
      </c>
      <c r="S94" s="6">
        <v>3</v>
      </c>
      <c r="T94" s="6">
        <v>0</v>
      </c>
      <c r="U94" s="6">
        <v>0</v>
      </c>
      <c r="V94" s="6">
        <f>IF(ISERROR(VLOOKUP($S$94,'TAR FIN'!$A$1:$O$93,15,0)),0,VLOOKUP($S$94,'TAR FIN'!$A$1:$O$93,15,0))</f>
        <v>43.88</v>
      </c>
      <c r="W94" s="6">
        <f>IF(ISERROR(VLOOKUP($T$94,'TAR FIN'!$A$1:$O$93,15,0)),0,VLOOKUP($T$94,'TAR FIN'!$A$1:$O$93,15,0))</f>
        <v>0</v>
      </c>
      <c r="X94" s="6">
        <f>IF(ISERROR(VLOOKUP($U$94,'TAR FIN'!$A$1:$O$93,15,0)),0,VLOOKUP($U$94,'TAR FIN'!$A$1:$O$93,15,0))</f>
        <v>0</v>
      </c>
      <c r="Y94" s="6">
        <f ca="1">('TUSD BE'!$AM$9+'TUSD BF'!$AM$9+'TUSD CVA'!$AM$9)*1</f>
        <v>50.306190347472103</v>
      </c>
      <c r="Z94" s="6">
        <f ca="1">('TUSD BE'!$AM$11+'TUSD BF'!$AM$11+'TUSD CVA'!$AM$11)*1</f>
        <v>92.504793470158234</v>
      </c>
      <c r="AA94" s="6"/>
      <c r="AB94" s="6">
        <f>$K$94*$V$94</f>
        <v>177714</v>
      </c>
      <c r="AC94" s="6">
        <f>$M$94*$W$94</f>
        <v>0</v>
      </c>
      <c r="AD94" s="6">
        <f>$O$94*$X$94</f>
        <v>0</v>
      </c>
      <c r="AE94" s="6">
        <f ca="1">$K$94*$Y$94</f>
        <v>203740.07090726201</v>
      </c>
      <c r="AF94" s="6">
        <f ca="1">$M$94*$Z$94</f>
        <v>0</v>
      </c>
      <c r="AG94" s="6">
        <f>$O$94*$AA$94</f>
        <v>0</v>
      </c>
    </row>
    <row r="95" spans="1:33" ht="11.25" customHeight="1" x14ac:dyDescent="0.25">
      <c r="A95" s="4" t="s">
        <v>65</v>
      </c>
      <c r="B95" s="4" t="s">
        <v>35</v>
      </c>
      <c r="C95" s="4" t="s">
        <v>36</v>
      </c>
      <c r="D95" s="4" t="s">
        <v>34</v>
      </c>
      <c r="E95" s="4" t="s">
        <v>25</v>
      </c>
      <c r="F95" s="4" t="s">
        <v>55</v>
      </c>
      <c r="G95" s="4" t="s">
        <v>25</v>
      </c>
      <c r="H95" s="4" t="s">
        <v>37</v>
      </c>
      <c r="I95" s="5">
        <v>44652</v>
      </c>
      <c r="J95" s="6">
        <v>8100</v>
      </c>
      <c r="K95" s="6">
        <v>4050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54</v>
      </c>
      <c r="R95" s="4">
        <v>0</v>
      </c>
      <c r="S95" s="6">
        <v>3</v>
      </c>
      <c r="T95" s="6">
        <v>0</v>
      </c>
      <c r="U95" s="6">
        <v>0</v>
      </c>
      <c r="V95" s="6">
        <f>IF(ISERROR(VLOOKUP($S$95,'TAR FIN'!$A$1:$O$93,15,0)),0,VLOOKUP($S$95,'TAR FIN'!$A$1:$O$93,15,0))</f>
        <v>43.88</v>
      </c>
      <c r="W95" s="6">
        <f>IF(ISERROR(VLOOKUP($T$95,'TAR FIN'!$A$1:$O$93,15,0)),0,VLOOKUP($T$95,'TAR FIN'!$A$1:$O$93,15,0))</f>
        <v>0</v>
      </c>
      <c r="X95" s="6">
        <f>IF(ISERROR(VLOOKUP($U$95,'TAR FIN'!$A$1:$O$93,15,0)),0,VLOOKUP($U$95,'TAR FIN'!$A$1:$O$93,15,0))</f>
        <v>0</v>
      </c>
      <c r="Y95" s="6">
        <f ca="1">('TUSD BE'!$AM$9+'TUSD BF'!$AM$9+'TUSD CVA'!$AM$9)*1</f>
        <v>50.306190347472103</v>
      </c>
      <c r="Z95" s="6">
        <f ca="1">('TUSD BE'!$AM$11+'TUSD BF'!$AM$11+'TUSD CVA'!$AM$11)*1</f>
        <v>92.504793470158234</v>
      </c>
      <c r="AA95" s="6"/>
      <c r="AB95" s="6">
        <f>$K$95*$V$95</f>
        <v>177714</v>
      </c>
      <c r="AC95" s="6">
        <f>$M$95*$W$95</f>
        <v>0</v>
      </c>
      <c r="AD95" s="6">
        <f>$O$95*$X$95</f>
        <v>0</v>
      </c>
      <c r="AE95" s="6">
        <f ca="1">$K$95*$Y$95</f>
        <v>203740.07090726201</v>
      </c>
      <c r="AF95" s="6">
        <f ca="1">$M$95*$Z$95</f>
        <v>0</v>
      </c>
      <c r="AG95" s="6">
        <f>$O$95*$AA$95</f>
        <v>0</v>
      </c>
    </row>
    <row r="96" spans="1:33" ht="11.25" customHeight="1" x14ac:dyDescent="0.25">
      <c r="A96" s="4" t="s">
        <v>21</v>
      </c>
      <c r="B96" s="4" t="s">
        <v>35</v>
      </c>
      <c r="C96" s="4" t="s">
        <v>36</v>
      </c>
      <c r="D96" s="4" t="s">
        <v>34</v>
      </c>
      <c r="E96" s="4" t="s">
        <v>25</v>
      </c>
      <c r="F96" s="4" t="s">
        <v>55</v>
      </c>
      <c r="G96" s="4" t="s">
        <v>25</v>
      </c>
      <c r="H96" s="4" t="s">
        <v>37</v>
      </c>
      <c r="I96" s="5">
        <v>44682</v>
      </c>
      <c r="J96" s="6">
        <v>10059</v>
      </c>
      <c r="K96" s="6">
        <v>5029.5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54</v>
      </c>
      <c r="R96" s="4">
        <v>0</v>
      </c>
      <c r="S96" s="6">
        <v>3</v>
      </c>
      <c r="T96" s="6">
        <v>0</v>
      </c>
      <c r="U96" s="6">
        <v>0</v>
      </c>
      <c r="V96" s="6">
        <f>IF(ISERROR(VLOOKUP($S$96,'TAR FIN'!$A$1:$O$93,15,0)),0,VLOOKUP($S$96,'TAR FIN'!$A$1:$O$93,15,0))</f>
        <v>43.88</v>
      </c>
      <c r="W96" s="6">
        <f>IF(ISERROR(VLOOKUP($T$96,'TAR FIN'!$A$1:$O$93,15,0)),0,VLOOKUP($T$96,'TAR FIN'!$A$1:$O$93,15,0))</f>
        <v>0</v>
      </c>
      <c r="X96" s="6">
        <f>IF(ISERROR(VLOOKUP($U$96,'TAR FIN'!$A$1:$O$93,15,0)),0,VLOOKUP($U$96,'TAR FIN'!$A$1:$O$93,15,0))</f>
        <v>0</v>
      </c>
      <c r="Y96" s="6">
        <f ca="1">('TUSD BE'!$AM$9+'TUSD BF'!$AM$9+'TUSD CVA'!$AM$9)*1</f>
        <v>50.306190347472103</v>
      </c>
      <c r="Z96" s="6">
        <f ca="1">('TUSD BE'!$AM$11+'TUSD BF'!$AM$11+'TUSD CVA'!$AM$11)*1</f>
        <v>92.504793470158234</v>
      </c>
      <c r="AA96" s="6"/>
      <c r="AB96" s="6">
        <f>$K$96*$V$96</f>
        <v>220694.46000000002</v>
      </c>
      <c r="AC96" s="6">
        <f>$M$96*$W$96</f>
        <v>0</v>
      </c>
      <c r="AD96" s="6">
        <f>$O$96*$X$96</f>
        <v>0</v>
      </c>
      <c r="AE96" s="6">
        <f ca="1">$K$96*$Y$96</f>
        <v>253014.98435261095</v>
      </c>
      <c r="AF96" s="6">
        <f ca="1">$M$96*$Z$96</f>
        <v>0</v>
      </c>
      <c r="AG96" s="6">
        <f>$O$96*$AA$96</f>
        <v>0</v>
      </c>
    </row>
    <row r="97" spans="1:33" ht="11.25" customHeight="1" x14ac:dyDescent="0.25">
      <c r="A97" s="4" t="s">
        <v>21</v>
      </c>
      <c r="B97" s="4" t="s">
        <v>35</v>
      </c>
      <c r="C97" s="4" t="s">
        <v>36</v>
      </c>
      <c r="D97" s="4" t="s">
        <v>34</v>
      </c>
      <c r="E97" s="4" t="s">
        <v>25</v>
      </c>
      <c r="F97" s="4" t="s">
        <v>55</v>
      </c>
      <c r="G97" s="4" t="s">
        <v>25</v>
      </c>
      <c r="H97" s="4" t="s">
        <v>37</v>
      </c>
      <c r="I97" s="5">
        <v>44713</v>
      </c>
      <c r="J97" s="6">
        <v>10386</v>
      </c>
      <c r="K97" s="6">
        <v>5193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54</v>
      </c>
      <c r="R97" s="4">
        <v>0</v>
      </c>
      <c r="S97" s="6">
        <v>3</v>
      </c>
      <c r="T97" s="6">
        <v>0</v>
      </c>
      <c r="U97" s="6">
        <v>0</v>
      </c>
      <c r="V97" s="6">
        <f>IF(ISERROR(VLOOKUP($S$97,'TAR FIN'!$A$1:$O$93,15,0)),0,VLOOKUP($S$97,'TAR FIN'!$A$1:$O$93,15,0))</f>
        <v>43.88</v>
      </c>
      <c r="W97" s="6">
        <f>IF(ISERROR(VLOOKUP($T$97,'TAR FIN'!$A$1:$O$93,15,0)),0,VLOOKUP($T$97,'TAR FIN'!$A$1:$O$93,15,0))</f>
        <v>0</v>
      </c>
      <c r="X97" s="6">
        <f>IF(ISERROR(VLOOKUP($U$97,'TAR FIN'!$A$1:$O$93,15,0)),0,VLOOKUP($U$97,'TAR FIN'!$A$1:$O$93,15,0))</f>
        <v>0</v>
      </c>
      <c r="Y97" s="6">
        <f ca="1">('TUSD BE'!$AM$9+'TUSD BF'!$AM$9+'TUSD CVA'!$AM$9)*1</f>
        <v>50.306190347472103</v>
      </c>
      <c r="Z97" s="6">
        <f ca="1">('TUSD BE'!$AM$11+'TUSD BF'!$AM$11+'TUSD CVA'!$AM$11)*1</f>
        <v>92.504793470158234</v>
      </c>
      <c r="AA97" s="6"/>
      <c r="AB97" s="6">
        <f>$K$97*$V$97</f>
        <v>227868.84000000003</v>
      </c>
      <c r="AC97" s="6">
        <f>$M$97*$W$97</f>
        <v>0</v>
      </c>
      <c r="AD97" s="6">
        <f>$O$97*$X$97</f>
        <v>0</v>
      </c>
      <c r="AE97" s="6">
        <f ca="1">$K$97*$Y$97</f>
        <v>261240.04647442262</v>
      </c>
      <c r="AF97" s="6">
        <f ca="1">$M$97*$Z$97</f>
        <v>0</v>
      </c>
      <c r="AG97" s="6">
        <f>$O$97*$AA$97</f>
        <v>0</v>
      </c>
    </row>
    <row r="98" spans="1:33" ht="11.25" customHeight="1" x14ac:dyDescent="0.25">
      <c r="A98" s="4" t="s">
        <v>21</v>
      </c>
      <c r="B98" s="4" t="s">
        <v>35</v>
      </c>
      <c r="C98" s="4" t="s">
        <v>36</v>
      </c>
      <c r="D98" s="4" t="s">
        <v>34</v>
      </c>
      <c r="E98" s="4" t="s">
        <v>25</v>
      </c>
      <c r="F98" s="4" t="s">
        <v>25</v>
      </c>
      <c r="G98" s="4" t="s">
        <v>25</v>
      </c>
      <c r="H98" s="4" t="s">
        <v>38</v>
      </c>
      <c r="I98" s="5">
        <v>44378</v>
      </c>
      <c r="J98" s="6">
        <v>2538</v>
      </c>
      <c r="K98" s="6">
        <v>2538</v>
      </c>
      <c r="L98" s="6">
        <v>1155.9059999999999</v>
      </c>
      <c r="M98" s="6">
        <v>1155.9059999999999</v>
      </c>
      <c r="N98" s="6">
        <v>1155.9059999999999</v>
      </c>
      <c r="O98" s="6">
        <v>1155.9059999999999</v>
      </c>
      <c r="P98" s="6">
        <v>0</v>
      </c>
      <c r="Q98" s="4" t="s">
        <v>26</v>
      </c>
      <c r="R98" s="4">
        <v>0</v>
      </c>
      <c r="S98" s="6">
        <v>8</v>
      </c>
      <c r="T98" s="6">
        <v>9</v>
      </c>
      <c r="U98" s="6">
        <v>59</v>
      </c>
      <c r="V98" s="6">
        <f>IF(ISERROR(VLOOKUP($S$98,'TAR FIN'!$A$1:$O$93,15,0)),0,VLOOKUP($S$98,'TAR FIN'!$A$1:$O$93,15,0))</f>
        <v>26.17</v>
      </c>
      <c r="W98" s="6">
        <f>IF(ISERROR(VLOOKUP($T$98,'TAR FIN'!$A$1:$O$93,15,0)),0,VLOOKUP($T$98,'TAR FIN'!$A$1:$O$93,15,0))</f>
        <v>69.489999999999995</v>
      </c>
      <c r="X98" s="6">
        <f>IF(ISERROR(VLOOKUP($U$98,'TAR FIN'!$A$1:$O$93,15,0)),0,VLOOKUP($U$98,'TAR FIN'!$A$1:$O$93,15,0))</f>
        <v>185.18</v>
      </c>
      <c r="Y98" s="6">
        <f ca="1">('TUSD BE'!$AM$10+'TUSD BF'!$AM$10+'TUSD CVA'!$AM$10)*1</f>
        <v>30.453482365333407</v>
      </c>
      <c r="Z98" s="6">
        <f ca="1">('TUSD BE'!$AM$11+'TUSD BF'!$AM$11+'TUSD CVA'!$AM$11)*1</f>
        <v>92.504793470158234</v>
      </c>
      <c r="AA98" s="6">
        <f>('TE BE'!$AB$8+'TE BF'!$AB$8+'TE CVA'!$AB$8)*1</f>
        <v>198.18194779658231</v>
      </c>
      <c r="AB98" s="6">
        <f>$K$98*$V$98</f>
        <v>66419.460000000006</v>
      </c>
      <c r="AC98" s="6">
        <f>$M$98*$W$98</f>
        <v>80323.90793999999</v>
      </c>
      <c r="AD98" s="6">
        <f>$O$98*$X$98</f>
        <v>214050.67308000001</v>
      </c>
      <c r="AE98" s="6">
        <f ca="1">$K$98*$Y$98</f>
        <v>77290.938243216195</v>
      </c>
      <c r="AF98" s="6">
        <f ca="1">$M$98*$Z$98</f>
        <v>106926.84580091672</v>
      </c>
      <c r="AG98" s="6">
        <f>$O$98*$AA$98</f>
        <v>229079.70254975627</v>
      </c>
    </row>
    <row r="99" spans="1:33" ht="11.25" customHeight="1" x14ac:dyDescent="0.25">
      <c r="A99" s="4" t="s">
        <v>21</v>
      </c>
      <c r="B99" s="4" t="s">
        <v>35</v>
      </c>
      <c r="C99" s="4" t="s">
        <v>36</v>
      </c>
      <c r="D99" s="4" t="s">
        <v>34</v>
      </c>
      <c r="E99" s="4" t="s">
        <v>25</v>
      </c>
      <c r="F99" s="4" t="s">
        <v>25</v>
      </c>
      <c r="G99" s="4" t="s">
        <v>25</v>
      </c>
      <c r="H99" s="4" t="s">
        <v>38</v>
      </c>
      <c r="I99" s="5">
        <v>44409</v>
      </c>
      <c r="J99" s="6">
        <v>2560</v>
      </c>
      <c r="K99" s="6">
        <v>2560</v>
      </c>
      <c r="L99" s="6">
        <v>1219.3900000000001</v>
      </c>
      <c r="M99" s="6">
        <v>1219.3900000000001</v>
      </c>
      <c r="N99" s="6">
        <v>1219.3900000000001</v>
      </c>
      <c r="O99" s="6">
        <v>1219.3900000000001</v>
      </c>
      <c r="P99" s="6">
        <v>0</v>
      </c>
      <c r="Q99" s="4" t="s">
        <v>26</v>
      </c>
      <c r="R99" s="4">
        <v>0</v>
      </c>
      <c r="S99" s="6">
        <v>8</v>
      </c>
      <c r="T99" s="6">
        <v>9</v>
      </c>
      <c r="U99" s="6">
        <v>59</v>
      </c>
      <c r="V99" s="6">
        <f>IF(ISERROR(VLOOKUP($S$99,'TAR FIN'!$A$1:$O$93,15,0)),0,VLOOKUP($S$99,'TAR FIN'!$A$1:$O$93,15,0))</f>
        <v>26.17</v>
      </c>
      <c r="W99" s="6">
        <f>IF(ISERROR(VLOOKUP($T$99,'TAR FIN'!$A$1:$O$93,15,0)),0,VLOOKUP($T$99,'TAR FIN'!$A$1:$O$93,15,0))</f>
        <v>69.489999999999995</v>
      </c>
      <c r="X99" s="6">
        <f>IF(ISERROR(VLOOKUP($U$99,'TAR FIN'!$A$1:$O$93,15,0)),0,VLOOKUP($U$99,'TAR FIN'!$A$1:$O$93,15,0))</f>
        <v>185.18</v>
      </c>
      <c r="Y99" s="6">
        <f ca="1">('TUSD BE'!$AM$10+'TUSD BF'!$AM$10+'TUSD CVA'!$AM$10)*1</f>
        <v>30.453482365333407</v>
      </c>
      <c r="Z99" s="6">
        <f ca="1">('TUSD BE'!$AM$11+'TUSD BF'!$AM$11+'TUSD CVA'!$AM$11)*1</f>
        <v>92.504793470158234</v>
      </c>
      <c r="AA99" s="6">
        <f>('TE BE'!$AB$8+'TE BF'!$AB$8+'TE CVA'!$AB$8)*1</f>
        <v>198.18194779658231</v>
      </c>
      <c r="AB99" s="6">
        <f>$K$99*$V$99</f>
        <v>66995.200000000012</v>
      </c>
      <c r="AC99" s="6">
        <f>$M$99*$W$99</f>
        <v>84735.411099999998</v>
      </c>
      <c r="AD99" s="6">
        <f>$O$99*$X$99</f>
        <v>225806.64020000002</v>
      </c>
      <c r="AE99" s="6">
        <f ca="1">$K$99*$Y$99</f>
        <v>77960.914855253519</v>
      </c>
      <c r="AF99" s="6">
        <f ca="1">$M$99*$Z$99</f>
        <v>112799.42010957625</v>
      </c>
      <c r="AG99" s="6">
        <f>$O$99*$AA$99</f>
        <v>241661.08532367452</v>
      </c>
    </row>
    <row r="100" spans="1:33" ht="11.25" customHeight="1" x14ac:dyDescent="0.25">
      <c r="A100" s="4" t="s">
        <v>21</v>
      </c>
      <c r="B100" s="4" t="s">
        <v>35</v>
      </c>
      <c r="C100" s="4" t="s">
        <v>36</v>
      </c>
      <c r="D100" s="4" t="s">
        <v>34</v>
      </c>
      <c r="E100" s="4" t="s">
        <v>25</v>
      </c>
      <c r="F100" s="4" t="s">
        <v>25</v>
      </c>
      <c r="G100" s="4" t="s">
        <v>25</v>
      </c>
      <c r="H100" s="4" t="s">
        <v>38</v>
      </c>
      <c r="I100" s="5">
        <v>44440</v>
      </c>
      <c r="J100" s="6">
        <v>7635</v>
      </c>
      <c r="K100" s="6">
        <v>7635</v>
      </c>
      <c r="L100" s="6">
        <v>3603.8339999999998</v>
      </c>
      <c r="M100" s="6">
        <v>3603.8339999999998</v>
      </c>
      <c r="N100" s="6">
        <v>3603.8339999999998</v>
      </c>
      <c r="O100" s="6">
        <v>3603.8339999999998</v>
      </c>
      <c r="P100" s="6">
        <v>0</v>
      </c>
      <c r="Q100" s="4" t="s">
        <v>26</v>
      </c>
      <c r="R100" s="4">
        <v>0</v>
      </c>
      <c r="S100" s="6">
        <v>8</v>
      </c>
      <c r="T100" s="6">
        <v>9</v>
      </c>
      <c r="U100" s="6">
        <v>59</v>
      </c>
      <c r="V100" s="6">
        <f>IF(ISERROR(VLOOKUP($S$100,'TAR FIN'!$A$1:$O$93,15,0)),0,VLOOKUP($S$100,'TAR FIN'!$A$1:$O$93,15,0))</f>
        <v>26.17</v>
      </c>
      <c r="W100" s="6">
        <f>IF(ISERROR(VLOOKUP($T$100,'TAR FIN'!$A$1:$O$93,15,0)),0,VLOOKUP($T$100,'TAR FIN'!$A$1:$O$93,15,0))</f>
        <v>69.489999999999995</v>
      </c>
      <c r="X100" s="6">
        <f>IF(ISERROR(VLOOKUP($U$100,'TAR FIN'!$A$1:$O$93,15,0)),0,VLOOKUP($U$100,'TAR FIN'!$A$1:$O$93,15,0))</f>
        <v>185.18</v>
      </c>
      <c r="Y100" s="6">
        <f ca="1">('TUSD BE'!$AM$10+'TUSD BF'!$AM$10+'TUSD CVA'!$AM$10)*1</f>
        <v>30.453482365333407</v>
      </c>
      <c r="Z100" s="6">
        <f ca="1">('TUSD BE'!$AM$11+'TUSD BF'!$AM$11+'TUSD CVA'!$AM$11)*1</f>
        <v>92.504793470158234</v>
      </c>
      <c r="AA100" s="6">
        <f>('TE BE'!$AB$8+'TE BF'!$AB$8+'TE CVA'!$AB$8)*1</f>
        <v>198.18194779658231</v>
      </c>
      <c r="AB100" s="6">
        <f>$K$100*$V$100</f>
        <v>199807.95</v>
      </c>
      <c r="AC100" s="6">
        <f>$M$100*$W$100</f>
        <v>250430.42465999996</v>
      </c>
      <c r="AD100" s="6">
        <f>$O$100*$X$100</f>
        <v>667357.98011999996</v>
      </c>
      <c r="AE100" s="6">
        <f ca="1">$K$100*$Y$100</f>
        <v>232512.33785932057</v>
      </c>
      <c r="AF100" s="6">
        <f ca="1">$M$100*$Z$100</f>
        <v>333371.91987073421</v>
      </c>
      <c r="AG100" s="6">
        <f>$O$100*$AA$100</f>
        <v>714214.84165554831</v>
      </c>
    </row>
    <row r="101" spans="1:33" ht="11.25" customHeight="1" x14ac:dyDescent="0.25">
      <c r="A101" s="4" t="s">
        <v>27</v>
      </c>
      <c r="B101" s="4" t="s">
        <v>35</v>
      </c>
      <c r="C101" s="4" t="s">
        <v>36</v>
      </c>
      <c r="D101" s="4" t="s">
        <v>34</v>
      </c>
      <c r="E101" s="4" t="s">
        <v>25</v>
      </c>
      <c r="F101" s="4" t="s">
        <v>25</v>
      </c>
      <c r="G101" s="4" t="s">
        <v>25</v>
      </c>
      <c r="H101" s="4" t="s">
        <v>38</v>
      </c>
      <c r="I101" s="5">
        <v>44440</v>
      </c>
      <c r="J101" s="6">
        <v>-5090</v>
      </c>
      <c r="K101" s="6">
        <v>-5090</v>
      </c>
      <c r="L101" s="6">
        <v>-2402.556</v>
      </c>
      <c r="M101" s="6">
        <v>-2402.556</v>
      </c>
      <c r="N101" s="6">
        <v>-2402.556</v>
      </c>
      <c r="O101" s="6">
        <v>-2402.556</v>
      </c>
      <c r="P101" s="6">
        <v>0</v>
      </c>
      <c r="Q101" s="4" t="s">
        <v>26</v>
      </c>
      <c r="R101" s="4">
        <v>0</v>
      </c>
      <c r="S101" s="6">
        <v>8</v>
      </c>
      <c r="T101" s="6">
        <v>9</v>
      </c>
      <c r="U101" s="6">
        <v>59</v>
      </c>
      <c r="V101" s="6">
        <f>IF(ISERROR(VLOOKUP($S$101,'TAR FIN'!$A$1:$O$93,15,0)),0,VLOOKUP($S$101,'TAR FIN'!$A$1:$O$93,15,0))</f>
        <v>26.17</v>
      </c>
      <c r="W101" s="6">
        <f>IF(ISERROR(VLOOKUP($T$101,'TAR FIN'!$A$1:$O$93,15,0)),0,VLOOKUP($T$101,'TAR FIN'!$A$1:$O$93,15,0))</f>
        <v>69.489999999999995</v>
      </c>
      <c r="X101" s="6">
        <f>IF(ISERROR(VLOOKUP($U$101,'TAR FIN'!$A$1:$O$93,15,0)),0,VLOOKUP($U$101,'TAR FIN'!$A$1:$O$93,15,0))</f>
        <v>185.18</v>
      </c>
      <c r="Y101" s="6">
        <f ca="1">('TUSD BE'!$AM$10+'TUSD BF'!$AM$10+'TUSD CVA'!$AM$10)*1</f>
        <v>30.453482365333407</v>
      </c>
      <c r="Z101" s="6">
        <f ca="1">('TUSD BE'!$AM$11+'TUSD BF'!$AM$11+'TUSD CVA'!$AM$11)*1</f>
        <v>92.504793470158234</v>
      </c>
      <c r="AA101" s="6">
        <f>('TE BE'!$AB$8+'TE BF'!$AB$8+'TE CVA'!$AB$8)*1</f>
        <v>198.18194779658231</v>
      </c>
      <c r="AB101" s="6">
        <f>$K$101*$V$101</f>
        <v>-133205.30000000002</v>
      </c>
      <c r="AC101" s="6">
        <f>$M$101*$W$101</f>
        <v>-166953.61643999998</v>
      </c>
      <c r="AD101" s="6">
        <f>$O$101*$X$101</f>
        <v>-444905.32008000003</v>
      </c>
      <c r="AE101" s="6">
        <f ca="1">$K$101*$Y$101</f>
        <v>-155008.22523954706</v>
      </c>
      <c r="AF101" s="6">
        <f ca="1">$M$101*$Z$101</f>
        <v>-222247.94658048949</v>
      </c>
      <c r="AG101" s="6">
        <f>$O$101*$AA$101</f>
        <v>-476143.2277703656</v>
      </c>
    </row>
    <row r="102" spans="1:33" ht="11.25" customHeight="1" x14ac:dyDescent="0.25">
      <c r="A102" s="4" t="s">
        <v>21</v>
      </c>
      <c r="B102" s="4" t="s">
        <v>35</v>
      </c>
      <c r="C102" s="4" t="s">
        <v>36</v>
      </c>
      <c r="D102" s="4" t="s">
        <v>34</v>
      </c>
      <c r="E102" s="4" t="s">
        <v>25</v>
      </c>
      <c r="F102" s="4" t="s">
        <v>25</v>
      </c>
      <c r="G102" s="4" t="s">
        <v>25</v>
      </c>
      <c r="H102" s="4" t="s">
        <v>38</v>
      </c>
      <c r="I102" s="5">
        <v>44470</v>
      </c>
      <c r="J102" s="6">
        <v>5082</v>
      </c>
      <c r="K102" s="6">
        <v>5082</v>
      </c>
      <c r="L102" s="6">
        <v>2376.4299999999998</v>
      </c>
      <c r="M102" s="6">
        <v>2376.4299999999998</v>
      </c>
      <c r="N102" s="6">
        <v>2376.4299999999998</v>
      </c>
      <c r="O102" s="6">
        <v>2376.4299999999998</v>
      </c>
      <c r="P102" s="6">
        <v>0</v>
      </c>
      <c r="Q102" s="4" t="s">
        <v>26</v>
      </c>
      <c r="R102" s="4">
        <v>0</v>
      </c>
      <c r="S102" s="6">
        <v>8</v>
      </c>
      <c r="T102" s="6">
        <v>9</v>
      </c>
      <c r="U102" s="6">
        <v>59</v>
      </c>
      <c r="V102" s="6">
        <f>IF(ISERROR(VLOOKUP($S$102,'TAR FIN'!$A$1:$O$93,15,0)),0,VLOOKUP($S$102,'TAR FIN'!$A$1:$O$93,15,0))</f>
        <v>26.17</v>
      </c>
      <c r="W102" s="6">
        <f>IF(ISERROR(VLOOKUP($T$102,'TAR FIN'!$A$1:$O$93,15,0)),0,VLOOKUP($T$102,'TAR FIN'!$A$1:$O$93,15,0))</f>
        <v>69.489999999999995</v>
      </c>
      <c r="X102" s="6">
        <f>IF(ISERROR(VLOOKUP($U$102,'TAR FIN'!$A$1:$O$93,15,0)),0,VLOOKUP($U$102,'TAR FIN'!$A$1:$O$93,15,0))</f>
        <v>185.18</v>
      </c>
      <c r="Y102" s="6">
        <f ca="1">('TUSD BE'!$AM$10+'TUSD BF'!$AM$10+'TUSD CVA'!$AM$10)*1</f>
        <v>30.453482365333407</v>
      </c>
      <c r="Z102" s="6">
        <f ca="1">('TUSD BE'!$AM$11+'TUSD BF'!$AM$11+'TUSD CVA'!$AM$11)*1</f>
        <v>92.504793470158234</v>
      </c>
      <c r="AA102" s="6">
        <f>('TE BE'!$AB$8+'TE BF'!$AB$8+'TE CVA'!$AB$8)*1</f>
        <v>198.18194779658231</v>
      </c>
      <c r="AB102" s="6">
        <f>$K$102*$V$102</f>
        <v>132995.94</v>
      </c>
      <c r="AC102" s="6">
        <f>$M$102*$W$102</f>
        <v>165138.12069999997</v>
      </c>
      <c r="AD102" s="6">
        <f>$O$102*$X$102</f>
        <v>440067.30739999999</v>
      </c>
      <c r="AE102" s="6">
        <f ca="1">$K$102*$Y$102</f>
        <v>154764.59738062439</v>
      </c>
      <c r="AF102" s="6">
        <f ca="1">$M$102*$Z$102</f>
        <v>219831.16634628811</v>
      </c>
      <c r="AG102" s="6">
        <f>$O$102*$AA$102</f>
        <v>470965.52620223205</v>
      </c>
    </row>
    <row r="103" spans="1:33" ht="11.25" customHeight="1" x14ac:dyDescent="0.25">
      <c r="A103" s="4" t="s">
        <v>27</v>
      </c>
      <c r="B103" s="4" t="s">
        <v>35</v>
      </c>
      <c r="C103" s="4" t="s">
        <v>36</v>
      </c>
      <c r="D103" s="4" t="s">
        <v>34</v>
      </c>
      <c r="E103" s="4" t="s">
        <v>25</v>
      </c>
      <c r="F103" s="4" t="s">
        <v>25</v>
      </c>
      <c r="G103" s="4" t="s">
        <v>25</v>
      </c>
      <c r="H103" s="4" t="s">
        <v>38</v>
      </c>
      <c r="I103" s="5">
        <v>44470</v>
      </c>
      <c r="J103" s="6">
        <v>-2560</v>
      </c>
      <c r="K103" s="6">
        <v>-2560</v>
      </c>
      <c r="L103" s="6">
        <v>-1219.3900000000001</v>
      </c>
      <c r="M103" s="6">
        <v>-1219.3900000000001</v>
      </c>
      <c r="N103" s="6">
        <v>-1219.3900000000001</v>
      </c>
      <c r="O103" s="6">
        <v>-1219.3900000000001</v>
      </c>
      <c r="P103" s="6">
        <v>0</v>
      </c>
      <c r="Q103" s="4" t="s">
        <v>26</v>
      </c>
      <c r="R103" s="4">
        <v>0</v>
      </c>
      <c r="S103" s="6">
        <v>8</v>
      </c>
      <c r="T103" s="6">
        <v>9</v>
      </c>
      <c r="U103" s="6">
        <v>59</v>
      </c>
      <c r="V103" s="6">
        <f>IF(ISERROR(VLOOKUP($S$103,'TAR FIN'!$A$1:$O$93,15,0)),0,VLOOKUP($S$103,'TAR FIN'!$A$1:$O$93,15,0))</f>
        <v>26.17</v>
      </c>
      <c r="W103" s="6">
        <f>IF(ISERROR(VLOOKUP($T$103,'TAR FIN'!$A$1:$O$93,15,0)),0,VLOOKUP($T$103,'TAR FIN'!$A$1:$O$93,15,0))</f>
        <v>69.489999999999995</v>
      </c>
      <c r="X103" s="6">
        <f>IF(ISERROR(VLOOKUP($U$103,'TAR FIN'!$A$1:$O$93,15,0)),0,VLOOKUP($U$103,'TAR FIN'!$A$1:$O$93,15,0))</f>
        <v>185.18</v>
      </c>
      <c r="Y103" s="6">
        <f ca="1">('TUSD BE'!$AM$10+'TUSD BF'!$AM$10+'TUSD CVA'!$AM$10)*1</f>
        <v>30.453482365333407</v>
      </c>
      <c r="Z103" s="6">
        <f ca="1">('TUSD BE'!$AM$11+'TUSD BF'!$AM$11+'TUSD CVA'!$AM$11)*1</f>
        <v>92.504793470158234</v>
      </c>
      <c r="AA103" s="6">
        <f>('TE BE'!$AB$8+'TE BF'!$AB$8+'TE CVA'!$AB$8)*1</f>
        <v>198.18194779658231</v>
      </c>
      <c r="AB103" s="6">
        <f>$K$103*$V$103</f>
        <v>-66995.200000000012</v>
      </c>
      <c r="AC103" s="6">
        <f>$M$103*$W$103</f>
        <v>-84735.411099999998</v>
      </c>
      <c r="AD103" s="6">
        <f>$O$103*$X$103</f>
        <v>-225806.64020000002</v>
      </c>
      <c r="AE103" s="6">
        <f ca="1">$K$103*$Y$103</f>
        <v>-77960.914855253519</v>
      </c>
      <c r="AF103" s="6">
        <f ca="1">$M$103*$Z$103</f>
        <v>-112799.42010957625</v>
      </c>
      <c r="AG103" s="6">
        <f>$O$103*$AA$103</f>
        <v>-241661.08532367452</v>
      </c>
    </row>
    <row r="104" spans="1:33" ht="11.25" customHeight="1" x14ac:dyDescent="0.25">
      <c r="A104" s="4" t="s">
        <v>21</v>
      </c>
      <c r="B104" s="4" t="s">
        <v>35</v>
      </c>
      <c r="C104" s="4" t="s">
        <v>36</v>
      </c>
      <c r="D104" s="4" t="s">
        <v>34</v>
      </c>
      <c r="E104" s="4" t="s">
        <v>25</v>
      </c>
      <c r="F104" s="4" t="s">
        <v>25</v>
      </c>
      <c r="G104" s="4" t="s">
        <v>25</v>
      </c>
      <c r="H104" s="4" t="s">
        <v>38</v>
      </c>
      <c r="I104" s="5">
        <v>44501</v>
      </c>
      <c r="J104" s="6">
        <v>6621</v>
      </c>
      <c r="K104" s="6">
        <v>6621</v>
      </c>
      <c r="L104" s="6">
        <v>2907.9580000000001</v>
      </c>
      <c r="M104" s="6">
        <v>2907.9580000000001</v>
      </c>
      <c r="N104" s="6">
        <v>2907.9580000000001</v>
      </c>
      <c r="O104" s="6">
        <v>2907.9580000000001</v>
      </c>
      <c r="P104" s="6">
        <v>0</v>
      </c>
      <c r="Q104" s="4" t="s">
        <v>26</v>
      </c>
      <c r="R104" s="4">
        <v>0</v>
      </c>
      <c r="S104" s="6">
        <v>8</v>
      </c>
      <c r="T104" s="6">
        <v>9</v>
      </c>
      <c r="U104" s="6">
        <v>59</v>
      </c>
      <c r="V104" s="6">
        <f>IF(ISERROR(VLOOKUP($S$104,'TAR FIN'!$A$1:$O$93,15,0)),0,VLOOKUP($S$104,'TAR FIN'!$A$1:$O$93,15,0))</f>
        <v>26.17</v>
      </c>
      <c r="W104" s="6">
        <f>IF(ISERROR(VLOOKUP($T$104,'TAR FIN'!$A$1:$O$93,15,0)),0,VLOOKUP($T$104,'TAR FIN'!$A$1:$O$93,15,0))</f>
        <v>69.489999999999995</v>
      </c>
      <c r="X104" s="6">
        <f>IF(ISERROR(VLOOKUP($U$104,'TAR FIN'!$A$1:$O$93,15,0)),0,VLOOKUP($U$104,'TAR FIN'!$A$1:$O$93,15,0))</f>
        <v>185.18</v>
      </c>
      <c r="Y104" s="6">
        <f ca="1">('TUSD BE'!$AM$10+'TUSD BF'!$AM$10+'TUSD CVA'!$AM$10)*1</f>
        <v>30.453482365333407</v>
      </c>
      <c r="Z104" s="6">
        <f ca="1">('TUSD BE'!$AM$11+'TUSD BF'!$AM$11+'TUSD CVA'!$AM$11)*1</f>
        <v>92.504793470158234</v>
      </c>
      <c r="AA104" s="6">
        <f>('TE BE'!$AB$8+'TE BF'!$AB$8+'TE CVA'!$AB$8)*1</f>
        <v>198.18194779658231</v>
      </c>
      <c r="AB104" s="6">
        <f>$K$104*$V$104</f>
        <v>173271.57</v>
      </c>
      <c r="AC104" s="6">
        <f>$M$104*$W$104</f>
        <v>202074.00141999999</v>
      </c>
      <c r="AD104" s="6">
        <f>$O$104*$X$104</f>
        <v>538495.66243999999</v>
      </c>
      <c r="AE104" s="6">
        <f ca="1">$K$104*$Y$104</f>
        <v>201632.50674087249</v>
      </c>
      <c r="AF104" s="6">
        <f ca="1">$M$104*$Z$104</f>
        <v>269000.05420989438</v>
      </c>
      <c r="AG104" s="6">
        <f>$O$104*$AA$104</f>
        <v>576304.78055065393</v>
      </c>
    </row>
    <row r="105" spans="1:33" ht="11.25" customHeight="1" x14ac:dyDescent="0.25">
      <c r="A105" s="4" t="s">
        <v>21</v>
      </c>
      <c r="B105" s="4" t="s">
        <v>35</v>
      </c>
      <c r="C105" s="4" t="s">
        <v>36</v>
      </c>
      <c r="D105" s="4" t="s">
        <v>34</v>
      </c>
      <c r="E105" s="4" t="s">
        <v>25</v>
      </c>
      <c r="F105" s="4" t="s">
        <v>25</v>
      </c>
      <c r="G105" s="4" t="s">
        <v>25</v>
      </c>
      <c r="H105" s="4" t="s">
        <v>38</v>
      </c>
      <c r="I105" s="5">
        <v>44531</v>
      </c>
      <c r="J105" s="6">
        <v>6755</v>
      </c>
      <c r="K105" s="6">
        <v>6755</v>
      </c>
      <c r="L105" s="6">
        <v>2871.7730000000001</v>
      </c>
      <c r="M105" s="6">
        <v>2871.7730000000001</v>
      </c>
      <c r="N105" s="6">
        <v>2871.7730000000001</v>
      </c>
      <c r="O105" s="6">
        <v>2871.7730000000001</v>
      </c>
      <c r="P105" s="6">
        <v>0</v>
      </c>
      <c r="Q105" s="4" t="s">
        <v>26</v>
      </c>
      <c r="R105" s="4">
        <v>0</v>
      </c>
      <c r="S105" s="6">
        <v>8</v>
      </c>
      <c r="T105" s="6">
        <v>9</v>
      </c>
      <c r="U105" s="6">
        <v>59</v>
      </c>
      <c r="V105" s="6">
        <f>IF(ISERROR(VLOOKUP($S$105,'TAR FIN'!$A$1:$O$93,15,0)),0,VLOOKUP($S$105,'TAR FIN'!$A$1:$O$93,15,0))</f>
        <v>26.17</v>
      </c>
      <c r="W105" s="6">
        <f>IF(ISERROR(VLOOKUP($T$105,'TAR FIN'!$A$1:$O$93,15,0)),0,VLOOKUP($T$105,'TAR FIN'!$A$1:$O$93,15,0))</f>
        <v>69.489999999999995</v>
      </c>
      <c r="X105" s="6">
        <f>IF(ISERROR(VLOOKUP($U$105,'TAR FIN'!$A$1:$O$93,15,0)),0,VLOOKUP($U$105,'TAR FIN'!$A$1:$O$93,15,0))</f>
        <v>185.18</v>
      </c>
      <c r="Y105" s="6">
        <f ca="1">('TUSD BE'!$AM$10+'TUSD BF'!$AM$10+'TUSD CVA'!$AM$10)*1</f>
        <v>30.453482365333407</v>
      </c>
      <c r="Z105" s="6">
        <f ca="1">('TUSD BE'!$AM$11+'TUSD BF'!$AM$11+'TUSD CVA'!$AM$11)*1</f>
        <v>92.504793470158234</v>
      </c>
      <c r="AA105" s="6">
        <f>('TE BE'!$AB$8+'TE BF'!$AB$8+'TE CVA'!$AB$8)*1</f>
        <v>198.18194779658231</v>
      </c>
      <c r="AB105" s="6">
        <f>$K$105*$V$105</f>
        <v>176778.35</v>
      </c>
      <c r="AC105" s="6">
        <f>$M$105*$W$105</f>
        <v>199559.50576999999</v>
      </c>
      <c r="AD105" s="6">
        <f>$O$105*$X$105</f>
        <v>531794.92414000002</v>
      </c>
      <c r="AE105" s="6">
        <f ca="1">$K$105*$Y$105</f>
        <v>205713.27337782716</v>
      </c>
      <c r="AF105" s="6">
        <f ca="1">$M$105*$Z$105</f>
        <v>265652.76825817674</v>
      </c>
      <c r="AG105" s="6">
        <f>$O$105*$AA$105</f>
        <v>569133.56676963461</v>
      </c>
    </row>
    <row r="106" spans="1:33" ht="11.25" customHeight="1" x14ac:dyDescent="0.25">
      <c r="A106" s="4" t="s">
        <v>21</v>
      </c>
      <c r="B106" s="4" t="s">
        <v>35</v>
      </c>
      <c r="C106" s="4" t="s">
        <v>36</v>
      </c>
      <c r="D106" s="4" t="s">
        <v>34</v>
      </c>
      <c r="E106" s="4" t="s">
        <v>25</v>
      </c>
      <c r="F106" s="4" t="s">
        <v>25</v>
      </c>
      <c r="G106" s="4" t="s">
        <v>25</v>
      </c>
      <c r="H106" s="4" t="s">
        <v>38</v>
      </c>
      <c r="I106" s="5">
        <v>44562</v>
      </c>
      <c r="J106" s="6">
        <v>6829</v>
      </c>
      <c r="K106" s="6">
        <v>6829</v>
      </c>
      <c r="L106" s="6">
        <v>2547.1999999999998</v>
      </c>
      <c r="M106" s="6">
        <v>2547.1999999999998</v>
      </c>
      <c r="N106" s="6">
        <v>2547.1999999999998</v>
      </c>
      <c r="O106" s="6">
        <v>2547.1999999999998</v>
      </c>
      <c r="P106" s="6">
        <v>0</v>
      </c>
      <c r="Q106" s="4" t="s">
        <v>26</v>
      </c>
      <c r="R106" s="4">
        <v>0</v>
      </c>
      <c r="S106" s="6">
        <v>8</v>
      </c>
      <c r="T106" s="6">
        <v>9</v>
      </c>
      <c r="U106" s="6">
        <v>59</v>
      </c>
      <c r="V106" s="6">
        <f>IF(ISERROR(VLOOKUP($S$106,'TAR FIN'!$A$1:$O$93,15,0)),0,VLOOKUP($S$106,'TAR FIN'!$A$1:$O$93,15,0))</f>
        <v>26.17</v>
      </c>
      <c r="W106" s="6">
        <f>IF(ISERROR(VLOOKUP($T$106,'TAR FIN'!$A$1:$O$93,15,0)),0,VLOOKUP($T$106,'TAR FIN'!$A$1:$O$93,15,0))</f>
        <v>69.489999999999995</v>
      </c>
      <c r="X106" s="6">
        <f>IF(ISERROR(VLOOKUP($U$106,'TAR FIN'!$A$1:$O$93,15,0)),0,VLOOKUP($U$106,'TAR FIN'!$A$1:$O$93,15,0))</f>
        <v>185.18</v>
      </c>
      <c r="Y106" s="6">
        <f ca="1">('TUSD BE'!$AM$10+'TUSD BF'!$AM$10+'TUSD CVA'!$AM$10)*1</f>
        <v>30.453482365333407</v>
      </c>
      <c r="Z106" s="6">
        <f ca="1">('TUSD BE'!$AM$11+'TUSD BF'!$AM$11+'TUSD CVA'!$AM$11)*1</f>
        <v>92.504793470158234</v>
      </c>
      <c r="AA106" s="6">
        <f>('TE BE'!$AB$8+'TE BF'!$AB$8+'TE CVA'!$AB$8)*1</f>
        <v>198.18194779658231</v>
      </c>
      <c r="AB106" s="6">
        <f>$K$106*$V$106</f>
        <v>178714.93000000002</v>
      </c>
      <c r="AC106" s="6">
        <f>$M$106*$W$106</f>
        <v>177004.92799999999</v>
      </c>
      <c r="AD106" s="6">
        <f>$O$106*$X$106</f>
        <v>471690.49599999998</v>
      </c>
      <c r="AE106" s="6">
        <f ca="1">$K$106*$Y$106</f>
        <v>207966.83107286185</v>
      </c>
      <c r="AF106" s="6">
        <f ca="1">$M$106*$Z$106</f>
        <v>235628.20992718704</v>
      </c>
      <c r="AG106" s="6">
        <f>$O$106*$AA$106</f>
        <v>504809.05742745439</v>
      </c>
    </row>
    <row r="107" spans="1:33" ht="11.25" customHeight="1" x14ac:dyDescent="0.25">
      <c r="A107" s="4" t="s">
        <v>21</v>
      </c>
      <c r="B107" s="4" t="s">
        <v>35</v>
      </c>
      <c r="C107" s="4" t="s">
        <v>36</v>
      </c>
      <c r="D107" s="4" t="s">
        <v>34</v>
      </c>
      <c r="E107" s="4" t="s">
        <v>25</v>
      </c>
      <c r="F107" s="4" t="s">
        <v>25</v>
      </c>
      <c r="G107" s="4" t="s">
        <v>25</v>
      </c>
      <c r="H107" s="4" t="s">
        <v>38</v>
      </c>
      <c r="I107" s="5">
        <v>44593</v>
      </c>
      <c r="J107" s="6">
        <v>6727</v>
      </c>
      <c r="K107" s="6">
        <v>6727</v>
      </c>
      <c r="L107" s="6">
        <v>2583.0309999999999</v>
      </c>
      <c r="M107" s="6">
        <v>2583.0309999999999</v>
      </c>
      <c r="N107" s="6">
        <v>2583.0309999999999</v>
      </c>
      <c r="O107" s="6">
        <v>2583.0309999999999</v>
      </c>
      <c r="P107" s="6">
        <v>0</v>
      </c>
      <c r="Q107" s="4" t="s">
        <v>26</v>
      </c>
      <c r="R107" s="4">
        <v>0</v>
      </c>
      <c r="S107" s="6">
        <v>8</v>
      </c>
      <c r="T107" s="6">
        <v>9</v>
      </c>
      <c r="U107" s="6">
        <v>59</v>
      </c>
      <c r="V107" s="6">
        <f>IF(ISERROR(VLOOKUP($S$107,'TAR FIN'!$A$1:$O$93,15,0)),0,VLOOKUP($S$107,'TAR FIN'!$A$1:$O$93,15,0))</f>
        <v>26.17</v>
      </c>
      <c r="W107" s="6">
        <f>IF(ISERROR(VLOOKUP($T$107,'TAR FIN'!$A$1:$O$93,15,0)),0,VLOOKUP($T$107,'TAR FIN'!$A$1:$O$93,15,0))</f>
        <v>69.489999999999995</v>
      </c>
      <c r="X107" s="6">
        <f>IF(ISERROR(VLOOKUP($U$107,'TAR FIN'!$A$1:$O$93,15,0)),0,VLOOKUP($U$107,'TAR FIN'!$A$1:$O$93,15,0))</f>
        <v>185.18</v>
      </c>
      <c r="Y107" s="6">
        <f ca="1">('TUSD BE'!$AM$10+'TUSD BF'!$AM$10+'TUSD CVA'!$AM$10)*1</f>
        <v>30.453482365333407</v>
      </c>
      <c r="Z107" s="6">
        <f ca="1">('TUSD BE'!$AM$11+'TUSD BF'!$AM$11+'TUSD CVA'!$AM$11)*1</f>
        <v>92.504793470158234</v>
      </c>
      <c r="AA107" s="6">
        <f>('TE BE'!$AB$8+'TE BF'!$AB$8+'TE CVA'!$AB$8)*1</f>
        <v>198.18194779658231</v>
      </c>
      <c r="AB107" s="6">
        <f>$K$107*$V$107</f>
        <v>176045.59000000003</v>
      </c>
      <c r="AC107" s="6">
        <f>$M$107*$W$107</f>
        <v>179494.82418999998</v>
      </c>
      <c r="AD107" s="6">
        <f>$O$107*$X$107</f>
        <v>478325.68057999999</v>
      </c>
      <c r="AE107" s="6">
        <f ca="1">$K$107*$Y$107</f>
        <v>204860.57587159783</v>
      </c>
      <c r="AF107" s="6">
        <f ca="1">$M$107*$Z$107</f>
        <v>238942.7491820163</v>
      </c>
      <c r="AG107" s="6">
        <f>$O$107*$AA$107</f>
        <v>511910.11479895376</v>
      </c>
    </row>
    <row r="108" spans="1:33" ht="11.25" customHeight="1" x14ac:dyDescent="0.25">
      <c r="A108" s="4" t="s">
        <v>21</v>
      </c>
      <c r="B108" s="4" t="s">
        <v>35</v>
      </c>
      <c r="C108" s="4" t="s">
        <v>36</v>
      </c>
      <c r="D108" s="4" t="s">
        <v>34</v>
      </c>
      <c r="E108" s="4" t="s">
        <v>25</v>
      </c>
      <c r="F108" s="4" t="s">
        <v>25</v>
      </c>
      <c r="G108" s="4" t="s">
        <v>25</v>
      </c>
      <c r="H108" s="4" t="s">
        <v>38</v>
      </c>
      <c r="I108" s="5">
        <v>44621</v>
      </c>
      <c r="J108" s="6">
        <v>6765</v>
      </c>
      <c r="K108" s="6">
        <v>6765</v>
      </c>
      <c r="L108" s="6">
        <v>2663.85</v>
      </c>
      <c r="M108" s="6">
        <v>2663.85</v>
      </c>
      <c r="N108" s="6">
        <v>2663.85</v>
      </c>
      <c r="O108" s="6">
        <v>2663.85</v>
      </c>
      <c r="P108" s="6">
        <v>0</v>
      </c>
      <c r="Q108" s="4" t="s">
        <v>26</v>
      </c>
      <c r="R108" s="4">
        <v>0</v>
      </c>
      <c r="S108" s="6">
        <v>8</v>
      </c>
      <c r="T108" s="6">
        <v>9</v>
      </c>
      <c r="U108" s="6">
        <v>59</v>
      </c>
      <c r="V108" s="6">
        <f>IF(ISERROR(VLOOKUP($S$108,'TAR FIN'!$A$1:$O$93,15,0)),0,VLOOKUP($S$108,'TAR FIN'!$A$1:$O$93,15,0))</f>
        <v>26.17</v>
      </c>
      <c r="W108" s="6">
        <f>IF(ISERROR(VLOOKUP($T$108,'TAR FIN'!$A$1:$O$93,15,0)),0,VLOOKUP($T$108,'TAR FIN'!$A$1:$O$93,15,0))</f>
        <v>69.489999999999995</v>
      </c>
      <c r="X108" s="6">
        <f>IF(ISERROR(VLOOKUP($U$108,'TAR FIN'!$A$1:$O$93,15,0)),0,VLOOKUP($U$108,'TAR FIN'!$A$1:$O$93,15,0))</f>
        <v>185.18</v>
      </c>
      <c r="Y108" s="6">
        <f ca="1">('TUSD BE'!$AM$10+'TUSD BF'!$AM$10+'TUSD CVA'!$AM$10)*1</f>
        <v>30.453482365333407</v>
      </c>
      <c r="Z108" s="6">
        <f ca="1">('TUSD BE'!$AM$11+'TUSD BF'!$AM$11+'TUSD CVA'!$AM$11)*1</f>
        <v>92.504793470158234</v>
      </c>
      <c r="AA108" s="6">
        <f>('TE BE'!$AB$8+'TE BF'!$AB$8+'TE CVA'!$AB$8)*1</f>
        <v>198.18194779658231</v>
      </c>
      <c r="AB108" s="6">
        <f>$K$108*$V$108</f>
        <v>177040.05000000002</v>
      </c>
      <c r="AC108" s="6">
        <f>$M$108*$W$108</f>
        <v>185110.93649999998</v>
      </c>
      <c r="AD108" s="6">
        <f>$O$108*$X$108</f>
        <v>493291.74300000002</v>
      </c>
      <c r="AE108" s="6">
        <f ca="1">$K$108*$Y$108</f>
        <v>206017.80820148051</v>
      </c>
      <c r="AF108" s="6">
        <f ca="1">$M$108*$Z$108</f>
        <v>246418.89408548101</v>
      </c>
      <c r="AG108" s="6">
        <f>$O$108*$AA$108</f>
        <v>527926.98163792572</v>
      </c>
    </row>
    <row r="109" spans="1:33" ht="11.25" customHeight="1" x14ac:dyDescent="0.25">
      <c r="A109" s="4" t="s">
        <v>21</v>
      </c>
      <c r="B109" s="4" t="s">
        <v>35</v>
      </c>
      <c r="C109" s="4" t="s">
        <v>36</v>
      </c>
      <c r="D109" s="4" t="s">
        <v>34</v>
      </c>
      <c r="E109" s="4" t="s">
        <v>25</v>
      </c>
      <c r="F109" s="4" t="s">
        <v>25</v>
      </c>
      <c r="G109" s="4" t="s">
        <v>25</v>
      </c>
      <c r="H109" s="4" t="s">
        <v>38</v>
      </c>
      <c r="I109" s="5">
        <v>44652</v>
      </c>
      <c r="J109" s="6">
        <v>6840</v>
      </c>
      <c r="K109" s="6">
        <v>6840</v>
      </c>
      <c r="L109" s="6">
        <v>3115.3029999999999</v>
      </c>
      <c r="M109" s="6">
        <v>3115.3029999999999</v>
      </c>
      <c r="N109" s="6">
        <v>3115.3029999999999</v>
      </c>
      <c r="O109" s="6">
        <v>3115.3029999999999</v>
      </c>
      <c r="P109" s="6">
        <v>0</v>
      </c>
      <c r="Q109" s="4" t="s">
        <v>26</v>
      </c>
      <c r="R109" s="4">
        <v>0</v>
      </c>
      <c r="S109" s="6">
        <v>8</v>
      </c>
      <c r="T109" s="6">
        <v>9</v>
      </c>
      <c r="U109" s="6">
        <v>59</v>
      </c>
      <c r="V109" s="6">
        <f>IF(ISERROR(VLOOKUP($S$109,'TAR FIN'!$A$1:$O$93,15,0)),0,VLOOKUP($S$109,'TAR FIN'!$A$1:$O$93,15,0))</f>
        <v>26.17</v>
      </c>
      <c r="W109" s="6">
        <f>IF(ISERROR(VLOOKUP($T$109,'TAR FIN'!$A$1:$O$93,15,0)),0,VLOOKUP($T$109,'TAR FIN'!$A$1:$O$93,15,0))</f>
        <v>69.489999999999995</v>
      </c>
      <c r="X109" s="6">
        <f>IF(ISERROR(VLOOKUP($U$109,'TAR FIN'!$A$1:$O$93,15,0)),0,VLOOKUP($U$109,'TAR FIN'!$A$1:$O$93,15,0))</f>
        <v>185.18</v>
      </c>
      <c r="Y109" s="6">
        <f ca="1">('TUSD BE'!$AM$10+'TUSD BF'!$AM$10+'TUSD CVA'!$AM$10)*1</f>
        <v>30.453482365333407</v>
      </c>
      <c r="Z109" s="6">
        <f ca="1">('TUSD BE'!$AM$11+'TUSD BF'!$AM$11+'TUSD CVA'!$AM$11)*1</f>
        <v>92.504793470158234</v>
      </c>
      <c r="AA109" s="6">
        <f>('TE BE'!$AB$8+'TE BF'!$AB$8+'TE CVA'!$AB$8)*1</f>
        <v>198.18194779658231</v>
      </c>
      <c r="AB109" s="6">
        <f>$K$109*$V$109</f>
        <v>179002.80000000002</v>
      </c>
      <c r="AC109" s="6">
        <f>$M$109*$W$109</f>
        <v>216482.40546999997</v>
      </c>
      <c r="AD109" s="6">
        <f>$O$109*$X$109</f>
        <v>576891.80954000005</v>
      </c>
      <c r="AE109" s="6">
        <f ca="1">$K$109*$Y$109</f>
        <v>208301.81937888049</v>
      </c>
      <c r="AF109" s="6">
        <f ca="1">$M$109*$Z$109</f>
        <v>288180.46061196434</v>
      </c>
      <c r="AG109" s="6">
        <f>$O$109*$AA$109</f>
        <v>617396.81651653617</v>
      </c>
    </row>
    <row r="110" spans="1:33" ht="11.25" customHeight="1" x14ac:dyDescent="0.25">
      <c r="A110" s="4" t="s">
        <v>21</v>
      </c>
      <c r="B110" s="4" t="s">
        <v>35</v>
      </c>
      <c r="C110" s="4" t="s">
        <v>36</v>
      </c>
      <c r="D110" s="4" t="s">
        <v>34</v>
      </c>
      <c r="E110" s="4" t="s">
        <v>25</v>
      </c>
      <c r="F110" s="4" t="s">
        <v>25</v>
      </c>
      <c r="G110" s="4" t="s">
        <v>25</v>
      </c>
      <c r="H110" s="4" t="s">
        <v>38</v>
      </c>
      <c r="I110" s="5">
        <v>44682</v>
      </c>
      <c r="J110" s="6">
        <v>4335</v>
      </c>
      <c r="K110" s="6">
        <v>4335</v>
      </c>
      <c r="L110" s="6">
        <v>1510.45</v>
      </c>
      <c r="M110" s="6">
        <v>1510.45</v>
      </c>
      <c r="N110" s="6">
        <v>1510.45</v>
      </c>
      <c r="O110" s="6">
        <v>1510.45</v>
      </c>
      <c r="P110" s="6">
        <v>0</v>
      </c>
      <c r="Q110" s="4" t="s">
        <v>26</v>
      </c>
      <c r="R110" s="4">
        <v>0</v>
      </c>
      <c r="S110" s="6">
        <v>8</v>
      </c>
      <c r="T110" s="6">
        <v>9</v>
      </c>
      <c r="U110" s="6">
        <v>59</v>
      </c>
      <c r="V110" s="6">
        <f>IF(ISERROR(VLOOKUP($S$110,'TAR FIN'!$A$1:$O$93,15,0)),0,VLOOKUP($S$110,'TAR FIN'!$A$1:$O$93,15,0))</f>
        <v>26.17</v>
      </c>
      <c r="W110" s="6">
        <f>IF(ISERROR(VLOOKUP($T$110,'TAR FIN'!$A$1:$O$93,15,0)),0,VLOOKUP($T$110,'TAR FIN'!$A$1:$O$93,15,0))</f>
        <v>69.489999999999995</v>
      </c>
      <c r="X110" s="6">
        <f>IF(ISERROR(VLOOKUP($U$110,'TAR FIN'!$A$1:$O$93,15,0)),0,VLOOKUP($U$110,'TAR FIN'!$A$1:$O$93,15,0))</f>
        <v>185.18</v>
      </c>
      <c r="Y110" s="6">
        <f ca="1">('TUSD BE'!$AM$10+'TUSD BF'!$AM$10+'TUSD CVA'!$AM$10)*1</f>
        <v>30.453482365333407</v>
      </c>
      <c r="Z110" s="6">
        <f ca="1">('TUSD BE'!$AM$11+'TUSD BF'!$AM$11+'TUSD CVA'!$AM$11)*1</f>
        <v>92.504793470158234</v>
      </c>
      <c r="AA110" s="6">
        <f>('TE BE'!$AB$8+'TE BF'!$AB$8+'TE CVA'!$AB$8)*1</f>
        <v>198.18194779658231</v>
      </c>
      <c r="AB110" s="6">
        <f>$K$110*$V$110</f>
        <v>113446.95000000001</v>
      </c>
      <c r="AC110" s="6">
        <f>$M$110*$W$110</f>
        <v>104961.17049999999</v>
      </c>
      <c r="AD110" s="6">
        <f>$O$110*$X$110</f>
        <v>279705.13099999999</v>
      </c>
      <c r="AE110" s="6">
        <f ca="1">$K$110*$Y$110</f>
        <v>132015.84605372031</v>
      </c>
      <c r="AF110" s="6">
        <f ca="1">$M$110*$Z$110</f>
        <v>139723.86529700051</v>
      </c>
      <c r="AG110" s="6">
        <f>$O$110*$AA$110</f>
        <v>299343.92304934777</v>
      </c>
    </row>
    <row r="111" spans="1:33" ht="11.25" customHeight="1" x14ac:dyDescent="0.25">
      <c r="A111" s="4" t="s">
        <v>21</v>
      </c>
      <c r="B111" s="4" t="s">
        <v>35</v>
      </c>
      <c r="C111" s="4" t="s">
        <v>36</v>
      </c>
      <c r="D111" s="4" t="s">
        <v>34</v>
      </c>
      <c r="E111" s="4" t="s">
        <v>25</v>
      </c>
      <c r="F111" s="4" t="s">
        <v>25</v>
      </c>
      <c r="G111" s="4" t="s">
        <v>25</v>
      </c>
      <c r="H111" s="4" t="s">
        <v>38</v>
      </c>
      <c r="I111" s="5">
        <v>44713</v>
      </c>
      <c r="J111" s="6">
        <v>4386</v>
      </c>
      <c r="K111" s="6">
        <v>4386</v>
      </c>
      <c r="L111" s="6">
        <v>1835.4749999999999</v>
      </c>
      <c r="M111" s="6">
        <v>1835.4749999999999</v>
      </c>
      <c r="N111" s="6">
        <v>1835.4749999999999</v>
      </c>
      <c r="O111" s="6">
        <v>1835.4749999999999</v>
      </c>
      <c r="P111" s="6">
        <v>0</v>
      </c>
      <c r="Q111" s="4" t="s">
        <v>26</v>
      </c>
      <c r="R111" s="4">
        <v>0</v>
      </c>
      <c r="S111" s="6">
        <v>8</v>
      </c>
      <c r="T111" s="6">
        <v>9</v>
      </c>
      <c r="U111" s="6">
        <v>59</v>
      </c>
      <c r="V111" s="6">
        <f>IF(ISERROR(VLOOKUP($S$111,'TAR FIN'!$A$1:$O$93,15,0)),0,VLOOKUP($S$111,'TAR FIN'!$A$1:$O$93,15,0))</f>
        <v>26.17</v>
      </c>
      <c r="W111" s="6">
        <f>IF(ISERROR(VLOOKUP($T$111,'TAR FIN'!$A$1:$O$93,15,0)),0,VLOOKUP($T$111,'TAR FIN'!$A$1:$O$93,15,0))</f>
        <v>69.489999999999995</v>
      </c>
      <c r="X111" s="6">
        <f>IF(ISERROR(VLOOKUP($U$111,'TAR FIN'!$A$1:$O$93,15,0)),0,VLOOKUP($U$111,'TAR FIN'!$A$1:$O$93,15,0))</f>
        <v>185.18</v>
      </c>
      <c r="Y111" s="6">
        <f ca="1">('TUSD BE'!$AM$10+'TUSD BF'!$AM$10+'TUSD CVA'!$AM$10)*1</f>
        <v>30.453482365333407</v>
      </c>
      <c r="Z111" s="6">
        <f ca="1">('TUSD BE'!$AM$11+'TUSD BF'!$AM$11+'TUSD CVA'!$AM$11)*1</f>
        <v>92.504793470158234</v>
      </c>
      <c r="AA111" s="6">
        <f>('TE BE'!$AB$8+'TE BF'!$AB$8+'TE CVA'!$AB$8)*1</f>
        <v>198.18194779658231</v>
      </c>
      <c r="AB111" s="6">
        <f>$K$111*$V$111</f>
        <v>114781.62000000001</v>
      </c>
      <c r="AC111" s="6">
        <f>$M$111*$W$111</f>
        <v>127547.15774999998</v>
      </c>
      <c r="AD111" s="6">
        <f>$O$111*$X$111</f>
        <v>339893.26049999997</v>
      </c>
      <c r="AE111" s="6">
        <f ca="1">$K$111*$Y$111</f>
        <v>133568.97365435233</v>
      </c>
      <c r="AF111" s="6">
        <f ca="1">$M$111*$Z$111</f>
        <v>169790.23579463866</v>
      </c>
      <c r="AG111" s="6">
        <f>$O$111*$AA$111</f>
        <v>363758.01063193189</v>
      </c>
    </row>
    <row r="112" spans="1:33" ht="11.25" customHeight="1" x14ac:dyDescent="0.25">
      <c r="A112" s="4" t="s">
        <v>21</v>
      </c>
      <c r="B112" s="4" t="s">
        <v>35</v>
      </c>
      <c r="C112" s="4" t="s">
        <v>36</v>
      </c>
      <c r="D112" s="4" t="s">
        <v>34</v>
      </c>
      <c r="E112" s="4" t="s">
        <v>25</v>
      </c>
      <c r="F112" s="4" t="s">
        <v>25</v>
      </c>
      <c r="G112" s="4" t="s">
        <v>25</v>
      </c>
      <c r="H112" s="4" t="s">
        <v>37</v>
      </c>
      <c r="I112" s="5">
        <v>44378</v>
      </c>
      <c r="J112" s="6">
        <v>1851</v>
      </c>
      <c r="K112" s="6">
        <v>1851</v>
      </c>
      <c r="L112" s="6">
        <v>104.256</v>
      </c>
      <c r="M112" s="6">
        <v>104.256</v>
      </c>
      <c r="N112" s="6">
        <v>104.256</v>
      </c>
      <c r="O112" s="6">
        <v>104.256</v>
      </c>
      <c r="P112" s="6">
        <v>0</v>
      </c>
      <c r="Q112" s="4" t="s">
        <v>26</v>
      </c>
      <c r="R112" s="4">
        <v>0</v>
      </c>
      <c r="S112" s="6">
        <v>3</v>
      </c>
      <c r="T112" s="6">
        <v>9</v>
      </c>
      <c r="U112" s="6">
        <v>66</v>
      </c>
      <c r="V112" s="6">
        <f>IF(ISERROR(VLOOKUP($S$112,'TAR FIN'!$A$1:$O$93,15,0)),0,VLOOKUP($S$112,'TAR FIN'!$A$1:$O$93,15,0))</f>
        <v>43.88</v>
      </c>
      <c r="W112" s="6">
        <f>IF(ISERROR(VLOOKUP($T$112,'TAR FIN'!$A$1:$O$93,15,0)),0,VLOOKUP($T$112,'TAR FIN'!$A$1:$O$93,15,0))</f>
        <v>69.489999999999995</v>
      </c>
      <c r="X112" s="6">
        <f>IF(ISERROR(VLOOKUP($U$112,'TAR FIN'!$A$1:$O$93,15,0)),0,VLOOKUP($U$112,'TAR FIN'!$A$1:$O$93,15,0))</f>
        <v>185.18</v>
      </c>
      <c r="Y112" s="6">
        <f ca="1">('TUSD BE'!$AM$9+'TUSD BF'!$AM$9+'TUSD CVA'!$AM$9)*1</f>
        <v>50.306190347472103</v>
      </c>
      <c r="Z112" s="6">
        <f ca="1">('TUSD BE'!$AM$11+'TUSD BF'!$AM$11+'TUSD CVA'!$AM$11)*1</f>
        <v>92.504793470158234</v>
      </c>
      <c r="AA112" s="6">
        <f>('TE BE'!$AB$7+'TE BF'!$AB$7+'TE CVA'!$AB$7)*1</f>
        <v>198.18194779658231</v>
      </c>
      <c r="AB112" s="6">
        <f>$K$112*$V$112</f>
        <v>81221.88</v>
      </c>
      <c r="AC112" s="6">
        <f>$M$112*$W$112</f>
        <v>7244.7494399999996</v>
      </c>
      <c r="AD112" s="6">
        <f>$O$112*$X$112</f>
        <v>19306.126080000002</v>
      </c>
      <c r="AE112" s="6">
        <f ca="1">$K$112*$Y$112</f>
        <v>93116.758333170859</v>
      </c>
      <c r="AF112" s="6">
        <f ca="1">$M$112*$Z$112</f>
        <v>9644.1797480248169</v>
      </c>
      <c r="AG112" s="6">
        <f>$O$112*$AA$112</f>
        <v>20661.657149480485</v>
      </c>
    </row>
    <row r="113" spans="1:33" ht="11.25" customHeight="1" x14ac:dyDescent="0.25">
      <c r="A113" s="4" t="s">
        <v>21</v>
      </c>
      <c r="B113" s="4" t="s">
        <v>35</v>
      </c>
      <c r="C113" s="4" t="s">
        <v>36</v>
      </c>
      <c r="D113" s="4" t="s">
        <v>34</v>
      </c>
      <c r="E113" s="4" t="s">
        <v>25</v>
      </c>
      <c r="F113" s="4" t="s">
        <v>25</v>
      </c>
      <c r="G113" s="4" t="s">
        <v>25</v>
      </c>
      <c r="H113" s="4" t="s">
        <v>37</v>
      </c>
      <c r="I113" s="5">
        <v>44409</v>
      </c>
      <c r="J113" s="6">
        <v>1898</v>
      </c>
      <c r="K113" s="6">
        <v>1898</v>
      </c>
      <c r="L113" s="6">
        <v>110.116</v>
      </c>
      <c r="M113" s="6">
        <v>110.116</v>
      </c>
      <c r="N113" s="6">
        <v>110.116</v>
      </c>
      <c r="O113" s="6">
        <v>110.116</v>
      </c>
      <c r="P113" s="6">
        <v>0</v>
      </c>
      <c r="Q113" s="4" t="s">
        <v>26</v>
      </c>
      <c r="R113" s="4">
        <v>0</v>
      </c>
      <c r="S113" s="6">
        <v>3</v>
      </c>
      <c r="T113" s="6">
        <v>9</v>
      </c>
      <c r="U113" s="6">
        <v>66</v>
      </c>
      <c r="V113" s="6">
        <f>IF(ISERROR(VLOOKUP($S$113,'TAR FIN'!$A$1:$O$93,15,0)),0,VLOOKUP($S$113,'TAR FIN'!$A$1:$O$93,15,0))</f>
        <v>43.88</v>
      </c>
      <c r="W113" s="6">
        <f>IF(ISERROR(VLOOKUP($T$113,'TAR FIN'!$A$1:$O$93,15,0)),0,VLOOKUP($T$113,'TAR FIN'!$A$1:$O$93,15,0))</f>
        <v>69.489999999999995</v>
      </c>
      <c r="X113" s="6">
        <f>IF(ISERROR(VLOOKUP($U$113,'TAR FIN'!$A$1:$O$93,15,0)),0,VLOOKUP($U$113,'TAR FIN'!$A$1:$O$93,15,0))</f>
        <v>185.18</v>
      </c>
      <c r="Y113" s="6">
        <f ca="1">('TUSD BE'!$AM$9+'TUSD BF'!$AM$9+'TUSD CVA'!$AM$9)*1</f>
        <v>50.306190347472103</v>
      </c>
      <c r="Z113" s="6">
        <f ca="1">('TUSD BE'!$AM$11+'TUSD BF'!$AM$11+'TUSD CVA'!$AM$11)*1</f>
        <v>92.504793470158234</v>
      </c>
      <c r="AA113" s="6">
        <f>('TE BE'!$AB$7+'TE BF'!$AB$7+'TE CVA'!$AB$7)*1</f>
        <v>198.18194779658231</v>
      </c>
      <c r="AB113" s="6">
        <f>$K$113*$V$113</f>
        <v>83284.240000000005</v>
      </c>
      <c r="AC113" s="6">
        <f>$M$113*$W$113</f>
        <v>7651.9608399999997</v>
      </c>
      <c r="AD113" s="6">
        <f>$O$113*$X$113</f>
        <v>20391.280880000002</v>
      </c>
      <c r="AE113" s="6">
        <f ca="1">$K$113*$Y$113</f>
        <v>95481.149279502046</v>
      </c>
      <c r="AF113" s="6">
        <f ca="1">$M$113*$Z$113</f>
        <v>10186.257837759944</v>
      </c>
      <c r="AG113" s="6">
        <f>$O$113*$AA$113</f>
        <v>21823.003363568456</v>
      </c>
    </row>
    <row r="114" spans="1:33" ht="11.25" customHeight="1" x14ac:dyDescent="0.25">
      <c r="A114" s="4" t="s">
        <v>21</v>
      </c>
      <c r="B114" s="4" t="s">
        <v>35</v>
      </c>
      <c r="C114" s="4" t="s">
        <v>36</v>
      </c>
      <c r="D114" s="4" t="s">
        <v>34</v>
      </c>
      <c r="E114" s="4" t="s">
        <v>25</v>
      </c>
      <c r="F114" s="4" t="s">
        <v>25</v>
      </c>
      <c r="G114" s="4" t="s">
        <v>25</v>
      </c>
      <c r="H114" s="4" t="s">
        <v>37</v>
      </c>
      <c r="I114" s="5">
        <v>44440</v>
      </c>
      <c r="J114" s="6">
        <v>5745</v>
      </c>
      <c r="K114" s="6">
        <v>5745</v>
      </c>
      <c r="L114" s="6">
        <v>331.98</v>
      </c>
      <c r="M114" s="6">
        <v>331.98</v>
      </c>
      <c r="N114" s="6">
        <v>331.98</v>
      </c>
      <c r="O114" s="6">
        <v>331.98</v>
      </c>
      <c r="P114" s="6">
        <v>0</v>
      </c>
      <c r="Q114" s="4" t="s">
        <v>26</v>
      </c>
      <c r="R114" s="4">
        <v>0</v>
      </c>
      <c r="S114" s="6">
        <v>3</v>
      </c>
      <c r="T114" s="6">
        <v>9</v>
      </c>
      <c r="U114" s="6">
        <v>66</v>
      </c>
      <c r="V114" s="6">
        <f>IF(ISERROR(VLOOKUP($S$114,'TAR FIN'!$A$1:$O$93,15,0)),0,VLOOKUP($S$114,'TAR FIN'!$A$1:$O$93,15,0))</f>
        <v>43.88</v>
      </c>
      <c r="W114" s="6">
        <f>IF(ISERROR(VLOOKUP($T$114,'TAR FIN'!$A$1:$O$93,15,0)),0,VLOOKUP($T$114,'TAR FIN'!$A$1:$O$93,15,0))</f>
        <v>69.489999999999995</v>
      </c>
      <c r="X114" s="6">
        <f>IF(ISERROR(VLOOKUP($U$114,'TAR FIN'!$A$1:$O$93,15,0)),0,VLOOKUP($U$114,'TAR FIN'!$A$1:$O$93,15,0))</f>
        <v>185.18</v>
      </c>
      <c r="Y114" s="6">
        <f ca="1">('TUSD BE'!$AM$9+'TUSD BF'!$AM$9+'TUSD CVA'!$AM$9)*1</f>
        <v>50.306190347472103</v>
      </c>
      <c r="Z114" s="6">
        <f ca="1">('TUSD BE'!$AM$11+'TUSD BF'!$AM$11+'TUSD CVA'!$AM$11)*1</f>
        <v>92.504793470158234</v>
      </c>
      <c r="AA114" s="6">
        <f>('TE BE'!$AB$7+'TE BF'!$AB$7+'TE CVA'!$AB$7)*1</f>
        <v>198.18194779658231</v>
      </c>
      <c r="AB114" s="6">
        <f>$K$114*$V$114</f>
        <v>252090.6</v>
      </c>
      <c r="AC114" s="6">
        <f>$M$114*$W$114</f>
        <v>23069.290199999999</v>
      </c>
      <c r="AD114" s="6">
        <f>$O$114*$X$114</f>
        <v>61476.056400000009</v>
      </c>
      <c r="AE114" s="6">
        <f ca="1">$K$114*$Y$114</f>
        <v>289009.06354622723</v>
      </c>
      <c r="AF114" s="6">
        <f ca="1">$M$114*$Z$114</f>
        <v>30709.741336223131</v>
      </c>
      <c r="AG114" s="6">
        <f>$O$114*$AA$114</f>
        <v>65792.443029509392</v>
      </c>
    </row>
    <row r="115" spans="1:33" ht="11.25" customHeight="1" x14ac:dyDescent="0.25">
      <c r="A115" s="4" t="s">
        <v>27</v>
      </c>
      <c r="B115" s="4" t="s">
        <v>35</v>
      </c>
      <c r="C115" s="4" t="s">
        <v>36</v>
      </c>
      <c r="D115" s="4" t="s">
        <v>34</v>
      </c>
      <c r="E115" s="4" t="s">
        <v>25</v>
      </c>
      <c r="F115" s="4" t="s">
        <v>25</v>
      </c>
      <c r="G115" s="4" t="s">
        <v>25</v>
      </c>
      <c r="H115" s="4" t="s">
        <v>37</v>
      </c>
      <c r="I115" s="5">
        <v>44440</v>
      </c>
      <c r="J115" s="6">
        <v>-3830</v>
      </c>
      <c r="K115" s="6">
        <v>-3830</v>
      </c>
      <c r="L115" s="6">
        <v>-221.32</v>
      </c>
      <c r="M115" s="6">
        <v>-221.32</v>
      </c>
      <c r="N115" s="6">
        <v>-221.32</v>
      </c>
      <c r="O115" s="6">
        <v>-221.32</v>
      </c>
      <c r="P115" s="6">
        <v>0</v>
      </c>
      <c r="Q115" s="4" t="s">
        <v>26</v>
      </c>
      <c r="R115" s="4">
        <v>0</v>
      </c>
      <c r="S115" s="6">
        <v>3</v>
      </c>
      <c r="T115" s="6">
        <v>9</v>
      </c>
      <c r="U115" s="6">
        <v>66</v>
      </c>
      <c r="V115" s="6">
        <f>IF(ISERROR(VLOOKUP($S$115,'TAR FIN'!$A$1:$O$93,15,0)),0,VLOOKUP($S$115,'TAR FIN'!$A$1:$O$93,15,0))</f>
        <v>43.88</v>
      </c>
      <c r="W115" s="6">
        <f>IF(ISERROR(VLOOKUP($T$115,'TAR FIN'!$A$1:$O$93,15,0)),0,VLOOKUP($T$115,'TAR FIN'!$A$1:$O$93,15,0))</f>
        <v>69.489999999999995</v>
      </c>
      <c r="X115" s="6">
        <f>IF(ISERROR(VLOOKUP($U$115,'TAR FIN'!$A$1:$O$93,15,0)),0,VLOOKUP($U$115,'TAR FIN'!$A$1:$O$93,15,0))</f>
        <v>185.18</v>
      </c>
      <c r="Y115" s="6">
        <f ca="1">('TUSD BE'!$AM$9+'TUSD BF'!$AM$9+'TUSD CVA'!$AM$9)*1</f>
        <v>50.306190347472103</v>
      </c>
      <c r="Z115" s="6">
        <f ca="1">('TUSD BE'!$AM$11+'TUSD BF'!$AM$11+'TUSD CVA'!$AM$11)*1</f>
        <v>92.504793470158234</v>
      </c>
      <c r="AA115" s="6">
        <f>('TE BE'!$AB$7+'TE BF'!$AB$7+'TE CVA'!$AB$7)*1</f>
        <v>198.18194779658231</v>
      </c>
      <c r="AB115" s="6">
        <f>$K$115*$V$115</f>
        <v>-168060.40000000002</v>
      </c>
      <c r="AC115" s="6">
        <f>$M$115*$W$115</f>
        <v>-15379.526799999998</v>
      </c>
      <c r="AD115" s="6">
        <f>$O$115*$X$115</f>
        <v>-40984.037600000003</v>
      </c>
      <c r="AE115" s="6">
        <f ca="1">$K$115*$Y$115</f>
        <v>-192672.70903081817</v>
      </c>
      <c r="AF115" s="6">
        <f ca="1">$M$115*$Z$115</f>
        <v>-20473.160890815419</v>
      </c>
      <c r="AG115" s="6">
        <f>$O$115*$AA$115</f>
        <v>-43861.628686339594</v>
      </c>
    </row>
    <row r="116" spans="1:33" ht="11.25" customHeight="1" x14ac:dyDescent="0.25">
      <c r="A116" s="4" t="s">
        <v>21</v>
      </c>
      <c r="B116" s="4" t="s">
        <v>35</v>
      </c>
      <c r="C116" s="4" t="s">
        <v>36</v>
      </c>
      <c r="D116" s="4" t="s">
        <v>34</v>
      </c>
      <c r="E116" s="4" t="s">
        <v>25</v>
      </c>
      <c r="F116" s="4" t="s">
        <v>25</v>
      </c>
      <c r="G116" s="4" t="s">
        <v>25</v>
      </c>
      <c r="H116" s="4" t="s">
        <v>37</v>
      </c>
      <c r="I116" s="5">
        <v>44470</v>
      </c>
      <c r="J116" s="6">
        <v>3855</v>
      </c>
      <c r="K116" s="6">
        <v>3855</v>
      </c>
      <c r="L116" s="6">
        <v>215.953</v>
      </c>
      <c r="M116" s="6">
        <v>215.953</v>
      </c>
      <c r="N116" s="6">
        <v>215.953</v>
      </c>
      <c r="O116" s="6">
        <v>215.953</v>
      </c>
      <c r="P116" s="6">
        <v>0</v>
      </c>
      <c r="Q116" s="4" t="s">
        <v>26</v>
      </c>
      <c r="R116" s="4">
        <v>0</v>
      </c>
      <c r="S116" s="6">
        <v>3</v>
      </c>
      <c r="T116" s="6">
        <v>9</v>
      </c>
      <c r="U116" s="6">
        <v>66</v>
      </c>
      <c r="V116" s="6">
        <f>IF(ISERROR(VLOOKUP($S$116,'TAR FIN'!$A$1:$O$93,15,0)),0,VLOOKUP($S$116,'TAR FIN'!$A$1:$O$93,15,0))</f>
        <v>43.88</v>
      </c>
      <c r="W116" s="6">
        <f>IF(ISERROR(VLOOKUP($T$116,'TAR FIN'!$A$1:$O$93,15,0)),0,VLOOKUP($T$116,'TAR FIN'!$A$1:$O$93,15,0))</f>
        <v>69.489999999999995</v>
      </c>
      <c r="X116" s="6">
        <f>IF(ISERROR(VLOOKUP($U$116,'TAR FIN'!$A$1:$O$93,15,0)),0,VLOOKUP($U$116,'TAR FIN'!$A$1:$O$93,15,0))</f>
        <v>185.18</v>
      </c>
      <c r="Y116" s="6">
        <f ca="1">('TUSD BE'!$AM$9+'TUSD BF'!$AM$9+'TUSD CVA'!$AM$9)*1</f>
        <v>50.306190347472103</v>
      </c>
      <c r="Z116" s="6">
        <f ca="1">('TUSD BE'!$AM$11+'TUSD BF'!$AM$11+'TUSD CVA'!$AM$11)*1</f>
        <v>92.504793470158234</v>
      </c>
      <c r="AA116" s="6">
        <f>('TE BE'!$AB$7+'TE BF'!$AB$7+'TE CVA'!$AB$7)*1</f>
        <v>198.18194779658231</v>
      </c>
      <c r="AB116" s="6">
        <f>$K$116*$V$116</f>
        <v>169157.40000000002</v>
      </c>
      <c r="AC116" s="6">
        <f>$M$116*$W$116</f>
        <v>15006.573969999999</v>
      </c>
      <c r="AD116" s="6">
        <f>$O$116*$X$116</f>
        <v>39990.17654</v>
      </c>
      <c r="AE116" s="6">
        <f ca="1">$K$116*$Y$116</f>
        <v>193930.36378950495</v>
      </c>
      <c r="AF116" s="6">
        <f ca="1">$M$116*$Z$116</f>
        <v>19976.68766426108</v>
      </c>
      <c r="AG116" s="6">
        <f>$O$116*$AA$116</f>
        <v>42797.986172515339</v>
      </c>
    </row>
    <row r="117" spans="1:33" ht="11.25" customHeight="1" x14ac:dyDescent="0.25">
      <c r="A117" s="4" t="s">
        <v>27</v>
      </c>
      <c r="B117" s="4" t="s">
        <v>35</v>
      </c>
      <c r="C117" s="4" t="s">
        <v>36</v>
      </c>
      <c r="D117" s="4" t="s">
        <v>34</v>
      </c>
      <c r="E117" s="4" t="s">
        <v>25</v>
      </c>
      <c r="F117" s="4" t="s">
        <v>25</v>
      </c>
      <c r="G117" s="4" t="s">
        <v>25</v>
      </c>
      <c r="H117" s="4" t="s">
        <v>37</v>
      </c>
      <c r="I117" s="5">
        <v>44470</v>
      </c>
      <c r="J117" s="6">
        <v>-1898</v>
      </c>
      <c r="K117" s="6">
        <v>-1898</v>
      </c>
      <c r="L117" s="6">
        <v>-110.116</v>
      </c>
      <c r="M117" s="6">
        <v>-110.116</v>
      </c>
      <c r="N117" s="6">
        <v>-110.116</v>
      </c>
      <c r="O117" s="6">
        <v>-110.116</v>
      </c>
      <c r="P117" s="6">
        <v>0</v>
      </c>
      <c r="Q117" s="4" t="s">
        <v>26</v>
      </c>
      <c r="R117" s="4">
        <v>0</v>
      </c>
      <c r="S117" s="6">
        <v>3</v>
      </c>
      <c r="T117" s="6">
        <v>9</v>
      </c>
      <c r="U117" s="6">
        <v>66</v>
      </c>
      <c r="V117" s="6">
        <f>IF(ISERROR(VLOOKUP($S$117,'TAR FIN'!$A$1:$O$93,15,0)),0,VLOOKUP($S$117,'TAR FIN'!$A$1:$O$93,15,0))</f>
        <v>43.88</v>
      </c>
      <c r="W117" s="6">
        <f>IF(ISERROR(VLOOKUP($T$117,'TAR FIN'!$A$1:$O$93,15,0)),0,VLOOKUP($T$117,'TAR FIN'!$A$1:$O$93,15,0))</f>
        <v>69.489999999999995</v>
      </c>
      <c r="X117" s="6">
        <f>IF(ISERROR(VLOOKUP($U$117,'TAR FIN'!$A$1:$O$93,15,0)),0,VLOOKUP($U$117,'TAR FIN'!$A$1:$O$93,15,0))</f>
        <v>185.18</v>
      </c>
      <c r="Y117" s="6">
        <f ca="1">('TUSD BE'!$AM$9+'TUSD BF'!$AM$9+'TUSD CVA'!$AM$9)*1</f>
        <v>50.306190347472103</v>
      </c>
      <c r="Z117" s="6">
        <f ca="1">('TUSD BE'!$AM$11+'TUSD BF'!$AM$11+'TUSD CVA'!$AM$11)*1</f>
        <v>92.504793470158234</v>
      </c>
      <c r="AA117" s="6">
        <f>('TE BE'!$AB$7+'TE BF'!$AB$7+'TE CVA'!$AB$7)*1</f>
        <v>198.18194779658231</v>
      </c>
      <c r="AB117" s="6">
        <f>$K$117*$V$117</f>
        <v>-83284.240000000005</v>
      </c>
      <c r="AC117" s="6">
        <f>$M$117*$W$117</f>
        <v>-7651.9608399999997</v>
      </c>
      <c r="AD117" s="6">
        <f>$O$117*$X$117</f>
        <v>-20391.280880000002</v>
      </c>
      <c r="AE117" s="6">
        <f ca="1">$K$117*$Y$117</f>
        <v>-95481.149279502046</v>
      </c>
      <c r="AF117" s="6">
        <f ca="1">$M$117*$Z$117</f>
        <v>-10186.257837759944</v>
      </c>
      <c r="AG117" s="6">
        <f>$O$117*$AA$117</f>
        <v>-21823.003363568456</v>
      </c>
    </row>
    <row r="118" spans="1:33" ht="11.25" customHeight="1" x14ac:dyDescent="0.25">
      <c r="A118" s="4" t="s">
        <v>21</v>
      </c>
      <c r="B118" s="4" t="s">
        <v>35</v>
      </c>
      <c r="C118" s="4" t="s">
        <v>36</v>
      </c>
      <c r="D118" s="4" t="s">
        <v>34</v>
      </c>
      <c r="E118" s="4" t="s">
        <v>25</v>
      </c>
      <c r="F118" s="4" t="s">
        <v>25</v>
      </c>
      <c r="G118" s="4" t="s">
        <v>25</v>
      </c>
      <c r="H118" s="4" t="s">
        <v>37</v>
      </c>
      <c r="I118" s="5">
        <v>44501</v>
      </c>
      <c r="J118" s="6">
        <v>5329</v>
      </c>
      <c r="K118" s="6">
        <v>5329</v>
      </c>
      <c r="L118" s="6">
        <v>276.17599999999999</v>
      </c>
      <c r="M118" s="6">
        <v>276.17599999999999</v>
      </c>
      <c r="N118" s="6">
        <v>276.17599999999999</v>
      </c>
      <c r="O118" s="6">
        <v>276.17599999999999</v>
      </c>
      <c r="P118" s="6">
        <v>0</v>
      </c>
      <c r="Q118" s="4" t="s">
        <v>26</v>
      </c>
      <c r="R118" s="4">
        <v>0</v>
      </c>
      <c r="S118" s="6">
        <v>3</v>
      </c>
      <c r="T118" s="6">
        <v>9</v>
      </c>
      <c r="U118" s="6">
        <v>66</v>
      </c>
      <c r="V118" s="6">
        <f>IF(ISERROR(VLOOKUP($S$118,'TAR FIN'!$A$1:$O$93,15,0)),0,VLOOKUP($S$118,'TAR FIN'!$A$1:$O$93,15,0))</f>
        <v>43.88</v>
      </c>
      <c r="W118" s="6">
        <f>IF(ISERROR(VLOOKUP($T$118,'TAR FIN'!$A$1:$O$93,15,0)),0,VLOOKUP($T$118,'TAR FIN'!$A$1:$O$93,15,0))</f>
        <v>69.489999999999995</v>
      </c>
      <c r="X118" s="6">
        <f>IF(ISERROR(VLOOKUP($U$118,'TAR FIN'!$A$1:$O$93,15,0)),0,VLOOKUP($U$118,'TAR FIN'!$A$1:$O$93,15,0))</f>
        <v>185.18</v>
      </c>
      <c r="Y118" s="6">
        <f ca="1">('TUSD BE'!$AM$9+'TUSD BF'!$AM$9+'TUSD CVA'!$AM$9)*1</f>
        <v>50.306190347472103</v>
      </c>
      <c r="Z118" s="6">
        <f ca="1">('TUSD BE'!$AM$11+'TUSD BF'!$AM$11+'TUSD CVA'!$AM$11)*1</f>
        <v>92.504793470158234</v>
      </c>
      <c r="AA118" s="6">
        <f>('TE BE'!$AB$7+'TE BF'!$AB$7+'TE CVA'!$AB$7)*1</f>
        <v>198.18194779658231</v>
      </c>
      <c r="AB118" s="6">
        <f>$K$118*$V$118</f>
        <v>233836.52000000002</v>
      </c>
      <c r="AC118" s="6">
        <f>$M$118*$W$118</f>
        <v>19191.470239999999</v>
      </c>
      <c r="AD118" s="6">
        <f>$O$118*$X$118</f>
        <v>51142.271679999998</v>
      </c>
      <c r="AE118" s="6">
        <f ca="1">$K$118*$Y$118</f>
        <v>268081.68836167885</v>
      </c>
      <c r="AF118" s="6">
        <f ca="1">$M$118*$Z$118</f>
        <v>25547.60384141442</v>
      </c>
      <c r="AG118" s="6">
        <f>$O$118*$AA$118</f>
        <v>54733.097614668914</v>
      </c>
    </row>
    <row r="119" spans="1:33" ht="11.25" customHeight="1" x14ac:dyDescent="0.25">
      <c r="A119" s="4" t="s">
        <v>21</v>
      </c>
      <c r="B119" s="4" t="s">
        <v>35</v>
      </c>
      <c r="C119" s="4" t="s">
        <v>36</v>
      </c>
      <c r="D119" s="4" t="s">
        <v>34</v>
      </c>
      <c r="E119" s="4" t="s">
        <v>25</v>
      </c>
      <c r="F119" s="4" t="s">
        <v>25</v>
      </c>
      <c r="G119" s="4" t="s">
        <v>25</v>
      </c>
      <c r="H119" s="4" t="s">
        <v>37</v>
      </c>
      <c r="I119" s="5">
        <v>44531</v>
      </c>
      <c r="J119" s="6">
        <v>5398</v>
      </c>
      <c r="K119" s="6">
        <v>5398</v>
      </c>
      <c r="L119" s="6">
        <v>278.517</v>
      </c>
      <c r="M119" s="6">
        <v>278.517</v>
      </c>
      <c r="N119" s="6">
        <v>278.517</v>
      </c>
      <c r="O119" s="6">
        <v>278.517</v>
      </c>
      <c r="P119" s="6">
        <v>0</v>
      </c>
      <c r="Q119" s="4" t="s">
        <v>26</v>
      </c>
      <c r="R119" s="4">
        <v>0</v>
      </c>
      <c r="S119" s="6">
        <v>3</v>
      </c>
      <c r="T119" s="6">
        <v>9</v>
      </c>
      <c r="U119" s="6">
        <v>66</v>
      </c>
      <c r="V119" s="6">
        <f>IF(ISERROR(VLOOKUP($S$119,'TAR FIN'!$A$1:$O$93,15,0)),0,VLOOKUP($S$119,'TAR FIN'!$A$1:$O$93,15,0))</f>
        <v>43.88</v>
      </c>
      <c r="W119" s="6">
        <f>IF(ISERROR(VLOOKUP($T$119,'TAR FIN'!$A$1:$O$93,15,0)),0,VLOOKUP($T$119,'TAR FIN'!$A$1:$O$93,15,0))</f>
        <v>69.489999999999995</v>
      </c>
      <c r="X119" s="6">
        <f>IF(ISERROR(VLOOKUP($U$119,'TAR FIN'!$A$1:$O$93,15,0)),0,VLOOKUP($U$119,'TAR FIN'!$A$1:$O$93,15,0))</f>
        <v>185.18</v>
      </c>
      <c r="Y119" s="6">
        <f ca="1">('TUSD BE'!$AM$9+'TUSD BF'!$AM$9+'TUSD CVA'!$AM$9)*1</f>
        <v>50.306190347472103</v>
      </c>
      <c r="Z119" s="6">
        <f ca="1">('TUSD BE'!$AM$11+'TUSD BF'!$AM$11+'TUSD CVA'!$AM$11)*1</f>
        <v>92.504793470158234</v>
      </c>
      <c r="AA119" s="6">
        <f>('TE BE'!$AB$7+'TE BF'!$AB$7+'TE CVA'!$AB$7)*1</f>
        <v>198.18194779658231</v>
      </c>
      <c r="AB119" s="6">
        <f>$K$119*$V$119</f>
        <v>236864.24000000002</v>
      </c>
      <c r="AC119" s="6">
        <f>$M$119*$W$119</f>
        <v>19354.14633</v>
      </c>
      <c r="AD119" s="6">
        <f>$O$119*$X$119</f>
        <v>51575.778060000004</v>
      </c>
      <c r="AE119" s="6">
        <f ca="1">$K$119*$Y$119</f>
        <v>271552.81549565442</v>
      </c>
      <c r="AF119" s="6">
        <f ca="1">$M$119*$Z$119</f>
        <v>25764.15756292806</v>
      </c>
      <c r="AG119" s="6">
        <f>$O$119*$AA$119</f>
        <v>55197.041554460717</v>
      </c>
    </row>
    <row r="120" spans="1:33" ht="11.25" customHeight="1" x14ac:dyDescent="0.25">
      <c r="A120" s="4" t="s">
        <v>21</v>
      </c>
      <c r="B120" s="4" t="s">
        <v>35</v>
      </c>
      <c r="C120" s="4" t="s">
        <v>36</v>
      </c>
      <c r="D120" s="4" t="s">
        <v>34</v>
      </c>
      <c r="E120" s="4" t="s">
        <v>25</v>
      </c>
      <c r="F120" s="4" t="s">
        <v>25</v>
      </c>
      <c r="G120" s="4" t="s">
        <v>25</v>
      </c>
      <c r="H120" s="4" t="s">
        <v>37</v>
      </c>
      <c r="I120" s="5">
        <v>44562</v>
      </c>
      <c r="J120" s="6">
        <v>5258</v>
      </c>
      <c r="K120" s="6">
        <v>5258</v>
      </c>
      <c r="L120" s="6">
        <v>242.077</v>
      </c>
      <c r="M120" s="6">
        <v>242.077</v>
      </c>
      <c r="N120" s="6">
        <v>242.077</v>
      </c>
      <c r="O120" s="6">
        <v>242.077</v>
      </c>
      <c r="P120" s="6">
        <v>0</v>
      </c>
      <c r="Q120" s="4" t="s">
        <v>26</v>
      </c>
      <c r="R120" s="4">
        <v>0</v>
      </c>
      <c r="S120" s="6">
        <v>3</v>
      </c>
      <c r="T120" s="6">
        <v>9</v>
      </c>
      <c r="U120" s="6">
        <v>66</v>
      </c>
      <c r="V120" s="6">
        <f>IF(ISERROR(VLOOKUP($S$120,'TAR FIN'!$A$1:$O$93,15,0)),0,VLOOKUP($S$120,'TAR FIN'!$A$1:$O$93,15,0))</f>
        <v>43.88</v>
      </c>
      <c r="W120" s="6">
        <f>IF(ISERROR(VLOOKUP($T$120,'TAR FIN'!$A$1:$O$93,15,0)),0,VLOOKUP($T$120,'TAR FIN'!$A$1:$O$93,15,0))</f>
        <v>69.489999999999995</v>
      </c>
      <c r="X120" s="6">
        <f>IF(ISERROR(VLOOKUP($U$120,'TAR FIN'!$A$1:$O$93,15,0)),0,VLOOKUP($U$120,'TAR FIN'!$A$1:$O$93,15,0))</f>
        <v>185.18</v>
      </c>
      <c r="Y120" s="6">
        <f ca="1">('TUSD BE'!$AM$9+'TUSD BF'!$AM$9+'TUSD CVA'!$AM$9)*1</f>
        <v>50.306190347472103</v>
      </c>
      <c r="Z120" s="6">
        <f ca="1">('TUSD BE'!$AM$11+'TUSD BF'!$AM$11+'TUSD CVA'!$AM$11)*1</f>
        <v>92.504793470158234</v>
      </c>
      <c r="AA120" s="6">
        <f>('TE BE'!$AB$7+'TE BF'!$AB$7+'TE CVA'!$AB$7)*1</f>
        <v>198.18194779658231</v>
      </c>
      <c r="AB120" s="6">
        <f>$K$120*$V$120</f>
        <v>230721.04</v>
      </c>
      <c r="AC120" s="6">
        <f>$M$120*$W$120</f>
        <v>16821.93073</v>
      </c>
      <c r="AD120" s="6">
        <f>$O$120*$X$120</f>
        <v>44827.818859999999</v>
      </c>
      <c r="AE120" s="6">
        <f ca="1">$K$120*$Y$120</f>
        <v>264509.94884700835</v>
      </c>
      <c r="AF120" s="6">
        <f ca="1">$M$120*$Z$120</f>
        <v>22393.282888875496</v>
      </c>
      <c r="AG120" s="6">
        <f>$O$120*$AA$120</f>
        <v>47975.291376753252</v>
      </c>
    </row>
    <row r="121" spans="1:33" ht="11.25" customHeight="1" x14ac:dyDescent="0.25">
      <c r="A121" s="4" t="s">
        <v>21</v>
      </c>
      <c r="B121" s="4" t="s">
        <v>35</v>
      </c>
      <c r="C121" s="4" t="s">
        <v>36</v>
      </c>
      <c r="D121" s="4" t="s">
        <v>34</v>
      </c>
      <c r="E121" s="4" t="s">
        <v>25</v>
      </c>
      <c r="F121" s="4" t="s">
        <v>25</v>
      </c>
      <c r="G121" s="4" t="s">
        <v>25</v>
      </c>
      <c r="H121" s="4" t="s">
        <v>37</v>
      </c>
      <c r="I121" s="5">
        <v>44593</v>
      </c>
      <c r="J121" s="6">
        <v>5464</v>
      </c>
      <c r="K121" s="6">
        <v>5464</v>
      </c>
      <c r="L121" s="6">
        <v>241.57900000000001</v>
      </c>
      <c r="M121" s="6">
        <v>241.57900000000001</v>
      </c>
      <c r="N121" s="6">
        <v>241.57900000000001</v>
      </c>
      <c r="O121" s="6">
        <v>241.57900000000001</v>
      </c>
      <c r="P121" s="6">
        <v>0</v>
      </c>
      <c r="Q121" s="4" t="s">
        <v>26</v>
      </c>
      <c r="R121" s="4">
        <v>0</v>
      </c>
      <c r="S121" s="6">
        <v>3</v>
      </c>
      <c r="T121" s="6">
        <v>9</v>
      </c>
      <c r="U121" s="6">
        <v>66</v>
      </c>
      <c r="V121" s="6">
        <f>IF(ISERROR(VLOOKUP($S$121,'TAR FIN'!$A$1:$O$93,15,0)),0,VLOOKUP($S$121,'TAR FIN'!$A$1:$O$93,15,0))</f>
        <v>43.88</v>
      </c>
      <c r="W121" s="6">
        <f>IF(ISERROR(VLOOKUP($T$121,'TAR FIN'!$A$1:$O$93,15,0)),0,VLOOKUP($T$121,'TAR FIN'!$A$1:$O$93,15,0))</f>
        <v>69.489999999999995</v>
      </c>
      <c r="X121" s="6">
        <f>IF(ISERROR(VLOOKUP($U$121,'TAR FIN'!$A$1:$O$93,15,0)),0,VLOOKUP($U$121,'TAR FIN'!$A$1:$O$93,15,0))</f>
        <v>185.18</v>
      </c>
      <c r="Y121" s="6">
        <f ca="1">('TUSD BE'!$AM$9+'TUSD BF'!$AM$9+'TUSD CVA'!$AM$9)*1</f>
        <v>50.306190347472103</v>
      </c>
      <c r="Z121" s="6">
        <f ca="1">('TUSD BE'!$AM$11+'TUSD BF'!$AM$11+'TUSD CVA'!$AM$11)*1</f>
        <v>92.504793470158234</v>
      </c>
      <c r="AA121" s="6">
        <f>('TE BE'!$AB$7+'TE BF'!$AB$7+'TE CVA'!$AB$7)*1</f>
        <v>198.18194779658231</v>
      </c>
      <c r="AB121" s="6">
        <f>$K$121*$V$121</f>
        <v>239760.32</v>
      </c>
      <c r="AC121" s="6">
        <f>$M$121*$W$121</f>
        <v>16787.324710000001</v>
      </c>
      <c r="AD121" s="6">
        <f>$O$121*$X$121</f>
        <v>44735.599220000004</v>
      </c>
      <c r="AE121" s="6">
        <f ca="1">$K$121*$Y$121</f>
        <v>274873.02405858756</v>
      </c>
      <c r="AF121" s="6">
        <f ca="1">$M$121*$Z$121</f>
        <v>22347.215501727358</v>
      </c>
      <c r="AG121" s="6">
        <f>$O$121*$AA$121</f>
        <v>47876.596766750561</v>
      </c>
    </row>
    <row r="122" spans="1:33" ht="11.25" customHeight="1" x14ac:dyDescent="0.25">
      <c r="A122" s="4" t="s">
        <v>21</v>
      </c>
      <c r="B122" s="4" t="s">
        <v>35</v>
      </c>
      <c r="C122" s="4" t="s">
        <v>36</v>
      </c>
      <c r="D122" s="4" t="s">
        <v>34</v>
      </c>
      <c r="E122" s="4" t="s">
        <v>25</v>
      </c>
      <c r="F122" s="4" t="s">
        <v>25</v>
      </c>
      <c r="G122" s="4" t="s">
        <v>25</v>
      </c>
      <c r="H122" s="4" t="s">
        <v>37</v>
      </c>
      <c r="I122" s="5">
        <v>44621</v>
      </c>
      <c r="J122" s="6">
        <v>5452</v>
      </c>
      <c r="K122" s="6">
        <v>5452</v>
      </c>
      <c r="L122" s="6">
        <v>273.935</v>
      </c>
      <c r="M122" s="6">
        <v>273.935</v>
      </c>
      <c r="N122" s="6">
        <v>273.935</v>
      </c>
      <c r="O122" s="6">
        <v>273.935</v>
      </c>
      <c r="P122" s="6">
        <v>0</v>
      </c>
      <c r="Q122" s="4" t="s">
        <v>26</v>
      </c>
      <c r="R122" s="4">
        <v>0</v>
      </c>
      <c r="S122" s="6">
        <v>3</v>
      </c>
      <c r="T122" s="6">
        <v>9</v>
      </c>
      <c r="U122" s="6">
        <v>66</v>
      </c>
      <c r="V122" s="6">
        <f>IF(ISERROR(VLOOKUP($S$122,'TAR FIN'!$A$1:$O$93,15,0)),0,VLOOKUP($S$122,'TAR FIN'!$A$1:$O$93,15,0))</f>
        <v>43.88</v>
      </c>
      <c r="W122" s="6">
        <f>IF(ISERROR(VLOOKUP($T$122,'TAR FIN'!$A$1:$O$93,15,0)),0,VLOOKUP($T$122,'TAR FIN'!$A$1:$O$93,15,0))</f>
        <v>69.489999999999995</v>
      </c>
      <c r="X122" s="6">
        <f>IF(ISERROR(VLOOKUP($U$122,'TAR FIN'!$A$1:$O$93,15,0)),0,VLOOKUP($U$122,'TAR FIN'!$A$1:$O$93,15,0))</f>
        <v>185.18</v>
      </c>
      <c r="Y122" s="6">
        <f ca="1">('TUSD BE'!$AM$9+'TUSD BF'!$AM$9+'TUSD CVA'!$AM$9)*1</f>
        <v>50.306190347472103</v>
      </c>
      <c r="Z122" s="6">
        <f ca="1">('TUSD BE'!$AM$11+'TUSD BF'!$AM$11+'TUSD CVA'!$AM$11)*1</f>
        <v>92.504793470158234</v>
      </c>
      <c r="AA122" s="6">
        <f>('TE BE'!$AB$7+'TE BF'!$AB$7+'TE CVA'!$AB$7)*1</f>
        <v>198.18194779658231</v>
      </c>
      <c r="AB122" s="6">
        <f>$K$122*$V$122</f>
        <v>239233.76</v>
      </c>
      <c r="AC122" s="6">
        <f>$M$122*$W$122</f>
        <v>19035.743149999998</v>
      </c>
      <c r="AD122" s="6">
        <f>$O$122*$X$122</f>
        <v>50727.283300000003</v>
      </c>
      <c r="AE122" s="6">
        <f ca="1">$K$122*$Y$122</f>
        <v>274269.34977441793</v>
      </c>
      <c r="AF122" s="6">
        <f ca="1">$M$122*$Z$122</f>
        <v>25340.300599247796</v>
      </c>
      <c r="AG122" s="6">
        <f>$O$122*$AA$122</f>
        <v>54288.971869656772</v>
      </c>
    </row>
    <row r="123" spans="1:33" ht="11.25" customHeight="1" x14ac:dyDescent="0.25">
      <c r="A123" s="4" t="s">
        <v>21</v>
      </c>
      <c r="B123" s="4" t="s">
        <v>35</v>
      </c>
      <c r="C123" s="4" t="s">
        <v>36</v>
      </c>
      <c r="D123" s="4" t="s">
        <v>34</v>
      </c>
      <c r="E123" s="4" t="s">
        <v>25</v>
      </c>
      <c r="F123" s="4" t="s">
        <v>25</v>
      </c>
      <c r="G123" s="4" t="s">
        <v>25</v>
      </c>
      <c r="H123" s="4" t="s">
        <v>37</v>
      </c>
      <c r="I123" s="5">
        <v>44652</v>
      </c>
      <c r="J123" s="6">
        <v>5398</v>
      </c>
      <c r="K123" s="6">
        <v>5398</v>
      </c>
      <c r="L123" s="6">
        <v>305.86200000000002</v>
      </c>
      <c r="M123" s="6">
        <v>305.86200000000002</v>
      </c>
      <c r="N123" s="6">
        <v>305.86200000000002</v>
      </c>
      <c r="O123" s="6">
        <v>305.86200000000002</v>
      </c>
      <c r="P123" s="6">
        <v>0</v>
      </c>
      <c r="Q123" s="4" t="s">
        <v>26</v>
      </c>
      <c r="R123" s="4">
        <v>0</v>
      </c>
      <c r="S123" s="6">
        <v>3</v>
      </c>
      <c r="T123" s="6">
        <v>9</v>
      </c>
      <c r="U123" s="6">
        <v>66</v>
      </c>
      <c r="V123" s="6">
        <f>IF(ISERROR(VLOOKUP($S$123,'TAR FIN'!$A$1:$O$93,15,0)),0,VLOOKUP($S$123,'TAR FIN'!$A$1:$O$93,15,0))</f>
        <v>43.88</v>
      </c>
      <c r="W123" s="6">
        <f>IF(ISERROR(VLOOKUP($T$123,'TAR FIN'!$A$1:$O$93,15,0)),0,VLOOKUP($T$123,'TAR FIN'!$A$1:$O$93,15,0))</f>
        <v>69.489999999999995</v>
      </c>
      <c r="X123" s="6">
        <f>IF(ISERROR(VLOOKUP($U$123,'TAR FIN'!$A$1:$O$93,15,0)),0,VLOOKUP($U$123,'TAR FIN'!$A$1:$O$93,15,0))</f>
        <v>185.18</v>
      </c>
      <c r="Y123" s="6">
        <f ca="1">('TUSD BE'!$AM$9+'TUSD BF'!$AM$9+'TUSD CVA'!$AM$9)*1</f>
        <v>50.306190347472103</v>
      </c>
      <c r="Z123" s="6">
        <f ca="1">('TUSD BE'!$AM$11+'TUSD BF'!$AM$11+'TUSD CVA'!$AM$11)*1</f>
        <v>92.504793470158234</v>
      </c>
      <c r="AA123" s="6">
        <f>('TE BE'!$AB$7+'TE BF'!$AB$7+'TE CVA'!$AB$7)*1</f>
        <v>198.18194779658231</v>
      </c>
      <c r="AB123" s="6">
        <f>$K$123*$V$123</f>
        <v>236864.24000000002</v>
      </c>
      <c r="AC123" s="6">
        <f>$M$123*$W$123</f>
        <v>21254.35038</v>
      </c>
      <c r="AD123" s="6">
        <f>$O$123*$X$123</f>
        <v>56639.525160000005</v>
      </c>
      <c r="AE123" s="6">
        <f ca="1">$K$123*$Y$123</f>
        <v>271552.81549565442</v>
      </c>
      <c r="AF123" s="6">
        <f ca="1">$M$123*$Z$123</f>
        <v>28293.70114036954</v>
      </c>
      <c r="AG123" s="6">
        <f>$O$123*$AA$123</f>
        <v>60616.326916958264</v>
      </c>
    </row>
    <row r="124" spans="1:33" ht="11.25" customHeight="1" x14ac:dyDescent="0.25">
      <c r="A124" s="4" t="s">
        <v>21</v>
      </c>
      <c r="B124" s="4" t="s">
        <v>35</v>
      </c>
      <c r="C124" s="4" t="s">
        <v>36</v>
      </c>
      <c r="D124" s="4" t="s">
        <v>34</v>
      </c>
      <c r="E124" s="4" t="s">
        <v>25</v>
      </c>
      <c r="F124" s="4" t="s">
        <v>25</v>
      </c>
      <c r="G124" s="4" t="s">
        <v>25</v>
      </c>
      <c r="H124" s="4" t="s">
        <v>37</v>
      </c>
      <c r="I124" s="5">
        <v>44682</v>
      </c>
      <c r="J124" s="6">
        <v>3722</v>
      </c>
      <c r="K124" s="6">
        <v>3722</v>
      </c>
      <c r="L124" s="6">
        <v>172.31899999999999</v>
      </c>
      <c r="M124" s="6">
        <v>172.31899999999999</v>
      </c>
      <c r="N124" s="6">
        <v>172.31899999999999</v>
      </c>
      <c r="O124" s="6">
        <v>172.31899999999999</v>
      </c>
      <c r="P124" s="6">
        <v>0</v>
      </c>
      <c r="Q124" s="4" t="s">
        <v>26</v>
      </c>
      <c r="R124" s="4">
        <v>0</v>
      </c>
      <c r="S124" s="6">
        <v>3</v>
      </c>
      <c r="T124" s="6">
        <v>9</v>
      </c>
      <c r="U124" s="6">
        <v>66</v>
      </c>
      <c r="V124" s="6">
        <f>IF(ISERROR(VLOOKUP($S$124,'TAR FIN'!$A$1:$O$93,15,0)),0,VLOOKUP($S$124,'TAR FIN'!$A$1:$O$93,15,0))</f>
        <v>43.88</v>
      </c>
      <c r="W124" s="6">
        <f>IF(ISERROR(VLOOKUP($T$124,'TAR FIN'!$A$1:$O$93,15,0)),0,VLOOKUP($T$124,'TAR FIN'!$A$1:$O$93,15,0))</f>
        <v>69.489999999999995</v>
      </c>
      <c r="X124" s="6">
        <f>IF(ISERROR(VLOOKUP($U$124,'TAR FIN'!$A$1:$O$93,15,0)),0,VLOOKUP($U$124,'TAR FIN'!$A$1:$O$93,15,0))</f>
        <v>185.18</v>
      </c>
      <c r="Y124" s="6">
        <f ca="1">('TUSD BE'!$AM$9+'TUSD BF'!$AM$9+'TUSD CVA'!$AM$9)*1</f>
        <v>50.306190347472103</v>
      </c>
      <c r="Z124" s="6">
        <f ca="1">('TUSD BE'!$AM$11+'TUSD BF'!$AM$11+'TUSD CVA'!$AM$11)*1</f>
        <v>92.504793470158234</v>
      </c>
      <c r="AA124" s="6">
        <f>('TE BE'!$AB$7+'TE BF'!$AB$7+'TE CVA'!$AB$7)*1</f>
        <v>198.18194779658231</v>
      </c>
      <c r="AB124" s="6">
        <f>$K$124*$V$124</f>
        <v>163321.36000000002</v>
      </c>
      <c r="AC124" s="6">
        <f>$M$124*$W$124</f>
        <v>11974.447309999998</v>
      </c>
      <c r="AD124" s="6">
        <f>$O$124*$X$124</f>
        <v>31910.03242</v>
      </c>
      <c r="AE124" s="6">
        <f ca="1">$K$124*$Y$124</f>
        <v>187239.64047329116</v>
      </c>
      <c r="AF124" s="6">
        <f ca="1">$M$124*$Z$124</f>
        <v>15940.333505984196</v>
      </c>
      <c r="AG124" s="6">
        <f>$O$124*$AA$124</f>
        <v>34150.515062359264</v>
      </c>
    </row>
    <row r="125" spans="1:33" ht="11.25" customHeight="1" x14ac:dyDescent="0.25">
      <c r="A125" s="4" t="s">
        <v>21</v>
      </c>
      <c r="B125" s="4" t="s">
        <v>35</v>
      </c>
      <c r="C125" s="4" t="s">
        <v>36</v>
      </c>
      <c r="D125" s="4" t="s">
        <v>34</v>
      </c>
      <c r="E125" s="4" t="s">
        <v>25</v>
      </c>
      <c r="F125" s="4" t="s">
        <v>25</v>
      </c>
      <c r="G125" s="4" t="s">
        <v>25</v>
      </c>
      <c r="H125" s="4" t="s">
        <v>37</v>
      </c>
      <c r="I125" s="5">
        <v>44713</v>
      </c>
      <c r="J125" s="6">
        <v>3858</v>
      </c>
      <c r="K125" s="6">
        <v>3858</v>
      </c>
      <c r="L125" s="6">
        <v>220.173</v>
      </c>
      <c r="M125" s="6">
        <v>220.173</v>
      </c>
      <c r="N125" s="6">
        <v>220.173</v>
      </c>
      <c r="O125" s="6">
        <v>220.173</v>
      </c>
      <c r="P125" s="6">
        <v>0</v>
      </c>
      <c r="Q125" s="4" t="s">
        <v>26</v>
      </c>
      <c r="R125" s="4">
        <v>0</v>
      </c>
      <c r="S125" s="6">
        <v>3</v>
      </c>
      <c r="T125" s="6">
        <v>9</v>
      </c>
      <c r="U125" s="6">
        <v>66</v>
      </c>
      <c r="V125" s="6">
        <f>IF(ISERROR(VLOOKUP($S$125,'TAR FIN'!$A$1:$O$93,15,0)),0,VLOOKUP($S$125,'TAR FIN'!$A$1:$O$93,15,0))</f>
        <v>43.88</v>
      </c>
      <c r="W125" s="6">
        <f>IF(ISERROR(VLOOKUP($T$125,'TAR FIN'!$A$1:$O$93,15,0)),0,VLOOKUP($T$125,'TAR FIN'!$A$1:$O$93,15,0))</f>
        <v>69.489999999999995</v>
      </c>
      <c r="X125" s="6">
        <f>IF(ISERROR(VLOOKUP($U$125,'TAR FIN'!$A$1:$O$93,15,0)),0,VLOOKUP($U$125,'TAR FIN'!$A$1:$O$93,15,0))</f>
        <v>185.18</v>
      </c>
      <c r="Y125" s="6">
        <f ca="1">('TUSD BE'!$AM$9+'TUSD BF'!$AM$9+'TUSD CVA'!$AM$9)*1</f>
        <v>50.306190347472103</v>
      </c>
      <c r="Z125" s="6">
        <f ca="1">('TUSD BE'!$AM$11+'TUSD BF'!$AM$11+'TUSD CVA'!$AM$11)*1</f>
        <v>92.504793470158234</v>
      </c>
      <c r="AA125" s="6">
        <f>('TE BE'!$AB$7+'TE BF'!$AB$7+'TE CVA'!$AB$7)*1</f>
        <v>198.18194779658231</v>
      </c>
      <c r="AB125" s="6">
        <f>$K$125*$V$125</f>
        <v>169289.04</v>
      </c>
      <c r="AC125" s="6">
        <f>$M$125*$W$125</f>
        <v>15299.821769999999</v>
      </c>
      <c r="AD125" s="6">
        <f>$O$125*$X$125</f>
        <v>40771.636140000002</v>
      </c>
      <c r="AE125" s="6">
        <f ca="1">$K$125*$Y$125</f>
        <v>194081.28236054737</v>
      </c>
      <c r="AF125" s="6">
        <f ca="1">$M$125*$Z$125</f>
        <v>20367.05789270515</v>
      </c>
      <c r="AG125" s="6">
        <f>$O$125*$AA$125</f>
        <v>43634.313992216914</v>
      </c>
    </row>
    <row r="126" spans="1:33" ht="11.25" customHeight="1" x14ac:dyDescent="0.25">
      <c r="A126" s="4" t="s">
        <v>21</v>
      </c>
      <c r="B126" s="4" t="s">
        <v>35</v>
      </c>
      <c r="C126" s="4" t="s">
        <v>56</v>
      </c>
      <c r="D126" s="4" t="s">
        <v>25</v>
      </c>
      <c r="E126" s="4" t="s">
        <v>25</v>
      </c>
      <c r="F126" s="4" t="s">
        <v>25</v>
      </c>
      <c r="G126" s="4" t="s">
        <v>57</v>
      </c>
      <c r="H126" s="4" t="s">
        <v>25</v>
      </c>
      <c r="I126" s="5">
        <v>44378</v>
      </c>
      <c r="J126" s="6">
        <v>705</v>
      </c>
      <c r="K126" s="6">
        <v>352.5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58</v>
      </c>
      <c r="R126" s="4">
        <v>706</v>
      </c>
      <c r="S126" s="6">
        <v>14</v>
      </c>
      <c r="T126" s="6">
        <v>0</v>
      </c>
      <c r="U126" s="6">
        <v>0</v>
      </c>
      <c r="V126" s="6">
        <f>IF(ISERROR(VLOOKUP($S$126,'TAR FIN'!$A$1:$O$93,15,0)),0,VLOOKUP($S$126,'TAR FIN'!$A$1:$O$93,15,0))</f>
        <v>8.08</v>
      </c>
      <c r="W126" s="6">
        <f>IF(ISERROR(VLOOKUP($T$126,'TAR FIN'!$A$1:$O$93,15,0)),0,VLOOKUP($T$126,'TAR FIN'!$A$1:$O$93,15,0))</f>
        <v>0</v>
      </c>
      <c r="X126" s="6">
        <f>IF(ISERROR(VLOOKUP($U$126,'TAR FIN'!$A$1:$O$93,15,0)),0,VLOOKUP($U$126,'TAR FIN'!$A$1:$O$93,15,0))</f>
        <v>0</v>
      </c>
      <c r="Y126" s="6">
        <f ca="1">('TUSD BE'!$AM$13+'TUSD BF'!$AM$13+'TUSD CVA'!$AM$13)*1</f>
        <v>16.12796715109398</v>
      </c>
      <c r="Z126" s="6"/>
      <c r="AA126" s="6"/>
      <c r="AB126" s="6">
        <f>$K$126*$V$126</f>
        <v>2848.2</v>
      </c>
      <c r="AC126" s="6">
        <f>$M$126*$W$126</f>
        <v>0</v>
      </c>
      <c r="AD126" s="6">
        <f>$O$126*$X$126</f>
        <v>0</v>
      </c>
      <c r="AE126" s="6">
        <f ca="1">$K$126*$Y$126</f>
        <v>5685.1084207606282</v>
      </c>
      <c r="AF126" s="6">
        <f>$M$126*$Z$126</f>
        <v>0</v>
      </c>
      <c r="AG126" s="6">
        <f>$O$126*$AA$126</f>
        <v>0</v>
      </c>
    </row>
    <row r="127" spans="1:33" ht="11.25" customHeight="1" x14ac:dyDescent="0.25">
      <c r="A127" s="4" t="s">
        <v>21</v>
      </c>
      <c r="B127" s="4" t="s">
        <v>35</v>
      </c>
      <c r="C127" s="4" t="s">
        <v>56</v>
      </c>
      <c r="D127" s="4" t="s">
        <v>25</v>
      </c>
      <c r="E127" s="4" t="s">
        <v>25</v>
      </c>
      <c r="F127" s="4" t="s">
        <v>25</v>
      </c>
      <c r="G127" s="4" t="s">
        <v>59</v>
      </c>
      <c r="H127" s="4" t="s">
        <v>25</v>
      </c>
      <c r="I127" s="5">
        <v>44378</v>
      </c>
      <c r="J127" s="6">
        <v>3700</v>
      </c>
      <c r="K127" s="6">
        <v>1850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58</v>
      </c>
      <c r="R127" s="4">
        <v>877</v>
      </c>
      <c r="S127" s="6">
        <v>14</v>
      </c>
      <c r="T127" s="6">
        <v>0</v>
      </c>
      <c r="U127" s="6">
        <v>0</v>
      </c>
      <c r="V127" s="6">
        <f>IF(ISERROR(VLOOKUP($S$127,'TAR FIN'!$A$1:$O$93,15,0)),0,VLOOKUP($S$127,'TAR FIN'!$A$1:$O$93,15,0))</f>
        <v>8.08</v>
      </c>
      <c r="W127" s="6">
        <f>IF(ISERROR(VLOOKUP($T$127,'TAR FIN'!$A$1:$O$93,15,0)),0,VLOOKUP($T$127,'TAR FIN'!$A$1:$O$93,15,0))</f>
        <v>0</v>
      </c>
      <c r="X127" s="6">
        <f>IF(ISERROR(VLOOKUP($U$127,'TAR FIN'!$A$1:$O$93,15,0)),0,VLOOKUP($U$127,'TAR FIN'!$A$1:$O$93,15,0))</f>
        <v>0</v>
      </c>
      <c r="Y127" s="6">
        <f ca="1">('TUSD BE'!$AM$13+'TUSD BF'!$AM$13+'TUSD CVA'!$AM$13)*1</f>
        <v>16.12796715109398</v>
      </c>
      <c r="Z127" s="6"/>
      <c r="AA127" s="6"/>
      <c r="AB127" s="6">
        <f>$K$127*$V$127</f>
        <v>14948</v>
      </c>
      <c r="AC127" s="6">
        <f>$M$127*$W$127</f>
        <v>0</v>
      </c>
      <c r="AD127" s="6">
        <f>$O$127*$X$127</f>
        <v>0</v>
      </c>
      <c r="AE127" s="6">
        <f ca="1">$K$127*$Y$127</f>
        <v>29836.739229523864</v>
      </c>
      <c r="AF127" s="6">
        <f>$M$127*$Z$127</f>
        <v>0</v>
      </c>
      <c r="AG127" s="6">
        <f>$O$127*$AA$127</f>
        <v>0</v>
      </c>
    </row>
    <row r="128" spans="1:33" ht="11.25" customHeight="1" x14ac:dyDescent="0.25">
      <c r="A128" s="4" t="s">
        <v>21</v>
      </c>
      <c r="B128" s="4" t="s">
        <v>35</v>
      </c>
      <c r="C128" s="4" t="s">
        <v>56</v>
      </c>
      <c r="D128" s="4" t="s">
        <v>25</v>
      </c>
      <c r="E128" s="4" t="s">
        <v>25</v>
      </c>
      <c r="F128" s="4" t="s">
        <v>25</v>
      </c>
      <c r="G128" s="4" t="s">
        <v>60</v>
      </c>
      <c r="H128" s="4" t="s">
        <v>25</v>
      </c>
      <c r="I128" s="5">
        <v>44378</v>
      </c>
      <c r="J128" s="6">
        <v>880</v>
      </c>
      <c r="K128" s="6">
        <v>440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58</v>
      </c>
      <c r="R128" s="4">
        <v>2317</v>
      </c>
      <c r="S128" s="6">
        <v>14</v>
      </c>
      <c r="T128" s="6">
        <v>0</v>
      </c>
      <c r="U128" s="6">
        <v>0</v>
      </c>
      <c r="V128" s="6">
        <f>IF(ISERROR(VLOOKUP($S$128,'TAR FIN'!$A$1:$O$93,15,0)),0,VLOOKUP($S$128,'TAR FIN'!$A$1:$O$93,15,0))</f>
        <v>8.08</v>
      </c>
      <c r="W128" s="6">
        <f>IF(ISERROR(VLOOKUP($T$128,'TAR FIN'!$A$1:$O$93,15,0)),0,VLOOKUP($T$128,'TAR FIN'!$A$1:$O$93,15,0))</f>
        <v>0</v>
      </c>
      <c r="X128" s="6">
        <f>IF(ISERROR(VLOOKUP($U$128,'TAR FIN'!$A$1:$O$93,15,0)),0,VLOOKUP($U$128,'TAR FIN'!$A$1:$O$93,15,0))</f>
        <v>0</v>
      </c>
      <c r="Y128" s="6">
        <f ca="1">('TUSD BE'!$AM$13+'TUSD BF'!$AM$13+'TUSD CVA'!$AM$13)*1</f>
        <v>16.12796715109398</v>
      </c>
      <c r="Z128" s="6"/>
      <c r="AA128" s="6"/>
      <c r="AB128" s="6">
        <f>$K$128*$V$128</f>
        <v>3555.2</v>
      </c>
      <c r="AC128" s="6">
        <f>$M$128*$W$128</f>
        <v>0</v>
      </c>
      <c r="AD128" s="6">
        <f>$O$128*$X$128</f>
        <v>0</v>
      </c>
      <c r="AE128" s="6">
        <f ca="1">$K$128*$Y$128</f>
        <v>7096.3055464813515</v>
      </c>
      <c r="AF128" s="6">
        <f>$M$128*$Z$128</f>
        <v>0</v>
      </c>
      <c r="AG128" s="6">
        <f>$O$128*$AA$128</f>
        <v>0</v>
      </c>
    </row>
    <row r="129" spans="1:33" ht="11.25" customHeight="1" x14ac:dyDescent="0.25">
      <c r="A129" s="4" t="s">
        <v>21</v>
      </c>
      <c r="B129" s="4" t="s">
        <v>35</v>
      </c>
      <c r="C129" s="4" t="s">
        <v>56</v>
      </c>
      <c r="D129" s="4" t="s">
        <v>25</v>
      </c>
      <c r="E129" s="4" t="s">
        <v>25</v>
      </c>
      <c r="F129" s="4" t="s">
        <v>25</v>
      </c>
      <c r="G129" s="4" t="s">
        <v>61</v>
      </c>
      <c r="H129" s="4" t="s">
        <v>25</v>
      </c>
      <c r="I129" s="5">
        <v>44378</v>
      </c>
      <c r="J129" s="6">
        <v>780</v>
      </c>
      <c r="K129" s="6">
        <v>390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58</v>
      </c>
      <c r="R129" s="4">
        <v>28915</v>
      </c>
      <c r="S129" s="6">
        <v>14</v>
      </c>
      <c r="T129" s="6">
        <v>0</v>
      </c>
      <c r="U129" s="6">
        <v>0</v>
      </c>
      <c r="V129" s="6">
        <f>IF(ISERROR(VLOOKUP($S$129,'TAR FIN'!$A$1:$O$93,15,0)),0,VLOOKUP($S$129,'TAR FIN'!$A$1:$O$93,15,0))</f>
        <v>8.08</v>
      </c>
      <c r="W129" s="6">
        <f>IF(ISERROR(VLOOKUP($T$129,'TAR FIN'!$A$1:$O$93,15,0)),0,VLOOKUP($T$129,'TAR FIN'!$A$1:$O$93,15,0))</f>
        <v>0</v>
      </c>
      <c r="X129" s="6">
        <f>IF(ISERROR(VLOOKUP($U$129,'TAR FIN'!$A$1:$O$93,15,0)),0,VLOOKUP($U$129,'TAR FIN'!$A$1:$O$93,15,0))</f>
        <v>0</v>
      </c>
      <c r="Y129" s="6">
        <f ca="1">('TUSD BE'!$AM$13+'TUSD BF'!$AM$13+'TUSD CVA'!$AM$13)*1</f>
        <v>16.12796715109398</v>
      </c>
      <c r="Z129" s="6"/>
      <c r="AA129" s="6"/>
      <c r="AB129" s="6">
        <f>$K$129*$V$129</f>
        <v>3151.2</v>
      </c>
      <c r="AC129" s="6">
        <f>$M$129*$W$129</f>
        <v>0</v>
      </c>
      <c r="AD129" s="6">
        <f>$O$129*$X$129</f>
        <v>0</v>
      </c>
      <c r="AE129" s="6">
        <f ca="1">$K$129*$Y$129</f>
        <v>6289.9071889266525</v>
      </c>
      <c r="AF129" s="6">
        <f>$M$129*$Z$129</f>
        <v>0</v>
      </c>
      <c r="AG129" s="6">
        <f>$O$129*$AA$129</f>
        <v>0</v>
      </c>
    </row>
    <row r="130" spans="1:33" ht="11.25" customHeight="1" x14ac:dyDescent="0.25">
      <c r="A130" s="4" t="s">
        <v>21</v>
      </c>
      <c r="B130" s="4" t="s">
        <v>35</v>
      </c>
      <c r="C130" s="4" t="s">
        <v>56</v>
      </c>
      <c r="D130" s="4" t="s">
        <v>25</v>
      </c>
      <c r="E130" s="4" t="s">
        <v>25</v>
      </c>
      <c r="F130" s="4" t="s">
        <v>25</v>
      </c>
      <c r="G130" s="4" t="s">
        <v>62</v>
      </c>
      <c r="H130" s="4" t="s">
        <v>25</v>
      </c>
      <c r="I130" s="5">
        <v>44378</v>
      </c>
      <c r="J130" s="6">
        <v>1280</v>
      </c>
      <c r="K130" s="6">
        <v>640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58</v>
      </c>
      <c r="R130" s="4">
        <v>31695</v>
      </c>
      <c r="S130" s="6">
        <v>14</v>
      </c>
      <c r="T130" s="6">
        <v>0</v>
      </c>
      <c r="U130" s="6">
        <v>0</v>
      </c>
      <c r="V130" s="6">
        <f>IF(ISERROR(VLOOKUP($S$130,'TAR FIN'!$A$1:$O$93,15,0)),0,VLOOKUP($S$130,'TAR FIN'!$A$1:$O$93,15,0))</f>
        <v>8.08</v>
      </c>
      <c r="W130" s="6">
        <f>IF(ISERROR(VLOOKUP($T$130,'TAR FIN'!$A$1:$O$93,15,0)),0,VLOOKUP($T$130,'TAR FIN'!$A$1:$O$93,15,0))</f>
        <v>0</v>
      </c>
      <c r="X130" s="6">
        <f>IF(ISERROR(VLOOKUP($U$130,'TAR FIN'!$A$1:$O$93,15,0)),0,VLOOKUP($U$130,'TAR FIN'!$A$1:$O$93,15,0))</f>
        <v>0</v>
      </c>
      <c r="Y130" s="6">
        <f ca="1">('TUSD BE'!$AM$13+'TUSD BF'!$AM$13+'TUSD CVA'!$AM$13)*1</f>
        <v>16.12796715109398</v>
      </c>
      <c r="Z130" s="6"/>
      <c r="AA130" s="6"/>
      <c r="AB130" s="6">
        <f>$K$130*$V$130</f>
        <v>5171.2</v>
      </c>
      <c r="AC130" s="6">
        <f>$M$130*$W$130</f>
        <v>0</v>
      </c>
      <c r="AD130" s="6">
        <f>$O$130*$X$130</f>
        <v>0</v>
      </c>
      <c r="AE130" s="6">
        <f ca="1">$K$130*$Y$130</f>
        <v>10321.898976700148</v>
      </c>
      <c r="AF130" s="6">
        <f>$M$130*$Z$130</f>
        <v>0</v>
      </c>
      <c r="AG130" s="6">
        <f>$O$130*$AA$130</f>
        <v>0</v>
      </c>
    </row>
    <row r="131" spans="1:33" ht="11.25" customHeight="1" x14ac:dyDescent="0.25">
      <c r="A131" s="4" t="s">
        <v>21</v>
      </c>
      <c r="B131" s="4" t="s">
        <v>35</v>
      </c>
      <c r="C131" s="4" t="s">
        <v>56</v>
      </c>
      <c r="D131" s="4" t="s">
        <v>25</v>
      </c>
      <c r="E131" s="4" t="s">
        <v>25</v>
      </c>
      <c r="F131" s="4" t="s">
        <v>25</v>
      </c>
      <c r="G131" s="4" t="s">
        <v>63</v>
      </c>
      <c r="H131" s="4" t="s">
        <v>25</v>
      </c>
      <c r="I131" s="5">
        <v>44378</v>
      </c>
      <c r="J131" s="6">
        <v>2425</v>
      </c>
      <c r="K131" s="6">
        <v>1212.5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58</v>
      </c>
      <c r="S131" s="6">
        <v>14</v>
      </c>
      <c r="T131" s="6">
        <v>0</v>
      </c>
      <c r="U131" s="6">
        <v>0</v>
      </c>
      <c r="V131" s="6">
        <f>IF(ISERROR(VLOOKUP($S$131,'TAR FIN'!$A$1:$O$93,15,0)),0,VLOOKUP($S$131,'TAR FIN'!$A$1:$O$93,15,0))</f>
        <v>8.08</v>
      </c>
      <c r="W131" s="6">
        <f>IF(ISERROR(VLOOKUP($T$131,'TAR FIN'!$A$1:$O$93,15,0)),0,VLOOKUP($T$131,'TAR FIN'!$A$1:$O$93,15,0))</f>
        <v>0</v>
      </c>
      <c r="X131" s="6">
        <f>IF(ISERROR(VLOOKUP($U$131,'TAR FIN'!$A$1:$O$93,15,0)),0,VLOOKUP($U$131,'TAR FIN'!$A$1:$O$93,15,0))</f>
        <v>0</v>
      </c>
      <c r="Y131" s="6">
        <f ca="1">('TUSD BE'!$AM$13+'TUSD BF'!$AM$13+'TUSD CVA'!$AM$13)*1</f>
        <v>16.12796715109398</v>
      </c>
      <c r="Z131" s="6"/>
      <c r="AA131" s="6"/>
      <c r="AB131" s="6">
        <f>$K$131*$V$131</f>
        <v>9797</v>
      </c>
      <c r="AC131" s="6">
        <f>$M$131*$W$131</f>
        <v>0</v>
      </c>
      <c r="AD131" s="6">
        <f>$O$131*$X$131</f>
        <v>0</v>
      </c>
      <c r="AE131" s="6">
        <f ca="1">$K$131*$Y$131</f>
        <v>19555.160170701452</v>
      </c>
      <c r="AF131" s="6">
        <f>$M$131*$Z$131</f>
        <v>0</v>
      </c>
      <c r="AG131" s="6">
        <f>$O$131*$AA$131</f>
        <v>0</v>
      </c>
    </row>
    <row r="132" spans="1:33" ht="11.25" customHeight="1" x14ac:dyDescent="0.25">
      <c r="A132" s="4" t="s">
        <v>21</v>
      </c>
      <c r="B132" s="4" t="s">
        <v>35</v>
      </c>
      <c r="C132" s="4" t="s">
        <v>56</v>
      </c>
      <c r="D132" s="4" t="s">
        <v>25</v>
      </c>
      <c r="E132" s="4" t="s">
        <v>25</v>
      </c>
      <c r="F132" s="4" t="s">
        <v>25</v>
      </c>
      <c r="G132" s="4" t="s">
        <v>64</v>
      </c>
      <c r="H132" s="4" t="s">
        <v>25</v>
      </c>
      <c r="I132" s="5">
        <v>44378</v>
      </c>
      <c r="J132" s="6">
        <v>1100</v>
      </c>
      <c r="K132" s="6">
        <v>550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58</v>
      </c>
      <c r="S132" s="6">
        <v>14</v>
      </c>
      <c r="T132" s="6">
        <v>0</v>
      </c>
      <c r="U132" s="6">
        <v>0</v>
      </c>
      <c r="V132" s="6">
        <f>IF(ISERROR(VLOOKUP($S$132,'TAR FIN'!$A$1:$O$93,15,0)),0,VLOOKUP($S$132,'TAR FIN'!$A$1:$O$93,15,0))</f>
        <v>8.08</v>
      </c>
      <c r="W132" s="6">
        <f>IF(ISERROR(VLOOKUP($T$132,'TAR FIN'!$A$1:$O$93,15,0)),0,VLOOKUP($T$132,'TAR FIN'!$A$1:$O$93,15,0))</f>
        <v>0</v>
      </c>
      <c r="X132" s="6">
        <f>IF(ISERROR(VLOOKUP($U$132,'TAR FIN'!$A$1:$O$93,15,0)),0,VLOOKUP($U$132,'TAR FIN'!$A$1:$O$93,15,0))</f>
        <v>0</v>
      </c>
      <c r="Y132" s="6">
        <f ca="1">('TUSD BE'!$AM$13+'TUSD BF'!$AM$13+'TUSD CVA'!$AM$13)*1</f>
        <v>16.12796715109398</v>
      </c>
      <c r="Z132" s="6"/>
      <c r="AA132" s="6"/>
      <c r="AB132" s="6">
        <f>$K$132*$V$132</f>
        <v>4444</v>
      </c>
      <c r="AC132" s="6">
        <f>$M$132*$W$132</f>
        <v>0</v>
      </c>
      <c r="AD132" s="6">
        <f>$O$132*$X$132</f>
        <v>0</v>
      </c>
      <c r="AE132" s="6">
        <f ca="1">$K$132*$Y$132</f>
        <v>8870.3819331016894</v>
      </c>
      <c r="AF132" s="6">
        <f>$M$132*$Z$132</f>
        <v>0</v>
      </c>
      <c r="AG132" s="6">
        <f>$O$132*$AA$132</f>
        <v>0</v>
      </c>
    </row>
    <row r="133" spans="1:33" ht="11.25" customHeight="1" x14ac:dyDescent="0.25">
      <c r="A133" s="4" t="s">
        <v>21</v>
      </c>
      <c r="B133" s="4" t="s">
        <v>35</v>
      </c>
      <c r="C133" s="4" t="s">
        <v>56</v>
      </c>
      <c r="D133" s="4" t="s">
        <v>25</v>
      </c>
      <c r="E133" s="4" t="s">
        <v>25</v>
      </c>
      <c r="F133" s="4" t="s">
        <v>25</v>
      </c>
      <c r="G133" s="4" t="s">
        <v>57</v>
      </c>
      <c r="H133" s="4" t="s">
        <v>25</v>
      </c>
      <c r="I133" s="5">
        <v>44409</v>
      </c>
      <c r="J133" s="6">
        <v>705</v>
      </c>
      <c r="K133" s="6">
        <v>352.5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58</v>
      </c>
      <c r="R133" s="4">
        <v>706</v>
      </c>
      <c r="S133" s="6">
        <v>14</v>
      </c>
      <c r="T133" s="6">
        <v>0</v>
      </c>
      <c r="U133" s="6">
        <v>0</v>
      </c>
      <c r="V133" s="6">
        <f>IF(ISERROR(VLOOKUP($S$133,'TAR FIN'!$A$1:$O$93,15,0)),0,VLOOKUP($S$133,'TAR FIN'!$A$1:$O$93,15,0))</f>
        <v>8.08</v>
      </c>
      <c r="W133" s="6">
        <f>IF(ISERROR(VLOOKUP($T$133,'TAR FIN'!$A$1:$O$93,15,0)),0,VLOOKUP($T$133,'TAR FIN'!$A$1:$O$93,15,0))</f>
        <v>0</v>
      </c>
      <c r="X133" s="6">
        <f>IF(ISERROR(VLOOKUP($U$133,'TAR FIN'!$A$1:$O$93,15,0)),0,VLOOKUP($U$133,'TAR FIN'!$A$1:$O$93,15,0))</f>
        <v>0</v>
      </c>
      <c r="Y133" s="6">
        <f ca="1">('TUSD BE'!$AM$13+'TUSD BF'!$AM$13+'TUSD CVA'!$AM$13)*1</f>
        <v>16.12796715109398</v>
      </c>
      <c r="Z133" s="6"/>
      <c r="AA133" s="6"/>
      <c r="AB133" s="6">
        <f>$K$133*$V$133</f>
        <v>2848.2</v>
      </c>
      <c r="AC133" s="6">
        <f>$M$133*$W$133</f>
        <v>0</v>
      </c>
      <c r="AD133" s="6">
        <f>$O$133*$X$133</f>
        <v>0</v>
      </c>
      <c r="AE133" s="6">
        <f ca="1">$K$133*$Y$133</f>
        <v>5685.1084207606282</v>
      </c>
      <c r="AF133" s="6">
        <f>$M$133*$Z$133</f>
        <v>0</v>
      </c>
      <c r="AG133" s="6">
        <f>$O$133*$AA$133</f>
        <v>0</v>
      </c>
    </row>
    <row r="134" spans="1:33" ht="11.25" customHeight="1" x14ac:dyDescent="0.25">
      <c r="A134" s="4" t="s">
        <v>21</v>
      </c>
      <c r="B134" s="4" t="s">
        <v>35</v>
      </c>
      <c r="C134" s="4" t="s">
        <v>56</v>
      </c>
      <c r="D134" s="4" t="s">
        <v>25</v>
      </c>
      <c r="E134" s="4" t="s">
        <v>25</v>
      </c>
      <c r="F134" s="4" t="s">
        <v>25</v>
      </c>
      <c r="G134" s="4" t="s">
        <v>59</v>
      </c>
      <c r="H134" s="4" t="s">
        <v>25</v>
      </c>
      <c r="I134" s="5">
        <v>44409</v>
      </c>
      <c r="J134" s="6">
        <v>3700</v>
      </c>
      <c r="K134" s="6">
        <v>1850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58</v>
      </c>
      <c r="R134" s="4">
        <v>877</v>
      </c>
      <c r="S134" s="6">
        <v>14</v>
      </c>
      <c r="T134" s="6">
        <v>0</v>
      </c>
      <c r="U134" s="6">
        <v>0</v>
      </c>
      <c r="V134" s="6">
        <f>IF(ISERROR(VLOOKUP($S$134,'TAR FIN'!$A$1:$O$93,15,0)),0,VLOOKUP($S$134,'TAR FIN'!$A$1:$O$93,15,0))</f>
        <v>8.08</v>
      </c>
      <c r="W134" s="6">
        <f>IF(ISERROR(VLOOKUP($T$134,'TAR FIN'!$A$1:$O$93,15,0)),0,VLOOKUP($T$134,'TAR FIN'!$A$1:$O$93,15,0))</f>
        <v>0</v>
      </c>
      <c r="X134" s="6">
        <f>IF(ISERROR(VLOOKUP($U$134,'TAR FIN'!$A$1:$O$93,15,0)),0,VLOOKUP($U$134,'TAR FIN'!$A$1:$O$93,15,0))</f>
        <v>0</v>
      </c>
      <c r="Y134" s="6">
        <f ca="1">('TUSD BE'!$AM$13+'TUSD BF'!$AM$13+'TUSD CVA'!$AM$13)*1</f>
        <v>16.12796715109398</v>
      </c>
      <c r="Z134" s="6"/>
      <c r="AA134" s="6"/>
      <c r="AB134" s="6">
        <f>$K$134*$V$134</f>
        <v>14948</v>
      </c>
      <c r="AC134" s="6">
        <f>$M$134*$W$134</f>
        <v>0</v>
      </c>
      <c r="AD134" s="6">
        <f>$O$134*$X$134</f>
        <v>0</v>
      </c>
      <c r="AE134" s="6">
        <f ca="1">$K$134*$Y$134</f>
        <v>29836.739229523864</v>
      </c>
      <c r="AF134" s="6">
        <f>$M$134*$Z$134</f>
        <v>0</v>
      </c>
      <c r="AG134" s="6">
        <f>$O$134*$AA$134</f>
        <v>0</v>
      </c>
    </row>
    <row r="135" spans="1:33" ht="11.25" customHeight="1" x14ac:dyDescent="0.25">
      <c r="A135" s="4" t="s">
        <v>21</v>
      </c>
      <c r="B135" s="4" t="s">
        <v>35</v>
      </c>
      <c r="C135" s="4" t="s">
        <v>56</v>
      </c>
      <c r="D135" s="4" t="s">
        <v>25</v>
      </c>
      <c r="E135" s="4" t="s">
        <v>25</v>
      </c>
      <c r="F135" s="4" t="s">
        <v>25</v>
      </c>
      <c r="G135" s="4" t="s">
        <v>60</v>
      </c>
      <c r="H135" s="4" t="s">
        <v>25</v>
      </c>
      <c r="I135" s="5">
        <v>44409</v>
      </c>
      <c r="J135" s="6">
        <v>880</v>
      </c>
      <c r="K135" s="6">
        <v>440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58</v>
      </c>
      <c r="R135" s="4">
        <v>2317</v>
      </c>
      <c r="S135" s="6">
        <v>14</v>
      </c>
      <c r="T135" s="6">
        <v>0</v>
      </c>
      <c r="U135" s="6">
        <v>0</v>
      </c>
      <c r="V135" s="6">
        <f>IF(ISERROR(VLOOKUP($S$135,'TAR FIN'!$A$1:$O$93,15,0)),0,VLOOKUP($S$135,'TAR FIN'!$A$1:$O$93,15,0))</f>
        <v>8.08</v>
      </c>
      <c r="W135" s="6">
        <f>IF(ISERROR(VLOOKUP($T$135,'TAR FIN'!$A$1:$O$93,15,0)),0,VLOOKUP($T$135,'TAR FIN'!$A$1:$O$93,15,0))</f>
        <v>0</v>
      </c>
      <c r="X135" s="6">
        <f>IF(ISERROR(VLOOKUP($U$135,'TAR FIN'!$A$1:$O$93,15,0)),0,VLOOKUP($U$135,'TAR FIN'!$A$1:$O$93,15,0))</f>
        <v>0</v>
      </c>
      <c r="Y135" s="6">
        <f ca="1">('TUSD BE'!$AM$13+'TUSD BF'!$AM$13+'TUSD CVA'!$AM$13)*1</f>
        <v>16.12796715109398</v>
      </c>
      <c r="Z135" s="6"/>
      <c r="AA135" s="6"/>
      <c r="AB135" s="6">
        <f>$K$135*$V$135</f>
        <v>3555.2</v>
      </c>
      <c r="AC135" s="6">
        <f>$M$135*$W$135</f>
        <v>0</v>
      </c>
      <c r="AD135" s="6">
        <f>$O$135*$X$135</f>
        <v>0</v>
      </c>
      <c r="AE135" s="6">
        <f ca="1">$K$135*$Y$135</f>
        <v>7096.3055464813515</v>
      </c>
      <c r="AF135" s="6">
        <f>$M$135*$Z$135</f>
        <v>0</v>
      </c>
      <c r="AG135" s="6">
        <f>$O$135*$AA$135</f>
        <v>0</v>
      </c>
    </row>
    <row r="136" spans="1:33" ht="11.25" customHeight="1" x14ac:dyDescent="0.25">
      <c r="A136" s="4" t="s">
        <v>21</v>
      </c>
      <c r="B136" s="4" t="s">
        <v>35</v>
      </c>
      <c r="C136" s="4" t="s">
        <v>56</v>
      </c>
      <c r="D136" s="4" t="s">
        <v>25</v>
      </c>
      <c r="E136" s="4" t="s">
        <v>25</v>
      </c>
      <c r="F136" s="4" t="s">
        <v>25</v>
      </c>
      <c r="G136" s="4" t="s">
        <v>61</v>
      </c>
      <c r="H136" s="4" t="s">
        <v>25</v>
      </c>
      <c r="I136" s="5">
        <v>44409</v>
      </c>
      <c r="J136" s="6">
        <v>780</v>
      </c>
      <c r="K136" s="6">
        <v>390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4" t="s">
        <v>58</v>
      </c>
      <c r="R136" s="4">
        <v>28915</v>
      </c>
      <c r="S136" s="6">
        <v>14</v>
      </c>
      <c r="T136" s="6">
        <v>0</v>
      </c>
      <c r="U136" s="6">
        <v>0</v>
      </c>
      <c r="V136" s="6">
        <f>IF(ISERROR(VLOOKUP($S$136,'TAR FIN'!$A$1:$O$93,15,0)),0,VLOOKUP($S$136,'TAR FIN'!$A$1:$O$93,15,0))</f>
        <v>8.08</v>
      </c>
      <c r="W136" s="6">
        <f>IF(ISERROR(VLOOKUP($T$136,'TAR FIN'!$A$1:$O$93,15,0)),0,VLOOKUP($T$136,'TAR FIN'!$A$1:$O$93,15,0))</f>
        <v>0</v>
      </c>
      <c r="X136" s="6">
        <f>IF(ISERROR(VLOOKUP($U$136,'TAR FIN'!$A$1:$O$93,15,0)),0,VLOOKUP($U$136,'TAR FIN'!$A$1:$O$93,15,0))</f>
        <v>0</v>
      </c>
      <c r="Y136" s="6">
        <f ca="1">('TUSD BE'!$AM$13+'TUSD BF'!$AM$13+'TUSD CVA'!$AM$13)*1</f>
        <v>16.12796715109398</v>
      </c>
      <c r="Z136" s="6"/>
      <c r="AA136" s="6"/>
      <c r="AB136" s="6">
        <f>$K$136*$V$136</f>
        <v>3151.2</v>
      </c>
      <c r="AC136" s="6">
        <f>$M$136*$W$136</f>
        <v>0</v>
      </c>
      <c r="AD136" s="6">
        <f>$O$136*$X$136</f>
        <v>0</v>
      </c>
      <c r="AE136" s="6">
        <f ca="1">$K$136*$Y$136</f>
        <v>6289.9071889266525</v>
      </c>
      <c r="AF136" s="6">
        <f>$M$136*$Z$136</f>
        <v>0</v>
      </c>
      <c r="AG136" s="6">
        <f>$O$136*$AA$136</f>
        <v>0</v>
      </c>
    </row>
    <row r="137" spans="1:33" ht="11.25" customHeight="1" x14ac:dyDescent="0.25">
      <c r="A137" s="4" t="s">
        <v>21</v>
      </c>
      <c r="B137" s="4" t="s">
        <v>35</v>
      </c>
      <c r="C137" s="4" t="s">
        <v>56</v>
      </c>
      <c r="D137" s="4" t="s">
        <v>25</v>
      </c>
      <c r="E137" s="4" t="s">
        <v>25</v>
      </c>
      <c r="F137" s="4" t="s">
        <v>25</v>
      </c>
      <c r="G137" s="4" t="s">
        <v>62</v>
      </c>
      <c r="H137" s="4" t="s">
        <v>25</v>
      </c>
      <c r="I137" s="5">
        <v>44409</v>
      </c>
      <c r="J137" s="6">
        <v>1280</v>
      </c>
      <c r="K137" s="6">
        <v>640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4" t="s">
        <v>58</v>
      </c>
      <c r="R137" s="4">
        <v>31695</v>
      </c>
      <c r="S137" s="6">
        <v>14</v>
      </c>
      <c r="T137" s="6">
        <v>0</v>
      </c>
      <c r="U137" s="6">
        <v>0</v>
      </c>
      <c r="V137" s="6">
        <f>IF(ISERROR(VLOOKUP($S$137,'TAR FIN'!$A$1:$O$93,15,0)),0,VLOOKUP($S$137,'TAR FIN'!$A$1:$O$93,15,0))</f>
        <v>8.08</v>
      </c>
      <c r="W137" s="6">
        <f>IF(ISERROR(VLOOKUP($T$137,'TAR FIN'!$A$1:$O$93,15,0)),0,VLOOKUP($T$137,'TAR FIN'!$A$1:$O$93,15,0))</f>
        <v>0</v>
      </c>
      <c r="X137" s="6">
        <f>IF(ISERROR(VLOOKUP($U$137,'TAR FIN'!$A$1:$O$93,15,0)),0,VLOOKUP($U$137,'TAR FIN'!$A$1:$O$93,15,0))</f>
        <v>0</v>
      </c>
      <c r="Y137" s="6">
        <f ca="1">('TUSD BE'!$AM$13+'TUSD BF'!$AM$13+'TUSD CVA'!$AM$13)*1</f>
        <v>16.12796715109398</v>
      </c>
      <c r="Z137" s="6"/>
      <c r="AA137" s="6"/>
      <c r="AB137" s="6">
        <f>$K$137*$V$137</f>
        <v>5171.2</v>
      </c>
      <c r="AC137" s="6">
        <f>$M$137*$W$137</f>
        <v>0</v>
      </c>
      <c r="AD137" s="6">
        <f>$O$137*$X$137</f>
        <v>0</v>
      </c>
      <c r="AE137" s="6">
        <f ca="1">$K$137*$Y$137</f>
        <v>10321.898976700148</v>
      </c>
      <c r="AF137" s="6">
        <f>$M$137*$Z$137</f>
        <v>0</v>
      </c>
      <c r="AG137" s="6">
        <f>$O$137*$AA$137</f>
        <v>0</v>
      </c>
    </row>
    <row r="138" spans="1:33" ht="11.25" customHeight="1" x14ac:dyDescent="0.25">
      <c r="A138" s="4" t="s">
        <v>21</v>
      </c>
      <c r="B138" s="4" t="s">
        <v>35</v>
      </c>
      <c r="C138" s="4" t="s">
        <v>56</v>
      </c>
      <c r="D138" s="4" t="s">
        <v>25</v>
      </c>
      <c r="E138" s="4" t="s">
        <v>25</v>
      </c>
      <c r="F138" s="4" t="s">
        <v>25</v>
      </c>
      <c r="G138" s="4" t="s">
        <v>63</v>
      </c>
      <c r="H138" s="4" t="s">
        <v>25</v>
      </c>
      <c r="I138" s="5">
        <v>44409</v>
      </c>
      <c r="J138" s="6">
        <v>2425</v>
      </c>
      <c r="K138" s="6">
        <v>1212.5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4" t="s">
        <v>58</v>
      </c>
      <c r="S138" s="6">
        <v>14</v>
      </c>
      <c r="T138" s="6">
        <v>0</v>
      </c>
      <c r="U138" s="6">
        <v>0</v>
      </c>
      <c r="V138" s="6">
        <f>IF(ISERROR(VLOOKUP($S$138,'TAR FIN'!$A$1:$O$93,15,0)),0,VLOOKUP($S$138,'TAR FIN'!$A$1:$O$93,15,0))</f>
        <v>8.08</v>
      </c>
      <c r="W138" s="6">
        <f>IF(ISERROR(VLOOKUP($T$138,'TAR FIN'!$A$1:$O$93,15,0)),0,VLOOKUP($T$138,'TAR FIN'!$A$1:$O$93,15,0))</f>
        <v>0</v>
      </c>
      <c r="X138" s="6">
        <f>IF(ISERROR(VLOOKUP($U$138,'TAR FIN'!$A$1:$O$93,15,0)),0,VLOOKUP($U$138,'TAR FIN'!$A$1:$O$93,15,0))</f>
        <v>0</v>
      </c>
      <c r="Y138" s="6">
        <f ca="1">('TUSD BE'!$AM$13+'TUSD BF'!$AM$13+'TUSD CVA'!$AM$13)*1</f>
        <v>16.12796715109398</v>
      </c>
      <c r="Z138" s="6"/>
      <c r="AA138" s="6"/>
      <c r="AB138" s="6">
        <f>$K$138*$V$138</f>
        <v>9797</v>
      </c>
      <c r="AC138" s="6">
        <f>$M$138*$W$138</f>
        <v>0</v>
      </c>
      <c r="AD138" s="6">
        <f>$O$138*$X$138</f>
        <v>0</v>
      </c>
      <c r="AE138" s="6">
        <f ca="1">$K$138*$Y$138</f>
        <v>19555.160170701452</v>
      </c>
      <c r="AF138" s="6">
        <f>$M$138*$Z$138</f>
        <v>0</v>
      </c>
      <c r="AG138" s="6">
        <f>$O$138*$AA$138</f>
        <v>0</v>
      </c>
    </row>
    <row r="139" spans="1:33" ht="11.25" customHeight="1" x14ac:dyDescent="0.25">
      <c r="A139" s="4" t="s">
        <v>21</v>
      </c>
      <c r="B139" s="4" t="s">
        <v>35</v>
      </c>
      <c r="C139" s="4" t="s">
        <v>56</v>
      </c>
      <c r="D139" s="4" t="s">
        <v>25</v>
      </c>
      <c r="E139" s="4" t="s">
        <v>25</v>
      </c>
      <c r="F139" s="4" t="s">
        <v>25</v>
      </c>
      <c r="G139" s="4" t="s">
        <v>64</v>
      </c>
      <c r="H139" s="4" t="s">
        <v>25</v>
      </c>
      <c r="I139" s="5">
        <v>44409</v>
      </c>
      <c r="J139" s="6">
        <v>1100</v>
      </c>
      <c r="K139" s="6">
        <v>550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4" t="s">
        <v>58</v>
      </c>
      <c r="S139" s="6">
        <v>14</v>
      </c>
      <c r="T139" s="6">
        <v>0</v>
      </c>
      <c r="U139" s="6">
        <v>0</v>
      </c>
      <c r="V139" s="6">
        <f>IF(ISERROR(VLOOKUP($S$139,'TAR FIN'!$A$1:$O$93,15,0)),0,VLOOKUP($S$139,'TAR FIN'!$A$1:$O$93,15,0))</f>
        <v>8.08</v>
      </c>
      <c r="W139" s="6">
        <f>IF(ISERROR(VLOOKUP($T$139,'TAR FIN'!$A$1:$O$93,15,0)),0,VLOOKUP($T$139,'TAR FIN'!$A$1:$O$93,15,0))</f>
        <v>0</v>
      </c>
      <c r="X139" s="6">
        <f>IF(ISERROR(VLOOKUP($U$139,'TAR FIN'!$A$1:$O$93,15,0)),0,VLOOKUP($U$139,'TAR FIN'!$A$1:$O$93,15,0))</f>
        <v>0</v>
      </c>
      <c r="Y139" s="6">
        <f ca="1">('TUSD BE'!$AM$13+'TUSD BF'!$AM$13+'TUSD CVA'!$AM$13)*1</f>
        <v>16.12796715109398</v>
      </c>
      <c r="Z139" s="6"/>
      <c r="AA139" s="6"/>
      <c r="AB139" s="6">
        <f>$K$139*$V$139</f>
        <v>4444</v>
      </c>
      <c r="AC139" s="6">
        <f>$M$139*$W$139</f>
        <v>0</v>
      </c>
      <c r="AD139" s="6">
        <f>$O$139*$X$139</f>
        <v>0</v>
      </c>
      <c r="AE139" s="6">
        <f ca="1">$K$139*$Y$139</f>
        <v>8870.3819331016894</v>
      </c>
      <c r="AF139" s="6">
        <f>$M$139*$Z$139</f>
        <v>0</v>
      </c>
      <c r="AG139" s="6">
        <f>$O$139*$AA$139</f>
        <v>0</v>
      </c>
    </row>
    <row r="140" spans="1:33" ht="11.25" customHeight="1" x14ac:dyDescent="0.25">
      <c r="A140" s="4" t="s">
        <v>21</v>
      </c>
      <c r="B140" s="4" t="s">
        <v>35</v>
      </c>
      <c r="C140" s="4" t="s">
        <v>56</v>
      </c>
      <c r="D140" s="4" t="s">
        <v>25</v>
      </c>
      <c r="E140" s="4" t="s">
        <v>25</v>
      </c>
      <c r="F140" s="4" t="s">
        <v>25</v>
      </c>
      <c r="G140" s="4" t="s">
        <v>57</v>
      </c>
      <c r="H140" s="4" t="s">
        <v>25</v>
      </c>
      <c r="I140" s="5">
        <v>44440</v>
      </c>
      <c r="J140" s="6">
        <v>705</v>
      </c>
      <c r="K140" s="6">
        <v>352.5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4" t="s">
        <v>58</v>
      </c>
      <c r="R140" s="4">
        <v>706</v>
      </c>
      <c r="S140" s="6">
        <v>14</v>
      </c>
      <c r="T140" s="6">
        <v>0</v>
      </c>
      <c r="U140" s="6">
        <v>0</v>
      </c>
      <c r="V140" s="6">
        <f>IF(ISERROR(VLOOKUP($S$140,'TAR FIN'!$A$1:$O$93,15,0)),0,VLOOKUP($S$140,'TAR FIN'!$A$1:$O$93,15,0))</f>
        <v>8.08</v>
      </c>
      <c r="W140" s="6">
        <f>IF(ISERROR(VLOOKUP($T$140,'TAR FIN'!$A$1:$O$93,15,0)),0,VLOOKUP($T$140,'TAR FIN'!$A$1:$O$93,15,0))</f>
        <v>0</v>
      </c>
      <c r="X140" s="6">
        <f>IF(ISERROR(VLOOKUP($U$140,'TAR FIN'!$A$1:$O$93,15,0)),0,VLOOKUP($U$140,'TAR FIN'!$A$1:$O$93,15,0))</f>
        <v>0</v>
      </c>
      <c r="Y140" s="6">
        <f ca="1">('TUSD BE'!$AM$13+'TUSD BF'!$AM$13+'TUSD CVA'!$AM$13)*1</f>
        <v>16.12796715109398</v>
      </c>
      <c r="Z140" s="6"/>
      <c r="AA140" s="6"/>
      <c r="AB140" s="6">
        <f>$K$140*$V$140</f>
        <v>2848.2</v>
      </c>
      <c r="AC140" s="6">
        <f>$M$140*$W$140</f>
        <v>0</v>
      </c>
      <c r="AD140" s="6">
        <f>$O$140*$X$140</f>
        <v>0</v>
      </c>
      <c r="AE140" s="6">
        <f ca="1">$K$140*$Y$140</f>
        <v>5685.1084207606282</v>
      </c>
      <c r="AF140" s="6">
        <f>$M$140*$Z$140</f>
        <v>0</v>
      </c>
      <c r="AG140" s="6">
        <f>$O$140*$AA$140</f>
        <v>0</v>
      </c>
    </row>
    <row r="141" spans="1:33" ht="11.25" customHeight="1" x14ac:dyDescent="0.25">
      <c r="A141" s="4" t="s">
        <v>21</v>
      </c>
      <c r="B141" s="4" t="s">
        <v>35</v>
      </c>
      <c r="C141" s="4" t="s">
        <v>56</v>
      </c>
      <c r="D141" s="4" t="s">
        <v>25</v>
      </c>
      <c r="E141" s="4" t="s">
        <v>25</v>
      </c>
      <c r="F141" s="4" t="s">
        <v>25</v>
      </c>
      <c r="G141" s="4" t="s">
        <v>59</v>
      </c>
      <c r="H141" s="4" t="s">
        <v>25</v>
      </c>
      <c r="I141" s="5">
        <v>44440</v>
      </c>
      <c r="J141" s="6">
        <v>3700</v>
      </c>
      <c r="K141" s="6">
        <v>1850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58</v>
      </c>
      <c r="R141" s="4">
        <v>877</v>
      </c>
      <c r="S141" s="6">
        <v>14</v>
      </c>
      <c r="T141" s="6">
        <v>0</v>
      </c>
      <c r="U141" s="6">
        <v>0</v>
      </c>
      <c r="V141" s="6">
        <f>IF(ISERROR(VLOOKUP($S$141,'TAR FIN'!$A$1:$O$93,15,0)),0,VLOOKUP($S$141,'TAR FIN'!$A$1:$O$93,15,0))</f>
        <v>8.08</v>
      </c>
      <c r="W141" s="6">
        <f>IF(ISERROR(VLOOKUP($T$141,'TAR FIN'!$A$1:$O$93,15,0)),0,VLOOKUP($T$141,'TAR FIN'!$A$1:$O$93,15,0))</f>
        <v>0</v>
      </c>
      <c r="X141" s="6">
        <f>IF(ISERROR(VLOOKUP($U$141,'TAR FIN'!$A$1:$O$93,15,0)),0,VLOOKUP($U$141,'TAR FIN'!$A$1:$O$93,15,0))</f>
        <v>0</v>
      </c>
      <c r="Y141" s="6">
        <f ca="1">('TUSD BE'!$AM$13+'TUSD BF'!$AM$13+'TUSD CVA'!$AM$13)*1</f>
        <v>16.12796715109398</v>
      </c>
      <c r="Z141" s="6"/>
      <c r="AA141" s="6"/>
      <c r="AB141" s="6">
        <f>$K$141*$V$141</f>
        <v>14948</v>
      </c>
      <c r="AC141" s="6">
        <f>$M$141*$W$141</f>
        <v>0</v>
      </c>
      <c r="AD141" s="6">
        <f>$O$141*$X$141</f>
        <v>0</v>
      </c>
      <c r="AE141" s="6">
        <f ca="1">$K$141*$Y$141</f>
        <v>29836.739229523864</v>
      </c>
      <c r="AF141" s="6">
        <f>$M$141*$Z$141</f>
        <v>0</v>
      </c>
      <c r="AG141" s="6">
        <f>$O$141*$AA$141</f>
        <v>0</v>
      </c>
    </row>
    <row r="142" spans="1:33" ht="11.25" customHeight="1" x14ac:dyDescent="0.25">
      <c r="A142" s="4" t="s">
        <v>21</v>
      </c>
      <c r="B142" s="4" t="s">
        <v>35</v>
      </c>
      <c r="C142" s="4" t="s">
        <v>56</v>
      </c>
      <c r="D142" s="4" t="s">
        <v>25</v>
      </c>
      <c r="E142" s="4" t="s">
        <v>25</v>
      </c>
      <c r="F142" s="4" t="s">
        <v>25</v>
      </c>
      <c r="G142" s="4" t="s">
        <v>60</v>
      </c>
      <c r="H142" s="4" t="s">
        <v>25</v>
      </c>
      <c r="I142" s="5">
        <v>44440</v>
      </c>
      <c r="J142" s="6">
        <v>880</v>
      </c>
      <c r="K142" s="6">
        <v>440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58</v>
      </c>
      <c r="R142" s="4">
        <v>2317</v>
      </c>
      <c r="S142" s="6">
        <v>14</v>
      </c>
      <c r="T142" s="6">
        <v>0</v>
      </c>
      <c r="U142" s="6">
        <v>0</v>
      </c>
      <c r="V142" s="6">
        <f>IF(ISERROR(VLOOKUP($S$142,'TAR FIN'!$A$1:$O$93,15,0)),0,VLOOKUP($S$142,'TAR FIN'!$A$1:$O$93,15,0))</f>
        <v>8.08</v>
      </c>
      <c r="W142" s="6">
        <f>IF(ISERROR(VLOOKUP($T$142,'TAR FIN'!$A$1:$O$93,15,0)),0,VLOOKUP($T$142,'TAR FIN'!$A$1:$O$93,15,0))</f>
        <v>0</v>
      </c>
      <c r="X142" s="6">
        <f>IF(ISERROR(VLOOKUP($U$142,'TAR FIN'!$A$1:$O$93,15,0)),0,VLOOKUP($U$142,'TAR FIN'!$A$1:$O$93,15,0))</f>
        <v>0</v>
      </c>
      <c r="Y142" s="6">
        <f ca="1">('TUSD BE'!$AM$13+'TUSD BF'!$AM$13+'TUSD CVA'!$AM$13)*1</f>
        <v>16.12796715109398</v>
      </c>
      <c r="Z142" s="6"/>
      <c r="AA142" s="6"/>
      <c r="AB142" s="6">
        <f>$K$142*$V$142</f>
        <v>3555.2</v>
      </c>
      <c r="AC142" s="6">
        <f>$M$142*$W$142</f>
        <v>0</v>
      </c>
      <c r="AD142" s="6">
        <f>$O$142*$X$142</f>
        <v>0</v>
      </c>
      <c r="AE142" s="6">
        <f ca="1">$K$142*$Y$142</f>
        <v>7096.3055464813515</v>
      </c>
      <c r="AF142" s="6">
        <f>$M$142*$Z$142</f>
        <v>0</v>
      </c>
      <c r="AG142" s="6">
        <f>$O$142*$AA$142</f>
        <v>0</v>
      </c>
    </row>
    <row r="143" spans="1:33" ht="11.25" customHeight="1" x14ac:dyDescent="0.25">
      <c r="A143" s="4" t="s">
        <v>21</v>
      </c>
      <c r="B143" s="4" t="s">
        <v>35</v>
      </c>
      <c r="C143" s="4" t="s">
        <v>56</v>
      </c>
      <c r="D143" s="4" t="s">
        <v>25</v>
      </c>
      <c r="E143" s="4" t="s">
        <v>25</v>
      </c>
      <c r="F143" s="4" t="s">
        <v>25</v>
      </c>
      <c r="G143" s="4" t="s">
        <v>61</v>
      </c>
      <c r="H143" s="4" t="s">
        <v>25</v>
      </c>
      <c r="I143" s="5">
        <v>44440</v>
      </c>
      <c r="J143" s="6">
        <v>780</v>
      </c>
      <c r="K143" s="6">
        <v>390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58</v>
      </c>
      <c r="R143" s="4">
        <v>28915</v>
      </c>
      <c r="S143" s="6">
        <v>14</v>
      </c>
      <c r="T143" s="6">
        <v>0</v>
      </c>
      <c r="U143" s="6">
        <v>0</v>
      </c>
      <c r="V143" s="6">
        <f>IF(ISERROR(VLOOKUP($S$143,'TAR FIN'!$A$1:$O$93,15,0)),0,VLOOKUP($S$143,'TAR FIN'!$A$1:$O$93,15,0))</f>
        <v>8.08</v>
      </c>
      <c r="W143" s="6">
        <f>IF(ISERROR(VLOOKUP($T$143,'TAR FIN'!$A$1:$O$93,15,0)),0,VLOOKUP($T$143,'TAR FIN'!$A$1:$O$93,15,0))</f>
        <v>0</v>
      </c>
      <c r="X143" s="6">
        <f>IF(ISERROR(VLOOKUP($U$143,'TAR FIN'!$A$1:$O$93,15,0)),0,VLOOKUP($U$143,'TAR FIN'!$A$1:$O$93,15,0))</f>
        <v>0</v>
      </c>
      <c r="Y143" s="6">
        <f ca="1">('TUSD BE'!$AM$13+'TUSD BF'!$AM$13+'TUSD CVA'!$AM$13)*1</f>
        <v>16.12796715109398</v>
      </c>
      <c r="Z143" s="6"/>
      <c r="AA143" s="6"/>
      <c r="AB143" s="6">
        <f>$K$143*$V$143</f>
        <v>3151.2</v>
      </c>
      <c r="AC143" s="6">
        <f>$M$143*$W$143</f>
        <v>0</v>
      </c>
      <c r="AD143" s="6">
        <f>$O$143*$X$143</f>
        <v>0</v>
      </c>
      <c r="AE143" s="6">
        <f ca="1">$K$143*$Y$143</f>
        <v>6289.9071889266525</v>
      </c>
      <c r="AF143" s="6">
        <f>$M$143*$Z$143</f>
        <v>0</v>
      </c>
      <c r="AG143" s="6">
        <f>$O$143*$AA$143</f>
        <v>0</v>
      </c>
    </row>
    <row r="144" spans="1:33" ht="11.25" customHeight="1" x14ac:dyDescent="0.25">
      <c r="A144" s="4" t="s">
        <v>21</v>
      </c>
      <c r="B144" s="4" t="s">
        <v>35</v>
      </c>
      <c r="C144" s="4" t="s">
        <v>56</v>
      </c>
      <c r="D144" s="4" t="s">
        <v>25</v>
      </c>
      <c r="E144" s="4" t="s">
        <v>25</v>
      </c>
      <c r="F144" s="4" t="s">
        <v>25</v>
      </c>
      <c r="G144" s="4" t="s">
        <v>62</v>
      </c>
      <c r="H144" s="4" t="s">
        <v>25</v>
      </c>
      <c r="I144" s="5">
        <v>44440</v>
      </c>
      <c r="J144" s="6">
        <v>1280</v>
      </c>
      <c r="K144" s="6">
        <v>640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4" t="s">
        <v>58</v>
      </c>
      <c r="R144" s="4">
        <v>31695</v>
      </c>
      <c r="S144" s="6">
        <v>14</v>
      </c>
      <c r="T144" s="6">
        <v>0</v>
      </c>
      <c r="U144" s="6">
        <v>0</v>
      </c>
      <c r="V144" s="6">
        <f>IF(ISERROR(VLOOKUP($S$144,'TAR FIN'!$A$1:$O$93,15,0)),0,VLOOKUP($S$144,'TAR FIN'!$A$1:$O$93,15,0))</f>
        <v>8.08</v>
      </c>
      <c r="W144" s="6">
        <f>IF(ISERROR(VLOOKUP($T$144,'TAR FIN'!$A$1:$O$93,15,0)),0,VLOOKUP($T$144,'TAR FIN'!$A$1:$O$93,15,0))</f>
        <v>0</v>
      </c>
      <c r="X144" s="6">
        <f>IF(ISERROR(VLOOKUP($U$144,'TAR FIN'!$A$1:$O$93,15,0)),0,VLOOKUP($U$144,'TAR FIN'!$A$1:$O$93,15,0))</f>
        <v>0</v>
      </c>
      <c r="Y144" s="6">
        <f ca="1">('TUSD BE'!$AM$13+'TUSD BF'!$AM$13+'TUSD CVA'!$AM$13)*1</f>
        <v>16.12796715109398</v>
      </c>
      <c r="Z144" s="6"/>
      <c r="AA144" s="6"/>
      <c r="AB144" s="6">
        <f>$K$144*$V$144</f>
        <v>5171.2</v>
      </c>
      <c r="AC144" s="6">
        <f>$M$144*$W$144</f>
        <v>0</v>
      </c>
      <c r="AD144" s="6">
        <f>$O$144*$X$144</f>
        <v>0</v>
      </c>
      <c r="AE144" s="6">
        <f ca="1">$K$144*$Y$144</f>
        <v>10321.898976700148</v>
      </c>
      <c r="AF144" s="6">
        <f>$M$144*$Z$144</f>
        <v>0</v>
      </c>
      <c r="AG144" s="6">
        <f>$O$144*$AA$144</f>
        <v>0</v>
      </c>
    </row>
    <row r="145" spans="1:33" ht="11.25" customHeight="1" x14ac:dyDescent="0.25">
      <c r="A145" s="4" t="s">
        <v>21</v>
      </c>
      <c r="B145" s="4" t="s">
        <v>35</v>
      </c>
      <c r="C145" s="4" t="s">
        <v>56</v>
      </c>
      <c r="D145" s="4" t="s">
        <v>25</v>
      </c>
      <c r="E145" s="4" t="s">
        <v>25</v>
      </c>
      <c r="F145" s="4" t="s">
        <v>25</v>
      </c>
      <c r="G145" s="4" t="s">
        <v>63</v>
      </c>
      <c r="H145" s="4" t="s">
        <v>25</v>
      </c>
      <c r="I145" s="5">
        <v>44440</v>
      </c>
      <c r="J145" s="6">
        <v>2425</v>
      </c>
      <c r="K145" s="6">
        <v>1212.5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4" t="s">
        <v>58</v>
      </c>
      <c r="S145" s="6">
        <v>14</v>
      </c>
      <c r="T145" s="6">
        <v>0</v>
      </c>
      <c r="U145" s="6">
        <v>0</v>
      </c>
      <c r="V145" s="6">
        <f>IF(ISERROR(VLOOKUP($S$145,'TAR FIN'!$A$1:$O$93,15,0)),0,VLOOKUP($S$145,'TAR FIN'!$A$1:$O$93,15,0))</f>
        <v>8.08</v>
      </c>
      <c r="W145" s="6">
        <f>IF(ISERROR(VLOOKUP($T$145,'TAR FIN'!$A$1:$O$93,15,0)),0,VLOOKUP($T$145,'TAR FIN'!$A$1:$O$93,15,0))</f>
        <v>0</v>
      </c>
      <c r="X145" s="6">
        <f>IF(ISERROR(VLOOKUP($U$145,'TAR FIN'!$A$1:$O$93,15,0)),0,VLOOKUP($U$145,'TAR FIN'!$A$1:$O$93,15,0))</f>
        <v>0</v>
      </c>
      <c r="Y145" s="6">
        <f ca="1">('TUSD BE'!$AM$13+'TUSD BF'!$AM$13+'TUSD CVA'!$AM$13)*1</f>
        <v>16.12796715109398</v>
      </c>
      <c r="Z145" s="6"/>
      <c r="AA145" s="6"/>
      <c r="AB145" s="6">
        <f>$K$145*$V$145</f>
        <v>9797</v>
      </c>
      <c r="AC145" s="6">
        <f>$M$145*$W$145</f>
        <v>0</v>
      </c>
      <c r="AD145" s="6">
        <f>$O$145*$X$145</f>
        <v>0</v>
      </c>
      <c r="AE145" s="6">
        <f ca="1">$K$145*$Y$145</f>
        <v>19555.160170701452</v>
      </c>
      <c r="AF145" s="6">
        <f>$M$145*$Z$145</f>
        <v>0</v>
      </c>
      <c r="AG145" s="6">
        <f>$O$145*$AA$145</f>
        <v>0</v>
      </c>
    </row>
    <row r="146" spans="1:33" ht="11.25" customHeight="1" x14ac:dyDescent="0.25">
      <c r="A146" s="4" t="s">
        <v>21</v>
      </c>
      <c r="B146" s="4" t="s">
        <v>35</v>
      </c>
      <c r="C146" s="4" t="s">
        <v>56</v>
      </c>
      <c r="D146" s="4" t="s">
        <v>25</v>
      </c>
      <c r="E146" s="4" t="s">
        <v>25</v>
      </c>
      <c r="F146" s="4" t="s">
        <v>25</v>
      </c>
      <c r="G146" s="4" t="s">
        <v>64</v>
      </c>
      <c r="H146" s="4" t="s">
        <v>25</v>
      </c>
      <c r="I146" s="5">
        <v>44440</v>
      </c>
      <c r="J146" s="6">
        <v>1100</v>
      </c>
      <c r="K146" s="6">
        <v>550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4" t="s">
        <v>58</v>
      </c>
      <c r="S146" s="6">
        <v>14</v>
      </c>
      <c r="T146" s="6">
        <v>0</v>
      </c>
      <c r="U146" s="6">
        <v>0</v>
      </c>
      <c r="V146" s="6">
        <f>IF(ISERROR(VLOOKUP($S$146,'TAR FIN'!$A$1:$O$93,15,0)),0,VLOOKUP($S$146,'TAR FIN'!$A$1:$O$93,15,0))</f>
        <v>8.08</v>
      </c>
      <c r="W146" s="6">
        <f>IF(ISERROR(VLOOKUP($T$146,'TAR FIN'!$A$1:$O$93,15,0)),0,VLOOKUP($T$146,'TAR FIN'!$A$1:$O$93,15,0))</f>
        <v>0</v>
      </c>
      <c r="X146" s="6">
        <f>IF(ISERROR(VLOOKUP($U$146,'TAR FIN'!$A$1:$O$93,15,0)),0,VLOOKUP($U$146,'TAR FIN'!$A$1:$O$93,15,0))</f>
        <v>0</v>
      </c>
      <c r="Y146" s="6">
        <f ca="1">('TUSD BE'!$AM$13+'TUSD BF'!$AM$13+'TUSD CVA'!$AM$13)*1</f>
        <v>16.12796715109398</v>
      </c>
      <c r="Z146" s="6"/>
      <c r="AA146" s="6"/>
      <c r="AB146" s="6">
        <f>$K$146*$V$146</f>
        <v>4444</v>
      </c>
      <c r="AC146" s="6">
        <f>$M$146*$W$146</f>
        <v>0</v>
      </c>
      <c r="AD146" s="6">
        <f>$O$146*$X$146</f>
        <v>0</v>
      </c>
      <c r="AE146" s="6">
        <f ca="1">$K$146*$Y$146</f>
        <v>8870.3819331016894</v>
      </c>
      <c r="AF146" s="6">
        <f>$M$146*$Z$146</f>
        <v>0</v>
      </c>
      <c r="AG146" s="6">
        <f>$O$146*$AA$146</f>
        <v>0</v>
      </c>
    </row>
    <row r="147" spans="1:33" ht="11.25" customHeight="1" x14ac:dyDescent="0.25">
      <c r="A147" s="4" t="s">
        <v>21</v>
      </c>
      <c r="B147" s="4" t="s">
        <v>35</v>
      </c>
      <c r="C147" s="4" t="s">
        <v>56</v>
      </c>
      <c r="D147" s="4" t="s">
        <v>25</v>
      </c>
      <c r="E147" s="4" t="s">
        <v>25</v>
      </c>
      <c r="F147" s="4" t="s">
        <v>25</v>
      </c>
      <c r="G147" s="4" t="s">
        <v>57</v>
      </c>
      <c r="H147" s="4" t="s">
        <v>25</v>
      </c>
      <c r="I147" s="5">
        <v>44470</v>
      </c>
      <c r="J147" s="6">
        <v>705</v>
      </c>
      <c r="K147" s="6">
        <v>352.5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58</v>
      </c>
      <c r="R147" s="4">
        <v>706</v>
      </c>
      <c r="S147" s="6">
        <v>14</v>
      </c>
      <c r="T147" s="6">
        <v>0</v>
      </c>
      <c r="U147" s="6">
        <v>0</v>
      </c>
      <c r="V147" s="6">
        <f>IF(ISERROR(VLOOKUP($S$147,'TAR FIN'!$A$1:$O$93,15,0)),0,VLOOKUP($S$147,'TAR FIN'!$A$1:$O$93,15,0))</f>
        <v>8.08</v>
      </c>
      <c r="W147" s="6">
        <f>IF(ISERROR(VLOOKUP($T$147,'TAR FIN'!$A$1:$O$93,15,0)),0,VLOOKUP($T$147,'TAR FIN'!$A$1:$O$93,15,0))</f>
        <v>0</v>
      </c>
      <c r="X147" s="6">
        <f>IF(ISERROR(VLOOKUP($U$147,'TAR FIN'!$A$1:$O$93,15,0)),0,VLOOKUP($U$147,'TAR FIN'!$A$1:$O$93,15,0))</f>
        <v>0</v>
      </c>
      <c r="Y147" s="6">
        <f ca="1">('TUSD BE'!$AM$13+'TUSD BF'!$AM$13+'TUSD CVA'!$AM$13)*1</f>
        <v>16.12796715109398</v>
      </c>
      <c r="Z147" s="6"/>
      <c r="AA147" s="6"/>
      <c r="AB147" s="6">
        <f>$K$147*$V$147</f>
        <v>2848.2</v>
      </c>
      <c r="AC147" s="6">
        <f>$M$147*$W$147</f>
        <v>0</v>
      </c>
      <c r="AD147" s="6">
        <f>$O$147*$X$147</f>
        <v>0</v>
      </c>
      <c r="AE147" s="6">
        <f ca="1">$K$147*$Y$147</f>
        <v>5685.1084207606282</v>
      </c>
      <c r="AF147" s="6">
        <f>$M$147*$Z$147</f>
        <v>0</v>
      </c>
      <c r="AG147" s="6">
        <f>$O$147*$AA$147</f>
        <v>0</v>
      </c>
    </row>
    <row r="148" spans="1:33" ht="11.25" customHeight="1" x14ac:dyDescent="0.25">
      <c r="A148" s="4" t="s">
        <v>21</v>
      </c>
      <c r="B148" s="4" t="s">
        <v>35</v>
      </c>
      <c r="C148" s="4" t="s">
        <v>56</v>
      </c>
      <c r="D148" s="4" t="s">
        <v>25</v>
      </c>
      <c r="E148" s="4" t="s">
        <v>25</v>
      </c>
      <c r="F148" s="4" t="s">
        <v>25</v>
      </c>
      <c r="G148" s="4" t="s">
        <v>59</v>
      </c>
      <c r="H148" s="4" t="s">
        <v>25</v>
      </c>
      <c r="I148" s="5">
        <v>44470</v>
      </c>
      <c r="J148" s="6">
        <v>3700</v>
      </c>
      <c r="K148" s="6">
        <v>1850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58</v>
      </c>
      <c r="R148" s="4">
        <v>877</v>
      </c>
      <c r="S148" s="6">
        <v>14</v>
      </c>
      <c r="T148" s="6">
        <v>0</v>
      </c>
      <c r="U148" s="6">
        <v>0</v>
      </c>
      <c r="V148" s="6">
        <f>IF(ISERROR(VLOOKUP($S$148,'TAR FIN'!$A$1:$O$93,15,0)),0,VLOOKUP($S$148,'TAR FIN'!$A$1:$O$93,15,0))</f>
        <v>8.08</v>
      </c>
      <c r="W148" s="6">
        <f>IF(ISERROR(VLOOKUP($T$148,'TAR FIN'!$A$1:$O$93,15,0)),0,VLOOKUP($T$148,'TAR FIN'!$A$1:$O$93,15,0))</f>
        <v>0</v>
      </c>
      <c r="X148" s="6">
        <f>IF(ISERROR(VLOOKUP($U$148,'TAR FIN'!$A$1:$O$93,15,0)),0,VLOOKUP($U$148,'TAR FIN'!$A$1:$O$93,15,0))</f>
        <v>0</v>
      </c>
      <c r="Y148" s="6">
        <f ca="1">('TUSD BE'!$AM$13+'TUSD BF'!$AM$13+'TUSD CVA'!$AM$13)*1</f>
        <v>16.12796715109398</v>
      </c>
      <c r="Z148" s="6"/>
      <c r="AA148" s="6"/>
      <c r="AB148" s="6">
        <f>$K$148*$V$148</f>
        <v>14948</v>
      </c>
      <c r="AC148" s="6">
        <f>$M$148*$W$148</f>
        <v>0</v>
      </c>
      <c r="AD148" s="6">
        <f>$O$148*$X$148</f>
        <v>0</v>
      </c>
      <c r="AE148" s="6">
        <f ca="1">$K$148*$Y$148</f>
        <v>29836.739229523864</v>
      </c>
      <c r="AF148" s="6">
        <f>$M$148*$Z$148</f>
        <v>0</v>
      </c>
      <c r="AG148" s="6">
        <f>$O$148*$AA$148</f>
        <v>0</v>
      </c>
    </row>
    <row r="149" spans="1:33" ht="11.25" customHeight="1" x14ac:dyDescent="0.25">
      <c r="A149" s="4" t="s">
        <v>21</v>
      </c>
      <c r="B149" s="4" t="s">
        <v>35</v>
      </c>
      <c r="C149" s="4" t="s">
        <v>56</v>
      </c>
      <c r="D149" s="4" t="s">
        <v>25</v>
      </c>
      <c r="E149" s="4" t="s">
        <v>25</v>
      </c>
      <c r="F149" s="4" t="s">
        <v>25</v>
      </c>
      <c r="G149" s="4" t="s">
        <v>60</v>
      </c>
      <c r="H149" s="4" t="s">
        <v>25</v>
      </c>
      <c r="I149" s="5">
        <v>44470</v>
      </c>
      <c r="J149" s="6">
        <v>880</v>
      </c>
      <c r="K149" s="6">
        <v>440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58</v>
      </c>
      <c r="R149" s="4">
        <v>2317</v>
      </c>
      <c r="S149" s="6">
        <v>14</v>
      </c>
      <c r="T149" s="6">
        <v>0</v>
      </c>
      <c r="U149" s="6">
        <v>0</v>
      </c>
      <c r="V149" s="6">
        <f>IF(ISERROR(VLOOKUP($S$149,'TAR FIN'!$A$1:$O$93,15,0)),0,VLOOKUP($S$149,'TAR FIN'!$A$1:$O$93,15,0))</f>
        <v>8.08</v>
      </c>
      <c r="W149" s="6">
        <f>IF(ISERROR(VLOOKUP($T$149,'TAR FIN'!$A$1:$O$93,15,0)),0,VLOOKUP($T$149,'TAR FIN'!$A$1:$O$93,15,0))</f>
        <v>0</v>
      </c>
      <c r="X149" s="6">
        <f>IF(ISERROR(VLOOKUP($U$149,'TAR FIN'!$A$1:$O$93,15,0)),0,VLOOKUP($U$149,'TAR FIN'!$A$1:$O$93,15,0))</f>
        <v>0</v>
      </c>
      <c r="Y149" s="6">
        <f ca="1">('TUSD BE'!$AM$13+'TUSD BF'!$AM$13+'TUSD CVA'!$AM$13)*1</f>
        <v>16.12796715109398</v>
      </c>
      <c r="Z149" s="6"/>
      <c r="AA149" s="6"/>
      <c r="AB149" s="6">
        <f>$K$149*$V$149</f>
        <v>3555.2</v>
      </c>
      <c r="AC149" s="6">
        <f>$M$149*$W$149</f>
        <v>0</v>
      </c>
      <c r="AD149" s="6">
        <f>$O$149*$X$149</f>
        <v>0</v>
      </c>
      <c r="AE149" s="6">
        <f ca="1">$K$149*$Y$149</f>
        <v>7096.3055464813515</v>
      </c>
      <c r="AF149" s="6">
        <f>$M$149*$Z$149</f>
        <v>0</v>
      </c>
      <c r="AG149" s="6">
        <f>$O$149*$AA$149</f>
        <v>0</v>
      </c>
    </row>
    <row r="150" spans="1:33" ht="11.25" customHeight="1" x14ac:dyDescent="0.25">
      <c r="A150" s="4" t="s">
        <v>21</v>
      </c>
      <c r="B150" s="4" t="s">
        <v>35</v>
      </c>
      <c r="C150" s="4" t="s">
        <v>56</v>
      </c>
      <c r="D150" s="4" t="s">
        <v>25</v>
      </c>
      <c r="E150" s="4" t="s">
        <v>25</v>
      </c>
      <c r="F150" s="4" t="s">
        <v>25</v>
      </c>
      <c r="G150" s="4" t="s">
        <v>61</v>
      </c>
      <c r="H150" s="4" t="s">
        <v>25</v>
      </c>
      <c r="I150" s="5">
        <v>44470</v>
      </c>
      <c r="J150" s="6">
        <v>780</v>
      </c>
      <c r="K150" s="6">
        <v>390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4" t="s">
        <v>58</v>
      </c>
      <c r="R150" s="4">
        <v>28915</v>
      </c>
      <c r="S150" s="6">
        <v>14</v>
      </c>
      <c r="T150" s="6">
        <v>0</v>
      </c>
      <c r="U150" s="6">
        <v>0</v>
      </c>
      <c r="V150" s="6">
        <f>IF(ISERROR(VLOOKUP($S$150,'TAR FIN'!$A$1:$O$93,15,0)),0,VLOOKUP($S$150,'TAR FIN'!$A$1:$O$93,15,0))</f>
        <v>8.08</v>
      </c>
      <c r="W150" s="6">
        <f>IF(ISERROR(VLOOKUP($T$150,'TAR FIN'!$A$1:$O$93,15,0)),0,VLOOKUP($T$150,'TAR FIN'!$A$1:$O$93,15,0))</f>
        <v>0</v>
      </c>
      <c r="X150" s="6">
        <f>IF(ISERROR(VLOOKUP($U$150,'TAR FIN'!$A$1:$O$93,15,0)),0,VLOOKUP($U$150,'TAR FIN'!$A$1:$O$93,15,0))</f>
        <v>0</v>
      </c>
      <c r="Y150" s="6">
        <f ca="1">('TUSD BE'!$AM$13+'TUSD BF'!$AM$13+'TUSD CVA'!$AM$13)*1</f>
        <v>16.12796715109398</v>
      </c>
      <c r="Z150" s="6"/>
      <c r="AA150" s="6"/>
      <c r="AB150" s="6">
        <f>$K$150*$V$150</f>
        <v>3151.2</v>
      </c>
      <c r="AC150" s="6">
        <f>$M$150*$W$150</f>
        <v>0</v>
      </c>
      <c r="AD150" s="6">
        <f>$O$150*$X$150</f>
        <v>0</v>
      </c>
      <c r="AE150" s="6">
        <f ca="1">$K$150*$Y$150</f>
        <v>6289.9071889266525</v>
      </c>
      <c r="AF150" s="6">
        <f>$M$150*$Z$150</f>
        <v>0</v>
      </c>
      <c r="AG150" s="6">
        <f>$O$150*$AA$150</f>
        <v>0</v>
      </c>
    </row>
    <row r="151" spans="1:33" ht="11.25" customHeight="1" x14ac:dyDescent="0.25">
      <c r="A151" s="4" t="s">
        <v>21</v>
      </c>
      <c r="B151" s="4" t="s">
        <v>35</v>
      </c>
      <c r="C151" s="4" t="s">
        <v>56</v>
      </c>
      <c r="D151" s="4" t="s">
        <v>25</v>
      </c>
      <c r="E151" s="4" t="s">
        <v>25</v>
      </c>
      <c r="F151" s="4" t="s">
        <v>25</v>
      </c>
      <c r="G151" s="4" t="s">
        <v>62</v>
      </c>
      <c r="H151" s="4" t="s">
        <v>25</v>
      </c>
      <c r="I151" s="5">
        <v>44470</v>
      </c>
      <c r="J151" s="6">
        <v>1280</v>
      </c>
      <c r="K151" s="6">
        <v>640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58</v>
      </c>
      <c r="R151" s="4">
        <v>31695</v>
      </c>
      <c r="S151" s="6">
        <v>14</v>
      </c>
      <c r="T151" s="6">
        <v>0</v>
      </c>
      <c r="U151" s="6">
        <v>0</v>
      </c>
      <c r="V151" s="6">
        <f>IF(ISERROR(VLOOKUP($S$151,'TAR FIN'!$A$1:$O$93,15,0)),0,VLOOKUP($S$151,'TAR FIN'!$A$1:$O$93,15,0))</f>
        <v>8.08</v>
      </c>
      <c r="W151" s="6">
        <f>IF(ISERROR(VLOOKUP($T$151,'TAR FIN'!$A$1:$O$93,15,0)),0,VLOOKUP($T$151,'TAR FIN'!$A$1:$O$93,15,0))</f>
        <v>0</v>
      </c>
      <c r="X151" s="6">
        <f>IF(ISERROR(VLOOKUP($U$151,'TAR FIN'!$A$1:$O$93,15,0)),0,VLOOKUP($U$151,'TAR FIN'!$A$1:$O$93,15,0))</f>
        <v>0</v>
      </c>
      <c r="Y151" s="6">
        <f ca="1">('TUSD BE'!$AM$13+'TUSD BF'!$AM$13+'TUSD CVA'!$AM$13)*1</f>
        <v>16.12796715109398</v>
      </c>
      <c r="Z151" s="6"/>
      <c r="AA151" s="6"/>
      <c r="AB151" s="6">
        <f>$K$151*$V$151</f>
        <v>5171.2</v>
      </c>
      <c r="AC151" s="6">
        <f>$M$151*$W$151</f>
        <v>0</v>
      </c>
      <c r="AD151" s="6">
        <f>$O$151*$X$151</f>
        <v>0</v>
      </c>
      <c r="AE151" s="6">
        <f ca="1">$K$151*$Y$151</f>
        <v>10321.898976700148</v>
      </c>
      <c r="AF151" s="6">
        <f>$M$151*$Z$151</f>
        <v>0</v>
      </c>
      <c r="AG151" s="6">
        <f>$O$151*$AA$151</f>
        <v>0</v>
      </c>
    </row>
    <row r="152" spans="1:33" ht="11.25" customHeight="1" x14ac:dyDescent="0.25">
      <c r="A152" s="4" t="s">
        <v>21</v>
      </c>
      <c r="B152" s="4" t="s">
        <v>35</v>
      </c>
      <c r="C152" s="4" t="s">
        <v>56</v>
      </c>
      <c r="D152" s="4" t="s">
        <v>25</v>
      </c>
      <c r="E152" s="4" t="s">
        <v>25</v>
      </c>
      <c r="F152" s="4" t="s">
        <v>25</v>
      </c>
      <c r="G152" s="4" t="s">
        <v>63</v>
      </c>
      <c r="H152" s="4" t="s">
        <v>25</v>
      </c>
      <c r="I152" s="5">
        <v>44470</v>
      </c>
      <c r="J152" s="6">
        <v>2425</v>
      </c>
      <c r="K152" s="6">
        <v>1212.5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4" t="s">
        <v>58</v>
      </c>
      <c r="S152" s="6">
        <v>14</v>
      </c>
      <c r="T152" s="6">
        <v>0</v>
      </c>
      <c r="U152" s="6">
        <v>0</v>
      </c>
      <c r="V152" s="6">
        <f>IF(ISERROR(VLOOKUP($S$152,'TAR FIN'!$A$1:$O$93,15,0)),0,VLOOKUP($S$152,'TAR FIN'!$A$1:$O$93,15,0))</f>
        <v>8.08</v>
      </c>
      <c r="W152" s="6">
        <f>IF(ISERROR(VLOOKUP($T$152,'TAR FIN'!$A$1:$O$93,15,0)),0,VLOOKUP($T$152,'TAR FIN'!$A$1:$O$93,15,0))</f>
        <v>0</v>
      </c>
      <c r="X152" s="6">
        <f>IF(ISERROR(VLOOKUP($U$152,'TAR FIN'!$A$1:$O$93,15,0)),0,VLOOKUP($U$152,'TAR FIN'!$A$1:$O$93,15,0))</f>
        <v>0</v>
      </c>
      <c r="Y152" s="6">
        <f ca="1">('TUSD BE'!$AM$13+'TUSD BF'!$AM$13+'TUSD CVA'!$AM$13)*1</f>
        <v>16.12796715109398</v>
      </c>
      <c r="Z152" s="6"/>
      <c r="AA152" s="6"/>
      <c r="AB152" s="6">
        <f>$K$152*$V$152</f>
        <v>9797</v>
      </c>
      <c r="AC152" s="6">
        <f>$M$152*$W$152</f>
        <v>0</v>
      </c>
      <c r="AD152" s="6">
        <f>$O$152*$X$152</f>
        <v>0</v>
      </c>
      <c r="AE152" s="6">
        <f ca="1">$K$152*$Y$152</f>
        <v>19555.160170701452</v>
      </c>
      <c r="AF152" s="6">
        <f>$M$152*$Z$152</f>
        <v>0</v>
      </c>
      <c r="AG152" s="6">
        <f>$O$152*$AA$152</f>
        <v>0</v>
      </c>
    </row>
    <row r="153" spans="1:33" ht="11.25" customHeight="1" x14ac:dyDescent="0.25">
      <c r="A153" s="4" t="s">
        <v>21</v>
      </c>
      <c r="B153" s="4" t="s">
        <v>35</v>
      </c>
      <c r="C153" s="4" t="s">
        <v>56</v>
      </c>
      <c r="D153" s="4" t="s">
        <v>25</v>
      </c>
      <c r="E153" s="4" t="s">
        <v>25</v>
      </c>
      <c r="F153" s="4" t="s">
        <v>25</v>
      </c>
      <c r="G153" s="4" t="s">
        <v>64</v>
      </c>
      <c r="H153" s="4" t="s">
        <v>25</v>
      </c>
      <c r="I153" s="5">
        <v>44470</v>
      </c>
      <c r="J153" s="6">
        <v>1100</v>
      </c>
      <c r="K153" s="6">
        <v>550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58</v>
      </c>
      <c r="S153" s="6">
        <v>14</v>
      </c>
      <c r="T153" s="6">
        <v>0</v>
      </c>
      <c r="U153" s="6">
        <v>0</v>
      </c>
      <c r="V153" s="6">
        <f>IF(ISERROR(VLOOKUP($S$153,'TAR FIN'!$A$1:$O$93,15,0)),0,VLOOKUP($S$153,'TAR FIN'!$A$1:$O$93,15,0))</f>
        <v>8.08</v>
      </c>
      <c r="W153" s="6">
        <f>IF(ISERROR(VLOOKUP($T$153,'TAR FIN'!$A$1:$O$93,15,0)),0,VLOOKUP($T$153,'TAR FIN'!$A$1:$O$93,15,0))</f>
        <v>0</v>
      </c>
      <c r="X153" s="6">
        <f>IF(ISERROR(VLOOKUP($U$153,'TAR FIN'!$A$1:$O$93,15,0)),0,VLOOKUP($U$153,'TAR FIN'!$A$1:$O$93,15,0))</f>
        <v>0</v>
      </c>
      <c r="Y153" s="6">
        <f ca="1">('TUSD BE'!$AM$13+'TUSD BF'!$AM$13+'TUSD CVA'!$AM$13)*1</f>
        <v>16.12796715109398</v>
      </c>
      <c r="Z153" s="6"/>
      <c r="AA153" s="6"/>
      <c r="AB153" s="6">
        <f>$K$153*$V$153</f>
        <v>4444</v>
      </c>
      <c r="AC153" s="6">
        <f>$M$153*$W$153</f>
        <v>0</v>
      </c>
      <c r="AD153" s="6">
        <f>$O$153*$X$153</f>
        <v>0</v>
      </c>
      <c r="AE153" s="6">
        <f ca="1">$K$153*$Y$153</f>
        <v>8870.3819331016894</v>
      </c>
      <c r="AF153" s="6">
        <f>$M$153*$Z$153</f>
        <v>0</v>
      </c>
      <c r="AG153" s="6">
        <f>$O$153*$AA$153</f>
        <v>0</v>
      </c>
    </row>
    <row r="154" spans="1:33" ht="11.25" customHeight="1" x14ac:dyDescent="0.25">
      <c r="A154" s="4" t="s">
        <v>21</v>
      </c>
      <c r="B154" s="4" t="s">
        <v>35</v>
      </c>
      <c r="C154" s="4" t="s">
        <v>56</v>
      </c>
      <c r="D154" s="4" t="s">
        <v>25</v>
      </c>
      <c r="E154" s="4" t="s">
        <v>25</v>
      </c>
      <c r="F154" s="4" t="s">
        <v>25</v>
      </c>
      <c r="G154" s="4" t="s">
        <v>57</v>
      </c>
      <c r="H154" s="4" t="s">
        <v>25</v>
      </c>
      <c r="I154" s="5">
        <v>44501</v>
      </c>
      <c r="J154" s="6">
        <v>705</v>
      </c>
      <c r="K154" s="6">
        <v>352.5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4" t="s">
        <v>58</v>
      </c>
      <c r="R154" s="4">
        <v>706</v>
      </c>
      <c r="S154" s="6">
        <v>14</v>
      </c>
      <c r="T154" s="6">
        <v>0</v>
      </c>
      <c r="U154" s="6">
        <v>0</v>
      </c>
      <c r="V154" s="6">
        <f>IF(ISERROR(VLOOKUP($S$154,'TAR FIN'!$A$1:$O$93,15,0)),0,VLOOKUP($S$154,'TAR FIN'!$A$1:$O$93,15,0))</f>
        <v>8.08</v>
      </c>
      <c r="W154" s="6">
        <f>IF(ISERROR(VLOOKUP($T$154,'TAR FIN'!$A$1:$O$93,15,0)),0,VLOOKUP($T$154,'TAR FIN'!$A$1:$O$93,15,0))</f>
        <v>0</v>
      </c>
      <c r="X154" s="6">
        <f>IF(ISERROR(VLOOKUP($U$154,'TAR FIN'!$A$1:$O$93,15,0)),0,VLOOKUP($U$154,'TAR FIN'!$A$1:$O$93,15,0))</f>
        <v>0</v>
      </c>
      <c r="Y154" s="6">
        <f ca="1">('TUSD BE'!$AM$13+'TUSD BF'!$AM$13+'TUSD CVA'!$AM$13)*1</f>
        <v>16.12796715109398</v>
      </c>
      <c r="Z154" s="6"/>
      <c r="AA154" s="6"/>
      <c r="AB154" s="6">
        <f>$K$154*$V$154</f>
        <v>2848.2</v>
      </c>
      <c r="AC154" s="6">
        <f>$M$154*$W$154</f>
        <v>0</v>
      </c>
      <c r="AD154" s="6">
        <f>$O$154*$X$154</f>
        <v>0</v>
      </c>
      <c r="AE154" s="6">
        <f ca="1">$K$154*$Y$154</f>
        <v>5685.1084207606282</v>
      </c>
      <c r="AF154" s="6">
        <f>$M$154*$Z$154</f>
        <v>0</v>
      </c>
      <c r="AG154" s="6">
        <f>$O$154*$AA$154</f>
        <v>0</v>
      </c>
    </row>
    <row r="155" spans="1:33" ht="11.25" customHeight="1" x14ac:dyDescent="0.25">
      <c r="A155" s="4" t="s">
        <v>21</v>
      </c>
      <c r="B155" s="4" t="s">
        <v>35</v>
      </c>
      <c r="C155" s="4" t="s">
        <v>56</v>
      </c>
      <c r="D155" s="4" t="s">
        <v>25</v>
      </c>
      <c r="E155" s="4" t="s">
        <v>25</v>
      </c>
      <c r="F155" s="4" t="s">
        <v>25</v>
      </c>
      <c r="G155" s="4" t="s">
        <v>59</v>
      </c>
      <c r="H155" s="4" t="s">
        <v>25</v>
      </c>
      <c r="I155" s="5">
        <v>44501</v>
      </c>
      <c r="J155" s="6">
        <v>3700</v>
      </c>
      <c r="K155" s="6">
        <v>1850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58</v>
      </c>
      <c r="R155" s="4">
        <v>877</v>
      </c>
      <c r="S155" s="6">
        <v>14</v>
      </c>
      <c r="T155" s="6">
        <v>0</v>
      </c>
      <c r="U155" s="6">
        <v>0</v>
      </c>
      <c r="V155" s="6">
        <f>IF(ISERROR(VLOOKUP($S$155,'TAR FIN'!$A$1:$O$93,15,0)),0,VLOOKUP($S$155,'TAR FIN'!$A$1:$O$93,15,0))</f>
        <v>8.08</v>
      </c>
      <c r="W155" s="6">
        <f>IF(ISERROR(VLOOKUP($T$155,'TAR FIN'!$A$1:$O$93,15,0)),0,VLOOKUP($T$155,'TAR FIN'!$A$1:$O$93,15,0))</f>
        <v>0</v>
      </c>
      <c r="X155" s="6">
        <f>IF(ISERROR(VLOOKUP($U$155,'TAR FIN'!$A$1:$O$93,15,0)),0,VLOOKUP($U$155,'TAR FIN'!$A$1:$O$93,15,0))</f>
        <v>0</v>
      </c>
      <c r="Y155" s="6">
        <f ca="1">('TUSD BE'!$AM$13+'TUSD BF'!$AM$13+'TUSD CVA'!$AM$13)*1</f>
        <v>16.12796715109398</v>
      </c>
      <c r="Z155" s="6"/>
      <c r="AA155" s="6"/>
      <c r="AB155" s="6">
        <f>$K$155*$V$155</f>
        <v>14948</v>
      </c>
      <c r="AC155" s="6">
        <f>$M$155*$W$155</f>
        <v>0</v>
      </c>
      <c r="AD155" s="6">
        <f>$O$155*$X$155</f>
        <v>0</v>
      </c>
      <c r="AE155" s="6">
        <f ca="1">$K$155*$Y$155</f>
        <v>29836.739229523864</v>
      </c>
      <c r="AF155" s="6">
        <f>$M$155*$Z$155</f>
        <v>0</v>
      </c>
      <c r="AG155" s="6">
        <f>$O$155*$AA$155</f>
        <v>0</v>
      </c>
    </row>
    <row r="156" spans="1:33" ht="11.25" customHeight="1" x14ac:dyDescent="0.25">
      <c r="A156" s="4" t="s">
        <v>21</v>
      </c>
      <c r="B156" s="4" t="s">
        <v>35</v>
      </c>
      <c r="C156" s="4" t="s">
        <v>56</v>
      </c>
      <c r="D156" s="4" t="s">
        <v>25</v>
      </c>
      <c r="E156" s="4" t="s">
        <v>25</v>
      </c>
      <c r="F156" s="4" t="s">
        <v>25</v>
      </c>
      <c r="G156" s="4" t="s">
        <v>60</v>
      </c>
      <c r="H156" s="4" t="s">
        <v>25</v>
      </c>
      <c r="I156" s="5">
        <v>44501</v>
      </c>
      <c r="J156" s="6">
        <v>880</v>
      </c>
      <c r="K156" s="6">
        <v>440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4" t="s">
        <v>58</v>
      </c>
      <c r="R156" s="4">
        <v>2317</v>
      </c>
      <c r="S156" s="6">
        <v>14</v>
      </c>
      <c r="T156" s="6">
        <v>0</v>
      </c>
      <c r="U156" s="6">
        <v>0</v>
      </c>
      <c r="V156" s="6">
        <f>IF(ISERROR(VLOOKUP($S$156,'TAR FIN'!$A$1:$O$93,15,0)),0,VLOOKUP($S$156,'TAR FIN'!$A$1:$O$93,15,0))</f>
        <v>8.08</v>
      </c>
      <c r="W156" s="6">
        <f>IF(ISERROR(VLOOKUP($T$156,'TAR FIN'!$A$1:$O$93,15,0)),0,VLOOKUP($T$156,'TAR FIN'!$A$1:$O$93,15,0))</f>
        <v>0</v>
      </c>
      <c r="X156" s="6">
        <f>IF(ISERROR(VLOOKUP($U$156,'TAR FIN'!$A$1:$O$93,15,0)),0,VLOOKUP($U$156,'TAR FIN'!$A$1:$O$93,15,0))</f>
        <v>0</v>
      </c>
      <c r="Y156" s="6">
        <f ca="1">('TUSD BE'!$AM$13+'TUSD BF'!$AM$13+'TUSD CVA'!$AM$13)*1</f>
        <v>16.12796715109398</v>
      </c>
      <c r="Z156" s="6"/>
      <c r="AA156" s="6"/>
      <c r="AB156" s="6">
        <f>$K$156*$V$156</f>
        <v>3555.2</v>
      </c>
      <c r="AC156" s="6">
        <f>$M$156*$W$156</f>
        <v>0</v>
      </c>
      <c r="AD156" s="6">
        <f>$O$156*$X$156</f>
        <v>0</v>
      </c>
      <c r="AE156" s="6">
        <f ca="1">$K$156*$Y$156</f>
        <v>7096.3055464813515</v>
      </c>
      <c r="AF156" s="6">
        <f>$M$156*$Z$156</f>
        <v>0</v>
      </c>
      <c r="AG156" s="6">
        <f>$O$156*$AA$156</f>
        <v>0</v>
      </c>
    </row>
    <row r="157" spans="1:33" ht="11.25" customHeight="1" x14ac:dyDescent="0.25">
      <c r="A157" s="4" t="s">
        <v>21</v>
      </c>
      <c r="B157" s="4" t="s">
        <v>35</v>
      </c>
      <c r="C157" s="4" t="s">
        <v>56</v>
      </c>
      <c r="D157" s="4" t="s">
        <v>25</v>
      </c>
      <c r="E157" s="4" t="s">
        <v>25</v>
      </c>
      <c r="F157" s="4" t="s">
        <v>25</v>
      </c>
      <c r="G157" s="4" t="s">
        <v>61</v>
      </c>
      <c r="H157" s="4" t="s">
        <v>25</v>
      </c>
      <c r="I157" s="5">
        <v>44501</v>
      </c>
      <c r="J157" s="6">
        <v>780</v>
      </c>
      <c r="K157" s="6">
        <v>390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58</v>
      </c>
      <c r="R157" s="4">
        <v>28915</v>
      </c>
      <c r="S157" s="6">
        <v>14</v>
      </c>
      <c r="T157" s="6">
        <v>0</v>
      </c>
      <c r="U157" s="6">
        <v>0</v>
      </c>
      <c r="V157" s="6">
        <f>IF(ISERROR(VLOOKUP($S$157,'TAR FIN'!$A$1:$O$93,15,0)),0,VLOOKUP($S$157,'TAR FIN'!$A$1:$O$93,15,0))</f>
        <v>8.08</v>
      </c>
      <c r="W157" s="6">
        <f>IF(ISERROR(VLOOKUP($T$157,'TAR FIN'!$A$1:$O$93,15,0)),0,VLOOKUP($T$157,'TAR FIN'!$A$1:$O$93,15,0))</f>
        <v>0</v>
      </c>
      <c r="X157" s="6">
        <f>IF(ISERROR(VLOOKUP($U$157,'TAR FIN'!$A$1:$O$93,15,0)),0,VLOOKUP($U$157,'TAR FIN'!$A$1:$O$93,15,0))</f>
        <v>0</v>
      </c>
      <c r="Y157" s="6">
        <f ca="1">('TUSD BE'!$AM$13+'TUSD BF'!$AM$13+'TUSD CVA'!$AM$13)*1</f>
        <v>16.12796715109398</v>
      </c>
      <c r="Z157" s="6"/>
      <c r="AA157" s="6"/>
      <c r="AB157" s="6">
        <f>$K$157*$V$157</f>
        <v>3151.2</v>
      </c>
      <c r="AC157" s="6">
        <f>$M$157*$W$157</f>
        <v>0</v>
      </c>
      <c r="AD157" s="6">
        <f>$O$157*$X$157</f>
        <v>0</v>
      </c>
      <c r="AE157" s="6">
        <f ca="1">$K$157*$Y$157</f>
        <v>6289.9071889266525</v>
      </c>
      <c r="AF157" s="6">
        <f>$M$157*$Z$157</f>
        <v>0</v>
      </c>
      <c r="AG157" s="6">
        <f>$O$157*$AA$157</f>
        <v>0</v>
      </c>
    </row>
    <row r="158" spans="1:33" ht="11.25" customHeight="1" x14ac:dyDescent="0.25">
      <c r="A158" s="4" t="s">
        <v>21</v>
      </c>
      <c r="B158" s="4" t="s">
        <v>35</v>
      </c>
      <c r="C158" s="4" t="s">
        <v>56</v>
      </c>
      <c r="D158" s="4" t="s">
        <v>25</v>
      </c>
      <c r="E158" s="4" t="s">
        <v>25</v>
      </c>
      <c r="F158" s="4" t="s">
        <v>25</v>
      </c>
      <c r="G158" s="4" t="s">
        <v>62</v>
      </c>
      <c r="H158" s="4" t="s">
        <v>25</v>
      </c>
      <c r="I158" s="5">
        <v>44501</v>
      </c>
      <c r="J158" s="6">
        <v>1280</v>
      </c>
      <c r="K158" s="6">
        <v>640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58</v>
      </c>
      <c r="R158" s="4">
        <v>31695</v>
      </c>
      <c r="S158" s="6">
        <v>14</v>
      </c>
      <c r="T158" s="6">
        <v>0</v>
      </c>
      <c r="U158" s="6">
        <v>0</v>
      </c>
      <c r="V158" s="6">
        <f>IF(ISERROR(VLOOKUP($S$158,'TAR FIN'!$A$1:$O$93,15,0)),0,VLOOKUP($S$158,'TAR FIN'!$A$1:$O$93,15,0))</f>
        <v>8.08</v>
      </c>
      <c r="W158" s="6">
        <f>IF(ISERROR(VLOOKUP($T$158,'TAR FIN'!$A$1:$O$93,15,0)),0,VLOOKUP($T$158,'TAR FIN'!$A$1:$O$93,15,0))</f>
        <v>0</v>
      </c>
      <c r="X158" s="6">
        <f>IF(ISERROR(VLOOKUP($U$158,'TAR FIN'!$A$1:$O$93,15,0)),0,VLOOKUP($U$158,'TAR FIN'!$A$1:$O$93,15,0))</f>
        <v>0</v>
      </c>
      <c r="Y158" s="6">
        <f ca="1">('TUSD BE'!$AM$13+'TUSD BF'!$AM$13+'TUSD CVA'!$AM$13)*1</f>
        <v>16.12796715109398</v>
      </c>
      <c r="Z158" s="6"/>
      <c r="AA158" s="6"/>
      <c r="AB158" s="6">
        <f>$K$158*$V$158</f>
        <v>5171.2</v>
      </c>
      <c r="AC158" s="6">
        <f>$M$158*$W$158</f>
        <v>0</v>
      </c>
      <c r="AD158" s="6">
        <f>$O$158*$X$158</f>
        <v>0</v>
      </c>
      <c r="AE158" s="6">
        <f ca="1">$K$158*$Y$158</f>
        <v>10321.898976700148</v>
      </c>
      <c r="AF158" s="6">
        <f>$M$158*$Z$158</f>
        <v>0</v>
      </c>
      <c r="AG158" s="6">
        <f>$O$158*$AA$158</f>
        <v>0</v>
      </c>
    </row>
    <row r="159" spans="1:33" ht="11.25" customHeight="1" x14ac:dyDescent="0.25">
      <c r="A159" s="4" t="s">
        <v>21</v>
      </c>
      <c r="B159" s="4" t="s">
        <v>35</v>
      </c>
      <c r="C159" s="4" t="s">
        <v>56</v>
      </c>
      <c r="D159" s="4" t="s">
        <v>25</v>
      </c>
      <c r="E159" s="4" t="s">
        <v>25</v>
      </c>
      <c r="F159" s="4" t="s">
        <v>25</v>
      </c>
      <c r="G159" s="4" t="s">
        <v>63</v>
      </c>
      <c r="H159" s="4" t="s">
        <v>25</v>
      </c>
      <c r="I159" s="5">
        <v>44501</v>
      </c>
      <c r="J159" s="6">
        <v>2425</v>
      </c>
      <c r="K159" s="6">
        <v>1212.5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58</v>
      </c>
      <c r="S159" s="6">
        <v>14</v>
      </c>
      <c r="T159" s="6">
        <v>0</v>
      </c>
      <c r="U159" s="6">
        <v>0</v>
      </c>
      <c r="V159" s="6">
        <f>IF(ISERROR(VLOOKUP($S$159,'TAR FIN'!$A$1:$O$93,15,0)),0,VLOOKUP($S$159,'TAR FIN'!$A$1:$O$93,15,0))</f>
        <v>8.08</v>
      </c>
      <c r="W159" s="6">
        <f>IF(ISERROR(VLOOKUP($T$159,'TAR FIN'!$A$1:$O$93,15,0)),0,VLOOKUP($T$159,'TAR FIN'!$A$1:$O$93,15,0))</f>
        <v>0</v>
      </c>
      <c r="X159" s="6">
        <f>IF(ISERROR(VLOOKUP($U$159,'TAR FIN'!$A$1:$O$93,15,0)),0,VLOOKUP($U$159,'TAR FIN'!$A$1:$O$93,15,0))</f>
        <v>0</v>
      </c>
      <c r="Y159" s="6">
        <f ca="1">('TUSD BE'!$AM$13+'TUSD BF'!$AM$13+'TUSD CVA'!$AM$13)*1</f>
        <v>16.12796715109398</v>
      </c>
      <c r="Z159" s="6"/>
      <c r="AA159" s="6"/>
      <c r="AB159" s="6">
        <f>$K$159*$V$159</f>
        <v>9797</v>
      </c>
      <c r="AC159" s="6">
        <f>$M$159*$W$159</f>
        <v>0</v>
      </c>
      <c r="AD159" s="6">
        <f>$O$159*$X$159</f>
        <v>0</v>
      </c>
      <c r="AE159" s="6">
        <f ca="1">$K$159*$Y$159</f>
        <v>19555.160170701452</v>
      </c>
      <c r="AF159" s="6">
        <f>$M$159*$Z$159</f>
        <v>0</v>
      </c>
      <c r="AG159" s="6">
        <f>$O$159*$AA$159</f>
        <v>0</v>
      </c>
    </row>
    <row r="160" spans="1:33" ht="11.25" customHeight="1" x14ac:dyDescent="0.25">
      <c r="A160" s="4" t="s">
        <v>21</v>
      </c>
      <c r="B160" s="4" t="s">
        <v>35</v>
      </c>
      <c r="C160" s="4" t="s">
        <v>56</v>
      </c>
      <c r="D160" s="4" t="s">
        <v>25</v>
      </c>
      <c r="E160" s="4" t="s">
        <v>25</v>
      </c>
      <c r="F160" s="4" t="s">
        <v>25</v>
      </c>
      <c r="G160" s="4" t="s">
        <v>64</v>
      </c>
      <c r="H160" s="4" t="s">
        <v>25</v>
      </c>
      <c r="I160" s="5">
        <v>44501</v>
      </c>
      <c r="J160" s="6">
        <v>1100</v>
      </c>
      <c r="K160" s="6">
        <v>550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4" t="s">
        <v>58</v>
      </c>
      <c r="S160" s="6">
        <v>14</v>
      </c>
      <c r="T160" s="6">
        <v>0</v>
      </c>
      <c r="U160" s="6">
        <v>0</v>
      </c>
      <c r="V160" s="6">
        <f>IF(ISERROR(VLOOKUP($S$160,'TAR FIN'!$A$1:$O$93,15,0)),0,VLOOKUP($S$160,'TAR FIN'!$A$1:$O$93,15,0))</f>
        <v>8.08</v>
      </c>
      <c r="W160" s="6">
        <f>IF(ISERROR(VLOOKUP($T$160,'TAR FIN'!$A$1:$O$93,15,0)),0,VLOOKUP($T$160,'TAR FIN'!$A$1:$O$93,15,0))</f>
        <v>0</v>
      </c>
      <c r="X160" s="6">
        <f>IF(ISERROR(VLOOKUP($U$160,'TAR FIN'!$A$1:$O$93,15,0)),0,VLOOKUP($U$160,'TAR FIN'!$A$1:$O$93,15,0))</f>
        <v>0</v>
      </c>
      <c r="Y160" s="6">
        <f ca="1">('TUSD BE'!$AM$13+'TUSD BF'!$AM$13+'TUSD CVA'!$AM$13)*1</f>
        <v>16.12796715109398</v>
      </c>
      <c r="Z160" s="6"/>
      <c r="AA160" s="6"/>
      <c r="AB160" s="6">
        <f>$K$160*$V$160</f>
        <v>4444</v>
      </c>
      <c r="AC160" s="6">
        <f>$M$160*$W$160</f>
        <v>0</v>
      </c>
      <c r="AD160" s="6">
        <f>$O$160*$X$160</f>
        <v>0</v>
      </c>
      <c r="AE160" s="6">
        <f ca="1">$K$160*$Y$160</f>
        <v>8870.3819331016894</v>
      </c>
      <c r="AF160" s="6">
        <f>$M$160*$Z$160</f>
        <v>0</v>
      </c>
      <c r="AG160" s="6">
        <f>$O$160*$AA$160</f>
        <v>0</v>
      </c>
    </row>
    <row r="161" spans="1:33" ht="11.25" customHeight="1" x14ac:dyDescent="0.25">
      <c r="A161" s="4" t="s">
        <v>65</v>
      </c>
      <c r="B161" s="4" t="s">
        <v>35</v>
      </c>
      <c r="C161" s="4" t="s">
        <v>56</v>
      </c>
      <c r="D161" s="4" t="s">
        <v>25</v>
      </c>
      <c r="E161" s="4" t="s">
        <v>25</v>
      </c>
      <c r="F161" s="4" t="s">
        <v>25</v>
      </c>
      <c r="G161" s="4" t="s">
        <v>57</v>
      </c>
      <c r="H161" s="4" t="s">
        <v>25</v>
      </c>
      <c r="I161" s="5">
        <v>44531</v>
      </c>
      <c r="J161" s="6">
        <v>705</v>
      </c>
      <c r="K161" s="6">
        <v>352.5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58</v>
      </c>
      <c r="R161" s="4">
        <v>706</v>
      </c>
      <c r="S161" s="6">
        <v>14</v>
      </c>
      <c r="T161" s="6">
        <v>0</v>
      </c>
      <c r="U161" s="6">
        <v>0</v>
      </c>
      <c r="V161" s="6">
        <f>IF(ISERROR(VLOOKUP($S$161,'TAR FIN'!$A$1:$O$93,15,0)),0,VLOOKUP($S$161,'TAR FIN'!$A$1:$O$93,15,0))</f>
        <v>8.08</v>
      </c>
      <c r="W161" s="6">
        <f>IF(ISERROR(VLOOKUP($T$161,'TAR FIN'!$A$1:$O$93,15,0)),0,VLOOKUP($T$161,'TAR FIN'!$A$1:$O$93,15,0))</f>
        <v>0</v>
      </c>
      <c r="X161" s="6">
        <f>IF(ISERROR(VLOOKUP($U$161,'TAR FIN'!$A$1:$O$93,15,0)),0,VLOOKUP($U$161,'TAR FIN'!$A$1:$O$93,15,0))</f>
        <v>0</v>
      </c>
      <c r="Y161" s="6">
        <f ca="1">('TUSD BE'!$AM$13+'TUSD BF'!$AM$13+'TUSD CVA'!$AM$13)*1</f>
        <v>16.12796715109398</v>
      </c>
      <c r="Z161" s="6"/>
      <c r="AA161" s="6"/>
      <c r="AB161" s="6">
        <f>$K$161*$V$161</f>
        <v>2848.2</v>
      </c>
      <c r="AC161" s="6">
        <f>$M$161*$W$161</f>
        <v>0</v>
      </c>
      <c r="AD161" s="6">
        <f>$O$161*$X$161</f>
        <v>0</v>
      </c>
      <c r="AE161" s="6">
        <f ca="1">$K$161*$Y$161</f>
        <v>5685.1084207606282</v>
      </c>
      <c r="AF161" s="6">
        <f>$M$161*$Z$161</f>
        <v>0</v>
      </c>
      <c r="AG161" s="6">
        <f>$O$161*$AA$161</f>
        <v>0</v>
      </c>
    </row>
    <row r="162" spans="1:33" ht="11.25" customHeight="1" x14ac:dyDescent="0.25">
      <c r="A162" s="4" t="s">
        <v>65</v>
      </c>
      <c r="B162" s="4" t="s">
        <v>35</v>
      </c>
      <c r="C162" s="4" t="s">
        <v>56</v>
      </c>
      <c r="D162" s="4" t="s">
        <v>25</v>
      </c>
      <c r="E162" s="4" t="s">
        <v>25</v>
      </c>
      <c r="F162" s="4" t="s">
        <v>25</v>
      </c>
      <c r="G162" s="4" t="s">
        <v>59</v>
      </c>
      <c r="H162" s="4" t="s">
        <v>25</v>
      </c>
      <c r="I162" s="5">
        <v>44531</v>
      </c>
      <c r="J162" s="6">
        <v>3700</v>
      </c>
      <c r="K162" s="6">
        <v>1850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4" t="s">
        <v>58</v>
      </c>
      <c r="R162" s="4">
        <v>877</v>
      </c>
      <c r="S162" s="6">
        <v>14</v>
      </c>
      <c r="T162" s="6">
        <v>0</v>
      </c>
      <c r="U162" s="6">
        <v>0</v>
      </c>
      <c r="V162" s="6">
        <f>IF(ISERROR(VLOOKUP($S$162,'TAR FIN'!$A$1:$O$93,15,0)),0,VLOOKUP($S$162,'TAR FIN'!$A$1:$O$93,15,0))</f>
        <v>8.08</v>
      </c>
      <c r="W162" s="6">
        <f>IF(ISERROR(VLOOKUP($T$162,'TAR FIN'!$A$1:$O$93,15,0)),0,VLOOKUP($T$162,'TAR FIN'!$A$1:$O$93,15,0))</f>
        <v>0</v>
      </c>
      <c r="X162" s="6">
        <f>IF(ISERROR(VLOOKUP($U$162,'TAR FIN'!$A$1:$O$93,15,0)),0,VLOOKUP($U$162,'TAR FIN'!$A$1:$O$93,15,0))</f>
        <v>0</v>
      </c>
      <c r="Y162" s="6">
        <f ca="1">('TUSD BE'!$AM$13+'TUSD BF'!$AM$13+'TUSD CVA'!$AM$13)*1</f>
        <v>16.12796715109398</v>
      </c>
      <c r="Z162" s="6"/>
      <c r="AA162" s="6"/>
      <c r="AB162" s="6">
        <f>$K$162*$V$162</f>
        <v>14948</v>
      </c>
      <c r="AC162" s="6">
        <f>$M$162*$W$162</f>
        <v>0</v>
      </c>
      <c r="AD162" s="6">
        <f>$O$162*$X$162</f>
        <v>0</v>
      </c>
      <c r="AE162" s="6">
        <f ca="1">$K$162*$Y$162</f>
        <v>29836.739229523864</v>
      </c>
      <c r="AF162" s="6">
        <f>$M$162*$Z$162</f>
        <v>0</v>
      </c>
      <c r="AG162" s="6">
        <f>$O$162*$AA$162</f>
        <v>0</v>
      </c>
    </row>
    <row r="163" spans="1:33" ht="11.25" customHeight="1" x14ac:dyDescent="0.25">
      <c r="A163" s="4" t="s">
        <v>65</v>
      </c>
      <c r="B163" s="4" t="s">
        <v>35</v>
      </c>
      <c r="C163" s="4" t="s">
        <v>56</v>
      </c>
      <c r="D163" s="4" t="s">
        <v>25</v>
      </c>
      <c r="E163" s="4" t="s">
        <v>25</v>
      </c>
      <c r="F163" s="4" t="s">
        <v>25</v>
      </c>
      <c r="G163" s="4" t="s">
        <v>60</v>
      </c>
      <c r="H163" s="4" t="s">
        <v>25</v>
      </c>
      <c r="I163" s="5">
        <v>44531</v>
      </c>
      <c r="J163" s="6">
        <v>880</v>
      </c>
      <c r="K163" s="6">
        <v>440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58</v>
      </c>
      <c r="R163" s="4">
        <v>2317</v>
      </c>
      <c r="S163" s="6">
        <v>14</v>
      </c>
      <c r="T163" s="6">
        <v>0</v>
      </c>
      <c r="U163" s="6">
        <v>0</v>
      </c>
      <c r="V163" s="6">
        <f>IF(ISERROR(VLOOKUP($S$163,'TAR FIN'!$A$1:$O$93,15,0)),0,VLOOKUP($S$163,'TAR FIN'!$A$1:$O$93,15,0))</f>
        <v>8.08</v>
      </c>
      <c r="W163" s="6">
        <f>IF(ISERROR(VLOOKUP($T$163,'TAR FIN'!$A$1:$O$93,15,0)),0,VLOOKUP($T$163,'TAR FIN'!$A$1:$O$93,15,0))</f>
        <v>0</v>
      </c>
      <c r="X163" s="6">
        <f>IF(ISERROR(VLOOKUP($U$163,'TAR FIN'!$A$1:$O$93,15,0)),0,VLOOKUP($U$163,'TAR FIN'!$A$1:$O$93,15,0))</f>
        <v>0</v>
      </c>
      <c r="Y163" s="6">
        <f ca="1">('TUSD BE'!$AM$13+'TUSD BF'!$AM$13+'TUSD CVA'!$AM$13)*1</f>
        <v>16.12796715109398</v>
      </c>
      <c r="Z163" s="6"/>
      <c r="AA163" s="6"/>
      <c r="AB163" s="6">
        <f>$K$163*$V$163</f>
        <v>3555.2</v>
      </c>
      <c r="AC163" s="6">
        <f>$M$163*$W$163</f>
        <v>0</v>
      </c>
      <c r="AD163" s="6">
        <f>$O$163*$X$163</f>
        <v>0</v>
      </c>
      <c r="AE163" s="6">
        <f ca="1">$K$163*$Y$163</f>
        <v>7096.3055464813515</v>
      </c>
      <c r="AF163" s="6">
        <f>$M$163*$Z$163</f>
        <v>0</v>
      </c>
      <c r="AG163" s="6">
        <f>$O$163*$AA$163</f>
        <v>0</v>
      </c>
    </row>
    <row r="164" spans="1:33" ht="11.25" customHeight="1" x14ac:dyDescent="0.25">
      <c r="A164" s="4" t="s">
        <v>65</v>
      </c>
      <c r="B164" s="4" t="s">
        <v>35</v>
      </c>
      <c r="C164" s="4" t="s">
        <v>56</v>
      </c>
      <c r="D164" s="4" t="s">
        <v>25</v>
      </c>
      <c r="E164" s="4" t="s">
        <v>25</v>
      </c>
      <c r="F164" s="4" t="s">
        <v>25</v>
      </c>
      <c r="G164" s="4" t="s">
        <v>61</v>
      </c>
      <c r="H164" s="4" t="s">
        <v>25</v>
      </c>
      <c r="I164" s="5">
        <v>44531</v>
      </c>
      <c r="J164" s="6">
        <v>780</v>
      </c>
      <c r="K164" s="6">
        <v>390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4" t="s">
        <v>58</v>
      </c>
      <c r="R164" s="4">
        <v>28915</v>
      </c>
      <c r="S164" s="6">
        <v>14</v>
      </c>
      <c r="T164" s="6">
        <v>0</v>
      </c>
      <c r="U164" s="6">
        <v>0</v>
      </c>
      <c r="V164" s="6">
        <f>IF(ISERROR(VLOOKUP($S$164,'TAR FIN'!$A$1:$O$93,15,0)),0,VLOOKUP($S$164,'TAR FIN'!$A$1:$O$93,15,0))</f>
        <v>8.08</v>
      </c>
      <c r="W164" s="6">
        <f>IF(ISERROR(VLOOKUP($T$164,'TAR FIN'!$A$1:$O$93,15,0)),0,VLOOKUP($T$164,'TAR FIN'!$A$1:$O$93,15,0))</f>
        <v>0</v>
      </c>
      <c r="X164" s="6">
        <f>IF(ISERROR(VLOOKUP($U$164,'TAR FIN'!$A$1:$O$93,15,0)),0,VLOOKUP($U$164,'TAR FIN'!$A$1:$O$93,15,0))</f>
        <v>0</v>
      </c>
      <c r="Y164" s="6">
        <f ca="1">('TUSD BE'!$AM$13+'TUSD BF'!$AM$13+'TUSD CVA'!$AM$13)*1</f>
        <v>16.12796715109398</v>
      </c>
      <c r="Z164" s="6"/>
      <c r="AA164" s="6"/>
      <c r="AB164" s="6">
        <f>$K$164*$V$164</f>
        <v>3151.2</v>
      </c>
      <c r="AC164" s="6">
        <f>$M$164*$W$164</f>
        <v>0</v>
      </c>
      <c r="AD164" s="6">
        <f>$O$164*$X$164</f>
        <v>0</v>
      </c>
      <c r="AE164" s="6">
        <f ca="1">$K$164*$Y$164</f>
        <v>6289.9071889266525</v>
      </c>
      <c r="AF164" s="6">
        <f>$M$164*$Z$164</f>
        <v>0</v>
      </c>
      <c r="AG164" s="6">
        <f>$O$164*$AA$164</f>
        <v>0</v>
      </c>
    </row>
    <row r="165" spans="1:33" ht="11.25" customHeight="1" x14ac:dyDescent="0.25">
      <c r="A165" s="4" t="s">
        <v>65</v>
      </c>
      <c r="B165" s="4" t="s">
        <v>35</v>
      </c>
      <c r="C165" s="4" t="s">
        <v>56</v>
      </c>
      <c r="D165" s="4" t="s">
        <v>25</v>
      </c>
      <c r="E165" s="4" t="s">
        <v>25</v>
      </c>
      <c r="F165" s="4" t="s">
        <v>25</v>
      </c>
      <c r="G165" s="4" t="s">
        <v>62</v>
      </c>
      <c r="H165" s="4" t="s">
        <v>25</v>
      </c>
      <c r="I165" s="5">
        <v>44531</v>
      </c>
      <c r="J165" s="6">
        <v>1280</v>
      </c>
      <c r="K165" s="6">
        <v>640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58</v>
      </c>
      <c r="R165" s="4">
        <v>31695</v>
      </c>
      <c r="S165" s="6">
        <v>14</v>
      </c>
      <c r="T165" s="6">
        <v>0</v>
      </c>
      <c r="U165" s="6">
        <v>0</v>
      </c>
      <c r="V165" s="6">
        <f>IF(ISERROR(VLOOKUP($S$165,'TAR FIN'!$A$1:$O$93,15,0)),0,VLOOKUP($S$165,'TAR FIN'!$A$1:$O$93,15,0))</f>
        <v>8.08</v>
      </c>
      <c r="W165" s="6">
        <f>IF(ISERROR(VLOOKUP($T$165,'TAR FIN'!$A$1:$O$93,15,0)),0,VLOOKUP($T$165,'TAR FIN'!$A$1:$O$93,15,0))</f>
        <v>0</v>
      </c>
      <c r="X165" s="6">
        <f>IF(ISERROR(VLOOKUP($U$165,'TAR FIN'!$A$1:$O$93,15,0)),0,VLOOKUP($U$165,'TAR FIN'!$A$1:$O$93,15,0))</f>
        <v>0</v>
      </c>
      <c r="Y165" s="6">
        <f ca="1">('TUSD BE'!$AM$13+'TUSD BF'!$AM$13+'TUSD CVA'!$AM$13)*1</f>
        <v>16.12796715109398</v>
      </c>
      <c r="Z165" s="6"/>
      <c r="AA165" s="6"/>
      <c r="AB165" s="6">
        <f>$K$165*$V$165</f>
        <v>5171.2</v>
      </c>
      <c r="AC165" s="6">
        <f>$M$165*$W$165</f>
        <v>0</v>
      </c>
      <c r="AD165" s="6">
        <f>$O$165*$X$165</f>
        <v>0</v>
      </c>
      <c r="AE165" s="6">
        <f ca="1">$K$165*$Y$165</f>
        <v>10321.898976700148</v>
      </c>
      <c r="AF165" s="6">
        <f>$M$165*$Z$165</f>
        <v>0</v>
      </c>
      <c r="AG165" s="6">
        <f>$O$165*$AA$165</f>
        <v>0</v>
      </c>
    </row>
    <row r="166" spans="1:33" ht="11.25" customHeight="1" x14ac:dyDescent="0.25">
      <c r="A166" s="4" t="s">
        <v>65</v>
      </c>
      <c r="B166" s="4" t="s">
        <v>35</v>
      </c>
      <c r="C166" s="4" t="s">
        <v>56</v>
      </c>
      <c r="D166" s="4" t="s">
        <v>25</v>
      </c>
      <c r="E166" s="4" t="s">
        <v>25</v>
      </c>
      <c r="F166" s="4" t="s">
        <v>25</v>
      </c>
      <c r="G166" s="4" t="s">
        <v>63</v>
      </c>
      <c r="H166" s="4" t="s">
        <v>25</v>
      </c>
      <c r="I166" s="5">
        <v>44531</v>
      </c>
      <c r="J166" s="6">
        <v>2425</v>
      </c>
      <c r="K166" s="6">
        <v>1212.5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4" t="s">
        <v>58</v>
      </c>
      <c r="S166" s="6">
        <v>14</v>
      </c>
      <c r="T166" s="6">
        <v>0</v>
      </c>
      <c r="U166" s="6">
        <v>0</v>
      </c>
      <c r="V166" s="6">
        <f>IF(ISERROR(VLOOKUP($S$166,'TAR FIN'!$A$1:$O$93,15,0)),0,VLOOKUP($S$166,'TAR FIN'!$A$1:$O$93,15,0))</f>
        <v>8.08</v>
      </c>
      <c r="W166" s="6">
        <f>IF(ISERROR(VLOOKUP($T$166,'TAR FIN'!$A$1:$O$93,15,0)),0,VLOOKUP($T$166,'TAR FIN'!$A$1:$O$93,15,0))</f>
        <v>0</v>
      </c>
      <c r="X166" s="6">
        <f>IF(ISERROR(VLOOKUP($U$166,'TAR FIN'!$A$1:$O$93,15,0)),0,VLOOKUP($U$166,'TAR FIN'!$A$1:$O$93,15,0))</f>
        <v>0</v>
      </c>
      <c r="Y166" s="6">
        <f ca="1">('TUSD BE'!$AM$13+'TUSD BF'!$AM$13+'TUSD CVA'!$AM$13)*1</f>
        <v>16.12796715109398</v>
      </c>
      <c r="Z166" s="6"/>
      <c r="AA166" s="6"/>
      <c r="AB166" s="6">
        <f>$K$166*$V$166</f>
        <v>9797</v>
      </c>
      <c r="AC166" s="6">
        <f>$M$166*$W$166</f>
        <v>0</v>
      </c>
      <c r="AD166" s="6">
        <f>$O$166*$X$166</f>
        <v>0</v>
      </c>
      <c r="AE166" s="6">
        <f ca="1">$K$166*$Y$166</f>
        <v>19555.160170701452</v>
      </c>
      <c r="AF166" s="6">
        <f>$M$166*$Z$166</f>
        <v>0</v>
      </c>
      <c r="AG166" s="6">
        <f>$O$166*$AA$166</f>
        <v>0</v>
      </c>
    </row>
    <row r="167" spans="1:33" ht="11.25" customHeight="1" x14ac:dyDescent="0.25">
      <c r="A167" s="4" t="s">
        <v>65</v>
      </c>
      <c r="B167" s="4" t="s">
        <v>35</v>
      </c>
      <c r="C167" s="4" t="s">
        <v>56</v>
      </c>
      <c r="D167" s="4" t="s">
        <v>25</v>
      </c>
      <c r="E167" s="4" t="s">
        <v>25</v>
      </c>
      <c r="F167" s="4" t="s">
        <v>25</v>
      </c>
      <c r="G167" s="4" t="s">
        <v>64</v>
      </c>
      <c r="H167" s="4" t="s">
        <v>25</v>
      </c>
      <c r="I167" s="5">
        <v>44531</v>
      </c>
      <c r="J167" s="6">
        <v>1100</v>
      </c>
      <c r="K167" s="6">
        <v>550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58</v>
      </c>
      <c r="S167" s="6">
        <v>14</v>
      </c>
      <c r="T167" s="6">
        <v>0</v>
      </c>
      <c r="U167" s="6">
        <v>0</v>
      </c>
      <c r="V167" s="6">
        <f>IF(ISERROR(VLOOKUP($S$167,'TAR FIN'!$A$1:$O$93,15,0)),0,VLOOKUP($S$167,'TAR FIN'!$A$1:$O$93,15,0))</f>
        <v>8.08</v>
      </c>
      <c r="W167" s="6">
        <f>IF(ISERROR(VLOOKUP($T$167,'TAR FIN'!$A$1:$O$93,15,0)),0,VLOOKUP($T$167,'TAR FIN'!$A$1:$O$93,15,0))</f>
        <v>0</v>
      </c>
      <c r="X167" s="6">
        <f>IF(ISERROR(VLOOKUP($U$167,'TAR FIN'!$A$1:$O$93,15,0)),0,VLOOKUP($U$167,'TAR FIN'!$A$1:$O$93,15,0))</f>
        <v>0</v>
      </c>
      <c r="Y167" s="6">
        <f ca="1">('TUSD BE'!$AM$13+'TUSD BF'!$AM$13+'TUSD CVA'!$AM$13)*1</f>
        <v>16.12796715109398</v>
      </c>
      <c r="Z167" s="6"/>
      <c r="AA167" s="6"/>
      <c r="AB167" s="6">
        <f>$K$167*$V$167</f>
        <v>4444</v>
      </c>
      <c r="AC167" s="6">
        <f>$M$167*$W$167</f>
        <v>0</v>
      </c>
      <c r="AD167" s="6">
        <f>$O$167*$X$167</f>
        <v>0</v>
      </c>
      <c r="AE167" s="6">
        <f ca="1">$K$167*$Y$167</f>
        <v>8870.3819331016894</v>
      </c>
      <c r="AF167" s="6">
        <f>$M$167*$Z$167</f>
        <v>0</v>
      </c>
      <c r="AG167" s="6">
        <f>$O$167*$AA$167</f>
        <v>0</v>
      </c>
    </row>
    <row r="168" spans="1:33" ht="11.25" customHeight="1" x14ac:dyDescent="0.25">
      <c r="A168" s="4" t="s">
        <v>21</v>
      </c>
      <c r="B168" s="4" t="s">
        <v>35</v>
      </c>
      <c r="C168" s="4" t="s">
        <v>56</v>
      </c>
      <c r="D168" s="4" t="s">
        <v>25</v>
      </c>
      <c r="E168" s="4" t="s">
        <v>25</v>
      </c>
      <c r="F168" s="4" t="s">
        <v>25</v>
      </c>
      <c r="G168" s="4" t="s">
        <v>57</v>
      </c>
      <c r="H168" s="4" t="s">
        <v>25</v>
      </c>
      <c r="I168" s="5">
        <v>44562</v>
      </c>
      <c r="J168" s="6">
        <v>705</v>
      </c>
      <c r="K168" s="6">
        <v>352.5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4" t="s">
        <v>58</v>
      </c>
      <c r="R168" s="4">
        <v>706</v>
      </c>
      <c r="S168" s="6">
        <v>14</v>
      </c>
      <c r="T168" s="6">
        <v>0</v>
      </c>
      <c r="U168" s="6">
        <v>0</v>
      </c>
      <c r="V168" s="6">
        <f>IF(ISERROR(VLOOKUP($S$168,'TAR FIN'!$A$1:$O$93,15,0)),0,VLOOKUP($S$168,'TAR FIN'!$A$1:$O$93,15,0))</f>
        <v>8.08</v>
      </c>
      <c r="W168" s="6">
        <f>IF(ISERROR(VLOOKUP($T$168,'TAR FIN'!$A$1:$O$93,15,0)),0,VLOOKUP($T$168,'TAR FIN'!$A$1:$O$93,15,0))</f>
        <v>0</v>
      </c>
      <c r="X168" s="6">
        <f>IF(ISERROR(VLOOKUP($U$168,'TAR FIN'!$A$1:$O$93,15,0)),0,VLOOKUP($U$168,'TAR FIN'!$A$1:$O$93,15,0))</f>
        <v>0</v>
      </c>
      <c r="Y168" s="6">
        <f ca="1">('TUSD BE'!$AM$13+'TUSD BF'!$AM$13+'TUSD CVA'!$AM$13)*1</f>
        <v>16.12796715109398</v>
      </c>
      <c r="Z168" s="6"/>
      <c r="AA168" s="6"/>
      <c r="AB168" s="6">
        <f>$K$168*$V$168</f>
        <v>2848.2</v>
      </c>
      <c r="AC168" s="6">
        <f>$M$168*$W$168</f>
        <v>0</v>
      </c>
      <c r="AD168" s="6">
        <f>$O$168*$X$168</f>
        <v>0</v>
      </c>
      <c r="AE168" s="6">
        <f ca="1">$K$168*$Y$168</f>
        <v>5685.1084207606282</v>
      </c>
      <c r="AF168" s="6">
        <f>$M$168*$Z$168</f>
        <v>0</v>
      </c>
      <c r="AG168" s="6">
        <f>$O$168*$AA$168</f>
        <v>0</v>
      </c>
    </row>
    <row r="169" spans="1:33" ht="11.25" customHeight="1" x14ac:dyDescent="0.25">
      <c r="A169" s="4" t="s">
        <v>21</v>
      </c>
      <c r="B169" s="4" t="s">
        <v>35</v>
      </c>
      <c r="C169" s="4" t="s">
        <v>56</v>
      </c>
      <c r="D169" s="4" t="s">
        <v>25</v>
      </c>
      <c r="E169" s="4" t="s">
        <v>25</v>
      </c>
      <c r="F169" s="4" t="s">
        <v>25</v>
      </c>
      <c r="G169" s="4" t="s">
        <v>59</v>
      </c>
      <c r="H169" s="4" t="s">
        <v>25</v>
      </c>
      <c r="I169" s="5">
        <v>44562</v>
      </c>
      <c r="J169" s="6">
        <v>3700</v>
      </c>
      <c r="K169" s="6">
        <v>1850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4" t="s">
        <v>58</v>
      </c>
      <c r="R169" s="4">
        <v>877</v>
      </c>
      <c r="S169" s="6">
        <v>14</v>
      </c>
      <c r="T169" s="6">
        <v>0</v>
      </c>
      <c r="U169" s="6">
        <v>0</v>
      </c>
      <c r="V169" s="6">
        <f>IF(ISERROR(VLOOKUP($S$169,'TAR FIN'!$A$1:$O$93,15,0)),0,VLOOKUP($S$169,'TAR FIN'!$A$1:$O$93,15,0))</f>
        <v>8.08</v>
      </c>
      <c r="W169" s="6">
        <f>IF(ISERROR(VLOOKUP($T$169,'TAR FIN'!$A$1:$O$93,15,0)),0,VLOOKUP($T$169,'TAR FIN'!$A$1:$O$93,15,0))</f>
        <v>0</v>
      </c>
      <c r="X169" s="6">
        <f>IF(ISERROR(VLOOKUP($U$169,'TAR FIN'!$A$1:$O$93,15,0)),0,VLOOKUP($U$169,'TAR FIN'!$A$1:$O$93,15,0))</f>
        <v>0</v>
      </c>
      <c r="Y169" s="6">
        <f ca="1">('TUSD BE'!$AM$13+'TUSD BF'!$AM$13+'TUSD CVA'!$AM$13)*1</f>
        <v>16.12796715109398</v>
      </c>
      <c r="Z169" s="6"/>
      <c r="AA169" s="6"/>
      <c r="AB169" s="6">
        <f>$K$169*$V$169</f>
        <v>14948</v>
      </c>
      <c r="AC169" s="6">
        <f>$M$169*$W$169</f>
        <v>0</v>
      </c>
      <c r="AD169" s="6">
        <f>$O$169*$X$169</f>
        <v>0</v>
      </c>
      <c r="AE169" s="6">
        <f ca="1">$K$169*$Y$169</f>
        <v>29836.739229523864</v>
      </c>
      <c r="AF169" s="6">
        <f>$M$169*$Z$169</f>
        <v>0</v>
      </c>
      <c r="AG169" s="6">
        <f>$O$169*$AA$169</f>
        <v>0</v>
      </c>
    </row>
    <row r="170" spans="1:33" ht="11.25" customHeight="1" x14ac:dyDescent="0.25">
      <c r="A170" s="4" t="s">
        <v>21</v>
      </c>
      <c r="B170" s="4" t="s">
        <v>35</v>
      </c>
      <c r="C170" s="4" t="s">
        <v>56</v>
      </c>
      <c r="D170" s="4" t="s">
        <v>25</v>
      </c>
      <c r="E170" s="4" t="s">
        <v>25</v>
      </c>
      <c r="F170" s="4" t="s">
        <v>25</v>
      </c>
      <c r="G170" s="4" t="s">
        <v>60</v>
      </c>
      <c r="H170" s="4" t="s">
        <v>25</v>
      </c>
      <c r="I170" s="5">
        <v>44562</v>
      </c>
      <c r="J170" s="6">
        <v>880</v>
      </c>
      <c r="K170" s="6">
        <v>440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4" t="s">
        <v>58</v>
      </c>
      <c r="R170" s="4">
        <v>2317</v>
      </c>
      <c r="S170" s="6">
        <v>14</v>
      </c>
      <c r="T170" s="6">
        <v>0</v>
      </c>
      <c r="U170" s="6">
        <v>0</v>
      </c>
      <c r="V170" s="6">
        <f>IF(ISERROR(VLOOKUP($S$170,'TAR FIN'!$A$1:$O$93,15,0)),0,VLOOKUP($S$170,'TAR FIN'!$A$1:$O$93,15,0))</f>
        <v>8.08</v>
      </c>
      <c r="W170" s="6">
        <f>IF(ISERROR(VLOOKUP($T$170,'TAR FIN'!$A$1:$O$93,15,0)),0,VLOOKUP($T$170,'TAR FIN'!$A$1:$O$93,15,0))</f>
        <v>0</v>
      </c>
      <c r="X170" s="6">
        <f>IF(ISERROR(VLOOKUP($U$170,'TAR FIN'!$A$1:$O$93,15,0)),0,VLOOKUP($U$170,'TAR FIN'!$A$1:$O$93,15,0))</f>
        <v>0</v>
      </c>
      <c r="Y170" s="6">
        <f ca="1">('TUSD BE'!$AM$13+'TUSD BF'!$AM$13+'TUSD CVA'!$AM$13)*1</f>
        <v>16.12796715109398</v>
      </c>
      <c r="Z170" s="6"/>
      <c r="AA170" s="6"/>
      <c r="AB170" s="6">
        <f>$K$170*$V$170</f>
        <v>3555.2</v>
      </c>
      <c r="AC170" s="6">
        <f>$M$170*$W$170</f>
        <v>0</v>
      </c>
      <c r="AD170" s="6">
        <f>$O$170*$X$170</f>
        <v>0</v>
      </c>
      <c r="AE170" s="6">
        <f ca="1">$K$170*$Y$170</f>
        <v>7096.3055464813515</v>
      </c>
      <c r="AF170" s="6">
        <f>$M$170*$Z$170</f>
        <v>0</v>
      </c>
      <c r="AG170" s="6">
        <f>$O$170*$AA$170</f>
        <v>0</v>
      </c>
    </row>
    <row r="171" spans="1:33" ht="11.25" customHeight="1" x14ac:dyDescent="0.25">
      <c r="A171" s="4" t="s">
        <v>21</v>
      </c>
      <c r="B171" s="4" t="s">
        <v>35</v>
      </c>
      <c r="C171" s="4" t="s">
        <v>56</v>
      </c>
      <c r="D171" s="4" t="s">
        <v>25</v>
      </c>
      <c r="E171" s="4" t="s">
        <v>25</v>
      </c>
      <c r="F171" s="4" t="s">
        <v>25</v>
      </c>
      <c r="G171" s="4" t="s">
        <v>61</v>
      </c>
      <c r="H171" s="4" t="s">
        <v>25</v>
      </c>
      <c r="I171" s="5">
        <v>44562</v>
      </c>
      <c r="J171" s="6">
        <v>780</v>
      </c>
      <c r="K171" s="6">
        <v>390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4" t="s">
        <v>58</v>
      </c>
      <c r="R171" s="4">
        <v>28915</v>
      </c>
      <c r="S171" s="6">
        <v>14</v>
      </c>
      <c r="T171" s="6">
        <v>0</v>
      </c>
      <c r="U171" s="6">
        <v>0</v>
      </c>
      <c r="V171" s="6">
        <f>IF(ISERROR(VLOOKUP($S$171,'TAR FIN'!$A$1:$O$93,15,0)),0,VLOOKUP($S$171,'TAR FIN'!$A$1:$O$93,15,0))</f>
        <v>8.08</v>
      </c>
      <c r="W171" s="6">
        <f>IF(ISERROR(VLOOKUP($T$171,'TAR FIN'!$A$1:$O$93,15,0)),0,VLOOKUP($T$171,'TAR FIN'!$A$1:$O$93,15,0))</f>
        <v>0</v>
      </c>
      <c r="X171" s="6">
        <f>IF(ISERROR(VLOOKUP($U$171,'TAR FIN'!$A$1:$O$93,15,0)),0,VLOOKUP($U$171,'TAR FIN'!$A$1:$O$93,15,0))</f>
        <v>0</v>
      </c>
      <c r="Y171" s="6">
        <f ca="1">('TUSD BE'!$AM$13+'TUSD BF'!$AM$13+'TUSD CVA'!$AM$13)*1</f>
        <v>16.12796715109398</v>
      </c>
      <c r="Z171" s="6"/>
      <c r="AA171" s="6"/>
      <c r="AB171" s="6">
        <f>$K$171*$V$171</f>
        <v>3151.2</v>
      </c>
      <c r="AC171" s="6">
        <f>$M$171*$W$171</f>
        <v>0</v>
      </c>
      <c r="AD171" s="6">
        <f>$O$171*$X$171</f>
        <v>0</v>
      </c>
      <c r="AE171" s="6">
        <f ca="1">$K$171*$Y$171</f>
        <v>6289.9071889266525</v>
      </c>
      <c r="AF171" s="6">
        <f>$M$171*$Z$171</f>
        <v>0</v>
      </c>
      <c r="AG171" s="6">
        <f>$O$171*$AA$171</f>
        <v>0</v>
      </c>
    </row>
    <row r="172" spans="1:33" ht="11.25" customHeight="1" x14ac:dyDescent="0.25">
      <c r="A172" s="4" t="s">
        <v>21</v>
      </c>
      <c r="B172" s="4" t="s">
        <v>35</v>
      </c>
      <c r="C172" s="4" t="s">
        <v>56</v>
      </c>
      <c r="D172" s="4" t="s">
        <v>25</v>
      </c>
      <c r="E172" s="4" t="s">
        <v>25</v>
      </c>
      <c r="F172" s="4" t="s">
        <v>25</v>
      </c>
      <c r="G172" s="4" t="s">
        <v>62</v>
      </c>
      <c r="H172" s="4" t="s">
        <v>25</v>
      </c>
      <c r="I172" s="5">
        <v>44562</v>
      </c>
      <c r="J172" s="6">
        <v>1280</v>
      </c>
      <c r="K172" s="6">
        <v>640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4" t="s">
        <v>58</v>
      </c>
      <c r="R172" s="4">
        <v>31695</v>
      </c>
      <c r="S172" s="6">
        <v>14</v>
      </c>
      <c r="T172" s="6">
        <v>0</v>
      </c>
      <c r="U172" s="6">
        <v>0</v>
      </c>
      <c r="V172" s="6">
        <f>IF(ISERROR(VLOOKUP($S$172,'TAR FIN'!$A$1:$O$93,15,0)),0,VLOOKUP($S$172,'TAR FIN'!$A$1:$O$93,15,0))</f>
        <v>8.08</v>
      </c>
      <c r="W172" s="6">
        <f>IF(ISERROR(VLOOKUP($T$172,'TAR FIN'!$A$1:$O$93,15,0)),0,VLOOKUP($T$172,'TAR FIN'!$A$1:$O$93,15,0))</f>
        <v>0</v>
      </c>
      <c r="X172" s="6">
        <f>IF(ISERROR(VLOOKUP($U$172,'TAR FIN'!$A$1:$O$93,15,0)),0,VLOOKUP($U$172,'TAR FIN'!$A$1:$O$93,15,0))</f>
        <v>0</v>
      </c>
      <c r="Y172" s="6">
        <f ca="1">('TUSD BE'!$AM$13+'TUSD BF'!$AM$13+'TUSD CVA'!$AM$13)*1</f>
        <v>16.12796715109398</v>
      </c>
      <c r="Z172" s="6"/>
      <c r="AA172" s="6"/>
      <c r="AB172" s="6">
        <f>$K$172*$V$172</f>
        <v>5171.2</v>
      </c>
      <c r="AC172" s="6">
        <f>$M$172*$W$172</f>
        <v>0</v>
      </c>
      <c r="AD172" s="6">
        <f>$O$172*$X$172</f>
        <v>0</v>
      </c>
      <c r="AE172" s="6">
        <f ca="1">$K$172*$Y$172</f>
        <v>10321.898976700148</v>
      </c>
      <c r="AF172" s="6">
        <f>$M$172*$Z$172</f>
        <v>0</v>
      </c>
      <c r="AG172" s="6">
        <f>$O$172*$AA$172</f>
        <v>0</v>
      </c>
    </row>
    <row r="173" spans="1:33" ht="11.25" customHeight="1" x14ac:dyDescent="0.25">
      <c r="A173" s="4" t="s">
        <v>21</v>
      </c>
      <c r="B173" s="4" t="s">
        <v>35</v>
      </c>
      <c r="C173" s="4" t="s">
        <v>56</v>
      </c>
      <c r="D173" s="4" t="s">
        <v>25</v>
      </c>
      <c r="E173" s="4" t="s">
        <v>25</v>
      </c>
      <c r="F173" s="4" t="s">
        <v>25</v>
      </c>
      <c r="G173" s="4" t="s">
        <v>63</v>
      </c>
      <c r="H173" s="4" t="s">
        <v>25</v>
      </c>
      <c r="I173" s="5">
        <v>44562</v>
      </c>
      <c r="J173" s="6">
        <v>2425</v>
      </c>
      <c r="K173" s="6">
        <v>1212.5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4" t="s">
        <v>58</v>
      </c>
      <c r="S173" s="6">
        <v>14</v>
      </c>
      <c r="T173" s="6">
        <v>0</v>
      </c>
      <c r="U173" s="6">
        <v>0</v>
      </c>
      <c r="V173" s="6">
        <f>IF(ISERROR(VLOOKUP($S$173,'TAR FIN'!$A$1:$O$93,15,0)),0,VLOOKUP($S$173,'TAR FIN'!$A$1:$O$93,15,0))</f>
        <v>8.08</v>
      </c>
      <c r="W173" s="6">
        <f>IF(ISERROR(VLOOKUP($T$173,'TAR FIN'!$A$1:$O$93,15,0)),0,VLOOKUP($T$173,'TAR FIN'!$A$1:$O$93,15,0))</f>
        <v>0</v>
      </c>
      <c r="X173" s="6">
        <f>IF(ISERROR(VLOOKUP($U$173,'TAR FIN'!$A$1:$O$93,15,0)),0,VLOOKUP($U$173,'TAR FIN'!$A$1:$O$93,15,0))</f>
        <v>0</v>
      </c>
      <c r="Y173" s="6">
        <f ca="1">('TUSD BE'!$AM$13+'TUSD BF'!$AM$13+'TUSD CVA'!$AM$13)*1</f>
        <v>16.12796715109398</v>
      </c>
      <c r="Z173" s="6"/>
      <c r="AA173" s="6"/>
      <c r="AB173" s="6">
        <f>$K$173*$V$173</f>
        <v>9797</v>
      </c>
      <c r="AC173" s="6">
        <f>$M$173*$W$173</f>
        <v>0</v>
      </c>
      <c r="AD173" s="6">
        <f>$O$173*$X$173</f>
        <v>0</v>
      </c>
      <c r="AE173" s="6">
        <f ca="1">$K$173*$Y$173</f>
        <v>19555.160170701452</v>
      </c>
      <c r="AF173" s="6">
        <f>$M$173*$Z$173</f>
        <v>0</v>
      </c>
      <c r="AG173" s="6">
        <f>$O$173*$AA$173</f>
        <v>0</v>
      </c>
    </row>
    <row r="174" spans="1:33" ht="11.25" customHeight="1" x14ac:dyDescent="0.25">
      <c r="A174" s="4" t="s">
        <v>21</v>
      </c>
      <c r="B174" s="4" t="s">
        <v>35</v>
      </c>
      <c r="C174" s="4" t="s">
        <v>56</v>
      </c>
      <c r="D174" s="4" t="s">
        <v>25</v>
      </c>
      <c r="E174" s="4" t="s">
        <v>25</v>
      </c>
      <c r="F174" s="4" t="s">
        <v>25</v>
      </c>
      <c r="G174" s="4" t="s">
        <v>64</v>
      </c>
      <c r="H174" s="4" t="s">
        <v>25</v>
      </c>
      <c r="I174" s="5">
        <v>44562</v>
      </c>
      <c r="J174" s="6">
        <v>1100</v>
      </c>
      <c r="K174" s="6">
        <v>550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4" t="s">
        <v>58</v>
      </c>
      <c r="S174" s="6">
        <v>14</v>
      </c>
      <c r="T174" s="6">
        <v>0</v>
      </c>
      <c r="U174" s="6">
        <v>0</v>
      </c>
      <c r="V174" s="6">
        <f>IF(ISERROR(VLOOKUP($S$174,'TAR FIN'!$A$1:$O$93,15,0)),0,VLOOKUP($S$174,'TAR FIN'!$A$1:$O$93,15,0))</f>
        <v>8.08</v>
      </c>
      <c r="W174" s="6">
        <f>IF(ISERROR(VLOOKUP($T$174,'TAR FIN'!$A$1:$O$93,15,0)),0,VLOOKUP($T$174,'TAR FIN'!$A$1:$O$93,15,0))</f>
        <v>0</v>
      </c>
      <c r="X174" s="6">
        <f>IF(ISERROR(VLOOKUP($U$174,'TAR FIN'!$A$1:$O$93,15,0)),0,VLOOKUP($U$174,'TAR FIN'!$A$1:$O$93,15,0))</f>
        <v>0</v>
      </c>
      <c r="Y174" s="6">
        <f ca="1">('TUSD BE'!$AM$13+'TUSD BF'!$AM$13+'TUSD CVA'!$AM$13)*1</f>
        <v>16.12796715109398</v>
      </c>
      <c r="Z174" s="6"/>
      <c r="AA174" s="6"/>
      <c r="AB174" s="6">
        <f>$K$174*$V$174</f>
        <v>4444</v>
      </c>
      <c r="AC174" s="6">
        <f>$M$174*$W$174</f>
        <v>0</v>
      </c>
      <c r="AD174" s="6">
        <f>$O$174*$X$174</f>
        <v>0</v>
      </c>
      <c r="AE174" s="6">
        <f ca="1">$K$174*$Y$174</f>
        <v>8870.3819331016894</v>
      </c>
      <c r="AF174" s="6">
        <f>$M$174*$Z$174</f>
        <v>0</v>
      </c>
      <c r="AG174" s="6">
        <f>$O$174*$AA$174</f>
        <v>0</v>
      </c>
    </row>
    <row r="175" spans="1:33" ht="11.25" customHeight="1" x14ac:dyDescent="0.25">
      <c r="A175" s="4" t="s">
        <v>21</v>
      </c>
      <c r="B175" s="4" t="s">
        <v>35</v>
      </c>
      <c r="C175" s="4" t="s">
        <v>56</v>
      </c>
      <c r="D175" s="4" t="s">
        <v>25</v>
      </c>
      <c r="E175" s="4" t="s">
        <v>25</v>
      </c>
      <c r="F175" s="4" t="s">
        <v>25</v>
      </c>
      <c r="G175" s="4" t="s">
        <v>57</v>
      </c>
      <c r="H175" s="4" t="s">
        <v>25</v>
      </c>
      <c r="I175" s="5">
        <v>44593</v>
      </c>
      <c r="J175" s="6">
        <v>705</v>
      </c>
      <c r="K175" s="6">
        <v>352.5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4" t="s">
        <v>58</v>
      </c>
      <c r="R175" s="4">
        <v>706</v>
      </c>
      <c r="S175" s="6">
        <v>14</v>
      </c>
      <c r="T175" s="6">
        <v>0</v>
      </c>
      <c r="U175" s="6">
        <v>0</v>
      </c>
      <c r="V175" s="6">
        <f>IF(ISERROR(VLOOKUP($S$175,'TAR FIN'!$A$1:$O$93,15,0)),0,VLOOKUP($S$175,'TAR FIN'!$A$1:$O$93,15,0))</f>
        <v>8.08</v>
      </c>
      <c r="W175" s="6">
        <f>IF(ISERROR(VLOOKUP($T$175,'TAR FIN'!$A$1:$O$93,15,0)),0,VLOOKUP($T$175,'TAR FIN'!$A$1:$O$93,15,0))</f>
        <v>0</v>
      </c>
      <c r="X175" s="6">
        <f>IF(ISERROR(VLOOKUP($U$175,'TAR FIN'!$A$1:$O$93,15,0)),0,VLOOKUP($U$175,'TAR FIN'!$A$1:$O$93,15,0))</f>
        <v>0</v>
      </c>
      <c r="Y175" s="6">
        <f ca="1">('TUSD BE'!$AM$13+'TUSD BF'!$AM$13+'TUSD CVA'!$AM$13)*1</f>
        <v>16.12796715109398</v>
      </c>
      <c r="Z175" s="6"/>
      <c r="AA175" s="6"/>
      <c r="AB175" s="6">
        <f>$K$175*$V$175</f>
        <v>2848.2</v>
      </c>
      <c r="AC175" s="6">
        <f>$M$175*$W$175</f>
        <v>0</v>
      </c>
      <c r="AD175" s="6">
        <f>$O$175*$X$175</f>
        <v>0</v>
      </c>
      <c r="AE175" s="6">
        <f ca="1">$K$175*$Y$175</f>
        <v>5685.1084207606282</v>
      </c>
      <c r="AF175" s="6">
        <f>$M$175*$Z$175</f>
        <v>0</v>
      </c>
      <c r="AG175" s="6">
        <f>$O$175*$AA$175</f>
        <v>0</v>
      </c>
    </row>
    <row r="176" spans="1:33" ht="11.25" customHeight="1" x14ac:dyDescent="0.25">
      <c r="A176" s="4" t="s">
        <v>21</v>
      </c>
      <c r="B176" s="4" t="s">
        <v>35</v>
      </c>
      <c r="C176" s="4" t="s">
        <v>56</v>
      </c>
      <c r="D176" s="4" t="s">
        <v>25</v>
      </c>
      <c r="E176" s="4" t="s">
        <v>25</v>
      </c>
      <c r="F176" s="4" t="s">
        <v>25</v>
      </c>
      <c r="G176" s="4" t="s">
        <v>59</v>
      </c>
      <c r="H176" s="4" t="s">
        <v>25</v>
      </c>
      <c r="I176" s="5">
        <v>44593</v>
      </c>
      <c r="J176" s="6">
        <v>3700</v>
      </c>
      <c r="K176" s="6">
        <v>1850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4" t="s">
        <v>58</v>
      </c>
      <c r="R176" s="4">
        <v>877</v>
      </c>
      <c r="S176" s="6">
        <v>14</v>
      </c>
      <c r="T176" s="6">
        <v>0</v>
      </c>
      <c r="U176" s="6">
        <v>0</v>
      </c>
      <c r="V176" s="6">
        <f>IF(ISERROR(VLOOKUP($S$176,'TAR FIN'!$A$1:$O$93,15,0)),0,VLOOKUP($S$176,'TAR FIN'!$A$1:$O$93,15,0))</f>
        <v>8.08</v>
      </c>
      <c r="W176" s="6">
        <f>IF(ISERROR(VLOOKUP($T$176,'TAR FIN'!$A$1:$O$93,15,0)),0,VLOOKUP($T$176,'TAR FIN'!$A$1:$O$93,15,0))</f>
        <v>0</v>
      </c>
      <c r="X176" s="6">
        <f>IF(ISERROR(VLOOKUP($U$176,'TAR FIN'!$A$1:$O$93,15,0)),0,VLOOKUP($U$176,'TAR FIN'!$A$1:$O$93,15,0))</f>
        <v>0</v>
      </c>
      <c r="Y176" s="6">
        <f ca="1">('TUSD BE'!$AM$13+'TUSD BF'!$AM$13+'TUSD CVA'!$AM$13)*1</f>
        <v>16.12796715109398</v>
      </c>
      <c r="Z176" s="6"/>
      <c r="AA176" s="6"/>
      <c r="AB176" s="6">
        <f>$K$176*$V$176</f>
        <v>14948</v>
      </c>
      <c r="AC176" s="6">
        <f>$M$176*$W$176</f>
        <v>0</v>
      </c>
      <c r="AD176" s="6">
        <f>$O$176*$X$176</f>
        <v>0</v>
      </c>
      <c r="AE176" s="6">
        <f ca="1">$K$176*$Y$176</f>
        <v>29836.739229523864</v>
      </c>
      <c r="AF176" s="6">
        <f>$M$176*$Z$176</f>
        <v>0</v>
      </c>
      <c r="AG176" s="6">
        <f>$O$176*$AA$176</f>
        <v>0</v>
      </c>
    </row>
    <row r="177" spans="1:33" ht="11.25" customHeight="1" x14ac:dyDescent="0.25">
      <c r="A177" s="4" t="s">
        <v>21</v>
      </c>
      <c r="B177" s="4" t="s">
        <v>35</v>
      </c>
      <c r="C177" s="4" t="s">
        <v>56</v>
      </c>
      <c r="D177" s="4" t="s">
        <v>25</v>
      </c>
      <c r="E177" s="4" t="s">
        <v>25</v>
      </c>
      <c r="F177" s="4" t="s">
        <v>25</v>
      </c>
      <c r="G177" s="4" t="s">
        <v>60</v>
      </c>
      <c r="H177" s="4" t="s">
        <v>25</v>
      </c>
      <c r="I177" s="5">
        <v>44593</v>
      </c>
      <c r="J177" s="6">
        <v>880</v>
      </c>
      <c r="K177" s="6">
        <v>440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4" t="s">
        <v>58</v>
      </c>
      <c r="R177" s="4">
        <v>2317</v>
      </c>
      <c r="S177" s="6">
        <v>14</v>
      </c>
      <c r="T177" s="6">
        <v>0</v>
      </c>
      <c r="U177" s="6">
        <v>0</v>
      </c>
      <c r="V177" s="6">
        <f>IF(ISERROR(VLOOKUP($S$177,'TAR FIN'!$A$1:$O$93,15,0)),0,VLOOKUP($S$177,'TAR FIN'!$A$1:$O$93,15,0))</f>
        <v>8.08</v>
      </c>
      <c r="W177" s="6">
        <f>IF(ISERROR(VLOOKUP($T$177,'TAR FIN'!$A$1:$O$93,15,0)),0,VLOOKUP($T$177,'TAR FIN'!$A$1:$O$93,15,0))</f>
        <v>0</v>
      </c>
      <c r="X177" s="6">
        <f>IF(ISERROR(VLOOKUP($U$177,'TAR FIN'!$A$1:$O$93,15,0)),0,VLOOKUP($U$177,'TAR FIN'!$A$1:$O$93,15,0))</f>
        <v>0</v>
      </c>
      <c r="Y177" s="6">
        <f ca="1">('TUSD BE'!$AM$13+'TUSD BF'!$AM$13+'TUSD CVA'!$AM$13)*1</f>
        <v>16.12796715109398</v>
      </c>
      <c r="Z177" s="6"/>
      <c r="AA177" s="6"/>
      <c r="AB177" s="6">
        <f>$K$177*$V$177</f>
        <v>3555.2</v>
      </c>
      <c r="AC177" s="6">
        <f>$M$177*$W$177</f>
        <v>0</v>
      </c>
      <c r="AD177" s="6">
        <f>$O$177*$X$177</f>
        <v>0</v>
      </c>
      <c r="AE177" s="6">
        <f ca="1">$K$177*$Y$177</f>
        <v>7096.3055464813515</v>
      </c>
      <c r="AF177" s="6">
        <f>$M$177*$Z$177</f>
        <v>0</v>
      </c>
      <c r="AG177" s="6">
        <f>$O$177*$AA$177</f>
        <v>0</v>
      </c>
    </row>
    <row r="178" spans="1:33" ht="11.25" customHeight="1" x14ac:dyDescent="0.25">
      <c r="A178" s="4" t="s">
        <v>21</v>
      </c>
      <c r="B178" s="4" t="s">
        <v>35</v>
      </c>
      <c r="C178" s="4" t="s">
        <v>56</v>
      </c>
      <c r="D178" s="4" t="s">
        <v>25</v>
      </c>
      <c r="E178" s="4" t="s">
        <v>25</v>
      </c>
      <c r="F178" s="4" t="s">
        <v>25</v>
      </c>
      <c r="G178" s="4" t="s">
        <v>61</v>
      </c>
      <c r="H178" s="4" t="s">
        <v>25</v>
      </c>
      <c r="I178" s="5">
        <v>44593</v>
      </c>
      <c r="J178" s="6">
        <v>780</v>
      </c>
      <c r="K178" s="6">
        <v>390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4" t="s">
        <v>58</v>
      </c>
      <c r="R178" s="4">
        <v>28915</v>
      </c>
      <c r="S178" s="6">
        <v>14</v>
      </c>
      <c r="T178" s="6">
        <v>0</v>
      </c>
      <c r="U178" s="6">
        <v>0</v>
      </c>
      <c r="V178" s="6">
        <f>IF(ISERROR(VLOOKUP($S$178,'TAR FIN'!$A$1:$O$93,15,0)),0,VLOOKUP($S$178,'TAR FIN'!$A$1:$O$93,15,0))</f>
        <v>8.08</v>
      </c>
      <c r="W178" s="6">
        <f>IF(ISERROR(VLOOKUP($T$178,'TAR FIN'!$A$1:$O$93,15,0)),0,VLOOKUP($T$178,'TAR FIN'!$A$1:$O$93,15,0))</f>
        <v>0</v>
      </c>
      <c r="X178" s="6">
        <f>IF(ISERROR(VLOOKUP($U$178,'TAR FIN'!$A$1:$O$93,15,0)),0,VLOOKUP($U$178,'TAR FIN'!$A$1:$O$93,15,0))</f>
        <v>0</v>
      </c>
      <c r="Y178" s="6">
        <f ca="1">('TUSD BE'!$AM$13+'TUSD BF'!$AM$13+'TUSD CVA'!$AM$13)*1</f>
        <v>16.12796715109398</v>
      </c>
      <c r="Z178" s="6"/>
      <c r="AA178" s="6"/>
      <c r="AB178" s="6">
        <f>$K$178*$V$178</f>
        <v>3151.2</v>
      </c>
      <c r="AC178" s="6">
        <f>$M$178*$W$178</f>
        <v>0</v>
      </c>
      <c r="AD178" s="6">
        <f>$O$178*$X$178</f>
        <v>0</v>
      </c>
      <c r="AE178" s="6">
        <f ca="1">$K$178*$Y$178</f>
        <v>6289.9071889266525</v>
      </c>
      <c r="AF178" s="6">
        <f>$M$178*$Z$178</f>
        <v>0</v>
      </c>
      <c r="AG178" s="6">
        <f>$O$178*$AA$178</f>
        <v>0</v>
      </c>
    </row>
    <row r="179" spans="1:33" ht="11.25" customHeight="1" x14ac:dyDescent="0.25">
      <c r="A179" s="4" t="s">
        <v>21</v>
      </c>
      <c r="B179" s="4" t="s">
        <v>35</v>
      </c>
      <c r="C179" s="4" t="s">
        <v>56</v>
      </c>
      <c r="D179" s="4" t="s">
        <v>25</v>
      </c>
      <c r="E179" s="4" t="s">
        <v>25</v>
      </c>
      <c r="F179" s="4" t="s">
        <v>25</v>
      </c>
      <c r="G179" s="4" t="s">
        <v>62</v>
      </c>
      <c r="H179" s="4" t="s">
        <v>25</v>
      </c>
      <c r="I179" s="5">
        <v>44593</v>
      </c>
      <c r="J179" s="6">
        <v>1280</v>
      </c>
      <c r="K179" s="6">
        <v>640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4" t="s">
        <v>58</v>
      </c>
      <c r="R179" s="4">
        <v>31695</v>
      </c>
      <c r="S179" s="6">
        <v>14</v>
      </c>
      <c r="T179" s="6">
        <v>0</v>
      </c>
      <c r="U179" s="6">
        <v>0</v>
      </c>
      <c r="V179" s="6">
        <f>IF(ISERROR(VLOOKUP($S$179,'TAR FIN'!$A$1:$O$93,15,0)),0,VLOOKUP($S$179,'TAR FIN'!$A$1:$O$93,15,0))</f>
        <v>8.08</v>
      </c>
      <c r="W179" s="6">
        <f>IF(ISERROR(VLOOKUP($T$179,'TAR FIN'!$A$1:$O$93,15,0)),0,VLOOKUP($T$179,'TAR FIN'!$A$1:$O$93,15,0))</f>
        <v>0</v>
      </c>
      <c r="X179" s="6">
        <f>IF(ISERROR(VLOOKUP($U$179,'TAR FIN'!$A$1:$O$93,15,0)),0,VLOOKUP($U$179,'TAR FIN'!$A$1:$O$93,15,0))</f>
        <v>0</v>
      </c>
      <c r="Y179" s="6">
        <f ca="1">('TUSD BE'!$AM$13+'TUSD BF'!$AM$13+'TUSD CVA'!$AM$13)*1</f>
        <v>16.12796715109398</v>
      </c>
      <c r="Z179" s="6"/>
      <c r="AA179" s="6"/>
      <c r="AB179" s="6">
        <f>$K$179*$V$179</f>
        <v>5171.2</v>
      </c>
      <c r="AC179" s="6">
        <f>$M$179*$W$179</f>
        <v>0</v>
      </c>
      <c r="AD179" s="6">
        <f>$O$179*$X$179</f>
        <v>0</v>
      </c>
      <c r="AE179" s="6">
        <f ca="1">$K$179*$Y$179</f>
        <v>10321.898976700148</v>
      </c>
      <c r="AF179" s="6">
        <f>$M$179*$Z$179</f>
        <v>0</v>
      </c>
      <c r="AG179" s="6">
        <f>$O$179*$AA$179</f>
        <v>0</v>
      </c>
    </row>
    <row r="180" spans="1:33" ht="11.25" customHeight="1" x14ac:dyDescent="0.25">
      <c r="A180" s="4" t="s">
        <v>21</v>
      </c>
      <c r="B180" s="4" t="s">
        <v>35</v>
      </c>
      <c r="C180" s="4" t="s">
        <v>56</v>
      </c>
      <c r="D180" s="4" t="s">
        <v>25</v>
      </c>
      <c r="E180" s="4" t="s">
        <v>25</v>
      </c>
      <c r="F180" s="4" t="s">
        <v>25</v>
      </c>
      <c r="G180" s="4" t="s">
        <v>63</v>
      </c>
      <c r="H180" s="4" t="s">
        <v>25</v>
      </c>
      <c r="I180" s="5">
        <v>44593</v>
      </c>
      <c r="J180" s="6">
        <v>2425</v>
      </c>
      <c r="K180" s="6">
        <v>1212.5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4" t="s">
        <v>58</v>
      </c>
      <c r="S180" s="6">
        <v>14</v>
      </c>
      <c r="T180" s="6">
        <v>0</v>
      </c>
      <c r="U180" s="6">
        <v>0</v>
      </c>
      <c r="V180" s="6">
        <f>IF(ISERROR(VLOOKUP($S$180,'TAR FIN'!$A$1:$O$93,15,0)),0,VLOOKUP($S$180,'TAR FIN'!$A$1:$O$93,15,0))</f>
        <v>8.08</v>
      </c>
      <c r="W180" s="6">
        <f>IF(ISERROR(VLOOKUP($T$180,'TAR FIN'!$A$1:$O$93,15,0)),0,VLOOKUP($T$180,'TAR FIN'!$A$1:$O$93,15,0))</f>
        <v>0</v>
      </c>
      <c r="X180" s="6">
        <f>IF(ISERROR(VLOOKUP($U$180,'TAR FIN'!$A$1:$O$93,15,0)),0,VLOOKUP($U$180,'TAR FIN'!$A$1:$O$93,15,0))</f>
        <v>0</v>
      </c>
      <c r="Y180" s="6">
        <f ca="1">('TUSD BE'!$AM$13+'TUSD BF'!$AM$13+'TUSD CVA'!$AM$13)*1</f>
        <v>16.12796715109398</v>
      </c>
      <c r="Z180" s="6"/>
      <c r="AA180" s="6"/>
      <c r="AB180" s="6">
        <f>$K$180*$V$180</f>
        <v>9797</v>
      </c>
      <c r="AC180" s="6">
        <f>$M$180*$W$180</f>
        <v>0</v>
      </c>
      <c r="AD180" s="6">
        <f>$O$180*$X$180</f>
        <v>0</v>
      </c>
      <c r="AE180" s="6">
        <f ca="1">$K$180*$Y$180</f>
        <v>19555.160170701452</v>
      </c>
      <c r="AF180" s="6">
        <f>$M$180*$Z$180</f>
        <v>0</v>
      </c>
      <c r="AG180" s="6">
        <f>$O$180*$AA$180</f>
        <v>0</v>
      </c>
    </row>
    <row r="181" spans="1:33" ht="11.25" customHeight="1" x14ac:dyDescent="0.25">
      <c r="A181" s="4" t="s">
        <v>21</v>
      </c>
      <c r="B181" s="4" t="s">
        <v>35</v>
      </c>
      <c r="C181" s="4" t="s">
        <v>56</v>
      </c>
      <c r="D181" s="4" t="s">
        <v>25</v>
      </c>
      <c r="E181" s="4" t="s">
        <v>25</v>
      </c>
      <c r="F181" s="4" t="s">
        <v>25</v>
      </c>
      <c r="G181" s="4" t="s">
        <v>64</v>
      </c>
      <c r="H181" s="4" t="s">
        <v>25</v>
      </c>
      <c r="I181" s="5">
        <v>44593</v>
      </c>
      <c r="J181" s="6">
        <v>1100</v>
      </c>
      <c r="K181" s="6">
        <v>550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4" t="s">
        <v>58</v>
      </c>
      <c r="S181" s="6">
        <v>14</v>
      </c>
      <c r="T181" s="6">
        <v>0</v>
      </c>
      <c r="U181" s="6">
        <v>0</v>
      </c>
      <c r="V181" s="6">
        <f>IF(ISERROR(VLOOKUP($S$181,'TAR FIN'!$A$1:$O$93,15,0)),0,VLOOKUP($S$181,'TAR FIN'!$A$1:$O$93,15,0))</f>
        <v>8.08</v>
      </c>
      <c r="W181" s="6">
        <f>IF(ISERROR(VLOOKUP($T$181,'TAR FIN'!$A$1:$O$93,15,0)),0,VLOOKUP($T$181,'TAR FIN'!$A$1:$O$93,15,0))</f>
        <v>0</v>
      </c>
      <c r="X181" s="6">
        <f>IF(ISERROR(VLOOKUP($U$181,'TAR FIN'!$A$1:$O$93,15,0)),0,VLOOKUP($U$181,'TAR FIN'!$A$1:$O$93,15,0))</f>
        <v>0</v>
      </c>
      <c r="Y181" s="6">
        <f ca="1">('TUSD BE'!$AM$13+'TUSD BF'!$AM$13+'TUSD CVA'!$AM$13)*1</f>
        <v>16.12796715109398</v>
      </c>
      <c r="Z181" s="6"/>
      <c r="AA181" s="6"/>
      <c r="AB181" s="6">
        <f>$K$181*$V$181</f>
        <v>4444</v>
      </c>
      <c r="AC181" s="6">
        <f>$M$181*$W$181</f>
        <v>0</v>
      </c>
      <c r="AD181" s="6">
        <f>$O$181*$X$181</f>
        <v>0</v>
      </c>
      <c r="AE181" s="6">
        <f ca="1">$K$181*$Y$181</f>
        <v>8870.3819331016894</v>
      </c>
      <c r="AF181" s="6">
        <f>$M$181*$Z$181</f>
        <v>0</v>
      </c>
      <c r="AG181" s="6">
        <f>$O$181*$AA$181</f>
        <v>0</v>
      </c>
    </row>
    <row r="182" spans="1:33" ht="11.25" customHeight="1" x14ac:dyDescent="0.25">
      <c r="A182" s="4" t="s">
        <v>21</v>
      </c>
      <c r="B182" s="4" t="s">
        <v>35</v>
      </c>
      <c r="C182" s="4" t="s">
        <v>56</v>
      </c>
      <c r="D182" s="4" t="s">
        <v>25</v>
      </c>
      <c r="E182" s="4" t="s">
        <v>25</v>
      </c>
      <c r="F182" s="4" t="s">
        <v>25</v>
      </c>
      <c r="G182" s="4" t="s">
        <v>57</v>
      </c>
      <c r="H182" s="4" t="s">
        <v>25</v>
      </c>
      <c r="I182" s="5">
        <v>44621</v>
      </c>
      <c r="J182" s="6">
        <v>705</v>
      </c>
      <c r="K182" s="6">
        <v>352.5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4" t="s">
        <v>58</v>
      </c>
      <c r="R182" s="4">
        <v>706</v>
      </c>
      <c r="S182" s="6">
        <v>14</v>
      </c>
      <c r="T182" s="6">
        <v>0</v>
      </c>
      <c r="U182" s="6">
        <v>0</v>
      </c>
      <c r="V182" s="6">
        <f>IF(ISERROR(VLOOKUP($S$182,'TAR FIN'!$A$1:$O$93,15,0)),0,VLOOKUP($S$182,'TAR FIN'!$A$1:$O$93,15,0))</f>
        <v>8.08</v>
      </c>
      <c r="W182" s="6">
        <f>IF(ISERROR(VLOOKUP($T$182,'TAR FIN'!$A$1:$O$93,15,0)),0,VLOOKUP($T$182,'TAR FIN'!$A$1:$O$93,15,0))</f>
        <v>0</v>
      </c>
      <c r="X182" s="6">
        <f>IF(ISERROR(VLOOKUP($U$182,'TAR FIN'!$A$1:$O$93,15,0)),0,VLOOKUP($U$182,'TAR FIN'!$A$1:$O$93,15,0))</f>
        <v>0</v>
      </c>
      <c r="Y182" s="6">
        <f ca="1">('TUSD BE'!$AM$13+'TUSD BF'!$AM$13+'TUSD CVA'!$AM$13)*1</f>
        <v>16.12796715109398</v>
      </c>
      <c r="Z182" s="6"/>
      <c r="AA182" s="6"/>
      <c r="AB182" s="6">
        <f>$K$182*$V$182</f>
        <v>2848.2</v>
      </c>
      <c r="AC182" s="6">
        <f>$M$182*$W$182</f>
        <v>0</v>
      </c>
      <c r="AD182" s="6">
        <f>$O$182*$X$182</f>
        <v>0</v>
      </c>
      <c r="AE182" s="6">
        <f ca="1">$K$182*$Y$182</f>
        <v>5685.1084207606282</v>
      </c>
      <c r="AF182" s="6">
        <f>$M$182*$Z$182</f>
        <v>0</v>
      </c>
      <c r="AG182" s="6">
        <f>$O$182*$AA$182</f>
        <v>0</v>
      </c>
    </row>
    <row r="183" spans="1:33" ht="11.25" customHeight="1" x14ac:dyDescent="0.25">
      <c r="A183" s="4" t="s">
        <v>21</v>
      </c>
      <c r="B183" s="4" t="s">
        <v>35</v>
      </c>
      <c r="C183" s="4" t="s">
        <v>56</v>
      </c>
      <c r="D183" s="4" t="s">
        <v>25</v>
      </c>
      <c r="E183" s="4" t="s">
        <v>25</v>
      </c>
      <c r="F183" s="4" t="s">
        <v>25</v>
      </c>
      <c r="G183" s="4" t="s">
        <v>59</v>
      </c>
      <c r="H183" s="4" t="s">
        <v>25</v>
      </c>
      <c r="I183" s="5">
        <v>44621</v>
      </c>
      <c r="J183" s="6">
        <v>3700</v>
      </c>
      <c r="K183" s="6">
        <v>1850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4" t="s">
        <v>58</v>
      </c>
      <c r="R183" s="4">
        <v>877</v>
      </c>
      <c r="S183" s="6">
        <v>14</v>
      </c>
      <c r="T183" s="6">
        <v>0</v>
      </c>
      <c r="U183" s="6">
        <v>0</v>
      </c>
      <c r="V183" s="6">
        <f>IF(ISERROR(VLOOKUP($S$183,'TAR FIN'!$A$1:$O$93,15,0)),0,VLOOKUP($S$183,'TAR FIN'!$A$1:$O$93,15,0))</f>
        <v>8.08</v>
      </c>
      <c r="W183" s="6">
        <f>IF(ISERROR(VLOOKUP($T$183,'TAR FIN'!$A$1:$O$93,15,0)),0,VLOOKUP($T$183,'TAR FIN'!$A$1:$O$93,15,0))</f>
        <v>0</v>
      </c>
      <c r="X183" s="6">
        <f>IF(ISERROR(VLOOKUP($U$183,'TAR FIN'!$A$1:$O$93,15,0)),0,VLOOKUP($U$183,'TAR FIN'!$A$1:$O$93,15,0))</f>
        <v>0</v>
      </c>
      <c r="Y183" s="6">
        <f ca="1">('TUSD BE'!$AM$13+'TUSD BF'!$AM$13+'TUSD CVA'!$AM$13)*1</f>
        <v>16.12796715109398</v>
      </c>
      <c r="Z183" s="6"/>
      <c r="AA183" s="6"/>
      <c r="AB183" s="6">
        <f>$K$183*$V$183</f>
        <v>14948</v>
      </c>
      <c r="AC183" s="6">
        <f>$M$183*$W$183</f>
        <v>0</v>
      </c>
      <c r="AD183" s="6">
        <f>$O$183*$X$183</f>
        <v>0</v>
      </c>
      <c r="AE183" s="6">
        <f ca="1">$K$183*$Y$183</f>
        <v>29836.739229523864</v>
      </c>
      <c r="AF183" s="6">
        <f>$M$183*$Z$183</f>
        <v>0</v>
      </c>
      <c r="AG183" s="6">
        <f>$O$183*$AA$183</f>
        <v>0</v>
      </c>
    </row>
    <row r="184" spans="1:33" ht="11.25" customHeight="1" x14ac:dyDescent="0.25">
      <c r="A184" s="4" t="s">
        <v>21</v>
      </c>
      <c r="B184" s="4" t="s">
        <v>35</v>
      </c>
      <c r="C184" s="4" t="s">
        <v>56</v>
      </c>
      <c r="D184" s="4" t="s">
        <v>25</v>
      </c>
      <c r="E184" s="4" t="s">
        <v>25</v>
      </c>
      <c r="F184" s="4" t="s">
        <v>25</v>
      </c>
      <c r="G184" s="4" t="s">
        <v>60</v>
      </c>
      <c r="H184" s="4" t="s">
        <v>25</v>
      </c>
      <c r="I184" s="5">
        <v>44621</v>
      </c>
      <c r="J184" s="6">
        <v>880</v>
      </c>
      <c r="K184" s="6">
        <v>440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4" t="s">
        <v>58</v>
      </c>
      <c r="R184" s="4">
        <v>2317</v>
      </c>
      <c r="S184" s="6">
        <v>14</v>
      </c>
      <c r="T184" s="6">
        <v>0</v>
      </c>
      <c r="U184" s="6">
        <v>0</v>
      </c>
      <c r="V184" s="6">
        <f>IF(ISERROR(VLOOKUP($S$184,'TAR FIN'!$A$1:$O$93,15,0)),0,VLOOKUP($S$184,'TAR FIN'!$A$1:$O$93,15,0))</f>
        <v>8.08</v>
      </c>
      <c r="W184" s="6">
        <f>IF(ISERROR(VLOOKUP($T$184,'TAR FIN'!$A$1:$O$93,15,0)),0,VLOOKUP($T$184,'TAR FIN'!$A$1:$O$93,15,0))</f>
        <v>0</v>
      </c>
      <c r="X184" s="6">
        <f>IF(ISERROR(VLOOKUP($U$184,'TAR FIN'!$A$1:$O$93,15,0)),0,VLOOKUP($U$184,'TAR FIN'!$A$1:$O$93,15,0))</f>
        <v>0</v>
      </c>
      <c r="Y184" s="6">
        <f ca="1">('TUSD BE'!$AM$13+'TUSD BF'!$AM$13+'TUSD CVA'!$AM$13)*1</f>
        <v>16.12796715109398</v>
      </c>
      <c r="Z184" s="6"/>
      <c r="AA184" s="6"/>
      <c r="AB184" s="6">
        <f>$K$184*$V$184</f>
        <v>3555.2</v>
      </c>
      <c r="AC184" s="6">
        <f>$M$184*$W$184</f>
        <v>0</v>
      </c>
      <c r="AD184" s="6">
        <f>$O$184*$X$184</f>
        <v>0</v>
      </c>
      <c r="AE184" s="6">
        <f ca="1">$K$184*$Y$184</f>
        <v>7096.3055464813515</v>
      </c>
      <c r="AF184" s="6">
        <f>$M$184*$Z$184</f>
        <v>0</v>
      </c>
      <c r="AG184" s="6">
        <f>$O$184*$AA$184</f>
        <v>0</v>
      </c>
    </row>
    <row r="185" spans="1:33" ht="11.25" customHeight="1" x14ac:dyDescent="0.25">
      <c r="A185" s="4" t="s">
        <v>21</v>
      </c>
      <c r="B185" s="4" t="s">
        <v>35</v>
      </c>
      <c r="C185" s="4" t="s">
        <v>56</v>
      </c>
      <c r="D185" s="4" t="s">
        <v>25</v>
      </c>
      <c r="E185" s="4" t="s">
        <v>25</v>
      </c>
      <c r="F185" s="4" t="s">
        <v>25</v>
      </c>
      <c r="G185" s="4" t="s">
        <v>61</v>
      </c>
      <c r="H185" s="4" t="s">
        <v>25</v>
      </c>
      <c r="I185" s="5">
        <v>44621</v>
      </c>
      <c r="J185" s="6">
        <v>780</v>
      </c>
      <c r="K185" s="6">
        <v>390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4" t="s">
        <v>58</v>
      </c>
      <c r="R185" s="4">
        <v>28915</v>
      </c>
      <c r="S185" s="6">
        <v>14</v>
      </c>
      <c r="T185" s="6">
        <v>0</v>
      </c>
      <c r="U185" s="6">
        <v>0</v>
      </c>
      <c r="V185" s="6">
        <f>IF(ISERROR(VLOOKUP($S$185,'TAR FIN'!$A$1:$O$93,15,0)),0,VLOOKUP($S$185,'TAR FIN'!$A$1:$O$93,15,0))</f>
        <v>8.08</v>
      </c>
      <c r="W185" s="6">
        <f>IF(ISERROR(VLOOKUP($T$185,'TAR FIN'!$A$1:$O$93,15,0)),0,VLOOKUP($T$185,'TAR FIN'!$A$1:$O$93,15,0))</f>
        <v>0</v>
      </c>
      <c r="X185" s="6">
        <f>IF(ISERROR(VLOOKUP($U$185,'TAR FIN'!$A$1:$O$93,15,0)),0,VLOOKUP($U$185,'TAR FIN'!$A$1:$O$93,15,0))</f>
        <v>0</v>
      </c>
      <c r="Y185" s="6">
        <f ca="1">('TUSD BE'!$AM$13+'TUSD BF'!$AM$13+'TUSD CVA'!$AM$13)*1</f>
        <v>16.12796715109398</v>
      </c>
      <c r="Z185" s="6"/>
      <c r="AA185" s="6"/>
      <c r="AB185" s="6">
        <f>$K$185*$V$185</f>
        <v>3151.2</v>
      </c>
      <c r="AC185" s="6">
        <f>$M$185*$W$185</f>
        <v>0</v>
      </c>
      <c r="AD185" s="6">
        <f>$O$185*$X$185</f>
        <v>0</v>
      </c>
      <c r="AE185" s="6">
        <f ca="1">$K$185*$Y$185</f>
        <v>6289.9071889266525</v>
      </c>
      <c r="AF185" s="6">
        <f>$M$185*$Z$185</f>
        <v>0</v>
      </c>
      <c r="AG185" s="6">
        <f>$O$185*$AA$185</f>
        <v>0</v>
      </c>
    </row>
    <row r="186" spans="1:33" ht="11.25" customHeight="1" x14ac:dyDescent="0.25">
      <c r="A186" s="4" t="s">
        <v>21</v>
      </c>
      <c r="B186" s="4" t="s">
        <v>35</v>
      </c>
      <c r="C186" s="4" t="s">
        <v>56</v>
      </c>
      <c r="D186" s="4" t="s">
        <v>25</v>
      </c>
      <c r="E186" s="4" t="s">
        <v>25</v>
      </c>
      <c r="F186" s="4" t="s">
        <v>25</v>
      </c>
      <c r="G186" s="4" t="s">
        <v>62</v>
      </c>
      <c r="H186" s="4" t="s">
        <v>25</v>
      </c>
      <c r="I186" s="5">
        <v>44621</v>
      </c>
      <c r="J186" s="6">
        <v>1280</v>
      </c>
      <c r="K186" s="6">
        <v>640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4" t="s">
        <v>58</v>
      </c>
      <c r="R186" s="4">
        <v>31695</v>
      </c>
      <c r="S186" s="6">
        <v>14</v>
      </c>
      <c r="T186" s="6">
        <v>0</v>
      </c>
      <c r="U186" s="6">
        <v>0</v>
      </c>
      <c r="V186" s="6">
        <f>IF(ISERROR(VLOOKUP($S$186,'TAR FIN'!$A$1:$O$93,15,0)),0,VLOOKUP($S$186,'TAR FIN'!$A$1:$O$93,15,0))</f>
        <v>8.08</v>
      </c>
      <c r="W186" s="6">
        <f>IF(ISERROR(VLOOKUP($T$186,'TAR FIN'!$A$1:$O$93,15,0)),0,VLOOKUP($T$186,'TAR FIN'!$A$1:$O$93,15,0))</f>
        <v>0</v>
      </c>
      <c r="X186" s="6">
        <f>IF(ISERROR(VLOOKUP($U$186,'TAR FIN'!$A$1:$O$93,15,0)),0,VLOOKUP($U$186,'TAR FIN'!$A$1:$O$93,15,0))</f>
        <v>0</v>
      </c>
      <c r="Y186" s="6">
        <f ca="1">('TUSD BE'!$AM$13+'TUSD BF'!$AM$13+'TUSD CVA'!$AM$13)*1</f>
        <v>16.12796715109398</v>
      </c>
      <c r="Z186" s="6"/>
      <c r="AA186" s="6"/>
      <c r="AB186" s="6">
        <f>$K$186*$V$186</f>
        <v>5171.2</v>
      </c>
      <c r="AC186" s="6">
        <f>$M$186*$W$186</f>
        <v>0</v>
      </c>
      <c r="AD186" s="6">
        <f>$O$186*$X$186</f>
        <v>0</v>
      </c>
      <c r="AE186" s="6">
        <f ca="1">$K$186*$Y$186</f>
        <v>10321.898976700148</v>
      </c>
      <c r="AF186" s="6">
        <f>$M$186*$Z$186</f>
        <v>0</v>
      </c>
      <c r="AG186" s="6">
        <f>$O$186*$AA$186</f>
        <v>0</v>
      </c>
    </row>
    <row r="187" spans="1:33" ht="11.25" customHeight="1" x14ac:dyDescent="0.25">
      <c r="A187" s="4" t="s">
        <v>21</v>
      </c>
      <c r="B187" s="4" t="s">
        <v>35</v>
      </c>
      <c r="C187" s="4" t="s">
        <v>56</v>
      </c>
      <c r="D187" s="4" t="s">
        <v>25</v>
      </c>
      <c r="E187" s="4" t="s">
        <v>25</v>
      </c>
      <c r="F187" s="4" t="s">
        <v>25</v>
      </c>
      <c r="G187" s="4" t="s">
        <v>63</v>
      </c>
      <c r="H187" s="4" t="s">
        <v>25</v>
      </c>
      <c r="I187" s="5">
        <v>44621</v>
      </c>
      <c r="J187" s="6">
        <v>2425</v>
      </c>
      <c r="K187" s="6">
        <v>1212.5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4" t="s">
        <v>58</v>
      </c>
      <c r="S187" s="6">
        <v>14</v>
      </c>
      <c r="T187" s="6">
        <v>0</v>
      </c>
      <c r="U187" s="6">
        <v>0</v>
      </c>
      <c r="V187" s="6">
        <f>IF(ISERROR(VLOOKUP($S$187,'TAR FIN'!$A$1:$O$93,15,0)),0,VLOOKUP($S$187,'TAR FIN'!$A$1:$O$93,15,0))</f>
        <v>8.08</v>
      </c>
      <c r="W187" s="6">
        <f>IF(ISERROR(VLOOKUP($T$187,'TAR FIN'!$A$1:$O$93,15,0)),0,VLOOKUP($T$187,'TAR FIN'!$A$1:$O$93,15,0))</f>
        <v>0</v>
      </c>
      <c r="X187" s="6">
        <f>IF(ISERROR(VLOOKUP($U$187,'TAR FIN'!$A$1:$O$93,15,0)),0,VLOOKUP($U$187,'TAR FIN'!$A$1:$O$93,15,0))</f>
        <v>0</v>
      </c>
      <c r="Y187" s="6">
        <f ca="1">('TUSD BE'!$AM$13+'TUSD BF'!$AM$13+'TUSD CVA'!$AM$13)*1</f>
        <v>16.12796715109398</v>
      </c>
      <c r="Z187" s="6"/>
      <c r="AA187" s="6"/>
      <c r="AB187" s="6">
        <f>$K$187*$V$187</f>
        <v>9797</v>
      </c>
      <c r="AC187" s="6">
        <f>$M$187*$W$187</f>
        <v>0</v>
      </c>
      <c r="AD187" s="6">
        <f>$O$187*$X$187</f>
        <v>0</v>
      </c>
      <c r="AE187" s="6">
        <f ca="1">$K$187*$Y$187</f>
        <v>19555.160170701452</v>
      </c>
      <c r="AF187" s="6">
        <f>$M$187*$Z$187</f>
        <v>0</v>
      </c>
      <c r="AG187" s="6">
        <f>$O$187*$AA$187</f>
        <v>0</v>
      </c>
    </row>
    <row r="188" spans="1:33" ht="11.25" customHeight="1" x14ac:dyDescent="0.25">
      <c r="A188" s="4" t="s">
        <v>21</v>
      </c>
      <c r="B188" s="4" t="s">
        <v>35</v>
      </c>
      <c r="C188" s="4" t="s">
        <v>56</v>
      </c>
      <c r="D188" s="4" t="s">
        <v>25</v>
      </c>
      <c r="E188" s="4" t="s">
        <v>25</v>
      </c>
      <c r="F188" s="4" t="s">
        <v>25</v>
      </c>
      <c r="G188" s="4" t="s">
        <v>64</v>
      </c>
      <c r="H188" s="4" t="s">
        <v>25</v>
      </c>
      <c r="I188" s="5">
        <v>44621</v>
      </c>
      <c r="J188" s="6">
        <v>1100</v>
      </c>
      <c r="K188" s="6">
        <v>550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4" t="s">
        <v>58</v>
      </c>
      <c r="S188" s="6">
        <v>14</v>
      </c>
      <c r="T188" s="6">
        <v>0</v>
      </c>
      <c r="U188" s="6">
        <v>0</v>
      </c>
      <c r="V188" s="6">
        <f>IF(ISERROR(VLOOKUP($S$188,'TAR FIN'!$A$1:$O$93,15,0)),0,VLOOKUP($S$188,'TAR FIN'!$A$1:$O$93,15,0))</f>
        <v>8.08</v>
      </c>
      <c r="W188" s="6">
        <f>IF(ISERROR(VLOOKUP($T$188,'TAR FIN'!$A$1:$O$93,15,0)),0,VLOOKUP($T$188,'TAR FIN'!$A$1:$O$93,15,0))</f>
        <v>0</v>
      </c>
      <c r="X188" s="6">
        <f>IF(ISERROR(VLOOKUP($U$188,'TAR FIN'!$A$1:$O$93,15,0)),0,VLOOKUP($U$188,'TAR FIN'!$A$1:$O$93,15,0))</f>
        <v>0</v>
      </c>
      <c r="Y188" s="6">
        <f ca="1">('TUSD BE'!$AM$13+'TUSD BF'!$AM$13+'TUSD CVA'!$AM$13)*1</f>
        <v>16.12796715109398</v>
      </c>
      <c r="Z188" s="6"/>
      <c r="AA188" s="6"/>
      <c r="AB188" s="6">
        <f>$K$188*$V$188</f>
        <v>4444</v>
      </c>
      <c r="AC188" s="6">
        <f>$M$188*$W$188</f>
        <v>0</v>
      </c>
      <c r="AD188" s="6">
        <f>$O$188*$X$188</f>
        <v>0</v>
      </c>
      <c r="AE188" s="6">
        <f ca="1">$K$188*$Y$188</f>
        <v>8870.3819331016894</v>
      </c>
      <c r="AF188" s="6">
        <f>$M$188*$Z$188</f>
        <v>0</v>
      </c>
      <c r="AG188" s="6">
        <f>$O$188*$AA$188</f>
        <v>0</v>
      </c>
    </row>
    <row r="189" spans="1:33" ht="11.25" customHeight="1" x14ac:dyDescent="0.25">
      <c r="A189" s="4" t="s">
        <v>65</v>
      </c>
      <c r="B189" s="4" t="s">
        <v>35</v>
      </c>
      <c r="C189" s="4" t="s">
        <v>56</v>
      </c>
      <c r="D189" s="4" t="s">
        <v>25</v>
      </c>
      <c r="E189" s="4" t="s">
        <v>25</v>
      </c>
      <c r="F189" s="4" t="s">
        <v>25</v>
      </c>
      <c r="G189" s="4" t="s">
        <v>57</v>
      </c>
      <c r="H189" s="4" t="s">
        <v>25</v>
      </c>
      <c r="I189" s="5">
        <v>44652</v>
      </c>
      <c r="J189" s="6">
        <v>705</v>
      </c>
      <c r="K189" s="6">
        <v>352.5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4" t="s">
        <v>58</v>
      </c>
      <c r="R189" s="4">
        <v>706</v>
      </c>
      <c r="S189" s="6">
        <v>14</v>
      </c>
      <c r="T189" s="6">
        <v>0</v>
      </c>
      <c r="U189" s="6">
        <v>0</v>
      </c>
      <c r="V189" s="6">
        <f>IF(ISERROR(VLOOKUP($S$189,'TAR FIN'!$A$1:$O$93,15,0)),0,VLOOKUP($S$189,'TAR FIN'!$A$1:$O$93,15,0))</f>
        <v>8.08</v>
      </c>
      <c r="W189" s="6">
        <f>IF(ISERROR(VLOOKUP($T$189,'TAR FIN'!$A$1:$O$93,15,0)),0,VLOOKUP($T$189,'TAR FIN'!$A$1:$O$93,15,0))</f>
        <v>0</v>
      </c>
      <c r="X189" s="6">
        <f>IF(ISERROR(VLOOKUP($U$189,'TAR FIN'!$A$1:$O$93,15,0)),0,VLOOKUP($U$189,'TAR FIN'!$A$1:$O$93,15,0))</f>
        <v>0</v>
      </c>
      <c r="Y189" s="6">
        <f ca="1">('TUSD BE'!$AM$13+'TUSD BF'!$AM$13+'TUSD CVA'!$AM$13)*1</f>
        <v>16.12796715109398</v>
      </c>
      <c r="Z189" s="6"/>
      <c r="AA189" s="6"/>
      <c r="AB189" s="6">
        <f>$K$189*$V$189</f>
        <v>2848.2</v>
      </c>
      <c r="AC189" s="6">
        <f>$M$189*$W$189</f>
        <v>0</v>
      </c>
      <c r="AD189" s="6">
        <f>$O$189*$X$189</f>
        <v>0</v>
      </c>
      <c r="AE189" s="6">
        <f ca="1">$K$189*$Y$189</f>
        <v>5685.1084207606282</v>
      </c>
      <c r="AF189" s="6">
        <f>$M$189*$Z$189</f>
        <v>0</v>
      </c>
      <c r="AG189" s="6">
        <f>$O$189*$AA$189</f>
        <v>0</v>
      </c>
    </row>
    <row r="190" spans="1:33" ht="11.25" customHeight="1" x14ac:dyDescent="0.25">
      <c r="A190" s="4" t="s">
        <v>65</v>
      </c>
      <c r="B190" s="4" t="s">
        <v>35</v>
      </c>
      <c r="C190" s="4" t="s">
        <v>56</v>
      </c>
      <c r="D190" s="4" t="s">
        <v>25</v>
      </c>
      <c r="E190" s="4" t="s">
        <v>25</v>
      </c>
      <c r="F190" s="4" t="s">
        <v>25</v>
      </c>
      <c r="G190" s="4" t="s">
        <v>59</v>
      </c>
      <c r="H190" s="4" t="s">
        <v>25</v>
      </c>
      <c r="I190" s="5">
        <v>44652</v>
      </c>
      <c r="J190" s="6">
        <v>3700</v>
      </c>
      <c r="K190" s="6">
        <v>1850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4" t="s">
        <v>58</v>
      </c>
      <c r="R190" s="4">
        <v>877</v>
      </c>
      <c r="S190" s="6">
        <v>14</v>
      </c>
      <c r="T190" s="6">
        <v>0</v>
      </c>
      <c r="U190" s="6">
        <v>0</v>
      </c>
      <c r="V190" s="6">
        <f>IF(ISERROR(VLOOKUP($S$190,'TAR FIN'!$A$1:$O$93,15,0)),0,VLOOKUP($S$190,'TAR FIN'!$A$1:$O$93,15,0))</f>
        <v>8.08</v>
      </c>
      <c r="W190" s="6">
        <f>IF(ISERROR(VLOOKUP($T$190,'TAR FIN'!$A$1:$O$93,15,0)),0,VLOOKUP($T$190,'TAR FIN'!$A$1:$O$93,15,0))</f>
        <v>0</v>
      </c>
      <c r="X190" s="6">
        <f>IF(ISERROR(VLOOKUP($U$190,'TAR FIN'!$A$1:$O$93,15,0)),0,VLOOKUP($U$190,'TAR FIN'!$A$1:$O$93,15,0))</f>
        <v>0</v>
      </c>
      <c r="Y190" s="6">
        <f ca="1">('TUSD BE'!$AM$13+'TUSD BF'!$AM$13+'TUSD CVA'!$AM$13)*1</f>
        <v>16.12796715109398</v>
      </c>
      <c r="Z190" s="6"/>
      <c r="AA190" s="6"/>
      <c r="AB190" s="6">
        <f>$K$190*$V$190</f>
        <v>14948</v>
      </c>
      <c r="AC190" s="6">
        <f>$M$190*$W$190</f>
        <v>0</v>
      </c>
      <c r="AD190" s="6">
        <f>$O$190*$X$190</f>
        <v>0</v>
      </c>
      <c r="AE190" s="6">
        <f ca="1">$K$190*$Y$190</f>
        <v>29836.739229523864</v>
      </c>
      <c r="AF190" s="6">
        <f>$M$190*$Z$190</f>
        <v>0</v>
      </c>
      <c r="AG190" s="6">
        <f>$O$190*$AA$190</f>
        <v>0</v>
      </c>
    </row>
    <row r="191" spans="1:33" ht="11.25" customHeight="1" x14ac:dyDescent="0.25">
      <c r="A191" s="4" t="s">
        <v>65</v>
      </c>
      <c r="B191" s="4" t="s">
        <v>35</v>
      </c>
      <c r="C191" s="4" t="s">
        <v>56</v>
      </c>
      <c r="D191" s="4" t="s">
        <v>25</v>
      </c>
      <c r="E191" s="4" t="s">
        <v>25</v>
      </c>
      <c r="F191" s="4" t="s">
        <v>25</v>
      </c>
      <c r="G191" s="4" t="s">
        <v>60</v>
      </c>
      <c r="H191" s="4" t="s">
        <v>25</v>
      </c>
      <c r="I191" s="5">
        <v>44652</v>
      </c>
      <c r="J191" s="6">
        <v>880</v>
      </c>
      <c r="K191" s="6">
        <v>440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4" t="s">
        <v>58</v>
      </c>
      <c r="R191" s="4">
        <v>2317</v>
      </c>
      <c r="S191" s="6">
        <v>14</v>
      </c>
      <c r="T191" s="6">
        <v>0</v>
      </c>
      <c r="U191" s="6">
        <v>0</v>
      </c>
      <c r="V191" s="6">
        <f>IF(ISERROR(VLOOKUP($S$191,'TAR FIN'!$A$1:$O$93,15,0)),0,VLOOKUP($S$191,'TAR FIN'!$A$1:$O$93,15,0))</f>
        <v>8.08</v>
      </c>
      <c r="W191" s="6">
        <f>IF(ISERROR(VLOOKUP($T$191,'TAR FIN'!$A$1:$O$93,15,0)),0,VLOOKUP($T$191,'TAR FIN'!$A$1:$O$93,15,0))</f>
        <v>0</v>
      </c>
      <c r="X191" s="6">
        <f>IF(ISERROR(VLOOKUP($U$191,'TAR FIN'!$A$1:$O$93,15,0)),0,VLOOKUP($U$191,'TAR FIN'!$A$1:$O$93,15,0))</f>
        <v>0</v>
      </c>
      <c r="Y191" s="6">
        <f ca="1">('TUSD BE'!$AM$13+'TUSD BF'!$AM$13+'TUSD CVA'!$AM$13)*1</f>
        <v>16.12796715109398</v>
      </c>
      <c r="Z191" s="6"/>
      <c r="AA191" s="6"/>
      <c r="AB191" s="6">
        <f>$K$191*$V$191</f>
        <v>3555.2</v>
      </c>
      <c r="AC191" s="6">
        <f>$M$191*$W$191</f>
        <v>0</v>
      </c>
      <c r="AD191" s="6">
        <f>$O$191*$X$191</f>
        <v>0</v>
      </c>
      <c r="AE191" s="6">
        <f ca="1">$K$191*$Y$191</f>
        <v>7096.3055464813515</v>
      </c>
      <c r="AF191" s="6">
        <f>$M$191*$Z$191</f>
        <v>0</v>
      </c>
      <c r="AG191" s="6">
        <f>$O$191*$AA$191</f>
        <v>0</v>
      </c>
    </row>
    <row r="192" spans="1:33" ht="11.25" customHeight="1" x14ac:dyDescent="0.25">
      <c r="A192" s="4" t="s">
        <v>65</v>
      </c>
      <c r="B192" s="4" t="s">
        <v>35</v>
      </c>
      <c r="C192" s="4" t="s">
        <v>56</v>
      </c>
      <c r="D192" s="4" t="s">
        <v>25</v>
      </c>
      <c r="E192" s="4" t="s">
        <v>25</v>
      </c>
      <c r="F192" s="4" t="s">
        <v>25</v>
      </c>
      <c r="G192" s="4" t="s">
        <v>61</v>
      </c>
      <c r="H192" s="4" t="s">
        <v>25</v>
      </c>
      <c r="I192" s="5">
        <v>44652</v>
      </c>
      <c r="J192" s="6">
        <v>780</v>
      </c>
      <c r="K192" s="6">
        <v>390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4" t="s">
        <v>58</v>
      </c>
      <c r="R192" s="4">
        <v>28915</v>
      </c>
      <c r="S192" s="6">
        <v>14</v>
      </c>
      <c r="T192" s="6">
        <v>0</v>
      </c>
      <c r="U192" s="6">
        <v>0</v>
      </c>
      <c r="V192" s="6">
        <f>IF(ISERROR(VLOOKUP($S$192,'TAR FIN'!$A$1:$O$93,15,0)),0,VLOOKUP($S$192,'TAR FIN'!$A$1:$O$93,15,0))</f>
        <v>8.08</v>
      </c>
      <c r="W192" s="6">
        <f>IF(ISERROR(VLOOKUP($T$192,'TAR FIN'!$A$1:$O$93,15,0)),0,VLOOKUP($T$192,'TAR FIN'!$A$1:$O$93,15,0))</f>
        <v>0</v>
      </c>
      <c r="X192" s="6">
        <f>IF(ISERROR(VLOOKUP($U$192,'TAR FIN'!$A$1:$O$93,15,0)),0,VLOOKUP($U$192,'TAR FIN'!$A$1:$O$93,15,0))</f>
        <v>0</v>
      </c>
      <c r="Y192" s="6">
        <f ca="1">('TUSD BE'!$AM$13+'TUSD BF'!$AM$13+'TUSD CVA'!$AM$13)*1</f>
        <v>16.12796715109398</v>
      </c>
      <c r="Z192" s="6"/>
      <c r="AA192" s="6"/>
      <c r="AB192" s="6">
        <f>$K$192*$V$192</f>
        <v>3151.2</v>
      </c>
      <c r="AC192" s="6">
        <f>$M$192*$W$192</f>
        <v>0</v>
      </c>
      <c r="AD192" s="6">
        <f>$O$192*$X$192</f>
        <v>0</v>
      </c>
      <c r="AE192" s="6">
        <f ca="1">$K$192*$Y$192</f>
        <v>6289.9071889266525</v>
      </c>
      <c r="AF192" s="6">
        <f>$M$192*$Z$192</f>
        <v>0</v>
      </c>
      <c r="AG192" s="6">
        <f>$O$192*$AA$192</f>
        <v>0</v>
      </c>
    </row>
    <row r="193" spans="1:33" ht="11.25" customHeight="1" x14ac:dyDescent="0.25">
      <c r="A193" s="4" t="s">
        <v>65</v>
      </c>
      <c r="B193" s="4" t="s">
        <v>35</v>
      </c>
      <c r="C193" s="4" t="s">
        <v>56</v>
      </c>
      <c r="D193" s="4" t="s">
        <v>25</v>
      </c>
      <c r="E193" s="4" t="s">
        <v>25</v>
      </c>
      <c r="F193" s="4" t="s">
        <v>25</v>
      </c>
      <c r="G193" s="4" t="s">
        <v>62</v>
      </c>
      <c r="H193" s="4" t="s">
        <v>25</v>
      </c>
      <c r="I193" s="5">
        <v>44652</v>
      </c>
      <c r="J193" s="6">
        <v>1280</v>
      </c>
      <c r="K193" s="6">
        <v>640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4" t="s">
        <v>58</v>
      </c>
      <c r="R193" s="4">
        <v>31695</v>
      </c>
      <c r="S193" s="6">
        <v>14</v>
      </c>
      <c r="T193" s="6">
        <v>0</v>
      </c>
      <c r="U193" s="6">
        <v>0</v>
      </c>
      <c r="V193" s="6">
        <f>IF(ISERROR(VLOOKUP($S$193,'TAR FIN'!$A$1:$O$93,15,0)),0,VLOOKUP($S$193,'TAR FIN'!$A$1:$O$93,15,0))</f>
        <v>8.08</v>
      </c>
      <c r="W193" s="6">
        <f>IF(ISERROR(VLOOKUP($T$193,'TAR FIN'!$A$1:$O$93,15,0)),0,VLOOKUP($T$193,'TAR FIN'!$A$1:$O$93,15,0))</f>
        <v>0</v>
      </c>
      <c r="X193" s="6">
        <f>IF(ISERROR(VLOOKUP($U$193,'TAR FIN'!$A$1:$O$93,15,0)),0,VLOOKUP($U$193,'TAR FIN'!$A$1:$O$93,15,0))</f>
        <v>0</v>
      </c>
      <c r="Y193" s="6">
        <f ca="1">('TUSD BE'!$AM$13+'TUSD BF'!$AM$13+'TUSD CVA'!$AM$13)*1</f>
        <v>16.12796715109398</v>
      </c>
      <c r="Z193" s="6"/>
      <c r="AA193" s="6"/>
      <c r="AB193" s="6">
        <f>$K$193*$V$193</f>
        <v>5171.2</v>
      </c>
      <c r="AC193" s="6">
        <f>$M$193*$W$193</f>
        <v>0</v>
      </c>
      <c r="AD193" s="6">
        <f>$O$193*$X$193</f>
        <v>0</v>
      </c>
      <c r="AE193" s="6">
        <f ca="1">$K$193*$Y$193</f>
        <v>10321.898976700148</v>
      </c>
      <c r="AF193" s="6">
        <f>$M$193*$Z$193</f>
        <v>0</v>
      </c>
      <c r="AG193" s="6">
        <f>$O$193*$AA$193</f>
        <v>0</v>
      </c>
    </row>
    <row r="194" spans="1:33" ht="11.25" customHeight="1" x14ac:dyDescent="0.25">
      <c r="A194" s="4" t="s">
        <v>65</v>
      </c>
      <c r="B194" s="4" t="s">
        <v>35</v>
      </c>
      <c r="C194" s="4" t="s">
        <v>56</v>
      </c>
      <c r="D194" s="4" t="s">
        <v>25</v>
      </c>
      <c r="E194" s="4" t="s">
        <v>25</v>
      </c>
      <c r="F194" s="4" t="s">
        <v>25</v>
      </c>
      <c r="G194" s="4" t="s">
        <v>63</v>
      </c>
      <c r="H194" s="4" t="s">
        <v>25</v>
      </c>
      <c r="I194" s="5">
        <v>44652</v>
      </c>
      <c r="J194" s="6">
        <v>2425</v>
      </c>
      <c r="K194" s="6">
        <v>1212.5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4" t="s">
        <v>58</v>
      </c>
      <c r="S194" s="6">
        <v>14</v>
      </c>
      <c r="T194" s="6">
        <v>0</v>
      </c>
      <c r="U194" s="6">
        <v>0</v>
      </c>
      <c r="V194" s="6">
        <f>IF(ISERROR(VLOOKUP($S$194,'TAR FIN'!$A$1:$O$93,15,0)),0,VLOOKUP($S$194,'TAR FIN'!$A$1:$O$93,15,0))</f>
        <v>8.08</v>
      </c>
      <c r="W194" s="6">
        <f>IF(ISERROR(VLOOKUP($T$194,'TAR FIN'!$A$1:$O$93,15,0)),0,VLOOKUP($T$194,'TAR FIN'!$A$1:$O$93,15,0))</f>
        <v>0</v>
      </c>
      <c r="X194" s="6">
        <f>IF(ISERROR(VLOOKUP($U$194,'TAR FIN'!$A$1:$O$93,15,0)),0,VLOOKUP($U$194,'TAR FIN'!$A$1:$O$93,15,0))</f>
        <v>0</v>
      </c>
      <c r="Y194" s="6">
        <f ca="1">('TUSD BE'!$AM$13+'TUSD BF'!$AM$13+'TUSD CVA'!$AM$13)*1</f>
        <v>16.12796715109398</v>
      </c>
      <c r="Z194" s="6"/>
      <c r="AA194" s="6"/>
      <c r="AB194" s="6">
        <f>$K$194*$V$194</f>
        <v>9797</v>
      </c>
      <c r="AC194" s="6">
        <f>$M$194*$W$194</f>
        <v>0</v>
      </c>
      <c r="AD194" s="6">
        <f>$O$194*$X$194</f>
        <v>0</v>
      </c>
      <c r="AE194" s="6">
        <f ca="1">$K$194*$Y$194</f>
        <v>19555.160170701452</v>
      </c>
      <c r="AF194" s="6">
        <f>$M$194*$Z$194</f>
        <v>0</v>
      </c>
      <c r="AG194" s="6">
        <f>$O$194*$AA$194</f>
        <v>0</v>
      </c>
    </row>
    <row r="195" spans="1:33" ht="11.25" customHeight="1" x14ac:dyDescent="0.25">
      <c r="A195" s="4" t="s">
        <v>65</v>
      </c>
      <c r="B195" s="4" t="s">
        <v>35</v>
      </c>
      <c r="C195" s="4" t="s">
        <v>56</v>
      </c>
      <c r="D195" s="4" t="s">
        <v>25</v>
      </c>
      <c r="E195" s="4" t="s">
        <v>25</v>
      </c>
      <c r="F195" s="4" t="s">
        <v>25</v>
      </c>
      <c r="G195" s="4" t="s">
        <v>64</v>
      </c>
      <c r="H195" s="4" t="s">
        <v>25</v>
      </c>
      <c r="I195" s="5">
        <v>44652</v>
      </c>
      <c r="J195" s="6">
        <v>1100</v>
      </c>
      <c r="K195" s="6">
        <v>550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4" t="s">
        <v>58</v>
      </c>
      <c r="S195" s="6">
        <v>14</v>
      </c>
      <c r="T195" s="6">
        <v>0</v>
      </c>
      <c r="U195" s="6">
        <v>0</v>
      </c>
      <c r="V195" s="6">
        <f>IF(ISERROR(VLOOKUP($S$195,'TAR FIN'!$A$1:$O$93,15,0)),0,VLOOKUP($S$195,'TAR FIN'!$A$1:$O$93,15,0))</f>
        <v>8.08</v>
      </c>
      <c r="W195" s="6">
        <f>IF(ISERROR(VLOOKUP($T$195,'TAR FIN'!$A$1:$O$93,15,0)),0,VLOOKUP($T$195,'TAR FIN'!$A$1:$O$93,15,0))</f>
        <v>0</v>
      </c>
      <c r="X195" s="6">
        <f>IF(ISERROR(VLOOKUP($U$195,'TAR FIN'!$A$1:$O$93,15,0)),0,VLOOKUP($U$195,'TAR FIN'!$A$1:$O$93,15,0))</f>
        <v>0</v>
      </c>
      <c r="Y195" s="6">
        <f ca="1">('TUSD BE'!$AM$13+'TUSD BF'!$AM$13+'TUSD CVA'!$AM$13)*1</f>
        <v>16.12796715109398</v>
      </c>
      <c r="Z195" s="6"/>
      <c r="AA195" s="6"/>
      <c r="AB195" s="6">
        <f>$K$195*$V$195</f>
        <v>4444</v>
      </c>
      <c r="AC195" s="6">
        <f>$M$195*$W$195</f>
        <v>0</v>
      </c>
      <c r="AD195" s="6">
        <f>$O$195*$X$195</f>
        <v>0</v>
      </c>
      <c r="AE195" s="6">
        <f ca="1">$K$195*$Y$195</f>
        <v>8870.3819331016894</v>
      </c>
      <c r="AF195" s="6">
        <f>$M$195*$Z$195</f>
        <v>0</v>
      </c>
      <c r="AG195" s="6">
        <f>$O$195*$AA$195</f>
        <v>0</v>
      </c>
    </row>
    <row r="196" spans="1:33" ht="11.25" customHeight="1" x14ac:dyDescent="0.25">
      <c r="A196" s="4" t="s">
        <v>21</v>
      </c>
      <c r="B196" s="4" t="s">
        <v>35</v>
      </c>
      <c r="C196" s="4" t="s">
        <v>56</v>
      </c>
      <c r="D196" s="4" t="s">
        <v>25</v>
      </c>
      <c r="E196" s="4" t="s">
        <v>25</v>
      </c>
      <c r="F196" s="4" t="s">
        <v>25</v>
      </c>
      <c r="G196" s="4" t="s">
        <v>57</v>
      </c>
      <c r="H196" s="4" t="s">
        <v>25</v>
      </c>
      <c r="I196" s="5">
        <v>44682</v>
      </c>
      <c r="J196" s="6">
        <v>705</v>
      </c>
      <c r="K196" s="6">
        <v>352.5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4" t="s">
        <v>58</v>
      </c>
      <c r="R196" s="4">
        <v>706</v>
      </c>
      <c r="S196" s="6">
        <v>14</v>
      </c>
      <c r="T196" s="6">
        <v>0</v>
      </c>
      <c r="U196" s="6">
        <v>0</v>
      </c>
      <c r="V196" s="6">
        <f>IF(ISERROR(VLOOKUP($S$196,'TAR FIN'!$A$1:$O$93,15,0)),0,VLOOKUP($S$196,'TAR FIN'!$A$1:$O$93,15,0))</f>
        <v>8.08</v>
      </c>
      <c r="W196" s="6">
        <f>IF(ISERROR(VLOOKUP($T$196,'TAR FIN'!$A$1:$O$93,15,0)),0,VLOOKUP($T$196,'TAR FIN'!$A$1:$O$93,15,0))</f>
        <v>0</v>
      </c>
      <c r="X196" s="6">
        <f>IF(ISERROR(VLOOKUP($U$196,'TAR FIN'!$A$1:$O$93,15,0)),0,VLOOKUP($U$196,'TAR FIN'!$A$1:$O$93,15,0))</f>
        <v>0</v>
      </c>
      <c r="Y196" s="6">
        <f ca="1">('TUSD BE'!$AM$13+'TUSD BF'!$AM$13+'TUSD CVA'!$AM$13)*1</f>
        <v>16.12796715109398</v>
      </c>
      <c r="Z196" s="6"/>
      <c r="AA196" s="6"/>
      <c r="AB196" s="6">
        <f>$K$196*$V$196</f>
        <v>2848.2</v>
      </c>
      <c r="AC196" s="6">
        <f>$M$196*$W$196</f>
        <v>0</v>
      </c>
      <c r="AD196" s="6">
        <f>$O$196*$X$196</f>
        <v>0</v>
      </c>
      <c r="AE196" s="6">
        <f ca="1">$K$196*$Y$196</f>
        <v>5685.1084207606282</v>
      </c>
      <c r="AF196" s="6">
        <f>$M$196*$Z$196</f>
        <v>0</v>
      </c>
      <c r="AG196" s="6">
        <f>$O$196*$AA$196</f>
        <v>0</v>
      </c>
    </row>
    <row r="197" spans="1:33" ht="11.25" customHeight="1" x14ac:dyDescent="0.25">
      <c r="A197" s="4" t="s">
        <v>21</v>
      </c>
      <c r="B197" s="4" t="s">
        <v>35</v>
      </c>
      <c r="C197" s="4" t="s">
        <v>56</v>
      </c>
      <c r="D197" s="4" t="s">
        <v>25</v>
      </c>
      <c r="E197" s="4" t="s">
        <v>25</v>
      </c>
      <c r="F197" s="4" t="s">
        <v>25</v>
      </c>
      <c r="G197" s="4" t="s">
        <v>59</v>
      </c>
      <c r="H197" s="4" t="s">
        <v>25</v>
      </c>
      <c r="I197" s="5">
        <v>44682</v>
      </c>
      <c r="J197" s="6">
        <v>3700</v>
      </c>
      <c r="K197" s="6">
        <v>1850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4" t="s">
        <v>58</v>
      </c>
      <c r="R197" s="4">
        <v>877</v>
      </c>
      <c r="S197" s="6">
        <v>14</v>
      </c>
      <c r="T197" s="6">
        <v>0</v>
      </c>
      <c r="U197" s="6">
        <v>0</v>
      </c>
      <c r="V197" s="6">
        <f>IF(ISERROR(VLOOKUP($S$197,'TAR FIN'!$A$1:$O$93,15,0)),0,VLOOKUP($S$197,'TAR FIN'!$A$1:$O$93,15,0))</f>
        <v>8.08</v>
      </c>
      <c r="W197" s="6">
        <f>IF(ISERROR(VLOOKUP($T$197,'TAR FIN'!$A$1:$O$93,15,0)),0,VLOOKUP($T$197,'TAR FIN'!$A$1:$O$93,15,0))</f>
        <v>0</v>
      </c>
      <c r="X197" s="6">
        <f>IF(ISERROR(VLOOKUP($U$197,'TAR FIN'!$A$1:$O$93,15,0)),0,VLOOKUP($U$197,'TAR FIN'!$A$1:$O$93,15,0))</f>
        <v>0</v>
      </c>
      <c r="Y197" s="6">
        <f ca="1">('TUSD BE'!$AM$13+'TUSD BF'!$AM$13+'TUSD CVA'!$AM$13)*1</f>
        <v>16.12796715109398</v>
      </c>
      <c r="Z197" s="6"/>
      <c r="AA197" s="6"/>
      <c r="AB197" s="6">
        <f>$K$197*$V$197</f>
        <v>14948</v>
      </c>
      <c r="AC197" s="6">
        <f>$M$197*$W$197</f>
        <v>0</v>
      </c>
      <c r="AD197" s="6">
        <f>$O$197*$X$197</f>
        <v>0</v>
      </c>
      <c r="AE197" s="6">
        <f ca="1">$K$197*$Y$197</f>
        <v>29836.739229523864</v>
      </c>
      <c r="AF197" s="6">
        <f>$M$197*$Z$197</f>
        <v>0</v>
      </c>
      <c r="AG197" s="6">
        <f>$O$197*$AA$197</f>
        <v>0</v>
      </c>
    </row>
    <row r="198" spans="1:33" ht="11.25" customHeight="1" x14ac:dyDescent="0.25">
      <c r="A198" s="4" t="s">
        <v>21</v>
      </c>
      <c r="B198" s="4" t="s">
        <v>35</v>
      </c>
      <c r="C198" s="4" t="s">
        <v>56</v>
      </c>
      <c r="D198" s="4" t="s">
        <v>25</v>
      </c>
      <c r="E198" s="4" t="s">
        <v>25</v>
      </c>
      <c r="F198" s="4" t="s">
        <v>25</v>
      </c>
      <c r="G198" s="4" t="s">
        <v>60</v>
      </c>
      <c r="H198" s="4" t="s">
        <v>25</v>
      </c>
      <c r="I198" s="5">
        <v>44682</v>
      </c>
      <c r="J198" s="6">
        <v>880</v>
      </c>
      <c r="K198" s="6">
        <v>440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4" t="s">
        <v>58</v>
      </c>
      <c r="R198" s="4">
        <v>2317</v>
      </c>
      <c r="S198" s="6">
        <v>14</v>
      </c>
      <c r="T198" s="6">
        <v>0</v>
      </c>
      <c r="U198" s="6">
        <v>0</v>
      </c>
      <c r="V198" s="6">
        <f>IF(ISERROR(VLOOKUP($S$198,'TAR FIN'!$A$1:$O$93,15,0)),0,VLOOKUP($S$198,'TAR FIN'!$A$1:$O$93,15,0))</f>
        <v>8.08</v>
      </c>
      <c r="W198" s="6">
        <f>IF(ISERROR(VLOOKUP($T$198,'TAR FIN'!$A$1:$O$93,15,0)),0,VLOOKUP($T$198,'TAR FIN'!$A$1:$O$93,15,0))</f>
        <v>0</v>
      </c>
      <c r="X198" s="6">
        <f>IF(ISERROR(VLOOKUP($U$198,'TAR FIN'!$A$1:$O$93,15,0)),0,VLOOKUP($U$198,'TAR FIN'!$A$1:$O$93,15,0))</f>
        <v>0</v>
      </c>
      <c r="Y198" s="6">
        <f ca="1">('TUSD BE'!$AM$13+'TUSD BF'!$AM$13+'TUSD CVA'!$AM$13)*1</f>
        <v>16.12796715109398</v>
      </c>
      <c r="Z198" s="6"/>
      <c r="AA198" s="6"/>
      <c r="AB198" s="6">
        <f>$K$198*$V$198</f>
        <v>3555.2</v>
      </c>
      <c r="AC198" s="6">
        <f>$M$198*$W$198</f>
        <v>0</v>
      </c>
      <c r="AD198" s="6">
        <f>$O$198*$X$198</f>
        <v>0</v>
      </c>
      <c r="AE198" s="6">
        <f ca="1">$K$198*$Y$198</f>
        <v>7096.3055464813515</v>
      </c>
      <c r="AF198" s="6">
        <f>$M$198*$Z$198</f>
        <v>0</v>
      </c>
      <c r="AG198" s="6">
        <f>$O$198*$AA$198</f>
        <v>0</v>
      </c>
    </row>
    <row r="199" spans="1:33" ht="11.25" customHeight="1" x14ac:dyDescent="0.25">
      <c r="A199" s="4" t="s">
        <v>21</v>
      </c>
      <c r="B199" s="4" t="s">
        <v>35</v>
      </c>
      <c r="C199" s="4" t="s">
        <v>56</v>
      </c>
      <c r="D199" s="4" t="s">
        <v>25</v>
      </c>
      <c r="E199" s="4" t="s">
        <v>25</v>
      </c>
      <c r="F199" s="4" t="s">
        <v>25</v>
      </c>
      <c r="G199" s="4" t="s">
        <v>61</v>
      </c>
      <c r="H199" s="4" t="s">
        <v>25</v>
      </c>
      <c r="I199" s="5">
        <v>44682</v>
      </c>
      <c r="J199" s="6">
        <v>780</v>
      </c>
      <c r="K199" s="6">
        <v>390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4" t="s">
        <v>58</v>
      </c>
      <c r="R199" s="4">
        <v>28915</v>
      </c>
      <c r="S199" s="6">
        <v>14</v>
      </c>
      <c r="T199" s="6">
        <v>0</v>
      </c>
      <c r="U199" s="6">
        <v>0</v>
      </c>
      <c r="V199" s="6">
        <f>IF(ISERROR(VLOOKUP($S$199,'TAR FIN'!$A$1:$O$93,15,0)),0,VLOOKUP($S$199,'TAR FIN'!$A$1:$O$93,15,0))</f>
        <v>8.08</v>
      </c>
      <c r="W199" s="6">
        <f>IF(ISERROR(VLOOKUP($T$199,'TAR FIN'!$A$1:$O$93,15,0)),0,VLOOKUP($T$199,'TAR FIN'!$A$1:$O$93,15,0))</f>
        <v>0</v>
      </c>
      <c r="X199" s="6">
        <f>IF(ISERROR(VLOOKUP($U$199,'TAR FIN'!$A$1:$O$93,15,0)),0,VLOOKUP($U$199,'TAR FIN'!$A$1:$O$93,15,0))</f>
        <v>0</v>
      </c>
      <c r="Y199" s="6">
        <f ca="1">('TUSD BE'!$AM$13+'TUSD BF'!$AM$13+'TUSD CVA'!$AM$13)*1</f>
        <v>16.12796715109398</v>
      </c>
      <c r="Z199" s="6"/>
      <c r="AA199" s="6"/>
      <c r="AB199" s="6">
        <f>$K$199*$V$199</f>
        <v>3151.2</v>
      </c>
      <c r="AC199" s="6">
        <f>$M$199*$W$199</f>
        <v>0</v>
      </c>
      <c r="AD199" s="6">
        <f>$O$199*$X$199</f>
        <v>0</v>
      </c>
      <c r="AE199" s="6">
        <f ca="1">$K$199*$Y$199</f>
        <v>6289.9071889266525</v>
      </c>
      <c r="AF199" s="6">
        <f>$M$199*$Z$199</f>
        <v>0</v>
      </c>
      <c r="AG199" s="6">
        <f>$O$199*$AA$199</f>
        <v>0</v>
      </c>
    </row>
    <row r="200" spans="1:33" ht="11.25" customHeight="1" x14ac:dyDescent="0.25">
      <c r="A200" s="4" t="s">
        <v>21</v>
      </c>
      <c r="B200" s="4" t="s">
        <v>35</v>
      </c>
      <c r="C200" s="4" t="s">
        <v>56</v>
      </c>
      <c r="D200" s="4" t="s">
        <v>25</v>
      </c>
      <c r="E200" s="4" t="s">
        <v>25</v>
      </c>
      <c r="F200" s="4" t="s">
        <v>25</v>
      </c>
      <c r="G200" s="4" t="s">
        <v>62</v>
      </c>
      <c r="H200" s="4" t="s">
        <v>25</v>
      </c>
      <c r="I200" s="5">
        <v>44682</v>
      </c>
      <c r="J200" s="6">
        <v>1280</v>
      </c>
      <c r="K200" s="6">
        <v>640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4" t="s">
        <v>58</v>
      </c>
      <c r="R200" s="4">
        <v>31695</v>
      </c>
      <c r="S200" s="6">
        <v>14</v>
      </c>
      <c r="T200" s="6">
        <v>0</v>
      </c>
      <c r="U200" s="6">
        <v>0</v>
      </c>
      <c r="V200" s="6">
        <f>IF(ISERROR(VLOOKUP($S$200,'TAR FIN'!$A$1:$O$93,15,0)),0,VLOOKUP($S$200,'TAR FIN'!$A$1:$O$93,15,0))</f>
        <v>8.08</v>
      </c>
      <c r="W200" s="6">
        <f>IF(ISERROR(VLOOKUP($T$200,'TAR FIN'!$A$1:$O$93,15,0)),0,VLOOKUP($T$200,'TAR FIN'!$A$1:$O$93,15,0))</f>
        <v>0</v>
      </c>
      <c r="X200" s="6">
        <f>IF(ISERROR(VLOOKUP($U$200,'TAR FIN'!$A$1:$O$93,15,0)),0,VLOOKUP($U$200,'TAR FIN'!$A$1:$O$93,15,0))</f>
        <v>0</v>
      </c>
      <c r="Y200" s="6">
        <f ca="1">('TUSD BE'!$AM$13+'TUSD BF'!$AM$13+'TUSD CVA'!$AM$13)*1</f>
        <v>16.12796715109398</v>
      </c>
      <c r="Z200" s="6"/>
      <c r="AA200" s="6"/>
      <c r="AB200" s="6">
        <f>$K$200*$V$200</f>
        <v>5171.2</v>
      </c>
      <c r="AC200" s="6">
        <f>$M$200*$W$200</f>
        <v>0</v>
      </c>
      <c r="AD200" s="6">
        <f>$O$200*$X$200</f>
        <v>0</v>
      </c>
      <c r="AE200" s="6">
        <f ca="1">$K$200*$Y$200</f>
        <v>10321.898976700148</v>
      </c>
      <c r="AF200" s="6">
        <f>$M$200*$Z$200</f>
        <v>0</v>
      </c>
      <c r="AG200" s="6">
        <f>$O$200*$AA$200</f>
        <v>0</v>
      </c>
    </row>
    <row r="201" spans="1:33" ht="11.25" customHeight="1" x14ac:dyDescent="0.25">
      <c r="A201" s="4" t="s">
        <v>21</v>
      </c>
      <c r="B201" s="4" t="s">
        <v>35</v>
      </c>
      <c r="C201" s="4" t="s">
        <v>56</v>
      </c>
      <c r="D201" s="4" t="s">
        <v>25</v>
      </c>
      <c r="E201" s="4" t="s">
        <v>25</v>
      </c>
      <c r="F201" s="4" t="s">
        <v>25</v>
      </c>
      <c r="G201" s="4" t="s">
        <v>63</v>
      </c>
      <c r="H201" s="4" t="s">
        <v>25</v>
      </c>
      <c r="I201" s="5">
        <v>44682</v>
      </c>
      <c r="J201" s="6">
        <v>2425</v>
      </c>
      <c r="K201" s="6">
        <v>1212.5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4" t="s">
        <v>58</v>
      </c>
      <c r="S201" s="6">
        <v>14</v>
      </c>
      <c r="T201" s="6">
        <v>0</v>
      </c>
      <c r="U201" s="6">
        <v>0</v>
      </c>
      <c r="V201" s="6">
        <f>IF(ISERROR(VLOOKUP($S$201,'TAR FIN'!$A$1:$O$93,15,0)),0,VLOOKUP($S$201,'TAR FIN'!$A$1:$O$93,15,0))</f>
        <v>8.08</v>
      </c>
      <c r="W201" s="6">
        <f>IF(ISERROR(VLOOKUP($T$201,'TAR FIN'!$A$1:$O$93,15,0)),0,VLOOKUP($T$201,'TAR FIN'!$A$1:$O$93,15,0))</f>
        <v>0</v>
      </c>
      <c r="X201" s="6">
        <f>IF(ISERROR(VLOOKUP($U$201,'TAR FIN'!$A$1:$O$93,15,0)),0,VLOOKUP($U$201,'TAR FIN'!$A$1:$O$93,15,0))</f>
        <v>0</v>
      </c>
      <c r="Y201" s="6">
        <f ca="1">('TUSD BE'!$AM$13+'TUSD BF'!$AM$13+'TUSD CVA'!$AM$13)*1</f>
        <v>16.12796715109398</v>
      </c>
      <c r="Z201" s="6"/>
      <c r="AA201" s="6"/>
      <c r="AB201" s="6">
        <f>$K$201*$V$201</f>
        <v>9797</v>
      </c>
      <c r="AC201" s="6">
        <f>$M$201*$W$201</f>
        <v>0</v>
      </c>
      <c r="AD201" s="6">
        <f>$O$201*$X$201</f>
        <v>0</v>
      </c>
      <c r="AE201" s="6">
        <f ca="1">$K$201*$Y$201</f>
        <v>19555.160170701452</v>
      </c>
      <c r="AF201" s="6">
        <f>$M$201*$Z$201</f>
        <v>0</v>
      </c>
      <c r="AG201" s="6">
        <f>$O$201*$AA$201</f>
        <v>0</v>
      </c>
    </row>
    <row r="202" spans="1:33" ht="11.25" customHeight="1" x14ac:dyDescent="0.25">
      <c r="A202" s="4" t="s">
        <v>21</v>
      </c>
      <c r="B202" s="4" t="s">
        <v>35</v>
      </c>
      <c r="C202" s="4" t="s">
        <v>56</v>
      </c>
      <c r="D202" s="4" t="s">
        <v>25</v>
      </c>
      <c r="E202" s="4" t="s">
        <v>25</v>
      </c>
      <c r="F202" s="4" t="s">
        <v>25</v>
      </c>
      <c r="G202" s="4" t="s">
        <v>64</v>
      </c>
      <c r="H202" s="4" t="s">
        <v>25</v>
      </c>
      <c r="I202" s="5">
        <v>44682</v>
      </c>
      <c r="J202" s="6">
        <v>1100</v>
      </c>
      <c r="K202" s="6">
        <v>550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4" t="s">
        <v>58</v>
      </c>
      <c r="S202" s="6">
        <v>14</v>
      </c>
      <c r="T202" s="6">
        <v>0</v>
      </c>
      <c r="U202" s="6">
        <v>0</v>
      </c>
      <c r="V202" s="6">
        <f>IF(ISERROR(VLOOKUP($S$202,'TAR FIN'!$A$1:$O$93,15,0)),0,VLOOKUP($S$202,'TAR FIN'!$A$1:$O$93,15,0))</f>
        <v>8.08</v>
      </c>
      <c r="W202" s="6">
        <f>IF(ISERROR(VLOOKUP($T$202,'TAR FIN'!$A$1:$O$93,15,0)),0,VLOOKUP($T$202,'TAR FIN'!$A$1:$O$93,15,0))</f>
        <v>0</v>
      </c>
      <c r="X202" s="6">
        <f>IF(ISERROR(VLOOKUP($U$202,'TAR FIN'!$A$1:$O$93,15,0)),0,VLOOKUP($U$202,'TAR FIN'!$A$1:$O$93,15,0))</f>
        <v>0</v>
      </c>
      <c r="Y202" s="6">
        <f ca="1">('TUSD BE'!$AM$13+'TUSD BF'!$AM$13+'TUSD CVA'!$AM$13)*1</f>
        <v>16.12796715109398</v>
      </c>
      <c r="Z202" s="6"/>
      <c r="AA202" s="6"/>
      <c r="AB202" s="6">
        <f>$K$202*$V$202</f>
        <v>4444</v>
      </c>
      <c r="AC202" s="6">
        <f>$M$202*$W$202</f>
        <v>0</v>
      </c>
      <c r="AD202" s="6">
        <f>$O$202*$X$202</f>
        <v>0</v>
      </c>
      <c r="AE202" s="6">
        <f ca="1">$K$202*$Y$202</f>
        <v>8870.3819331016894</v>
      </c>
      <c r="AF202" s="6">
        <f>$M$202*$Z$202</f>
        <v>0</v>
      </c>
      <c r="AG202" s="6">
        <f>$O$202*$AA$202</f>
        <v>0</v>
      </c>
    </row>
    <row r="203" spans="1:33" ht="11.25" customHeight="1" x14ac:dyDescent="0.25">
      <c r="A203" s="4" t="s">
        <v>21</v>
      </c>
      <c r="B203" s="4" t="s">
        <v>35</v>
      </c>
      <c r="C203" s="4" t="s">
        <v>56</v>
      </c>
      <c r="D203" s="4" t="s">
        <v>25</v>
      </c>
      <c r="E203" s="4" t="s">
        <v>25</v>
      </c>
      <c r="F203" s="4" t="s">
        <v>25</v>
      </c>
      <c r="G203" s="4" t="s">
        <v>57</v>
      </c>
      <c r="H203" s="4" t="s">
        <v>25</v>
      </c>
      <c r="I203" s="5">
        <v>44713</v>
      </c>
      <c r="J203" s="6">
        <v>880</v>
      </c>
      <c r="K203" s="6">
        <v>440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4" t="s">
        <v>58</v>
      </c>
      <c r="R203" s="4">
        <v>706</v>
      </c>
      <c r="S203" s="6">
        <v>14</v>
      </c>
      <c r="T203" s="6">
        <v>0</v>
      </c>
      <c r="U203" s="6">
        <v>0</v>
      </c>
      <c r="V203" s="6">
        <f>IF(ISERROR(VLOOKUP($S$203,'TAR FIN'!$A$1:$O$93,15,0)),0,VLOOKUP($S$203,'TAR FIN'!$A$1:$O$93,15,0))</f>
        <v>8.08</v>
      </c>
      <c r="W203" s="6">
        <f>IF(ISERROR(VLOOKUP($T$203,'TAR FIN'!$A$1:$O$93,15,0)),0,VLOOKUP($T$203,'TAR FIN'!$A$1:$O$93,15,0))</f>
        <v>0</v>
      </c>
      <c r="X203" s="6">
        <f>IF(ISERROR(VLOOKUP($U$203,'TAR FIN'!$A$1:$O$93,15,0)),0,VLOOKUP($U$203,'TAR FIN'!$A$1:$O$93,15,0))</f>
        <v>0</v>
      </c>
      <c r="Y203" s="6">
        <f ca="1">('TUSD BE'!$AM$13+'TUSD BF'!$AM$13+'TUSD CVA'!$AM$13)*1</f>
        <v>16.12796715109398</v>
      </c>
      <c r="Z203" s="6"/>
      <c r="AA203" s="6"/>
      <c r="AB203" s="6">
        <f>$K$203*$V$203</f>
        <v>3555.2</v>
      </c>
      <c r="AC203" s="6">
        <f>$M$203*$W$203</f>
        <v>0</v>
      </c>
      <c r="AD203" s="6">
        <f>$O$203*$X$203</f>
        <v>0</v>
      </c>
      <c r="AE203" s="6">
        <f ca="1">$K$203*$Y$203</f>
        <v>7096.3055464813515</v>
      </c>
      <c r="AF203" s="6">
        <f>$M$203*$Z$203</f>
        <v>0</v>
      </c>
      <c r="AG203" s="6">
        <f>$O$203*$AA$203</f>
        <v>0</v>
      </c>
    </row>
    <row r="204" spans="1:33" ht="11.25" customHeight="1" x14ac:dyDescent="0.25">
      <c r="A204" s="4" t="s">
        <v>21</v>
      </c>
      <c r="B204" s="4" t="s">
        <v>35</v>
      </c>
      <c r="C204" s="4" t="s">
        <v>56</v>
      </c>
      <c r="D204" s="4" t="s">
        <v>25</v>
      </c>
      <c r="E204" s="4" t="s">
        <v>25</v>
      </c>
      <c r="F204" s="4" t="s">
        <v>25</v>
      </c>
      <c r="G204" s="4" t="s">
        <v>59</v>
      </c>
      <c r="H204" s="4" t="s">
        <v>25</v>
      </c>
      <c r="I204" s="5">
        <v>44713</v>
      </c>
      <c r="J204" s="6">
        <v>3700</v>
      </c>
      <c r="K204" s="6">
        <v>1850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4" t="s">
        <v>58</v>
      </c>
      <c r="R204" s="4">
        <v>877</v>
      </c>
      <c r="S204" s="6">
        <v>14</v>
      </c>
      <c r="T204" s="6">
        <v>0</v>
      </c>
      <c r="U204" s="6">
        <v>0</v>
      </c>
      <c r="V204" s="6">
        <f>IF(ISERROR(VLOOKUP($S$204,'TAR FIN'!$A$1:$O$93,15,0)),0,VLOOKUP($S$204,'TAR FIN'!$A$1:$O$93,15,0))</f>
        <v>8.08</v>
      </c>
      <c r="W204" s="6">
        <f>IF(ISERROR(VLOOKUP($T$204,'TAR FIN'!$A$1:$O$93,15,0)),0,VLOOKUP($T$204,'TAR FIN'!$A$1:$O$93,15,0))</f>
        <v>0</v>
      </c>
      <c r="X204" s="6">
        <f>IF(ISERROR(VLOOKUP($U$204,'TAR FIN'!$A$1:$O$93,15,0)),0,VLOOKUP($U$204,'TAR FIN'!$A$1:$O$93,15,0))</f>
        <v>0</v>
      </c>
      <c r="Y204" s="6">
        <f ca="1">('TUSD BE'!$AM$13+'TUSD BF'!$AM$13+'TUSD CVA'!$AM$13)*1</f>
        <v>16.12796715109398</v>
      </c>
      <c r="Z204" s="6"/>
      <c r="AA204" s="6"/>
      <c r="AB204" s="6">
        <f>$K$204*$V$204</f>
        <v>14948</v>
      </c>
      <c r="AC204" s="6">
        <f>$M$204*$W$204</f>
        <v>0</v>
      </c>
      <c r="AD204" s="6">
        <f>$O$204*$X$204</f>
        <v>0</v>
      </c>
      <c r="AE204" s="6">
        <f ca="1">$K$204*$Y$204</f>
        <v>29836.739229523864</v>
      </c>
      <c r="AF204" s="6">
        <f>$M$204*$Z$204</f>
        <v>0</v>
      </c>
      <c r="AG204" s="6">
        <f>$O$204*$AA$204</f>
        <v>0</v>
      </c>
    </row>
    <row r="205" spans="1:33" ht="11.25" customHeight="1" x14ac:dyDescent="0.25">
      <c r="A205" s="4" t="s">
        <v>21</v>
      </c>
      <c r="B205" s="4" t="s">
        <v>35</v>
      </c>
      <c r="C205" s="4" t="s">
        <v>56</v>
      </c>
      <c r="D205" s="4" t="s">
        <v>25</v>
      </c>
      <c r="E205" s="4" t="s">
        <v>25</v>
      </c>
      <c r="F205" s="4" t="s">
        <v>25</v>
      </c>
      <c r="G205" s="4" t="s">
        <v>60</v>
      </c>
      <c r="H205" s="4" t="s">
        <v>25</v>
      </c>
      <c r="I205" s="5">
        <v>44713</v>
      </c>
      <c r="J205" s="6">
        <v>880</v>
      </c>
      <c r="K205" s="6">
        <v>440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4" t="s">
        <v>58</v>
      </c>
      <c r="R205" s="4">
        <v>2317</v>
      </c>
      <c r="S205" s="6">
        <v>14</v>
      </c>
      <c r="T205" s="6">
        <v>0</v>
      </c>
      <c r="U205" s="6">
        <v>0</v>
      </c>
      <c r="V205" s="6">
        <f>IF(ISERROR(VLOOKUP($S$205,'TAR FIN'!$A$1:$O$93,15,0)),0,VLOOKUP($S$205,'TAR FIN'!$A$1:$O$93,15,0))</f>
        <v>8.08</v>
      </c>
      <c r="W205" s="6">
        <f>IF(ISERROR(VLOOKUP($T$205,'TAR FIN'!$A$1:$O$93,15,0)),0,VLOOKUP($T$205,'TAR FIN'!$A$1:$O$93,15,0))</f>
        <v>0</v>
      </c>
      <c r="X205" s="6">
        <f>IF(ISERROR(VLOOKUP($U$205,'TAR FIN'!$A$1:$O$93,15,0)),0,VLOOKUP($U$205,'TAR FIN'!$A$1:$O$93,15,0))</f>
        <v>0</v>
      </c>
      <c r="Y205" s="6">
        <f ca="1">('TUSD BE'!$AM$13+'TUSD BF'!$AM$13+'TUSD CVA'!$AM$13)*1</f>
        <v>16.12796715109398</v>
      </c>
      <c r="Z205" s="6"/>
      <c r="AA205" s="6"/>
      <c r="AB205" s="6">
        <f>$K$205*$V$205</f>
        <v>3555.2</v>
      </c>
      <c r="AC205" s="6">
        <f>$M$205*$W$205</f>
        <v>0</v>
      </c>
      <c r="AD205" s="6">
        <f>$O$205*$X$205</f>
        <v>0</v>
      </c>
      <c r="AE205" s="6">
        <f ca="1">$K$205*$Y$205</f>
        <v>7096.3055464813515</v>
      </c>
      <c r="AF205" s="6">
        <f>$M$205*$Z$205</f>
        <v>0</v>
      </c>
      <c r="AG205" s="6">
        <f>$O$205*$AA$205</f>
        <v>0</v>
      </c>
    </row>
    <row r="206" spans="1:33" ht="11.25" customHeight="1" x14ac:dyDescent="0.25">
      <c r="A206" s="4" t="s">
        <v>21</v>
      </c>
      <c r="B206" s="4" t="s">
        <v>35</v>
      </c>
      <c r="C206" s="4" t="s">
        <v>56</v>
      </c>
      <c r="D206" s="4" t="s">
        <v>25</v>
      </c>
      <c r="E206" s="4" t="s">
        <v>25</v>
      </c>
      <c r="F206" s="4" t="s">
        <v>25</v>
      </c>
      <c r="G206" s="4" t="s">
        <v>61</v>
      </c>
      <c r="H206" s="4" t="s">
        <v>25</v>
      </c>
      <c r="I206" s="5">
        <v>44713</v>
      </c>
      <c r="J206" s="6">
        <v>780</v>
      </c>
      <c r="K206" s="6">
        <v>390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4" t="s">
        <v>58</v>
      </c>
      <c r="R206" s="4">
        <v>28915</v>
      </c>
      <c r="S206" s="6">
        <v>14</v>
      </c>
      <c r="T206" s="6">
        <v>0</v>
      </c>
      <c r="U206" s="6">
        <v>0</v>
      </c>
      <c r="V206" s="6">
        <f>IF(ISERROR(VLOOKUP($S$206,'TAR FIN'!$A$1:$O$93,15,0)),0,VLOOKUP($S$206,'TAR FIN'!$A$1:$O$93,15,0))</f>
        <v>8.08</v>
      </c>
      <c r="W206" s="6">
        <f>IF(ISERROR(VLOOKUP($T$206,'TAR FIN'!$A$1:$O$93,15,0)),0,VLOOKUP($T$206,'TAR FIN'!$A$1:$O$93,15,0))</f>
        <v>0</v>
      </c>
      <c r="X206" s="6">
        <f>IF(ISERROR(VLOOKUP($U$206,'TAR FIN'!$A$1:$O$93,15,0)),0,VLOOKUP($U$206,'TAR FIN'!$A$1:$O$93,15,0))</f>
        <v>0</v>
      </c>
      <c r="Y206" s="6">
        <f ca="1">('TUSD BE'!$AM$13+'TUSD BF'!$AM$13+'TUSD CVA'!$AM$13)*1</f>
        <v>16.12796715109398</v>
      </c>
      <c r="Z206" s="6"/>
      <c r="AA206" s="6"/>
      <c r="AB206" s="6">
        <f>$K$206*$V$206</f>
        <v>3151.2</v>
      </c>
      <c r="AC206" s="6">
        <f>$M$206*$W$206</f>
        <v>0</v>
      </c>
      <c r="AD206" s="6">
        <f>$O$206*$X$206</f>
        <v>0</v>
      </c>
      <c r="AE206" s="6">
        <f ca="1">$K$206*$Y$206</f>
        <v>6289.9071889266525</v>
      </c>
      <c r="AF206" s="6">
        <f>$M$206*$Z$206</f>
        <v>0</v>
      </c>
      <c r="AG206" s="6">
        <f>$O$206*$AA$206</f>
        <v>0</v>
      </c>
    </row>
    <row r="207" spans="1:33" ht="11.25" customHeight="1" x14ac:dyDescent="0.25">
      <c r="A207" s="4" t="s">
        <v>21</v>
      </c>
      <c r="B207" s="4" t="s">
        <v>35</v>
      </c>
      <c r="C207" s="4" t="s">
        <v>56</v>
      </c>
      <c r="D207" s="4" t="s">
        <v>25</v>
      </c>
      <c r="E207" s="4" t="s">
        <v>25</v>
      </c>
      <c r="F207" s="4" t="s">
        <v>25</v>
      </c>
      <c r="G207" s="4" t="s">
        <v>62</v>
      </c>
      <c r="H207" s="4" t="s">
        <v>25</v>
      </c>
      <c r="I207" s="5">
        <v>44713</v>
      </c>
      <c r="J207" s="6">
        <v>1280</v>
      </c>
      <c r="K207" s="6">
        <v>640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4" t="s">
        <v>58</v>
      </c>
      <c r="R207" s="4">
        <v>31695</v>
      </c>
      <c r="S207" s="6">
        <v>14</v>
      </c>
      <c r="T207" s="6">
        <v>0</v>
      </c>
      <c r="U207" s="6">
        <v>0</v>
      </c>
      <c r="V207" s="6">
        <f>IF(ISERROR(VLOOKUP($S$207,'TAR FIN'!$A$1:$O$93,15,0)),0,VLOOKUP($S$207,'TAR FIN'!$A$1:$O$93,15,0))</f>
        <v>8.08</v>
      </c>
      <c r="W207" s="6">
        <f>IF(ISERROR(VLOOKUP($T$207,'TAR FIN'!$A$1:$O$93,15,0)),0,VLOOKUP($T$207,'TAR FIN'!$A$1:$O$93,15,0))</f>
        <v>0</v>
      </c>
      <c r="X207" s="6">
        <f>IF(ISERROR(VLOOKUP($U$207,'TAR FIN'!$A$1:$O$93,15,0)),0,VLOOKUP($U$207,'TAR FIN'!$A$1:$O$93,15,0))</f>
        <v>0</v>
      </c>
      <c r="Y207" s="6">
        <f ca="1">('TUSD BE'!$AM$13+'TUSD BF'!$AM$13+'TUSD CVA'!$AM$13)*1</f>
        <v>16.12796715109398</v>
      </c>
      <c r="Z207" s="6"/>
      <c r="AA207" s="6"/>
      <c r="AB207" s="6">
        <f>$K$207*$V$207</f>
        <v>5171.2</v>
      </c>
      <c r="AC207" s="6">
        <f>$M$207*$W$207</f>
        <v>0</v>
      </c>
      <c r="AD207" s="6">
        <f>$O$207*$X$207</f>
        <v>0</v>
      </c>
      <c r="AE207" s="6">
        <f ca="1">$K$207*$Y$207</f>
        <v>10321.898976700148</v>
      </c>
      <c r="AF207" s="6">
        <f>$M$207*$Z$207</f>
        <v>0</v>
      </c>
      <c r="AG207" s="6">
        <f>$O$207*$AA$207</f>
        <v>0</v>
      </c>
    </row>
    <row r="208" spans="1:33" ht="11.25" customHeight="1" x14ac:dyDescent="0.25">
      <c r="A208" s="4" t="s">
        <v>21</v>
      </c>
      <c r="B208" s="4" t="s">
        <v>35</v>
      </c>
      <c r="C208" s="4" t="s">
        <v>56</v>
      </c>
      <c r="D208" s="4" t="s">
        <v>25</v>
      </c>
      <c r="E208" s="4" t="s">
        <v>25</v>
      </c>
      <c r="F208" s="4" t="s">
        <v>25</v>
      </c>
      <c r="G208" s="4" t="s">
        <v>63</v>
      </c>
      <c r="H208" s="4" t="s">
        <v>25</v>
      </c>
      <c r="I208" s="5">
        <v>44713</v>
      </c>
      <c r="J208" s="6">
        <v>2425</v>
      </c>
      <c r="K208" s="6">
        <v>1212.5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4" t="s">
        <v>58</v>
      </c>
      <c r="S208" s="6">
        <v>14</v>
      </c>
      <c r="T208" s="6">
        <v>0</v>
      </c>
      <c r="U208" s="6">
        <v>0</v>
      </c>
      <c r="V208" s="6">
        <f>IF(ISERROR(VLOOKUP($S$208,'TAR FIN'!$A$1:$O$93,15,0)),0,VLOOKUP($S$208,'TAR FIN'!$A$1:$O$93,15,0))</f>
        <v>8.08</v>
      </c>
      <c r="W208" s="6">
        <f>IF(ISERROR(VLOOKUP($T$208,'TAR FIN'!$A$1:$O$93,15,0)),0,VLOOKUP($T$208,'TAR FIN'!$A$1:$O$93,15,0))</f>
        <v>0</v>
      </c>
      <c r="X208" s="6">
        <f>IF(ISERROR(VLOOKUP($U$208,'TAR FIN'!$A$1:$O$93,15,0)),0,VLOOKUP($U$208,'TAR FIN'!$A$1:$O$93,15,0))</f>
        <v>0</v>
      </c>
      <c r="Y208" s="6">
        <f ca="1">('TUSD BE'!$AM$13+'TUSD BF'!$AM$13+'TUSD CVA'!$AM$13)*1</f>
        <v>16.12796715109398</v>
      </c>
      <c r="Z208" s="6"/>
      <c r="AA208" s="6"/>
      <c r="AB208" s="6">
        <f>$K$208*$V$208</f>
        <v>9797</v>
      </c>
      <c r="AC208" s="6">
        <f>$M$208*$W$208</f>
        <v>0</v>
      </c>
      <c r="AD208" s="6">
        <f>$O$208*$X$208</f>
        <v>0</v>
      </c>
      <c r="AE208" s="6">
        <f ca="1">$K$208*$Y$208</f>
        <v>19555.160170701452</v>
      </c>
      <c r="AF208" s="6">
        <f>$M$208*$Z$208</f>
        <v>0</v>
      </c>
      <c r="AG208" s="6">
        <f>$O$208*$AA$208</f>
        <v>0</v>
      </c>
    </row>
    <row r="209" spans="1:33" ht="11.25" customHeight="1" x14ac:dyDescent="0.25">
      <c r="A209" s="4" t="s">
        <v>21</v>
      </c>
      <c r="B209" s="4" t="s">
        <v>35</v>
      </c>
      <c r="C209" s="4" t="s">
        <v>56</v>
      </c>
      <c r="D209" s="4" t="s">
        <v>25</v>
      </c>
      <c r="E209" s="4" t="s">
        <v>25</v>
      </c>
      <c r="F209" s="4" t="s">
        <v>25</v>
      </c>
      <c r="G209" s="4" t="s">
        <v>64</v>
      </c>
      <c r="H209" s="4" t="s">
        <v>25</v>
      </c>
      <c r="I209" s="5">
        <v>44713</v>
      </c>
      <c r="J209" s="6">
        <v>1100</v>
      </c>
      <c r="K209" s="6">
        <v>550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4" t="s">
        <v>58</v>
      </c>
      <c r="S209" s="6">
        <v>14</v>
      </c>
      <c r="T209" s="6">
        <v>0</v>
      </c>
      <c r="U209" s="6">
        <v>0</v>
      </c>
      <c r="V209" s="6">
        <f>IF(ISERROR(VLOOKUP($S$209,'TAR FIN'!$A$1:$O$93,15,0)),0,VLOOKUP($S$209,'TAR FIN'!$A$1:$O$93,15,0))</f>
        <v>8.08</v>
      </c>
      <c r="W209" s="6">
        <f>IF(ISERROR(VLOOKUP($T$209,'TAR FIN'!$A$1:$O$93,15,0)),0,VLOOKUP($T$209,'TAR FIN'!$A$1:$O$93,15,0))</f>
        <v>0</v>
      </c>
      <c r="X209" s="6">
        <f>IF(ISERROR(VLOOKUP($U$209,'TAR FIN'!$A$1:$O$93,15,0)),0,VLOOKUP($U$209,'TAR FIN'!$A$1:$O$93,15,0))</f>
        <v>0</v>
      </c>
      <c r="Y209" s="6">
        <f ca="1">('TUSD BE'!$AM$13+'TUSD BF'!$AM$13+'TUSD CVA'!$AM$13)*1</f>
        <v>16.12796715109398</v>
      </c>
      <c r="Z209" s="6"/>
      <c r="AA209" s="6"/>
      <c r="AB209" s="6">
        <f>$K$209*$V$209</f>
        <v>4444</v>
      </c>
      <c r="AC209" s="6">
        <f>$M$209*$W$209</f>
        <v>0</v>
      </c>
      <c r="AD209" s="6">
        <f>$O$209*$X$209</f>
        <v>0</v>
      </c>
      <c r="AE209" s="6">
        <f ca="1">$K$209*$Y$209</f>
        <v>8870.3819331016894</v>
      </c>
      <c r="AF209" s="6">
        <f>$M$209*$Z$209</f>
        <v>0</v>
      </c>
      <c r="AG209" s="6">
        <f>$O$209*$AA$209</f>
        <v>0</v>
      </c>
    </row>
    <row r="210" spans="1:33" ht="11.25" customHeight="1" x14ac:dyDescent="0.25">
      <c r="A210" s="4" t="s">
        <v>21</v>
      </c>
      <c r="B210" s="4" t="s">
        <v>35</v>
      </c>
      <c r="C210" s="4" t="s">
        <v>39</v>
      </c>
      <c r="D210" s="4" t="s">
        <v>40</v>
      </c>
      <c r="E210" s="4" t="s">
        <v>25</v>
      </c>
      <c r="F210" s="4" t="s">
        <v>25</v>
      </c>
      <c r="G210" s="4" t="s">
        <v>25</v>
      </c>
      <c r="H210" s="4" t="s">
        <v>38</v>
      </c>
      <c r="I210" s="5">
        <v>44378</v>
      </c>
      <c r="J210" s="6">
        <v>0</v>
      </c>
      <c r="K210" s="6">
        <v>0</v>
      </c>
      <c r="L210" s="6">
        <v>1589.729</v>
      </c>
      <c r="M210" s="6">
        <v>1589.729</v>
      </c>
      <c r="N210" s="6">
        <v>1589.729</v>
      </c>
      <c r="O210" s="6">
        <v>1589.729</v>
      </c>
      <c r="P210" s="6">
        <v>0</v>
      </c>
      <c r="Q210" s="4" t="s">
        <v>26</v>
      </c>
      <c r="R210" s="4">
        <v>0</v>
      </c>
      <c r="S210" s="6">
        <v>0</v>
      </c>
      <c r="T210" s="6">
        <v>25</v>
      </c>
      <c r="U210" s="6">
        <v>59</v>
      </c>
      <c r="V210" s="6">
        <f>IF(ISERROR(VLOOKUP($S$210,'TAR FIN'!$A$1:$O$93,15,0)),0,VLOOKUP($S$210,'TAR FIN'!$A$1:$O$93,15,0))</f>
        <v>0</v>
      </c>
      <c r="W210" s="6">
        <f>IF(ISERROR(VLOOKUP($T$210,'TAR FIN'!$A$1:$O$93,15,0)),0,VLOOKUP($T$210,'TAR FIN'!$A$1:$O$93,15,0))</f>
        <v>69.489999999999995</v>
      </c>
      <c r="X210" s="6">
        <f>IF(ISERROR(VLOOKUP($U$210,'TAR FIN'!$A$1:$O$93,15,0)),0,VLOOKUP($U$210,'TAR FIN'!$A$1:$O$93,15,0))</f>
        <v>185.18</v>
      </c>
      <c r="Y210" s="6"/>
      <c r="Z210" s="6">
        <f ca="1">('TUSD BE'!$AM$16+'TUSD BF'!$AM$16+'TUSD CVA'!$AM$16)*1</f>
        <v>92.504793470158234</v>
      </c>
      <c r="AA210" s="6">
        <f>('TE BE'!$AB$8+'TE BF'!$AB$8+'TE CVA'!$AB$8)*1</f>
        <v>198.18194779658231</v>
      </c>
      <c r="AB210" s="6">
        <f>$K$210*$V$210</f>
        <v>0</v>
      </c>
      <c r="AC210" s="6">
        <f>$M$210*$W$210</f>
        <v>110470.26820999999</v>
      </c>
      <c r="AD210" s="6">
        <f>$O$210*$X$210</f>
        <v>294386.01621999999</v>
      </c>
      <c r="AE210" s="6">
        <f>$K$210*$Y$210</f>
        <v>0</v>
      </c>
      <c r="AF210" s="6">
        <f ca="1">$M$210*$Z$210</f>
        <v>147057.55281852119</v>
      </c>
      <c r="AG210" s="6">
        <f>$O$210*$AA$210</f>
        <v>315055.58968871302</v>
      </c>
    </row>
    <row r="211" spans="1:33" ht="11.25" customHeight="1" x14ac:dyDescent="0.25">
      <c r="A211" s="4" t="s">
        <v>27</v>
      </c>
      <c r="B211" s="4" t="s">
        <v>35</v>
      </c>
      <c r="C211" s="4" t="s">
        <v>39</v>
      </c>
      <c r="D211" s="4" t="s">
        <v>40</v>
      </c>
      <c r="E211" s="4" t="s">
        <v>25</v>
      </c>
      <c r="F211" s="4" t="s">
        <v>25</v>
      </c>
      <c r="G211" s="4" t="s">
        <v>25</v>
      </c>
      <c r="H211" s="4" t="s">
        <v>38</v>
      </c>
      <c r="I211" s="5">
        <v>44378</v>
      </c>
      <c r="J211" s="6">
        <v>0</v>
      </c>
      <c r="K211" s="6">
        <v>0</v>
      </c>
      <c r="L211" s="6">
        <v>-382.78199999999998</v>
      </c>
      <c r="M211" s="6">
        <v>-382.78199999999998</v>
      </c>
      <c r="N211" s="6">
        <v>-382.78199999999998</v>
      </c>
      <c r="O211" s="6">
        <v>-382.78199999999998</v>
      </c>
      <c r="P211" s="6">
        <v>0</v>
      </c>
      <c r="Q211" s="4" t="s">
        <v>26</v>
      </c>
      <c r="R211" s="4">
        <v>0</v>
      </c>
      <c r="S211" s="6">
        <v>0</v>
      </c>
      <c r="T211" s="6">
        <v>25</v>
      </c>
      <c r="U211" s="6">
        <v>59</v>
      </c>
      <c r="V211" s="6">
        <f>IF(ISERROR(VLOOKUP($S$211,'TAR FIN'!$A$1:$O$93,15,0)),0,VLOOKUP($S$211,'TAR FIN'!$A$1:$O$93,15,0))</f>
        <v>0</v>
      </c>
      <c r="W211" s="6">
        <f>IF(ISERROR(VLOOKUP($T$211,'TAR FIN'!$A$1:$O$93,15,0)),0,VLOOKUP($T$211,'TAR FIN'!$A$1:$O$93,15,0))</f>
        <v>69.489999999999995</v>
      </c>
      <c r="X211" s="6">
        <f>IF(ISERROR(VLOOKUP($U$211,'TAR FIN'!$A$1:$O$93,15,0)),0,VLOOKUP($U$211,'TAR FIN'!$A$1:$O$93,15,0))</f>
        <v>185.18</v>
      </c>
      <c r="Y211" s="6"/>
      <c r="Z211" s="6">
        <f ca="1">('TUSD BE'!$AM$16+'TUSD BF'!$AM$16+'TUSD CVA'!$AM$16)*1</f>
        <v>92.504793470158234</v>
      </c>
      <c r="AA211" s="6">
        <f>('TE BE'!$AB$8+'TE BF'!$AB$8+'TE CVA'!$AB$8)*1</f>
        <v>198.18194779658231</v>
      </c>
      <c r="AB211" s="6">
        <f>$K$211*$V$211</f>
        <v>0</v>
      </c>
      <c r="AC211" s="6">
        <f>$M$211*$W$211</f>
        <v>-26599.521179999996</v>
      </c>
      <c r="AD211" s="6">
        <f>$O$211*$X$211</f>
        <v>-70883.570760000002</v>
      </c>
      <c r="AE211" s="6">
        <f>$K$211*$Y$211</f>
        <v>0</v>
      </c>
      <c r="AF211" s="6">
        <f ca="1">$M$211*$Z$211</f>
        <v>-35409.169854094107</v>
      </c>
      <c r="AG211" s="6">
        <f>$O$211*$AA$211</f>
        <v>-75860.482341471361</v>
      </c>
    </row>
    <row r="212" spans="1:33" ht="11.25" customHeight="1" x14ac:dyDescent="0.25">
      <c r="A212" s="4" t="s">
        <v>28</v>
      </c>
      <c r="B212" s="4" t="s">
        <v>35</v>
      </c>
      <c r="C212" s="4" t="s">
        <v>39</v>
      </c>
      <c r="D212" s="4" t="s">
        <v>40</v>
      </c>
      <c r="E212" s="4" t="s">
        <v>25</v>
      </c>
      <c r="F212" s="4" t="s">
        <v>25</v>
      </c>
      <c r="G212" s="4" t="s">
        <v>25</v>
      </c>
      <c r="H212" s="4" t="s">
        <v>38</v>
      </c>
      <c r="I212" s="5">
        <v>44378</v>
      </c>
      <c r="J212" s="6">
        <v>0</v>
      </c>
      <c r="K212" s="6">
        <v>0</v>
      </c>
      <c r="L212" s="6">
        <v>35.094999999999999</v>
      </c>
      <c r="M212" s="6">
        <v>35.094999999999999</v>
      </c>
      <c r="N212" s="6">
        <v>35.094999999999999</v>
      </c>
      <c r="O212" s="6">
        <v>35.094999999999999</v>
      </c>
      <c r="P212" s="6">
        <v>0</v>
      </c>
      <c r="Q212" s="4" t="s">
        <v>26</v>
      </c>
      <c r="R212" s="4">
        <v>0</v>
      </c>
      <c r="S212" s="6">
        <v>0</v>
      </c>
      <c r="T212" s="6">
        <v>25</v>
      </c>
      <c r="U212" s="6">
        <v>59</v>
      </c>
      <c r="V212" s="6">
        <f>IF(ISERROR(VLOOKUP($S$212,'TAR FIN'!$A$1:$O$93,15,0)),0,VLOOKUP($S$212,'TAR FIN'!$A$1:$O$93,15,0))</f>
        <v>0</v>
      </c>
      <c r="W212" s="6">
        <f>IF(ISERROR(VLOOKUP($T$212,'TAR FIN'!$A$1:$O$93,15,0)),0,VLOOKUP($T$212,'TAR FIN'!$A$1:$O$93,15,0))</f>
        <v>69.489999999999995</v>
      </c>
      <c r="X212" s="6">
        <f>IF(ISERROR(VLOOKUP($U$212,'TAR FIN'!$A$1:$O$93,15,0)),0,VLOOKUP($U$212,'TAR FIN'!$A$1:$O$93,15,0))</f>
        <v>185.18</v>
      </c>
      <c r="Y212" s="6"/>
      <c r="Z212" s="6">
        <f ca="1">('TUSD BE'!$AM$16+'TUSD BF'!$AM$16+'TUSD CVA'!$AM$16)*1</f>
        <v>92.504793470158234</v>
      </c>
      <c r="AA212" s="6">
        <f>('TE BE'!$AB$8+'TE BF'!$AB$8+'TE CVA'!$AB$8)*1</f>
        <v>198.18194779658231</v>
      </c>
      <c r="AB212" s="6">
        <f>$K$212*$V$212</f>
        <v>0</v>
      </c>
      <c r="AC212" s="6">
        <f>$M$212*$W$212</f>
        <v>2438.75155</v>
      </c>
      <c r="AD212" s="6">
        <f>$O$212*$X$212</f>
        <v>6498.8921</v>
      </c>
      <c r="AE212" s="6">
        <f>$K$212*$Y$212</f>
        <v>0</v>
      </c>
      <c r="AF212" s="6">
        <f ca="1">$M$212*$Z$212</f>
        <v>3246.4557268352032</v>
      </c>
      <c r="AG212" s="6">
        <f>$O$212*$AA$212</f>
        <v>6955.195457921056</v>
      </c>
    </row>
    <row r="213" spans="1:33" ht="11.25" customHeight="1" x14ac:dyDescent="0.25">
      <c r="A213" s="4" t="s">
        <v>28</v>
      </c>
      <c r="B213" s="4" t="s">
        <v>35</v>
      </c>
      <c r="C213" s="4" t="s">
        <v>39</v>
      </c>
      <c r="D213" s="4" t="s">
        <v>40</v>
      </c>
      <c r="E213" s="4" t="s">
        <v>25</v>
      </c>
      <c r="F213" s="4" t="s">
        <v>25</v>
      </c>
      <c r="G213" s="4" t="s">
        <v>25</v>
      </c>
      <c r="H213" s="4" t="s">
        <v>38</v>
      </c>
      <c r="I213" s="5">
        <v>44378</v>
      </c>
      <c r="J213" s="6">
        <v>0</v>
      </c>
      <c r="K213" s="6">
        <v>0</v>
      </c>
      <c r="L213" s="6">
        <v>-12.039</v>
      </c>
      <c r="M213" s="6">
        <v>-12.039</v>
      </c>
      <c r="N213" s="6">
        <v>-12.039</v>
      </c>
      <c r="O213" s="6">
        <v>-12.039</v>
      </c>
      <c r="P213" s="6">
        <v>0</v>
      </c>
      <c r="Q213" s="4" t="s">
        <v>26</v>
      </c>
      <c r="R213" s="4">
        <v>0</v>
      </c>
      <c r="S213" s="6">
        <v>0</v>
      </c>
      <c r="T213" s="6">
        <v>25</v>
      </c>
      <c r="U213" s="6">
        <v>59</v>
      </c>
      <c r="V213" s="6">
        <f>IF(ISERROR(VLOOKUP($S$213,'TAR FIN'!$A$1:$O$93,15,0)),0,VLOOKUP($S$213,'TAR FIN'!$A$1:$O$93,15,0))</f>
        <v>0</v>
      </c>
      <c r="W213" s="6">
        <f>IF(ISERROR(VLOOKUP($T$213,'TAR FIN'!$A$1:$O$93,15,0)),0,VLOOKUP($T$213,'TAR FIN'!$A$1:$O$93,15,0))</f>
        <v>69.489999999999995</v>
      </c>
      <c r="X213" s="6">
        <f>IF(ISERROR(VLOOKUP($U$213,'TAR FIN'!$A$1:$O$93,15,0)),0,VLOOKUP($U$213,'TAR FIN'!$A$1:$O$93,15,0))</f>
        <v>185.18</v>
      </c>
      <c r="Y213" s="6"/>
      <c r="Z213" s="6">
        <f ca="1">('TUSD BE'!$AM$16+'TUSD BF'!$AM$16+'TUSD CVA'!$AM$16)*1</f>
        <v>92.504793470158234</v>
      </c>
      <c r="AA213" s="6">
        <f>('TE BE'!$AB$8+'TE BF'!$AB$8+'TE CVA'!$AB$8)*1</f>
        <v>198.18194779658231</v>
      </c>
      <c r="AB213" s="6">
        <f>$K$213*$V$213</f>
        <v>0</v>
      </c>
      <c r="AC213" s="6">
        <f>$M$213*$W$213</f>
        <v>-836.59010999999987</v>
      </c>
      <c r="AD213" s="6">
        <f>$O$213*$X$213</f>
        <v>-2229.38202</v>
      </c>
      <c r="AE213" s="6">
        <f>$K$213*$Y$213</f>
        <v>0</v>
      </c>
      <c r="AF213" s="6">
        <f ca="1">$M$213*$Z$213</f>
        <v>-1113.6652085872349</v>
      </c>
      <c r="AG213" s="6">
        <f>$O$213*$AA$213</f>
        <v>-2385.9124695230544</v>
      </c>
    </row>
    <row r="214" spans="1:33" ht="11.25" customHeight="1" x14ac:dyDescent="0.25">
      <c r="A214" s="4" t="s">
        <v>21</v>
      </c>
      <c r="B214" s="4" t="s">
        <v>35</v>
      </c>
      <c r="C214" s="4" t="s">
        <v>39</v>
      </c>
      <c r="D214" s="4" t="s">
        <v>40</v>
      </c>
      <c r="E214" s="4" t="s">
        <v>25</v>
      </c>
      <c r="F214" s="4" t="s">
        <v>25</v>
      </c>
      <c r="G214" s="4" t="s">
        <v>25</v>
      </c>
      <c r="H214" s="4" t="s">
        <v>38</v>
      </c>
      <c r="I214" s="5">
        <v>44409</v>
      </c>
      <c r="J214" s="6">
        <v>0</v>
      </c>
      <c r="K214" s="6">
        <v>0</v>
      </c>
      <c r="L214" s="6">
        <v>1233.7280000000001</v>
      </c>
      <c r="M214" s="6">
        <v>1233.7280000000001</v>
      </c>
      <c r="N214" s="6">
        <v>1233.7280000000001</v>
      </c>
      <c r="O214" s="6">
        <v>1233.7280000000001</v>
      </c>
      <c r="P214" s="6">
        <v>0</v>
      </c>
      <c r="Q214" s="4" t="s">
        <v>26</v>
      </c>
      <c r="R214" s="4">
        <v>0</v>
      </c>
      <c r="S214" s="6">
        <v>0</v>
      </c>
      <c r="T214" s="6">
        <v>25</v>
      </c>
      <c r="U214" s="6">
        <v>59</v>
      </c>
      <c r="V214" s="6">
        <f>IF(ISERROR(VLOOKUP($S$214,'TAR FIN'!$A$1:$O$93,15,0)),0,VLOOKUP($S$214,'TAR FIN'!$A$1:$O$93,15,0))</f>
        <v>0</v>
      </c>
      <c r="W214" s="6">
        <f>IF(ISERROR(VLOOKUP($T$214,'TAR FIN'!$A$1:$O$93,15,0)),0,VLOOKUP($T$214,'TAR FIN'!$A$1:$O$93,15,0))</f>
        <v>69.489999999999995</v>
      </c>
      <c r="X214" s="6">
        <f>IF(ISERROR(VLOOKUP($U$214,'TAR FIN'!$A$1:$O$93,15,0)),0,VLOOKUP($U$214,'TAR FIN'!$A$1:$O$93,15,0))</f>
        <v>185.18</v>
      </c>
      <c r="Y214" s="6"/>
      <c r="Z214" s="6">
        <f ca="1">('TUSD BE'!$AM$16+'TUSD BF'!$AM$16+'TUSD CVA'!$AM$16)*1</f>
        <v>92.504793470158234</v>
      </c>
      <c r="AA214" s="6">
        <f>('TE BE'!$AB$8+'TE BF'!$AB$8+'TE CVA'!$AB$8)*1</f>
        <v>198.18194779658231</v>
      </c>
      <c r="AB214" s="6">
        <f>$K$214*$V$214</f>
        <v>0</v>
      </c>
      <c r="AC214" s="6">
        <f>$M$214*$W$214</f>
        <v>85731.758719999998</v>
      </c>
      <c r="AD214" s="6">
        <f>$O$214*$X$214</f>
        <v>228461.75104000003</v>
      </c>
      <c r="AE214" s="6">
        <f>$K$214*$Y$214</f>
        <v>0</v>
      </c>
      <c r="AF214" s="6">
        <f ca="1">$M$214*$Z$214</f>
        <v>114125.75383835139</v>
      </c>
      <c r="AG214" s="6">
        <f>$O$214*$AA$214</f>
        <v>244502.61809118191</v>
      </c>
    </row>
    <row r="215" spans="1:33" ht="11.25" customHeight="1" x14ac:dyDescent="0.25">
      <c r="A215" s="4" t="s">
        <v>27</v>
      </c>
      <c r="B215" s="4" t="s">
        <v>35</v>
      </c>
      <c r="C215" s="4" t="s">
        <v>39</v>
      </c>
      <c r="D215" s="4" t="s">
        <v>40</v>
      </c>
      <c r="E215" s="4" t="s">
        <v>25</v>
      </c>
      <c r="F215" s="4" t="s">
        <v>25</v>
      </c>
      <c r="G215" s="4" t="s">
        <v>25</v>
      </c>
      <c r="H215" s="4" t="s">
        <v>38</v>
      </c>
      <c r="I215" s="5">
        <v>44409</v>
      </c>
      <c r="J215" s="6">
        <v>0</v>
      </c>
      <c r="K215" s="6">
        <v>0</v>
      </c>
      <c r="L215" s="6">
        <v>-10.218999999999999</v>
      </c>
      <c r="M215" s="6">
        <v>-10.218999999999999</v>
      </c>
      <c r="N215" s="6">
        <v>-10.218999999999999</v>
      </c>
      <c r="O215" s="6">
        <v>-10.218999999999999</v>
      </c>
      <c r="P215" s="6">
        <v>0</v>
      </c>
      <c r="Q215" s="4" t="s">
        <v>26</v>
      </c>
      <c r="R215" s="4">
        <v>0</v>
      </c>
      <c r="S215" s="6">
        <v>0</v>
      </c>
      <c r="T215" s="6">
        <v>25</v>
      </c>
      <c r="U215" s="6">
        <v>59</v>
      </c>
      <c r="V215" s="6">
        <f>IF(ISERROR(VLOOKUP($S$215,'TAR FIN'!$A$1:$O$93,15,0)),0,VLOOKUP($S$215,'TAR FIN'!$A$1:$O$93,15,0))</f>
        <v>0</v>
      </c>
      <c r="W215" s="6">
        <f>IF(ISERROR(VLOOKUP($T$215,'TAR FIN'!$A$1:$O$93,15,0)),0,VLOOKUP($T$215,'TAR FIN'!$A$1:$O$93,15,0))</f>
        <v>69.489999999999995</v>
      </c>
      <c r="X215" s="6">
        <f>IF(ISERROR(VLOOKUP($U$215,'TAR FIN'!$A$1:$O$93,15,0)),0,VLOOKUP($U$215,'TAR FIN'!$A$1:$O$93,15,0))</f>
        <v>185.18</v>
      </c>
      <c r="Y215" s="6"/>
      <c r="Z215" s="6">
        <f ca="1">('TUSD BE'!$AM$16+'TUSD BF'!$AM$16+'TUSD CVA'!$AM$16)*1</f>
        <v>92.504793470158234</v>
      </c>
      <c r="AA215" s="6">
        <f>('TE BE'!$AB$8+'TE BF'!$AB$8+'TE CVA'!$AB$8)*1</f>
        <v>198.18194779658231</v>
      </c>
      <c r="AB215" s="6">
        <f>$K$215*$V$215</f>
        <v>0</v>
      </c>
      <c r="AC215" s="6">
        <f>$M$215*$W$215</f>
        <v>-710.11830999999995</v>
      </c>
      <c r="AD215" s="6">
        <f>$O$215*$X$215</f>
        <v>-1892.3544199999999</v>
      </c>
      <c r="AE215" s="6">
        <f>$K$215*$Y$215</f>
        <v>0</v>
      </c>
      <c r="AF215" s="6">
        <f ca="1">$M$215*$Z$215</f>
        <v>-945.30648447154692</v>
      </c>
      <c r="AG215" s="6">
        <f>$O$215*$AA$215</f>
        <v>-2025.2213245332746</v>
      </c>
    </row>
    <row r="216" spans="1:33" ht="11.25" customHeight="1" x14ac:dyDescent="0.25">
      <c r="A216" s="4" t="s">
        <v>28</v>
      </c>
      <c r="B216" s="4" t="s">
        <v>35</v>
      </c>
      <c r="C216" s="4" t="s">
        <v>39</v>
      </c>
      <c r="D216" s="4" t="s">
        <v>40</v>
      </c>
      <c r="E216" s="4" t="s">
        <v>25</v>
      </c>
      <c r="F216" s="4" t="s">
        <v>25</v>
      </c>
      <c r="G216" s="4" t="s">
        <v>25</v>
      </c>
      <c r="H216" s="4" t="s">
        <v>38</v>
      </c>
      <c r="I216" s="5">
        <v>44409</v>
      </c>
      <c r="J216" s="6">
        <v>0</v>
      </c>
      <c r="K216" s="6">
        <v>0</v>
      </c>
      <c r="L216" s="6">
        <v>16.707999999999998</v>
      </c>
      <c r="M216" s="6">
        <v>16.707999999999998</v>
      </c>
      <c r="N216" s="6">
        <v>16.707999999999998</v>
      </c>
      <c r="O216" s="6">
        <v>16.707999999999998</v>
      </c>
      <c r="P216" s="6">
        <v>0</v>
      </c>
      <c r="Q216" s="4" t="s">
        <v>26</v>
      </c>
      <c r="R216" s="4">
        <v>0</v>
      </c>
      <c r="S216" s="6">
        <v>0</v>
      </c>
      <c r="T216" s="6">
        <v>25</v>
      </c>
      <c r="U216" s="6">
        <v>59</v>
      </c>
      <c r="V216" s="6">
        <f>IF(ISERROR(VLOOKUP($S$216,'TAR FIN'!$A$1:$O$93,15,0)),0,VLOOKUP($S$216,'TAR FIN'!$A$1:$O$93,15,0))</f>
        <v>0</v>
      </c>
      <c r="W216" s="6">
        <f>IF(ISERROR(VLOOKUP($T$216,'TAR FIN'!$A$1:$O$93,15,0)),0,VLOOKUP($T$216,'TAR FIN'!$A$1:$O$93,15,0))</f>
        <v>69.489999999999995</v>
      </c>
      <c r="X216" s="6">
        <f>IF(ISERROR(VLOOKUP($U$216,'TAR FIN'!$A$1:$O$93,15,0)),0,VLOOKUP($U$216,'TAR FIN'!$A$1:$O$93,15,0))</f>
        <v>185.18</v>
      </c>
      <c r="Y216" s="6"/>
      <c r="Z216" s="6">
        <f ca="1">('TUSD BE'!$AM$16+'TUSD BF'!$AM$16+'TUSD CVA'!$AM$16)*1</f>
        <v>92.504793470158234</v>
      </c>
      <c r="AA216" s="6">
        <f>('TE BE'!$AB$8+'TE BF'!$AB$8+'TE CVA'!$AB$8)*1</f>
        <v>198.18194779658231</v>
      </c>
      <c r="AB216" s="6">
        <f>$K$216*$V$216</f>
        <v>0</v>
      </c>
      <c r="AC216" s="6">
        <f>$M$216*$W$216</f>
        <v>1161.0389199999997</v>
      </c>
      <c r="AD216" s="6">
        <f>$O$216*$X$216</f>
        <v>3093.9874399999999</v>
      </c>
      <c r="AE216" s="6">
        <f>$K$216*$Y$216</f>
        <v>0</v>
      </c>
      <c r="AF216" s="6">
        <f ca="1">$M$216*$Z$216</f>
        <v>1545.5700892994037</v>
      </c>
      <c r="AG216" s="6">
        <f>$O$216*$AA$216</f>
        <v>3311.2239837852967</v>
      </c>
    </row>
    <row r="217" spans="1:33" ht="11.25" customHeight="1" x14ac:dyDescent="0.25">
      <c r="A217" s="4" t="s">
        <v>21</v>
      </c>
      <c r="B217" s="4" t="s">
        <v>35</v>
      </c>
      <c r="C217" s="4" t="s">
        <v>39</v>
      </c>
      <c r="D217" s="4" t="s">
        <v>40</v>
      </c>
      <c r="E217" s="4" t="s">
        <v>25</v>
      </c>
      <c r="F217" s="4" t="s">
        <v>25</v>
      </c>
      <c r="G217" s="4" t="s">
        <v>25</v>
      </c>
      <c r="H217" s="4" t="s">
        <v>38</v>
      </c>
      <c r="I217" s="5">
        <v>44440</v>
      </c>
      <c r="J217" s="6">
        <v>0</v>
      </c>
      <c r="K217" s="6">
        <v>0</v>
      </c>
      <c r="L217" s="6">
        <v>1027.152</v>
      </c>
      <c r="M217" s="6">
        <v>1027.152</v>
      </c>
      <c r="N217" s="6">
        <v>1027.152</v>
      </c>
      <c r="O217" s="6">
        <v>1027.152</v>
      </c>
      <c r="P217" s="6">
        <v>0</v>
      </c>
      <c r="Q217" s="4" t="s">
        <v>26</v>
      </c>
      <c r="R217" s="4">
        <v>0</v>
      </c>
      <c r="S217" s="6">
        <v>0</v>
      </c>
      <c r="T217" s="6">
        <v>25</v>
      </c>
      <c r="U217" s="6">
        <v>59</v>
      </c>
      <c r="V217" s="6">
        <f>IF(ISERROR(VLOOKUP($S$217,'TAR FIN'!$A$1:$O$93,15,0)),0,VLOOKUP($S$217,'TAR FIN'!$A$1:$O$93,15,0))</f>
        <v>0</v>
      </c>
      <c r="W217" s="6">
        <f>IF(ISERROR(VLOOKUP($T$217,'TAR FIN'!$A$1:$O$93,15,0)),0,VLOOKUP($T$217,'TAR FIN'!$A$1:$O$93,15,0))</f>
        <v>69.489999999999995</v>
      </c>
      <c r="X217" s="6">
        <f>IF(ISERROR(VLOOKUP($U$217,'TAR FIN'!$A$1:$O$93,15,0)),0,VLOOKUP($U$217,'TAR FIN'!$A$1:$O$93,15,0))</f>
        <v>185.18</v>
      </c>
      <c r="Y217" s="6"/>
      <c r="Z217" s="6">
        <f ca="1">('TUSD BE'!$AM$16+'TUSD BF'!$AM$16+'TUSD CVA'!$AM$16)*1</f>
        <v>92.504793470158234</v>
      </c>
      <c r="AA217" s="6">
        <f>('TE BE'!$AB$8+'TE BF'!$AB$8+'TE CVA'!$AB$8)*1</f>
        <v>198.18194779658231</v>
      </c>
      <c r="AB217" s="6">
        <f>$K$217*$V$217</f>
        <v>0</v>
      </c>
      <c r="AC217" s="6">
        <f>$M$217*$W$217</f>
        <v>71376.792480000004</v>
      </c>
      <c r="AD217" s="6">
        <f>$O$217*$X$217</f>
        <v>190208.00736000002</v>
      </c>
      <c r="AE217" s="6">
        <f>$K$217*$Y$217</f>
        <v>0</v>
      </c>
      <c r="AF217" s="6">
        <f ca="1">$M$217*$Z$217</f>
        <v>95016.483622459971</v>
      </c>
      <c r="AG217" s="6">
        <f>$O$217*$AA$217</f>
        <v>203562.98404315513</v>
      </c>
    </row>
    <row r="218" spans="1:33" ht="11.25" customHeight="1" x14ac:dyDescent="0.25">
      <c r="A218" s="4" t="s">
        <v>27</v>
      </c>
      <c r="B218" s="4" t="s">
        <v>35</v>
      </c>
      <c r="C218" s="4" t="s">
        <v>39</v>
      </c>
      <c r="D218" s="4" t="s">
        <v>40</v>
      </c>
      <c r="E218" s="4" t="s">
        <v>25</v>
      </c>
      <c r="F218" s="4" t="s">
        <v>25</v>
      </c>
      <c r="G218" s="4" t="s">
        <v>25</v>
      </c>
      <c r="H218" s="4" t="s">
        <v>38</v>
      </c>
      <c r="I218" s="5">
        <v>44440</v>
      </c>
      <c r="J218" s="6">
        <v>0</v>
      </c>
      <c r="K218" s="6">
        <v>0</v>
      </c>
      <c r="L218" s="6">
        <v>-18.968</v>
      </c>
      <c r="M218" s="6">
        <v>-18.968</v>
      </c>
      <c r="N218" s="6">
        <v>-18.968</v>
      </c>
      <c r="O218" s="6">
        <v>-18.968</v>
      </c>
      <c r="P218" s="6">
        <v>0</v>
      </c>
      <c r="Q218" s="4" t="s">
        <v>26</v>
      </c>
      <c r="R218" s="4">
        <v>0</v>
      </c>
      <c r="S218" s="6">
        <v>0</v>
      </c>
      <c r="T218" s="6">
        <v>25</v>
      </c>
      <c r="U218" s="6">
        <v>59</v>
      </c>
      <c r="V218" s="6">
        <f>IF(ISERROR(VLOOKUP($S$218,'TAR FIN'!$A$1:$O$93,15,0)),0,VLOOKUP($S$218,'TAR FIN'!$A$1:$O$93,15,0))</f>
        <v>0</v>
      </c>
      <c r="W218" s="6">
        <f>IF(ISERROR(VLOOKUP($T$218,'TAR FIN'!$A$1:$O$93,15,0)),0,VLOOKUP($T$218,'TAR FIN'!$A$1:$O$93,15,0))</f>
        <v>69.489999999999995</v>
      </c>
      <c r="X218" s="6">
        <f>IF(ISERROR(VLOOKUP($U$218,'TAR FIN'!$A$1:$O$93,15,0)),0,VLOOKUP($U$218,'TAR FIN'!$A$1:$O$93,15,0))</f>
        <v>185.18</v>
      </c>
      <c r="Y218" s="6"/>
      <c r="Z218" s="6">
        <f ca="1">('TUSD BE'!$AM$16+'TUSD BF'!$AM$16+'TUSD CVA'!$AM$16)*1</f>
        <v>92.504793470158234</v>
      </c>
      <c r="AA218" s="6">
        <f>('TE BE'!$AB$8+'TE BF'!$AB$8+'TE CVA'!$AB$8)*1</f>
        <v>198.18194779658231</v>
      </c>
      <c r="AB218" s="6">
        <f>$K$218*$V$218</f>
        <v>0</v>
      </c>
      <c r="AC218" s="6">
        <f>$M$218*$W$218</f>
        <v>-1318.0863199999999</v>
      </c>
      <c r="AD218" s="6">
        <f>$O$218*$X$218</f>
        <v>-3512.49424</v>
      </c>
      <c r="AE218" s="6">
        <f>$K$218*$Y$218</f>
        <v>0</v>
      </c>
      <c r="AF218" s="6">
        <f ca="1">$M$218*$Z$218</f>
        <v>-1754.6309225419614</v>
      </c>
      <c r="AG218" s="6">
        <f>$O$218*$AA$218</f>
        <v>-3759.1151858055732</v>
      </c>
    </row>
    <row r="219" spans="1:33" ht="11.25" customHeight="1" x14ac:dyDescent="0.25">
      <c r="A219" s="4" t="s">
        <v>28</v>
      </c>
      <c r="B219" s="4" t="s">
        <v>35</v>
      </c>
      <c r="C219" s="4" t="s">
        <v>39</v>
      </c>
      <c r="D219" s="4" t="s">
        <v>40</v>
      </c>
      <c r="E219" s="4" t="s">
        <v>25</v>
      </c>
      <c r="F219" s="4" t="s">
        <v>25</v>
      </c>
      <c r="G219" s="4" t="s">
        <v>25</v>
      </c>
      <c r="H219" s="4" t="s">
        <v>38</v>
      </c>
      <c r="I219" s="5">
        <v>44440</v>
      </c>
      <c r="J219" s="6">
        <v>0</v>
      </c>
      <c r="K219" s="6">
        <v>0</v>
      </c>
      <c r="L219" s="6">
        <v>19.207999999999998</v>
      </c>
      <c r="M219" s="6">
        <v>19.207999999999998</v>
      </c>
      <c r="N219" s="6">
        <v>19.207999999999998</v>
      </c>
      <c r="O219" s="6">
        <v>19.207999999999998</v>
      </c>
      <c r="P219" s="6">
        <v>0</v>
      </c>
      <c r="Q219" s="4" t="s">
        <v>26</v>
      </c>
      <c r="R219" s="4">
        <v>0</v>
      </c>
      <c r="S219" s="6">
        <v>0</v>
      </c>
      <c r="T219" s="6">
        <v>25</v>
      </c>
      <c r="U219" s="6">
        <v>59</v>
      </c>
      <c r="V219" s="6">
        <f>IF(ISERROR(VLOOKUP($S$219,'TAR FIN'!$A$1:$O$93,15,0)),0,VLOOKUP($S$219,'TAR FIN'!$A$1:$O$93,15,0))</f>
        <v>0</v>
      </c>
      <c r="W219" s="6">
        <f>IF(ISERROR(VLOOKUP($T$219,'TAR FIN'!$A$1:$O$93,15,0)),0,VLOOKUP($T$219,'TAR FIN'!$A$1:$O$93,15,0))</f>
        <v>69.489999999999995</v>
      </c>
      <c r="X219" s="6">
        <f>IF(ISERROR(VLOOKUP($U$219,'TAR FIN'!$A$1:$O$93,15,0)),0,VLOOKUP($U$219,'TAR FIN'!$A$1:$O$93,15,0))</f>
        <v>185.18</v>
      </c>
      <c r="Y219" s="6"/>
      <c r="Z219" s="6">
        <f ca="1">('TUSD BE'!$AM$16+'TUSD BF'!$AM$16+'TUSD CVA'!$AM$16)*1</f>
        <v>92.504793470158234</v>
      </c>
      <c r="AA219" s="6">
        <f>('TE BE'!$AB$8+'TE BF'!$AB$8+'TE CVA'!$AB$8)*1</f>
        <v>198.18194779658231</v>
      </c>
      <c r="AB219" s="6">
        <f>$K$219*$V$219</f>
        <v>0</v>
      </c>
      <c r="AC219" s="6">
        <f>$M$219*$W$219</f>
        <v>1334.7639199999999</v>
      </c>
      <c r="AD219" s="6">
        <f>$O$219*$X$219</f>
        <v>3556.9374399999997</v>
      </c>
      <c r="AE219" s="6">
        <f>$K$219*$Y$219</f>
        <v>0</v>
      </c>
      <c r="AF219" s="6">
        <f ca="1">$M$219*$Z$219</f>
        <v>1776.8320729747993</v>
      </c>
      <c r="AG219" s="6">
        <f>$O$219*$AA$219</f>
        <v>3806.6788532767528</v>
      </c>
    </row>
    <row r="220" spans="1:33" ht="11.25" customHeight="1" x14ac:dyDescent="0.25">
      <c r="A220" s="4" t="s">
        <v>21</v>
      </c>
      <c r="B220" s="4" t="s">
        <v>35</v>
      </c>
      <c r="C220" s="4" t="s">
        <v>39</v>
      </c>
      <c r="D220" s="4" t="s">
        <v>40</v>
      </c>
      <c r="E220" s="4" t="s">
        <v>25</v>
      </c>
      <c r="F220" s="4" t="s">
        <v>25</v>
      </c>
      <c r="G220" s="4" t="s">
        <v>25</v>
      </c>
      <c r="H220" s="4" t="s">
        <v>38</v>
      </c>
      <c r="I220" s="5">
        <v>44470</v>
      </c>
      <c r="J220" s="6">
        <v>0</v>
      </c>
      <c r="K220" s="6">
        <v>0</v>
      </c>
      <c r="L220" s="6">
        <v>904.27099999999996</v>
      </c>
      <c r="M220" s="6">
        <v>904.27099999999996</v>
      </c>
      <c r="N220" s="6">
        <v>904.27099999999996</v>
      </c>
      <c r="O220" s="6">
        <v>904.27099999999996</v>
      </c>
      <c r="P220" s="6">
        <v>0</v>
      </c>
      <c r="Q220" s="4" t="s">
        <v>26</v>
      </c>
      <c r="R220" s="4">
        <v>0</v>
      </c>
      <c r="S220" s="6">
        <v>0</v>
      </c>
      <c r="T220" s="6">
        <v>25</v>
      </c>
      <c r="U220" s="6">
        <v>59</v>
      </c>
      <c r="V220" s="6">
        <f>IF(ISERROR(VLOOKUP($S$220,'TAR FIN'!$A$1:$O$93,15,0)),0,VLOOKUP($S$220,'TAR FIN'!$A$1:$O$93,15,0))</f>
        <v>0</v>
      </c>
      <c r="W220" s="6">
        <f>IF(ISERROR(VLOOKUP($T$220,'TAR FIN'!$A$1:$O$93,15,0)),0,VLOOKUP($T$220,'TAR FIN'!$A$1:$O$93,15,0))</f>
        <v>69.489999999999995</v>
      </c>
      <c r="X220" s="6">
        <f>IF(ISERROR(VLOOKUP($U$220,'TAR FIN'!$A$1:$O$93,15,0)),0,VLOOKUP($U$220,'TAR FIN'!$A$1:$O$93,15,0))</f>
        <v>185.18</v>
      </c>
      <c r="Y220" s="6"/>
      <c r="Z220" s="6">
        <f ca="1">('TUSD BE'!$AM$16+'TUSD BF'!$AM$16+'TUSD CVA'!$AM$16)*1</f>
        <v>92.504793470158234</v>
      </c>
      <c r="AA220" s="6">
        <f>('TE BE'!$AB$8+'TE BF'!$AB$8+'TE CVA'!$AB$8)*1</f>
        <v>198.18194779658231</v>
      </c>
      <c r="AB220" s="6">
        <f>$K$220*$V$220</f>
        <v>0</v>
      </c>
      <c r="AC220" s="6">
        <f>$M$220*$W$220</f>
        <v>62837.791789999996</v>
      </c>
      <c r="AD220" s="6">
        <f>$O$220*$X$220</f>
        <v>167452.90377999999</v>
      </c>
      <c r="AE220" s="6">
        <f>$K$220*$Y$220</f>
        <v>0</v>
      </c>
      <c r="AF220" s="6">
        <f ca="1">$M$220*$Z$220</f>
        <v>83649.402096053454</v>
      </c>
      <c r="AG220" s="6">
        <f>$O$220*$AA$220</f>
        <v>179210.18811596328</v>
      </c>
    </row>
    <row r="221" spans="1:33" ht="11.25" customHeight="1" x14ac:dyDescent="0.25">
      <c r="A221" s="4" t="s">
        <v>27</v>
      </c>
      <c r="B221" s="4" t="s">
        <v>35</v>
      </c>
      <c r="C221" s="4" t="s">
        <v>39</v>
      </c>
      <c r="D221" s="4" t="s">
        <v>40</v>
      </c>
      <c r="E221" s="4" t="s">
        <v>25</v>
      </c>
      <c r="F221" s="4" t="s">
        <v>25</v>
      </c>
      <c r="G221" s="4" t="s">
        <v>25</v>
      </c>
      <c r="H221" s="4" t="s">
        <v>38</v>
      </c>
      <c r="I221" s="5">
        <v>44470</v>
      </c>
      <c r="J221" s="6">
        <v>0</v>
      </c>
      <c r="K221" s="6">
        <v>0</v>
      </c>
      <c r="L221" s="6">
        <v>-3.9340000000000002</v>
      </c>
      <c r="M221" s="6">
        <v>-3.9340000000000002</v>
      </c>
      <c r="N221" s="6">
        <v>-3.9340000000000002</v>
      </c>
      <c r="O221" s="6">
        <v>-3.9340000000000002</v>
      </c>
      <c r="P221" s="6">
        <v>0</v>
      </c>
      <c r="Q221" s="4" t="s">
        <v>26</v>
      </c>
      <c r="R221" s="4">
        <v>0</v>
      </c>
      <c r="S221" s="6">
        <v>0</v>
      </c>
      <c r="T221" s="6">
        <v>25</v>
      </c>
      <c r="U221" s="6">
        <v>59</v>
      </c>
      <c r="V221" s="6">
        <f>IF(ISERROR(VLOOKUP($S$221,'TAR FIN'!$A$1:$O$93,15,0)),0,VLOOKUP($S$221,'TAR FIN'!$A$1:$O$93,15,0))</f>
        <v>0</v>
      </c>
      <c r="W221" s="6">
        <f>IF(ISERROR(VLOOKUP($T$221,'TAR FIN'!$A$1:$O$93,15,0)),0,VLOOKUP($T$221,'TAR FIN'!$A$1:$O$93,15,0))</f>
        <v>69.489999999999995</v>
      </c>
      <c r="X221" s="6">
        <f>IF(ISERROR(VLOOKUP($U$221,'TAR FIN'!$A$1:$O$93,15,0)),0,VLOOKUP($U$221,'TAR FIN'!$A$1:$O$93,15,0))</f>
        <v>185.18</v>
      </c>
      <c r="Y221" s="6"/>
      <c r="Z221" s="6">
        <f ca="1">('TUSD BE'!$AM$16+'TUSD BF'!$AM$16+'TUSD CVA'!$AM$16)*1</f>
        <v>92.504793470158234</v>
      </c>
      <c r="AA221" s="6">
        <f>('TE BE'!$AB$8+'TE BF'!$AB$8+'TE CVA'!$AB$8)*1</f>
        <v>198.18194779658231</v>
      </c>
      <c r="AB221" s="6">
        <f>$K$221*$V$221</f>
        <v>0</v>
      </c>
      <c r="AC221" s="6">
        <f>$M$221*$W$221</f>
        <v>-273.37365999999997</v>
      </c>
      <c r="AD221" s="6">
        <f>$O$221*$X$221</f>
        <v>-728.49812000000009</v>
      </c>
      <c r="AE221" s="6">
        <f>$K$221*$Y$221</f>
        <v>0</v>
      </c>
      <c r="AF221" s="6">
        <f ca="1">$M$221*$Z$221</f>
        <v>-363.91385751160249</v>
      </c>
      <c r="AG221" s="6">
        <f>$O$221*$AA$221</f>
        <v>-779.64778263175481</v>
      </c>
    </row>
    <row r="222" spans="1:33" ht="11.25" customHeight="1" x14ac:dyDescent="0.25">
      <c r="A222" s="4" t="s">
        <v>28</v>
      </c>
      <c r="B222" s="4" t="s">
        <v>35</v>
      </c>
      <c r="C222" s="4" t="s">
        <v>39</v>
      </c>
      <c r="D222" s="4" t="s">
        <v>40</v>
      </c>
      <c r="E222" s="4" t="s">
        <v>25</v>
      </c>
      <c r="F222" s="4" t="s">
        <v>25</v>
      </c>
      <c r="G222" s="4" t="s">
        <v>25</v>
      </c>
      <c r="H222" s="4" t="s">
        <v>38</v>
      </c>
      <c r="I222" s="5">
        <v>44470</v>
      </c>
      <c r="J222" s="6">
        <v>0</v>
      </c>
      <c r="K222" s="6">
        <v>0</v>
      </c>
      <c r="L222" s="6">
        <v>13.093</v>
      </c>
      <c r="M222" s="6">
        <v>13.093</v>
      </c>
      <c r="N222" s="6">
        <v>13.093</v>
      </c>
      <c r="O222" s="6">
        <v>13.093</v>
      </c>
      <c r="P222" s="6">
        <v>0</v>
      </c>
      <c r="Q222" s="4" t="s">
        <v>26</v>
      </c>
      <c r="R222" s="4">
        <v>0</v>
      </c>
      <c r="S222" s="6">
        <v>0</v>
      </c>
      <c r="T222" s="6">
        <v>25</v>
      </c>
      <c r="U222" s="6">
        <v>59</v>
      </c>
      <c r="V222" s="6">
        <f>IF(ISERROR(VLOOKUP($S$222,'TAR FIN'!$A$1:$O$93,15,0)),0,VLOOKUP($S$222,'TAR FIN'!$A$1:$O$93,15,0))</f>
        <v>0</v>
      </c>
      <c r="W222" s="6">
        <f>IF(ISERROR(VLOOKUP($T$222,'TAR FIN'!$A$1:$O$93,15,0)),0,VLOOKUP($T$222,'TAR FIN'!$A$1:$O$93,15,0))</f>
        <v>69.489999999999995</v>
      </c>
      <c r="X222" s="6">
        <f>IF(ISERROR(VLOOKUP($U$222,'TAR FIN'!$A$1:$O$93,15,0)),0,VLOOKUP($U$222,'TAR FIN'!$A$1:$O$93,15,0))</f>
        <v>185.18</v>
      </c>
      <c r="Y222" s="6"/>
      <c r="Z222" s="6">
        <f ca="1">('TUSD BE'!$AM$16+'TUSD BF'!$AM$16+'TUSD CVA'!$AM$16)*1</f>
        <v>92.504793470158234</v>
      </c>
      <c r="AA222" s="6">
        <f>('TE BE'!$AB$8+'TE BF'!$AB$8+'TE CVA'!$AB$8)*1</f>
        <v>198.18194779658231</v>
      </c>
      <c r="AB222" s="6">
        <f>$K$222*$V$222</f>
        <v>0</v>
      </c>
      <c r="AC222" s="6">
        <f>$M$222*$W$222</f>
        <v>909.83256999999992</v>
      </c>
      <c r="AD222" s="6">
        <f>$O$222*$X$222</f>
        <v>2424.5617400000001</v>
      </c>
      <c r="AE222" s="6">
        <f>$K$222*$Y$222</f>
        <v>0</v>
      </c>
      <c r="AF222" s="6">
        <f ca="1">$M$222*$Z$222</f>
        <v>1211.1652609047817</v>
      </c>
      <c r="AG222" s="6">
        <f>$O$222*$AA$222</f>
        <v>2594.7962425006522</v>
      </c>
    </row>
    <row r="223" spans="1:33" ht="11.25" customHeight="1" x14ac:dyDescent="0.25">
      <c r="A223" s="4" t="s">
        <v>21</v>
      </c>
      <c r="B223" s="4" t="s">
        <v>35</v>
      </c>
      <c r="C223" s="4" t="s">
        <v>39</v>
      </c>
      <c r="D223" s="4" t="s">
        <v>40</v>
      </c>
      <c r="E223" s="4" t="s">
        <v>25</v>
      </c>
      <c r="F223" s="4" t="s">
        <v>25</v>
      </c>
      <c r="G223" s="4" t="s">
        <v>25</v>
      </c>
      <c r="H223" s="4" t="s">
        <v>38</v>
      </c>
      <c r="I223" s="5">
        <v>44501</v>
      </c>
      <c r="J223" s="6">
        <v>0</v>
      </c>
      <c r="K223" s="6">
        <v>0</v>
      </c>
      <c r="L223" s="6">
        <v>1201.3800000000001</v>
      </c>
      <c r="M223" s="6">
        <v>1201.3800000000001</v>
      </c>
      <c r="N223" s="6">
        <v>1201.3800000000001</v>
      </c>
      <c r="O223" s="6">
        <v>1201.3800000000001</v>
      </c>
      <c r="P223" s="6">
        <v>0</v>
      </c>
      <c r="Q223" s="4" t="s">
        <v>26</v>
      </c>
      <c r="R223" s="4">
        <v>0</v>
      </c>
      <c r="S223" s="6">
        <v>0</v>
      </c>
      <c r="T223" s="6">
        <v>25</v>
      </c>
      <c r="U223" s="6">
        <v>59</v>
      </c>
      <c r="V223" s="6">
        <f>IF(ISERROR(VLOOKUP($S$223,'TAR FIN'!$A$1:$O$93,15,0)),0,VLOOKUP($S$223,'TAR FIN'!$A$1:$O$93,15,0))</f>
        <v>0</v>
      </c>
      <c r="W223" s="6">
        <f>IF(ISERROR(VLOOKUP($T$223,'TAR FIN'!$A$1:$O$93,15,0)),0,VLOOKUP($T$223,'TAR FIN'!$A$1:$O$93,15,0))</f>
        <v>69.489999999999995</v>
      </c>
      <c r="X223" s="6">
        <f>IF(ISERROR(VLOOKUP($U$223,'TAR FIN'!$A$1:$O$93,15,0)),0,VLOOKUP($U$223,'TAR FIN'!$A$1:$O$93,15,0))</f>
        <v>185.18</v>
      </c>
      <c r="Y223" s="6"/>
      <c r="Z223" s="6">
        <f ca="1">('TUSD BE'!$AM$16+'TUSD BF'!$AM$16+'TUSD CVA'!$AM$16)*1</f>
        <v>92.504793470158234</v>
      </c>
      <c r="AA223" s="6">
        <f>('TE BE'!$AB$8+'TE BF'!$AB$8+'TE CVA'!$AB$8)*1</f>
        <v>198.18194779658231</v>
      </c>
      <c r="AB223" s="6">
        <f>$K$223*$V$223</f>
        <v>0</v>
      </c>
      <c r="AC223" s="6">
        <f>$M$223*$W$223</f>
        <v>83483.896200000003</v>
      </c>
      <c r="AD223" s="6">
        <f>$O$223*$X$223</f>
        <v>222471.54840000003</v>
      </c>
      <c r="AE223" s="6">
        <f>$K$223*$Y$223</f>
        <v>0</v>
      </c>
      <c r="AF223" s="6">
        <f ca="1">$M$223*$Z$223</f>
        <v>111133.4087791787</v>
      </c>
      <c r="AG223" s="6">
        <f>$O$223*$AA$223</f>
        <v>238091.82844385807</v>
      </c>
    </row>
    <row r="224" spans="1:33" ht="11.25" customHeight="1" x14ac:dyDescent="0.25">
      <c r="A224" s="4" t="s">
        <v>28</v>
      </c>
      <c r="B224" s="4" t="s">
        <v>35</v>
      </c>
      <c r="C224" s="4" t="s">
        <v>39</v>
      </c>
      <c r="D224" s="4" t="s">
        <v>40</v>
      </c>
      <c r="E224" s="4" t="s">
        <v>25</v>
      </c>
      <c r="F224" s="4" t="s">
        <v>25</v>
      </c>
      <c r="G224" s="4" t="s">
        <v>25</v>
      </c>
      <c r="H224" s="4" t="s">
        <v>38</v>
      </c>
      <c r="I224" s="5">
        <v>44501</v>
      </c>
      <c r="J224" s="6">
        <v>0</v>
      </c>
      <c r="K224" s="6">
        <v>0</v>
      </c>
      <c r="L224" s="6">
        <v>14.398</v>
      </c>
      <c r="M224" s="6">
        <v>14.398</v>
      </c>
      <c r="N224" s="6">
        <v>14.398</v>
      </c>
      <c r="O224" s="6">
        <v>14.398</v>
      </c>
      <c r="P224" s="6">
        <v>0</v>
      </c>
      <c r="Q224" s="4" t="s">
        <v>26</v>
      </c>
      <c r="R224" s="4">
        <v>0</v>
      </c>
      <c r="S224" s="6">
        <v>0</v>
      </c>
      <c r="T224" s="6">
        <v>25</v>
      </c>
      <c r="U224" s="6">
        <v>59</v>
      </c>
      <c r="V224" s="6">
        <f>IF(ISERROR(VLOOKUP($S$224,'TAR FIN'!$A$1:$O$93,15,0)),0,VLOOKUP($S$224,'TAR FIN'!$A$1:$O$93,15,0))</f>
        <v>0</v>
      </c>
      <c r="W224" s="6">
        <f>IF(ISERROR(VLOOKUP($T$224,'TAR FIN'!$A$1:$O$93,15,0)),0,VLOOKUP($T$224,'TAR FIN'!$A$1:$O$93,15,0))</f>
        <v>69.489999999999995</v>
      </c>
      <c r="X224" s="6">
        <f>IF(ISERROR(VLOOKUP($U$224,'TAR FIN'!$A$1:$O$93,15,0)),0,VLOOKUP($U$224,'TAR FIN'!$A$1:$O$93,15,0))</f>
        <v>185.18</v>
      </c>
      <c r="Y224" s="6"/>
      <c r="Z224" s="6">
        <f ca="1">('TUSD BE'!$AM$16+'TUSD BF'!$AM$16+'TUSD CVA'!$AM$16)*1</f>
        <v>92.504793470158234</v>
      </c>
      <c r="AA224" s="6">
        <f>('TE BE'!$AB$8+'TE BF'!$AB$8+'TE CVA'!$AB$8)*1</f>
        <v>198.18194779658231</v>
      </c>
      <c r="AB224" s="6">
        <f>$K$224*$V$224</f>
        <v>0</v>
      </c>
      <c r="AC224" s="6">
        <f>$M$224*$W$224</f>
        <v>1000.5170199999999</v>
      </c>
      <c r="AD224" s="6">
        <f>$O$224*$X$224</f>
        <v>2666.2216400000002</v>
      </c>
      <c r="AE224" s="6">
        <f>$K$224*$Y$224</f>
        <v>0</v>
      </c>
      <c r="AF224" s="6">
        <f ca="1">$M$224*$Z$224</f>
        <v>1331.8840163833381</v>
      </c>
      <c r="AG224" s="6">
        <f>$O$224*$AA$224</f>
        <v>2853.4236843751919</v>
      </c>
    </row>
    <row r="225" spans="1:33" ht="11.25" customHeight="1" x14ac:dyDescent="0.25">
      <c r="A225" s="4" t="s">
        <v>21</v>
      </c>
      <c r="B225" s="4" t="s">
        <v>35</v>
      </c>
      <c r="C225" s="4" t="s">
        <v>39</v>
      </c>
      <c r="D225" s="4" t="s">
        <v>40</v>
      </c>
      <c r="E225" s="4" t="s">
        <v>25</v>
      </c>
      <c r="F225" s="4" t="s">
        <v>25</v>
      </c>
      <c r="G225" s="4" t="s">
        <v>25</v>
      </c>
      <c r="H225" s="4" t="s">
        <v>38</v>
      </c>
      <c r="I225" s="5">
        <v>44531</v>
      </c>
      <c r="J225" s="6">
        <v>0</v>
      </c>
      <c r="K225" s="6">
        <v>0</v>
      </c>
      <c r="L225" s="6">
        <v>2212.9609999999998</v>
      </c>
      <c r="M225" s="6">
        <v>2212.9609999999998</v>
      </c>
      <c r="N225" s="6">
        <v>2212.9609999999998</v>
      </c>
      <c r="O225" s="6">
        <v>2212.9609999999998</v>
      </c>
      <c r="P225" s="6">
        <v>0</v>
      </c>
      <c r="Q225" s="4" t="s">
        <v>26</v>
      </c>
      <c r="R225" s="4">
        <v>0</v>
      </c>
      <c r="S225" s="6">
        <v>0</v>
      </c>
      <c r="T225" s="6">
        <v>25</v>
      </c>
      <c r="U225" s="6">
        <v>59</v>
      </c>
      <c r="V225" s="6">
        <f>IF(ISERROR(VLOOKUP($S$225,'TAR FIN'!$A$1:$O$93,15,0)),0,VLOOKUP($S$225,'TAR FIN'!$A$1:$O$93,15,0))</f>
        <v>0</v>
      </c>
      <c r="W225" s="6">
        <f>IF(ISERROR(VLOOKUP($T$225,'TAR FIN'!$A$1:$O$93,15,0)),0,VLOOKUP($T$225,'TAR FIN'!$A$1:$O$93,15,0))</f>
        <v>69.489999999999995</v>
      </c>
      <c r="X225" s="6">
        <f>IF(ISERROR(VLOOKUP($U$225,'TAR FIN'!$A$1:$O$93,15,0)),0,VLOOKUP($U$225,'TAR FIN'!$A$1:$O$93,15,0))</f>
        <v>185.18</v>
      </c>
      <c r="Y225" s="6"/>
      <c r="Z225" s="6">
        <f ca="1">('TUSD BE'!$AM$16+'TUSD BF'!$AM$16+'TUSD CVA'!$AM$16)*1</f>
        <v>92.504793470158234</v>
      </c>
      <c r="AA225" s="6">
        <f>('TE BE'!$AB$8+'TE BF'!$AB$8+'TE CVA'!$AB$8)*1</f>
        <v>198.18194779658231</v>
      </c>
      <c r="AB225" s="6">
        <f>$K$225*$V$225</f>
        <v>0</v>
      </c>
      <c r="AC225" s="6">
        <f>$M$225*$W$225</f>
        <v>153778.65988999998</v>
      </c>
      <c r="AD225" s="6">
        <f>$O$225*$X$225</f>
        <v>409796.11797999998</v>
      </c>
      <c r="AE225" s="6">
        <f>$K$225*$Y$225</f>
        <v>0</v>
      </c>
      <c r="AF225" s="6">
        <f ca="1">$M$225*$Z$225</f>
        <v>204709.5002625148</v>
      </c>
      <c r="AG225" s="6">
        <f>$O$225*$AA$225</f>
        <v>438568.92137787252</v>
      </c>
    </row>
    <row r="226" spans="1:33" ht="11.25" customHeight="1" x14ac:dyDescent="0.25">
      <c r="A226" s="4" t="s">
        <v>21</v>
      </c>
      <c r="B226" s="4" t="s">
        <v>35</v>
      </c>
      <c r="C226" s="4" t="s">
        <v>39</v>
      </c>
      <c r="D226" s="4" t="s">
        <v>40</v>
      </c>
      <c r="E226" s="4" t="s">
        <v>25</v>
      </c>
      <c r="F226" s="4" t="s">
        <v>25</v>
      </c>
      <c r="G226" s="4" t="s">
        <v>25</v>
      </c>
      <c r="H226" s="4" t="s">
        <v>38</v>
      </c>
      <c r="I226" s="5">
        <v>44562</v>
      </c>
      <c r="J226" s="6">
        <v>0</v>
      </c>
      <c r="K226" s="6">
        <v>0</v>
      </c>
      <c r="L226" s="6">
        <v>1436.105</v>
      </c>
      <c r="M226" s="6">
        <v>1436.105</v>
      </c>
      <c r="N226" s="6">
        <v>1436.105</v>
      </c>
      <c r="O226" s="6">
        <v>1436.105</v>
      </c>
      <c r="P226" s="6">
        <v>0</v>
      </c>
      <c r="Q226" s="4" t="s">
        <v>26</v>
      </c>
      <c r="R226" s="4">
        <v>0</v>
      </c>
      <c r="S226" s="6">
        <v>0</v>
      </c>
      <c r="T226" s="6">
        <v>25</v>
      </c>
      <c r="U226" s="6">
        <v>59</v>
      </c>
      <c r="V226" s="6">
        <f>IF(ISERROR(VLOOKUP($S$226,'TAR FIN'!$A$1:$O$93,15,0)),0,VLOOKUP($S$226,'TAR FIN'!$A$1:$O$93,15,0))</f>
        <v>0</v>
      </c>
      <c r="W226" s="6">
        <f>IF(ISERROR(VLOOKUP($T$226,'TAR FIN'!$A$1:$O$93,15,0)),0,VLOOKUP($T$226,'TAR FIN'!$A$1:$O$93,15,0))</f>
        <v>69.489999999999995</v>
      </c>
      <c r="X226" s="6">
        <f>IF(ISERROR(VLOOKUP($U$226,'TAR FIN'!$A$1:$O$93,15,0)),0,VLOOKUP($U$226,'TAR FIN'!$A$1:$O$93,15,0))</f>
        <v>185.18</v>
      </c>
      <c r="Y226" s="6"/>
      <c r="Z226" s="6">
        <f ca="1">('TUSD BE'!$AM$16+'TUSD BF'!$AM$16+'TUSD CVA'!$AM$16)*1</f>
        <v>92.504793470158234</v>
      </c>
      <c r="AA226" s="6">
        <f>('TE BE'!$AB$8+'TE BF'!$AB$8+'TE CVA'!$AB$8)*1</f>
        <v>198.18194779658231</v>
      </c>
      <c r="AB226" s="6">
        <f>$K$226*$V$226</f>
        <v>0</v>
      </c>
      <c r="AC226" s="6">
        <f>$M$226*$W$226</f>
        <v>99794.936449999994</v>
      </c>
      <c r="AD226" s="6">
        <f>$O$226*$X$226</f>
        <v>265937.92389999999</v>
      </c>
      <c r="AE226" s="6">
        <f>$K$226*$Y$226</f>
        <v>0</v>
      </c>
      <c r="AF226" s="6">
        <f ca="1">$M$226*$Z$226</f>
        <v>132846.59642646159</v>
      </c>
      <c r="AG226" s="6">
        <f>$O$226*$AA$226</f>
        <v>284610.08614041086</v>
      </c>
    </row>
    <row r="227" spans="1:33" ht="11.25" customHeight="1" x14ac:dyDescent="0.25">
      <c r="A227" s="4" t="s">
        <v>28</v>
      </c>
      <c r="B227" s="4" t="s">
        <v>35</v>
      </c>
      <c r="C227" s="4" t="s">
        <v>39</v>
      </c>
      <c r="D227" s="4" t="s">
        <v>40</v>
      </c>
      <c r="E227" s="4" t="s">
        <v>25</v>
      </c>
      <c r="F227" s="4" t="s">
        <v>25</v>
      </c>
      <c r="G227" s="4" t="s">
        <v>25</v>
      </c>
      <c r="H227" s="4" t="s">
        <v>38</v>
      </c>
      <c r="I227" s="5">
        <v>44562</v>
      </c>
      <c r="J227" s="6">
        <v>0</v>
      </c>
      <c r="K227" s="6">
        <v>0</v>
      </c>
      <c r="L227" s="6">
        <v>23.347999999999999</v>
      </c>
      <c r="M227" s="6">
        <v>23.347999999999999</v>
      </c>
      <c r="N227" s="6">
        <v>23.347999999999999</v>
      </c>
      <c r="O227" s="6">
        <v>23.347999999999999</v>
      </c>
      <c r="P227" s="6">
        <v>0</v>
      </c>
      <c r="Q227" s="4" t="s">
        <v>26</v>
      </c>
      <c r="R227" s="4">
        <v>0</v>
      </c>
      <c r="S227" s="6">
        <v>0</v>
      </c>
      <c r="T227" s="6">
        <v>25</v>
      </c>
      <c r="U227" s="6">
        <v>59</v>
      </c>
      <c r="V227" s="6">
        <f>IF(ISERROR(VLOOKUP($S$227,'TAR FIN'!$A$1:$O$93,15,0)),0,VLOOKUP($S$227,'TAR FIN'!$A$1:$O$93,15,0))</f>
        <v>0</v>
      </c>
      <c r="W227" s="6">
        <f>IF(ISERROR(VLOOKUP($T$227,'TAR FIN'!$A$1:$O$93,15,0)),0,VLOOKUP($T$227,'TAR FIN'!$A$1:$O$93,15,0))</f>
        <v>69.489999999999995</v>
      </c>
      <c r="X227" s="6">
        <f>IF(ISERROR(VLOOKUP($U$227,'TAR FIN'!$A$1:$O$93,15,0)),0,VLOOKUP($U$227,'TAR FIN'!$A$1:$O$93,15,0))</f>
        <v>185.18</v>
      </c>
      <c r="Y227" s="6"/>
      <c r="Z227" s="6">
        <f ca="1">('TUSD BE'!$AM$16+'TUSD BF'!$AM$16+'TUSD CVA'!$AM$16)*1</f>
        <v>92.504793470158234</v>
      </c>
      <c r="AA227" s="6">
        <f>('TE BE'!$AB$8+'TE BF'!$AB$8+'TE CVA'!$AB$8)*1</f>
        <v>198.18194779658231</v>
      </c>
      <c r="AB227" s="6">
        <f>$K$227*$V$227</f>
        <v>0</v>
      </c>
      <c r="AC227" s="6">
        <f>$M$227*$W$227</f>
        <v>1622.4525199999998</v>
      </c>
      <c r="AD227" s="6">
        <f>$O$227*$X$227</f>
        <v>4323.5826399999996</v>
      </c>
      <c r="AE227" s="6">
        <f>$K$227*$Y$227</f>
        <v>0</v>
      </c>
      <c r="AF227" s="6">
        <f ca="1">$M$227*$Z$227</f>
        <v>2159.8019179412545</v>
      </c>
      <c r="AG227" s="6">
        <f>$O$227*$AA$227</f>
        <v>4627.1521171546037</v>
      </c>
    </row>
    <row r="228" spans="1:33" ht="11.25" customHeight="1" x14ac:dyDescent="0.25">
      <c r="A228" s="4" t="s">
        <v>21</v>
      </c>
      <c r="B228" s="4" t="s">
        <v>35</v>
      </c>
      <c r="C228" s="4" t="s">
        <v>39</v>
      </c>
      <c r="D228" s="4" t="s">
        <v>40</v>
      </c>
      <c r="E228" s="4" t="s">
        <v>25</v>
      </c>
      <c r="F228" s="4" t="s">
        <v>25</v>
      </c>
      <c r="G228" s="4" t="s">
        <v>25</v>
      </c>
      <c r="H228" s="4" t="s">
        <v>38</v>
      </c>
      <c r="I228" s="5">
        <v>44593</v>
      </c>
      <c r="J228" s="6">
        <v>0</v>
      </c>
      <c r="K228" s="6">
        <v>0</v>
      </c>
      <c r="L228" s="6">
        <v>1741.3679999999999</v>
      </c>
      <c r="M228" s="6">
        <v>1741.3679999999999</v>
      </c>
      <c r="N228" s="6">
        <v>1741.3679999999999</v>
      </c>
      <c r="O228" s="6">
        <v>1741.3679999999999</v>
      </c>
      <c r="P228" s="6">
        <v>0</v>
      </c>
      <c r="Q228" s="4" t="s">
        <v>26</v>
      </c>
      <c r="R228" s="4">
        <v>0</v>
      </c>
      <c r="S228" s="6">
        <v>0</v>
      </c>
      <c r="T228" s="6">
        <v>25</v>
      </c>
      <c r="U228" s="6">
        <v>59</v>
      </c>
      <c r="V228" s="6">
        <f>IF(ISERROR(VLOOKUP($S$228,'TAR FIN'!$A$1:$O$93,15,0)),0,VLOOKUP($S$228,'TAR FIN'!$A$1:$O$93,15,0))</f>
        <v>0</v>
      </c>
      <c r="W228" s="6">
        <f>IF(ISERROR(VLOOKUP($T$228,'TAR FIN'!$A$1:$O$93,15,0)),0,VLOOKUP($T$228,'TAR FIN'!$A$1:$O$93,15,0))</f>
        <v>69.489999999999995</v>
      </c>
      <c r="X228" s="6">
        <f>IF(ISERROR(VLOOKUP($U$228,'TAR FIN'!$A$1:$O$93,15,0)),0,VLOOKUP($U$228,'TAR FIN'!$A$1:$O$93,15,0))</f>
        <v>185.18</v>
      </c>
      <c r="Y228" s="6"/>
      <c r="Z228" s="6">
        <f ca="1">('TUSD BE'!$AM$16+'TUSD BF'!$AM$16+'TUSD CVA'!$AM$16)*1</f>
        <v>92.504793470158234</v>
      </c>
      <c r="AA228" s="6">
        <f>('TE BE'!$AB$8+'TE BF'!$AB$8+'TE CVA'!$AB$8)*1</f>
        <v>198.18194779658231</v>
      </c>
      <c r="AB228" s="6">
        <f>$K$228*$V$228</f>
        <v>0</v>
      </c>
      <c r="AC228" s="6">
        <f>$M$228*$W$228</f>
        <v>121007.66231999999</v>
      </c>
      <c r="AD228" s="6">
        <f>$O$228*$X$228</f>
        <v>322466.52623999998</v>
      </c>
      <c r="AE228" s="6">
        <f>$K$228*$Y$228</f>
        <v>0</v>
      </c>
      <c r="AF228" s="6">
        <f ca="1">$M$228*$Z$228</f>
        <v>161084.88719554248</v>
      </c>
      <c r="AG228" s="6">
        <f>$O$228*$AA$228</f>
        <v>345107.70207063894</v>
      </c>
    </row>
    <row r="229" spans="1:33" ht="11.25" customHeight="1" x14ac:dyDescent="0.25">
      <c r="A229" s="4" t="s">
        <v>27</v>
      </c>
      <c r="B229" s="4" t="s">
        <v>35</v>
      </c>
      <c r="C229" s="4" t="s">
        <v>39</v>
      </c>
      <c r="D229" s="4" t="s">
        <v>40</v>
      </c>
      <c r="E229" s="4" t="s">
        <v>25</v>
      </c>
      <c r="F229" s="4" t="s">
        <v>25</v>
      </c>
      <c r="G229" s="4" t="s">
        <v>25</v>
      </c>
      <c r="H229" s="4" t="s">
        <v>38</v>
      </c>
      <c r="I229" s="5">
        <v>44593</v>
      </c>
      <c r="J229" s="6">
        <v>0</v>
      </c>
      <c r="K229" s="6">
        <v>0</v>
      </c>
      <c r="L229" s="6">
        <v>-7.4379999999999997</v>
      </c>
      <c r="M229" s="6">
        <v>-7.4379999999999997</v>
      </c>
      <c r="N229" s="6">
        <v>-7.4379999999999997</v>
      </c>
      <c r="O229" s="6">
        <v>-7.4379999999999997</v>
      </c>
      <c r="P229" s="6">
        <v>0</v>
      </c>
      <c r="Q229" s="4" t="s">
        <v>26</v>
      </c>
      <c r="R229" s="4">
        <v>0</v>
      </c>
      <c r="S229" s="6">
        <v>0</v>
      </c>
      <c r="T229" s="6">
        <v>25</v>
      </c>
      <c r="U229" s="6">
        <v>59</v>
      </c>
      <c r="V229" s="6">
        <f>IF(ISERROR(VLOOKUP($S$229,'TAR FIN'!$A$1:$O$93,15,0)),0,VLOOKUP($S$229,'TAR FIN'!$A$1:$O$93,15,0))</f>
        <v>0</v>
      </c>
      <c r="W229" s="6">
        <f>IF(ISERROR(VLOOKUP($T$229,'TAR FIN'!$A$1:$O$93,15,0)),0,VLOOKUP($T$229,'TAR FIN'!$A$1:$O$93,15,0))</f>
        <v>69.489999999999995</v>
      </c>
      <c r="X229" s="6">
        <f>IF(ISERROR(VLOOKUP($U$229,'TAR FIN'!$A$1:$O$93,15,0)),0,VLOOKUP($U$229,'TAR FIN'!$A$1:$O$93,15,0))</f>
        <v>185.18</v>
      </c>
      <c r="Y229" s="6"/>
      <c r="Z229" s="6">
        <f ca="1">('TUSD BE'!$AM$16+'TUSD BF'!$AM$16+'TUSD CVA'!$AM$16)*1</f>
        <v>92.504793470158234</v>
      </c>
      <c r="AA229" s="6">
        <f>('TE BE'!$AB$8+'TE BF'!$AB$8+'TE CVA'!$AB$8)*1</f>
        <v>198.18194779658231</v>
      </c>
      <c r="AB229" s="6">
        <f>$K$229*$V$229</f>
        <v>0</v>
      </c>
      <c r="AC229" s="6">
        <f>$M$229*$W$229</f>
        <v>-516.8666199999999</v>
      </c>
      <c r="AD229" s="6">
        <f>$O$229*$X$229</f>
        <v>-1377.3688400000001</v>
      </c>
      <c r="AE229" s="6">
        <f>$K$229*$Y$229</f>
        <v>0</v>
      </c>
      <c r="AF229" s="6">
        <f ca="1">$M$229*$Z$229</f>
        <v>-688.05065383103693</v>
      </c>
      <c r="AG229" s="6">
        <f>$O$229*$AA$229</f>
        <v>-1474.077327710979</v>
      </c>
    </row>
    <row r="230" spans="1:33" ht="11.25" customHeight="1" x14ac:dyDescent="0.25">
      <c r="A230" s="4" t="s">
        <v>28</v>
      </c>
      <c r="B230" s="4" t="s">
        <v>35</v>
      </c>
      <c r="C230" s="4" t="s">
        <v>39</v>
      </c>
      <c r="D230" s="4" t="s">
        <v>40</v>
      </c>
      <c r="E230" s="4" t="s">
        <v>25</v>
      </c>
      <c r="F230" s="4" t="s">
        <v>25</v>
      </c>
      <c r="G230" s="4" t="s">
        <v>25</v>
      </c>
      <c r="H230" s="4" t="s">
        <v>38</v>
      </c>
      <c r="I230" s="5">
        <v>44593</v>
      </c>
      <c r="J230" s="6">
        <v>0</v>
      </c>
      <c r="K230" s="6">
        <v>0</v>
      </c>
      <c r="L230" s="6">
        <v>79.933000000000007</v>
      </c>
      <c r="M230" s="6">
        <v>79.933000000000007</v>
      </c>
      <c r="N230" s="6">
        <v>79.933000000000007</v>
      </c>
      <c r="O230" s="6">
        <v>79.933000000000007</v>
      </c>
      <c r="P230" s="6">
        <v>0</v>
      </c>
      <c r="Q230" s="4" t="s">
        <v>26</v>
      </c>
      <c r="R230" s="4">
        <v>0</v>
      </c>
      <c r="S230" s="6">
        <v>0</v>
      </c>
      <c r="T230" s="6">
        <v>25</v>
      </c>
      <c r="U230" s="6">
        <v>59</v>
      </c>
      <c r="V230" s="6">
        <f>IF(ISERROR(VLOOKUP($S$230,'TAR FIN'!$A$1:$O$93,15,0)),0,VLOOKUP($S$230,'TAR FIN'!$A$1:$O$93,15,0))</f>
        <v>0</v>
      </c>
      <c r="W230" s="6">
        <f>IF(ISERROR(VLOOKUP($T$230,'TAR FIN'!$A$1:$O$93,15,0)),0,VLOOKUP($T$230,'TAR FIN'!$A$1:$O$93,15,0))</f>
        <v>69.489999999999995</v>
      </c>
      <c r="X230" s="6">
        <f>IF(ISERROR(VLOOKUP($U$230,'TAR FIN'!$A$1:$O$93,15,0)),0,VLOOKUP($U$230,'TAR FIN'!$A$1:$O$93,15,0))</f>
        <v>185.18</v>
      </c>
      <c r="Y230" s="6"/>
      <c r="Z230" s="6">
        <f ca="1">('TUSD BE'!$AM$16+'TUSD BF'!$AM$16+'TUSD CVA'!$AM$16)*1</f>
        <v>92.504793470158234</v>
      </c>
      <c r="AA230" s="6">
        <f>('TE BE'!$AB$8+'TE BF'!$AB$8+'TE CVA'!$AB$8)*1</f>
        <v>198.18194779658231</v>
      </c>
      <c r="AB230" s="6">
        <f>$K$230*$V$230</f>
        <v>0</v>
      </c>
      <c r="AC230" s="6">
        <f>$M$230*$W$230</f>
        <v>5554.5441700000001</v>
      </c>
      <c r="AD230" s="6">
        <f>$O$230*$X$230</f>
        <v>14801.992940000002</v>
      </c>
      <c r="AE230" s="6">
        <f>$K$230*$Y$230</f>
        <v>0</v>
      </c>
      <c r="AF230" s="6">
        <f ca="1">$M$230*$Z$230</f>
        <v>7394.1856564501586</v>
      </c>
      <c r="AG230" s="6">
        <f>$O$230*$AA$230</f>
        <v>15841.277633224216</v>
      </c>
    </row>
    <row r="231" spans="1:33" ht="11.25" customHeight="1" x14ac:dyDescent="0.25">
      <c r="A231" s="4" t="s">
        <v>21</v>
      </c>
      <c r="B231" s="4" t="s">
        <v>35</v>
      </c>
      <c r="C231" s="4" t="s">
        <v>39</v>
      </c>
      <c r="D231" s="4" t="s">
        <v>40</v>
      </c>
      <c r="E231" s="4" t="s">
        <v>25</v>
      </c>
      <c r="F231" s="4" t="s">
        <v>25</v>
      </c>
      <c r="G231" s="4" t="s">
        <v>25</v>
      </c>
      <c r="H231" s="4" t="s">
        <v>38</v>
      </c>
      <c r="I231" s="5">
        <v>44621</v>
      </c>
      <c r="J231" s="6">
        <v>0</v>
      </c>
      <c r="K231" s="6">
        <v>0</v>
      </c>
      <c r="L231" s="6">
        <v>1860.2539999999999</v>
      </c>
      <c r="M231" s="6">
        <v>1860.2539999999999</v>
      </c>
      <c r="N231" s="6">
        <v>1860.2539999999999</v>
      </c>
      <c r="O231" s="6">
        <v>1860.2539999999999</v>
      </c>
      <c r="P231" s="6">
        <v>0</v>
      </c>
      <c r="Q231" s="4" t="s">
        <v>26</v>
      </c>
      <c r="R231" s="4">
        <v>0</v>
      </c>
      <c r="S231" s="6">
        <v>0</v>
      </c>
      <c r="T231" s="6">
        <v>25</v>
      </c>
      <c r="U231" s="6">
        <v>59</v>
      </c>
      <c r="V231" s="6">
        <f>IF(ISERROR(VLOOKUP($S$231,'TAR FIN'!$A$1:$O$93,15,0)),0,VLOOKUP($S$231,'TAR FIN'!$A$1:$O$93,15,0))</f>
        <v>0</v>
      </c>
      <c r="W231" s="6">
        <f>IF(ISERROR(VLOOKUP($T$231,'TAR FIN'!$A$1:$O$93,15,0)),0,VLOOKUP($T$231,'TAR FIN'!$A$1:$O$93,15,0))</f>
        <v>69.489999999999995</v>
      </c>
      <c r="X231" s="6">
        <f>IF(ISERROR(VLOOKUP($U$231,'TAR FIN'!$A$1:$O$93,15,0)),0,VLOOKUP($U$231,'TAR FIN'!$A$1:$O$93,15,0))</f>
        <v>185.18</v>
      </c>
      <c r="Y231" s="6"/>
      <c r="Z231" s="6">
        <f ca="1">('TUSD BE'!$AM$16+'TUSD BF'!$AM$16+'TUSD CVA'!$AM$16)*1</f>
        <v>92.504793470158234</v>
      </c>
      <c r="AA231" s="6">
        <f>('TE BE'!$AB$8+'TE BF'!$AB$8+'TE CVA'!$AB$8)*1</f>
        <v>198.18194779658231</v>
      </c>
      <c r="AB231" s="6">
        <f>$K$231*$V$231</f>
        <v>0</v>
      </c>
      <c r="AC231" s="6">
        <f>$M$231*$W$231</f>
        <v>129269.05045999998</v>
      </c>
      <c r="AD231" s="6">
        <f>$O$231*$X$231</f>
        <v>344481.83571999997</v>
      </c>
      <c r="AE231" s="6">
        <f>$K$231*$Y$231</f>
        <v>0</v>
      </c>
      <c r="AF231" s="6">
        <f ca="1">$M$231*$Z$231</f>
        <v>172082.41207203572</v>
      </c>
      <c r="AG231" s="6">
        <f>$O$231*$AA$231</f>
        <v>368668.76111638342</v>
      </c>
    </row>
    <row r="232" spans="1:33" ht="11.25" customHeight="1" x14ac:dyDescent="0.25">
      <c r="A232" s="4" t="s">
        <v>27</v>
      </c>
      <c r="B232" s="4" t="s">
        <v>35</v>
      </c>
      <c r="C232" s="4" t="s">
        <v>39</v>
      </c>
      <c r="D232" s="4" t="s">
        <v>40</v>
      </c>
      <c r="E232" s="4" t="s">
        <v>25</v>
      </c>
      <c r="F232" s="4" t="s">
        <v>25</v>
      </c>
      <c r="G232" s="4" t="s">
        <v>25</v>
      </c>
      <c r="H232" s="4" t="s">
        <v>38</v>
      </c>
      <c r="I232" s="5">
        <v>44621</v>
      </c>
      <c r="J232" s="6">
        <v>0</v>
      </c>
      <c r="K232" s="6">
        <v>0</v>
      </c>
      <c r="L232" s="6">
        <v>-16.815999999999999</v>
      </c>
      <c r="M232" s="6">
        <v>-16.815999999999999</v>
      </c>
      <c r="N232" s="6">
        <v>-16.815999999999999</v>
      </c>
      <c r="O232" s="6">
        <v>-16.815999999999999</v>
      </c>
      <c r="P232" s="6">
        <v>0</v>
      </c>
      <c r="Q232" s="4" t="s">
        <v>26</v>
      </c>
      <c r="R232" s="4">
        <v>0</v>
      </c>
      <c r="S232" s="6">
        <v>0</v>
      </c>
      <c r="T232" s="6">
        <v>25</v>
      </c>
      <c r="U232" s="6">
        <v>59</v>
      </c>
      <c r="V232" s="6">
        <f>IF(ISERROR(VLOOKUP($S$232,'TAR FIN'!$A$1:$O$93,15,0)),0,VLOOKUP($S$232,'TAR FIN'!$A$1:$O$93,15,0))</f>
        <v>0</v>
      </c>
      <c r="W232" s="6">
        <f>IF(ISERROR(VLOOKUP($T$232,'TAR FIN'!$A$1:$O$93,15,0)),0,VLOOKUP($T$232,'TAR FIN'!$A$1:$O$93,15,0))</f>
        <v>69.489999999999995</v>
      </c>
      <c r="X232" s="6">
        <f>IF(ISERROR(VLOOKUP($U$232,'TAR FIN'!$A$1:$O$93,15,0)),0,VLOOKUP($U$232,'TAR FIN'!$A$1:$O$93,15,0))</f>
        <v>185.18</v>
      </c>
      <c r="Y232" s="6"/>
      <c r="Z232" s="6">
        <f ca="1">('TUSD BE'!$AM$16+'TUSD BF'!$AM$16+'TUSD CVA'!$AM$16)*1</f>
        <v>92.504793470158234</v>
      </c>
      <c r="AA232" s="6">
        <f>('TE BE'!$AB$8+'TE BF'!$AB$8+'TE CVA'!$AB$8)*1</f>
        <v>198.18194779658231</v>
      </c>
      <c r="AB232" s="6">
        <f>$K$232*$V$232</f>
        <v>0</v>
      </c>
      <c r="AC232" s="6">
        <f>$M$232*$W$232</f>
        <v>-1168.5438399999998</v>
      </c>
      <c r="AD232" s="6">
        <f>$O$232*$X$232</f>
        <v>-3113.9868799999999</v>
      </c>
      <c r="AE232" s="6">
        <f>$K$232*$Y$232</f>
        <v>0</v>
      </c>
      <c r="AF232" s="6">
        <f ca="1">$M$232*$Z$232</f>
        <v>-1555.5606069941807</v>
      </c>
      <c r="AG232" s="6">
        <f>$O$232*$AA$232</f>
        <v>-3332.6276341473281</v>
      </c>
    </row>
    <row r="233" spans="1:33" ht="11.25" customHeight="1" x14ac:dyDescent="0.25">
      <c r="A233" s="4" t="s">
        <v>28</v>
      </c>
      <c r="B233" s="4" t="s">
        <v>35</v>
      </c>
      <c r="C233" s="4" t="s">
        <v>39</v>
      </c>
      <c r="D233" s="4" t="s">
        <v>40</v>
      </c>
      <c r="E233" s="4" t="s">
        <v>25</v>
      </c>
      <c r="F233" s="4" t="s">
        <v>25</v>
      </c>
      <c r="G233" s="4" t="s">
        <v>25</v>
      </c>
      <c r="H233" s="4" t="s">
        <v>38</v>
      </c>
      <c r="I233" s="5">
        <v>44621</v>
      </c>
      <c r="J233" s="6">
        <v>0</v>
      </c>
      <c r="K233" s="6">
        <v>0</v>
      </c>
      <c r="L233" s="6">
        <v>85.168000000000006</v>
      </c>
      <c r="M233" s="6">
        <v>85.168000000000006</v>
      </c>
      <c r="N233" s="6">
        <v>85.168000000000006</v>
      </c>
      <c r="O233" s="6">
        <v>85.168000000000006</v>
      </c>
      <c r="P233" s="6">
        <v>0</v>
      </c>
      <c r="Q233" s="4" t="s">
        <v>26</v>
      </c>
      <c r="R233" s="4">
        <v>0</v>
      </c>
      <c r="S233" s="6">
        <v>0</v>
      </c>
      <c r="T233" s="6">
        <v>25</v>
      </c>
      <c r="U233" s="6">
        <v>59</v>
      </c>
      <c r="V233" s="6">
        <f>IF(ISERROR(VLOOKUP($S$233,'TAR FIN'!$A$1:$O$93,15,0)),0,VLOOKUP($S$233,'TAR FIN'!$A$1:$O$93,15,0))</f>
        <v>0</v>
      </c>
      <c r="W233" s="6">
        <f>IF(ISERROR(VLOOKUP($T$233,'TAR FIN'!$A$1:$O$93,15,0)),0,VLOOKUP($T$233,'TAR FIN'!$A$1:$O$93,15,0))</f>
        <v>69.489999999999995</v>
      </c>
      <c r="X233" s="6">
        <f>IF(ISERROR(VLOOKUP($U$233,'TAR FIN'!$A$1:$O$93,15,0)),0,VLOOKUP($U$233,'TAR FIN'!$A$1:$O$93,15,0))</f>
        <v>185.18</v>
      </c>
      <c r="Y233" s="6"/>
      <c r="Z233" s="6">
        <f ca="1">('TUSD BE'!$AM$16+'TUSD BF'!$AM$16+'TUSD CVA'!$AM$16)*1</f>
        <v>92.504793470158234</v>
      </c>
      <c r="AA233" s="6">
        <f>('TE BE'!$AB$8+'TE BF'!$AB$8+'TE CVA'!$AB$8)*1</f>
        <v>198.18194779658231</v>
      </c>
      <c r="AB233" s="6">
        <f>$K$233*$V$233</f>
        <v>0</v>
      </c>
      <c r="AC233" s="6">
        <f>$M$233*$W$233</f>
        <v>5918.3243199999997</v>
      </c>
      <c r="AD233" s="6">
        <f>$O$233*$X$233</f>
        <v>15771.410240000001</v>
      </c>
      <c r="AE233" s="6">
        <f>$K$233*$Y$233</f>
        <v>0</v>
      </c>
      <c r="AF233" s="6">
        <f ca="1">$M$233*$Z$233</f>
        <v>7878.4482502664368</v>
      </c>
      <c r="AG233" s="6">
        <f>$O$233*$AA$233</f>
        <v>16878.760129939325</v>
      </c>
    </row>
    <row r="234" spans="1:33" ht="11.25" customHeight="1" x14ac:dyDescent="0.25">
      <c r="A234" s="4" t="s">
        <v>21</v>
      </c>
      <c r="B234" s="4" t="s">
        <v>35</v>
      </c>
      <c r="C234" s="4" t="s">
        <v>39</v>
      </c>
      <c r="D234" s="4" t="s">
        <v>40</v>
      </c>
      <c r="E234" s="4" t="s">
        <v>25</v>
      </c>
      <c r="F234" s="4" t="s">
        <v>25</v>
      </c>
      <c r="G234" s="4" t="s">
        <v>25</v>
      </c>
      <c r="H234" s="4" t="s">
        <v>38</v>
      </c>
      <c r="I234" s="5">
        <v>44652</v>
      </c>
      <c r="J234" s="6">
        <v>0</v>
      </c>
      <c r="K234" s="6">
        <v>0</v>
      </c>
      <c r="L234" s="6">
        <v>2374.712</v>
      </c>
      <c r="M234" s="6">
        <v>2374.712</v>
      </c>
      <c r="N234" s="6">
        <v>2374.712</v>
      </c>
      <c r="O234" s="6">
        <v>2374.712</v>
      </c>
      <c r="P234" s="6">
        <v>0</v>
      </c>
      <c r="Q234" s="4" t="s">
        <v>26</v>
      </c>
      <c r="R234" s="4">
        <v>0</v>
      </c>
      <c r="S234" s="6">
        <v>0</v>
      </c>
      <c r="T234" s="6">
        <v>25</v>
      </c>
      <c r="U234" s="6">
        <v>59</v>
      </c>
      <c r="V234" s="6">
        <f>IF(ISERROR(VLOOKUP($S$234,'TAR FIN'!$A$1:$O$93,15,0)),0,VLOOKUP($S$234,'TAR FIN'!$A$1:$O$93,15,0))</f>
        <v>0</v>
      </c>
      <c r="W234" s="6">
        <f>IF(ISERROR(VLOOKUP($T$234,'TAR FIN'!$A$1:$O$93,15,0)),0,VLOOKUP($T$234,'TAR FIN'!$A$1:$O$93,15,0))</f>
        <v>69.489999999999995</v>
      </c>
      <c r="X234" s="6">
        <f>IF(ISERROR(VLOOKUP($U$234,'TAR FIN'!$A$1:$O$93,15,0)),0,VLOOKUP($U$234,'TAR FIN'!$A$1:$O$93,15,0))</f>
        <v>185.18</v>
      </c>
      <c r="Y234" s="6"/>
      <c r="Z234" s="6">
        <f ca="1">('TUSD BE'!$AM$16+'TUSD BF'!$AM$16+'TUSD CVA'!$AM$16)*1</f>
        <v>92.504793470158234</v>
      </c>
      <c r="AA234" s="6">
        <f>('TE BE'!$AB$8+'TE BF'!$AB$8+'TE CVA'!$AB$8)*1</f>
        <v>198.18194779658231</v>
      </c>
      <c r="AB234" s="6">
        <f>$K$234*$V$234</f>
        <v>0</v>
      </c>
      <c r="AC234" s="6">
        <f>$M$234*$W$234</f>
        <v>165018.73687999998</v>
      </c>
      <c r="AD234" s="6">
        <f>$O$234*$X$234</f>
        <v>439749.16816</v>
      </c>
      <c r="AE234" s="6">
        <f>$K$234*$Y$234</f>
        <v>0</v>
      </c>
      <c r="AF234" s="6">
        <f ca="1">$M$234*$Z$234</f>
        <v>219672.24311110639</v>
      </c>
      <c r="AG234" s="6">
        <f>$O$234*$AA$234</f>
        <v>470625.04961591755</v>
      </c>
    </row>
    <row r="235" spans="1:33" ht="11.25" customHeight="1" x14ac:dyDescent="0.25">
      <c r="A235" s="4" t="s">
        <v>27</v>
      </c>
      <c r="B235" s="4" t="s">
        <v>35</v>
      </c>
      <c r="C235" s="4" t="s">
        <v>39</v>
      </c>
      <c r="D235" s="4" t="s">
        <v>40</v>
      </c>
      <c r="E235" s="4" t="s">
        <v>25</v>
      </c>
      <c r="F235" s="4" t="s">
        <v>25</v>
      </c>
      <c r="G235" s="4" t="s">
        <v>25</v>
      </c>
      <c r="H235" s="4" t="s">
        <v>38</v>
      </c>
      <c r="I235" s="5">
        <v>44652</v>
      </c>
      <c r="J235" s="6">
        <v>0</v>
      </c>
      <c r="K235" s="6">
        <v>0</v>
      </c>
      <c r="L235" s="6">
        <v>-275.49099999999999</v>
      </c>
      <c r="M235" s="6">
        <v>-275.49099999999999</v>
      </c>
      <c r="N235" s="6">
        <v>-275.49099999999999</v>
      </c>
      <c r="O235" s="6">
        <v>-275.49099999999999</v>
      </c>
      <c r="P235" s="6">
        <v>0</v>
      </c>
      <c r="Q235" s="4" t="s">
        <v>26</v>
      </c>
      <c r="R235" s="4">
        <v>0</v>
      </c>
      <c r="S235" s="6">
        <v>0</v>
      </c>
      <c r="T235" s="6">
        <v>25</v>
      </c>
      <c r="U235" s="6">
        <v>59</v>
      </c>
      <c r="V235" s="6">
        <f>IF(ISERROR(VLOOKUP($S$235,'TAR FIN'!$A$1:$O$93,15,0)),0,VLOOKUP($S$235,'TAR FIN'!$A$1:$O$93,15,0))</f>
        <v>0</v>
      </c>
      <c r="W235" s="6">
        <f>IF(ISERROR(VLOOKUP($T$235,'TAR FIN'!$A$1:$O$93,15,0)),0,VLOOKUP($T$235,'TAR FIN'!$A$1:$O$93,15,0))</f>
        <v>69.489999999999995</v>
      </c>
      <c r="X235" s="6">
        <f>IF(ISERROR(VLOOKUP($U$235,'TAR FIN'!$A$1:$O$93,15,0)),0,VLOOKUP($U$235,'TAR FIN'!$A$1:$O$93,15,0))</f>
        <v>185.18</v>
      </c>
      <c r="Y235" s="6"/>
      <c r="Z235" s="6">
        <f ca="1">('TUSD BE'!$AM$16+'TUSD BF'!$AM$16+'TUSD CVA'!$AM$16)*1</f>
        <v>92.504793470158234</v>
      </c>
      <c r="AA235" s="6">
        <f>('TE BE'!$AB$8+'TE BF'!$AB$8+'TE CVA'!$AB$8)*1</f>
        <v>198.18194779658231</v>
      </c>
      <c r="AB235" s="6">
        <f>$K$235*$V$235</f>
        <v>0</v>
      </c>
      <c r="AC235" s="6">
        <f>$M$235*$W$235</f>
        <v>-19143.869589999998</v>
      </c>
      <c r="AD235" s="6">
        <f>$O$235*$X$235</f>
        <v>-51015.42338</v>
      </c>
      <c r="AE235" s="6">
        <f>$K$235*$Y$235</f>
        <v>0</v>
      </c>
      <c r="AF235" s="6">
        <f ca="1">$M$235*$Z$235</f>
        <v>-25484.23805788736</v>
      </c>
      <c r="AG235" s="6">
        <f>$O$235*$AA$235</f>
        <v>-54597.342980428257</v>
      </c>
    </row>
    <row r="236" spans="1:33" ht="11.25" customHeight="1" x14ac:dyDescent="0.25">
      <c r="A236" s="4" t="s">
        <v>28</v>
      </c>
      <c r="B236" s="4" t="s">
        <v>35</v>
      </c>
      <c r="C236" s="4" t="s">
        <v>39</v>
      </c>
      <c r="D236" s="4" t="s">
        <v>40</v>
      </c>
      <c r="E236" s="4" t="s">
        <v>25</v>
      </c>
      <c r="F236" s="4" t="s">
        <v>25</v>
      </c>
      <c r="G236" s="4" t="s">
        <v>25</v>
      </c>
      <c r="H236" s="4" t="s">
        <v>38</v>
      </c>
      <c r="I236" s="5">
        <v>44652</v>
      </c>
      <c r="J236" s="6">
        <v>0</v>
      </c>
      <c r="K236" s="6">
        <v>0</v>
      </c>
      <c r="L236" s="6">
        <v>241.285</v>
      </c>
      <c r="M236" s="6">
        <v>241.285</v>
      </c>
      <c r="N236" s="6">
        <v>241.285</v>
      </c>
      <c r="O236" s="6">
        <v>241.285</v>
      </c>
      <c r="P236" s="6">
        <v>0</v>
      </c>
      <c r="Q236" s="4" t="s">
        <v>26</v>
      </c>
      <c r="R236" s="4">
        <v>0</v>
      </c>
      <c r="S236" s="6">
        <v>0</v>
      </c>
      <c r="T236" s="6">
        <v>25</v>
      </c>
      <c r="U236" s="6">
        <v>59</v>
      </c>
      <c r="V236" s="6">
        <f>IF(ISERROR(VLOOKUP($S$236,'TAR FIN'!$A$1:$O$93,15,0)),0,VLOOKUP($S$236,'TAR FIN'!$A$1:$O$93,15,0))</f>
        <v>0</v>
      </c>
      <c r="W236" s="6">
        <f>IF(ISERROR(VLOOKUP($T$236,'TAR FIN'!$A$1:$O$93,15,0)),0,VLOOKUP($T$236,'TAR FIN'!$A$1:$O$93,15,0))</f>
        <v>69.489999999999995</v>
      </c>
      <c r="X236" s="6">
        <f>IF(ISERROR(VLOOKUP($U$236,'TAR FIN'!$A$1:$O$93,15,0)),0,VLOOKUP($U$236,'TAR FIN'!$A$1:$O$93,15,0))</f>
        <v>185.18</v>
      </c>
      <c r="Y236" s="6"/>
      <c r="Z236" s="6">
        <f ca="1">('TUSD BE'!$AM$16+'TUSD BF'!$AM$16+'TUSD CVA'!$AM$16)*1</f>
        <v>92.504793470158234</v>
      </c>
      <c r="AA236" s="6">
        <f>('TE BE'!$AB$8+'TE BF'!$AB$8+'TE CVA'!$AB$8)*1</f>
        <v>198.18194779658231</v>
      </c>
      <c r="AB236" s="6">
        <f>$K$236*$V$236</f>
        <v>0</v>
      </c>
      <c r="AC236" s="6">
        <f>$M$236*$W$236</f>
        <v>16766.894649999998</v>
      </c>
      <c r="AD236" s="6">
        <f>$O$236*$X$236</f>
        <v>44681.156300000002</v>
      </c>
      <c r="AE236" s="6">
        <f>$K$236*$Y$236</f>
        <v>0</v>
      </c>
      <c r="AF236" s="6">
        <f ca="1">$M$236*$Z$236</f>
        <v>22320.019092447128</v>
      </c>
      <c r="AG236" s="6">
        <f>$O$236*$AA$236</f>
        <v>47818.33127409836</v>
      </c>
    </row>
    <row r="237" spans="1:33" ht="11.25" customHeight="1" x14ac:dyDescent="0.25">
      <c r="A237" s="4" t="s">
        <v>21</v>
      </c>
      <c r="B237" s="4" t="s">
        <v>35</v>
      </c>
      <c r="C237" s="4" t="s">
        <v>39</v>
      </c>
      <c r="D237" s="4" t="s">
        <v>40</v>
      </c>
      <c r="E237" s="4" t="s">
        <v>25</v>
      </c>
      <c r="F237" s="4" t="s">
        <v>25</v>
      </c>
      <c r="G237" s="4" t="s">
        <v>25</v>
      </c>
      <c r="H237" s="4" t="s">
        <v>38</v>
      </c>
      <c r="I237" s="5">
        <v>44682</v>
      </c>
      <c r="J237" s="6">
        <v>0</v>
      </c>
      <c r="K237" s="6">
        <v>0</v>
      </c>
      <c r="L237" s="6">
        <v>2809.5</v>
      </c>
      <c r="M237" s="6">
        <v>2809.5</v>
      </c>
      <c r="N237" s="6">
        <v>2809.5</v>
      </c>
      <c r="O237" s="6">
        <v>2809.5</v>
      </c>
      <c r="P237" s="6">
        <v>0</v>
      </c>
      <c r="Q237" s="4" t="s">
        <v>26</v>
      </c>
      <c r="R237" s="4">
        <v>0</v>
      </c>
      <c r="S237" s="6">
        <v>0</v>
      </c>
      <c r="T237" s="6">
        <v>25</v>
      </c>
      <c r="U237" s="6">
        <v>59</v>
      </c>
      <c r="V237" s="6">
        <f>IF(ISERROR(VLOOKUP($S$237,'TAR FIN'!$A$1:$O$93,15,0)),0,VLOOKUP($S$237,'TAR FIN'!$A$1:$O$93,15,0))</f>
        <v>0</v>
      </c>
      <c r="W237" s="6">
        <f>IF(ISERROR(VLOOKUP($T$237,'TAR FIN'!$A$1:$O$93,15,0)),0,VLOOKUP($T$237,'TAR FIN'!$A$1:$O$93,15,0))</f>
        <v>69.489999999999995</v>
      </c>
      <c r="X237" s="6">
        <f>IF(ISERROR(VLOOKUP($U$237,'TAR FIN'!$A$1:$O$93,15,0)),0,VLOOKUP($U$237,'TAR FIN'!$A$1:$O$93,15,0))</f>
        <v>185.18</v>
      </c>
      <c r="Y237" s="6"/>
      <c r="Z237" s="6">
        <f ca="1">('TUSD BE'!$AM$16+'TUSD BF'!$AM$16+'TUSD CVA'!$AM$16)*1</f>
        <v>92.504793470158234</v>
      </c>
      <c r="AA237" s="6">
        <f>('TE BE'!$AB$8+'TE BF'!$AB$8+'TE CVA'!$AB$8)*1</f>
        <v>198.18194779658231</v>
      </c>
      <c r="AB237" s="6">
        <f>$K$237*$V$237</f>
        <v>0</v>
      </c>
      <c r="AC237" s="6">
        <f>$M$237*$W$237</f>
        <v>195232.155</v>
      </c>
      <c r="AD237" s="6">
        <f>$O$237*$X$237</f>
        <v>520263.21</v>
      </c>
      <c r="AE237" s="6">
        <f>$K$237*$Y$237</f>
        <v>0</v>
      </c>
      <c r="AF237" s="6">
        <f ca="1">$M$237*$Z$237</f>
        <v>259892.21725440957</v>
      </c>
      <c r="AG237" s="6">
        <f>$O$237*$AA$237</f>
        <v>556792.18233449804</v>
      </c>
    </row>
    <row r="238" spans="1:33" ht="11.25" customHeight="1" x14ac:dyDescent="0.25">
      <c r="A238" s="4" t="s">
        <v>27</v>
      </c>
      <c r="B238" s="4" t="s">
        <v>35</v>
      </c>
      <c r="C238" s="4" t="s">
        <v>39</v>
      </c>
      <c r="D238" s="4" t="s">
        <v>40</v>
      </c>
      <c r="E238" s="4" t="s">
        <v>25</v>
      </c>
      <c r="F238" s="4" t="s">
        <v>25</v>
      </c>
      <c r="G238" s="4" t="s">
        <v>25</v>
      </c>
      <c r="H238" s="4" t="s">
        <v>38</v>
      </c>
      <c r="I238" s="5">
        <v>44682</v>
      </c>
      <c r="J238" s="6">
        <v>0</v>
      </c>
      <c r="K238" s="6">
        <v>0</v>
      </c>
      <c r="L238" s="6">
        <v>-19.614999999999998</v>
      </c>
      <c r="M238" s="6">
        <v>-19.614999999999998</v>
      </c>
      <c r="N238" s="6">
        <v>-19.614999999999998</v>
      </c>
      <c r="O238" s="6">
        <v>-19.614999999999998</v>
      </c>
      <c r="P238" s="6">
        <v>0</v>
      </c>
      <c r="Q238" s="4" t="s">
        <v>26</v>
      </c>
      <c r="R238" s="4">
        <v>0</v>
      </c>
      <c r="S238" s="6">
        <v>0</v>
      </c>
      <c r="T238" s="6">
        <v>25</v>
      </c>
      <c r="U238" s="6">
        <v>59</v>
      </c>
      <c r="V238" s="6">
        <f>IF(ISERROR(VLOOKUP($S$238,'TAR FIN'!$A$1:$O$93,15,0)),0,VLOOKUP($S$238,'TAR FIN'!$A$1:$O$93,15,0))</f>
        <v>0</v>
      </c>
      <c r="W238" s="6">
        <f>IF(ISERROR(VLOOKUP($T$238,'TAR FIN'!$A$1:$O$93,15,0)),0,VLOOKUP($T$238,'TAR FIN'!$A$1:$O$93,15,0))</f>
        <v>69.489999999999995</v>
      </c>
      <c r="X238" s="6">
        <f>IF(ISERROR(VLOOKUP($U$238,'TAR FIN'!$A$1:$O$93,15,0)),0,VLOOKUP($U$238,'TAR FIN'!$A$1:$O$93,15,0))</f>
        <v>185.18</v>
      </c>
      <c r="Y238" s="6"/>
      <c r="Z238" s="6">
        <f ca="1">('TUSD BE'!$AM$16+'TUSD BF'!$AM$16+'TUSD CVA'!$AM$16)*1</f>
        <v>92.504793470158234</v>
      </c>
      <c r="AA238" s="6">
        <f>('TE BE'!$AB$8+'TE BF'!$AB$8+'TE CVA'!$AB$8)*1</f>
        <v>198.18194779658231</v>
      </c>
      <c r="AB238" s="6">
        <f>$K$238*$V$238</f>
        <v>0</v>
      </c>
      <c r="AC238" s="6">
        <f>$M$238*$W$238</f>
        <v>-1363.0463499999998</v>
      </c>
      <c r="AD238" s="6">
        <f>$O$238*$X$238</f>
        <v>-3632.3056999999999</v>
      </c>
      <c r="AE238" s="6">
        <f>$K$238*$Y$238</f>
        <v>0</v>
      </c>
      <c r="AF238" s="6">
        <f ca="1">$M$238*$Z$238</f>
        <v>-1814.4815239171537</v>
      </c>
      <c r="AG238" s="6">
        <f>$O$238*$AA$238</f>
        <v>-3887.3389060299614</v>
      </c>
    </row>
    <row r="239" spans="1:33" ht="11.25" customHeight="1" x14ac:dyDescent="0.25">
      <c r="A239" s="4" t="s">
        <v>28</v>
      </c>
      <c r="B239" s="4" t="s">
        <v>35</v>
      </c>
      <c r="C239" s="4" t="s">
        <v>39</v>
      </c>
      <c r="D239" s="4" t="s">
        <v>40</v>
      </c>
      <c r="E239" s="4" t="s">
        <v>25</v>
      </c>
      <c r="F239" s="4" t="s">
        <v>25</v>
      </c>
      <c r="G239" s="4" t="s">
        <v>25</v>
      </c>
      <c r="H239" s="4" t="s">
        <v>38</v>
      </c>
      <c r="I239" s="5">
        <v>44682</v>
      </c>
      <c r="J239" s="6">
        <v>0</v>
      </c>
      <c r="K239" s="6">
        <v>0</v>
      </c>
      <c r="L239" s="6">
        <v>158.446</v>
      </c>
      <c r="M239" s="6">
        <v>158.446</v>
      </c>
      <c r="N239" s="6">
        <v>158.446</v>
      </c>
      <c r="O239" s="6">
        <v>158.446</v>
      </c>
      <c r="P239" s="6">
        <v>0</v>
      </c>
      <c r="Q239" s="4" t="s">
        <v>26</v>
      </c>
      <c r="R239" s="4">
        <v>0</v>
      </c>
      <c r="S239" s="6">
        <v>0</v>
      </c>
      <c r="T239" s="6">
        <v>25</v>
      </c>
      <c r="U239" s="6">
        <v>59</v>
      </c>
      <c r="V239" s="6">
        <f>IF(ISERROR(VLOOKUP($S$239,'TAR FIN'!$A$1:$O$93,15,0)),0,VLOOKUP($S$239,'TAR FIN'!$A$1:$O$93,15,0))</f>
        <v>0</v>
      </c>
      <c r="W239" s="6">
        <f>IF(ISERROR(VLOOKUP($T$239,'TAR FIN'!$A$1:$O$93,15,0)),0,VLOOKUP($T$239,'TAR FIN'!$A$1:$O$93,15,0))</f>
        <v>69.489999999999995</v>
      </c>
      <c r="X239" s="6">
        <f>IF(ISERROR(VLOOKUP($U$239,'TAR FIN'!$A$1:$O$93,15,0)),0,VLOOKUP($U$239,'TAR FIN'!$A$1:$O$93,15,0))</f>
        <v>185.18</v>
      </c>
      <c r="Y239" s="6"/>
      <c r="Z239" s="6">
        <f ca="1">('TUSD BE'!$AM$16+'TUSD BF'!$AM$16+'TUSD CVA'!$AM$16)*1</f>
        <v>92.504793470158234</v>
      </c>
      <c r="AA239" s="6">
        <f>('TE BE'!$AB$8+'TE BF'!$AB$8+'TE CVA'!$AB$8)*1</f>
        <v>198.18194779658231</v>
      </c>
      <c r="AB239" s="6">
        <f>$K$239*$V$239</f>
        <v>0</v>
      </c>
      <c r="AC239" s="6">
        <f>$M$239*$W$239</f>
        <v>11010.412539999999</v>
      </c>
      <c r="AD239" s="6">
        <f>$O$239*$X$239</f>
        <v>29341.030279999999</v>
      </c>
      <c r="AE239" s="6">
        <f>$K$239*$Y$239</f>
        <v>0</v>
      </c>
      <c r="AF239" s="6">
        <f ca="1">$M$239*$Z$239</f>
        <v>14657.014506172691</v>
      </c>
      <c r="AG239" s="6">
        <f>$O$239*$AA$239</f>
        <v>31401.136900577279</v>
      </c>
    </row>
    <row r="240" spans="1:33" ht="11.25" customHeight="1" x14ac:dyDescent="0.25">
      <c r="A240" s="4" t="s">
        <v>21</v>
      </c>
      <c r="B240" s="4" t="s">
        <v>35</v>
      </c>
      <c r="C240" s="4" t="s">
        <v>39</v>
      </c>
      <c r="D240" s="4" t="s">
        <v>40</v>
      </c>
      <c r="E240" s="4" t="s">
        <v>25</v>
      </c>
      <c r="F240" s="4" t="s">
        <v>25</v>
      </c>
      <c r="G240" s="4" t="s">
        <v>25</v>
      </c>
      <c r="H240" s="4" t="s">
        <v>38</v>
      </c>
      <c r="I240" s="5">
        <v>44713</v>
      </c>
      <c r="J240" s="6">
        <v>0</v>
      </c>
      <c r="K240" s="6">
        <v>0</v>
      </c>
      <c r="L240" s="6">
        <v>2565.98</v>
      </c>
      <c r="M240" s="6">
        <v>2565.98</v>
      </c>
      <c r="N240" s="6">
        <v>2565.98</v>
      </c>
      <c r="O240" s="6">
        <v>2565.98</v>
      </c>
      <c r="P240" s="6">
        <v>0</v>
      </c>
      <c r="Q240" s="4" t="s">
        <v>26</v>
      </c>
      <c r="R240" s="4">
        <v>0</v>
      </c>
      <c r="S240" s="6">
        <v>0</v>
      </c>
      <c r="T240" s="6">
        <v>25</v>
      </c>
      <c r="U240" s="6">
        <v>59</v>
      </c>
      <c r="V240" s="6">
        <f>IF(ISERROR(VLOOKUP($S$240,'TAR FIN'!$A$1:$O$93,15,0)),0,VLOOKUP($S$240,'TAR FIN'!$A$1:$O$93,15,0))</f>
        <v>0</v>
      </c>
      <c r="W240" s="6">
        <f>IF(ISERROR(VLOOKUP($T$240,'TAR FIN'!$A$1:$O$93,15,0)),0,VLOOKUP($T$240,'TAR FIN'!$A$1:$O$93,15,0))</f>
        <v>69.489999999999995</v>
      </c>
      <c r="X240" s="6">
        <f>IF(ISERROR(VLOOKUP($U$240,'TAR FIN'!$A$1:$O$93,15,0)),0,VLOOKUP($U$240,'TAR FIN'!$A$1:$O$93,15,0))</f>
        <v>185.18</v>
      </c>
      <c r="Y240" s="6"/>
      <c r="Z240" s="6">
        <f ca="1">('TUSD BE'!$AM$16+'TUSD BF'!$AM$16+'TUSD CVA'!$AM$16)*1</f>
        <v>92.504793470158234</v>
      </c>
      <c r="AA240" s="6">
        <f>('TE BE'!$AB$8+'TE BF'!$AB$8+'TE CVA'!$AB$8)*1</f>
        <v>198.18194779658231</v>
      </c>
      <c r="AB240" s="6">
        <f>$K$240*$V$240</f>
        <v>0</v>
      </c>
      <c r="AC240" s="6">
        <f>$M$240*$W$240</f>
        <v>178309.95019999999</v>
      </c>
      <c r="AD240" s="6">
        <f>$O$240*$X$240</f>
        <v>475168.1764</v>
      </c>
      <c r="AE240" s="6">
        <f>$K$240*$Y$240</f>
        <v>0</v>
      </c>
      <c r="AF240" s="6">
        <f ca="1">$M$240*$Z$240</f>
        <v>237365.44994855663</v>
      </c>
      <c r="AG240" s="6">
        <f>$O$240*$AA$240</f>
        <v>508530.91440707428</v>
      </c>
    </row>
    <row r="241" spans="1:33" ht="11.25" customHeight="1" x14ac:dyDescent="0.25">
      <c r="A241" s="4" t="s">
        <v>27</v>
      </c>
      <c r="B241" s="4" t="s">
        <v>35</v>
      </c>
      <c r="C241" s="4" t="s">
        <v>39</v>
      </c>
      <c r="D241" s="4" t="s">
        <v>40</v>
      </c>
      <c r="E241" s="4" t="s">
        <v>25</v>
      </c>
      <c r="F241" s="4" t="s">
        <v>25</v>
      </c>
      <c r="G241" s="4" t="s">
        <v>25</v>
      </c>
      <c r="H241" s="4" t="s">
        <v>38</v>
      </c>
      <c r="I241" s="5">
        <v>44713</v>
      </c>
      <c r="J241" s="6">
        <v>0</v>
      </c>
      <c r="K241" s="6">
        <v>0</v>
      </c>
      <c r="L241" s="6">
        <v>-119.33</v>
      </c>
      <c r="M241" s="6">
        <v>-119.33</v>
      </c>
      <c r="N241" s="6">
        <v>-119.33</v>
      </c>
      <c r="O241" s="6">
        <v>-119.33</v>
      </c>
      <c r="P241" s="6">
        <v>0</v>
      </c>
      <c r="Q241" s="4" t="s">
        <v>26</v>
      </c>
      <c r="R241" s="4">
        <v>0</v>
      </c>
      <c r="S241" s="6">
        <v>0</v>
      </c>
      <c r="T241" s="6">
        <v>25</v>
      </c>
      <c r="U241" s="6">
        <v>59</v>
      </c>
      <c r="V241" s="6">
        <f>IF(ISERROR(VLOOKUP($S$241,'TAR FIN'!$A$1:$O$93,15,0)),0,VLOOKUP($S$241,'TAR FIN'!$A$1:$O$93,15,0))</f>
        <v>0</v>
      </c>
      <c r="W241" s="6">
        <f>IF(ISERROR(VLOOKUP($T$241,'TAR FIN'!$A$1:$O$93,15,0)),0,VLOOKUP($T$241,'TAR FIN'!$A$1:$O$93,15,0))</f>
        <v>69.489999999999995</v>
      </c>
      <c r="X241" s="6">
        <f>IF(ISERROR(VLOOKUP($U$241,'TAR FIN'!$A$1:$O$93,15,0)),0,VLOOKUP($U$241,'TAR FIN'!$A$1:$O$93,15,0))</f>
        <v>185.18</v>
      </c>
      <c r="Y241" s="6"/>
      <c r="Z241" s="6">
        <f ca="1">('TUSD BE'!$AM$16+'TUSD BF'!$AM$16+'TUSD CVA'!$AM$16)*1</f>
        <v>92.504793470158234</v>
      </c>
      <c r="AA241" s="6">
        <f>('TE BE'!$AB$8+'TE BF'!$AB$8+'TE CVA'!$AB$8)*1</f>
        <v>198.18194779658231</v>
      </c>
      <c r="AB241" s="6">
        <f>$K$241*$V$241</f>
        <v>0</v>
      </c>
      <c r="AC241" s="6">
        <f>$M$241*$W$241</f>
        <v>-8292.2416999999987</v>
      </c>
      <c r="AD241" s="6">
        <f>$O$241*$X$241</f>
        <v>-22097.529399999999</v>
      </c>
      <c r="AE241" s="6">
        <f>$K$241*$Y$241</f>
        <v>0</v>
      </c>
      <c r="AF241" s="6">
        <f ca="1">$M$241*$Z$241</f>
        <v>-11038.597004793983</v>
      </c>
      <c r="AG241" s="6">
        <f>$O$241*$AA$241</f>
        <v>-23649.051830566168</v>
      </c>
    </row>
    <row r="242" spans="1:33" ht="11.25" customHeight="1" x14ac:dyDescent="0.25">
      <c r="A242" s="4" t="s">
        <v>28</v>
      </c>
      <c r="B242" s="4" t="s">
        <v>35</v>
      </c>
      <c r="C242" s="4" t="s">
        <v>39</v>
      </c>
      <c r="D242" s="4" t="s">
        <v>40</v>
      </c>
      <c r="E242" s="4" t="s">
        <v>25</v>
      </c>
      <c r="F242" s="4" t="s">
        <v>25</v>
      </c>
      <c r="G242" s="4" t="s">
        <v>25</v>
      </c>
      <c r="H242" s="4" t="s">
        <v>38</v>
      </c>
      <c r="I242" s="5">
        <v>44713</v>
      </c>
      <c r="J242" s="6">
        <v>0</v>
      </c>
      <c r="K242" s="6">
        <v>0</v>
      </c>
      <c r="L242" s="6">
        <v>249.39500000000001</v>
      </c>
      <c r="M242" s="6">
        <v>249.39500000000001</v>
      </c>
      <c r="N242" s="6">
        <v>249.39500000000001</v>
      </c>
      <c r="O242" s="6">
        <v>249.39500000000001</v>
      </c>
      <c r="P242" s="6">
        <v>0</v>
      </c>
      <c r="Q242" s="4" t="s">
        <v>26</v>
      </c>
      <c r="R242" s="4">
        <v>0</v>
      </c>
      <c r="S242" s="6">
        <v>0</v>
      </c>
      <c r="T242" s="6">
        <v>25</v>
      </c>
      <c r="U242" s="6">
        <v>59</v>
      </c>
      <c r="V242" s="6">
        <f>IF(ISERROR(VLOOKUP($S$242,'TAR FIN'!$A$1:$O$93,15,0)),0,VLOOKUP($S$242,'TAR FIN'!$A$1:$O$93,15,0))</f>
        <v>0</v>
      </c>
      <c r="W242" s="6">
        <f>IF(ISERROR(VLOOKUP($T$242,'TAR FIN'!$A$1:$O$93,15,0)),0,VLOOKUP($T$242,'TAR FIN'!$A$1:$O$93,15,0))</f>
        <v>69.489999999999995</v>
      </c>
      <c r="X242" s="6">
        <f>IF(ISERROR(VLOOKUP($U$242,'TAR FIN'!$A$1:$O$93,15,0)),0,VLOOKUP($U$242,'TAR FIN'!$A$1:$O$93,15,0))</f>
        <v>185.18</v>
      </c>
      <c r="Y242" s="6"/>
      <c r="Z242" s="6">
        <f ca="1">('TUSD BE'!$AM$16+'TUSD BF'!$AM$16+'TUSD CVA'!$AM$16)*1</f>
        <v>92.504793470158234</v>
      </c>
      <c r="AA242" s="6">
        <f>('TE BE'!$AB$8+'TE BF'!$AB$8+'TE CVA'!$AB$8)*1</f>
        <v>198.18194779658231</v>
      </c>
      <c r="AB242" s="6">
        <f>$K$242*$V$242</f>
        <v>0</v>
      </c>
      <c r="AC242" s="6">
        <f>$M$242*$W$242</f>
        <v>17330.458549999999</v>
      </c>
      <c r="AD242" s="6">
        <f>$O$242*$X$242</f>
        <v>46182.966100000005</v>
      </c>
      <c r="AE242" s="6">
        <f>$K$242*$Y$242</f>
        <v>0</v>
      </c>
      <c r="AF242" s="6">
        <f ca="1">$M$242*$Z$242</f>
        <v>23070.232967490112</v>
      </c>
      <c r="AG242" s="6">
        <f>$O$242*$AA$242</f>
        <v>49425.58687072865</v>
      </c>
    </row>
    <row r="243" spans="1:33" ht="11.25" customHeight="1" x14ac:dyDescent="0.25">
      <c r="A243" s="4" t="s">
        <v>21</v>
      </c>
      <c r="B243" s="4" t="s">
        <v>35</v>
      </c>
      <c r="C243" s="4" t="s">
        <v>39</v>
      </c>
      <c r="D243" s="4" t="s">
        <v>40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44378</v>
      </c>
      <c r="J243" s="6">
        <v>21320</v>
      </c>
      <c r="K243" s="6">
        <v>21320</v>
      </c>
      <c r="L243" s="6">
        <v>0</v>
      </c>
      <c r="M243" s="6">
        <v>0</v>
      </c>
      <c r="N243" s="6">
        <v>0</v>
      </c>
      <c r="O243" s="6">
        <v>0</v>
      </c>
      <c r="P243" s="6">
        <v>127</v>
      </c>
      <c r="Q243" s="4" t="s">
        <v>26</v>
      </c>
      <c r="R243" s="4">
        <v>0</v>
      </c>
      <c r="S243" s="6">
        <v>18</v>
      </c>
      <c r="T243" s="6">
        <v>0</v>
      </c>
      <c r="U243" s="6">
        <v>0</v>
      </c>
      <c r="V243" s="6">
        <f>IF(ISERROR(VLOOKUP($S$243,'TAR FIN'!$A$1:$O$93,15,0)),0,VLOOKUP($S$243,'TAR FIN'!$A$1:$O$93,15,0))</f>
        <v>26.17</v>
      </c>
      <c r="W243" s="6">
        <f>IF(ISERROR(VLOOKUP($T$243,'TAR FIN'!$A$1:$O$93,15,0)),0,VLOOKUP($T$243,'TAR FIN'!$A$1:$O$93,15,0))</f>
        <v>0</v>
      </c>
      <c r="X243" s="6">
        <f>IF(ISERROR(VLOOKUP($U$243,'TAR FIN'!$A$1:$O$93,15,0)),0,VLOOKUP($U$243,'TAR FIN'!$A$1:$O$93,15,0))</f>
        <v>0</v>
      </c>
      <c r="Y243" s="6">
        <f ca="1">('TUSD BE'!$AM$14+'TUSD BF'!$AM$14+'TUSD CVA'!$AM$14)*1</f>
        <v>30.453482365333407</v>
      </c>
      <c r="Z243" s="6"/>
      <c r="AA243" s="6"/>
      <c r="AB243" s="6">
        <f>$K$243*$V$243</f>
        <v>557944.4</v>
      </c>
      <c r="AC243" s="6">
        <f>$M$243*$W$243</f>
        <v>0</v>
      </c>
      <c r="AD243" s="6">
        <f>$O$243*$X$243</f>
        <v>0</v>
      </c>
      <c r="AE243" s="6">
        <f ca="1">$K$243*$Y$243</f>
        <v>649268.2440289082</v>
      </c>
      <c r="AF243" s="6">
        <f>$M$243*$Z$243</f>
        <v>0</v>
      </c>
      <c r="AG243" s="6">
        <f>$O$243*$AA$243</f>
        <v>0</v>
      </c>
    </row>
    <row r="244" spans="1:33" ht="11.25" customHeight="1" x14ac:dyDescent="0.25">
      <c r="A244" s="4" t="s">
        <v>27</v>
      </c>
      <c r="B244" s="4" t="s">
        <v>35</v>
      </c>
      <c r="C244" s="4" t="s">
        <v>39</v>
      </c>
      <c r="D244" s="4" t="s">
        <v>40</v>
      </c>
      <c r="E244" s="4" t="s">
        <v>25</v>
      </c>
      <c r="F244" s="4" t="s">
        <v>25</v>
      </c>
      <c r="G244" s="4" t="s">
        <v>25</v>
      </c>
      <c r="H244" s="4" t="s">
        <v>25</v>
      </c>
      <c r="I244" s="5">
        <v>44378</v>
      </c>
      <c r="J244" s="6">
        <v>-4268</v>
      </c>
      <c r="K244" s="6">
        <v>-4268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4" t="s">
        <v>26</v>
      </c>
      <c r="R244" s="4">
        <v>0</v>
      </c>
      <c r="S244" s="6">
        <v>18</v>
      </c>
      <c r="T244" s="6">
        <v>0</v>
      </c>
      <c r="U244" s="6">
        <v>0</v>
      </c>
      <c r="V244" s="6">
        <f>IF(ISERROR(VLOOKUP($S$244,'TAR FIN'!$A$1:$O$93,15,0)),0,VLOOKUP($S$244,'TAR FIN'!$A$1:$O$93,15,0))</f>
        <v>26.17</v>
      </c>
      <c r="W244" s="6">
        <f>IF(ISERROR(VLOOKUP($T$244,'TAR FIN'!$A$1:$O$93,15,0)),0,VLOOKUP($T$244,'TAR FIN'!$A$1:$O$93,15,0))</f>
        <v>0</v>
      </c>
      <c r="X244" s="6">
        <f>IF(ISERROR(VLOOKUP($U$244,'TAR FIN'!$A$1:$O$93,15,0)),0,VLOOKUP($U$244,'TAR FIN'!$A$1:$O$93,15,0))</f>
        <v>0</v>
      </c>
      <c r="Y244" s="6">
        <f ca="1">('TUSD BE'!$AM$14+'TUSD BF'!$AM$14+'TUSD CVA'!$AM$14)*1</f>
        <v>30.453482365333407</v>
      </c>
      <c r="Z244" s="6"/>
      <c r="AA244" s="6"/>
      <c r="AB244" s="6">
        <f>$K$244*$V$244</f>
        <v>-111693.56000000001</v>
      </c>
      <c r="AC244" s="6">
        <f>$M$244*$W$244</f>
        <v>0</v>
      </c>
      <c r="AD244" s="6">
        <f>$O$244*$X$244</f>
        <v>0</v>
      </c>
      <c r="AE244" s="6">
        <f ca="1">$K$244*$Y$244</f>
        <v>-129975.46273524298</v>
      </c>
      <c r="AF244" s="6">
        <f>$M$244*$Z$244</f>
        <v>0</v>
      </c>
      <c r="AG244" s="6">
        <f>$O$244*$AA$244</f>
        <v>0</v>
      </c>
    </row>
    <row r="245" spans="1:33" ht="11.25" customHeight="1" x14ac:dyDescent="0.25">
      <c r="A245" s="4" t="s">
        <v>28</v>
      </c>
      <c r="B245" s="4" t="s">
        <v>35</v>
      </c>
      <c r="C245" s="4" t="s">
        <v>39</v>
      </c>
      <c r="D245" s="4" t="s">
        <v>40</v>
      </c>
      <c r="E245" s="4" t="s">
        <v>25</v>
      </c>
      <c r="F245" s="4" t="s">
        <v>25</v>
      </c>
      <c r="G245" s="4" t="s">
        <v>25</v>
      </c>
      <c r="H245" s="4" t="s">
        <v>25</v>
      </c>
      <c r="I245" s="5">
        <v>44378</v>
      </c>
      <c r="J245" s="6">
        <v>1253</v>
      </c>
      <c r="K245" s="6">
        <v>1253</v>
      </c>
      <c r="L245" s="6">
        <v>0</v>
      </c>
      <c r="M245" s="6">
        <v>0</v>
      </c>
      <c r="N245" s="6">
        <v>0</v>
      </c>
      <c r="O245" s="6">
        <v>0</v>
      </c>
      <c r="P245" s="6">
        <v>11</v>
      </c>
      <c r="Q245" s="4" t="s">
        <v>26</v>
      </c>
      <c r="R245" s="4">
        <v>0</v>
      </c>
      <c r="S245" s="6">
        <v>18</v>
      </c>
      <c r="T245" s="6">
        <v>0</v>
      </c>
      <c r="U245" s="6">
        <v>0</v>
      </c>
      <c r="V245" s="6">
        <f>IF(ISERROR(VLOOKUP($S$245,'TAR FIN'!$A$1:$O$93,15,0)),0,VLOOKUP($S$245,'TAR FIN'!$A$1:$O$93,15,0))</f>
        <v>26.17</v>
      </c>
      <c r="W245" s="6">
        <f>IF(ISERROR(VLOOKUP($T$245,'TAR FIN'!$A$1:$O$93,15,0)),0,VLOOKUP($T$245,'TAR FIN'!$A$1:$O$93,15,0))</f>
        <v>0</v>
      </c>
      <c r="X245" s="6">
        <f>IF(ISERROR(VLOOKUP($U$245,'TAR FIN'!$A$1:$O$93,15,0)),0,VLOOKUP($U$245,'TAR FIN'!$A$1:$O$93,15,0))</f>
        <v>0</v>
      </c>
      <c r="Y245" s="6">
        <f ca="1">('TUSD BE'!$AM$14+'TUSD BF'!$AM$14+'TUSD CVA'!$AM$14)*1</f>
        <v>30.453482365333407</v>
      </c>
      <c r="Z245" s="6"/>
      <c r="AA245" s="6"/>
      <c r="AB245" s="6">
        <f>$K$245*$V$245</f>
        <v>32791.01</v>
      </c>
      <c r="AC245" s="6">
        <f>$M$245*$W$245</f>
        <v>0</v>
      </c>
      <c r="AD245" s="6">
        <f>$O$245*$X$245</f>
        <v>0</v>
      </c>
      <c r="AE245" s="6">
        <f ca="1">$K$245*$Y$245</f>
        <v>38158.213403762762</v>
      </c>
      <c r="AF245" s="6">
        <f>$M$245*$Z$245</f>
        <v>0</v>
      </c>
      <c r="AG245" s="6">
        <f>$O$245*$AA$245</f>
        <v>0</v>
      </c>
    </row>
    <row r="246" spans="1:33" ht="11.25" customHeight="1" x14ac:dyDescent="0.25">
      <c r="A246" s="4" t="s">
        <v>28</v>
      </c>
      <c r="B246" s="4" t="s">
        <v>35</v>
      </c>
      <c r="C246" s="4" t="s">
        <v>39</v>
      </c>
      <c r="D246" s="4" t="s">
        <v>40</v>
      </c>
      <c r="E246" s="4" t="s">
        <v>25</v>
      </c>
      <c r="F246" s="4" t="s">
        <v>25</v>
      </c>
      <c r="G246" s="4" t="s">
        <v>25</v>
      </c>
      <c r="H246" s="4" t="s">
        <v>25</v>
      </c>
      <c r="I246" s="5">
        <v>44378</v>
      </c>
      <c r="J246" s="6">
        <v>-82</v>
      </c>
      <c r="K246" s="6">
        <v>-82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4" t="s">
        <v>26</v>
      </c>
      <c r="R246" s="4">
        <v>0</v>
      </c>
      <c r="S246" s="6">
        <v>18</v>
      </c>
      <c r="T246" s="6">
        <v>0</v>
      </c>
      <c r="U246" s="6">
        <v>0</v>
      </c>
      <c r="V246" s="6">
        <f>IF(ISERROR(VLOOKUP($S$246,'TAR FIN'!$A$1:$O$93,15,0)),0,VLOOKUP($S$246,'TAR FIN'!$A$1:$O$93,15,0))</f>
        <v>26.17</v>
      </c>
      <c r="W246" s="6">
        <f>IF(ISERROR(VLOOKUP($T$246,'TAR FIN'!$A$1:$O$93,15,0)),0,VLOOKUP($T$246,'TAR FIN'!$A$1:$O$93,15,0))</f>
        <v>0</v>
      </c>
      <c r="X246" s="6">
        <f>IF(ISERROR(VLOOKUP($U$246,'TAR FIN'!$A$1:$O$93,15,0)),0,VLOOKUP($U$246,'TAR FIN'!$A$1:$O$93,15,0))</f>
        <v>0</v>
      </c>
      <c r="Y246" s="6">
        <f ca="1">('TUSD BE'!$AM$14+'TUSD BF'!$AM$14+'TUSD CVA'!$AM$14)*1</f>
        <v>30.453482365333407</v>
      </c>
      <c r="Z246" s="6"/>
      <c r="AA246" s="6"/>
      <c r="AB246" s="6">
        <f>$K$246*$V$246</f>
        <v>-2145.94</v>
      </c>
      <c r="AC246" s="6">
        <f>$M$246*$W$246</f>
        <v>0</v>
      </c>
      <c r="AD246" s="6">
        <f>$O$246*$X$246</f>
        <v>0</v>
      </c>
      <c r="AE246" s="6">
        <f ca="1">$K$246*$Y$246</f>
        <v>-2497.1855539573394</v>
      </c>
      <c r="AF246" s="6">
        <f>$M$246*$Z$246</f>
        <v>0</v>
      </c>
      <c r="AG246" s="6">
        <f>$O$246*$AA$246</f>
        <v>0</v>
      </c>
    </row>
    <row r="247" spans="1:33" ht="11.25" customHeight="1" x14ac:dyDescent="0.25">
      <c r="A247" s="4" t="s">
        <v>21</v>
      </c>
      <c r="B247" s="4" t="s">
        <v>35</v>
      </c>
      <c r="C247" s="4" t="s">
        <v>39</v>
      </c>
      <c r="D247" s="4" t="s">
        <v>40</v>
      </c>
      <c r="E247" s="4" t="s">
        <v>25</v>
      </c>
      <c r="F247" s="4" t="s">
        <v>25</v>
      </c>
      <c r="G247" s="4" t="s">
        <v>25</v>
      </c>
      <c r="H247" s="4" t="s">
        <v>25</v>
      </c>
      <c r="I247" s="5">
        <v>44409</v>
      </c>
      <c r="J247" s="6">
        <v>16377</v>
      </c>
      <c r="K247" s="6">
        <v>16377</v>
      </c>
      <c r="L247" s="6">
        <v>0</v>
      </c>
      <c r="M247" s="6">
        <v>0</v>
      </c>
      <c r="N247" s="6">
        <v>0</v>
      </c>
      <c r="O247" s="6">
        <v>0</v>
      </c>
      <c r="P247" s="6">
        <v>126</v>
      </c>
      <c r="Q247" s="4" t="s">
        <v>26</v>
      </c>
      <c r="R247" s="4">
        <v>0</v>
      </c>
      <c r="S247" s="6">
        <v>18</v>
      </c>
      <c r="T247" s="6">
        <v>0</v>
      </c>
      <c r="U247" s="6">
        <v>0</v>
      </c>
      <c r="V247" s="6">
        <f>IF(ISERROR(VLOOKUP($S$247,'TAR FIN'!$A$1:$O$93,15,0)),0,VLOOKUP($S$247,'TAR FIN'!$A$1:$O$93,15,0))</f>
        <v>26.17</v>
      </c>
      <c r="W247" s="6">
        <f>IF(ISERROR(VLOOKUP($T$247,'TAR FIN'!$A$1:$O$93,15,0)),0,VLOOKUP($T$247,'TAR FIN'!$A$1:$O$93,15,0))</f>
        <v>0</v>
      </c>
      <c r="X247" s="6">
        <f>IF(ISERROR(VLOOKUP($U$247,'TAR FIN'!$A$1:$O$93,15,0)),0,VLOOKUP($U$247,'TAR FIN'!$A$1:$O$93,15,0))</f>
        <v>0</v>
      </c>
      <c r="Y247" s="6">
        <f ca="1">('TUSD BE'!$AM$14+'TUSD BF'!$AM$14+'TUSD CVA'!$AM$14)*1</f>
        <v>30.453482365333407</v>
      </c>
      <c r="Z247" s="6"/>
      <c r="AA247" s="6"/>
      <c r="AB247" s="6">
        <f>$K$247*$V$247</f>
        <v>428586.09</v>
      </c>
      <c r="AC247" s="6">
        <f>$M$247*$W$247</f>
        <v>0</v>
      </c>
      <c r="AD247" s="6">
        <f>$O$247*$X$247</f>
        <v>0</v>
      </c>
      <c r="AE247" s="6">
        <f ca="1">$K$247*$Y$247</f>
        <v>498736.6806970652</v>
      </c>
      <c r="AF247" s="6">
        <f>$M$247*$Z$247</f>
        <v>0</v>
      </c>
      <c r="AG247" s="6">
        <f>$O$247*$AA$247</f>
        <v>0</v>
      </c>
    </row>
    <row r="248" spans="1:33" ht="11.25" customHeight="1" x14ac:dyDescent="0.25">
      <c r="A248" s="4" t="s">
        <v>27</v>
      </c>
      <c r="B248" s="4" t="s">
        <v>35</v>
      </c>
      <c r="C248" s="4" t="s">
        <v>39</v>
      </c>
      <c r="D248" s="4" t="s">
        <v>40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44409</v>
      </c>
      <c r="J248" s="6">
        <v>-110</v>
      </c>
      <c r="K248" s="6">
        <v>-110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4" t="s">
        <v>26</v>
      </c>
      <c r="R248" s="4">
        <v>0</v>
      </c>
      <c r="S248" s="6">
        <v>18</v>
      </c>
      <c r="T248" s="6">
        <v>0</v>
      </c>
      <c r="U248" s="6">
        <v>0</v>
      </c>
      <c r="V248" s="6">
        <f>IF(ISERROR(VLOOKUP($S$248,'TAR FIN'!$A$1:$O$93,15,0)),0,VLOOKUP($S$248,'TAR FIN'!$A$1:$O$93,15,0))</f>
        <v>26.17</v>
      </c>
      <c r="W248" s="6">
        <f>IF(ISERROR(VLOOKUP($T$248,'TAR FIN'!$A$1:$O$93,15,0)),0,VLOOKUP($T$248,'TAR FIN'!$A$1:$O$93,15,0))</f>
        <v>0</v>
      </c>
      <c r="X248" s="6">
        <f>IF(ISERROR(VLOOKUP($U$248,'TAR FIN'!$A$1:$O$93,15,0)),0,VLOOKUP($U$248,'TAR FIN'!$A$1:$O$93,15,0))</f>
        <v>0</v>
      </c>
      <c r="Y248" s="6">
        <f ca="1">('TUSD BE'!$AM$14+'TUSD BF'!$AM$14+'TUSD CVA'!$AM$14)*1</f>
        <v>30.453482365333407</v>
      </c>
      <c r="Z248" s="6"/>
      <c r="AA248" s="6"/>
      <c r="AB248" s="6">
        <f>$K$248*$V$248</f>
        <v>-2878.7000000000003</v>
      </c>
      <c r="AC248" s="6">
        <f>$M$248*$W$248</f>
        <v>0</v>
      </c>
      <c r="AD248" s="6">
        <f>$O$248*$X$248</f>
        <v>0</v>
      </c>
      <c r="AE248" s="6">
        <f ca="1">$K$248*$Y$248</f>
        <v>-3349.8830601866748</v>
      </c>
      <c r="AF248" s="6">
        <f>$M$248*$Z$248</f>
        <v>0</v>
      </c>
      <c r="AG248" s="6">
        <f>$O$248*$AA$248</f>
        <v>0</v>
      </c>
    </row>
    <row r="249" spans="1:33" ht="11.25" customHeight="1" x14ac:dyDescent="0.25">
      <c r="A249" s="4" t="s">
        <v>28</v>
      </c>
      <c r="B249" s="4" t="s">
        <v>35</v>
      </c>
      <c r="C249" s="4" t="s">
        <v>39</v>
      </c>
      <c r="D249" s="4" t="s">
        <v>40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44409</v>
      </c>
      <c r="J249" s="6">
        <v>1057</v>
      </c>
      <c r="K249" s="6">
        <v>1057</v>
      </c>
      <c r="L249" s="6">
        <v>0</v>
      </c>
      <c r="M249" s="6">
        <v>0</v>
      </c>
      <c r="N249" s="6">
        <v>0</v>
      </c>
      <c r="O249" s="6">
        <v>0</v>
      </c>
      <c r="P249" s="6">
        <v>10</v>
      </c>
      <c r="Q249" s="4" t="s">
        <v>26</v>
      </c>
      <c r="R249" s="4">
        <v>0</v>
      </c>
      <c r="S249" s="6">
        <v>18</v>
      </c>
      <c r="T249" s="6">
        <v>0</v>
      </c>
      <c r="U249" s="6">
        <v>0</v>
      </c>
      <c r="V249" s="6">
        <f>IF(ISERROR(VLOOKUP($S$249,'TAR FIN'!$A$1:$O$93,15,0)),0,VLOOKUP($S$249,'TAR FIN'!$A$1:$O$93,15,0))</f>
        <v>26.17</v>
      </c>
      <c r="W249" s="6">
        <f>IF(ISERROR(VLOOKUP($T$249,'TAR FIN'!$A$1:$O$93,15,0)),0,VLOOKUP($T$249,'TAR FIN'!$A$1:$O$93,15,0))</f>
        <v>0</v>
      </c>
      <c r="X249" s="6">
        <f>IF(ISERROR(VLOOKUP($U$249,'TAR FIN'!$A$1:$O$93,15,0)),0,VLOOKUP($U$249,'TAR FIN'!$A$1:$O$93,15,0))</f>
        <v>0</v>
      </c>
      <c r="Y249" s="6">
        <f ca="1">('TUSD BE'!$AM$14+'TUSD BF'!$AM$14+'TUSD CVA'!$AM$14)*1</f>
        <v>30.453482365333407</v>
      </c>
      <c r="Z249" s="6"/>
      <c r="AA249" s="6"/>
      <c r="AB249" s="6">
        <f>$K$249*$V$249</f>
        <v>27661.690000000002</v>
      </c>
      <c r="AC249" s="6">
        <f>$M$249*$W$249</f>
        <v>0</v>
      </c>
      <c r="AD249" s="6">
        <f>$O$249*$X$249</f>
        <v>0</v>
      </c>
      <c r="AE249" s="6">
        <f ca="1">$K$249*$Y$249</f>
        <v>32189.33086015741</v>
      </c>
      <c r="AF249" s="6">
        <f>$M$249*$Z$249</f>
        <v>0</v>
      </c>
      <c r="AG249" s="6">
        <f>$O$249*$AA$249</f>
        <v>0</v>
      </c>
    </row>
    <row r="250" spans="1:33" ht="11.25" customHeight="1" x14ac:dyDescent="0.25">
      <c r="A250" s="4" t="s">
        <v>21</v>
      </c>
      <c r="B250" s="4" t="s">
        <v>35</v>
      </c>
      <c r="C250" s="4" t="s">
        <v>39</v>
      </c>
      <c r="D250" s="4" t="s">
        <v>40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44440</v>
      </c>
      <c r="J250" s="6">
        <v>14816</v>
      </c>
      <c r="K250" s="6">
        <v>14816</v>
      </c>
      <c r="L250" s="6">
        <v>0</v>
      </c>
      <c r="M250" s="6">
        <v>0</v>
      </c>
      <c r="N250" s="6">
        <v>0</v>
      </c>
      <c r="O250" s="6">
        <v>0</v>
      </c>
      <c r="P250" s="6">
        <v>129</v>
      </c>
      <c r="Q250" s="4" t="s">
        <v>26</v>
      </c>
      <c r="R250" s="4">
        <v>0</v>
      </c>
      <c r="S250" s="6">
        <v>18</v>
      </c>
      <c r="T250" s="6">
        <v>0</v>
      </c>
      <c r="U250" s="6">
        <v>0</v>
      </c>
      <c r="V250" s="6">
        <f>IF(ISERROR(VLOOKUP($S$250,'TAR FIN'!$A$1:$O$93,15,0)),0,VLOOKUP($S$250,'TAR FIN'!$A$1:$O$93,15,0))</f>
        <v>26.17</v>
      </c>
      <c r="W250" s="6">
        <f>IF(ISERROR(VLOOKUP($T$250,'TAR FIN'!$A$1:$O$93,15,0)),0,VLOOKUP($T$250,'TAR FIN'!$A$1:$O$93,15,0))</f>
        <v>0</v>
      </c>
      <c r="X250" s="6">
        <f>IF(ISERROR(VLOOKUP($U$250,'TAR FIN'!$A$1:$O$93,15,0)),0,VLOOKUP($U$250,'TAR FIN'!$A$1:$O$93,15,0))</f>
        <v>0</v>
      </c>
      <c r="Y250" s="6">
        <f ca="1">('TUSD BE'!$AM$14+'TUSD BF'!$AM$14+'TUSD CVA'!$AM$14)*1</f>
        <v>30.453482365333407</v>
      </c>
      <c r="Z250" s="6"/>
      <c r="AA250" s="6"/>
      <c r="AB250" s="6">
        <f>$K$250*$V$250</f>
        <v>387734.72000000003</v>
      </c>
      <c r="AC250" s="6">
        <f>$M$250*$W$250</f>
        <v>0</v>
      </c>
      <c r="AD250" s="6">
        <f>$O$250*$X$250</f>
        <v>0</v>
      </c>
      <c r="AE250" s="6">
        <f ca="1">$K$250*$Y$250</f>
        <v>451198.79472477979</v>
      </c>
      <c r="AF250" s="6">
        <f>$M$250*$Z$250</f>
        <v>0</v>
      </c>
      <c r="AG250" s="6">
        <f>$O$250*$AA$250</f>
        <v>0</v>
      </c>
    </row>
    <row r="251" spans="1:33" ht="11.25" customHeight="1" x14ac:dyDescent="0.25">
      <c r="A251" s="4" t="s">
        <v>27</v>
      </c>
      <c r="B251" s="4" t="s">
        <v>35</v>
      </c>
      <c r="C251" s="4" t="s">
        <v>39</v>
      </c>
      <c r="D251" s="4" t="s">
        <v>40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44440</v>
      </c>
      <c r="J251" s="6">
        <v>-721</v>
      </c>
      <c r="K251" s="6">
        <v>-721</v>
      </c>
      <c r="L251" s="6">
        <v>0</v>
      </c>
      <c r="M251" s="6">
        <v>0</v>
      </c>
      <c r="N251" s="6">
        <v>0</v>
      </c>
      <c r="O251" s="6">
        <v>0</v>
      </c>
      <c r="P251" s="6">
        <v>-1</v>
      </c>
      <c r="Q251" s="4" t="s">
        <v>26</v>
      </c>
      <c r="R251" s="4">
        <v>0</v>
      </c>
      <c r="S251" s="6">
        <v>18</v>
      </c>
      <c r="T251" s="6">
        <v>0</v>
      </c>
      <c r="U251" s="6">
        <v>0</v>
      </c>
      <c r="V251" s="6">
        <f>IF(ISERROR(VLOOKUP($S$251,'TAR FIN'!$A$1:$O$93,15,0)),0,VLOOKUP($S$251,'TAR FIN'!$A$1:$O$93,15,0))</f>
        <v>26.17</v>
      </c>
      <c r="W251" s="6">
        <f>IF(ISERROR(VLOOKUP($T$251,'TAR FIN'!$A$1:$O$93,15,0)),0,VLOOKUP($T$251,'TAR FIN'!$A$1:$O$93,15,0))</f>
        <v>0</v>
      </c>
      <c r="X251" s="6">
        <f>IF(ISERROR(VLOOKUP($U$251,'TAR FIN'!$A$1:$O$93,15,0)),0,VLOOKUP($U$251,'TAR FIN'!$A$1:$O$93,15,0))</f>
        <v>0</v>
      </c>
      <c r="Y251" s="6">
        <f ca="1">('TUSD BE'!$AM$14+'TUSD BF'!$AM$14+'TUSD CVA'!$AM$14)*1</f>
        <v>30.453482365333407</v>
      </c>
      <c r="Z251" s="6"/>
      <c r="AA251" s="6"/>
      <c r="AB251" s="6">
        <f>$K$251*$V$251</f>
        <v>-18868.57</v>
      </c>
      <c r="AC251" s="6">
        <f>$M$251*$W$251</f>
        <v>0</v>
      </c>
      <c r="AD251" s="6">
        <f>$O$251*$X$251</f>
        <v>0</v>
      </c>
      <c r="AE251" s="6">
        <f ca="1">$K$251*$Y$251</f>
        <v>-21956.960785405387</v>
      </c>
      <c r="AF251" s="6">
        <f>$M$251*$Z$251</f>
        <v>0</v>
      </c>
      <c r="AG251" s="6">
        <f>$O$251*$AA$251</f>
        <v>0</v>
      </c>
    </row>
    <row r="252" spans="1:33" ht="11.25" customHeight="1" x14ac:dyDescent="0.25">
      <c r="A252" s="4" t="s">
        <v>28</v>
      </c>
      <c r="B252" s="4" t="s">
        <v>35</v>
      </c>
      <c r="C252" s="4" t="s">
        <v>39</v>
      </c>
      <c r="D252" s="4" t="s">
        <v>40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44440</v>
      </c>
      <c r="J252" s="6">
        <v>1057</v>
      </c>
      <c r="K252" s="6">
        <v>1057</v>
      </c>
      <c r="L252" s="6">
        <v>0</v>
      </c>
      <c r="M252" s="6">
        <v>0</v>
      </c>
      <c r="N252" s="6">
        <v>0</v>
      </c>
      <c r="O252" s="6">
        <v>0</v>
      </c>
      <c r="P252" s="6">
        <v>10</v>
      </c>
      <c r="Q252" s="4" t="s">
        <v>26</v>
      </c>
      <c r="R252" s="4">
        <v>0</v>
      </c>
      <c r="S252" s="6">
        <v>18</v>
      </c>
      <c r="T252" s="6">
        <v>0</v>
      </c>
      <c r="U252" s="6">
        <v>0</v>
      </c>
      <c r="V252" s="6">
        <f>IF(ISERROR(VLOOKUP($S$252,'TAR FIN'!$A$1:$O$93,15,0)),0,VLOOKUP($S$252,'TAR FIN'!$A$1:$O$93,15,0))</f>
        <v>26.17</v>
      </c>
      <c r="W252" s="6">
        <f>IF(ISERROR(VLOOKUP($T$252,'TAR FIN'!$A$1:$O$93,15,0)),0,VLOOKUP($T$252,'TAR FIN'!$A$1:$O$93,15,0))</f>
        <v>0</v>
      </c>
      <c r="X252" s="6">
        <f>IF(ISERROR(VLOOKUP($U$252,'TAR FIN'!$A$1:$O$93,15,0)),0,VLOOKUP($U$252,'TAR FIN'!$A$1:$O$93,15,0))</f>
        <v>0</v>
      </c>
      <c r="Y252" s="6">
        <f ca="1">('TUSD BE'!$AM$14+'TUSD BF'!$AM$14+'TUSD CVA'!$AM$14)*1</f>
        <v>30.453482365333407</v>
      </c>
      <c r="Z252" s="6"/>
      <c r="AA252" s="6"/>
      <c r="AB252" s="6">
        <f>$K$252*$V$252</f>
        <v>27661.690000000002</v>
      </c>
      <c r="AC252" s="6">
        <f>$M$252*$W$252</f>
        <v>0</v>
      </c>
      <c r="AD252" s="6">
        <f>$O$252*$X$252</f>
        <v>0</v>
      </c>
      <c r="AE252" s="6">
        <f ca="1">$K$252*$Y$252</f>
        <v>32189.33086015741</v>
      </c>
      <c r="AF252" s="6">
        <f>$M$252*$Z$252</f>
        <v>0</v>
      </c>
      <c r="AG252" s="6">
        <f>$O$252*$AA$252</f>
        <v>0</v>
      </c>
    </row>
    <row r="253" spans="1:33" ht="11.25" customHeight="1" x14ac:dyDescent="0.25">
      <c r="A253" s="4" t="s">
        <v>21</v>
      </c>
      <c r="B253" s="4" t="s">
        <v>35</v>
      </c>
      <c r="C253" s="4" t="s">
        <v>39</v>
      </c>
      <c r="D253" s="4" t="s">
        <v>40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44470</v>
      </c>
      <c r="J253" s="6">
        <v>15041</v>
      </c>
      <c r="K253" s="6">
        <v>15041</v>
      </c>
      <c r="L253" s="6">
        <v>0</v>
      </c>
      <c r="M253" s="6">
        <v>0</v>
      </c>
      <c r="N253" s="6">
        <v>0</v>
      </c>
      <c r="O253" s="6">
        <v>0</v>
      </c>
      <c r="P253" s="6">
        <v>130</v>
      </c>
      <c r="Q253" s="4" t="s">
        <v>26</v>
      </c>
      <c r="R253" s="4">
        <v>0</v>
      </c>
      <c r="S253" s="6">
        <v>18</v>
      </c>
      <c r="T253" s="6">
        <v>0</v>
      </c>
      <c r="U253" s="6">
        <v>0</v>
      </c>
      <c r="V253" s="6">
        <f>IF(ISERROR(VLOOKUP($S$253,'TAR FIN'!$A$1:$O$93,15,0)),0,VLOOKUP($S$253,'TAR FIN'!$A$1:$O$93,15,0))</f>
        <v>26.17</v>
      </c>
      <c r="W253" s="6">
        <f>IF(ISERROR(VLOOKUP($T$253,'TAR FIN'!$A$1:$O$93,15,0)),0,VLOOKUP($T$253,'TAR FIN'!$A$1:$O$93,15,0))</f>
        <v>0</v>
      </c>
      <c r="X253" s="6">
        <f>IF(ISERROR(VLOOKUP($U$253,'TAR FIN'!$A$1:$O$93,15,0)),0,VLOOKUP($U$253,'TAR FIN'!$A$1:$O$93,15,0))</f>
        <v>0</v>
      </c>
      <c r="Y253" s="6">
        <f ca="1">('TUSD BE'!$AM$14+'TUSD BF'!$AM$14+'TUSD CVA'!$AM$14)*1</f>
        <v>30.453482365333407</v>
      </c>
      <c r="Z253" s="6"/>
      <c r="AA253" s="6"/>
      <c r="AB253" s="6">
        <f>$K$253*$V$253</f>
        <v>393622.97000000003</v>
      </c>
      <c r="AC253" s="6">
        <f>$M$253*$W$253</f>
        <v>0</v>
      </c>
      <c r="AD253" s="6">
        <f>$O$253*$X$253</f>
        <v>0</v>
      </c>
      <c r="AE253" s="6">
        <f ca="1">$K$253*$Y$253</f>
        <v>458050.82825697976</v>
      </c>
      <c r="AF253" s="6">
        <f>$M$253*$Z$253</f>
        <v>0</v>
      </c>
      <c r="AG253" s="6">
        <f>$O$253*$AA$253</f>
        <v>0</v>
      </c>
    </row>
    <row r="254" spans="1:33" ht="11.25" customHeight="1" x14ac:dyDescent="0.25">
      <c r="A254" s="4" t="s">
        <v>27</v>
      </c>
      <c r="B254" s="4" t="s">
        <v>35</v>
      </c>
      <c r="C254" s="4" t="s">
        <v>39</v>
      </c>
      <c r="D254" s="4" t="s">
        <v>40</v>
      </c>
      <c r="E254" s="4" t="s">
        <v>25</v>
      </c>
      <c r="F254" s="4" t="s">
        <v>25</v>
      </c>
      <c r="G254" s="4" t="s">
        <v>25</v>
      </c>
      <c r="H254" s="4" t="s">
        <v>25</v>
      </c>
      <c r="I254" s="5">
        <v>44470</v>
      </c>
      <c r="J254" s="6">
        <v>-140</v>
      </c>
      <c r="K254" s="6">
        <v>-140</v>
      </c>
      <c r="L254" s="6">
        <v>0</v>
      </c>
      <c r="M254" s="6">
        <v>0</v>
      </c>
      <c r="N254" s="6">
        <v>0</v>
      </c>
      <c r="O254" s="6">
        <v>0</v>
      </c>
      <c r="P254" s="6">
        <v>-1</v>
      </c>
      <c r="Q254" s="4" t="s">
        <v>26</v>
      </c>
      <c r="R254" s="4">
        <v>0</v>
      </c>
      <c r="S254" s="6">
        <v>18</v>
      </c>
      <c r="T254" s="6">
        <v>0</v>
      </c>
      <c r="U254" s="6">
        <v>0</v>
      </c>
      <c r="V254" s="6">
        <f>IF(ISERROR(VLOOKUP($S$254,'TAR FIN'!$A$1:$O$93,15,0)),0,VLOOKUP($S$254,'TAR FIN'!$A$1:$O$93,15,0))</f>
        <v>26.17</v>
      </c>
      <c r="W254" s="6">
        <f>IF(ISERROR(VLOOKUP($T$254,'TAR FIN'!$A$1:$O$93,15,0)),0,VLOOKUP($T$254,'TAR FIN'!$A$1:$O$93,15,0))</f>
        <v>0</v>
      </c>
      <c r="X254" s="6">
        <f>IF(ISERROR(VLOOKUP($U$254,'TAR FIN'!$A$1:$O$93,15,0)),0,VLOOKUP($U$254,'TAR FIN'!$A$1:$O$93,15,0))</f>
        <v>0</v>
      </c>
      <c r="Y254" s="6">
        <f ca="1">('TUSD BE'!$AM$14+'TUSD BF'!$AM$14+'TUSD CVA'!$AM$14)*1</f>
        <v>30.453482365333407</v>
      </c>
      <c r="Z254" s="6"/>
      <c r="AA254" s="6"/>
      <c r="AB254" s="6">
        <f>$K$254*$V$254</f>
        <v>-3663.8</v>
      </c>
      <c r="AC254" s="6">
        <f>$M$254*$W$254</f>
        <v>0</v>
      </c>
      <c r="AD254" s="6">
        <f>$O$254*$X$254</f>
        <v>0</v>
      </c>
      <c r="AE254" s="6">
        <f ca="1">$K$254*$Y$254</f>
        <v>-4263.4875311466767</v>
      </c>
      <c r="AF254" s="6">
        <f>$M$254*$Z$254</f>
        <v>0</v>
      </c>
      <c r="AG254" s="6">
        <f>$O$254*$AA$254</f>
        <v>0</v>
      </c>
    </row>
    <row r="255" spans="1:33" ht="11.25" customHeight="1" x14ac:dyDescent="0.25">
      <c r="A255" s="4" t="s">
        <v>28</v>
      </c>
      <c r="B255" s="4" t="s">
        <v>35</v>
      </c>
      <c r="C255" s="4" t="s">
        <v>39</v>
      </c>
      <c r="D255" s="4" t="s">
        <v>40</v>
      </c>
      <c r="E255" s="4" t="s">
        <v>25</v>
      </c>
      <c r="F255" s="4" t="s">
        <v>25</v>
      </c>
      <c r="G255" s="4" t="s">
        <v>25</v>
      </c>
      <c r="H255" s="4" t="s">
        <v>25</v>
      </c>
      <c r="I255" s="5">
        <v>44470</v>
      </c>
      <c r="J255" s="6">
        <v>1057</v>
      </c>
      <c r="K255" s="6">
        <v>1057</v>
      </c>
      <c r="L255" s="6">
        <v>0</v>
      </c>
      <c r="M255" s="6">
        <v>0</v>
      </c>
      <c r="N255" s="6">
        <v>0</v>
      </c>
      <c r="O255" s="6">
        <v>0</v>
      </c>
      <c r="P255" s="6">
        <v>10</v>
      </c>
      <c r="Q255" s="4" t="s">
        <v>26</v>
      </c>
      <c r="R255" s="4">
        <v>0</v>
      </c>
      <c r="S255" s="6">
        <v>18</v>
      </c>
      <c r="T255" s="6">
        <v>0</v>
      </c>
      <c r="U255" s="6">
        <v>0</v>
      </c>
      <c r="V255" s="6">
        <f>IF(ISERROR(VLOOKUP($S$255,'TAR FIN'!$A$1:$O$93,15,0)),0,VLOOKUP($S$255,'TAR FIN'!$A$1:$O$93,15,0))</f>
        <v>26.17</v>
      </c>
      <c r="W255" s="6">
        <f>IF(ISERROR(VLOOKUP($T$255,'TAR FIN'!$A$1:$O$93,15,0)),0,VLOOKUP($T$255,'TAR FIN'!$A$1:$O$93,15,0))</f>
        <v>0</v>
      </c>
      <c r="X255" s="6">
        <f>IF(ISERROR(VLOOKUP($U$255,'TAR FIN'!$A$1:$O$93,15,0)),0,VLOOKUP($U$255,'TAR FIN'!$A$1:$O$93,15,0))</f>
        <v>0</v>
      </c>
      <c r="Y255" s="6">
        <f ca="1">('TUSD BE'!$AM$14+'TUSD BF'!$AM$14+'TUSD CVA'!$AM$14)*1</f>
        <v>30.453482365333407</v>
      </c>
      <c r="Z255" s="6"/>
      <c r="AA255" s="6"/>
      <c r="AB255" s="6">
        <f>$K$255*$V$255</f>
        <v>27661.690000000002</v>
      </c>
      <c r="AC255" s="6">
        <f>$M$255*$W$255</f>
        <v>0</v>
      </c>
      <c r="AD255" s="6">
        <f>$O$255*$X$255</f>
        <v>0</v>
      </c>
      <c r="AE255" s="6">
        <f ca="1">$K$255*$Y$255</f>
        <v>32189.33086015741</v>
      </c>
      <c r="AF255" s="6">
        <f>$M$255*$Z$255</f>
        <v>0</v>
      </c>
      <c r="AG255" s="6">
        <f>$O$255*$AA$255</f>
        <v>0</v>
      </c>
    </row>
    <row r="256" spans="1:33" ht="11.25" customHeight="1" x14ac:dyDescent="0.25">
      <c r="A256" s="4" t="s">
        <v>21</v>
      </c>
      <c r="B256" s="4" t="s">
        <v>35</v>
      </c>
      <c r="C256" s="4" t="s">
        <v>39</v>
      </c>
      <c r="D256" s="4" t="s">
        <v>40</v>
      </c>
      <c r="E256" s="4" t="s">
        <v>25</v>
      </c>
      <c r="F256" s="4" t="s">
        <v>25</v>
      </c>
      <c r="G256" s="4" t="s">
        <v>25</v>
      </c>
      <c r="H256" s="4" t="s">
        <v>25</v>
      </c>
      <c r="I256" s="5">
        <v>44501</v>
      </c>
      <c r="J256" s="6">
        <v>16332</v>
      </c>
      <c r="K256" s="6">
        <v>16332</v>
      </c>
      <c r="L256" s="6">
        <v>0</v>
      </c>
      <c r="M256" s="6">
        <v>0</v>
      </c>
      <c r="N256" s="6">
        <v>0</v>
      </c>
      <c r="O256" s="6">
        <v>0</v>
      </c>
      <c r="P256" s="6">
        <v>128</v>
      </c>
      <c r="Q256" s="4" t="s">
        <v>26</v>
      </c>
      <c r="R256" s="4">
        <v>0</v>
      </c>
      <c r="S256" s="6">
        <v>18</v>
      </c>
      <c r="T256" s="6">
        <v>0</v>
      </c>
      <c r="U256" s="6">
        <v>0</v>
      </c>
      <c r="V256" s="6">
        <f>IF(ISERROR(VLOOKUP($S$256,'TAR FIN'!$A$1:$O$93,15,0)),0,VLOOKUP($S$256,'TAR FIN'!$A$1:$O$93,15,0))</f>
        <v>26.17</v>
      </c>
      <c r="W256" s="6">
        <f>IF(ISERROR(VLOOKUP($T$256,'TAR FIN'!$A$1:$O$93,15,0)),0,VLOOKUP($T$256,'TAR FIN'!$A$1:$O$93,15,0))</f>
        <v>0</v>
      </c>
      <c r="X256" s="6">
        <f>IF(ISERROR(VLOOKUP($U$256,'TAR FIN'!$A$1:$O$93,15,0)),0,VLOOKUP($U$256,'TAR FIN'!$A$1:$O$93,15,0))</f>
        <v>0</v>
      </c>
      <c r="Y256" s="6">
        <f ca="1">('TUSD BE'!$AM$14+'TUSD BF'!$AM$14+'TUSD CVA'!$AM$14)*1</f>
        <v>30.453482365333407</v>
      </c>
      <c r="Z256" s="6"/>
      <c r="AA256" s="6"/>
      <c r="AB256" s="6">
        <f>$K$256*$V$256</f>
        <v>427408.44</v>
      </c>
      <c r="AC256" s="6">
        <f>$M$256*$W$256</f>
        <v>0</v>
      </c>
      <c r="AD256" s="6">
        <f>$O$256*$X$256</f>
        <v>0</v>
      </c>
      <c r="AE256" s="6">
        <f ca="1">$K$256*$Y$256</f>
        <v>497366.27399062522</v>
      </c>
      <c r="AF256" s="6">
        <f>$M$256*$Z$256</f>
        <v>0</v>
      </c>
      <c r="AG256" s="6">
        <f>$O$256*$AA$256</f>
        <v>0</v>
      </c>
    </row>
    <row r="257" spans="1:33" ht="11.25" customHeight="1" x14ac:dyDescent="0.25">
      <c r="A257" s="4" t="s">
        <v>27</v>
      </c>
      <c r="B257" s="4" t="s">
        <v>35</v>
      </c>
      <c r="C257" s="4" t="s">
        <v>39</v>
      </c>
      <c r="D257" s="4" t="s">
        <v>40</v>
      </c>
      <c r="E257" s="4" t="s">
        <v>25</v>
      </c>
      <c r="F257" s="4" t="s">
        <v>25</v>
      </c>
      <c r="G257" s="4" t="s">
        <v>25</v>
      </c>
      <c r="H257" s="4" t="s">
        <v>25</v>
      </c>
      <c r="I257" s="5">
        <v>44501</v>
      </c>
      <c r="J257" s="6">
        <v>-835</v>
      </c>
      <c r="K257" s="6">
        <v>-835</v>
      </c>
      <c r="L257" s="6">
        <v>0</v>
      </c>
      <c r="M257" s="6">
        <v>0</v>
      </c>
      <c r="N257" s="6">
        <v>0</v>
      </c>
      <c r="O257" s="6">
        <v>0</v>
      </c>
      <c r="P257" s="6">
        <v>-1</v>
      </c>
      <c r="Q257" s="4" t="s">
        <v>26</v>
      </c>
      <c r="R257" s="4">
        <v>0</v>
      </c>
      <c r="S257" s="6">
        <v>18</v>
      </c>
      <c r="T257" s="6">
        <v>0</v>
      </c>
      <c r="U257" s="6">
        <v>0</v>
      </c>
      <c r="V257" s="6">
        <f>IF(ISERROR(VLOOKUP($S$257,'TAR FIN'!$A$1:$O$93,15,0)),0,VLOOKUP($S$257,'TAR FIN'!$A$1:$O$93,15,0))</f>
        <v>26.17</v>
      </c>
      <c r="W257" s="6">
        <f>IF(ISERROR(VLOOKUP($T$257,'TAR FIN'!$A$1:$O$93,15,0)),0,VLOOKUP($T$257,'TAR FIN'!$A$1:$O$93,15,0))</f>
        <v>0</v>
      </c>
      <c r="X257" s="6">
        <f>IF(ISERROR(VLOOKUP($U$257,'TAR FIN'!$A$1:$O$93,15,0)),0,VLOOKUP($U$257,'TAR FIN'!$A$1:$O$93,15,0))</f>
        <v>0</v>
      </c>
      <c r="Y257" s="6">
        <f ca="1">('TUSD BE'!$AM$14+'TUSD BF'!$AM$14+'TUSD CVA'!$AM$14)*1</f>
        <v>30.453482365333407</v>
      </c>
      <c r="Z257" s="6"/>
      <c r="AA257" s="6"/>
      <c r="AB257" s="6">
        <f>$K$257*$V$257</f>
        <v>-21851.95</v>
      </c>
      <c r="AC257" s="6">
        <f>$M$257*$W$257</f>
        <v>0</v>
      </c>
      <c r="AD257" s="6">
        <f>$O$257*$X$257</f>
        <v>0</v>
      </c>
      <c r="AE257" s="6">
        <f ca="1">$K$257*$Y$257</f>
        <v>-25428.657775053394</v>
      </c>
      <c r="AF257" s="6">
        <f>$M$257*$Z$257</f>
        <v>0</v>
      </c>
      <c r="AG257" s="6">
        <f>$O$257*$AA$257</f>
        <v>0</v>
      </c>
    </row>
    <row r="258" spans="1:33" ht="11.25" customHeight="1" x14ac:dyDescent="0.25">
      <c r="A258" s="4" t="s">
        <v>28</v>
      </c>
      <c r="B258" s="4" t="s">
        <v>35</v>
      </c>
      <c r="C258" s="4" t="s">
        <v>39</v>
      </c>
      <c r="D258" s="4" t="s">
        <v>40</v>
      </c>
      <c r="E258" s="4" t="s">
        <v>25</v>
      </c>
      <c r="F258" s="4" t="s">
        <v>25</v>
      </c>
      <c r="G258" s="4" t="s">
        <v>25</v>
      </c>
      <c r="H258" s="4" t="s">
        <v>25</v>
      </c>
      <c r="I258" s="5">
        <v>44501</v>
      </c>
      <c r="J258" s="6">
        <v>1061</v>
      </c>
      <c r="K258" s="6">
        <v>1061</v>
      </c>
      <c r="L258" s="6">
        <v>0</v>
      </c>
      <c r="M258" s="6">
        <v>0</v>
      </c>
      <c r="N258" s="6">
        <v>0</v>
      </c>
      <c r="O258" s="6">
        <v>0</v>
      </c>
      <c r="P258" s="6">
        <v>10</v>
      </c>
      <c r="Q258" s="4" t="s">
        <v>26</v>
      </c>
      <c r="R258" s="4">
        <v>0</v>
      </c>
      <c r="S258" s="6">
        <v>18</v>
      </c>
      <c r="T258" s="6">
        <v>0</v>
      </c>
      <c r="U258" s="6">
        <v>0</v>
      </c>
      <c r="V258" s="6">
        <f>IF(ISERROR(VLOOKUP($S$258,'TAR FIN'!$A$1:$O$93,15,0)),0,VLOOKUP($S$258,'TAR FIN'!$A$1:$O$93,15,0))</f>
        <v>26.17</v>
      </c>
      <c r="W258" s="6">
        <f>IF(ISERROR(VLOOKUP($T$258,'TAR FIN'!$A$1:$O$93,15,0)),0,VLOOKUP($T$258,'TAR FIN'!$A$1:$O$93,15,0))</f>
        <v>0</v>
      </c>
      <c r="X258" s="6">
        <f>IF(ISERROR(VLOOKUP($U$258,'TAR FIN'!$A$1:$O$93,15,0)),0,VLOOKUP($U$258,'TAR FIN'!$A$1:$O$93,15,0))</f>
        <v>0</v>
      </c>
      <c r="Y258" s="6">
        <f ca="1">('TUSD BE'!$AM$14+'TUSD BF'!$AM$14+'TUSD CVA'!$AM$14)*1</f>
        <v>30.453482365333407</v>
      </c>
      <c r="Z258" s="6"/>
      <c r="AA258" s="6"/>
      <c r="AB258" s="6">
        <f>$K$258*$V$258</f>
        <v>27766.370000000003</v>
      </c>
      <c r="AC258" s="6">
        <f>$M$258*$W$258</f>
        <v>0</v>
      </c>
      <c r="AD258" s="6">
        <f>$O$258*$X$258</f>
        <v>0</v>
      </c>
      <c r="AE258" s="6">
        <f ca="1">$K$258*$Y$258</f>
        <v>32311.144789618746</v>
      </c>
      <c r="AF258" s="6">
        <f>$M$258*$Z$258</f>
        <v>0</v>
      </c>
      <c r="AG258" s="6">
        <f>$O$258*$AA$258</f>
        <v>0</v>
      </c>
    </row>
    <row r="259" spans="1:33" ht="11.25" customHeight="1" x14ac:dyDescent="0.25">
      <c r="A259" s="4" t="s">
        <v>21</v>
      </c>
      <c r="B259" s="4" t="s">
        <v>35</v>
      </c>
      <c r="C259" s="4" t="s">
        <v>39</v>
      </c>
      <c r="D259" s="4" t="s">
        <v>40</v>
      </c>
      <c r="E259" s="4" t="s">
        <v>25</v>
      </c>
      <c r="F259" s="4" t="s">
        <v>25</v>
      </c>
      <c r="G259" s="4" t="s">
        <v>25</v>
      </c>
      <c r="H259" s="4" t="s">
        <v>25</v>
      </c>
      <c r="I259" s="5">
        <v>44531</v>
      </c>
      <c r="J259" s="6">
        <v>18206</v>
      </c>
      <c r="K259" s="6">
        <v>18206</v>
      </c>
      <c r="L259" s="6">
        <v>0</v>
      </c>
      <c r="M259" s="6">
        <v>0</v>
      </c>
      <c r="N259" s="6">
        <v>0</v>
      </c>
      <c r="O259" s="6">
        <v>0</v>
      </c>
      <c r="P259" s="6">
        <v>128</v>
      </c>
      <c r="Q259" s="4" t="s">
        <v>26</v>
      </c>
      <c r="R259" s="4">
        <v>0</v>
      </c>
      <c r="S259" s="6">
        <v>18</v>
      </c>
      <c r="T259" s="6">
        <v>0</v>
      </c>
      <c r="U259" s="6">
        <v>0</v>
      </c>
      <c r="V259" s="6">
        <f>IF(ISERROR(VLOOKUP($S$259,'TAR FIN'!$A$1:$O$93,15,0)),0,VLOOKUP($S$259,'TAR FIN'!$A$1:$O$93,15,0))</f>
        <v>26.17</v>
      </c>
      <c r="W259" s="6">
        <f>IF(ISERROR(VLOOKUP($T$259,'TAR FIN'!$A$1:$O$93,15,0)),0,VLOOKUP($T$259,'TAR FIN'!$A$1:$O$93,15,0))</f>
        <v>0</v>
      </c>
      <c r="X259" s="6">
        <f>IF(ISERROR(VLOOKUP($U$259,'TAR FIN'!$A$1:$O$93,15,0)),0,VLOOKUP($U$259,'TAR FIN'!$A$1:$O$93,15,0))</f>
        <v>0</v>
      </c>
      <c r="Y259" s="6">
        <f ca="1">('TUSD BE'!$AM$14+'TUSD BF'!$AM$14+'TUSD CVA'!$AM$14)*1</f>
        <v>30.453482365333407</v>
      </c>
      <c r="Z259" s="6"/>
      <c r="AA259" s="6"/>
      <c r="AB259" s="6">
        <f>$K$259*$V$259</f>
        <v>476451.02</v>
      </c>
      <c r="AC259" s="6">
        <f>$M$259*$W$259</f>
        <v>0</v>
      </c>
      <c r="AD259" s="6">
        <f>$O$259*$X$259</f>
        <v>0</v>
      </c>
      <c r="AE259" s="6">
        <f ca="1">$K$259*$Y$259</f>
        <v>554436.09994325996</v>
      </c>
      <c r="AF259" s="6">
        <f>$M$259*$Z$259</f>
        <v>0</v>
      </c>
      <c r="AG259" s="6">
        <f>$O$259*$AA$259</f>
        <v>0</v>
      </c>
    </row>
    <row r="260" spans="1:33" ht="11.25" customHeight="1" x14ac:dyDescent="0.25">
      <c r="A260" s="4" t="s">
        <v>21</v>
      </c>
      <c r="B260" s="4" t="s">
        <v>35</v>
      </c>
      <c r="C260" s="4" t="s">
        <v>39</v>
      </c>
      <c r="D260" s="4" t="s">
        <v>40</v>
      </c>
      <c r="E260" s="4" t="s">
        <v>25</v>
      </c>
      <c r="F260" s="4" t="s">
        <v>25</v>
      </c>
      <c r="G260" s="4" t="s">
        <v>25</v>
      </c>
      <c r="H260" s="4" t="s">
        <v>25</v>
      </c>
      <c r="I260" s="5">
        <v>44562</v>
      </c>
      <c r="J260" s="6">
        <v>16379</v>
      </c>
      <c r="K260" s="6">
        <v>16379</v>
      </c>
      <c r="L260" s="6">
        <v>0</v>
      </c>
      <c r="M260" s="6">
        <v>0</v>
      </c>
      <c r="N260" s="6">
        <v>0</v>
      </c>
      <c r="O260" s="6">
        <v>0</v>
      </c>
      <c r="P260" s="6">
        <v>129</v>
      </c>
      <c r="Q260" s="4" t="s">
        <v>26</v>
      </c>
      <c r="R260" s="4">
        <v>0</v>
      </c>
      <c r="S260" s="6">
        <v>18</v>
      </c>
      <c r="T260" s="6">
        <v>0</v>
      </c>
      <c r="U260" s="6">
        <v>0</v>
      </c>
      <c r="V260" s="6">
        <f>IF(ISERROR(VLOOKUP($S$260,'TAR FIN'!$A$1:$O$93,15,0)),0,VLOOKUP($S$260,'TAR FIN'!$A$1:$O$93,15,0))</f>
        <v>26.17</v>
      </c>
      <c r="W260" s="6">
        <f>IF(ISERROR(VLOOKUP($T$260,'TAR FIN'!$A$1:$O$93,15,0)),0,VLOOKUP($T$260,'TAR FIN'!$A$1:$O$93,15,0))</f>
        <v>0</v>
      </c>
      <c r="X260" s="6">
        <f>IF(ISERROR(VLOOKUP($U$260,'TAR FIN'!$A$1:$O$93,15,0)),0,VLOOKUP($U$260,'TAR FIN'!$A$1:$O$93,15,0))</f>
        <v>0</v>
      </c>
      <c r="Y260" s="6">
        <f ca="1">('TUSD BE'!$AM$14+'TUSD BF'!$AM$14+'TUSD CVA'!$AM$14)*1</f>
        <v>30.453482365333407</v>
      </c>
      <c r="Z260" s="6"/>
      <c r="AA260" s="6"/>
      <c r="AB260" s="6">
        <f>$K$260*$V$260</f>
        <v>428638.43000000005</v>
      </c>
      <c r="AC260" s="6">
        <f>$M$260*$W$260</f>
        <v>0</v>
      </c>
      <c r="AD260" s="6">
        <f>$O$260*$X$260</f>
        <v>0</v>
      </c>
      <c r="AE260" s="6">
        <f ca="1">$K$260*$Y$260</f>
        <v>498797.5876617959</v>
      </c>
      <c r="AF260" s="6">
        <f>$M$260*$Z$260</f>
        <v>0</v>
      </c>
      <c r="AG260" s="6">
        <f>$O$260*$AA$260</f>
        <v>0</v>
      </c>
    </row>
    <row r="261" spans="1:33" ht="11.25" customHeight="1" x14ac:dyDescent="0.25">
      <c r="A261" s="4" t="s">
        <v>28</v>
      </c>
      <c r="B261" s="4" t="s">
        <v>35</v>
      </c>
      <c r="C261" s="4" t="s">
        <v>39</v>
      </c>
      <c r="D261" s="4" t="s">
        <v>40</v>
      </c>
      <c r="E261" s="4" t="s">
        <v>25</v>
      </c>
      <c r="F261" s="4" t="s">
        <v>25</v>
      </c>
      <c r="G261" s="4" t="s">
        <v>25</v>
      </c>
      <c r="H261" s="4" t="s">
        <v>25</v>
      </c>
      <c r="I261" s="5">
        <v>44562</v>
      </c>
      <c r="J261" s="6">
        <v>1132</v>
      </c>
      <c r="K261" s="6">
        <v>1132</v>
      </c>
      <c r="L261" s="6">
        <v>0</v>
      </c>
      <c r="M261" s="6">
        <v>0</v>
      </c>
      <c r="N261" s="6">
        <v>0</v>
      </c>
      <c r="O261" s="6">
        <v>0</v>
      </c>
      <c r="P261" s="6">
        <v>9</v>
      </c>
      <c r="Q261" s="4" t="s">
        <v>26</v>
      </c>
      <c r="R261" s="4">
        <v>0</v>
      </c>
      <c r="S261" s="6">
        <v>18</v>
      </c>
      <c r="T261" s="6">
        <v>0</v>
      </c>
      <c r="U261" s="6">
        <v>0</v>
      </c>
      <c r="V261" s="6">
        <f>IF(ISERROR(VLOOKUP($S$261,'TAR FIN'!$A$1:$O$93,15,0)),0,VLOOKUP($S$261,'TAR FIN'!$A$1:$O$93,15,0))</f>
        <v>26.17</v>
      </c>
      <c r="W261" s="6">
        <f>IF(ISERROR(VLOOKUP($T$261,'TAR FIN'!$A$1:$O$93,15,0)),0,VLOOKUP($T$261,'TAR FIN'!$A$1:$O$93,15,0))</f>
        <v>0</v>
      </c>
      <c r="X261" s="6">
        <f>IF(ISERROR(VLOOKUP($U$261,'TAR FIN'!$A$1:$O$93,15,0)),0,VLOOKUP($U$261,'TAR FIN'!$A$1:$O$93,15,0))</f>
        <v>0</v>
      </c>
      <c r="Y261" s="6">
        <f ca="1">('TUSD BE'!$AM$14+'TUSD BF'!$AM$14+'TUSD CVA'!$AM$14)*1</f>
        <v>30.453482365333407</v>
      </c>
      <c r="Z261" s="6"/>
      <c r="AA261" s="6"/>
      <c r="AB261" s="6">
        <f>$K$261*$V$261</f>
        <v>29624.440000000002</v>
      </c>
      <c r="AC261" s="6">
        <f>$M$261*$W$261</f>
        <v>0</v>
      </c>
      <c r="AD261" s="6">
        <f>$O$261*$X$261</f>
        <v>0</v>
      </c>
      <c r="AE261" s="6">
        <f ca="1">$K$261*$Y$261</f>
        <v>34473.342037557421</v>
      </c>
      <c r="AF261" s="6">
        <f>$M$261*$Z$261</f>
        <v>0</v>
      </c>
      <c r="AG261" s="6">
        <f>$O$261*$AA$261</f>
        <v>0</v>
      </c>
    </row>
    <row r="262" spans="1:33" ht="11.25" customHeight="1" x14ac:dyDescent="0.25">
      <c r="A262" s="4" t="s">
        <v>21</v>
      </c>
      <c r="B262" s="4" t="s">
        <v>35</v>
      </c>
      <c r="C262" s="4" t="s">
        <v>39</v>
      </c>
      <c r="D262" s="4" t="s">
        <v>40</v>
      </c>
      <c r="E262" s="4" t="s">
        <v>25</v>
      </c>
      <c r="F262" s="4" t="s">
        <v>25</v>
      </c>
      <c r="G262" s="4" t="s">
        <v>25</v>
      </c>
      <c r="H262" s="4" t="s">
        <v>25</v>
      </c>
      <c r="I262" s="5">
        <v>44593</v>
      </c>
      <c r="J262" s="6">
        <v>16929</v>
      </c>
      <c r="K262" s="6">
        <v>16929</v>
      </c>
      <c r="L262" s="6">
        <v>0</v>
      </c>
      <c r="M262" s="6">
        <v>0</v>
      </c>
      <c r="N262" s="6">
        <v>0</v>
      </c>
      <c r="O262" s="6">
        <v>0</v>
      </c>
      <c r="P262" s="6">
        <v>129</v>
      </c>
      <c r="Q262" s="4" t="s">
        <v>26</v>
      </c>
      <c r="R262" s="4">
        <v>0</v>
      </c>
      <c r="S262" s="6">
        <v>18</v>
      </c>
      <c r="T262" s="6">
        <v>0</v>
      </c>
      <c r="U262" s="6">
        <v>0</v>
      </c>
      <c r="V262" s="6">
        <f>IF(ISERROR(VLOOKUP($S$262,'TAR FIN'!$A$1:$O$93,15,0)),0,VLOOKUP($S$262,'TAR FIN'!$A$1:$O$93,15,0))</f>
        <v>26.17</v>
      </c>
      <c r="W262" s="6">
        <f>IF(ISERROR(VLOOKUP($T$262,'TAR FIN'!$A$1:$O$93,15,0)),0,VLOOKUP($T$262,'TAR FIN'!$A$1:$O$93,15,0))</f>
        <v>0</v>
      </c>
      <c r="X262" s="6">
        <f>IF(ISERROR(VLOOKUP($U$262,'TAR FIN'!$A$1:$O$93,15,0)),0,VLOOKUP($U$262,'TAR FIN'!$A$1:$O$93,15,0))</f>
        <v>0</v>
      </c>
      <c r="Y262" s="6">
        <f ca="1">('TUSD BE'!$AM$14+'TUSD BF'!$AM$14+'TUSD CVA'!$AM$14)*1</f>
        <v>30.453482365333407</v>
      </c>
      <c r="Z262" s="6"/>
      <c r="AA262" s="6"/>
      <c r="AB262" s="6">
        <f>$K$262*$V$262</f>
        <v>443031.93000000005</v>
      </c>
      <c r="AC262" s="6">
        <f>$M$262*$W$262</f>
        <v>0</v>
      </c>
      <c r="AD262" s="6">
        <f>$O$262*$X$262</f>
        <v>0</v>
      </c>
      <c r="AE262" s="6">
        <f ca="1">$K$262*$Y$262</f>
        <v>515547.00296272925</v>
      </c>
      <c r="AF262" s="6">
        <f>$M$262*$Z$262</f>
        <v>0</v>
      </c>
      <c r="AG262" s="6">
        <f>$O$262*$AA$262</f>
        <v>0</v>
      </c>
    </row>
    <row r="263" spans="1:33" ht="11.25" customHeight="1" x14ac:dyDescent="0.25">
      <c r="A263" s="4" t="s">
        <v>27</v>
      </c>
      <c r="B263" s="4" t="s">
        <v>35</v>
      </c>
      <c r="C263" s="4" t="s">
        <v>39</v>
      </c>
      <c r="D263" s="4" t="s">
        <v>40</v>
      </c>
      <c r="E263" s="4" t="s">
        <v>25</v>
      </c>
      <c r="F263" s="4" t="s">
        <v>25</v>
      </c>
      <c r="G263" s="4" t="s">
        <v>25</v>
      </c>
      <c r="H263" s="4" t="s">
        <v>25</v>
      </c>
      <c r="I263" s="5">
        <v>44593</v>
      </c>
      <c r="J263" s="6">
        <v>-90</v>
      </c>
      <c r="K263" s="6">
        <v>-90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4" t="s">
        <v>26</v>
      </c>
      <c r="R263" s="4">
        <v>0</v>
      </c>
      <c r="S263" s="6">
        <v>18</v>
      </c>
      <c r="T263" s="6">
        <v>0</v>
      </c>
      <c r="U263" s="6">
        <v>0</v>
      </c>
      <c r="V263" s="6">
        <f>IF(ISERROR(VLOOKUP($S$263,'TAR FIN'!$A$1:$O$93,15,0)),0,VLOOKUP($S$263,'TAR FIN'!$A$1:$O$93,15,0))</f>
        <v>26.17</v>
      </c>
      <c r="W263" s="6">
        <f>IF(ISERROR(VLOOKUP($T$263,'TAR FIN'!$A$1:$O$93,15,0)),0,VLOOKUP($T$263,'TAR FIN'!$A$1:$O$93,15,0))</f>
        <v>0</v>
      </c>
      <c r="X263" s="6">
        <f>IF(ISERROR(VLOOKUP($U$263,'TAR FIN'!$A$1:$O$93,15,0)),0,VLOOKUP($U$263,'TAR FIN'!$A$1:$O$93,15,0))</f>
        <v>0</v>
      </c>
      <c r="Y263" s="6">
        <f ca="1">('TUSD BE'!$AM$14+'TUSD BF'!$AM$14+'TUSD CVA'!$AM$14)*1</f>
        <v>30.453482365333407</v>
      </c>
      <c r="Z263" s="6"/>
      <c r="AA263" s="6"/>
      <c r="AB263" s="6">
        <f>$K$263*$V$263</f>
        <v>-2355.3000000000002</v>
      </c>
      <c r="AC263" s="6">
        <f>$M$263*$W$263</f>
        <v>0</v>
      </c>
      <c r="AD263" s="6">
        <f>$O$263*$X$263</f>
        <v>0</v>
      </c>
      <c r="AE263" s="6">
        <f ca="1">$K$263*$Y$263</f>
        <v>-2740.8134128800066</v>
      </c>
      <c r="AF263" s="6">
        <f>$M$263*$Z$263</f>
        <v>0</v>
      </c>
      <c r="AG263" s="6">
        <f>$O$263*$AA$263</f>
        <v>0</v>
      </c>
    </row>
    <row r="264" spans="1:33" ht="11.25" customHeight="1" x14ac:dyDescent="0.25">
      <c r="A264" s="4" t="s">
        <v>28</v>
      </c>
      <c r="B264" s="4" t="s">
        <v>35</v>
      </c>
      <c r="C264" s="4" t="s">
        <v>39</v>
      </c>
      <c r="D264" s="4" t="s">
        <v>40</v>
      </c>
      <c r="E264" s="4" t="s">
        <v>25</v>
      </c>
      <c r="F264" s="4" t="s">
        <v>25</v>
      </c>
      <c r="G264" s="4" t="s">
        <v>25</v>
      </c>
      <c r="H264" s="4" t="s">
        <v>25</v>
      </c>
      <c r="I264" s="5">
        <v>44593</v>
      </c>
      <c r="J264" s="6">
        <v>1479</v>
      </c>
      <c r="K264" s="6">
        <v>1479</v>
      </c>
      <c r="L264" s="6">
        <v>0</v>
      </c>
      <c r="M264" s="6">
        <v>0</v>
      </c>
      <c r="N264" s="6">
        <v>0</v>
      </c>
      <c r="O264" s="6">
        <v>0</v>
      </c>
      <c r="P264" s="6">
        <v>10</v>
      </c>
      <c r="Q264" s="4" t="s">
        <v>26</v>
      </c>
      <c r="R264" s="4">
        <v>0</v>
      </c>
      <c r="S264" s="6">
        <v>18</v>
      </c>
      <c r="T264" s="6">
        <v>0</v>
      </c>
      <c r="U264" s="6">
        <v>0</v>
      </c>
      <c r="V264" s="6">
        <f>IF(ISERROR(VLOOKUP($S$264,'TAR FIN'!$A$1:$O$93,15,0)),0,VLOOKUP($S$264,'TAR FIN'!$A$1:$O$93,15,0))</f>
        <v>26.17</v>
      </c>
      <c r="W264" s="6">
        <f>IF(ISERROR(VLOOKUP($T$264,'TAR FIN'!$A$1:$O$93,15,0)),0,VLOOKUP($T$264,'TAR FIN'!$A$1:$O$93,15,0))</f>
        <v>0</v>
      </c>
      <c r="X264" s="6">
        <f>IF(ISERROR(VLOOKUP($U$264,'TAR FIN'!$A$1:$O$93,15,0)),0,VLOOKUP($U$264,'TAR FIN'!$A$1:$O$93,15,0))</f>
        <v>0</v>
      </c>
      <c r="Y264" s="6">
        <f ca="1">('TUSD BE'!$AM$14+'TUSD BF'!$AM$14+'TUSD CVA'!$AM$14)*1</f>
        <v>30.453482365333407</v>
      </c>
      <c r="Z264" s="6"/>
      <c r="AA264" s="6"/>
      <c r="AB264" s="6">
        <f>$K$264*$V$264</f>
        <v>38705.43</v>
      </c>
      <c r="AC264" s="6">
        <f>$M$264*$W$264</f>
        <v>0</v>
      </c>
      <c r="AD264" s="6">
        <f>$O$264*$X$264</f>
        <v>0</v>
      </c>
      <c r="AE264" s="6">
        <f ca="1">$K$264*$Y$264</f>
        <v>45040.70041832811</v>
      </c>
      <c r="AF264" s="6">
        <f>$M$264*$Z$264</f>
        <v>0</v>
      </c>
      <c r="AG264" s="6">
        <f>$O$264*$AA$264</f>
        <v>0</v>
      </c>
    </row>
    <row r="265" spans="1:33" ht="11.25" customHeight="1" x14ac:dyDescent="0.25">
      <c r="A265" s="4" t="s">
        <v>21</v>
      </c>
      <c r="B265" s="4" t="s">
        <v>35</v>
      </c>
      <c r="C265" s="4" t="s">
        <v>39</v>
      </c>
      <c r="D265" s="4" t="s">
        <v>40</v>
      </c>
      <c r="E265" s="4" t="s">
        <v>25</v>
      </c>
      <c r="F265" s="4" t="s">
        <v>25</v>
      </c>
      <c r="G265" s="4" t="s">
        <v>25</v>
      </c>
      <c r="H265" s="4" t="s">
        <v>25</v>
      </c>
      <c r="I265" s="5">
        <v>44621</v>
      </c>
      <c r="J265" s="6">
        <v>17864</v>
      </c>
      <c r="K265" s="6">
        <v>17864</v>
      </c>
      <c r="L265" s="6">
        <v>0</v>
      </c>
      <c r="M265" s="6">
        <v>0</v>
      </c>
      <c r="N265" s="6">
        <v>0</v>
      </c>
      <c r="O265" s="6">
        <v>0</v>
      </c>
      <c r="P265" s="6">
        <v>129</v>
      </c>
      <c r="Q265" s="4" t="s">
        <v>26</v>
      </c>
      <c r="R265" s="4">
        <v>0</v>
      </c>
      <c r="S265" s="6">
        <v>18</v>
      </c>
      <c r="T265" s="6">
        <v>0</v>
      </c>
      <c r="U265" s="6">
        <v>0</v>
      </c>
      <c r="V265" s="6">
        <f>IF(ISERROR(VLOOKUP($S$265,'TAR FIN'!$A$1:$O$93,15,0)),0,VLOOKUP($S$265,'TAR FIN'!$A$1:$O$93,15,0))</f>
        <v>26.17</v>
      </c>
      <c r="W265" s="6">
        <f>IF(ISERROR(VLOOKUP($T$265,'TAR FIN'!$A$1:$O$93,15,0)),0,VLOOKUP($T$265,'TAR FIN'!$A$1:$O$93,15,0))</f>
        <v>0</v>
      </c>
      <c r="X265" s="6">
        <f>IF(ISERROR(VLOOKUP($U$265,'TAR FIN'!$A$1:$O$93,15,0)),0,VLOOKUP($U$265,'TAR FIN'!$A$1:$O$93,15,0))</f>
        <v>0</v>
      </c>
      <c r="Y265" s="6">
        <f ca="1">('TUSD BE'!$AM$14+'TUSD BF'!$AM$14+'TUSD CVA'!$AM$14)*1</f>
        <v>30.453482365333407</v>
      </c>
      <c r="Z265" s="6"/>
      <c r="AA265" s="6"/>
      <c r="AB265" s="6">
        <f>$K$265*$V$265</f>
        <v>467500.88</v>
      </c>
      <c r="AC265" s="6">
        <f>$M$265*$W$265</f>
        <v>0</v>
      </c>
      <c r="AD265" s="6">
        <f>$O$265*$X$265</f>
        <v>0</v>
      </c>
      <c r="AE265" s="6">
        <f ca="1">$K$265*$Y$265</f>
        <v>544021.00897431595</v>
      </c>
      <c r="AF265" s="6">
        <f>$M$265*$Z$265</f>
        <v>0</v>
      </c>
      <c r="AG265" s="6">
        <f>$O$265*$AA$265</f>
        <v>0</v>
      </c>
    </row>
    <row r="266" spans="1:33" ht="11.25" customHeight="1" x14ac:dyDescent="0.25">
      <c r="A266" s="4" t="s">
        <v>28</v>
      </c>
      <c r="B266" s="4" t="s">
        <v>35</v>
      </c>
      <c r="C266" s="4" t="s">
        <v>39</v>
      </c>
      <c r="D266" s="4" t="s">
        <v>40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44621</v>
      </c>
      <c r="J266" s="6">
        <v>1721</v>
      </c>
      <c r="K266" s="6">
        <v>1721</v>
      </c>
      <c r="L266" s="6">
        <v>0</v>
      </c>
      <c r="M266" s="6">
        <v>0</v>
      </c>
      <c r="N266" s="6">
        <v>0</v>
      </c>
      <c r="O266" s="6">
        <v>0</v>
      </c>
      <c r="P266" s="6">
        <v>10</v>
      </c>
      <c r="Q266" s="4" t="s">
        <v>26</v>
      </c>
      <c r="R266" s="4">
        <v>0</v>
      </c>
      <c r="S266" s="6">
        <v>18</v>
      </c>
      <c r="T266" s="6">
        <v>0</v>
      </c>
      <c r="U266" s="6">
        <v>0</v>
      </c>
      <c r="V266" s="6">
        <f>IF(ISERROR(VLOOKUP($S$266,'TAR FIN'!$A$1:$O$93,15,0)),0,VLOOKUP($S$266,'TAR FIN'!$A$1:$O$93,15,0))</f>
        <v>26.17</v>
      </c>
      <c r="W266" s="6">
        <f>IF(ISERROR(VLOOKUP($T$266,'TAR FIN'!$A$1:$O$93,15,0)),0,VLOOKUP($T$266,'TAR FIN'!$A$1:$O$93,15,0))</f>
        <v>0</v>
      </c>
      <c r="X266" s="6">
        <f>IF(ISERROR(VLOOKUP($U$266,'TAR FIN'!$A$1:$O$93,15,0)),0,VLOOKUP($U$266,'TAR FIN'!$A$1:$O$93,15,0))</f>
        <v>0</v>
      </c>
      <c r="Y266" s="6">
        <f ca="1">('TUSD BE'!$AM$14+'TUSD BF'!$AM$14+'TUSD CVA'!$AM$14)*1</f>
        <v>30.453482365333407</v>
      </c>
      <c r="Z266" s="6"/>
      <c r="AA266" s="6"/>
      <c r="AB266" s="6">
        <f>$K$266*$V$266</f>
        <v>45038.57</v>
      </c>
      <c r="AC266" s="6">
        <f>$M$266*$W$266</f>
        <v>0</v>
      </c>
      <c r="AD266" s="6">
        <f>$O$266*$X$266</f>
        <v>0</v>
      </c>
      <c r="AE266" s="6">
        <f ca="1">$K$266*$Y$266</f>
        <v>52410.443150738793</v>
      </c>
      <c r="AF266" s="6">
        <f>$M$266*$Z$266</f>
        <v>0</v>
      </c>
      <c r="AG266" s="6">
        <f>$O$266*$AA$266</f>
        <v>0</v>
      </c>
    </row>
    <row r="267" spans="1:33" ht="11.25" customHeight="1" x14ac:dyDescent="0.25">
      <c r="A267" s="4" t="s">
        <v>21</v>
      </c>
      <c r="B267" s="4" t="s">
        <v>35</v>
      </c>
      <c r="C267" s="4" t="s">
        <v>39</v>
      </c>
      <c r="D267" s="4" t="s">
        <v>40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44652</v>
      </c>
      <c r="J267" s="6">
        <v>20745</v>
      </c>
      <c r="K267" s="6">
        <v>20745</v>
      </c>
      <c r="L267" s="6">
        <v>0</v>
      </c>
      <c r="M267" s="6">
        <v>0</v>
      </c>
      <c r="N267" s="6">
        <v>0</v>
      </c>
      <c r="O267" s="6">
        <v>0</v>
      </c>
      <c r="P267" s="6">
        <v>137</v>
      </c>
      <c r="Q267" s="4" t="s">
        <v>26</v>
      </c>
      <c r="R267" s="4">
        <v>0</v>
      </c>
      <c r="S267" s="6">
        <v>18</v>
      </c>
      <c r="T267" s="6">
        <v>0</v>
      </c>
      <c r="U267" s="6">
        <v>0</v>
      </c>
      <c r="V267" s="6">
        <f>IF(ISERROR(VLOOKUP($S$267,'TAR FIN'!$A$1:$O$93,15,0)),0,VLOOKUP($S$267,'TAR FIN'!$A$1:$O$93,15,0))</f>
        <v>26.17</v>
      </c>
      <c r="W267" s="6">
        <f>IF(ISERROR(VLOOKUP($T$267,'TAR FIN'!$A$1:$O$93,15,0)),0,VLOOKUP($T$267,'TAR FIN'!$A$1:$O$93,15,0))</f>
        <v>0</v>
      </c>
      <c r="X267" s="6">
        <f>IF(ISERROR(VLOOKUP($U$267,'TAR FIN'!$A$1:$O$93,15,0)),0,VLOOKUP($U$267,'TAR FIN'!$A$1:$O$93,15,0))</f>
        <v>0</v>
      </c>
      <c r="Y267" s="6">
        <f ca="1">('TUSD BE'!$AM$14+'TUSD BF'!$AM$14+'TUSD CVA'!$AM$14)*1</f>
        <v>30.453482365333407</v>
      </c>
      <c r="Z267" s="6"/>
      <c r="AA267" s="6"/>
      <c r="AB267" s="6">
        <f>$K$267*$V$267</f>
        <v>542896.65</v>
      </c>
      <c r="AC267" s="6">
        <f>$M$267*$W$267</f>
        <v>0</v>
      </c>
      <c r="AD267" s="6">
        <f>$O$267*$X$267</f>
        <v>0</v>
      </c>
      <c r="AE267" s="6">
        <f ca="1">$K$267*$Y$267</f>
        <v>631757.49166884157</v>
      </c>
      <c r="AF267" s="6">
        <f>$M$267*$Z$267</f>
        <v>0</v>
      </c>
      <c r="AG267" s="6">
        <f>$O$267*$AA$267</f>
        <v>0</v>
      </c>
    </row>
    <row r="268" spans="1:33" ht="11.25" customHeight="1" x14ac:dyDescent="0.25">
      <c r="A268" s="4" t="s">
        <v>27</v>
      </c>
      <c r="B268" s="4" t="s">
        <v>35</v>
      </c>
      <c r="C268" s="4" t="s">
        <v>39</v>
      </c>
      <c r="D268" s="4" t="s">
        <v>40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44652</v>
      </c>
      <c r="J268" s="6">
        <v>-1995</v>
      </c>
      <c r="K268" s="6">
        <v>-1995</v>
      </c>
      <c r="L268" s="6">
        <v>0</v>
      </c>
      <c r="M268" s="6">
        <v>0</v>
      </c>
      <c r="N268" s="6">
        <v>0</v>
      </c>
      <c r="O268" s="6">
        <v>0</v>
      </c>
      <c r="P268" s="6">
        <v>-10</v>
      </c>
      <c r="Q268" s="4" t="s">
        <v>26</v>
      </c>
      <c r="R268" s="4">
        <v>0</v>
      </c>
      <c r="S268" s="6">
        <v>18</v>
      </c>
      <c r="T268" s="6">
        <v>0</v>
      </c>
      <c r="U268" s="6">
        <v>0</v>
      </c>
      <c r="V268" s="6">
        <f>IF(ISERROR(VLOOKUP($S$268,'TAR FIN'!$A$1:$O$93,15,0)),0,VLOOKUP($S$268,'TAR FIN'!$A$1:$O$93,15,0))</f>
        <v>26.17</v>
      </c>
      <c r="W268" s="6">
        <f>IF(ISERROR(VLOOKUP($T$268,'TAR FIN'!$A$1:$O$93,15,0)),0,VLOOKUP($T$268,'TAR FIN'!$A$1:$O$93,15,0))</f>
        <v>0</v>
      </c>
      <c r="X268" s="6">
        <f>IF(ISERROR(VLOOKUP($U$268,'TAR FIN'!$A$1:$O$93,15,0)),0,VLOOKUP($U$268,'TAR FIN'!$A$1:$O$93,15,0))</f>
        <v>0</v>
      </c>
      <c r="Y268" s="6">
        <f ca="1">('TUSD BE'!$AM$14+'TUSD BF'!$AM$14+'TUSD CVA'!$AM$14)*1</f>
        <v>30.453482365333407</v>
      </c>
      <c r="Z268" s="6"/>
      <c r="AA268" s="6"/>
      <c r="AB268" s="6">
        <f>$K$268*$V$268</f>
        <v>-52209.15</v>
      </c>
      <c r="AC268" s="6">
        <f>$M$268*$W$268</f>
        <v>0</v>
      </c>
      <c r="AD268" s="6">
        <f>$O$268*$X$268</f>
        <v>0</v>
      </c>
      <c r="AE268" s="6">
        <f ca="1">$K$268*$Y$268</f>
        <v>-60754.697318840146</v>
      </c>
      <c r="AF268" s="6">
        <f>$M$268*$Z$268</f>
        <v>0</v>
      </c>
      <c r="AG268" s="6">
        <f>$O$268*$AA$268</f>
        <v>0</v>
      </c>
    </row>
    <row r="269" spans="1:33" ht="11.25" customHeight="1" x14ac:dyDescent="0.25">
      <c r="A269" s="4" t="s">
        <v>28</v>
      </c>
      <c r="B269" s="4" t="s">
        <v>35</v>
      </c>
      <c r="C269" s="4" t="s">
        <v>39</v>
      </c>
      <c r="D269" s="4" t="s">
        <v>40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44652</v>
      </c>
      <c r="J269" s="6">
        <v>3720</v>
      </c>
      <c r="K269" s="6">
        <v>3720</v>
      </c>
      <c r="L269" s="6">
        <v>0</v>
      </c>
      <c r="M269" s="6">
        <v>0</v>
      </c>
      <c r="N269" s="6">
        <v>0</v>
      </c>
      <c r="O269" s="6">
        <v>0</v>
      </c>
      <c r="P269" s="6">
        <v>12</v>
      </c>
      <c r="Q269" s="4" t="s">
        <v>26</v>
      </c>
      <c r="R269" s="4">
        <v>0</v>
      </c>
      <c r="S269" s="6">
        <v>18</v>
      </c>
      <c r="T269" s="6">
        <v>0</v>
      </c>
      <c r="U269" s="6">
        <v>0</v>
      </c>
      <c r="V269" s="6">
        <f>IF(ISERROR(VLOOKUP($S$269,'TAR FIN'!$A$1:$O$93,15,0)),0,VLOOKUP($S$269,'TAR FIN'!$A$1:$O$93,15,0))</f>
        <v>26.17</v>
      </c>
      <c r="W269" s="6">
        <f>IF(ISERROR(VLOOKUP($T$269,'TAR FIN'!$A$1:$O$93,15,0)),0,VLOOKUP($T$269,'TAR FIN'!$A$1:$O$93,15,0))</f>
        <v>0</v>
      </c>
      <c r="X269" s="6">
        <f>IF(ISERROR(VLOOKUP($U$269,'TAR FIN'!$A$1:$O$93,15,0)),0,VLOOKUP($U$269,'TAR FIN'!$A$1:$O$93,15,0))</f>
        <v>0</v>
      </c>
      <c r="Y269" s="6">
        <f ca="1">('TUSD BE'!$AM$14+'TUSD BF'!$AM$14+'TUSD CVA'!$AM$14)*1</f>
        <v>30.453482365333407</v>
      </c>
      <c r="Z269" s="6"/>
      <c r="AA269" s="6"/>
      <c r="AB269" s="6">
        <f>$K$269*$V$269</f>
        <v>97352.400000000009</v>
      </c>
      <c r="AC269" s="6">
        <f>$M$269*$W$269</f>
        <v>0</v>
      </c>
      <c r="AD269" s="6">
        <f>$O$269*$X$269</f>
        <v>0</v>
      </c>
      <c r="AE269" s="6">
        <f ca="1">$K$269*$Y$269</f>
        <v>113286.95439904027</v>
      </c>
      <c r="AF269" s="6">
        <f>$M$269*$Z$269</f>
        <v>0</v>
      </c>
      <c r="AG269" s="6">
        <f>$O$269*$AA$269</f>
        <v>0</v>
      </c>
    </row>
    <row r="270" spans="1:33" ht="11.25" customHeight="1" x14ac:dyDescent="0.25">
      <c r="A270" s="4" t="s">
        <v>21</v>
      </c>
      <c r="B270" s="4" t="s">
        <v>35</v>
      </c>
      <c r="C270" s="4" t="s">
        <v>39</v>
      </c>
      <c r="D270" s="4" t="s">
        <v>40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44682</v>
      </c>
      <c r="J270" s="6">
        <v>19235</v>
      </c>
      <c r="K270" s="6">
        <v>19235</v>
      </c>
      <c r="L270" s="6">
        <v>0</v>
      </c>
      <c r="M270" s="6">
        <v>0</v>
      </c>
      <c r="N270" s="6">
        <v>0</v>
      </c>
      <c r="O270" s="6">
        <v>0</v>
      </c>
      <c r="P270" s="6">
        <v>126</v>
      </c>
      <c r="Q270" s="4" t="s">
        <v>26</v>
      </c>
      <c r="R270" s="4">
        <v>0</v>
      </c>
      <c r="S270" s="6">
        <v>18</v>
      </c>
      <c r="T270" s="6">
        <v>0</v>
      </c>
      <c r="U270" s="6">
        <v>0</v>
      </c>
      <c r="V270" s="6">
        <f>IF(ISERROR(VLOOKUP($S$270,'TAR FIN'!$A$1:$O$93,15,0)),0,VLOOKUP($S$270,'TAR FIN'!$A$1:$O$93,15,0))</f>
        <v>26.17</v>
      </c>
      <c r="W270" s="6">
        <f>IF(ISERROR(VLOOKUP($T$270,'TAR FIN'!$A$1:$O$93,15,0)),0,VLOOKUP($T$270,'TAR FIN'!$A$1:$O$93,15,0))</f>
        <v>0</v>
      </c>
      <c r="X270" s="6">
        <f>IF(ISERROR(VLOOKUP($U$270,'TAR FIN'!$A$1:$O$93,15,0)),0,VLOOKUP($U$270,'TAR FIN'!$A$1:$O$93,15,0))</f>
        <v>0</v>
      </c>
      <c r="Y270" s="6">
        <f ca="1">('TUSD BE'!$AM$14+'TUSD BF'!$AM$14+'TUSD CVA'!$AM$14)*1</f>
        <v>30.453482365333407</v>
      </c>
      <c r="Z270" s="6"/>
      <c r="AA270" s="6"/>
      <c r="AB270" s="6">
        <f>$K$270*$V$270</f>
        <v>503379.95</v>
      </c>
      <c r="AC270" s="6">
        <f>$M$270*$W$270</f>
        <v>0</v>
      </c>
      <c r="AD270" s="6">
        <f>$O$270*$X$270</f>
        <v>0</v>
      </c>
      <c r="AE270" s="6">
        <f ca="1">$K$270*$Y$270</f>
        <v>585772.73329718807</v>
      </c>
      <c r="AF270" s="6">
        <f>$M$270*$Z$270</f>
        <v>0</v>
      </c>
      <c r="AG270" s="6">
        <f>$O$270*$AA$270</f>
        <v>0</v>
      </c>
    </row>
    <row r="271" spans="1:33" ht="11.25" customHeight="1" x14ac:dyDescent="0.25">
      <c r="A271" s="4" t="s">
        <v>27</v>
      </c>
      <c r="B271" s="4" t="s">
        <v>35</v>
      </c>
      <c r="C271" s="4" t="s">
        <v>39</v>
      </c>
      <c r="D271" s="4" t="s">
        <v>40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44682</v>
      </c>
      <c r="J271" s="6">
        <v>-594</v>
      </c>
      <c r="K271" s="6">
        <v>-594</v>
      </c>
      <c r="L271" s="6">
        <v>0</v>
      </c>
      <c r="M271" s="6">
        <v>0</v>
      </c>
      <c r="N271" s="6">
        <v>0</v>
      </c>
      <c r="O271" s="6">
        <v>0</v>
      </c>
      <c r="P271" s="6">
        <v>-4</v>
      </c>
      <c r="Q271" s="4" t="s">
        <v>26</v>
      </c>
      <c r="R271" s="4">
        <v>0</v>
      </c>
      <c r="S271" s="6">
        <v>18</v>
      </c>
      <c r="T271" s="6">
        <v>0</v>
      </c>
      <c r="U271" s="6">
        <v>0</v>
      </c>
      <c r="V271" s="6">
        <f>IF(ISERROR(VLOOKUP($S$271,'TAR FIN'!$A$1:$O$93,15,0)),0,VLOOKUP($S$271,'TAR FIN'!$A$1:$O$93,15,0))</f>
        <v>26.17</v>
      </c>
      <c r="W271" s="6">
        <f>IF(ISERROR(VLOOKUP($T$271,'TAR FIN'!$A$1:$O$93,15,0)),0,VLOOKUP($T$271,'TAR FIN'!$A$1:$O$93,15,0))</f>
        <v>0</v>
      </c>
      <c r="X271" s="6">
        <f>IF(ISERROR(VLOOKUP($U$271,'TAR FIN'!$A$1:$O$93,15,0)),0,VLOOKUP($U$271,'TAR FIN'!$A$1:$O$93,15,0))</f>
        <v>0</v>
      </c>
      <c r="Y271" s="6">
        <f ca="1">('TUSD BE'!$AM$14+'TUSD BF'!$AM$14+'TUSD CVA'!$AM$14)*1</f>
        <v>30.453482365333407</v>
      </c>
      <c r="Z271" s="6"/>
      <c r="AA271" s="6"/>
      <c r="AB271" s="6">
        <f>$K$271*$V$271</f>
        <v>-15544.980000000001</v>
      </c>
      <c r="AC271" s="6">
        <f>$M$271*$W$271</f>
        <v>0</v>
      </c>
      <c r="AD271" s="6">
        <f>$O$271*$X$271</f>
        <v>0</v>
      </c>
      <c r="AE271" s="6">
        <f ca="1">$K$271*$Y$271</f>
        <v>-18089.368525008045</v>
      </c>
      <c r="AF271" s="6">
        <f>$M$271*$Z$271</f>
        <v>0</v>
      </c>
      <c r="AG271" s="6">
        <f>$O$271*$AA$271</f>
        <v>0</v>
      </c>
    </row>
    <row r="272" spans="1:33" ht="11.25" customHeight="1" x14ac:dyDescent="0.25">
      <c r="A272" s="4" t="s">
        <v>28</v>
      </c>
      <c r="B272" s="4" t="s">
        <v>35</v>
      </c>
      <c r="C272" s="4" t="s">
        <v>39</v>
      </c>
      <c r="D272" s="4" t="s">
        <v>40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44682</v>
      </c>
      <c r="J272" s="6">
        <v>2053</v>
      </c>
      <c r="K272" s="6">
        <v>2053</v>
      </c>
      <c r="L272" s="6">
        <v>0</v>
      </c>
      <c r="M272" s="6">
        <v>0</v>
      </c>
      <c r="N272" s="6">
        <v>0</v>
      </c>
      <c r="O272" s="6">
        <v>0</v>
      </c>
      <c r="P272" s="6">
        <v>14</v>
      </c>
      <c r="Q272" s="4" t="s">
        <v>26</v>
      </c>
      <c r="R272" s="4">
        <v>0</v>
      </c>
      <c r="S272" s="6">
        <v>18</v>
      </c>
      <c r="T272" s="6">
        <v>0</v>
      </c>
      <c r="U272" s="6">
        <v>0</v>
      </c>
      <c r="V272" s="6">
        <f>IF(ISERROR(VLOOKUP($S$272,'TAR FIN'!$A$1:$O$93,15,0)),0,VLOOKUP($S$272,'TAR FIN'!$A$1:$O$93,15,0))</f>
        <v>26.17</v>
      </c>
      <c r="W272" s="6">
        <f>IF(ISERROR(VLOOKUP($T$272,'TAR FIN'!$A$1:$O$93,15,0)),0,VLOOKUP($T$272,'TAR FIN'!$A$1:$O$93,15,0))</f>
        <v>0</v>
      </c>
      <c r="X272" s="6">
        <f>IF(ISERROR(VLOOKUP($U$272,'TAR FIN'!$A$1:$O$93,15,0)),0,VLOOKUP($U$272,'TAR FIN'!$A$1:$O$93,15,0))</f>
        <v>0</v>
      </c>
      <c r="Y272" s="6">
        <f ca="1">('TUSD BE'!$AM$14+'TUSD BF'!$AM$14+'TUSD CVA'!$AM$14)*1</f>
        <v>30.453482365333407</v>
      </c>
      <c r="Z272" s="6"/>
      <c r="AA272" s="6"/>
      <c r="AB272" s="6">
        <f>$K$272*$V$272</f>
        <v>53727.01</v>
      </c>
      <c r="AC272" s="6">
        <f>$M$272*$W$272</f>
        <v>0</v>
      </c>
      <c r="AD272" s="6">
        <f>$O$272*$X$272</f>
        <v>0</v>
      </c>
      <c r="AE272" s="6">
        <f ca="1">$K$272*$Y$272</f>
        <v>62520.999296029484</v>
      </c>
      <c r="AF272" s="6">
        <f>$M$272*$Z$272</f>
        <v>0</v>
      </c>
      <c r="AG272" s="6">
        <f>$O$272*$AA$272</f>
        <v>0</v>
      </c>
    </row>
    <row r="273" spans="1:33" ht="11.25" customHeight="1" x14ac:dyDescent="0.25">
      <c r="A273" s="4" t="s">
        <v>21</v>
      </c>
      <c r="B273" s="4" t="s">
        <v>35</v>
      </c>
      <c r="C273" s="4" t="s">
        <v>39</v>
      </c>
      <c r="D273" s="4" t="s">
        <v>40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44713</v>
      </c>
      <c r="J273" s="6">
        <v>20795</v>
      </c>
      <c r="K273" s="6">
        <v>20795</v>
      </c>
      <c r="L273" s="6">
        <v>0</v>
      </c>
      <c r="M273" s="6">
        <v>0</v>
      </c>
      <c r="N273" s="6">
        <v>0</v>
      </c>
      <c r="O273" s="6">
        <v>0</v>
      </c>
      <c r="P273" s="6">
        <v>128</v>
      </c>
      <c r="Q273" s="4" t="s">
        <v>26</v>
      </c>
      <c r="R273" s="4">
        <v>0</v>
      </c>
      <c r="S273" s="6">
        <v>18</v>
      </c>
      <c r="T273" s="6">
        <v>0</v>
      </c>
      <c r="U273" s="6">
        <v>0</v>
      </c>
      <c r="V273" s="6">
        <f>IF(ISERROR(VLOOKUP($S$273,'TAR FIN'!$A$1:$O$93,15,0)),0,VLOOKUP($S$273,'TAR FIN'!$A$1:$O$93,15,0))</f>
        <v>26.17</v>
      </c>
      <c r="W273" s="6">
        <f>IF(ISERROR(VLOOKUP($T$273,'TAR FIN'!$A$1:$O$93,15,0)),0,VLOOKUP($T$273,'TAR FIN'!$A$1:$O$93,15,0))</f>
        <v>0</v>
      </c>
      <c r="X273" s="6">
        <f>IF(ISERROR(VLOOKUP($U$273,'TAR FIN'!$A$1:$O$93,15,0)),0,VLOOKUP($U$273,'TAR FIN'!$A$1:$O$93,15,0))</f>
        <v>0</v>
      </c>
      <c r="Y273" s="6">
        <f ca="1">('TUSD BE'!$AM$14+'TUSD BF'!$AM$14+'TUSD CVA'!$AM$14)*1</f>
        <v>30.453482365333407</v>
      </c>
      <c r="Z273" s="6"/>
      <c r="AA273" s="6"/>
      <c r="AB273" s="6">
        <f>$K$273*$V$273</f>
        <v>544205.15</v>
      </c>
      <c r="AC273" s="6">
        <f>$M$273*$W$273</f>
        <v>0</v>
      </c>
      <c r="AD273" s="6">
        <f>$O$273*$X$273</f>
        <v>0</v>
      </c>
      <c r="AE273" s="6">
        <f ca="1">$K$273*$Y$273</f>
        <v>633280.16578710824</v>
      </c>
      <c r="AF273" s="6">
        <f>$M$273*$Z$273</f>
        <v>0</v>
      </c>
      <c r="AG273" s="6">
        <f>$O$273*$AA$273</f>
        <v>0</v>
      </c>
    </row>
    <row r="274" spans="1:33" ht="11.25" customHeight="1" x14ac:dyDescent="0.25">
      <c r="A274" s="4" t="s">
        <v>27</v>
      </c>
      <c r="B274" s="4" t="s">
        <v>35</v>
      </c>
      <c r="C274" s="4" t="s">
        <v>39</v>
      </c>
      <c r="D274" s="4" t="s">
        <v>40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44713</v>
      </c>
      <c r="J274" s="6">
        <v>-1006</v>
      </c>
      <c r="K274" s="6">
        <v>-1006</v>
      </c>
      <c r="L274" s="6">
        <v>0</v>
      </c>
      <c r="M274" s="6">
        <v>0</v>
      </c>
      <c r="N274" s="6">
        <v>0</v>
      </c>
      <c r="O274" s="6">
        <v>0</v>
      </c>
      <c r="P274" s="6">
        <v>-5</v>
      </c>
      <c r="Q274" s="4" t="s">
        <v>26</v>
      </c>
      <c r="R274" s="4">
        <v>0</v>
      </c>
      <c r="S274" s="6">
        <v>18</v>
      </c>
      <c r="T274" s="6">
        <v>0</v>
      </c>
      <c r="U274" s="6">
        <v>0</v>
      </c>
      <c r="V274" s="6">
        <f>IF(ISERROR(VLOOKUP($S$274,'TAR FIN'!$A$1:$O$93,15,0)),0,VLOOKUP($S$274,'TAR FIN'!$A$1:$O$93,15,0))</f>
        <v>26.17</v>
      </c>
      <c r="W274" s="6">
        <f>IF(ISERROR(VLOOKUP($T$274,'TAR FIN'!$A$1:$O$93,15,0)),0,VLOOKUP($T$274,'TAR FIN'!$A$1:$O$93,15,0))</f>
        <v>0</v>
      </c>
      <c r="X274" s="6">
        <f>IF(ISERROR(VLOOKUP($U$274,'TAR FIN'!$A$1:$O$93,15,0)),0,VLOOKUP($U$274,'TAR FIN'!$A$1:$O$93,15,0))</f>
        <v>0</v>
      </c>
      <c r="Y274" s="6">
        <f ca="1">('TUSD BE'!$AM$14+'TUSD BF'!$AM$14+'TUSD CVA'!$AM$14)*1</f>
        <v>30.453482365333407</v>
      </c>
      <c r="Z274" s="6"/>
      <c r="AA274" s="6"/>
      <c r="AB274" s="6">
        <f>$K$274*$V$274</f>
        <v>-26327.02</v>
      </c>
      <c r="AC274" s="6">
        <f>$M$274*$W$274</f>
        <v>0</v>
      </c>
      <c r="AD274" s="6">
        <f>$O$274*$X$274</f>
        <v>0</v>
      </c>
      <c r="AE274" s="6">
        <f ca="1">$K$274*$Y$274</f>
        <v>-30636.203259525406</v>
      </c>
      <c r="AF274" s="6">
        <f>$M$274*$Z$274</f>
        <v>0</v>
      </c>
      <c r="AG274" s="6">
        <f>$O$274*$AA$274</f>
        <v>0</v>
      </c>
    </row>
    <row r="275" spans="1:33" ht="11.25" customHeight="1" x14ac:dyDescent="0.25">
      <c r="A275" s="4" t="s">
        <v>28</v>
      </c>
      <c r="B275" s="4" t="s">
        <v>35</v>
      </c>
      <c r="C275" s="4" t="s">
        <v>39</v>
      </c>
      <c r="D275" s="4" t="s">
        <v>40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44713</v>
      </c>
      <c r="J275" s="6">
        <v>2363</v>
      </c>
      <c r="K275" s="6">
        <v>2363</v>
      </c>
      <c r="L275" s="6">
        <v>0</v>
      </c>
      <c r="M275" s="6">
        <v>0</v>
      </c>
      <c r="N275" s="6">
        <v>0</v>
      </c>
      <c r="O275" s="6">
        <v>0</v>
      </c>
      <c r="P275" s="6">
        <v>15</v>
      </c>
      <c r="Q275" s="4" t="s">
        <v>26</v>
      </c>
      <c r="R275" s="4">
        <v>0</v>
      </c>
      <c r="S275" s="6">
        <v>18</v>
      </c>
      <c r="T275" s="6">
        <v>0</v>
      </c>
      <c r="U275" s="6">
        <v>0</v>
      </c>
      <c r="V275" s="6">
        <f>IF(ISERROR(VLOOKUP($S$275,'TAR FIN'!$A$1:$O$93,15,0)),0,VLOOKUP($S$275,'TAR FIN'!$A$1:$O$93,15,0))</f>
        <v>26.17</v>
      </c>
      <c r="W275" s="6">
        <f>IF(ISERROR(VLOOKUP($T$275,'TAR FIN'!$A$1:$O$93,15,0)),0,VLOOKUP($T$275,'TAR FIN'!$A$1:$O$93,15,0))</f>
        <v>0</v>
      </c>
      <c r="X275" s="6">
        <f>IF(ISERROR(VLOOKUP($U$275,'TAR FIN'!$A$1:$O$93,15,0)),0,VLOOKUP($U$275,'TAR FIN'!$A$1:$O$93,15,0))</f>
        <v>0</v>
      </c>
      <c r="Y275" s="6">
        <f ca="1">('TUSD BE'!$AM$14+'TUSD BF'!$AM$14+'TUSD CVA'!$AM$14)*1</f>
        <v>30.453482365333407</v>
      </c>
      <c r="Z275" s="6"/>
      <c r="AA275" s="6"/>
      <c r="AB275" s="6">
        <f>$K$275*$V$275</f>
        <v>61839.710000000006</v>
      </c>
      <c r="AC275" s="6">
        <f>$M$275*$W$275</f>
        <v>0</v>
      </c>
      <c r="AD275" s="6">
        <f>$O$275*$X$275</f>
        <v>0</v>
      </c>
      <c r="AE275" s="6">
        <f ca="1">$K$275*$Y$275</f>
        <v>71961.578829282837</v>
      </c>
      <c r="AF275" s="6">
        <f>$M$275*$Z$275</f>
        <v>0</v>
      </c>
      <c r="AG275" s="6">
        <f>$O$275*$AA$275</f>
        <v>0</v>
      </c>
    </row>
    <row r="276" spans="1:33" ht="11.25" customHeight="1" x14ac:dyDescent="0.25">
      <c r="A276" s="4" t="s">
        <v>21</v>
      </c>
      <c r="B276" s="4" t="s">
        <v>35</v>
      </c>
      <c r="C276" s="4" t="s">
        <v>39</v>
      </c>
      <c r="D276" s="4" t="s">
        <v>40</v>
      </c>
      <c r="E276" s="4" t="s">
        <v>25</v>
      </c>
      <c r="F276" s="4" t="s">
        <v>25</v>
      </c>
      <c r="G276" s="4" t="s">
        <v>25</v>
      </c>
      <c r="H276" s="4" t="s">
        <v>37</v>
      </c>
      <c r="I276" s="5">
        <v>44378</v>
      </c>
      <c r="J276" s="6">
        <v>0</v>
      </c>
      <c r="K276" s="6">
        <v>0</v>
      </c>
      <c r="L276" s="6">
        <v>119.389</v>
      </c>
      <c r="M276" s="6">
        <v>119.389</v>
      </c>
      <c r="N276" s="6">
        <v>119.389</v>
      </c>
      <c r="O276" s="6">
        <v>119.389</v>
      </c>
      <c r="P276" s="6">
        <v>0</v>
      </c>
      <c r="Q276" s="4" t="s">
        <v>26</v>
      </c>
      <c r="R276" s="4">
        <v>0</v>
      </c>
      <c r="S276" s="6">
        <v>0</v>
      </c>
      <c r="T276" s="6">
        <v>12</v>
      </c>
      <c r="U276" s="6">
        <v>66</v>
      </c>
      <c r="V276" s="6">
        <f>IF(ISERROR(VLOOKUP($S$276,'TAR FIN'!$A$1:$O$93,15,0)),0,VLOOKUP($S$276,'TAR FIN'!$A$1:$O$93,15,0))</f>
        <v>0</v>
      </c>
      <c r="W276" s="6">
        <f>IF(ISERROR(VLOOKUP($T$276,'TAR FIN'!$A$1:$O$93,15,0)),0,VLOOKUP($T$276,'TAR FIN'!$A$1:$O$93,15,0))</f>
        <v>1124.7</v>
      </c>
      <c r="X276" s="6">
        <f>IF(ISERROR(VLOOKUP($U$276,'TAR FIN'!$A$1:$O$93,15,0)),0,VLOOKUP($U$276,'TAR FIN'!$A$1:$O$93,15,0))</f>
        <v>185.18</v>
      </c>
      <c r="Y276" s="6"/>
      <c r="Z276" s="6">
        <f ca="1">('TUSD BE'!$AM$15+'TUSD BF'!$AM$15+'TUSD CVA'!$AM$15)*1</f>
        <v>1302.3659842076513</v>
      </c>
      <c r="AA276" s="6">
        <f>('TE BE'!$AB$7+'TE BF'!$AB$7+'TE CVA'!$AB$7)*1</f>
        <v>198.18194779658231</v>
      </c>
      <c r="AB276" s="6">
        <f>$K$276*$V$276</f>
        <v>0</v>
      </c>
      <c r="AC276" s="6">
        <f>$M$276*$W$276</f>
        <v>134276.8083</v>
      </c>
      <c r="AD276" s="6">
        <f>$O$276*$X$276</f>
        <v>22108.455020000001</v>
      </c>
      <c r="AE276" s="6">
        <f>$K$276*$Y$276</f>
        <v>0</v>
      </c>
      <c r="AF276" s="6">
        <f ca="1">$M$276*$Z$276</f>
        <v>155488.17248856727</v>
      </c>
      <c r="AG276" s="6">
        <f>$O$276*$AA$276</f>
        <v>23660.744565486166</v>
      </c>
    </row>
    <row r="277" spans="1:33" ht="11.25" customHeight="1" x14ac:dyDescent="0.25">
      <c r="A277" s="4" t="s">
        <v>27</v>
      </c>
      <c r="B277" s="4" t="s">
        <v>35</v>
      </c>
      <c r="C277" s="4" t="s">
        <v>39</v>
      </c>
      <c r="D277" s="4" t="s">
        <v>40</v>
      </c>
      <c r="E277" s="4" t="s">
        <v>25</v>
      </c>
      <c r="F277" s="4" t="s">
        <v>25</v>
      </c>
      <c r="G277" s="4" t="s">
        <v>25</v>
      </c>
      <c r="H277" s="4" t="s">
        <v>37</v>
      </c>
      <c r="I277" s="5">
        <v>44378</v>
      </c>
      <c r="J277" s="6">
        <v>0</v>
      </c>
      <c r="K277" s="6">
        <v>0</v>
      </c>
      <c r="L277" s="6">
        <v>-42.000999999999998</v>
      </c>
      <c r="M277" s="6">
        <v>-42.000999999999998</v>
      </c>
      <c r="N277" s="6">
        <v>-42.000999999999998</v>
      </c>
      <c r="O277" s="6">
        <v>-42.000999999999998</v>
      </c>
      <c r="P277" s="6">
        <v>0</v>
      </c>
      <c r="Q277" s="4" t="s">
        <v>26</v>
      </c>
      <c r="R277" s="4">
        <v>0</v>
      </c>
      <c r="S277" s="6">
        <v>0</v>
      </c>
      <c r="T277" s="6">
        <v>12</v>
      </c>
      <c r="U277" s="6">
        <v>66</v>
      </c>
      <c r="V277" s="6">
        <f>IF(ISERROR(VLOOKUP($S$277,'TAR FIN'!$A$1:$O$93,15,0)),0,VLOOKUP($S$277,'TAR FIN'!$A$1:$O$93,15,0))</f>
        <v>0</v>
      </c>
      <c r="W277" s="6">
        <f>IF(ISERROR(VLOOKUP($T$277,'TAR FIN'!$A$1:$O$93,15,0)),0,VLOOKUP($T$277,'TAR FIN'!$A$1:$O$93,15,0))</f>
        <v>1124.7</v>
      </c>
      <c r="X277" s="6">
        <f>IF(ISERROR(VLOOKUP($U$277,'TAR FIN'!$A$1:$O$93,15,0)),0,VLOOKUP($U$277,'TAR FIN'!$A$1:$O$93,15,0))</f>
        <v>185.18</v>
      </c>
      <c r="Y277" s="6"/>
      <c r="Z277" s="6">
        <f ca="1">('TUSD BE'!$AM$15+'TUSD BF'!$AM$15+'TUSD CVA'!$AM$15)*1</f>
        <v>1302.3659842076513</v>
      </c>
      <c r="AA277" s="6">
        <f>('TE BE'!$AB$7+'TE BF'!$AB$7+'TE CVA'!$AB$7)*1</f>
        <v>198.18194779658231</v>
      </c>
      <c r="AB277" s="6">
        <f>$K$277*$V$277</f>
        <v>0</v>
      </c>
      <c r="AC277" s="6">
        <f>$M$277*$W$277</f>
        <v>-47238.524700000002</v>
      </c>
      <c r="AD277" s="6">
        <f>$O$277*$X$277</f>
        <v>-7777.7451799999999</v>
      </c>
      <c r="AE277" s="6">
        <f>$K$277*$Y$277</f>
        <v>0</v>
      </c>
      <c r="AF277" s="6">
        <f ca="1">$M$277*$Z$277</f>
        <v>-54700.673702705557</v>
      </c>
      <c r="AG277" s="6">
        <f>$O$277*$AA$277</f>
        <v>-8323.8399894042523</v>
      </c>
    </row>
    <row r="278" spans="1:33" ht="11.25" customHeight="1" x14ac:dyDescent="0.25">
      <c r="A278" s="4" t="s">
        <v>28</v>
      </c>
      <c r="B278" s="4" t="s">
        <v>35</v>
      </c>
      <c r="C278" s="4" t="s">
        <v>39</v>
      </c>
      <c r="D278" s="4" t="s">
        <v>40</v>
      </c>
      <c r="E278" s="4" t="s">
        <v>25</v>
      </c>
      <c r="F278" s="4" t="s">
        <v>25</v>
      </c>
      <c r="G278" s="4" t="s">
        <v>25</v>
      </c>
      <c r="H278" s="4" t="s">
        <v>37</v>
      </c>
      <c r="I278" s="5">
        <v>44378</v>
      </c>
      <c r="J278" s="6">
        <v>0</v>
      </c>
      <c r="K278" s="6">
        <v>0</v>
      </c>
      <c r="L278" s="6">
        <v>2.5299999999999998</v>
      </c>
      <c r="M278" s="6">
        <v>2.5299999999999998</v>
      </c>
      <c r="N278" s="6">
        <v>2.5299999999999998</v>
      </c>
      <c r="O278" s="6">
        <v>2.5299999999999998</v>
      </c>
      <c r="P278" s="6">
        <v>0</v>
      </c>
      <c r="Q278" s="4" t="s">
        <v>26</v>
      </c>
      <c r="R278" s="4">
        <v>0</v>
      </c>
      <c r="S278" s="6">
        <v>0</v>
      </c>
      <c r="T278" s="6">
        <v>12</v>
      </c>
      <c r="U278" s="6">
        <v>66</v>
      </c>
      <c r="V278" s="6">
        <f>IF(ISERROR(VLOOKUP($S$278,'TAR FIN'!$A$1:$O$93,15,0)),0,VLOOKUP($S$278,'TAR FIN'!$A$1:$O$93,15,0))</f>
        <v>0</v>
      </c>
      <c r="W278" s="6">
        <f>IF(ISERROR(VLOOKUP($T$278,'TAR FIN'!$A$1:$O$93,15,0)),0,VLOOKUP($T$278,'TAR FIN'!$A$1:$O$93,15,0))</f>
        <v>1124.7</v>
      </c>
      <c r="X278" s="6">
        <f>IF(ISERROR(VLOOKUP($U$278,'TAR FIN'!$A$1:$O$93,15,0)),0,VLOOKUP($U$278,'TAR FIN'!$A$1:$O$93,15,0))</f>
        <v>185.18</v>
      </c>
      <c r="Y278" s="6"/>
      <c r="Z278" s="6">
        <f ca="1">('TUSD BE'!$AM$15+'TUSD BF'!$AM$15+'TUSD CVA'!$AM$15)*1</f>
        <v>1302.3659842076513</v>
      </c>
      <c r="AA278" s="6">
        <f>('TE BE'!$AB$7+'TE BF'!$AB$7+'TE CVA'!$AB$7)*1</f>
        <v>198.18194779658231</v>
      </c>
      <c r="AB278" s="6">
        <f>$K$278*$V$278</f>
        <v>0</v>
      </c>
      <c r="AC278" s="6">
        <f>$M$278*$W$278</f>
        <v>2845.491</v>
      </c>
      <c r="AD278" s="6">
        <f>$O$278*$X$278</f>
        <v>468.50540000000001</v>
      </c>
      <c r="AE278" s="6">
        <f>$K$278*$Y$278</f>
        <v>0</v>
      </c>
      <c r="AF278" s="6">
        <f ca="1">$M$278*$Z$278</f>
        <v>3294.9859400453574</v>
      </c>
      <c r="AG278" s="6">
        <f>$O$278*$AA$278</f>
        <v>501.40032792535322</v>
      </c>
    </row>
    <row r="279" spans="1:33" ht="11.25" customHeight="1" x14ac:dyDescent="0.25">
      <c r="A279" s="4" t="s">
        <v>28</v>
      </c>
      <c r="B279" s="4" t="s">
        <v>35</v>
      </c>
      <c r="C279" s="4" t="s">
        <v>39</v>
      </c>
      <c r="D279" s="4" t="s">
        <v>40</v>
      </c>
      <c r="E279" s="4" t="s">
        <v>25</v>
      </c>
      <c r="F279" s="4" t="s">
        <v>25</v>
      </c>
      <c r="G279" s="4" t="s">
        <v>25</v>
      </c>
      <c r="H279" s="4" t="s">
        <v>37</v>
      </c>
      <c r="I279" s="5">
        <v>44378</v>
      </c>
      <c r="J279" s="6">
        <v>0</v>
      </c>
      <c r="K279" s="6">
        <v>0</v>
      </c>
      <c r="L279" s="6">
        <v>-1.2529999999999999</v>
      </c>
      <c r="M279" s="6">
        <v>-1.2529999999999999</v>
      </c>
      <c r="N279" s="6">
        <v>-1.2529999999999999</v>
      </c>
      <c r="O279" s="6">
        <v>-1.2529999999999999</v>
      </c>
      <c r="P279" s="6">
        <v>0</v>
      </c>
      <c r="Q279" s="4" t="s">
        <v>26</v>
      </c>
      <c r="R279" s="4">
        <v>0</v>
      </c>
      <c r="S279" s="6">
        <v>0</v>
      </c>
      <c r="T279" s="6">
        <v>12</v>
      </c>
      <c r="U279" s="6">
        <v>66</v>
      </c>
      <c r="V279" s="6">
        <f>IF(ISERROR(VLOOKUP($S$279,'TAR FIN'!$A$1:$O$93,15,0)),0,VLOOKUP($S$279,'TAR FIN'!$A$1:$O$93,15,0))</f>
        <v>0</v>
      </c>
      <c r="W279" s="6">
        <f>IF(ISERROR(VLOOKUP($T$279,'TAR FIN'!$A$1:$O$93,15,0)),0,VLOOKUP($T$279,'TAR FIN'!$A$1:$O$93,15,0))</f>
        <v>1124.7</v>
      </c>
      <c r="X279" s="6">
        <f>IF(ISERROR(VLOOKUP($U$279,'TAR FIN'!$A$1:$O$93,15,0)),0,VLOOKUP($U$279,'TAR FIN'!$A$1:$O$93,15,0))</f>
        <v>185.18</v>
      </c>
      <c r="Y279" s="6"/>
      <c r="Z279" s="6">
        <f ca="1">('TUSD BE'!$AM$15+'TUSD BF'!$AM$15+'TUSD CVA'!$AM$15)*1</f>
        <v>1302.3659842076513</v>
      </c>
      <c r="AA279" s="6">
        <f>('TE BE'!$AB$7+'TE BF'!$AB$7+'TE CVA'!$AB$7)*1</f>
        <v>198.18194779658231</v>
      </c>
      <c r="AB279" s="6">
        <f>$K$279*$V$279</f>
        <v>0</v>
      </c>
      <c r="AC279" s="6">
        <f>$M$279*$W$279</f>
        <v>-1409.2491</v>
      </c>
      <c r="AD279" s="6">
        <f>$O$279*$X$279</f>
        <v>-232.03054</v>
      </c>
      <c r="AE279" s="6">
        <f>$K$279*$Y$279</f>
        <v>0</v>
      </c>
      <c r="AF279" s="6">
        <f ca="1">$M$279*$Z$279</f>
        <v>-1631.8645782121869</v>
      </c>
      <c r="AG279" s="6">
        <f>$O$279*$AA$279</f>
        <v>-248.3219805891176</v>
      </c>
    </row>
    <row r="280" spans="1:33" ht="11.25" customHeight="1" x14ac:dyDescent="0.25">
      <c r="A280" s="4" t="s">
        <v>21</v>
      </c>
      <c r="B280" s="4" t="s">
        <v>35</v>
      </c>
      <c r="C280" s="4" t="s">
        <v>39</v>
      </c>
      <c r="D280" s="4" t="s">
        <v>40</v>
      </c>
      <c r="E280" s="4" t="s">
        <v>25</v>
      </c>
      <c r="F280" s="4" t="s">
        <v>25</v>
      </c>
      <c r="G280" s="4" t="s">
        <v>25</v>
      </c>
      <c r="H280" s="4" t="s">
        <v>37</v>
      </c>
      <c r="I280" s="5">
        <v>44409</v>
      </c>
      <c r="J280" s="6">
        <v>0</v>
      </c>
      <c r="K280" s="6">
        <v>0</v>
      </c>
      <c r="L280" s="6">
        <v>76.781000000000006</v>
      </c>
      <c r="M280" s="6">
        <v>76.781000000000006</v>
      </c>
      <c r="N280" s="6">
        <v>76.781000000000006</v>
      </c>
      <c r="O280" s="6">
        <v>76.781000000000006</v>
      </c>
      <c r="P280" s="6">
        <v>0</v>
      </c>
      <c r="Q280" s="4" t="s">
        <v>26</v>
      </c>
      <c r="R280" s="4">
        <v>0</v>
      </c>
      <c r="S280" s="6">
        <v>0</v>
      </c>
      <c r="T280" s="6">
        <v>12</v>
      </c>
      <c r="U280" s="6">
        <v>66</v>
      </c>
      <c r="V280" s="6">
        <f>IF(ISERROR(VLOOKUP($S$280,'TAR FIN'!$A$1:$O$93,15,0)),0,VLOOKUP($S$280,'TAR FIN'!$A$1:$O$93,15,0))</f>
        <v>0</v>
      </c>
      <c r="W280" s="6">
        <f>IF(ISERROR(VLOOKUP($T$280,'TAR FIN'!$A$1:$O$93,15,0)),0,VLOOKUP($T$280,'TAR FIN'!$A$1:$O$93,15,0))</f>
        <v>1124.7</v>
      </c>
      <c r="X280" s="6">
        <f>IF(ISERROR(VLOOKUP($U$280,'TAR FIN'!$A$1:$O$93,15,0)),0,VLOOKUP($U$280,'TAR FIN'!$A$1:$O$93,15,0))</f>
        <v>185.18</v>
      </c>
      <c r="Y280" s="6"/>
      <c r="Z280" s="6">
        <f ca="1">('TUSD BE'!$AM$15+'TUSD BF'!$AM$15+'TUSD CVA'!$AM$15)*1</f>
        <v>1302.3659842076513</v>
      </c>
      <c r="AA280" s="6">
        <f>('TE BE'!$AB$7+'TE BF'!$AB$7+'TE CVA'!$AB$7)*1</f>
        <v>198.18194779658231</v>
      </c>
      <c r="AB280" s="6">
        <f>$K$280*$V$280</f>
        <v>0</v>
      </c>
      <c r="AC280" s="6">
        <f>$M$280*$W$280</f>
        <v>86355.590700000015</v>
      </c>
      <c r="AD280" s="6">
        <f>$O$280*$X$280</f>
        <v>14218.305580000002</v>
      </c>
      <c r="AE280" s="6">
        <f>$K$280*$Y$280</f>
        <v>0</v>
      </c>
      <c r="AF280" s="6">
        <f ca="1">$M$280*$Z$280</f>
        <v>99996.962633447678</v>
      </c>
      <c r="AG280" s="6">
        <f>$O$280*$AA$280</f>
        <v>15216.608133769387</v>
      </c>
    </row>
    <row r="281" spans="1:33" ht="11.25" customHeight="1" x14ac:dyDescent="0.25">
      <c r="A281" s="4" t="s">
        <v>27</v>
      </c>
      <c r="B281" s="4" t="s">
        <v>35</v>
      </c>
      <c r="C281" s="4" t="s">
        <v>39</v>
      </c>
      <c r="D281" s="4" t="s">
        <v>40</v>
      </c>
      <c r="E281" s="4" t="s">
        <v>25</v>
      </c>
      <c r="F281" s="4" t="s">
        <v>25</v>
      </c>
      <c r="G281" s="4" t="s">
        <v>25</v>
      </c>
      <c r="H281" s="4" t="s">
        <v>37</v>
      </c>
      <c r="I281" s="5">
        <v>44409</v>
      </c>
      <c r="J281" s="6">
        <v>0</v>
      </c>
      <c r="K281" s="6">
        <v>0</v>
      </c>
      <c r="L281" s="6">
        <v>-0.64900000000000002</v>
      </c>
      <c r="M281" s="6">
        <v>-0.64900000000000002</v>
      </c>
      <c r="N281" s="6">
        <v>-0.64900000000000002</v>
      </c>
      <c r="O281" s="6">
        <v>-0.64900000000000002</v>
      </c>
      <c r="P281" s="6">
        <v>0</v>
      </c>
      <c r="Q281" s="4" t="s">
        <v>26</v>
      </c>
      <c r="R281" s="4">
        <v>0</v>
      </c>
      <c r="S281" s="6">
        <v>0</v>
      </c>
      <c r="T281" s="6">
        <v>12</v>
      </c>
      <c r="U281" s="6">
        <v>66</v>
      </c>
      <c r="V281" s="6">
        <f>IF(ISERROR(VLOOKUP($S$281,'TAR FIN'!$A$1:$O$93,15,0)),0,VLOOKUP($S$281,'TAR FIN'!$A$1:$O$93,15,0))</f>
        <v>0</v>
      </c>
      <c r="W281" s="6">
        <f>IF(ISERROR(VLOOKUP($T$281,'TAR FIN'!$A$1:$O$93,15,0)),0,VLOOKUP($T$281,'TAR FIN'!$A$1:$O$93,15,0))</f>
        <v>1124.7</v>
      </c>
      <c r="X281" s="6">
        <f>IF(ISERROR(VLOOKUP($U$281,'TAR FIN'!$A$1:$O$93,15,0)),0,VLOOKUP($U$281,'TAR FIN'!$A$1:$O$93,15,0))</f>
        <v>185.18</v>
      </c>
      <c r="Y281" s="6"/>
      <c r="Z281" s="6">
        <f ca="1">('TUSD BE'!$AM$15+'TUSD BF'!$AM$15+'TUSD CVA'!$AM$15)*1</f>
        <v>1302.3659842076513</v>
      </c>
      <c r="AA281" s="6">
        <f>('TE BE'!$AB$7+'TE BF'!$AB$7+'TE CVA'!$AB$7)*1</f>
        <v>198.18194779658231</v>
      </c>
      <c r="AB281" s="6">
        <f>$K$281*$V$281</f>
        <v>0</v>
      </c>
      <c r="AC281" s="6">
        <f>$M$281*$W$281</f>
        <v>-729.9303000000001</v>
      </c>
      <c r="AD281" s="6">
        <f>$O$281*$X$281</f>
        <v>-120.18182</v>
      </c>
      <c r="AE281" s="6">
        <f>$K$281*$Y$281</f>
        <v>0</v>
      </c>
      <c r="AF281" s="6">
        <f ca="1">$M$281*$Z$281</f>
        <v>-845.23552375076576</v>
      </c>
      <c r="AG281" s="6">
        <f>$O$281*$AA$281</f>
        <v>-128.62008411998193</v>
      </c>
    </row>
    <row r="282" spans="1:33" ht="11.25" customHeight="1" x14ac:dyDescent="0.25">
      <c r="A282" s="4" t="s">
        <v>28</v>
      </c>
      <c r="B282" s="4" t="s">
        <v>35</v>
      </c>
      <c r="C282" s="4" t="s">
        <v>39</v>
      </c>
      <c r="D282" s="4" t="s">
        <v>40</v>
      </c>
      <c r="E282" s="4" t="s">
        <v>25</v>
      </c>
      <c r="F282" s="4" t="s">
        <v>25</v>
      </c>
      <c r="G282" s="4" t="s">
        <v>25</v>
      </c>
      <c r="H282" s="4" t="s">
        <v>37</v>
      </c>
      <c r="I282" s="5">
        <v>44409</v>
      </c>
      <c r="J282" s="6">
        <v>0</v>
      </c>
      <c r="K282" s="6">
        <v>0</v>
      </c>
      <c r="L282" s="6">
        <v>2.23</v>
      </c>
      <c r="M282" s="6">
        <v>2.23</v>
      </c>
      <c r="N282" s="6">
        <v>2.23</v>
      </c>
      <c r="O282" s="6">
        <v>2.23</v>
      </c>
      <c r="P282" s="6">
        <v>0</v>
      </c>
      <c r="Q282" s="4" t="s">
        <v>26</v>
      </c>
      <c r="R282" s="4">
        <v>0</v>
      </c>
      <c r="S282" s="6">
        <v>0</v>
      </c>
      <c r="T282" s="6">
        <v>12</v>
      </c>
      <c r="U282" s="6">
        <v>66</v>
      </c>
      <c r="V282" s="6">
        <f>IF(ISERROR(VLOOKUP($S$282,'TAR FIN'!$A$1:$O$93,15,0)),0,VLOOKUP($S$282,'TAR FIN'!$A$1:$O$93,15,0))</f>
        <v>0</v>
      </c>
      <c r="W282" s="6">
        <f>IF(ISERROR(VLOOKUP($T$282,'TAR FIN'!$A$1:$O$93,15,0)),0,VLOOKUP($T$282,'TAR FIN'!$A$1:$O$93,15,0))</f>
        <v>1124.7</v>
      </c>
      <c r="X282" s="6">
        <f>IF(ISERROR(VLOOKUP($U$282,'TAR FIN'!$A$1:$O$93,15,0)),0,VLOOKUP($U$282,'TAR FIN'!$A$1:$O$93,15,0))</f>
        <v>185.18</v>
      </c>
      <c r="Y282" s="6"/>
      <c r="Z282" s="6">
        <f ca="1">('TUSD BE'!$AM$15+'TUSD BF'!$AM$15+'TUSD CVA'!$AM$15)*1</f>
        <v>1302.3659842076513</v>
      </c>
      <c r="AA282" s="6">
        <f>('TE BE'!$AB$7+'TE BF'!$AB$7+'TE CVA'!$AB$7)*1</f>
        <v>198.18194779658231</v>
      </c>
      <c r="AB282" s="6">
        <f>$K$282*$V$282</f>
        <v>0</v>
      </c>
      <c r="AC282" s="6">
        <f>$M$282*$W$282</f>
        <v>2508.0810000000001</v>
      </c>
      <c r="AD282" s="6">
        <f>$O$282*$X$282</f>
        <v>412.95140000000004</v>
      </c>
      <c r="AE282" s="6">
        <f>$K$282*$Y$282</f>
        <v>0</v>
      </c>
      <c r="AF282" s="6">
        <f ca="1">$M$282*$Z$282</f>
        <v>2904.2761447830626</v>
      </c>
      <c r="AG282" s="6">
        <f>$O$282*$AA$282</f>
        <v>441.94574358637857</v>
      </c>
    </row>
    <row r="283" spans="1:33" ht="11.25" customHeight="1" x14ac:dyDescent="0.25">
      <c r="A283" s="4" t="s">
        <v>21</v>
      </c>
      <c r="B283" s="4" t="s">
        <v>35</v>
      </c>
      <c r="C283" s="4" t="s">
        <v>39</v>
      </c>
      <c r="D283" s="4" t="s">
        <v>40</v>
      </c>
      <c r="E283" s="4" t="s">
        <v>25</v>
      </c>
      <c r="F283" s="4" t="s">
        <v>25</v>
      </c>
      <c r="G283" s="4" t="s">
        <v>25</v>
      </c>
      <c r="H283" s="4" t="s">
        <v>37</v>
      </c>
      <c r="I283" s="5">
        <v>44440</v>
      </c>
      <c r="J283" s="6">
        <v>0</v>
      </c>
      <c r="K283" s="6">
        <v>0</v>
      </c>
      <c r="L283" s="6">
        <v>67.664000000000001</v>
      </c>
      <c r="M283" s="6">
        <v>67.664000000000001</v>
      </c>
      <c r="N283" s="6">
        <v>67.664000000000001</v>
      </c>
      <c r="O283" s="6">
        <v>67.664000000000001</v>
      </c>
      <c r="P283" s="6">
        <v>0</v>
      </c>
      <c r="Q283" s="4" t="s">
        <v>26</v>
      </c>
      <c r="R283" s="4">
        <v>0</v>
      </c>
      <c r="S283" s="6">
        <v>0</v>
      </c>
      <c r="T283" s="6">
        <v>12</v>
      </c>
      <c r="U283" s="6">
        <v>66</v>
      </c>
      <c r="V283" s="6">
        <f>IF(ISERROR(VLOOKUP($S$283,'TAR FIN'!$A$1:$O$93,15,0)),0,VLOOKUP($S$283,'TAR FIN'!$A$1:$O$93,15,0))</f>
        <v>0</v>
      </c>
      <c r="W283" s="6">
        <f>IF(ISERROR(VLOOKUP($T$283,'TAR FIN'!$A$1:$O$93,15,0)),0,VLOOKUP($T$283,'TAR FIN'!$A$1:$O$93,15,0))</f>
        <v>1124.7</v>
      </c>
      <c r="X283" s="6">
        <f>IF(ISERROR(VLOOKUP($U$283,'TAR FIN'!$A$1:$O$93,15,0)),0,VLOOKUP($U$283,'TAR FIN'!$A$1:$O$93,15,0))</f>
        <v>185.18</v>
      </c>
      <c r="Y283" s="6"/>
      <c r="Z283" s="6">
        <f ca="1">('TUSD BE'!$AM$15+'TUSD BF'!$AM$15+'TUSD CVA'!$AM$15)*1</f>
        <v>1302.3659842076513</v>
      </c>
      <c r="AA283" s="6">
        <f>('TE BE'!$AB$7+'TE BF'!$AB$7+'TE CVA'!$AB$7)*1</f>
        <v>198.18194779658231</v>
      </c>
      <c r="AB283" s="6">
        <f>$K$283*$V$283</f>
        <v>0</v>
      </c>
      <c r="AC283" s="6">
        <f>$M$283*$W$283</f>
        <v>76101.700800000006</v>
      </c>
      <c r="AD283" s="6">
        <f>$O$283*$X$283</f>
        <v>12530.01952</v>
      </c>
      <c r="AE283" s="6">
        <f>$K$283*$Y$283</f>
        <v>0</v>
      </c>
      <c r="AF283" s="6">
        <f ca="1">$M$283*$Z$283</f>
        <v>88123.291955426525</v>
      </c>
      <c r="AG283" s="6">
        <f>$O$283*$AA$283</f>
        <v>13409.783315707946</v>
      </c>
    </row>
    <row r="284" spans="1:33" ht="11.25" customHeight="1" x14ac:dyDescent="0.25">
      <c r="A284" s="4" t="s">
        <v>27</v>
      </c>
      <c r="B284" s="4" t="s">
        <v>35</v>
      </c>
      <c r="C284" s="4" t="s">
        <v>39</v>
      </c>
      <c r="D284" s="4" t="s">
        <v>40</v>
      </c>
      <c r="E284" s="4" t="s">
        <v>25</v>
      </c>
      <c r="F284" s="4" t="s">
        <v>25</v>
      </c>
      <c r="G284" s="4" t="s">
        <v>25</v>
      </c>
      <c r="H284" s="4" t="s">
        <v>37</v>
      </c>
      <c r="I284" s="5">
        <v>44440</v>
      </c>
      <c r="J284" s="6">
        <v>0</v>
      </c>
      <c r="K284" s="6">
        <v>0</v>
      </c>
      <c r="L284" s="6">
        <v>-1.869</v>
      </c>
      <c r="M284" s="6">
        <v>-1.869</v>
      </c>
      <c r="N284" s="6">
        <v>-1.869</v>
      </c>
      <c r="O284" s="6">
        <v>-1.869</v>
      </c>
      <c r="P284" s="6">
        <v>0</v>
      </c>
      <c r="Q284" s="4" t="s">
        <v>26</v>
      </c>
      <c r="R284" s="4">
        <v>0</v>
      </c>
      <c r="S284" s="6">
        <v>0</v>
      </c>
      <c r="T284" s="6">
        <v>12</v>
      </c>
      <c r="U284" s="6">
        <v>66</v>
      </c>
      <c r="V284" s="6">
        <f>IF(ISERROR(VLOOKUP($S$284,'TAR FIN'!$A$1:$O$93,15,0)),0,VLOOKUP($S$284,'TAR FIN'!$A$1:$O$93,15,0))</f>
        <v>0</v>
      </c>
      <c r="W284" s="6">
        <f>IF(ISERROR(VLOOKUP($T$284,'TAR FIN'!$A$1:$O$93,15,0)),0,VLOOKUP($T$284,'TAR FIN'!$A$1:$O$93,15,0))</f>
        <v>1124.7</v>
      </c>
      <c r="X284" s="6">
        <f>IF(ISERROR(VLOOKUP($U$284,'TAR FIN'!$A$1:$O$93,15,0)),0,VLOOKUP($U$284,'TAR FIN'!$A$1:$O$93,15,0))</f>
        <v>185.18</v>
      </c>
      <c r="Y284" s="6"/>
      <c r="Z284" s="6">
        <f ca="1">('TUSD BE'!$AM$15+'TUSD BF'!$AM$15+'TUSD CVA'!$AM$15)*1</f>
        <v>1302.3659842076513</v>
      </c>
      <c r="AA284" s="6">
        <f>('TE BE'!$AB$7+'TE BF'!$AB$7+'TE CVA'!$AB$7)*1</f>
        <v>198.18194779658231</v>
      </c>
      <c r="AB284" s="6">
        <f>$K$284*$V$284</f>
        <v>0</v>
      </c>
      <c r="AC284" s="6">
        <f>$M$284*$W$284</f>
        <v>-2102.0643</v>
      </c>
      <c r="AD284" s="6">
        <f>$O$284*$X$284</f>
        <v>-346.10142000000002</v>
      </c>
      <c r="AE284" s="6">
        <f>$K$284*$Y$284</f>
        <v>0</v>
      </c>
      <c r="AF284" s="6">
        <f ca="1">$M$284*$Z$284</f>
        <v>-2434.1220244841002</v>
      </c>
      <c r="AG284" s="6">
        <f>$O$284*$AA$284</f>
        <v>-370.40206043181234</v>
      </c>
    </row>
    <row r="285" spans="1:33" ht="11.25" customHeight="1" x14ac:dyDescent="0.25">
      <c r="A285" s="4" t="s">
        <v>28</v>
      </c>
      <c r="B285" s="4" t="s">
        <v>35</v>
      </c>
      <c r="C285" s="4" t="s">
        <v>39</v>
      </c>
      <c r="D285" s="4" t="s">
        <v>40</v>
      </c>
      <c r="E285" s="4" t="s">
        <v>25</v>
      </c>
      <c r="F285" s="4" t="s">
        <v>25</v>
      </c>
      <c r="G285" s="4" t="s">
        <v>25</v>
      </c>
      <c r="H285" s="4" t="s">
        <v>37</v>
      </c>
      <c r="I285" s="5">
        <v>44440</v>
      </c>
      <c r="J285" s="6">
        <v>0</v>
      </c>
      <c r="K285" s="6">
        <v>0</v>
      </c>
      <c r="L285" s="6">
        <v>2.738</v>
      </c>
      <c r="M285" s="6">
        <v>2.738</v>
      </c>
      <c r="N285" s="6">
        <v>2.738</v>
      </c>
      <c r="O285" s="6">
        <v>2.738</v>
      </c>
      <c r="P285" s="6">
        <v>0</v>
      </c>
      <c r="Q285" s="4" t="s">
        <v>26</v>
      </c>
      <c r="R285" s="4">
        <v>0</v>
      </c>
      <c r="S285" s="6">
        <v>0</v>
      </c>
      <c r="T285" s="6">
        <v>12</v>
      </c>
      <c r="U285" s="6">
        <v>66</v>
      </c>
      <c r="V285" s="6">
        <f>IF(ISERROR(VLOOKUP($S$285,'TAR FIN'!$A$1:$O$93,15,0)),0,VLOOKUP($S$285,'TAR FIN'!$A$1:$O$93,15,0))</f>
        <v>0</v>
      </c>
      <c r="W285" s="6">
        <f>IF(ISERROR(VLOOKUP($T$285,'TAR FIN'!$A$1:$O$93,15,0)),0,VLOOKUP($T$285,'TAR FIN'!$A$1:$O$93,15,0))</f>
        <v>1124.7</v>
      </c>
      <c r="X285" s="6">
        <f>IF(ISERROR(VLOOKUP($U$285,'TAR FIN'!$A$1:$O$93,15,0)),0,VLOOKUP($U$285,'TAR FIN'!$A$1:$O$93,15,0))</f>
        <v>185.18</v>
      </c>
      <c r="Y285" s="6"/>
      <c r="Z285" s="6">
        <f ca="1">('TUSD BE'!$AM$15+'TUSD BF'!$AM$15+'TUSD CVA'!$AM$15)*1</f>
        <v>1302.3659842076513</v>
      </c>
      <c r="AA285" s="6">
        <f>('TE BE'!$AB$7+'TE BF'!$AB$7+'TE CVA'!$AB$7)*1</f>
        <v>198.18194779658231</v>
      </c>
      <c r="AB285" s="6">
        <f>$K$285*$V$285</f>
        <v>0</v>
      </c>
      <c r="AC285" s="6">
        <f>$M$285*$W$285</f>
        <v>3079.4286000000002</v>
      </c>
      <c r="AD285" s="6">
        <f>$O$285*$X$285</f>
        <v>507.02284000000003</v>
      </c>
      <c r="AE285" s="6">
        <f>$K$285*$Y$285</f>
        <v>0</v>
      </c>
      <c r="AF285" s="6">
        <f ca="1">$M$285*$Z$285</f>
        <v>3565.8780647605495</v>
      </c>
      <c r="AG285" s="6">
        <f>$O$285*$AA$285</f>
        <v>542.62217306704235</v>
      </c>
    </row>
    <row r="286" spans="1:33" ht="11.25" customHeight="1" x14ac:dyDescent="0.25">
      <c r="A286" s="4" t="s">
        <v>21</v>
      </c>
      <c r="B286" s="4" t="s">
        <v>35</v>
      </c>
      <c r="C286" s="4" t="s">
        <v>39</v>
      </c>
      <c r="D286" s="4" t="s">
        <v>40</v>
      </c>
      <c r="E286" s="4" t="s">
        <v>25</v>
      </c>
      <c r="F286" s="4" t="s">
        <v>25</v>
      </c>
      <c r="G286" s="4" t="s">
        <v>25</v>
      </c>
      <c r="H286" s="4" t="s">
        <v>37</v>
      </c>
      <c r="I286" s="5">
        <v>44470</v>
      </c>
      <c r="J286" s="6">
        <v>0</v>
      </c>
      <c r="K286" s="6">
        <v>0</v>
      </c>
      <c r="L286" s="6">
        <v>61.856000000000002</v>
      </c>
      <c r="M286" s="6">
        <v>61.856000000000002</v>
      </c>
      <c r="N286" s="6">
        <v>61.856000000000002</v>
      </c>
      <c r="O286" s="6">
        <v>61.856000000000002</v>
      </c>
      <c r="P286" s="6">
        <v>0</v>
      </c>
      <c r="Q286" s="4" t="s">
        <v>26</v>
      </c>
      <c r="R286" s="4">
        <v>0</v>
      </c>
      <c r="S286" s="6">
        <v>0</v>
      </c>
      <c r="T286" s="6">
        <v>12</v>
      </c>
      <c r="U286" s="6">
        <v>66</v>
      </c>
      <c r="V286" s="6">
        <f>IF(ISERROR(VLOOKUP($S$286,'TAR FIN'!$A$1:$O$93,15,0)),0,VLOOKUP($S$286,'TAR FIN'!$A$1:$O$93,15,0))</f>
        <v>0</v>
      </c>
      <c r="W286" s="6">
        <f>IF(ISERROR(VLOOKUP($T$286,'TAR FIN'!$A$1:$O$93,15,0)),0,VLOOKUP($T$286,'TAR FIN'!$A$1:$O$93,15,0))</f>
        <v>1124.7</v>
      </c>
      <c r="X286" s="6">
        <f>IF(ISERROR(VLOOKUP($U$286,'TAR FIN'!$A$1:$O$93,15,0)),0,VLOOKUP($U$286,'TAR FIN'!$A$1:$O$93,15,0))</f>
        <v>185.18</v>
      </c>
      <c r="Y286" s="6"/>
      <c r="Z286" s="6">
        <f ca="1">('TUSD BE'!$AM$15+'TUSD BF'!$AM$15+'TUSD CVA'!$AM$15)*1</f>
        <v>1302.3659842076513</v>
      </c>
      <c r="AA286" s="6">
        <f>('TE BE'!$AB$7+'TE BF'!$AB$7+'TE CVA'!$AB$7)*1</f>
        <v>198.18194779658231</v>
      </c>
      <c r="AB286" s="6">
        <f>$K$286*$V$286</f>
        <v>0</v>
      </c>
      <c r="AC286" s="6">
        <f>$M$286*$W$286</f>
        <v>69569.443200000009</v>
      </c>
      <c r="AD286" s="6">
        <f>$O$286*$X$286</f>
        <v>11454.49408</v>
      </c>
      <c r="AE286" s="6">
        <f>$K$286*$Y$286</f>
        <v>0</v>
      </c>
      <c r="AF286" s="6">
        <f ca="1">$M$286*$Z$286</f>
        <v>80559.150319148481</v>
      </c>
      <c r="AG286" s="6">
        <f>$O$286*$AA$286</f>
        <v>12258.742562905396</v>
      </c>
    </row>
    <row r="287" spans="1:33" ht="11.25" customHeight="1" x14ac:dyDescent="0.25">
      <c r="A287" s="4" t="s">
        <v>27</v>
      </c>
      <c r="B287" s="4" t="s">
        <v>35</v>
      </c>
      <c r="C287" s="4" t="s">
        <v>39</v>
      </c>
      <c r="D287" s="4" t="s">
        <v>40</v>
      </c>
      <c r="E287" s="4" t="s">
        <v>25</v>
      </c>
      <c r="F287" s="4" t="s">
        <v>25</v>
      </c>
      <c r="G287" s="4" t="s">
        <v>25</v>
      </c>
      <c r="H287" s="4" t="s">
        <v>37</v>
      </c>
      <c r="I287" s="5">
        <v>44470</v>
      </c>
      <c r="J287" s="6">
        <v>0</v>
      </c>
      <c r="K287" s="6">
        <v>0</v>
      </c>
      <c r="L287" s="6">
        <v>-0.38</v>
      </c>
      <c r="M287" s="6">
        <v>-0.38</v>
      </c>
      <c r="N287" s="6">
        <v>-0.38</v>
      </c>
      <c r="O287" s="6">
        <v>-0.38</v>
      </c>
      <c r="P287" s="6">
        <v>0</v>
      </c>
      <c r="Q287" s="4" t="s">
        <v>26</v>
      </c>
      <c r="R287" s="4">
        <v>0</v>
      </c>
      <c r="S287" s="6">
        <v>0</v>
      </c>
      <c r="T287" s="6">
        <v>12</v>
      </c>
      <c r="U287" s="6">
        <v>66</v>
      </c>
      <c r="V287" s="6">
        <f>IF(ISERROR(VLOOKUP($S$287,'TAR FIN'!$A$1:$O$93,15,0)),0,VLOOKUP($S$287,'TAR FIN'!$A$1:$O$93,15,0))</f>
        <v>0</v>
      </c>
      <c r="W287" s="6">
        <f>IF(ISERROR(VLOOKUP($T$287,'TAR FIN'!$A$1:$O$93,15,0)),0,VLOOKUP($T$287,'TAR FIN'!$A$1:$O$93,15,0))</f>
        <v>1124.7</v>
      </c>
      <c r="X287" s="6">
        <f>IF(ISERROR(VLOOKUP($U$287,'TAR FIN'!$A$1:$O$93,15,0)),0,VLOOKUP($U$287,'TAR FIN'!$A$1:$O$93,15,0))</f>
        <v>185.18</v>
      </c>
      <c r="Y287" s="6"/>
      <c r="Z287" s="6">
        <f ca="1">('TUSD BE'!$AM$15+'TUSD BF'!$AM$15+'TUSD CVA'!$AM$15)*1</f>
        <v>1302.3659842076513</v>
      </c>
      <c r="AA287" s="6">
        <f>('TE BE'!$AB$7+'TE BF'!$AB$7+'TE CVA'!$AB$7)*1</f>
        <v>198.18194779658231</v>
      </c>
      <c r="AB287" s="6">
        <f>$K$287*$V$287</f>
        <v>0</v>
      </c>
      <c r="AC287" s="6">
        <f>$M$287*$W$287</f>
        <v>-427.38600000000002</v>
      </c>
      <c r="AD287" s="6">
        <f>$O$287*$X$287</f>
        <v>-70.368400000000008</v>
      </c>
      <c r="AE287" s="6">
        <f>$K$287*$Y$287</f>
        <v>0</v>
      </c>
      <c r="AF287" s="6">
        <f ca="1">$M$287*$Z$287</f>
        <v>-494.89907399890751</v>
      </c>
      <c r="AG287" s="6">
        <f>$O$287*$AA$287</f>
        <v>-75.309140162701283</v>
      </c>
    </row>
    <row r="288" spans="1:33" ht="11.25" customHeight="1" x14ac:dyDescent="0.25">
      <c r="A288" s="4" t="s">
        <v>28</v>
      </c>
      <c r="B288" s="4" t="s">
        <v>35</v>
      </c>
      <c r="C288" s="4" t="s">
        <v>39</v>
      </c>
      <c r="D288" s="4" t="s">
        <v>40</v>
      </c>
      <c r="E288" s="4" t="s">
        <v>25</v>
      </c>
      <c r="F288" s="4" t="s">
        <v>25</v>
      </c>
      <c r="G288" s="4" t="s">
        <v>25</v>
      </c>
      <c r="H288" s="4" t="s">
        <v>37</v>
      </c>
      <c r="I288" s="5">
        <v>44470</v>
      </c>
      <c r="J288" s="6">
        <v>0</v>
      </c>
      <c r="K288" s="6">
        <v>0</v>
      </c>
      <c r="L288" s="6">
        <v>2.5449999999999999</v>
      </c>
      <c r="M288" s="6">
        <v>2.5449999999999999</v>
      </c>
      <c r="N288" s="6">
        <v>2.5449999999999999</v>
      </c>
      <c r="O288" s="6">
        <v>2.5449999999999999</v>
      </c>
      <c r="P288" s="6">
        <v>0</v>
      </c>
      <c r="Q288" s="4" t="s">
        <v>26</v>
      </c>
      <c r="R288" s="4">
        <v>0</v>
      </c>
      <c r="S288" s="6">
        <v>0</v>
      </c>
      <c r="T288" s="6">
        <v>12</v>
      </c>
      <c r="U288" s="6">
        <v>66</v>
      </c>
      <c r="V288" s="6">
        <f>IF(ISERROR(VLOOKUP($S$288,'TAR FIN'!$A$1:$O$93,15,0)),0,VLOOKUP($S$288,'TAR FIN'!$A$1:$O$93,15,0))</f>
        <v>0</v>
      </c>
      <c r="W288" s="6">
        <f>IF(ISERROR(VLOOKUP($T$288,'TAR FIN'!$A$1:$O$93,15,0)),0,VLOOKUP($T$288,'TAR FIN'!$A$1:$O$93,15,0))</f>
        <v>1124.7</v>
      </c>
      <c r="X288" s="6">
        <f>IF(ISERROR(VLOOKUP($U$288,'TAR FIN'!$A$1:$O$93,15,0)),0,VLOOKUP($U$288,'TAR FIN'!$A$1:$O$93,15,0))</f>
        <v>185.18</v>
      </c>
      <c r="Y288" s="6"/>
      <c r="Z288" s="6">
        <f ca="1">('TUSD BE'!$AM$15+'TUSD BF'!$AM$15+'TUSD CVA'!$AM$15)*1</f>
        <v>1302.3659842076513</v>
      </c>
      <c r="AA288" s="6">
        <f>('TE BE'!$AB$7+'TE BF'!$AB$7+'TE CVA'!$AB$7)*1</f>
        <v>198.18194779658231</v>
      </c>
      <c r="AB288" s="6">
        <f>$K$288*$V$288</f>
        <v>0</v>
      </c>
      <c r="AC288" s="6">
        <f>$M$288*$W$288</f>
        <v>2862.3615</v>
      </c>
      <c r="AD288" s="6">
        <f>$O$288*$X$288</f>
        <v>471.28309999999999</v>
      </c>
      <c r="AE288" s="6">
        <f>$K$288*$Y$288</f>
        <v>0</v>
      </c>
      <c r="AF288" s="6">
        <f ca="1">$M$288*$Z$288</f>
        <v>3314.5214298084725</v>
      </c>
      <c r="AG288" s="6">
        <f>$O$288*$AA$288</f>
        <v>504.37305714230195</v>
      </c>
    </row>
    <row r="289" spans="1:33" ht="11.25" customHeight="1" x14ac:dyDescent="0.25">
      <c r="A289" s="4" t="s">
        <v>21</v>
      </c>
      <c r="B289" s="4" t="s">
        <v>35</v>
      </c>
      <c r="C289" s="4" t="s">
        <v>39</v>
      </c>
      <c r="D289" s="4" t="s">
        <v>40</v>
      </c>
      <c r="E289" s="4" t="s">
        <v>25</v>
      </c>
      <c r="F289" s="4" t="s">
        <v>25</v>
      </c>
      <c r="G289" s="4" t="s">
        <v>25</v>
      </c>
      <c r="H289" s="4" t="s">
        <v>37</v>
      </c>
      <c r="I289" s="5">
        <v>44501</v>
      </c>
      <c r="J289" s="6">
        <v>0</v>
      </c>
      <c r="K289" s="6">
        <v>0</v>
      </c>
      <c r="L289" s="6">
        <v>93.572000000000003</v>
      </c>
      <c r="M289" s="6">
        <v>93.572000000000003</v>
      </c>
      <c r="N289" s="6">
        <v>93.572000000000003</v>
      </c>
      <c r="O289" s="6">
        <v>93.572000000000003</v>
      </c>
      <c r="P289" s="6">
        <v>0</v>
      </c>
      <c r="Q289" s="4" t="s">
        <v>26</v>
      </c>
      <c r="R289" s="4">
        <v>0</v>
      </c>
      <c r="S289" s="6">
        <v>0</v>
      </c>
      <c r="T289" s="6">
        <v>12</v>
      </c>
      <c r="U289" s="6">
        <v>66</v>
      </c>
      <c r="V289" s="6">
        <f>IF(ISERROR(VLOOKUP($S$289,'TAR FIN'!$A$1:$O$93,15,0)),0,VLOOKUP($S$289,'TAR FIN'!$A$1:$O$93,15,0))</f>
        <v>0</v>
      </c>
      <c r="W289" s="6">
        <f>IF(ISERROR(VLOOKUP($T$289,'TAR FIN'!$A$1:$O$93,15,0)),0,VLOOKUP($T$289,'TAR FIN'!$A$1:$O$93,15,0))</f>
        <v>1124.7</v>
      </c>
      <c r="X289" s="6">
        <f>IF(ISERROR(VLOOKUP($U$289,'TAR FIN'!$A$1:$O$93,15,0)),0,VLOOKUP($U$289,'TAR FIN'!$A$1:$O$93,15,0))</f>
        <v>185.18</v>
      </c>
      <c r="Y289" s="6"/>
      <c r="Z289" s="6">
        <f ca="1">('TUSD BE'!$AM$15+'TUSD BF'!$AM$15+'TUSD CVA'!$AM$15)*1</f>
        <v>1302.3659842076513</v>
      </c>
      <c r="AA289" s="6">
        <f>('TE BE'!$AB$7+'TE BF'!$AB$7+'TE CVA'!$AB$7)*1</f>
        <v>198.18194779658231</v>
      </c>
      <c r="AB289" s="6">
        <f>$K$289*$V$289</f>
        <v>0</v>
      </c>
      <c r="AC289" s="6">
        <f>$M$289*$W$289</f>
        <v>105240.4284</v>
      </c>
      <c r="AD289" s="6">
        <f>$O$289*$X$289</f>
        <v>17327.662960000001</v>
      </c>
      <c r="AE289" s="6">
        <f>$K$289*$Y$289</f>
        <v>0</v>
      </c>
      <c r="AF289" s="6">
        <f ca="1">$M$289*$Z$289</f>
        <v>121864.98987427836</v>
      </c>
      <c r="AG289" s="6">
        <f>$O$289*$AA$289</f>
        <v>18544.281219221801</v>
      </c>
    </row>
    <row r="290" spans="1:33" ht="11.25" customHeight="1" x14ac:dyDescent="0.25">
      <c r="A290" s="4" t="s">
        <v>28</v>
      </c>
      <c r="B290" s="4" t="s">
        <v>35</v>
      </c>
      <c r="C290" s="4" t="s">
        <v>39</v>
      </c>
      <c r="D290" s="4" t="s">
        <v>40</v>
      </c>
      <c r="E290" s="4" t="s">
        <v>25</v>
      </c>
      <c r="F290" s="4" t="s">
        <v>25</v>
      </c>
      <c r="G290" s="4" t="s">
        <v>25</v>
      </c>
      <c r="H290" s="4" t="s">
        <v>37</v>
      </c>
      <c r="I290" s="5">
        <v>44501</v>
      </c>
      <c r="J290" s="6">
        <v>0</v>
      </c>
      <c r="K290" s="6">
        <v>0</v>
      </c>
      <c r="L290" s="6">
        <v>2.6309999999999998</v>
      </c>
      <c r="M290" s="6">
        <v>2.6309999999999998</v>
      </c>
      <c r="N290" s="6">
        <v>2.6309999999999998</v>
      </c>
      <c r="O290" s="6">
        <v>2.6309999999999998</v>
      </c>
      <c r="P290" s="6">
        <v>0</v>
      </c>
      <c r="Q290" s="4" t="s">
        <v>26</v>
      </c>
      <c r="R290" s="4">
        <v>0</v>
      </c>
      <c r="S290" s="6">
        <v>0</v>
      </c>
      <c r="T290" s="6">
        <v>12</v>
      </c>
      <c r="U290" s="6">
        <v>66</v>
      </c>
      <c r="V290" s="6">
        <f>IF(ISERROR(VLOOKUP($S$290,'TAR FIN'!$A$1:$O$93,15,0)),0,VLOOKUP($S$290,'TAR FIN'!$A$1:$O$93,15,0))</f>
        <v>0</v>
      </c>
      <c r="W290" s="6">
        <f>IF(ISERROR(VLOOKUP($T$290,'TAR FIN'!$A$1:$O$93,15,0)),0,VLOOKUP($T$290,'TAR FIN'!$A$1:$O$93,15,0))</f>
        <v>1124.7</v>
      </c>
      <c r="X290" s="6">
        <f>IF(ISERROR(VLOOKUP($U$290,'TAR FIN'!$A$1:$O$93,15,0)),0,VLOOKUP($U$290,'TAR FIN'!$A$1:$O$93,15,0))</f>
        <v>185.18</v>
      </c>
      <c r="Y290" s="6"/>
      <c r="Z290" s="6">
        <f ca="1">('TUSD BE'!$AM$15+'TUSD BF'!$AM$15+'TUSD CVA'!$AM$15)*1</f>
        <v>1302.3659842076513</v>
      </c>
      <c r="AA290" s="6">
        <f>('TE BE'!$AB$7+'TE BF'!$AB$7+'TE CVA'!$AB$7)*1</f>
        <v>198.18194779658231</v>
      </c>
      <c r="AB290" s="6">
        <f>$K$290*$V$290</f>
        <v>0</v>
      </c>
      <c r="AC290" s="6">
        <f>$M$290*$W$290</f>
        <v>2959.0857000000001</v>
      </c>
      <c r="AD290" s="6">
        <f>$O$290*$X$290</f>
        <v>487.20857999999998</v>
      </c>
      <c r="AE290" s="6">
        <f>$K$290*$Y$290</f>
        <v>0</v>
      </c>
      <c r="AF290" s="6">
        <f ca="1">$M$290*$Z$290</f>
        <v>3426.5249044503303</v>
      </c>
      <c r="AG290" s="6">
        <f>$O$290*$AA$290</f>
        <v>521.41670465280799</v>
      </c>
    </row>
    <row r="291" spans="1:33" ht="11.25" customHeight="1" x14ac:dyDescent="0.25">
      <c r="A291" s="4" t="s">
        <v>21</v>
      </c>
      <c r="B291" s="4" t="s">
        <v>35</v>
      </c>
      <c r="C291" s="4" t="s">
        <v>39</v>
      </c>
      <c r="D291" s="4" t="s">
        <v>40</v>
      </c>
      <c r="E291" s="4" t="s">
        <v>25</v>
      </c>
      <c r="F291" s="4" t="s">
        <v>25</v>
      </c>
      <c r="G291" s="4" t="s">
        <v>25</v>
      </c>
      <c r="H291" s="4" t="s">
        <v>37</v>
      </c>
      <c r="I291" s="5">
        <v>44531</v>
      </c>
      <c r="J291" s="6">
        <v>0</v>
      </c>
      <c r="K291" s="6">
        <v>0</v>
      </c>
      <c r="L291" s="6">
        <v>157.58600000000001</v>
      </c>
      <c r="M291" s="6">
        <v>157.58600000000001</v>
      </c>
      <c r="N291" s="6">
        <v>157.58600000000001</v>
      </c>
      <c r="O291" s="6">
        <v>157.58600000000001</v>
      </c>
      <c r="P291" s="6">
        <v>0</v>
      </c>
      <c r="Q291" s="4" t="s">
        <v>26</v>
      </c>
      <c r="R291" s="4">
        <v>0</v>
      </c>
      <c r="S291" s="6">
        <v>0</v>
      </c>
      <c r="T291" s="6">
        <v>12</v>
      </c>
      <c r="U291" s="6">
        <v>66</v>
      </c>
      <c r="V291" s="6">
        <f>IF(ISERROR(VLOOKUP($S$291,'TAR FIN'!$A$1:$O$93,15,0)),0,VLOOKUP($S$291,'TAR FIN'!$A$1:$O$93,15,0))</f>
        <v>0</v>
      </c>
      <c r="W291" s="6">
        <f>IF(ISERROR(VLOOKUP($T$291,'TAR FIN'!$A$1:$O$93,15,0)),0,VLOOKUP($T$291,'TAR FIN'!$A$1:$O$93,15,0))</f>
        <v>1124.7</v>
      </c>
      <c r="X291" s="6">
        <f>IF(ISERROR(VLOOKUP($U$291,'TAR FIN'!$A$1:$O$93,15,0)),0,VLOOKUP($U$291,'TAR FIN'!$A$1:$O$93,15,0))</f>
        <v>185.18</v>
      </c>
      <c r="Y291" s="6"/>
      <c r="Z291" s="6">
        <f ca="1">('TUSD BE'!$AM$15+'TUSD BF'!$AM$15+'TUSD CVA'!$AM$15)*1</f>
        <v>1302.3659842076513</v>
      </c>
      <c r="AA291" s="6">
        <f>('TE BE'!$AB$7+'TE BF'!$AB$7+'TE CVA'!$AB$7)*1</f>
        <v>198.18194779658231</v>
      </c>
      <c r="AB291" s="6">
        <f>$K$291*$V$291</f>
        <v>0</v>
      </c>
      <c r="AC291" s="6">
        <f>$M$291*$W$291</f>
        <v>177236.97420000003</v>
      </c>
      <c r="AD291" s="6">
        <f>$O$291*$X$291</f>
        <v>29181.775480000004</v>
      </c>
      <c r="AE291" s="6">
        <f>$K$291*$Y$291</f>
        <v>0</v>
      </c>
      <c r="AF291" s="6">
        <f ca="1">$M$291*$Z$291</f>
        <v>205234.64598734694</v>
      </c>
      <c r="AG291" s="6">
        <f>$O$291*$AA$291</f>
        <v>31230.700425472223</v>
      </c>
    </row>
    <row r="292" spans="1:33" ht="11.25" customHeight="1" x14ac:dyDescent="0.25">
      <c r="A292" s="4" t="s">
        <v>21</v>
      </c>
      <c r="B292" s="4" t="s">
        <v>35</v>
      </c>
      <c r="C292" s="4" t="s">
        <v>39</v>
      </c>
      <c r="D292" s="4" t="s">
        <v>40</v>
      </c>
      <c r="E292" s="4" t="s">
        <v>25</v>
      </c>
      <c r="F292" s="4" t="s">
        <v>25</v>
      </c>
      <c r="G292" s="4" t="s">
        <v>25</v>
      </c>
      <c r="H292" s="4" t="s">
        <v>37</v>
      </c>
      <c r="I292" s="5">
        <v>44562</v>
      </c>
      <c r="J292" s="6">
        <v>0</v>
      </c>
      <c r="K292" s="6">
        <v>0</v>
      </c>
      <c r="L292" s="6">
        <v>80.748999999999995</v>
      </c>
      <c r="M292" s="6">
        <v>80.748999999999995</v>
      </c>
      <c r="N292" s="6">
        <v>80.748999999999995</v>
      </c>
      <c r="O292" s="6">
        <v>80.748999999999995</v>
      </c>
      <c r="P292" s="6">
        <v>0</v>
      </c>
      <c r="Q292" s="4" t="s">
        <v>26</v>
      </c>
      <c r="R292" s="4">
        <v>0</v>
      </c>
      <c r="S292" s="6">
        <v>0</v>
      </c>
      <c r="T292" s="6">
        <v>12</v>
      </c>
      <c r="U292" s="6">
        <v>66</v>
      </c>
      <c r="V292" s="6">
        <f>IF(ISERROR(VLOOKUP($S$292,'TAR FIN'!$A$1:$O$93,15,0)),0,VLOOKUP($S$292,'TAR FIN'!$A$1:$O$93,15,0))</f>
        <v>0</v>
      </c>
      <c r="W292" s="6">
        <f>IF(ISERROR(VLOOKUP($T$292,'TAR FIN'!$A$1:$O$93,15,0)),0,VLOOKUP($T$292,'TAR FIN'!$A$1:$O$93,15,0))</f>
        <v>1124.7</v>
      </c>
      <c r="X292" s="6">
        <f>IF(ISERROR(VLOOKUP($U$292,'TAR FIN'!$A$1:$O$93,15,0)),0,VLOOKUP($U$292,'TAR FIN'!$A$1:$O$93,15,0))</f>
        <v>185.18</v>
      </c>
      <c r="Y292" s="6"/>
      <c r="Z292" s="6">
        <f ca="1">('TUSD BE'!$AM$15+'TUSD BF'!$AM$15+'TUSD CVA'!$AM$15)*1</f>
        <v>1302.3659842076513</v>
      </c>
      <c r="AA292" s="6">
        <f>('TE BE'!$AB$7+'TE BF'!$AB$7+'TE CVA'!$AB$7)*1</f>
        <v>198.18194779658231</v>
      </c>
      <c r="AB292" s="6">
        <f>$K$292*$V$292</f>
        <v>0</v>
      </c>
      <c r="AC292" s="6">
        <f>$M$292*$W$292</f>
        <v>90818.400299999994</v>
      </c>
      <c r="AD292" s="6">
        <f>$O$292*$X$292</f>
        <v>14953.099819999999</v>
      </c>
      <c r="AE292" s="6">
        <f>$K$292*$Y$292</f>
        <v>0</v>
      </c>
      <c r="AF292" s="6">
        <f ca="1">$M$292*$Z$292</f>
        <v>105164.75085878363</v>
      </c>
      <c r="AG292" s="6">
        <f>$O$292*$AA$292</f>
        <v>16002.994102626224</v>
      </c>
    </row>
    <row r="293" spans="1:33" ht="11.25" customHeight="1" x14ac:dyDescent="0.25">
      <c r="A293" s="4" t="s">
        <v>28</v>
      </c>
      <c r="B293" s="4" t="s">
        <v>35</v>
      </c>
      <c r="C293" s="4" t="s">
        <v>39</v>
      </c>
      <c r="D293" s="4" t="s">
        <v>40</v>
      </c>
      <c r="E293" s="4" t="s">
        <v>25</v>
      </c>
      <c r="F293" s="4" t="s">
        <v>25</v>
      </c>
      <c r="G293" s="4" t="s">
        <v>25</v>
      </c>
      <c r="H293" s="4" t="s">
        <v>37</v>
      </c>
      <c r="I293" s="5">
        <v>44562</v>
      </c>
      <c r="J293" s="6">
        <v>0</v>
      </c>
      <c r="K293" s="6">
        <v>0</v>
      </c>
      <c r="L293" s="6">
        <v>4.4880000000000004</v>
      </c>
      <c r="M293" s="6">
        <v>4.4880000000000004</v>
      </c>
      <c r="N293" s="6">
        <v>4.4880000000000004</v>
      </c>
      <c r="O293" s="6">
        <v>4.4880000000000004</v>
      </c>
      <c r="P293" s="6">
        <v>0</v>
      </c>
      <c r="Q293" s="4" t="s">
        <v>26</v>
      </c>
      <c r="R293" s="4">
        <v>0</v>
      </c>
      <c r="S293" s="6">
        <v>0</v>
      </c>
      <c r="T293" s="6">
        <v>12</v>
      </c>
      <c r="U293" s="6">
        <v>66</v>
      </c>
      <c r="V293" s="6">
        <f>IF(ISERROR(VLOOKUP($S$293,'TAR FIN'!$A$1:$O$93,15,0)),0,VLOOKUP($S$293,'TAR FIN'!$A$1:$O$93,15,0))</f>
        <v>0</v>
      </c>
      <c r="W293" s="6">
        <f>IF(ISERROR(VLOOKUP($T$293,'TAR FIN'!$A$1:$O$93,15,0)),0,VLOOKUP($T$293,'TAR FIN'!$A$1:$O$93,15,0))</f>
        <v>1124.7</v>
      </c>
      <c r="X293" s="6">
        <f>IF(ISERROR(VLOOKUP($U$293,'TAR FIN'!$A$1:$O$93,15,0)),0,VLOOKUP($U$293,'TAR FIN'!$A$1:$O$93,15,0))</f>
        <v>185.18</v>
      </c>
      <c r="Y293" s="6"/>
      <c r="Z293" s="6">
        <f ca="1">('TUSD BE'!$AM$15+'TUSD BF'!$AM$15+'TUSD CVA'!$AM$15)*1</f>
        <v>1302.3659842076513</v>
      </c>
      <c r="AA293" s="6">
        <f>('TE BE'!$AB$7+'TE BF'!$AB$7+'TE CVA'!$AB$7)*1</f>
        <v>198.18194779658231</v>
      </c>
      <c r="AB293" s="6">
        <f>$K$293*$V$293</f>
        <v>0</v>
      </c>
      <c r="AC293" s="6">
        <f>$M$293*$W$293</f>
        <v>5047.6536000000006</v>
      </c>
      <c r="AD293" s="6">
        <f>$O$293*$X$293</f>
        <v>831.08784000000014</v>
      </c>
      <c r="AE293" s="6">
        <f>$K$293*$Y$293</f>
        <v>0</v>
      </c>
      <c r="AF293" s="6">
        <f ca="1">$M$293*$Z$293</f>
        <v>5845.0185371239395</v>
      </c>
      <c r="AG293" s="6">
        <f>$O$293*$AA$293</f>
        <v>889.44058171106144</v>
      </c>
    </row>
    <row r="294" spans="1:33" ht="11.25" customHeight="1" x14ac:dyDescent="0.25">
      <c r="A294" s="4" t="s">
        <v>21</v>
      </c>
      <c r="B294" s="4" t="s">
        <v>35</v>
      </c>
      <c r="C294" s="4" t="s">
        <v>39</v>
      </c>
      <c r="D294" s="4" t="s">
        <v>40</v>
      </c>
      <c r="E294" s="4" t="s">
        <v>25</v>
      </c>
      <c r="F294" s="4" t="s">
        <v>25</v>
      </c>
      <c r="G294" s="4" t="s">
        <v>25</v>
      </c>
      <c r="H294" s="4" t="s">
        <v>37</v>
      </c>
      <c r="I294" s="5">
        <v>44593</v>
      </c>
      <c r="J294" s="6">
        <v>0</v>
      </c>
      <c r="K294" s="6">
        <v>0</v>
      </c>
      <c r="L294" s="6">
        <v>119.126</v>
      </c>
      <c r="M294" s="6">
        <v>119.126</v>
      </c>
      <c r="N294" s="6">
        <v>119.126</v>
      </c>
      <c r="O294" s="6">
        <v>119.126</v>
      </c>
      <c r="P294" s="6">
        <v>0</v>
      </c>
      <c r="Q294" s="4" t="s">
        <v>26</v>
      </c>
      <c r="R294" s="4">
        <v>0</v>
      </c>
      <c r="S294" s="6">
        <v>0</v>
      </c>
      <c r="T294" s="6">
        <v>12</v>
      </c>
      <c r="U294" s="6">
        <v>66</v>
      </c>
      <c r="V294" s="6">
        <f>IF(ISERROR(VLOOKUP($S$294,'TAR FIN'!$A$1:$O$93,15,0)),0,VLOOKUP($S$294,'TAR FIN'!$A$1:$O$93,15,0))</f>
        <v>0</v>
      </c>
      <c r="W294" s="6">
        <f>IF(ISERROR(VLOOKUP($T$294,'TAR FIN'!$A$1:$O$93,15,0)),0,VLOOKUP($T$294,'TAR FIN'!$A$1:$O$93,15,0))</f>
        <v>1124.7</v>
      </c>
      <c r="X294" s="6">
        <f>IF(ISERROR(VLOOKUP($U$294,'TAR FIN'!$A$1:$O$93,15,0)),0,VLOOKUP($U$294,'TAR FIN'!$A$1:$O$93,15,0))</f>
        <v>185.18</v>
      </c>
      <c r="Y294" s="6"/>
      <c r="Z294" s="6">
        <f ca="1">('TUSD BE'!$AM$15+'TUSD BF'!$AM$15+'TUSD CVA'!$AM$15)*1</f>
        <v>1302.3659842076513</v>
      </c>
      <c r="AA294" s="6">
        <f>('TE BE'!$AB$7+'TE BF'!$AB$7+'TE CVA'!$AB$7)*1</f>
        <v>198.18194779658231</v>
      </c>
      <c r="AB294" s="6">
        <f>$K$294*$V$294</f>
        <v>0</v>
      </c>
      <c r="AC294" s="6">
        <f>$M$294*$W$294</f>
        <v>133981.0122</v>
      </c>
      <c r="AD294" s="6">
        <f>$O$294*$X$294</f>
        <v>22059.752680000001</v>
      </c>
      <c r="AE294" s="6">
        <f>$K$294*$Y$294</f>
        <v>0</v>
      </c>
      <c r="AF294" s="6">
        <f ca="1">$M$294*$Z$294</f>
        <v>155145.65023472067</v>
      </c>
      <c r="AG294" s="6">
        <f>$O$294*$AA$294</f>
        <v>23608.622713215664</v>
      </c>
    </row>
    <row r="295" spans="1:33" ht="11.25" customHeight="1" x14ac:dyDescent="0.25">
      <c r="A295" s="4" t="s">
        <v>27</v>
      </c>
      <c r="B295" s="4" t="s">
        <v>35</v>
      </c>
      <c r="C295" s="4" t="s">
        <v>39</v>
      </c>
      <c r="D295" s="4" t="s">
        <v>40</v>
      </c>
      <c r="E295" s="4" t="s">
        <v>25</v>
      </c>
      <c r="F295" s="4" t="s">
        <v>25</v>
      </c>
      <c r="G295" s="4" t="s">
        <v>25</v>
      </c>
      <c r="H295" s="4" t="s">
        <v>37</v>
      </c>
      <c r="I295" s="5">
        <v>44593</v>
      </c>
      <c r="J295" s="6">
        <v>0</v>
      </c>
      <c r="K295" s="6">
        <v>0</v>
      </c>
      <c r="L295" s="6">
        <v>-0.34</v>
      </c>
      <c r="M295" s="6">
        <v>-0.34</v>
      </c>
      <c r="N295" s="6">
        <v>-0.34</v>
      </c>
      <c r="O295" s="6">
        <v>-0.34</v>
      </c>
      <c r="P295" s="6">
        <v>0</v>
      </c>
      <c r="Q295" s="4" t="s">
        <v>26</v>
      </c>
      <c r="R295" s="4">
        <v>0</v>
      </c>
      <c r="S295" s="6">
        <v>0</v>
      </c>
      <c r="T295" s="6">
        <v>12</v>
      </c>
      <c r="U295" s="6">
        <v>66</v>
      </c>
      <c r="V295" s="6">
        <f>IF(ISERROR(VLOOKUP($S$295,'TAR FIN'!$A$1:$O$93,15,0)),0,VLOOKUP($S$295,'TAR FIN'!$A$1:$O$93,15,0))</f>
        <v>0</v>
      </c>
      <c r="W295" s="6">
        <f>IF(ISERROR(VLOOKUP($T$295,'TAR FIN'!$A$1:$O$93,15,0)),0,VLOOKUP($T$295,'TAR FIN'!$A$1:$O$93,15,0))</f>
        <v>1124.7</v>
      </c>
      <c r="X295" s="6">
        <f>IF(ISERROR(VLOOKUP($U$295,'TAR FIN'!$A$1:$O$93,15,0)),0,VLOOKUP($U$295,'TAR FIN'!$A$1:$O$93,15,0))</f>
        <v>185.18</v>
      </c>
      <c r="Y295" s="6"/>
      <c r="Z295" s="6">
        <f ca="1">('TUSD BE'!$AM$15+'TUSD BF'!$AM$15+'TUSD CVA'!$AM$15)*1</f>
        <v>1302.3659842076513</v>
      </c>
      <c r="AA295" s="6">
        <f>('TE BE'!$AB$7+'TE BF'!$AB$7+'TE CVA'!$AB$7)*1</f>
        <v>198.18194779658231</v>
      </c>
      <c r="AB295" s="6">
        <f>$K$295*$V$295</f>
        <v>0</v>
      </c>
      <c r="AC295" s="6">
        <f>$M$295*$W$295</f>
        <v>-382.39800000000002</v>
      </c>
      <c r="AD295" s="6">
        <f>$O$295*$X$295</f>
        <v>-62.961200000000005</v>
      </c>
      <c r="AE295" s="6">
        <f>$K$295*$Y$295</f>
        <v>0</v>
      </c>
      <c r="AF295" s="6">
        <f ca="1">$M$295*$Z$295</f>
        <v>-442.80443463060146</v>
      </c>
      <c r="AG295" s="6">
        <f>$O$295*$AA$295</f>
        <v>-67.381862250837983</v>
      </c>
    </row>
    <row r="296" spans="1:33" ht="11.25" customHeight="1" x14ac:dyDescent="0.25">
      <c r="A296" s="4" t="s">
        <v>28</v>
      </c>
      <c r="B296" s="4" t="s">
        <v>35</v>
      </c>
      <c r="C296" s="4" t="s">
        <v>39</v>
      </c>
      <c r="D296" s="4" t="s">
        <v>40</v>
      </c>
      <c r="E296" s="4" t="s">
        <v>25</v>
      </c>
      <c r="F296" s="4" t="s">
        <v>25</v>
      </c>
      <c r="G296" s="4" t="s">
        <v>25</v>
      </c>
      <c r="H296" s="4" t="s">
        <v>37</v>
      </c>
      <c r="I296" s="5">
        <v>44593</v>
      </c>
      <c r="J296" s="6">
        <v>0</v>
      </c>
      <c r="K296" s="6">
        <v>0</v>
      </c>
      <c r="L296" s="6">
        <v>8.7899999999999991</v>
      </c>
      <c r="M296" s="6">
        <v>8.7899999999999991</v>
      </c>
      <c r="N296" s="6">
        <v>8.7899999999999991</v>
      </c>
      <c r="O296" s="6">
        <v>8.7899999999999991</v>
      </c>
      <c r="P296" s="6">
        <v>0</v>
      </c>
      <c r="Q296" s="4" t="s">
        <v>26</v>
      </c>
      <c r="R296" s="4">
        <v>0</v>
      </c>
      <c r="S296" s="6">
        <v>0</v>
      </c>
      <c r="T296" s="6">
        <v>12</v>
      </c>
      <c r="U296" s="6">
        <v>66</v>
      </c>
      <c r="V296" s="6">
        <f>IF(ISERROR(VLOOKUP($S$296,'TAR FIN'!$A$1:$O$93,15,0)),0,VLOOKUP($S$296,'TAR FIN'!$A$1:$O$93,15,0))</f>
        <v>0</v>
      </c>
      <c r="W296" s="6">
        <f>IF(ISERROR(VLOOKUP($T$296,'TAR FIN'!$A$1:$O$93,15,0)),0,VLOOKUP($T$296,'TAR FIN'!$A$1:$O$93,15,0))</f>
        <v>1124.7</v>
      </c>
      <c r="X296" s="6">
        <f>IF(ISERROR(VLOOKUP($U$296,'TAR FIN'!$A$1:$O$93,15,0)),0,VLOOKUP($U$296,'TAR FIN'!$A$1:$O$93,15,0))</f>
        <v>185.18</v>
      </c>
      <c r="Y296" s="6"/>
      <c r="Z296" s="6">
        <f ca="1">('TUSD BE'!$AM$15+'TUSD BF'!$AM$15+'TUSD CVA'!$AM$15)*1</f>
        <v>1302.3659842076513</v>
      </c>
      <c r="AA296" s="6">
        <f>('TE BE'!$AB$7+'TE BF'!$AB$7+'TE CVA'!$AB$7)*1</f>
        <v>198.18194779658231</v>
      </c>
      <c r="AB296" s="6">
        <f>$K$296*$V$296</f>
        <v>0</v>
      </c>
      <c r="AC296" s="6">
        <f>$M$296*$W$296</f>
        <v>9886.1129999999994</v>
      </c>
      <c r="AD296" s="6">
        <f>$O$296*$X$296</f>
        <v>1627.7321999999999</v>
      </c>
      <c r="AE296" s="6">
        <f>$K$296*$Y$296</f>
        <v>0</v>
      </c>
      <c r="AF296" s="6">
        <f ca="1">$M$296*$Z$296</f>
        <v>11447.797001185254</v>
      </c>
      <c r="AG296" s="6">
        <f>$O$296*$AA$296</f>
        <v>1742.0193211319583</v>
      </c>
    </row>
    <row r="297" spans="1:33" ht="11.25" customHeight="1" x14ac:dyDescent="0.25">
      <c r="A297" s="4" t="s">
        <v>21</v>
      </c>
      <c r="B297" s="4" t="s">
        <v>35</v>
      </c>
      <c r="C297" s="4" t="s">
        <v>39</v>
      </c>
      <c r="D297" s="4" t="s">
        <v>40</v>
      </c>
      <c r="E297" s="4" t="s">
        <v>25</v>
      </c>
      <c r="F297" s="4" t="s">
        <v>25</v>
      </c>
      <c r="G297" s="4" t="s">
        <v>25</v>
      </c>
      <c r="H297" s="4" t="s">
        <v>37</v>
      </c>
      <c r="I297" s="5">
        <v>44621</v>
      </c>
      <c r="J297" s="6">
        <v>0</v>
      </c>
      <c r="K297" s="6">
        <v>0</v>
      </c>
      <c r="L297" s="6">
        <v>137.07599999999999</v>
      </c>
      <c r="M297" s="6">
        <v>137.07599999999999</v>
      </c>
      <c r="N297" s="6">
        <v>137.07599999999999</v>
      </c>
      <c r="O297" s="6">
        <v>137.07599999999999</v>
      </c>
      <c r="P297" s="6">
        <v>0</v>
      </c>
      <c r="Q297" s="4" t="s">
        <v>26</v>
      </c>
      <c r="R297" s="4">
        <v>0</v>
      </c>
      <c r="S297" s="6">
        <v>0</v>
      </c>
      <c r="T297" s="6">
        <v>12</v>
      </c>
      <c r="U297" s="6">
        <v>66</v>
      </c>
      <c r="V297" s="6">
        <f>IF(ISERROR(VLOOKUP($S$297,'TAR FIN'!$A$1:$O$93,15,0)),0,VLOOKUP($S$297,'TAR FIN'!$A$1:$O$93,15,0))</f>
        <v>0</v>
      </c>
      <c r="W297" s="6">
        <f>IF(ISERROR(VLOOKUP($T$297,'TAR FIN'!$A$1:$O$93,15,0)),0,VLOOKUP($T$297,'TAR FIN'!$A$1:$O$93,15,0))</f>
        <v>1124.7</v>
      </c>
      <c r="X297" s="6">
        <f>IF(ISERROR(VLOOKUP($U$297,'TAR FIN'!$A$1:$O$93,15,0)),0,VLOOKUP($U$297,'TAR FIN'!$A$1:$O$93,15,0))</f>
        <v>185.18</v>
      </c>
      <c r="Y297" s="6"/>
      <c r="Z297" s="6">
        <f ca="1">('TUSD BE'!$AM$15+'TUSD BF'!$AM$15+'TUSD CVA'!$AM$15)*1</f>
        <v>1302.3659842076513</v>
      </c>
      <c r="AA297" s="6">
        <f>('TE BE'!$AB$7+'TE BF'!$AB$7+'TE CVA'!$AB$7)*1</f>
        <v>198.18194779658231</v>
      </c>
      <c r="AB297" s="6">
        <f>$K$297*$V$297</f>
        <v>0</v>
      </c>
      <c r="AC297" s="6">
        <f>$M$297*$W$297</f>
        <v>154169.37719999999</v>
      </c>
      <c r="AD297" s="6">
        <f>$O$297*$X$297</f>
        <v>25383.733680000001</v>
      </c>
      <c r="AE297" s="6">
        <f>$K$297*$Y$297</f>
        <v>0</v>
      </c>
      <c r="AF297" s="6">
        <f ca="1">$M$297*$Z$297</f>
        <v>178523.11965124801</v>
      </c>
      <c r="AG297" s="6">
        <f>$O$297*$AA$297</f>
        <v>27165.988676164314</v>
      </c>
    </row>
    <row r="298" spans="1:33" ht="11.25" customHeight="1" x14ac:dyDescent="0.25">
      <c r="A298" s="4" t="s">
        <v>27</v>
      </c>
      <c r="B298" s="4" t="s">
        <v>35</v>
      </c>
      <c r="C298" s="4" t="s">
        <v>39</v>
      </c>
      <c r="D298" s="4" t="s">
        <v>40</v>
      </c>
      <c r="E298" s="4" t="s">
        <v>25</v>
      </c>
      <c r="F298" s="4" t="s">
        <v>25</v>
      </c>
      <c r="G298" s="4" t="s">
        <v>25</v>
      </c>
      <c r="H298" s="4" t="s">
        <v>37</v>
      </c>
      <c r="I298" s="5">
        <v>44621</v>
      </c>
      <c r="J298" s="6">
        <v>0</v>
      </c>
      <c r="K298" s="6">
        <v>0</v>
      </c>
      <c r="L298" s="6">
        <v>-0.66100000000000003</v>
      </c>
      <c r="M298" s="6">
        <v>-0.66100000000000003</v>
      </c>
      <c r="N298" s="6">
        <v>-0.66100000000000003</v>
      </c>
      <c r="O298" s="6">
        <v>-0.66100000000000003</v>
      </c>
      <c r="P298" s="6">
        <v>0</v>
      </c>
      <c r="Q298" s="4" t="s">
        <v>26</v>
      </c>
      <c r="R298" s="4">
        <v>0</v>
      </c>
      <c r="S298" s="6">
        <v>0</v>
      </c>
      <c r="T298" s="6">
        <v>12</v>
      </c>
      <c r="U298" s="6">
        <v>66</v>
      </c>
      <c r="V298" s="6">
        <f>IF(ISERROR(VLOOKUP($S$298,'TAR FIN'!$A$1:$O$93,15,0)),0,VLOOKUP($S$298,'TAR FIN'!$A$1:$O$93,15,0))</f>
        <v>0</v>
      </c>
      <c r="W298" s="6">
        <f>IF(ISERROR(VLOOKUP($T$298,'TAR FIN'!$A$1:$O$93,15,0)),0,VLOOKUP($T$298,'TAR FIN'!$A$1:$O$93,15,0))</f>
        <v>1124.7</v>
      </c>
      <c r="X298" s="6">
        <f>IF(ISERROR(VLOOKUP($U$298,'TAR FIN'!$A$1:$O$93,15,0)),0,VLOOKUP($U$298,'TAR FIN'!$A$1:$O$93,15,0))</f>
        <v>185.18</v>
      </c>
      <c r="Y298" s="6"/>
      <c r="Z298" s="6">
        <f ca="1">('TUSD BE'!$AM$15+'TUSD BF'!$AM$15+'TUSD CVA'!$AM$15)*1</f>
        <v>1302.3659842076513</v>
      </c>
      <c r="AA298" s="6">
        <f>('TE BE'!$AB$7+'TE BF'!$AB$7+'TE CVA'!$AB$7)*1</f>
        <v>198.18194779658231</v>
      </c>
      <c r="AB298" s="6">
        <f>$K$298*$V$298</f>
        <v>0</v>
      </c>
      <c r="AC298" s="6">
        <f>$M$298*$W$298</f>
        <v>-743.4267000000001</v>
      </c>
      <c r="AD298" s="6">
        <f>$O$298*$X$298</f>
        <v>-122.40398</v>
      </c>
      <c r="AE298" s="6">
        <f>$K$298*$Y$298</f>
        <v>0</v>
      </c>
      <c r="AF298" s="6">
        <f ca="1">$M$298*$Z$298</f>
        <v>-860.86391556125761</v>
      </c>
      <c r="AG298" s="6">
        <f>$O$298*$AA$298</f>
        <v>-130.99826749354091</v>
      </c>
    </row>
    <row r="299" spans="1:33" ht="11.25" customHeight="1" x14ac:dyDescent="0.25">
      <c r="A299" s="4" t="s">
        <v>28</v>
      </c>
      <c r="B299" s="4" t="s">
        <v>35</v>
      </c>
      <c r="C299" s="4" t="s">
        <v>39</v>
      </c>
      <c r="D299" s="4" t="s">
        <v>40</v>
      </c>
      <c r="E299" s="4" t="s">
        <v>25</v>
      </c>
      <c r="F299" s="4" t="s">
        <v>25</v>
      </c>
      <c r="G299" s="4" t="s">
        <v>25</v>
      </c>
      <c r="H299" s="4" t="s">
        <v>37</v>
      </c>
      <c r="I299" s="5">
        <v>44621</v>
      </c>
      <c r="J299" s="6">
        <v>0</v>
      </c>
      <c r="K299" s="6">
        <v>0</v>
      </c>
      <c r="L299" s="6">
        <v>10.946</v>
      </c>
      <c r="M299" s="6">
        <v>10.946</v>
      </c>
      <c r="N299" s="6">
        <v>10.946</v>
      </c>
      <c r="O299" s="6">
        <v>10.946</v>
      </c>
      <c r="P299" s="6">
        <v>0</v>
      </c>
      <c r="Q299" s="4" t="s">
        <v>26</v>
      </c>
      <c r="R299" s="4">
        <v>0</v>
      </c>
      <c r="S299" s="6">
        <v>0</v>
      </c>
      <c r="T299" s="6">
        <v>12</v>
      </c>
      <c r="U299" s="6">
        <v>66</v>
      </c>
      <c r="V299" s="6">
        <f>IF(ISERROR(VLOOKUP($S$299,'TAR FIN'!$A$1:$O$93,15,0)),0,VLOOKUP($S$299,'TAR FIN'!$A$1:$O$93,15,0))</f>
        <v>0</v>
      </c>
      <c r="W299" s="6">
        <f>IF(ISERROR(VLOOKUP($T$299,'TAR FIN'!$A$1:$O$93,15,0)),0,VLOOKUP($T$299,'TAR FIN'!$A$1:$O$93,15,0))</f>
        <v>1124.7</v>
      </c>
      <c r="X299" s="6">
        <f>IF(ISERROR(VLOOKUP($U$299,'TAR FIN'!$A$1:$O$93,15,0)),0,VLOOKUP($U$299,'TAR FIN'!$A$1:$O$93,15,0))</f>
        <v>185.18</v>
      </c>
      <c r="Y299" s="6"/>
      <c r="Z299" s="6">
        <f ca="1">('TUSD BE'!$AM$15+'TUSD BF'!$AM$15+'TUSD CVA'!$AM$15)*1</f>
        <v>1302.3659842076513</v>
      </c>
      <c r="AA299" s="6">
        <f>('TE BE'!$AB$7+'TE BF'!$AB$7+'TE CVA'!$AB$7)*1</f>
        <v>198.18194779658231</v>
      </c>
      <c r="AB299" s="6">
        <f>$K$299*$V$299</f>
        <v>0</v>
      </c>
      <c r="AC299" s="6">
        <f>$M$299*$W$299</f>
        <v>12310.966200000001</v>
      </c>
      <c r="AD299" s="6">
        <f>$O$299*$X$299</f>
        <v>2026.98028</v>
      </c>
      <c r="AE299" s="6">
        <f>$K$299*$Y$299</f>
        <v>0</v>
      </c>
      <c r="AF299" s="6">
        <f ca="1">$M$299*$Z$299</f>
        <v>14255.698063136952</v>
      </c>
      <c r="AG299" s="6">
        <f>$O$299*$AA$299</f>
        <v>2169.2996005813898</v>
      </c>
    </row>
    <row r="300" spans="1:33" ht="11.25" customHeight="1" x14ac:dyDescent="0.25">
      <c r="A300" s="4" t="s">
        <v>21</v>
      </c>
      <c r="B300" s="4" t="s">
        <v>35</v>
      </c>
      <c r="C300" s="4" t="s">
        <v>39</v>
      </c>
      <c r="D300" s="4" t="s">
        <v>40</v>
      </c>
      <c r="E300" s="4" t="s">
        <v>25</v>
      </c>
      <c r="F300" s="4" t="s">
        <v>25</v>
      </c>
      <c r="G300" s="4" t="s">
        <v>25</v>
      </c>
      <c r="H300" s="4" t="s">
        <v>37</v>
      </c>
      <c r="I300" s="5">
        <v>44652</v>
      </c>
      <c r="J300" s="6">
        <v>0</v>
      </c>
      <c r="K300" s="6">
        <v>0</v>
      </c>
      <c r="L300" s="6">
        <v>181.124</v>
      </c>
      <c r="M300" s="6">
        <v>181.124</v>
      </c>
      <c r="N300" s="6">
        <v>181.124</v>
      </c>
      <c r="O300" s="6">
        <v>181.124</v>
      </c>
      <c r="P300" s="6">
        <v>0</v>
      </c>
      <c r="Q300" s="4" t="s">
        <v>26</v>
      </c>
      <c r="R300" s="4">
        <v>0</v>
      </c>
      <c r="S300" s="6">
        <v>0</v>
      </c>
      <c r="T300" s="6">
        <v>12</v>
      </c>
      <c r="U300" s="6">
        <v>66</v>
      </c>
      <c r="V300" s="6">
        <f>IF(ISERROR(VLOOKUP($S$300,'TAR FIN'!$A$1:$O$93,15,0)),0,VLOOKUP($S$300,'TAR FIN'!$A$1:$O$93,15,0))</f>
        <v>0</v>
      </c>
      <c r="W300" s="6">
        <f>IF(ISERROR(VLOOKUP($T$300,'TAR FIN'!$A$1:$O$93,15,0)),0,VLOOKUP($T$300,'TAR FIN'!$A$1:$O$93,15,0))</f>
        <v>1124.7</v>
      </c>
      <c r="X300" s="6">
        <f>IF(ISERROR(VLOOKUP($U$300,'TAR FIN'!$A$1:$O$93,15,0)),0,VLOOKUP($U$300,'TAR FIN'!$A$1:$O$93,15,0))</f>
        <v>185.18</v>
      </c>
      <c r="Y300" s="6"/>
      <c r="Z300" s="6">
        <f ca="1">('TUSD BE'!$AM$15+'TUSD BF'!$AM$15+'TUSD CVA'!$AM$15)*1</f>
        <v>1302.3659842076513</v>
      </c>
      <c r="AA300" s="6">
        <f>('TE BE'!$AB$7+'TE BF'!$AB$7+'TE CVA'!$AB$7)*1</f>
        <v>198.18194779658231</v>
      </c>
      <c r="AB300" s="6">
        <f>$K$300*$V$300</f>
        <v>0</v>
      </c>
      <c r="AC300" s="6">
        <f>$M$300*$W$300</f>
        <v>203710.16279999999</v>
      </c>
      <c r="AD300" s="6">
        <f>$O$300*$X$300</f>
        <v>33540.54232</v>
      </c>
      <c r="AE300" s="6">
        <f>$K$300*$Y$300</f>
        <v>0</v>
      </c>
      <c r="AF300" s="6">
        <f ca="1">$M$300*$Z$300</f>
        <v>235889.73652362663</v>
      </c>
      <c r="AG300" s="6">
        <f>$O$300*$AA$300</f>
        <v>35895.507112708176</v>
      </c>
    </row>
    <row r="301" spans="1:33" ht="11.25" customHeight="1" x14ac:dyDescent="0.25">
      <c r="A301" s="4" t="s">
        <v>27</v>
      </c>
      <c r="B301" s="4" t="s">
        <v>35</v>
      </c>
      <c r="C301" s="4" t="s">
        <v>39</v>
      </c>
      <c r="D301" s="4" t="s">
        <v>40</v>
      </c>
      <c r="E301" s="4" t="s">
        <v>25</v>
      </c>
      <c r="F301" s="4" t="s">
        <v>25</v>
      </c>
      <c r="G301" s="4" t="s">
        <v>25</v>
      </c>
      <c r="H301" s="4" t="s">
        <v>37</v>
      </c>
      <c r="I301" s="5">
        <v>44652</v>
      </c>
      <c r="J301" s="6">
        <v>0</v>
      </c>
      <c r="K301" s="6">
        <v>0</v>
      </c>
      <c r="L301" s="6">
        <v>-14.768000000000001</v>
      </c>
      <c r="M301" s="6">
        <v>-14.768000000000001</v>
      </c>
      <c r="N301" s="6">
        <v>-14.768000000000001</v>
      </c>
      <c r="O301" s="6">
        <v>-14.768000000000001</v>
      </c>
      <c r="P301" s="6">
        <v>0</v>
      </c>
      <c r="Q301" s="4" t="s">
        <v>26</v>
      </c>
      <c r="R301" s="4">
        <v>0</v>
      </c>
      <c r="S301" s="6">
        <v>0</v>
      </c>
      <c r="T301" s="6">
        <v>12</v>
      </c>
      <c r="U301" s="6">
        <v>66</v>
      </c>
      <c r="V301" s="6">
        <f>IF(ISERROR(VLOOKUP($S$301,'TAR FIN'!$A$1:$O$93,15,0)),0,VLOOKUP($S$301,'TAR FIN'!$A$1:$O$93,15,0))</f>
        <v>0</v>
      </c>
      <c r="W301" s="6">
        <f>IF(ISERROR(VLOOKUP($T$301,'TAR FIN'!$A$1:$O$93,15,0)),0,VLOOKUP($T$301,'TAR FIN'!$A$1:$O$93,15,0))</f>
        <v>1124.7</v>
      </c>
      <c r="X301" s="6">
        <f>IF(ISERROR(VLOOKUP($U$301,'TAR FIN'!$A$1:$O$93,15,0)),0,VLOOKUP($U$301,'TAR FIN'!$A$1:$O$93,15,0))</f>
        <v>185.18</v>
      </c>
      <c r="Y301" s="6"/>
      <c r="Z301" s="6">
        <f ca="1">('TUSD BE'!$AM$15+'TUSD BF'!$AM$15+'TUSD CVA'!$AM$15)*1</f>
        <v>1302.3659842076513</v>
      </c>
      <c r="AA301" s="6">
        <f>('TE BE'!$AB$7+'TE BF'!$AB$7+'TE CVA'!$AB$7)*1</f>
        <v>198.18194779658231</v>
      </c>
      <c r="AB301" s="6">
        <f>$K$301*$V$301</f>
        <v>0</v>
      </c>
      <c r="AC301" s="6">
        <f>$M$301*$W$301</f>
        <v>-16609.569600000003</v>
      </c>
      <c r="AD301" s="6">
        <f>$O$301*$X$301</f>
        <v>-2734.7382400000001</v>
      </c>
      <c r="AE301" s="6">
        <f>$K$301*$Y$301</f>
        <v>0</v>
      </c>
      <c r="AF301" s="6">
        <f ca="1">$M$301*$Z$301</f>
        <v>-19233.340854778595</v>
      </c>
      <c r="AG301" s="6">
        <f>$O$301*$AA$301</f>
        <v>-2926.7510050599276</v>
      </c>
    </row>
    <row r="302" spans="1:33" ht="11.25" customHeight="1" x14ac:dyDescent="0.25">
      <c r="A302" s="4" t="s">
        <v>28</v>
      </c>
      <c r="B302" s="4" t="s">
        <v>35</v>
      </c>
      <c r="C302" s="4" t="s">
        <v>39</v>
      </c>
      <c r="D302" s="4" t="s">
        <v>40</v>
      </c>
      <c r="E302" s="4" t="s">
        <v>25</v>
      </c>
      <c r="F302" s="4" t="s">
        <v>25</v>
      </c>
      <c r="G302" s="4" t="s">
        <v>25</v>
      </c>
      <c r="H302" s="4" t="s">
        <v>37</v>
      </c>
      <c r="I302" s="5">
        <v>44652</v>
      </c>
      <c r="J302" s="6">
        <v>0</v>
      </c>
      <c r="K302" s="6">
        <v>0</v>
      </c>
      <c r="L302" s="6">
        <v>24.75</v>
      </c>
      <c r="M302" s="6">
        <v>24.75</v>
      </c>
      <c r="N302" s="6">
        <v>24.75</v>
      </c>
      <c r="O302" s="6">
        <v>24.75</v>
      </c>
      <c r="P302" s="6">
        <v>0</v>
      </c>
      <c r="Q302" s="4" t="s">
        <v>26</v>
      </c>
      <c r="R302" s="4">
        <v>0</v>
      </c>
      <c r="S302" s="6">
        <v>0</v>
      </c>
      <c r="T302" s="6">
        <v>12</v>
      </c>
      <c r="U302" s="6">
        <v>66</v>
      </c>
      <c r="V302" s="6">
        <f>IF(ISERROR(VLOOKUP($S$302,'TAR FIN'!$A$1:$O$93,15,0)),0,VLOOKUP($S$302,'TAR FIN'!$A$1:$O$93,15,0))</f>
        <v>0</v>
      </c>
      <c r="W302" s="6">
        <f>IF(ISERROR(VLOOKUP($T$302,'TAR FIN'!$A$1:$O$93,15,0)),0,VLOOKUP($T$302,'TAR FIN'!$A$1:$O$93,15,0))</f>
        <v>1124.7</v>
      </c>
      <c r="X302" s="6">
        <f>IF(ISERROR(VLOOKUP($U$302,'TAR FIN'!$A$1:$O$93,15,0)),0,VLOOKUP($U$302,'TAR FIN'!$A$1:$O$93,15,0))</f>
        <v>185.18</v>
      </c>
      <c r="Y302" s="6"/>
      <c r="Z302" s="6">
        <f ca="1">('TUSD BE'!$AM$15+'TUSD BF'!$AM$15+'TUSD CVA'!$AM$15)*1</f>
        <v>1302.3659842076513</v>
      </c>
      <c r="AA302" s="6">
        <f>('TE BE'!$AB$7+'TE BF'!$AB$7+'TE CVA'!$AB$7)*1</f>
        <v>198.18194779658231</v>
      </c>
      <c r="AB302" s="6">
        <f>$K$302*$V$302</f>
        <v>0</v>
      </c>
      <c r="AC302" s="6">
        <f>$M$302*$W$302</f>
        <v>27836.325000000001</v>
      </c>
      <c r="AD302" s="6">
        <f>$O$302*$X$302</f>
        <v>4583.2049999999999</v>
      </c>
      <c r="AE302" s="6">
        <f>$K$302*$Y$302</f>
        <v>0</v>
      </c>
      <c r="AF302" s="6">
        <f ca="1">$M$302*$Z$302</f>
        <v>32233.558109139369</v>
      </c>
      <c r="AG302" s="6">
        <f>$O$302*$AA$302</f>
        <v>4905.003207965412</v>
      </c>
    </row>
    <row r="303" spans="1:33" ht="11.25" customHeight="1" x14ac:dyDescent="0.25">
      <c r="A303" s="4" t="s">
        <v>21</v>
      </c>
      <c r="B303" s="4" t="s">
        <v>35</v>
      </c>
      <c r="C303" s="4" t="s">
        <v>39</v>
      </c>
      <c r="D303" s="4" t="s">
        <v>40</v>
      </c>
      <c r="E303" s="4" t="s">
        <v>25</v>
      </c>
      <c r="F303" s="4" t="s">
        <v>25</v>
      </c>
      <c r="G303" s="4" t="s">
        <v>25</v>
      </c>
      <c r="H303" s="4" t="s">
        <v>37</v>
      </c>
      <c r="I303" s="5">
        <v>44682</v>
      </c>
      <c r="J303" s="6">
        <v>0</v>
      </c>
      <c r="K303" s="6">
        <v>0</v>
      </c>
      <c r="L303" s="6">
        <v>187.631</v>
      </c>
      <c r="M303" s="6">
        <v>187.631</v>
      </c>
      <c r="N303" s="6">
        <v>187.631</v>
      </c>
      <c r="O303" s="6">
        <v>187.631</v>
      </c>
      <c r="P303" s="6">
        <v>0</v>
      </c>
      <c r="Q303" s="4" t="s">
        <v>26</v>
      </c>
      <c r="R303" s="4">
        <v>0</v>
      </c>
      <c r="S303" s="6">
        <v>0</v>
      </c>
      <c r="T303" s="6">
        <v>12</v>
      </c>
      <c r="U303" s="6">
        <v>66</v>
      </c>
      <c r="V303" s="6">
        <f>IF(ISERROR(VLOOKUP($S$303,'TAR FIN'!$A$1:$O$93,15,0)),0,VLOOKUP($S$303,'TAR FIN'!$A$1:$O$93,15,0))</f>
        <v>0</v>
      </c>
      <c r="W303" s="6">
        <f>IF(ISERROR(VLOOKUP($T$303,'TAR FIN'!$A$1:$O$93,15,0)),0,VLOOKUP($T$303,'TAR FIN'!$A$1:$O$93,15,0))</f>
        <v>1124.7</v>
      </c>
      <c r="X303" s="6">
        <f>IF(ISERROR(VLOOKUP($U$303,'TAR FIN'!$A$1:$O$93,15,0)),0,VLOOKUP($U$303,'TAR FIN'!$A$1:$O$93,15,0))</f>
        <v>185.18</v>
      </c>
      <c r="Y303" s="6"/>
      <c r="Z303" s="6">
        <f ca="1">('TUSD BE'!$AM$15+'TUSD BF'!$AM$15+'TUSD CVA'!$AM$15)*1</f>
        <v>1302.3659842076513</v>
      </c>
      <c r="AA303" s="6">
        <f>('TE BE'!$AB$7+'TE BF'!$AB$7+'TE CVA'!$AB$7)*1</f>
        <v>198.18194779658231</v>
      </c>
      <c r="AB303" s="6">
        <f>$K$303*$V$303</f>
        <v>0</v>
      </c>
      <c r="AC303" s="6">
        <f>$M$303*$W$303</f>
        <v>211028.5857</v>
      </c>
      <c r="AD303" s="6">
        <f>$O$303*$X$303</f>
        <v>34745.508580000002</v>
      </c>
      <c r="AE303" s="6">
        <f>$K$303*$Y$303</f>
        <v>0</v>
      </c>
      <c r="AF303" s="6">
        <f ca="1">$M$303*$Z$303</f>
        <v>244364.23198286584</v>
      </c>
      <c r="AG303" s="6">
        <f>$O$303*$AA$303</f>
        <v>37185.077047020532</v>
      </c>
    </row>
    <row r="304" spans="1:33" ht="11.25" customHeight="1" x14ac:dyDescent="0.25">
      <c r="A304" s="4" t="s">
        <v>27</v>
      </c>
      <c r="B304" s="4" t="s">
        <v>35</v>
      </c>
      <c r="C304" s="4" t="s">
        <v>39</v>
      </c>
      <c r="D304" s="4" t="s">
        <v>40</v>
      </c>
      <c r="E304" s="4" t="s">
        <v>25</v>
      </c>
      <c r="F304" s="4" t="s">
        <v>25</v>
      </c>
      <c r="G304" s="4" t="s">
        <v>25</v>
      </c>
      <c r="H304" s="4" t="s">
        <v>37</v>
      </c>
      <c r="I304" s="5">
        <v>44682</v>
      </c>
      <c r="J304" s="6">
        <v>0</v>
      </c>
      <c r="K304" s="6">
        <v>0</v>
      </c>
      <c r="L304" s="6">
        <v>-1.6659999999999999</v>
      </c>
      <c r="M304" s="6">
        <v>-1.6659999999999999</v>
      </c>
      <c r="N304" s="6">
        <v>-1.6659999999999999</v>
      </c>
      <c r="O304" s="6">
        <v>-1.6659999999999999</v>
      </c>
      <c r="P304" s="6">
        <v>0</v>
      </c>
      <c r="Q304" s="4" t="s">
        <v>26</v>
      </c>
      <c r="R304" s="4">
        <v>0</v>
      </c>
      <c r="S304" s="6">
        <v>0</v>
      </c>
      <c r="T304" s="6">
        <v>12</v>
      </c>
      <c r="U304" s="6">
        <v>66</v>
      </c>
      <c r="V304" s="6">
        <f>IF(ISERROR(VLOOKUP($S$304,'TAR FIN'!$A$1:$O$93,15,0)),0,VLOOKUP($S$304,'TAR FIN'!$A$1:$O$93,15,0))</f>
        <v>0</v>
      </c>
      <c r="W304" s="6">
        <f>IF(ISERROR(VLOOKUP($T$304,'TAR FIN'!$A$1:$O$93,15,0)),0,VLOOKUP($T$304,'TAR FIN'!$A$1:$O$93,15,0))</f>
        <v>1124.7</v>
      </c>
      <c r="X304" s="6">
        <f>IF(ISERROR(VLOOKUP($U$304,'TAR FIN'!$A$1:$O$93,15,0)),0,VLOOKUP($U$304,'TAR FIN'!$A$1:$O$93,15,0))</f>
        <v>185.18</v>
      </c>
      <c r="Y304" s="6"/>
      <c r="Z304" s="6">
        <f ca="1">('TUSD BE'!$AM$15+'TUSD BF'!$AM$15+'TUSD CVA'!$AM$15)*1</f>
        <v>1302.3659842076513</v>
      </c>
      <c r="AA304" s="6">
        <f>('TE BE'!$AB$7+'TE BF'!$AB$7+'TE CVA'!$AB$7)*1</f>
        <v>198.18194779658231</v>
      </c>
      <c r="AB304" s="6">
        <f>$K$304*$V$304</f>
        <v>0</v>
      </c>
      <c r="AC304" s="6">
        <f>$M$304*$W$304</f>
        <v>-1873.7501999999999</v>
      </c>
      <c r="AD304" s="6">
        <f>$O$304*$X$304</f>
        <v>-308.50988000000001</v>
      </c>
      <c r="AE304" s="6">
        <f>$K$304*$Y$304</f>
        <v>0</v>
      </c>
      <c r="AF304" s="6">
        <f ca="1">$M$304*$Z$304</f>
        <v>-2169.7417296899471</v>
      </c>
      <c r="AG304" s="6">
        <f>$O$304*$AA$304</f>
        <v>-330.17112502910612</v>
      </c>
    </row>
    <row r="305" spans="1:33" ht="11.25" customHeight="1" x14ac:dyDescent="0.25">
      <c r="A305" s="4" t="s">
        <v>28</v>
      </c>
      <c r="B305" s="4" t="s">
        <v>35</v>
      </c>
      <c r="C305" s="4" t="s">
        <v>39</v>
      </c>
      <c r="D305" s="4" t="s">
        <v>40</v>
      </c>
      <c r="E305" s="4" t="s">
        <v>25</v>
      </c>
      <c r="F305" s="4" t="s">
        <v>25</v>
      </c>
      <c r="G305" s="4" t="s">
        <v>25</v>
      </c>
      <c r="H305" s="4" t="s">
        <v>37</v>
      </c>
      <c r="I305" s="5">
        <v>44682</v>
      </c>
      <c r="J305" s="6">
        <v>0</v>
      </c>
      <c r="K305" s="6">
        <v>0</v>
      </c>
      <c r="L305" s="6">
        <v>13.974</v>
      </c>
      <c r="M305" s="6">
        <v>13.974</v>
      </c>
      <c r="N305" s="6">
        <v>13.974</v>
      </c>
      <c r="O305" s="6">
        <v>13.974</v>
      </c>
      <c r="P305" s="6">
        <v>0</v>
      </c>
      <c r="Q305" s="4" t="s">
        <v>26</v>
      </c>
      <c r="R305" s="4">
        <v>0</v>
      </c>
      <c r="S305" s="6">
        <v>0</v>
      </c>
      <c r="T305" s="6">
        <v>12</v>
      </c>
      <c r="U305" s="6">
        <v>66</v>
      </c>
      <c r="V305" s="6">
        <f>IF(ISERROR(VLOOKUP($S$305,'TAR FIN'!$A$1:$O$93,15,0)),0,VLOOKUP($S$305,'TAR FIN'!$A$1:$O$93,15,0))</f>
        <v>0</v>
      </c>
      <c r="W305" s="6">
        <f>IF(ISERROR(VLOOKUP($T$305,'TAR FIN'!$A$1:$O$93,15,0)),0,VLOOKUP($T$305,'TAR FIN'!$A$1:$O$93,15,0))</f>
        <v>1124.7</v>
      </c>
      <c r="X305" s="6">
        <f>IF(ISERROR(VLOOKUP($U$305,'TAR FIN'!$A$1:$O$93,15,0)),0,VLOOKUP($U$305,'TAR FIN'!$A$1:$O$93,15,0))</f>
        <v>185.18</v>
      </c>
      <c r="Y305" s="6"/>
      <c r="Z305" s="6">
        <f ca="1">('TUSD BE'!$AM$15+'TUSD BF'!$AM$15+'TUSD CVA'!$AM$15)*1</f>
        <v>1302.3659842076513</v>
      </c>
      <c r="AA305" s="6">
        <f>('TE BE'!$AB$7+'TE BF'!$AB$7+'TE CVA'!$AB$7)*1</f>
        <v>198.18194779658231</v>
      </c>
      <c r="AB305" s="6">
        <f>$K$305*$V$305</f>
        <v>0</v>
      </c>
      <c r="AC305" s="6">
        <f>$M$305*$W$305</f>
        <v>15716.5578</v>
      </c>
      <c r="AD305" s="6">
        <f>$O$305*$X$305</f>
        <v>2587.70532</v>
      </c>
      <c r="AE305" s="6">
        <f>$K$305*$Y$305</f>
        <v>0</v>
      </c>
      <c r="AF305" s="6">
        <f ca="1">$M$305*$Z$305</f>
        <v>18199.26226331772</v>
      </c>
      <c r="AG305" s="6">
        <f>$O$305*$AA$305</f>
        <v>2769.3945385094412</v>
      </c>
    </row>
    <row r="306" spans="1:33" ht="11.25" customHeight="1" x14ac:dyDescent="0.25">
      <c r="A306" s="4" t="s">
        <v>21</v>
      </c>
      <c r="B306" s="4" t="s">
        <v>35</v>
      </c>
      <c r="C306" s="4" t="s">
        <v>39</v>
      </c>
      <c r="D306" s="4" t="s">
        <v>40</v>
      </c>
      <c r="E306" s="4" t="s">
        <v>25</v>
      </c>
      <c r="F306" s="4" t="s">
        <v>25</v>
      </c>
      <c r="G306" s="4" t="s">
        <v>25</v>
      </c>
      <c r="H306" s="4" t="s">
        <v>37</v>
      </c>
      <c r="I306" s="5">
        <v>44713</v>
      </c>
      <c r="J306" s="6">
        <v>0</v>
      </c>
      <c r="K306" s="6">
        <v>0</v>
      </c>
      <c r="L306" s="6">
        <v>185.31</v>
      </c>
      <c r="M306" s="6">
        <v>185.31</v>
      </c>
      <c r="N306" s="6">
        <v>185.31</v>
      </c>
      <c r="O306" s="6">
        <v>185.31</v>
      </c>
      <c r="P306" s="6">
        <v>0</v>
      </c>
      <c r="Q306" s="4" t="s">
        <v>26</v>
      </c>
      <c r="R306" s="4">
        <v>0</v>
      </c>
      <c r="S306" s="6">
        <v>0</v>
      </c>
      <c r="T306" s="6">
        <v>12</v>
      </c>
      <c r="U306" s="6">
        <v>66</v>
      </c>
      <c r="V306" s="6">
        <f>IF(ISERROR(VLOOKUP($S$306,'TAR FIN'!$A$1:$O$93,15,0)),0,VLOOKUP($S$306,'TAR FIN'!$A$1:$O$93,15,0))</f>
        <v>0</v>
      </c>
      <c r="W306" s="6">
        <f>IF(ISERROR(VLOOKUP($T$306,'TAR FIN'!$A$1:$O$93,15,0)),0,VLOOKUP($T$306,'TAR FIN'!$A$1:$O$93,15,0))</f>
        <v>1124.7</v>
      </c>
      <c r="X306" s="6">
        <f>IF(ISERROR(VLOOKUP($U$306,'TAR FIN'!$A$1:$O$93,15,0)),0,VLOOKUP($U$306,'TAR FIN'!$A$1:$O$93,15,0))</f>
        <v>185.18</v>
      </c>
      <c r="Y306" s="6"/>
      <c r="Z306" s="6">
        <f ca="1">('TUSD BE'!$AM$15+'TUSD BF'!$AM$15+'TUSD CVA'!$AM$15)*1</f>
        <v>1302.3659842076513</v>
      </c>
      <c r="AA306" s="6">
        <f>('TE BE'!$AB$7+'TE BF'!$AB$7+'TE CVA'!$AB$7)*1</f>
        <v>198.18194779658231</v>
      </c>
      <c r="AB306" s="6">
        <f>$K$306*$V$306</f>
        <v>0</v>
      </c>
      <c r="AC306" s="6">
        <f>$M$306*$W$306</f>
        <v>208418.15700000001</v>
      </c>
      <c r="AD306" s="6">
        <f>$O$306*$X$306</f>
        <v>34315.705800000003</v>
      </c>
      <c r="AE306" s="6">
        <f>$K$306*$Y$306</f>
        <v>0</v>
      </c>
      <c r="AF306" s="6">
        <f ca="1">$M$306*$Z$306</f>
        <v>241341.44053351987</v>
      </c>
      <c r="AG306" s="6">
        <f>$O$306*$AA$306</f>
        <v>36725.096746184667</v>
      </c>
    </row>
    <row r="307" spans="1:33" ht="11.25" customHeight="1" x14ac:dyDescent="0.25">
      <c r="A307" s="4" t="s">
        <v>27</v>
      </c>
      <c r="B307" s="4" t="s">
        <v>35</v>
      </c>
      <c r="C307" s="4" t="s">
        <v>39</v>
      </c>
      <c r="D307" s="4" t="s">
        <v>40</v>
      </c>
      <c r="E307" s="4" t="s">
        <v>25</v>
      </c>
      <c r="F307" s="4" t="s">
        <v>25</v>
      </c>
      <c r="G307" s="4" t="s">
        <v>25</v>
      </c>
      <c r="H307" s="4" t="s">
        <v>37</v>
      </c>
      <c r="I307" s="5">
        <v>44713</v>
      </c>
      <c r="J307" s="6">
        <v>0</v>
      </c>
      <c r="K307" s="6">
        <v>0</v>
      </c>
      <c r="L307" s="6">
        <v>-7.5149999999999997</v>
      </c>
      <c r="M307" s="6">
        <v>-7.5149999999999997</v>
      </c>
      <c r="N307" s="6">
        <v>-7.5149999999999997</v>
      </c>
      <c r="O307" s="6">
        <v>-7.5149999999999997</v>
      </c>
      <c r="P307" s="6">
        <v>0</v>
      </c>
      <c r="Q307" s="4" t="s">
        <v>26</v>
      </c>
      <c r="R307" s="4">
        <v>0</v>
      </c>
      <c r="S307" s="6">
        <v>0</v>
      </c>
      <c r="T307" s="6">
        <v>12</v>
      </c>
      <c r="U307" s="6">
        <v>66</v>
      </c>
      <c r="V307" s="6">
        <f>IF(ISERROR(VLOOKUP($S$307,'TAR FIN'!$A$1:$O$93,15,0)),0,VLOOKUP($S$307,'TAR FIN'!$A$1:$O$93,15,0))</f>
        <v>0</v>
      </c>
      <c r="W307" s="6">
        <f>IF(ISERROR(VLOOKUP($T$307,'TAR FIN'!$A$1:$O$93,15,0)),0,VLOOKUP($T$307,'TAR FIN'!$A$1:$O$93,15,0))</f>
        <v>1124.7</v>
      </c>
      <c r="X307" s="6">
        <f>IF(ISERROR(VLOOKUP($U$307,'TAR FIN'!$A$1:$O$93,15,0)),0,VLOOKUP($U$307,'TAR FIN'!$A$1:$O$93,15,0))</f>
        <v>185.18</v>
      </c>
      <c r="Y307" s="6"/>
      <c r="Z307" s="6">
        <f ca="1">('TUSD BE'!$AM$15+'TUSD BF'!$AM$15+'TUSD CVA'!$AM$15)*1</f>
        <v>1302.3659842076513</v>
      </c>
      <c r="AA307" s="6">
        <f>('TE BE'!$AB$7+'TE BF'!$AB$7+'TE CVA'!$AB$7)*1</f>
        <v>198.18194779658231</v>
      </c>
      <c r="AB307" s="6">
        <f>$K$307*$V$307</f>
        <v>0</v>
      </c>
      <c r="AC307" s="6">
        <f>$M$307*$W$307</f>
        <v>-8452.1204999999991</v>
      </c>
      <c r="AD307" s="6">
        <f>$O$307*$X$307</f>
        <v>-1391.6277</v>
      </c>
      <c r="AE307" s="6">
        <f>$K$307*$Y$307</f>
        <v>0</v>
      </c>
      <c r="AF307" s="6">
        <f ca="1">$M$307*$Z$307</f>
        <v>-9787.2803713204994</v>
      </c>
      <c r="AG307" s="6">
        <f>$O$307*$AA$307</f>
        <v>-1489.337337691316</v>
      </c>
    </row>
    <row r="308" spans="1:33" ht="11.25" customHeight="1" x14ac:dyDescent="0.25">
      <c r="A308" s="4" t="s">
        <v>28</v>
      </c>
      <c r="B308" s="4" t="s">
        <v>35</v>
      </c>
      <c r="C308" s="4" t="s">
        <v>39</v>
      </c>
      <c r="D308" s="4" t="s">
        <v>40</v>
      </c>
      <c r="E308" s="4" t="s">
        <v>25</v>
      </c>
      <c r="F308" s="4" t="s">
        <v>25</v>
      </c>
      <c r="G308" s="4" t="s">
        <v>25</v>
      </c>
      <c r="H308" s="4" t="s">
        <v>37</v>
      </c>
      <c r="I308" s="5">
        <v>44713</v>
      </c>
      <c r="J308" s="6">
        <v>0</v>
      </c>
      <c r="K308" s="6">
        <v>0</v>
      </c>
      <c r="L308" s="6">
        <v>25.175999999999998</v>
      </c>
      <c r="M308" s="6">
        <v>25.175999999999998</v>
      </c>
      <c r="N308" s="6">
        <v>25.175999999999998</v>
      </c>
      <c r="O308" s="6">
        <v>25.175999999999998</v>
      </c>
      <c r="P308" s="6">
        <v>0</v>
      </c>
      <c r="Q308" s="4" t="s">
        <v>26</v>
      </c>
      <c r="R308" s="4">
        <v>0</v>
      </c>
      <c r="S308" s="6">
        <v>0</v>
      </c>
      <c r="T308" s="6">
        <v>12</v>
      </c>
      <c r="U308" s="6">
        <v>66</v>
      </c>
      <c r="V308" s="6">
        <f>IF(ISERROR(VLOOKUP($S$308,'TAR FIN'!$A$1:$O$93,15,0)),0,VLOOKUP($S$308,'TAR FIN'!$A$1:$O$93,15,0))</f>
        <v>0</v>
      </c>
      <c r="W308" s="6">
        <f>IF(ISERROR(VLOOKUP($T$308,'TAR FIN'!$A$1:$O$93,15,0)),0,VLOOKUP($T$308,'TAR FIN'!$A$1:$O$93,15,0))</f>
        <v>1124.7</v>
      </c>
      <c r="X308" s="6">
        <f>IF(ISERROR(VLOOKUP($U$308,'TAR FIN'!$A$1:$O$93,15,0)),0,VLOOKUP($U$308,'TAR FIN'!$A$1:$O$93,15,0))</f>
        <v>185.18</v>
      </c>
      <c r="Y308" s="6"/>
      <c r="Z308" s="6">
        <f ca="1">('TUSD BE'!$AM$15+'TUSD BF'!$AM$15+'TUSD CVA'!$AM$15)*1</f>
        <v>1302.3659842076513</v>
      </c>
      <c r="AA308" s="6">
        <f>('TE BE'!$AB$7+'TE BF'!$AB$7+'TE CVA'!$AB$7)*1</f>
        <v>198.18194779658231</v>
      </c>
      <c r="AB308" s="6">
        <f>$K$308*$V$308</f>
        <v>0</v>
      </c>
      <c r="AC308" s="6">
        <f>$M$308*$W$308</f>
        <v>28315.447199999999</v>
      </c>
      <c r="AD308" s="6">
        <f>$O$308*$X$308</f>
        <v>4662.0916799999995</v>
      </c>
      <c r="AE308" s="6">
        <f>$K$308*$Y$308</f>
        <v>0</v>
      </c>
      <c r="AF308" s="6">
        <f ca="1">$M$308*$Z$308</f>
        <v>32788.366018411827</v>
      </c>
      <c r="AG308" s="6">
        <f>$O$308*$AA$308</f>
        <v>4989.4287177267561</v>
      </c>
    </row>
    <row r="309" spans="1:33" ht="11.25" customHeight="1" x14ac:dyDescent="0.25">
      <c r="A309" s="4" t="s">
        <v>21</v>
      </c>
      <c r="B309" s="4" t="s">
        <v>35</v>
      </c>
      <c r="C309" s="4" t="s">
        <v>39</v>
      </c>
      <c r="D309" s="4" t="s">
        <v>49</v>
      </c>
      <c r="E309" s="4" t="s">
        <v>25</v>
      </c>
      <c r="F309" s="4" t="s">
        <v>25</v>
      </c>
      <c r="G309" s="4" t="s">
        <v>25</v>
      </c>
      <c r="H309" s="4" t="s">
        <v>38</v>
      </c>
      <c r="I309" s="5">
        <v>44378</v>
      </c>
      <c r="J309" s="6">
        <v>0</v>
      </c>
      <c r="K309" s="6">
        <v>0</v>
      </c>
      <c r="L309" s="6">
        <v>30.088000000000001</v>
      </c>
      <c r="M309" s="6">
        <v>30.088000000000001</v>
      </c>
      <c r="N309" s="6">
        <v>30.088000000000001</v>
      </c>
      <c r="O309" s="6">
        <v>30.088000000000001</v>
      </c>
      <c r="P309" s="6">
        <v>0</v>
      </c>
      <c r="Q309" s="4" t="s">
        <v>26</v>
      </c>
      <c r="R309" s="4">
        <v>0</v>
      </c>
      <c r="S309" s="6">
        <v>0</v>
      </c>
      <c r="T309" s="6">
        <v>25</v>
      </c>
      <c r="U309" s="6">
        <v>59</v>
      </c>
      <c r="V309" s="6">
        <f>IF(ISERROR(VLOOKUP($S$309,'TAR FIN'!$A$1:$O$93,15,0)),0,VLOOKUP($S$309,'TAR FIN'!$A$1:$O$93,15,0))</f>
        <v>0</v>
      </c>
      <c r="W309" s="6">
        <f>IF(ISERROR(VLOOKUP($T$309,'TAR FIN'!$A$1:$O$93,15,0)),0,VLOOKUP($T$309,'TAR FIN'!$A$1:$O$93,15,0))</f>
        <v>69.489999999999995</v>
      </c>
      <c r="X309" s="6">
        <f>IF(ISERROR(VLOOKUP($U$309,'TAR FIN'!$A$1:$O$93,15,0)),0,VLOOKUP($U$309,'TAR FIN'!$A$1:$O$93,15,0))</f>
        <v>185.18</v>
      </c>
      <c r="Y309" s="6"/>
      <c r="Z309" s="6">
        <f ca="1">('TUSD BE'!$AM$16+'TUSD BF'!$AM$16+'TUSD CVA'!$AM$16)*1</f>
        <v>92.504793470158234</v>
      </c>
      <c r="AA309" s="6">
        <f>('TE BE'!$AB$8+'TE BF'!$AB$8+'TE CVA'!$AB$8)*1</f>
        <v>198.18194779658231</v>
      </c>
      <c r="AB309" s="6">
        <f>$K$309*$V$309</f>
        <v>0</v>
      </c>
      <c r="AC309" s="6">
        <f>$M$309*$W$309</f>
        <v>2090.8151199999998</v>
      </c>
      <c r="AD309" s="6">
        <f>$O$309*$X$309</f>
        <v>5571.6958400000003</v>
      </c>
      <c r="AE309" s="6">
        <f>$K$309*$Y$309</f>
        <v>0</v>
      </c>
      <c r="AF309" s="6">
        <f ca="1">$M$309*$Z$309</f>
        <v>2783.284225930121</v>
      </c>
      <c r="AG309" s="6">
        <f>$O$309*$AA$309</f>
        <v>5962.8984453035682</v>
      </c>
    </row>
    <row r="310" spans="1:33" ht="11.25" customHeight="1" x14ac:dyDescent="0.25">
      <c r="A310" s="4" t="s">
        <v>21</v>
      </c>
      <c r="B310" s="4" t="s">
        <v>35</v>
      </c>
      <c r="C310" s="4" t="s">
        <v>39</v>
      </c>
      <c r="D310" s="4" t="s">
        <v>49</v>
      </c>
      <c r="E310" s="4" t="s">
        <v>25</v>
      </c>
      <c r="F310" s="4" t="s">
        <v>25</v>
      </c>
      <c r="G310" s="4" t="s">
        <v>25</v>
      </c>
      <c r="H310" s="4" t="s">
        <v>38</v>
      </c>
      <c r="I310" s="5">
        <v>44409</v>
      </c>
      <c r="J310" s="6">
        <v>0</v>
      </c>
      <c r="K310" s="6">
        <v>0</v>
      </c>
      <c r="L310" s="6">
        <v>33.709000000000003</v>
      </c>
      <c r="M310" s="6">
        <v>33.709000000000003</v>
      </c>
      <c r="N310" s="6">
        <v>33.709000000000003</v>
      </c>
      <c r="O310" s="6">
        <v>33.709000000000003</v>
      </c>
      <c r="P310" s="6">
        <v>0</v>
      </c>
      <c r="Q310" s="4" t="s">
        <v>26</v>
      </c>
      <c r="R310" s="4">
        <v>0</v>
      </c>
      <c r="S310" s="6">
        <v>0</v>
      </c>
      <c r="T310" s="6">
        <v>25</v>
      </c>
      <c r="U310" s="6">
        <v>59</v>
      </c>
      <c r="V310" s="6">
        <f>IF(ISERROR(VLOOKUP($S$310,'TAR FIN'!$A$1:$O$93,15,0)),0,VLOOKUP($S$310,'TAR FIN'!$A$1:$O$93,15,0))</f>
        <v>0</v>
      </c>
      <c r="W310" s="6">
        <f>IF(ISERROR(VLOOKUP($T$310,'TAR FIN'!$A$1:$O$93,15,0)),0,VLOOKUP($T$310,'TAR FIN'!$A$1:$O$93,15,0))</f>
        <v>69.489999999999995</v>
      </c>
      <c r="X310" s="6">
        <f>IF(ISERROR(VLOOKUP($U$310,'TAR FIN'!$A$1:$O$93,15,0)),0,VLOOKUP($U$310,'TAR FIN'!$A$1:$O$93,15,0))</f>
        <v>185.18</v>
      </c>
      <c r="Y310" s="6"/>
      <c r="Z310" s="6">
        <f ca="1">('TUSD BE'!$AM$16+'TUSD BF'!$AM$16+'TUSD CVA'!$AM$16)*1</f>
        <v>92.504793470158234</v>
      </c>
      <c r="AA310" s="6">
        <f>('TE BE'!$AB$8+'TE BF'!$AB$8+'TE CVA'!$AB$8)*1</f>
        <v>198.18194779658231</v>
      </c>
      <c r="AB310" s="6">
        <f>$K$310*$V$310</f>
        <v>0</v>
      </c>
      <c r="AC310" s="6">
        <f>$M$310*$W$310</f>
        <v>2342.4384100000002</v>
      </c>
      <c r="AD310" s="6">
        <f>$O$310*$X$310</f>
        <v>6242.2326200000007</v>
      </c>
      <c r="AE310" s="6">
        <f>$K$310*$Y$310</f>
        <v>0</v>
      </c>
      <c r="AF310" s="6">
        <f ca="1">$M$310*$Z$310</f>
        <v>3118.2440830855644</v>
      </c>
      <c r="AG310" s="6">
        <f>$O$310*$AA$310</f>
        <v>6680.5152782749938</v>
      </c>
    </row>
    <row r="311" spans="1:33" ht="11.25" customHeight="1" x14ac:dyDescent="0.25">
      <c r="A311" s="4" t="s">
        <v>21</v>
      </c>
      <c r="B311" s="4" t="s">
        <v>35</v>
      </c>
      <c r="C311" s="4" t="s">
        <v>39</v>
      </c>
      <c r="D311" s="4" t="s">
        <v>49</v>
      </c>
      <c r="E311" s="4" t="s">
        <v>25</v>
      </c>
      <c r="F311" s="4" t="s">
        <v>25</v>
      </c>
      <c r="G311" s="4" t="s">
        <v>25</v>
      </c>
      <c r="H311" s="4" t="s">
        <v>38</v>
      </c>
      <c r="I311" s="5">
        <v>44440</v>
      </c>
      <c r="J311" s="6">
        <v>0</v>
      </c>
      <c r="K311" s="6">
        <v>0</v>
      </c>
      <c r="L311" s="6">
        <v>32.725000000000001</v>
      </c>
      <c r="M311" s="6">
        <v>32.725000000000001</v>
      </c>
      <c r="N311" s="6">
        <v>32.725000000000001</v>
      </c>
      <c r="O311" s="6">
        <v>32.725000000000001</v>
      </c>
      <c r="P311" s="6">
        <v>0</v>
      </c>
      <c r="Q311" s="4" t="s">
        <v>26</v>
      </c>
      <c r="R311" s="4">
        <v>0</v>
      </c>
      <c r="S311" s="6">
        <v>0</v>
      </c>
      <c r="T311" s="6">
        <v>25</v>
      </c>
      <c r="U311" s="6">
        <v>59</v>
      </c>
      <c r="V311" s="6">
        <f>IF(ISERROR(VLOOKUP($S$311,'TAR FIN'!$A$1:$O$93,15,0)),0,VLOOKUP($S$311,'TAR FIN'!$A$1:$O$93,15,0))</f>
        <v>0</v>
      </c>
      <c r="W311" s="6">
        <f>IF(ISERROR(VLOOKUP($T$311,'TAR FIN'!$A$1:$O$93,15,0)),0,VLOOKUP($T$311,'TAR FIN'!$A$1:$O$93,15,0))</f>
        <v>69.489999999999995</v>
      </c>
      <c r="X311" s="6">
        <f>IF(ISERROR(VLOOKUP($U$311,'TAR FIN'!$A$1:$O$93,15,0)),0,VLOOKUP($U$311,'TAR FIN'!$A$1:$O$93,15,0))</f>
        <v>185.18</v>
      </c>
      <c r="Y311" s="6"/>
      <c r="Z311" s="6">
        <f ca="1">('TUSD BE'!$AM$16+'TUSD BF'!$AM$16+'TUSD CVA'!$AM$16)*1</f>
        <v>92.504793470158234</v>
      </c>
      <c r="AA311" s="6">
        <f>('TE BE'!$AB$8+'TE BF'!$AB$8+'TE CVA'!$AB$8)*1</f>
        <v>198.18194779658231</v>
      </c>
      <c r="AB311" s="6">
        <f>$K$311*$V$311</f>
        <v>0</v>
      </c>
      <c r="AC311" s="6">
        <f>$M$311*$W$311</f>
        <v>2274.06025</v>
      </c>
      <c r="AD311" s="6">
        <f>$O$311*$X$311</f>
        <v>6060.0155000000004</v>
      </c>
      <c r="AE311" s="6">
        <f>$K$311*$Y$311</f>
        <v>0</v>
      </c>
      <c r="AF311" s="6">
        <f ca="1">$M$311*$Z$311</f>
        <v>3027.2193663109283</v>
      </c>
      <c r="AG311" s="6">
        <f>$O$311*$AA$311</f>
        <v>6485.5042416431561</v>
      </c>
    </row>
    <row r="312" spans="1:33" ht="11.25" customHeight="1" x14ac:dyDescent="0.25">
      <c r="A312" s="4" t="s">
        <v>21</v>
      </c>
      <c r="B312" s="4" t="s">
        <v>35</v>
      </c>
      <c r="C312" s="4" t="s">
        <v>39</v>
      </c>
      <c r="D312" s="4" t="s">
        <v>49</v>
      </c>
      <c r="E312" s="4" t="s">
        <v>25</v>
      </c>
      <c r="F312" s="4" t="s">
        <v>25</v>
      </c>
      <c r="G312" s="4" t="s">
        <v>25</v>
      </c>
      <c r="H312" s="4" t="s">
        <v>38</v>
      </c>
      <c r="I312" s="5">
        <v>44470</v>
      </c>
      <c r="J312" s="6">
        <v>0</v>
      </c>
      <c r="K312" s="6">
        <v>0</v>
      </c>
      <c r="L312" s="6">
        <v>30.803999999999998</v>
      </c>
      <c r="M312" s="6">
        <v>30.803999999999998</v>
      </c>
      <c r="N312" s="6">
        <v>30.803999999999998</v>
      </c>
      <c r="O312" s="6">
        <v>30.803999999999998</v>
      </c>
      <c r="P312" s="6">
        <v>0</v>
      </c>
      <c r="Q312" s="4" t="s">
        <v>26</v>
      </c>
      <c r="R312" s="4">
        <v>0</v>
      </c>
      <c r="S312" s="6">
        <v>0</v>
      </c>
      <c r="T312" s="6">
        <v>25</v>
      </c>
      <c r="U312" s="6">
        <v>59</v>
      </c>
      <c r="V312" s="6">
        <f>IF(ISERROR(VLOOKUP($S$312,'TAR FIN'!$A$1:$O$93,15,0)),0,VLOOKUP($S$312,'TAR FIN'!$A$1:$O$93,15,0))</f>
        <v>0</v>
      </c>
      <c r="W312" s="6">
        <f>IF(ISERROR(VLOOKUP($T$312,'TAR FIN'!$A$1:$O$93,15,0)),0,VLOOKUP($T$312,'TAR FIN'!$A$1:$O$93,15,0))</f>
        <v>69.489999999999995</v>
      </c>
      <c r="X312" s="6">
        <f>IF(ISERROR(VLOOKUP($U$312,'TAR FIN'!$A$1:$O$93,15,0)),0,VLOOKUP($U$312,'TAR FIN'!$A$1:$O$93,15,0))</f>
        <v>185.18</v>
      </c>
      <c r="Y312" s="6"/>
      <c r="Z312" s="6">
        <f ca="1">('TUSD BE'!$AM$16+'TUSD BF'!$AM$16+'TUSD CVA'!$AM$16)*1</f>
        <v>92.504793470158234</v>
      </c>
      <c r="AA312" s="6">
        <f>('TE BE'!$AB$8+'TE BF'!$AB$8+'TE CVA'!$AB$8)*1</f>
        <v>198.18194779658231</v>
      </c>
      <c r="AB312" s="6">
        <f>$K$312*$V$312</f>
        <v>0</v>
      </c>
      <c r="AC312" s="6">
        <f>$M$312*$W$312</f>
        <v>2140.5699599999998</v>
      </c>
      <c r="AD312" s="6">
        <f>$O$312*$X$312</f>
        <v>5704.2847199999997</v>
      </c>
      <c r="AE312" s="6">
        <f>$K$312*$Y$312</f>
        <v>0</v>
      </c>
      <c r="AF312" s="6">
        <f ca="1">$M$312*$Z$312</f>
        <v>2849.5176580547541</v>
      </c>
      <c r="AG312" s="6">
        <f>$O$312*$AA$312</f>
        <v>6104.796719925921</v>
      </c>
    </row>
    <row r="313" spans="1:33" ht="11.25" customHeight="1" x14ac:dyDescent="0.25">
      <c r="A313" s="4" t="s">
        <v>21</v>
      </c>
      <c r="B313" s="4" t="s">
        <v>35</v>
      </c>
      <c r="C313" s="4" t="s">
        <v>39</v>
      </c>
      <c r="D313" s="4" t="s">
        <v>49</v>
      </c>
      <c r="E313" s="4" t="s">
        <v>25</v>
      </c>
      <c r="F313" s="4" t="s">
        <v>25</v>
      </c>
      <c r="G313" s="4" t="s">
        <v>25</v>
      </c>
      <c r="H313" s="4" t="s">
        <v>38</v>
      </c>
      <c r="I313" s="5">
        <v>44501</v>
      </c>
      <c r="J313" s="6">
        <v>0</v>
      </c>
      <c r="K313" s="6">
        <v>0</v>
      </c>
      <c r="L313" s="6">
        <v>72.063999999999993</v>
      </c>
      <c r="M313" s="6">
        <v>72.063999999999993</v>
      </c>
      <c r="N313" s="6">
        <v>72.063999999999993</v>
      </c>
      <c r="O313" s="6">
        <v>72.063999999999993</v>
      </c>
      <c r="P313" s="6">
        <v>0</v>
      </c>
      <c r="Q313" s="4" t="s">
        <v>26</v>
      </c>
      <c r="R313" s="4">
        <v>0</v>
      </c>
      <c r="S313" s="6">
        <v>0</v>
      </c>
      <c r="T313" s="6">
        <v>25</v>
      </c>
      <c r="U313" s="6">
        <v>59</v>
      </c>
      <c r="V313" s="6">
        <f>IF(ISERROR(VLOOKUP($S$313,'TAR FIN'!$A$1:$O$93,15,0)),0,VLOOKUP($S$313,'TAR FIN'!$A$1:$O$93,15,0))</f>
        <v>0</v>
      </c>
      <c r="W313" s="6">
        <f>IF(ISERROR(VLOOKUP($T$313,'TAR FIN'!$A$1:$O$93,15,0)),0,VLOOKUP($T$313,'TAR FIN'!$A$1:$O$93,15,0))</f>
        <v>69.489999999999995</v>
      </c>
      <c r="X313" s="6">
        <f>IF(ISERROR(VLOOKUP($U$313,'TAR FIN'!$A$1:$O$93,15,0)),0,VLOOKUP($U$313,'TAR FIN'!$A$1:$O$93,15,0))</f>
        <v>185.18</v>
      </c>
      <c r="Y313" s="6"/>
      <c r="Z313" s="6">
        <f ca="1">('TUSD BE'!$AM$16+'TUSD BF'!$AM$16+'TUSD CVA'!$AM$16)*1</f>
        <v>92.504793470158234</v>
      </c>
      <c r="AA313" s="6">
        <f>('TE BE'!$AB$8+'TE BF'!$AB$8+'TE CVA'!$AB$8)*1</f>
        <v>198.18194779658231</v>
      </c>
      <c r="AB313" s="6">
        <f>$K$313*$V$313</f>
        <v>0</v>
      </c>
      <c r="AC313" s="6">
        <f>$M$313*$W$313</f>
        <v>5007.727359999999</v>
      </c>
      <c r="AD313" s="6">
        <f>$O$313*$X$313</f>
        <v>13344.811519999999</v>
      </c>
      <c r="AE313" s="6">
        <f>$K$313*$Y$313</f>
        <v>0</v>
      </c>
      <c r="AF313" s="6">
        <f ca="1">$M$313*$Z$313</f>
        <v>6666.2654366334818</v>
      </c>
      <c r="AG313" s="6">
        <f>$O$313*$AA$313</f>
        <v>14281.783886012907</v>
      </c>
    </row>
    <row r="314" spans="1:33" ht="11.25" customHeight="1" x14ac:dyDescent="0.25">
      <c r="A314" s="4" t="s">
        <v>27</v>
      </c>
      <c r="B314" s="4" t="s">
        <v>35</v>
      </c>
      <c r="C314" s="4" t="s">
        <v>39</v>
      </c>
      <c r="D314" s="4" t="s">
        <v>49</v>
      </c>
      <c r="E314" s="4" t="s">
        <v>25</v>
      </c>
      <c r="F314" s="4" t="s">
        <v>25</v>
      </c>
      <c r="G314" s="4" t="s">
        <v>25</v>
      </c>
      <c r="H314" s="4" t="s">
        <v>38</v>
      </c>
      <c r="I314" s="5">
        <v>44501</v>
      </c>
      <c r="J314" s="6">
        <v>0</v>
      </c>
      <c r="K314" s="6">
        <v>0</v>
      </c>
      <c r="L314" s="6">
        <v>-39.256999999999998</v>
      </c>
      <c r="M314" s="6">
        <v>-39.256999999999998</v>
      </c>
      <c r="N314" s="6">
        <v>-39.256999999999998</v>
      </c>
      <c r="O314" s="6">
        <v>-39.256999999999998</v>
      </c>
      <c r="P314" s="6">
        <v>0</v>
      </c>
      <c r="Q314" s="4" t="s">
        <v>26</v>
      </c>
      <c r="R314" s="4">
        <v>0</v>
      </c>
      <c r="S314" s="6">
        <v>0</v>
      </c>
      <c r="T314" s="6">
        <v>25</v>
      </c>
      <c r="U314" s="6">
        <v>59</v>
      </c>
      <c r="V314" s="6">
        <f>IF(ISERROR(VLOOKUP($S$314,'TAR FIN'!$A$1:$O$93,15,0)),0,VLOOKUP($S$314,'TAR FIN'!$A$1:$O$93,15,0))</f>
        <v>0</v>
      </c>
      <c r="W314" s="6">
        <f>IF(ISERROR(VLOOKUP($T$314,'TAR FIN'!$A$1:$O$93,15,0)),0,VLOOKUP($T$314,'TAR FIN'!$A$1:$O$93,15,0))</f>
        <v>69.489999999999995</v>
      </c>
      <c r="X314" s="6">
        <f>IF(ISERROR(VLOOKUP($U$314,'TAR FIN'!$A$1:$O$93,15,0)),0,VLOOKUP($U$314,'TAR FIN'!$A$1:$O$93,15,0))</f>
        <v>185.18</v>
      </c>
      <c r="Y314" s="6"/>
      <c r="Z314" s="6">
        <f ca="1">('TUSD BE'!$AM$16+'TUSD BF'!$AM$16+'TUSD CVA'!$AM$16)*1</f>
        <v>92.504793470158234</v>
      </c>
      <c r="AA314" s="6">
        <f>('TE BE'!$AB$8+'TE BF'!$AB$8+'TE CVA'!$AB$8)*1</f>
        <v>198.18194779658231</v>
      </c>
      <c r="AB314" s="6">
        <f>$K$314*$V$314</f>
        <v>0</v>
      </c>
      <c r="AC314" s="6">
        <f>$M$314*$W$314</f>
        <v>-2727.9689299999995</v>
      </c>
      <c r="AD314" s="6">
        <f>$O$314*$X$314</f>
        <v>-7269.6112599999997</v>
      </c>
      <c r="AE314" s="6">
        <f>$K$314*$Y$314</f>
        <v>0</v>
      </c>
      <c r="AF314" s="6">
        <f ca="1">$M$314*$Z$314</f>
        <v>-3631.4606772580014</v>
      </c>
      <c r="AG314" s="6">
        <f>$O$314*$AA$314</f>
        <v>-7780.0287246504313</v>
      </c>
    </row>
    <row r="315" spans="1:33" ht="11.25" customHeight="1" x14ac:dyDescent="0.25">
      <c r="A315" s="4" t="s">
        <v>21</v>
      </c>
      <c r="B315" s="4" t="s">
        <v>35</v>
      </c>
      <c r="C315" s="4" t="s">
        <v>39</v>
      </c>
      <c r="D315" s="4" t="s">
        <v>49</v>
      </c>
      <c r="E315" s="4" t="s">
        <v>25</v>
      </c>
      <c r="F315" s="4" t="s">
        <v>25</v>
      </c>
      <c r="G315" s="4" t="s">
        <v>25</v>
      </c>
      <c r="H315" s="4" t="s">
        <v>38</v>
      </c>
      <c r="I315" s="5">
        <v>44531</v>
      </c>
      <c r="J315" s="6">
        <v>0</v>
      </c>
      <c r="K315" s="6">
        <v>0</v>
      </c>
      <c r="L315" s="6">
        <v>34.274999999999999</v>
      </c>
      <c r="M315" s="6">
        <v>34.274999999999999</v>
      </c>
      <c r="N315" s="6">
        <v>34.274999999999999</v>
      </c>
      <c r="O315" s="6">
        <v>34.274999999999999</v>
      </c>
      <c r="P315" s="6">
        <v>0</v>
      </c>
      <c r="Q315" s="4" t="s">
        <v>26</v>
      </c>
      <c r="R315" s="4">
        <v>0</v>
      </c>
      <c r="S315" s="6">
        <v>0</v>
      </c>
      <c r="T315" s="6">
        <v>25</v>
      </c>
      <c r="U315" s="6">
        <v>59</v>
      </c>
      <c r="V315" s="6">
        <f>IF(ISERROR(VLOOKUP($S$315,'TAR FIN'!$A$1:$O$93,15,0)),0,VLOOKUP($S$315,'TAR FIN'!$A$1:$O$93,15,0))</f>
        <v>0</v>
      </c>
      <c r="W315" s="6">
        <f>IF(ISERROR(VLOOKUP($T$315,'TAR FIN'!$A$1:$O$93,15,0)),0,VLOOKUP($T$315,'TAR FIN'!$A$1:$O$93,15,0))</f>
        <v>69.489999999999995</v>
      </c>
      <c r="X315" s="6">
        <f>IF(ISERROR(VLOOKUP($U$315,'TAR FIN'!$A$1:$O$93,15,0)),0,VLOOKUP($U$315,'TAR FIN'!$A$1:$O$93,15,0))</f>
        <v>185.18</v>
      </c>
      <c r="Y315" s="6"/>
      <c r="Z315" s="6">
        <f ca="1">('TUSD BE'!$AM$16+'TUSD BF'!$AM$16+'TUSD CVA'!$AM$16)*1</f>
        <v>92.504793470158234</v>
      </c>
      <c r="AA315" s="6">
        <f>('TE BE'!$AB$8+'TE BF'!$AB$8+'TE CVA'!$AB$8)*1</f>
        <v>198.18194779658231</v>
      </c>
      <c r="AB315" s="6">
        <f>$K$315*$V$315</f>
        <v>0</v>
      </c>
      <c r="AC315" s="6">
        <f>$M$315*$W$315</f>
        <v>2381.7697499999999</v>
      </c>
      <c r="AD315" s="6">
        <f>$O$315*$X$315</f>
        <v>6347.0445</v>
      </c>
      <c r="AE315" s="6">
        <f>$K$315*$Y$315</f>
        <v>0</v>
      </c>
      <c r="AF315" s="6">
        <f ca="1">$M$315*$Z$315</f>
        <v>3170.6017961896732</v>
      </c>
      <c r="AG315" s="6">
        <f>$O$315*$AA$315</f>
        <v>6792.6862607278581</v>
      </c>
    </row>
    <row r="316" spans="1:33" ht="11.25" customHeight="1" x14ac:dyDescent="0.25">
      <c r="A316" s="4" t="s">
        <v>21</v>
      </c>
      <c r="B316" s="4" t="s">
        <v>35</v>
      </c>
      <c r="C316" s="4" t="s">
        <v>39</v>
      </c>
      <c r="D316" s="4" t="s">
        <v>49</v>
      </c>
      <c r="E316" s="4" t="s">
        <v>25</v>
      </c>
      <c r="F316" s="4" t="s">
        <v>25</v>
      </c>
      <c r="G316" s="4" t="s">
        <v>25</v>
      </c>
      <c r="H316" s="4" t="s">
        <v>38</v>
      </c>
      <c r="I316" s="5">
        <v>44562</v>
      </c>
      <c r="J316" s="6">
        <v>0</v>
      </c>
      <c r="K316" s="6">
        <v>0</v>
      </c>
      <c r="L316" s="6">
        <v>38.162999999999997</v>
      </c>
      <c r="M316" s="6">
        <v>38.162999999999997</v>
      </c>
      <c r="N316" s="6">
        <v>38.162999999999997</v>
      </c>
      <c r="O316" s="6">
        <v>38.162999999999997</v>
      </c>
      <c r="P316" s="6">
        <v>0</v>
      </c>
      <c r="Q316" s="4" t="s">
        <v>26</v>
      </c>
      <c r="R316" s="4">
        <v>0</v>
      </c>
      <c r="S316" s="6">
        <v>0</v>
      </c>
      <c r="T316" s="6">
        <v>25</v>
      </c>
      <c r="U316" s="6">
        <v>59</v>
      </c>
      <c r="V316" s="6">
        <f>IF(ISERROR(VLOOKUP($S$316,'TAR FIN'!$A$1:$O$93,15,0)),0,VLOOKUP($S$316,'TAR FIN'!$A$1:$O$93,15,0))</f>
        <v>0</v>
      </c>
      <c r="W316" s="6">
        <f>IF(ISERROR(VLOOKUP($T$316,'TAR FIN'!$A$1:$O$93,15,0)),0,VLOOKUP($T$316,'TAR FIN'!$A$1:$O$93,15,0))</f>
        <v>69.489999999999995</v>
      </c>
      <c r="X316" s="6">
        <f>IF(ISERROR(VLOOKUP($U$316,'TAR FIN'!$A$1:$O$93,15,0)),0,VLOOKUP($U$316,'TAR FIN'!$A$1:$O$93,15,0))</f>
        <v>185.18</v>
      </c>
      <c r="Y316" s="6"/>
      <c r="Z316" s="6">
        <f ca="1">('TUSD BE'!$AM$16+'TUSD BF'!$AM$16+'TUSD CVA'!$AM$16)*1</f>
        <v>92.504793470158234</v>
      </c>
      <c r="AA316" s="6">
        <f>('TE BE'!$AB$8+'TE BF'!$AB$8+'TE CVA'!$AB$8)*1</f>
        <v>198.18194779658231</v>
      </c>
      <c r="AB316" s="6">
        <f>$K$316*$V$316</f>
        <v>0</v>
      </c>
      <c r="AC316" s="6">
        <f>$M$316*$W$316</f>
        <v>2651.9468699999998</v>
      </c>
      <c r="AD316" s="6">
        <f>$O$316*$X$316</f>
        <v>7067.0243399999999</v>
      </c>
      <c r="AE316" s="6">
        <f>$K$316*$Y$316</f>
        <v>0</v>
      </c>
      <c r="AF316" s="6">
        <f ca="1">$M$316*$Z$316</f>
        <v>3530.2604332016485</v>
      </c>
      <c r="AG316" s="6">
        <f>$O$316*$AA$316</f>
        <v>7563.2176737609698</v>
      </c>
    </row>
    <row r="317" spans="1:33" ht="11.25" customHeight="1" x14ac:dyDescent="0.25">
      <c r="A317" s="4" t="s">
        <v>21</v>
      </c>
      <c r="B317" s="4" t="s">
        <v>35</v>
      </c>
      <c r="C317" s="4" t="s">
        <v>39</v>
      </c>
      <c r="D317" s="4" t="s">
        <v>49</v>
      </c>
      <c r="E317" s="4" t="s">
        <v>25</v>
      </c>
      <c r="F317" s="4" t="s">
        <v>25</v>
      </c>
      <c r="G317" s="4" t="s">
        <v>25</v>
      </c>
      <c r="H317" s="4" t="s">
        <v>38</v>
      </c>
      <c r="I317" s="5">
        <v>44593</v>
      </c>
      <c r="J317" s="6">
        <v>0</v>
      </c>
      <c r="K317" s="6">
        <v>0</v>
      </c>
      <c r="L317" s="6">
        <v>90.84</v>
      </c>
      <c r="M317" s="6">
        <v>90.84</v>
      </c>
      <c r="N317" s="6">
        <v>90.84</v>
      </c>
      <c r="O317" s="6">
        <v>90.84</v>
      </c>
      <c r="P317" s="6">
        <v>0</v>
      </c>
      <c r="Q317" s="4" t="s">
        <v>26</v>
      </c>
      <c r="R317" s="4">
        <v>0</v>
      </c>
      <c r="S317" s="6">
        <v>0</v>
      </c>
      <c r="T317" s="6">
        <v>25</v>
      </c>
      <c r="U317" s="6">
        <v>59</v>
      </c>
      <c r="V317" s="6">
        <f>IF(ISERROR(VLOOKUP($S$317,'TAR FIN'!$A$1:$O$93,15,0)),0,VLOOKUP($S$317,'TAR FIN'!$A$1:$O$93,15,0))</f>
        <v>0</v>
      </c>
      <c r="W317" s="6">
        <f>IF(ISERROR(VLOOKUP($T$317,'TAR FIN'!$A$1:$O$93,15,0)),0,VLOOKUP($T$317,'TAR FIN'!$A$1:$O$93,15,0))</f>
        <v>69.489999999999995</v>
      </c>
      <c r="X317" s="6">
        <f>IF(ISERROR(VLOOKUP($U$317,'TAR FIN'!$A$1:$O$93,15,0)),0,VLOOKUP($U$317,'TAR FIN'!$A$1:$O$93,15,0))</f>
        <v>185.18</v>
      </c>
      <c r="Y317" s="6"/>
      <c r="Z317" s="6">
        <f ca="1">('TUSD BE'!$AM$16+'TUSD BF'!$AM$16+'TUSD CVA'!$AM$16)*1</f>
        <v>92.504793470158234</v>
      </c>
      <c r="AA317" s="6">
        <f>('TE BE'!$AB$8+'TE BF'!$AB$8+'TE CVA'!$AB$8)*1</f>
        <v>198.18194779658231</v>
      </c>
      <c r="AB317" s="6">
        <f>$K$317*$V$317</f>
        <v>0</v>
      </c>
      <c r="AC317" s="6">
        <f>$M$317*$W$317</f>
        <v>6312.4715999999999</v>
      </c>
      <c r="AD317" s="6">
        <f>$O$317*$X$317</f>
        <v>16821.751200000002</v>
      </c>
      <c r="AE317" s="6">
        <f>$K$317*$Y$317</f>
        <v>0</v>
      </c>
      <c r="AF317" s="6">
        <f ca="1">$M$317*$Z$317</f>
        <v>8403.1354388291747</v>
      </c>
      <c r="AG317" s="6">
        <f>$O$317*$AA$317</f>
        <v>18002.848137841538</v>
      </c>
    </row>
    <row r="318" spans="1:33" ht="11.25" customHeight="1" x14ac:dyDescent="0.25">
      <c r="A318" s="4" t="s">
        <v>27</v>
      </c>
      <c r="B318" s="4" t="s">
        <v>35</v>
      </c>
      <c r="C318" s="4" t="s">
        <v>39</v>
      </c>
      <c r="D318" s="4" t="s">
        <v>49</v>
      </c>
      <c r="E318" s="4" t="s">
        <v>25</v>
      </c>
      <c r="F318" s="4" t="s">
        <v>25</v>
      </c>
      <c r="G318" s="4" t="s">
        <v>25</v>
      </c>
      <c r="H318" s="4" t="s">
        <v>38</v>
      </c>
      <c r="I318" s="5">
        <v>44593</v>
      </c>
      <c r="J318" s="6">
        <v>0</v>
      </c>
      <c r="K318" s="6">
        <v>0</v>
      </c>
      <c r="L318" s="6">
        <v>-49.624000000000002</v>
      </c>
      <c r="M318" s="6">
        <v>-49.624000000000002</v>
      </c>
      <c r="N318" s="6">
        <v>-49.624000000000002</v>
      </c>
      <c r="O318" s="6">
        <v>-49.624000000000002</v>
      </c>
      <c r="P318" s="6">
        <v>0</v>
      </c>
      <c r="Q318" s="4" t="s">
        <v>26</v>
      </c>
      <c r="R318" s="4">
        <v>0</v>
      </c>
      <c r="S318" s="6">
        <v>0</v>
      </c>
      <c r="T318" s="6">
        <v>25</v>
      </c>
      <c r="U318" s="6">
        <v>59</v>
      </c>
      <c r="V318" s="6">
        <f>IF(ISERROR(VLOOKUP($S$318,'TAR FIN'!$A$1:$O$93,15,0)),0,VLOOKUP($S$318,'TAR FIN'!$A$1:$O$93,15,0))</f>
        <v>0</v>
      </c>
      <c r="W318" s="6">
        <f>IF(ISERROR(VLOOKUP($T$318,'TAR FIN'!$A$1:$O$93,15,0)),0,VLOOKUP($T$318,'TAR FIN'!$A$1:$O$93,15,0))</f>
        <v>69.489999999999995</v>
      </c>
      <c r="X318" s="6">
        <f>IF(ISERROR(VLOOKUP($U$318,'TAR FIN'!$A$1:$O$93,15,0)),0,VLOOKUP($U$318,'TAR FIN'!$A$1:$O$93,15,0))</f>
        <v>185.18</v>
      </c>
      <c r="Y318" s="6"/>
      <c r="Z318" s="6">
        <f ca="1">('TUSD BE'!$AM$16+'TUSD BF'!$AM$16+'TUSD CVA'!$AM$16)*1</f>
        <v>92.504793470158234</v>
      </c>
      <c r="AA318" s="6">
        <f>('TE BE'!$AB$8+'TE BF'!$AB$8+'TE CVA'!$AB$8)*1</f>
        <v>198.18194779658231</v>
      </c>
      <c r="AB318" s="6">
        <f>$K$318*$V$318</f>
        <v>0</v>
      </c>
      <c r="AC318" s="6">
        <f>$M$318*$W$318</f>
        <v>-3448.37176</v>
      </c>
      <c r="AD318" s="6">
        <f>$O$318*$X$318</f>
        <v>-9189.3723200000004</v>
      </c>
      <c r="AE318" s="6">
        <f>$K$318*$Y$318</f>
        <v>0</v>
      </c>
      <c r="AF318" s="6">
        <f ca="1">$M$318*$Z$318</f>
        <v>-4590.457871163132</v>
      </c>
      <c r="AG318" s="6">
        <f>$O$318*$AA$318</f>
        <v>-9834.580977457601</v>
      </c>
    </row>
    <row r="319" spans="1:33" ht="11.25" customHeight="1" x14ac:dyDescent="0.25">
      <c r="A319" s="4" t="s">
        <v>21</v>
      </c>
      <c r="B319" s="4" t="s">
        <v>35</v>
      </c>
      <c r="C319" s="4" t="s">
        <v>39</v>
      </c>
      <c r="D319" s="4" t="s">
        <v>49</v>
      </c>
      <c r="E319" s="4" t="s">
        <v>25</v>
      </c>
      <c r="F319" s="4" t="s">
        <v>25</v>
      </c>
      <c r="G319" s="4" t="s">
        <v>25</v>
      </c>
      <c r="H319" s="4" t="s">
        <v>38</v>
      </c>
      <c r="I319" s="5">
        <v>44621</v>
      </c>
      <c r="J319" s="6">
        <v>0</v>
      </c>
      <c r="K319" s="6">
        <v>0</v>
      </c>
      <c r="L319" s="6">
        <v>79.659000000000006</v>
      </c>
      <c r="M319" s="6">
        <v>79.659000000000006</v>
      </c>
      <c r="N319" s="6">
        <v>79.659000000000006</v>
      </c>
      <c r="O319" s="6">
        <v>79.659000000000006</v>
      </c>
      <c r="P319" s="6">
        <v>0</v>
      </c>
      <c r="Q319" s="4" t="s">
        <v>26</v>
      </c>
      <c r="R319" s="4">
        <v>0</v>
      </c>
      <c r="S319" s="6">
        <v>0</v>
      </c>
      <c r="T319" s="6">
        <v>25</v>
      </c>
      <c r="U319" s="6">
        <v>59</v>
      </c>
      <c r="V319" s="6">
        <f>IF(ISERROR(VLOOKUP($S$319,'TAR FIN'!$A$1:$O$93,15,0)),0,VLOOKUP($S$319,'TAR FIN'!$A$1:$O$93,15,0))</f>
        <v>0</v>
      </c>
      <c r="W319" s="6">
        <f>IF(ISERROR(VLOOKUP($T$319,'TAR FIN'!$A$1:$O$93,15,0)),0,VLOOKUP($T$319,'TAR FIN'!$A$1:$O$93,15,0))</f>
        <v>69.489999999999995</v>
      </c>
      <c r="X319" s="6">
        <f>IF(ISERROR(VLOOKUP($U$319,'TAR FIN'!$A$1:$O$93,15,0)),0,VLOOKUP($U$319,'TAR FIN'!$A$1:$O$93,15,0))</f>
        <v>185.18</v>
      </c>
      <c r="Y319" s="6"/>
      <c r="Z319" s="6">
        <f ca="1">('TUSD BE'!$AM$16+'TUSD BF'!$AM$16+'TUSD CVA'!$AM$16)*1</f>
        <v>92.504793470158234</v>
      </c>
      <c r="AA319" s="6">
        <f>('TE BE'!$AB$8+'TE BF'!$AB$8+'TE CVA'!$AB$8)*1</f>
        <v>198.18194779658231</v>
      </c>
      <c r="AB319" s="6">
        <f>$K$319*$V$319</f>
        <v>0</v>
      </c>
      <c r="AC319" s="6">
        <f>$M$319*$W$319</f>
        <v>5535.5039100000004</v>
      </c>
      <c r="AD319" s="6">
        <f>$O$319*$X$319</f>
        <v>14751.253620000001</v>
      </c>
      <c r="AE319" s="6">
        <f>$K$319*$Y$319</f>
        <v>0</v>
      </c>
      <c r="AF319" s="6">
        <f ca="1">$M$319*$Z$319</f>
        <v>7368.8393430393353</v>
      </c>
      <c r="AG319" s="6">
        <f>$O$319*$AA$319</f>
        <v>15786.975779527951</v>
      </c>
    </row>
    <row r="320" spans="1:33" ht="11.25" customHeight="1" x14ac:dyDescent="0.25">
      <c r="A320" s="4" t="s">
        <v>27</v>
      </c>
      <c r="B320" s="4" t="s">
        <v>35</v>
      </c>
      <c r="C320" s="4" t="s">
        <v>39</v>
      </c>
      <c r="D320" s="4" t="s">
        <v>49</v>
      </c>
      <c r="E320" s="4" t="s">
        <v>25</v>
      </c>
      <c r="F320" s="4" t="s">
        <v>25</v>
      </c>
      <c r="G320" s="4" t="s">
        <v>25</v>
      </c>
      <c r="H320" s="4" t="s">
        <v>38</v>
      </c>
      <c r="I320" s="5">
        <v>44621</v>
      </c>
      <c r="J320" s="6">
        <v>0</v>
      </c>
      <c r="K320" s="6">
        <v>0</v>
      </c>
      <c r="L320" s="6">
        <v>-43.320999999999998</v>
      </c>
      <c r="M320" s="6">
        <v>-43.320999999999998</v>
      </c>
      <c r="N320" s="6">
        <v>-43.320999999999998</v>
      </c>
      <c r="O320" s="6">
        <v>-43.320999999999998</v>
      </c>
      <c r="P320" s="6">
        <v>0</v>
      </c>
      <c r="Q320" s="4" t="s">
        <v>26</v>
      </c>
      <c r="R320" s="4">
        <v>0</v>
      </c>
      <c r="S320" s="6">
        <v>0</v>
      </c>
      <c r="T320" s="6">
        <v>25</v>
      </c>
      <c r="U320" s="6">
        <v>59</v>
      </c>
      <c r="V320" s="6">
        <f>IF(ISERROR(VLOOKUP($S$320,'TAR FIN'!$A$1:$O$93,15,0)),0,VLOOKUP($S$320,'TAR FIN'!$A$1:$O$93,15,0))</f>
        <v>0</v>
      </c>
      <c r="W320" s="6">
        <f>IF(ISERROR(VLOOKUP($T$320,'TAR FIN'!$A$1:$O$93,15,0)),0,VLOOKUP($T$320,'TAR FIN'!$A$1:$O$93,15,0))</f>
        <v>69.489999999999995</v>
      </c>
      <c r="X320" s="6">
        <f>IF(ISERROR(VLOOKUP($U$320,'TAR FIN'!$A$1:$O$93,15,0)),0,VLOOKUP($U$320,'TAR FIN'!$A$1:$O$93,15,0))</f>
        <v>185.18</v>
      </c>
      <c r="Y320" s="6"/>
      <c r="Z320" s="6">
        <f ca="1">('TUSD BE'!$AM$16+'TUSD BF'!$AM$16+'TUSD CVA'!$AM$16)*1</f>
        <v>92.504793470158234</v>
      </c>
      <c r="AA320" s="6">
        <f>('TE BE'!$AB$8+'TE BF'!$AB$8+'TE CVA'!$AB$8)*1</f>
        <v>198.18194779658231</v>
      </c>
      <c r="AB320" s="6">
        <f>$K$320*$V$320</f>
        <v>0</v>
      </c>
      <c r="AC320" s="6">
        <f>$M$320*$W$320</f>
        <v>-3010.3762899999997</v>
      </c>
      <c r="AD320" s="6">
        <f>$O$320*$X$320</f>
        <v>-8022.1827800000001</v>
      </c>
      <c r="AE320" s="6">
        <f>$K$320*$Y$320</f>
        <v>0</v>
      </c>
      <c r="AF320" s="6">
        <f ca="1">$M$320*$Z$320</f>
        <v>-4007.4001579207247</v>
      </c>
      <c r="AG320" s="6">
        <f>$O$320*$AA$320</f>
        <v>-8585.440160495742</v>
      </c>
    </row>
    <row r="321" spans="1:33" ht="11.25" customHeight="1" x14ac:dyDescent="0.25">
      <c r="A321" s="4" t="s">
        <v>21</v>
      </c>
      <c r="B321" s="4" t="s">
        <v>35</v>
      </c>
      <c r="C321" s="4" t="s">
        <v>39</v>
      </c>
      <c r="D321" s="4" t="s">
        <v>49</v>
      </c>
      <c r="E321" s="4" t="s">
        <v>25</v>
      </c>
      <c r="F321" s="4" t="s">
        <v>25</v>
      </c>
      <c r="G321" s="4" t="s">
        <v>25</v>
      </c>
      <c r="H321" s="4" t="s">
        <v>38</v>
      </c>
      <c r="I321" s="5">
        <v>44652</v>
      </c>
      <c r="J321" s="6">
        <v>0</v>
      </c>
      <c r="K321" s="6">
        <v>0</v>
      </c>
      <c r="L321" s="6">
        <v>38.289000000000001</v>
      </c>
      <c r="M321" s="6">
        <v>38.289000000000001</v>
      </c>
      <c r="N321" s="6">
        <v>38.289000000000001</v>
      </c>
      <c r="O321" s="6">
        <v>38.289000000000001</v>
      </c>
      <c r="P321" s="6">
        <v>0</v>
      </c>
      <c r="Q321" s="4" t="s">
        <v>26</v>
      </c>
      <c r="R321" s="4">
        <v>0</v>
      </c>
      <c r="S321" s="6">
        <v>0</v>
      </c>
      <c r="T321" s="6">
        <v>25</v>
      </c>
      <c r="U321" s="6">
        <v>59</v>
      </c>
      <c r="V321" s="6">
        <f>IF(ISERROR(VLOOKUP($S$321,'TAR FIN'!$A$1:$O$93,15,0)),0,VLOOKUP($S$321,'TAR FIN'!$A$1:$O$93,15,0))</f>
        <v>0</v>
      </c>
      <c r="W321" s="6">
        <f>IF(ISERROR(VLOOKUP($T$321,'TAR FIN'!$A$1:$O$93,15,0)),0,VLOOKUP($T$321,'TAR FIN'!$A$1:$O$93,15,0))</f>
        <v>69.489999999999995</v>
      </c>
      <c r="X321" s="6">
        <f>IF(ISERROR(VLOOKUP($U$321,'TAR FIN'!$A$1:$O$93,15,0)),0,VLOOKUP($U$321,'TAR FIN'!$A$1:$O$93,15,0))</f>
        <v>185.18</v>
      </c>
      <c r="Y321" s="6"/>
      <c r="Z321" s="6">
        <f ca="1">('TUSD BE'!$AM$16+'TUSD BF'!$AM$16+'TUSD CVA'!$AM$16)*1</f>
        <v>92.504793470158234</v>
      </c>
      <c r="AA321" s="6">
        <f>('TE BE'!$AB$8+'TE BF'!$AB$8+'TE CVA'!$AB$8)*1</f>
        <v>198.18194779658231</v>
      </c>
      <c r="AB321" s="6">
        <f>$K$321*$V$321</f>
        <v>0</v>
      </c>
      <c r="AC321" s="6">
        <f>$M$321*$W$321</f>
        <v>2660.7026099999998</v>
      </c>
      <c r="AD321" s="6">
        <f>$O$321*$X$321</f>
        <v>7090.3570200000004</v>
      </c>
      <c r="AE321" s="6">
        <f>$K$321*$Y$321</f>
        <v>0</v>
      </c>
      <c r="AF321" s="6">
        <f ca="1">$M$321*$Z$321</f>
        <v>3541.9160371788889</v>
      </c>
      <c r="AG321" s="6">
        <f>$O$321*$AA$321</f>
        <v>7588.1885991833406</v>
      </c>
    </row>
    <row r="322" spans="1:33" ht="11.25" customHeight="1" x14ac:dyDescent="0.25">
      <c r="A322" s="4" t="s">
        <v>21</v>
      </c>
      <c r="B322" s="4" t="s">
        <v>35</v>
      </c>
      <c r="C322" s="4" t="s">
        <v>39</v>
      </c>
      <c r="D322" s="4" t="s">
        <v>49</v>
      </c>
      <c r="E322" s="4" t="s">
        <v>25</v>
      </c>
      <c r="F322" s="4" t="s">
        <v>25</v>
      </c>
      <c r="G322" s="4" t="s">
        <v>25</v>
      </c>
      <c r="H322" s="4" t="s">
        <v>38</v>
      </c>
      <c r="I322" s="5">
        <v>44682</v>
      </c>
      <c r="J322" s="6">
        <v>0</v>
      </c>
      <c r="K322" s="6">
        <v>0</v>
      </c>
      <c r="L322" s="6">
        <v>31.364999999999998</v>
      </c>
      <c r="M322" s="6">
        <v>31.364999999999998</v>
      </c>
      <c r="N322" s="6">
        <v>31.364999999999998</v>
      </c>
      <c r="O322" s="6">
        <v>31.364999999999998</v>
      </c>
      <c r="P322" s="6">
        <v>0</v>
      </c>
      <c r="Q322" s="4" t="s">
        <v>26</v>
      </c>
      <c r="R322" s="4">
        <v>0</v>
      </c>
      <c r="S322" s="6">
        <v>0</v>
      </c>
      <c r="T322" s="6">
        <v>25</v>
      </c>
      <c r="U322" s="6">
        <v>59</v>
      </c>
      <c r="V322" s="6">
        <f>IF(ISERROR(VLOOKUP($S$322,'TAR FIN'!$A$1:$O$93,15,0)),0,VLOOKUP($S$322,'TAR FIN'!$A$1:$O$93,15,0))</f>
        <v>0</v>
      </c>
      <c r="W322" s="6">
        <f>IF(ISERROR(VLOOKUP($T$322,'TAR FIN'!$A$1:$O$93,15,0)),0,VLOOKUP($T$322,'TAR FIN'!$A$1:$O$93,15,0))</f>
        <v>69.489999999999995</v>
      </c>
      <c r="X322" s="6">
        <f>IF(ISERROR(VLOOKUP($U$322,'TAR FIN'!$A$1:$O$93,15,0)),0,VLOOKUP($U$322,'TAR FIN'!$A$1:$O$93,15,0))</f>
        <v>185.18</v>
      </c>
      <c r="Y322" s="6"/>
      <c r="Z322" s="6">
        <f ca="1">('TUSD BE'!$AM$16+'TUSD BF'!$AM$16+'TUSD CVA'!$AM$16)*1</f>
        <v>92.504793470158234</v>
      </c>
      <c r="AA322" s="6">
        <f>('TE BE'!$AB$8+'TE BF'!$AB$8+'TE CVA'!$AB$8)*1</f>
        <v>198.18194779658231</v>
      </c>
      <c r="AB322" s="6">
        <f>$K$322*$V$322</f>
        <v>0</v>
      </c>
      <c r="AC322" s="6">
        <f>$M$322*$W$322</f>
        <v>2179.5538499999998</v>
      </c>
      <c r="AD322" s="6">
        <f>$O$322*$X$322</f>
        <v>5808.1706999999997</v>
      </c>
      <c r="AE322" s="6">
        <f>$K$322*$Y$322</f>
        <v>0</v>
      </c>
      <c r="AF322" s="6">
        <f ca="1">$M$322*$Z$322</f>
        <v>2901.4128471915128</v>
      </c>
      <c r="AG322" s="6">
        <f>$O$322*$AA$322</f>
        <v>6215.9767926398035</v>
      </c>
    </row>
    <row r="323" spans="1:33" ht="11.25" customHeight="1" x14ac:dyDescent="0.25">
      <c r="A323" s="4" t="s">
        <v>21</v>
      </c>
      <c r="B323" s="4" t="s">
        <v>35</v>
      </c>
      <c r="C323" s="4" t="s">
        <v>39</v>
      </c>
      <c r="D323" s="4" t="s">
        <v>49</v>
      </c>
      <c r="E323" s="4" t="s">
        <v>25</v>
      </c>
      <c r="F323" s="4" t="s">
        <v>25</v>
      </c>
      <c r="G323" s="4" t="s">
        <v>25</v>
      </c>
      <c r="H323" s="4" t="s">
        <v>38</v>
      </c>
      <c r="I323" s="5">
        <v>44713</v>
      </c>
      <c r="J323" s="6">
        <v>0</v>
      </c>
      <c r="K323" s="6">
        <v>0</v>
      </c>
      <c r="L323" s="6">
        <v>31.111000000000001</v>
      </c>
      <c r="M323" s="6">
        <v>31.111000000000001</v>
      </c>
      <c r="N323" s="6">
        <v>31.111000000000001</v>
      </c>
      <c r="O323" s="6">
        <v>31.111000000000001</v>
      </c>
      <c r="P323" s="6">
        <v>0</v>
      </c>
      <c r="Q323" s="4" t="s">
        <v>26</v>
      </c>
      <c r="R323" s="4">
        <v>0</v>
      </c>
      <c r="S323" s="6">
        <v>0</v>
      </c>
      <c r="T323" s="6">
        <v>25</v>
      </c>
      <c r="U323" s="6">
        <v>59</v>
      </c>
      <c r="V323" s="6">
        <f>IF(ISERROR(VLOOKUP($S$323,'TAR FIN'!$A$1:$O$93,15,0)),0,VLOOKUP($S$323,'TAR FIN'!$A$1:$O$93,15,0))</f>
        <v>0</v>
      </c>
      <c r="W323" s="6">
        <f>IF(ISERROR(VLOOKUP($T$323,'TAR FIN'!$A$1:$O$93,15,0)),0,VLOOKUP($T$323,'TAR FIN'!$A$1:$O$93,15,0))</f>
        <v>69.489999999999995</v>
      </c>
      <c r="X323" s="6">
        <f>IF(ISERROR(VLOOKUP($U$323,'TAR FIN'!$A$1:$O$93,15,0)),0,VLOOKUP($U$323,'TAR FIN'!$A$1:$O$93,15,0))</f>
        <v>185.18</v>
      </c>
      <c r="Y323" s="6"/>
      <c r="Z323" s="6">
        <f ca="1">('TUSD BE'!$AM$16+'TUSD BF'!$AM$16+'TUSD CVA'!$AM$16)*1</f>
        <v>92.504793470158234</v>
      </c>
      <c r="AA323" s="6">
        <f>('TE BE'!$AB$8+'TE BF'!$AB$8+'TE CVA'!$AB$8)*1</f>
        <v>198.18194779658231</v>
      </c>
      <c r="AB323" s="6">
        <f>$K$323*$V$323</f>
        <v>0</v>
      </c>
      <c r="AC323" s="6">
        <f>$M$323*$W$323</f>
        <v>2161.9033899999999</v>
      </c>
      <c r="AD323" s="6">
        <f>$O$323*$X$323</f>
        <v>5761.1349800000007</v>
      </c>
      <c r="AE323" s="6">
        <f>$K$323*$Y$323</f>
        <v>0</v>
      </c>
      <c r="AF323" s="6">
        <f ca="1">$M$323*$Z$323</f>
        <v>2877.916629650093</v>
      </c>
      <c r="AG323" s="6">
        <f>$O$323*$AA$323</f>
        <v>6165.6385778994727</v>
      </c>
    </row>
    <row r="324" spans="1:33" ht="11.25" customHeight="1" x14ac:dyDescent="0.25">
      <c r="A324" s="4" t="s">
        <v>21</v>
      </c>
      <c r="B324" s="4" t="s">
        <v>35</v>
      </c>
      <c r="C324" s="4" t="s">
        <v>39</v>
      </c>
      <c r="D324" s="4" t="s">
        <v>49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44378</v>
      </c>
      <c r="J324" s="6">
        <v>155</v>
      </c>
      <c r="K324" s="6">
        <v>155</v>
      </c>
      <c r="L324" s="6">
        <v>0</v>
      </c>
      <c r="M324" s="6">
        <v>0</v>
      </c>
      <c r="N324" s="6">
        <v>0</v>
      </c>
      <c r="O324" s="6">
        <v>0</v>
      </c>
      <c r="P324" s="6">
        <v>1</v>
      </c>
      <c r="Q324" s="4" t="s">
        <v>26</v>
      </c>
      <c r="R324" s="4">
        <v>0</v>
      </c>
      <c r="S324" s="6">
        <v>18</v>
      </c>
      <c r="T324" s="6">
        <v>0</v>
      </c>
      <c r="U324" s="6">
        <v>0</v>
      </c>
      <c r="V324" s="6">
        <f>IF(ISERROR(VLOOKUP($S$324,'TAR FIN'!$A$1:$O$93,15,0)),0,VLOOKUP($S$324,'TAR FIN'!$A$1:$O$93,15,0))</f>
        <v>26.17</v>
      </c>
      <c r="W324" s="6">
        <f>IF(ISERROR(VLOOKUP($T$324,'TAR FIN'!$A$1:$O$93,15,0)),0,VLOOKUP($T$324,'TAR FIN'!$A$1:$O$93,15,0))</f>
        <v>0</v>
      </c>
      <c r="X324" s="6">
        <f>IF(ISERROR(VLOOKUP($U$324,'TAR FIN'!$A$1:$O$93,15,0)),0,VLOOKUP($U$324,'TAR FIN'!$A$1:$O$93,15,0))</f>
        <v>0</v>
      </c>
      <c r="Y324" s="6">
        <f ca="1">('TUSD BE'!$AM$14+'TUSD BF'!$AM$14+'TUSD CVA'!$AM$14)*1</f>
        <v>30.453482365333407</v>
      </c>
      <c r="Z324" s="6"/>
      <c r="AA324" s="6"/>
      <c r="AB324" s="6">
        <f>$K$324*$V$324</f>
        <v>4056.3500000000004</v>
      </c>
      <c r="AC324" s="6">
        <f>$M$324*$W$324</f>
        <v>0</v>
      </c>
      <c r="AD324" s="6">
        <f>$O$324*$X$324</f>
        <v>0</v>
      </c>
      <c r="AE324" s="6">
        <f ca="1">$K$324*$Y$324</f>
        <v>4720.2897666266781</v>
      </c>
      <c r="AF324" s="6">
        <f>$M$324*$Z$324</f>
        <v>0</v>
      </c>
      <c r="AG324" s="6">
        <f>$O$324*$AA$324</f>
        <v>0</v>
      </c>
    </row>
    <row r="325" spans="1:33" ht="11.25" customHeight="1" x14ac:dyDescent="0.25">
      <c r="A325" s="4" t="s">
        <v>21</v>
      </c>
      <c r="B325" s="4" t="s">
        <v>35</v>
      </c>
      <c r="C325" s="4" t="s">
        <v>39</v>
      </c>
      <c r="D325" s="4" t="s">
        <v>49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44409</v>
      </c>
      <c r="J325" s="6">
        <v>155</v>
      </c>
      <c r="K325" s="6">
        <v>155</v>
      </c>
      <c r="L325" s="6">
        <v>0</v>
      </c>
      <c r="M325" s="6">
        <v>0</v>
      </c>
      <c r="N325" s="6">
        <v>0</v>
      </c>
      <c r="O325" s="6">
        <v>0</v>
      </c>
      <c r="P325" s="6">
        <v>1</v>
      </c>
      <c r="Q325" s="4" t="s">
        <v>26</v>
      </c>
      <c r="R325" s="4">
        <v>0</v>
      </c>
      <c r="S325" s="6">
        <v>18</v>
      </c>
      <c r="T325" s="6">
        <v>0</v>
      </c>
      <c r="U325" s="6">
        <v>0</v>
      </c>
      <c r="V325" s="6">
        <f>IF(ISERROR(VLOOKUP($S$325,'TAR FIN'!$A$1:$O$93,15,0)),0,VLOOKUP($S$325,'TAR FIN'!$A$1:$O$93,15,0))</f>
        <v>26.17</v>
      </c>
      <c r="W325" s="6">
        <f>IF(ISERROR(VLOOKUP($T$325,'TAR FIN'!$A$1:$O$93,15,0)),0,VLOOKUP($T$325,'TAR FIN'!$A$1:$O$93,15,0))</f>
        <v>0</v>
      </c>
      <c r="X325" s="6">
        <f>IF(ISERROR(VLOOKUP($U$325,'TAR FIN'!$A$1:$O$93,15,0)),0,VLOOKUP($U$325,'TAR FIN'!$A$1:$O$93,15,0))</f>
        <v>0</v>
      </c>
      <c r="Y325" s="6">
        <f ca="1">('TUSD BE'!$AM$14+'TUSD BF'!$AM$14+'TUSD CVA'!$AM$14)*1</f>
        <v>30.453482365333407</v>
      </c>
      <c r="Z325" s="6"/>
      <c r="AA325" s="6"/>
      <c r="AB325" s="6">
        <f>$K$325*$V$325</f>
        <v>4056.3500000000004</v>
      </c>
      <c r="AC325" s="6">
        <f>$M$325*$W$325</f>
        <v>0</v>
      </c>
      <c r="AD325" s="6">
        <f>$O$325*$X$325</f>
        <v>0</v>
      </c>
      <c r="AE325" s="6">
        <f ca="1">$K$325*$Y$325</f>
        <v>4720.2897666266781</v>
      </c>
      <c r="AF325" s="6">
        <f>$M$325*$Z$325</f>
        <v>0</v>
      </c>
      <c r="AG325" s="6">
        <f>$O$325*$AA$325</f>
        <v>0</v>
      </c>
    </row>
    <row r="326" spans="1:33" ht="11.25" customHeight="1" x14ac:dyDescent="0.25">
      <c r="A326" s="4" t="s">
        <v>21</v>
      </c>
      <c r="B326" s="4" t="s">
        <v>35</v>
      </c>
      <c r="C326" s="4" t="s">
        <v>39</v>
      </c>
      <c r="D326" s="4" t="s">
        <v>49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44440</v>
      </c>
      <c r="J326" s="6">
        <v>155</v>
      </c>
      <c r="K326" s="6">
        <v>155</v>
      </c>
      <c r="L326" s="6">
        <v>0</v>
      </c>
      <c r="M326" s="6">
        <v>0</v>
      </c>
      <c r="N326" s="6">
        <v>0</v>
      </c>
      <c r="O326" s="6">
        <v>0</v>
      </c>
      <c r="P326" s="6">
        <v>1</v>
      </c>
      <c r="Q326" s="4" t="s">
        <v>26</v>
      </c>
      <c r="R326" s="4">
        <v>0</v>
      </c>
      <c r="S326" s="6">
        <v>18</v>
      </c>
      <c r="T326" s="6">
        <v>0</v>
      </c>
      <c r="U326" s="6">
        <v>0</v>
      </c>
      <c r="V326" s="6">
        <f>IF(ISERROR(VLOOKUP($S$326,'TAR FIN'!$A$1:$O$93,15,0)),0,VLOOKUP($S$326,'TAR FIN'!$A$1:$O$93,15,0))</f>
        <v>26.17</v>
      </c>
      <c r="W326" s="6">
        <f>IF(ISERROR(VLOOKUP($T$326,'TAR FIN'!$A$1:$O$93,15,0)),0,VLOOKUP($T$326,'TAR FIN'!$A$1:$O$93,15,0))</f>
        <v>0</v>
      </c>
      <c r="X326" s="6">
        <f>IF(ISERROR(VLOOKUP($U$326,'TAR FIN'!$A$1:$O$93,15,0)),0,VLOOKUP($U$326,'TAR FIN'!$A$1:$O$93,15,0))</f>
        <v>0</v>
      </c>
      <c r="Y326" s="6">
        <f ca="1">('TUSD BE'!$AM$14+'TUSD BF'!$AM$14+'TUSD CVA'!$AM$14)*1</f>
        <v>30.453482365333407</v>
      </c>
      <c r="Z326" s="6"/>
      <c r="AA326" s="6"/>
      <c r="AB326" s="6">
        <f>$K$326*$V$326</f>
        <v>4056.3500000000004</v>
      </c>
      <c r="AC326" s="6">
        <f>$M$326*$W$326</f>
        <v>0</v>
      </c>
      <c r="AD326" s="6">
        <f>$O$326*$X$326</f>
        <v>0</v>
      </c>
      <c r="AE326" s="6">
        <f ca="1">$K$326*$Y$326</f>
        <v>4720.2897666266781</v>
      </c>
      <c r="AF326" s="6">
        <f>$M$326*$Z$326</f>
        <v>0</v>
      </c>
      <c r="AG326" s="6">
        <f>$O$326*$AA$326</f>
        <v>0</v>
      </c>
    </row>
    <row r="327" spans="1:33" ht="11.25" customHeight="1" x14ac:dyDescent="0.25">
      <c r="A327" s="4" t="s">
        <v>21</v>
      </c>
      <c r="B327" s="4" t="s">
        <v>35</v>
      </c>
      <c r="C327" s="4" t="s">
        <v>39</v>
      </c>
      <c r="D327" s="4" t="s">
        <v>49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44470</v>
      </c>
      <c r="J327" s="6">
        <v>155</v>
      </c>
      <c r="K327" s="6">
        <v>155</v>
      </c>
      <c r="L327" s="6">
        <v>0</v>
      </c>
      <c r="M327" s="6">
        <v>0</v>
      </c>
      <c r="N327" s="6">
        <v>0</v>
      </c>
      <c r="O327" s="6">
        <v>0</v>
      </c>
      <c r="P327" s="6">
        <v>1</v>
      </c>
      <c r="Q327" s="4" t="s">
        <v>26</v>
      </c>
      <c r="R327" s="4">
        <v>0</v>
      </c>
      <c r="S327" s="6">
        <v>18</v>
      </c>
      <c r="T327" s="6">
        <v>0</v>
      </c>
      <c r="U327" s="6">
        <v>0</v>
      </c>
      <c r="V327" s="6">
        <f>IF(ISERROR(VLOOKUP($S$327,'TAR FIN'!$A$1:$O$93,15,0)),0,VLOOKUP($S$327,'TAR FIN'!$A$1:$O$93,15,0))</f>
        <v>26.17</v>
      </c>
      <c r="W327" s="6">
        <f>IF(ISERROR(VLOOKUP($T$327,'TAR FIN'!$A$1:$O$93,15,0)),0,VLOOKUP($T$327,'TAR FIN'!$A$1:$O$93,15,0))</f>
        <v>0</v>
      </c>
      <c r="X327" s="6">
        <f>IF(ISERROR(VLOOKUP($U$327,'TAR FIN'!$A$1:$O$93,15,0)),0,VLOOKUP($U$327,'TAR FIN'!$A$1:$O$93,15,0))</f>
        <v>0</v>
      </c>
      <c r="Y327" s="6">
        <f ca="1">('TUSD BE'!$AM$14+'TUSD BF'!$AM$14+'TUSD CVA'!$AM$14)*1</f>
        <v>30.453482365333407</v>
      </c>
      <c r="Z327" s="6"/>
      <c r="AA327" s="6"/>
      <c r="AB327" s="6">
        <f>$K$327*$V$327</f>
        <v>4056.3500000000004</v>
      </c>
      <c r="AC327" s="6">
        <f>$M$327*$W$327</f>
        <v>0</v>
      </c>
      <c r="AD327" s="6">
        <f>$O$327*$X$327</f>
        <v>0</v>
      </c>
      <c r="AE327" s="6">
        <f ca="1">$K$327*$Y$327</f>
        <v>4720.2897666266781</v>
      </c>
      <c r="AF327" s="6">
        <f>$M$327*$Z$327</f>
        <v>0</v>
      </c>
      <c r="AG327" s="6">
        <f>$O$327*$AA$327</f>
        <v>0</v>
      </c>
    </row>
    <row r="328" spans="1:33" ht="11.25" customHeight="1" x14ac:dyDescent="0.25">
      <c r="A328" s="4" t="s">
        <v>21</v>
      </c>
      <c r="B328" s="4" t="s">
        <v>35</v>
      </c>
      <c r="C328" s="4" t="s">
        <v>39</v>
      </c>
      <c r="D328" s="4" t="s">
        <v>49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44501</v>
      </c>
      <c r="J328" s="6">
        <v>310</v>
      </c>
      <c r="K328" s="6">
        <v>310</v>
      </c>
      <c r="L328" s="6">
        <v>0</v>
      </c>
      <c r="M328" s="6">
        <v>0</v>
      </c>
      <c r="N328" s="6">
        <v>0</v>
      </c>
      <c r="O328" s="6">
        <v>0</v>
      </c>
      <c r="P328" s="6">
        <v>2</v>
      </c>
      <c r="Q328" s="4" t="s">
        <v>26</v>
      </c>
      <c r="R328" s="4">
        <v>0</v>
      </c>
      <c r="S328" s="6">
        <v>18</v>
      </c>
      <c r="T328" s="6">
        <v>0</v>
      </c>
      <c r="U328" s="6">
        <v>0</v>
      </c>
      <c r="V328" s="6">
        <f>IF(ISERROR(VLOOKUP($S$328,'TAR FIN'!$A$1:$O$93,15,0)),0,VLOOKUP($S$328,'TAR FIN'!$A$1:$O$93,15,0))</f>
        <v>26.17</v>
      </c>
      <c r="W328" s="6">
        <f>IF(ISERROR(VLOOKUP($T$328,'TAR FIN'!$A$1:$O$93,15,0)),0,VLOOKUP($T$328,'TAR FIN'!$A$1:$O$93,15,0))</f>
        <v>0</v>
      </c>
      <c r="X328" s="6">
        <f>IF(ISERROR(VLOOKUP($U$328,'TAR FIN'!$A$1:$O$93,15,0)),0,VLOOKUP($U$328,'TAR FIN'!$A$1:$O$93,15,0))</f>
        <v>0</v>
      </c>
      <c r="Y328" s="6">
        <f ca="1">('TUSD BE'!$AM$14+'TUSD BF'!$AM$14+'TUSD CVA'!$AM$14)*1</f>
        <v>30.453482365333407</v>
      </c>
      <c r="Z328" s="6"/>
      <c r="AA328" s="6"/>
      <c r="AB328" s="6">
        <f>$K$328*$V$328</f>
        <v>8112.7000000000007</v>
      </c>
      <c r="AC328" s="6">
        <f>$M$328*$W$328</f>
        <v>0</v>
      </c>
      <c r="AD328" s="6">
        <f>$O$328*$X$328</f>
        <v>0</v>
      </c>
      <c r="AE328" s="6">
        <f ca="1">$K$328*$Y$328</f>
        <v>9440.5795332533562</v>
      </c>
      <c r="AF328" s="6">
        <f>$M$328*$Z$328</f>
        <v>0</v>
      </c>
      <c r="AG328" s="6">
        <f>$O$328*$AA$328</f>
        <v>0</v>
      </c>
    </row>
    <row r="329" spans="1:33" ht="11.25" customHeight="1" x14ac:dyDescent="0.25">
      <c r="A329" s="4" t="s">
        <v>27</v>
      </c>
      <c r="B329" s="4" t="s">
        <v>35</v>
      </c>
      <c r="C329" s="4" t="s">
        <v>39</v>
      </c>
      <c r="D329" s="4" t="s">
        <v>49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44501</v>
      </c>
      <c r="J329" s="6">
        <v>-155</v>
      </c>
      <c r="K329" s="6">
        <v>-155</v>
      </c>
      <c r="L329" s="6">
        <v>0</v>
      </c>
      <c r="M329" s="6">
        <v>0</v>
      </c>
      <c r="N329" s="6">
        <v>0</v>
      </c>
      <c r="O329" s="6">
        <v>0</v>
      </c>
      <c r="P329" s="6">
        <v>-1</v>
      </c>
      <c r="Q329" s="4" t="s">
        <v>26</v>
      </c>
      <c r="R329" s="4">
        <v>0</v>
      </c>
      <c r="S329" s="6">
        <v>18</v>
      </c>
      <c r="T329" s="6">
        <v>0</v>
      </c>
      <c r="U329" s="6">
        <v>0</v>
      </c>
      <c r="V329" s="6">
        <f>IF(ISERROR(VLOOKUP($S$329,'TAR FIN'!$A$1:$O$93,15,0)),0,VLOOKUP($S$329,'TAR FIN'!$A$1:$O$93,15,0))</f>
        <v>26.17</v>
      </c>
      <c r="W329" s="6">
        <f>IF(ISERROR(VLOOKUP($T$329,'TAR FIN'!$A$1:$O$93,15,0)),0,VLOOKUP($T$329,'TAR FIN'!$A$1:$O$93,15,0))</f>
        <v>0</v>
      </c>
      <c r="X329" s="6">
        <f>IF(ISERROR(VLOOKUP($U$329,'TAR FIN'!$A$1:$O$93,15,0)),0,VLOOKUP($U$329,'TAR FIN'!$A$1:$O$93,15,0))</f>
        <v>0</v>
      </c>
      <c r="Y329" s="6">
        <f ca="1">('TUSD BE'!$AM$14+'TUSD BF'!$AM$14+'TUSD CVA'!$AM$14)*1</f>
        <v>30.453482365333407</v>
      </c>
      <c r="Z329" s="6"/>
      <c r="AA329" s="6"/>
      <c r="AB329" s="6">
        <f>$K$329*$V$329</f>
        <v>-4056.3500000000004</v>
      </c>
      <c r="AC329" s="6">
        <f>$M$329*$W$329</f>
        <v>0</v>
      </c>
      <c r="AD329" s="6">
        <f>$O$329*$X$329</f>
        <v>0</v>
      </c>
      <c r="AE329" s="6">
        <f ca="1">$K$329*$Y$329</f>
        <v>-4720.2897666266781</v>
      </c>
      <c r="AF329" s="6">
        <f>$M$329*$Z$329</f>
        <v>0</v>
      </c>
      <c r="AG329" s="6">
        <f>$O$329*$AA$329</f>
        <v>0</v>
      </c>
    </row>
    <row r="330" spans="1:33" ht="11.25" customHeight="1" x14ac:dyDescent="0.25">
      <c r="A330" s="4" t="s">
        <v>21</v>
      </c>
      <c r="B330" s="4" t="s">
        <v>35</v>
      </c>
      <c r="C330" s="4" t="s">
        <v>39</v>
      </c>
      <c r="D330" s="4" t="s">
        <v>49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44531</v>
      </c>
      <c r="J330" s="6">
        <v>155</v>
      </c>
      <c r="K330" s="6">
        <v>155</v>
      </c>
      <c r="L330" s="6">
        <v>0</v>
      </c>
      <c r="M330" s="6">
        <v>0</v>
      </c>
      <c r="N330" s="6">
        <v>0</v>
      </c>
      <c r="O330" s="6">
        <v>0</v>
      </c>
      <c r="P330" s="6">
        <v>1</v>
      </c>
      <c r="Q330" s="4" t="s">
        <v>26</v>
      </c>
      <c r="R330" s="4">
        <v>0</v>
      </c>
      <c r="S330" s="6">
        <v>18</v>
      </c>
      <c r="T330" s="6">
        <v>0</v>
      </c>
      <c r="U330" s="6">
        <v>0</v>
      </c>
      <c r="V330" s="6">
        <f>IF(ISERROR(VLOOKUP($S$330,'TAR FIN'!$A$1:$O$93,15,0)),0,VLOOKUP($S$330,'TAR FIN'!$A$1:$O$93,15,0))</f>
        <v>26.17</v>
      </c>
      <c r="W330" s="6">
        <f>IF(ISERROR(VLOOKUP($T$330,'TAR FIN'!$A$1:$O$93,15,0)),0,VLOOKUP($T$330,'TAR FIN'!$A$1:$O$93,15,0))</f>
        <v>0</v>
      </c>
      <c r="X330" s="6">
        <f>IF(ISERROR(VLOOKUP($U$330,'TAR FIN'!$A$1:$O$93,15,0)),0,VLOOKUP($U$330,'TAR FIN'!$A$1:$O$93,15,0))</f>
        <v>0</v>
      </c>
      <c r="Y330" s="6">
        <f ca="1">('TUSD BE'!$AM$14+'TUSD BF'!$AM$14+'TUSD CVA'!$AM$14)*1</f>
        <v>30.453482365333407</v>
      </c>
      <c r="Z330" s="6"/>
      <c r="AA330" s="6"/>
      <c r="AB330" s="6">
        <f>$K$330*$V$330</f>
        <v>4056.3500000000004</v>
      </c>
      <c r="AC330" s="6">
        <f>$M$330*$W$330</f>
        <v>0</v>
      </c>
      <c r="AD330" s="6">
        <f>$O$330*$X$330</f>
        <v>0</v>
      </c>
      <c r="AE330" s="6">
        <f ca="1">$K$330*$Y$330</f>
        <v>4720.2897666266781</v>
      </c>
      <c r="AF330" s="6">
        <f>$M$330*$Z$330</f>
        <v>0</v>
      </c>
      <c r="AG330" s="6">
        <f>$O$330*$AA$330</f>
        <v>0</v>
      </c>
    </row>
    <row r="331" spans="1:33" ht="11.25" customHeight="1" x14ac:dyDescent="0.25">
      <c r="A331" s="4" t="s">
        <v>21</v>
      </c>
      <c r="B331" s="4" t="s">
        <v>35</v>
      </c>
      <c r="C331" s="4" t="s">
        <v>39</v>
      </c>
      <c r="D331" s="4" t="s">
        <v>49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44562</v>
      </c>
      <c r="J331" s="6">
        <v>155</v>
      </c>
      <c r="K331" s="6">
        <v>155</v>
      </c>
      <c r="L331" s="6">
        <v>0</v>
      </c>
      <c r="M331" s="6">
        <v>0</v>
      </c>
      <c r="N331" s="6">
        <v>0</v>
      </c>
      <c r="O331" s="6">
        <v>0</v>
      </c>
      <c r="P331" s="6">
        <v>1</v>
      </c>
      <c r="Q331" s="4" t="s">
        <v>26</v>
      </c>
      <c r="R331" s="4">
        <v>0</v>
      </c>
      <c r="S331" s="6">
        <v>18</v>
      </c>
      <c r="T331" s="6">
        <v>0</v>
      </c>
      <c r="U331" s="6">
        <v>0</v>
      </c>
      <c r="V331" s="6">
        <f>IF(ISERROR(VLOOKUP($S$331,'TAR FIN'!$A$1:$O$93,15,0)),0,VLOOKUP($S$331,'TAR FIN'!$A$1:$O$93,15,0))</f>
        <v>26.17</v>
      </c>
      <c r="W331" s="6">
        <f>IF(ISERROR(VLOOKUP($T$331,'TAR FIN'!$A$1:$O$93,15,0)),0,VLOOKUP($T$331,'TAR FIN'!$A$1:$O$93,15,0))</f>
        <v>0</v>
      </c>
      <c r="X331" s="6">
        <f>IF(ISERROR(VLOOKUP($U$331,'TAR FIN'!$A$1:$O$93,15,0)),0,VLOOKUP($U$331,'TAR FIN'!$A$1:$O$93,15,0))</f>
        <v>0</v>
      </c>
      <c r="Y331" s="6">
        <f ca="1">('TUSD BE'!$AM$14+'TUSD BF'!$AM$14+'TUSD CVA'!$AM$14)*1</f>
        <v>30.453482365333407</v>
      </c>
      <c r="Z331" s="6"/>
      <c r="AA331" s="6"/>
      <c r="AB331" s="6">
        <f>$K$331*$V$331</f>
        <v>4056.3500000000004</v>
      </c>
      <c r="AC331" s="6">
        <f>$M$331*$W$331</f>
        <v>0</v>
      </c>
      <c r="AD331" s="6">
        <f>$O$331*$X$331</f>
        <v>0</v>
      </c>
      <c r="AE331" s="6">
        <f ca="1">$K$331*$Y$331</f>
        <v>4720.2897666266781</v>
      </c>
      <c r="AF331" s="6">
        <f>$M$331*$Z$331</f>
        <v>0</v>
      </c>
      <c r="AG331" s="6">
        <f>$O$331*$AA$331</f>
        <v>0</v>
      </c>
    </row>
    <row r="332" spans="1:33" ht="11.25" customHeight="1" x14ac:dyDescent="0.25">
      <c r="A332" s="4" t="s">
        <v>21</v>
      </c>
      <c r="B332" s="4" t="s">
        <v>35</v>
      </c>
      <c r="C332" s="4" t="s">
        <v>39</v>
      </c>
      <c r="D332" s="4" t="s">
        <v>49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44593</v>
      </c>
      <c r="J332" s="6">
        <v>310</v>
      </c>
      <c r="K332" s="6">
        <v>310</v>
      </c>
      <c r="L332" s="6">
        <v>0</v>
      </c>
      <c r="M332" s="6">
        <v>0</v>
      </c>
      <c r="N332" s="6">
        <v>0</v>
      </c>
      <c r="O332" s="6">
        <v>0</v>
      </c>
      <c r="P332" s="6">
        <v>2</v>
      </c>
      <c r="Q332" s="4" t="s">
        <v>26</v>
      </c>
      <c r="R332" s="4">
        <v>0</v>
      </c>
      <c r="S332" s="6">
        <v>18</v>
      </c>
      <c r="T332" s="6">
        <v>0</v>
      </c>
      <c r="U332" s="6">
        <v>0</v>
      </c>
      <c r="V332" s="6">
        <f>IF(ISERROR(VLOOKUP($S$332,'TAR FIN'!$A$1:$O$93,15,0)),0,VLOOKUP($S$332,'TAR FIN'!$A$1:$O$93,15,0))</f>
        <v>26.17</v>
      </c>
      <c r="W332" s="6">
        <f>IF(ISERROR(VLOOKUP($T$332,'TAR FIN'!$A$1:$O$93,15,0)),0,VLOOKUP($T$332,'TAR FIN'!$A$1:$O$93,15,0))</f>
        <v>0</v>
      </c>
      <c r="X332" s="6">
        <f>IF(ISERROR(VLOOKUP($U$332,'TAR FIN'!$A$1:$O$93,15,0)),0,VLOOKUP($U$332,'TAR FIN'!$A$1:$O$93,15,0))</f>
        <v>0</v>
      </c>
      <c r="Y332" s="6">
        <f ca="1">('TUSD BE'!$AM$14+'TUSD BF'!$AM$14+'TUSD CVA'!$AM$14)*1</f>
        <v>30.453482365333407</v>
      </c>
      <c r="Z332" s="6"/>
      <c r="AA332" s="6"/>
      <c r="AB332" s="6">
        <f>$K$332*$V$332</f>
        <v>8112.7000000000007</v>
      </c>
      <c r="AC332" s="6">
        <f>$M$332*$W$332</f>
        <v>0</v>
      </c>
      <c r="AD332" s="6">
        <f>$O$332*$X$332</f>
        <v>0</v>
      </c>
      <c r="AE332" s="6">
        <f ca="1">$K$332*$Y$332</f>
        <v>9440.5795332533562</v>
      </c>
      <c r="AF332" s="6">
        <f>$M$332*$Z$332</f>
        <v>0</v>
      </c>
      <c r="AG332" s="6">
        <f>$O$332*$AA$332</f>
        <v>0</v>
      </c>
    </row>
    <row r="333" spans="1:33" ht="11.25" customHeight="1" x14ac:dyDescent="0.25">
      <c r="A333" s="4" t="s">
        <v>27</v>
      </c>
      <c r="B333" s="4" t="s">
        <v>35</v>
      </c>
      <c r="C333" s="4" t="s">
        <v>39</v>
      </c>
      <c r="D333" s="4" t="s">
        <v>49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44593</v>
      </c>
      <c r="J333" s="6">
        <v>-155</v>
      </c>
      <c r="K333" s="6">
        <v>-155</v>
      </c>
      <c r="L333" s="6">
        <v>0</v>
      </c>
      <c r="M333" s="6">
        <v>0</v>
      </c>
      <c r="N333" s="6">
        <v>0</v>
      </c>
      <c r="O333" s="6">
        <v>0</v>
      </c>
      <c r="P333" s="6">
        <v>-1</v>
      </c>
      <c r="Q333" s="4" t="s">
        <v>26</v>
      </c>
      <c r="R333" s="4">
        <v>0</v>
      </c>
      <c r="S333" s="6">
        <v>18</v>
      </c>
      <c r="T333" s="6">
        <v>0</v>
      </c>
      <c r="U333" s="6">
        <v>0</v>
      </c>
      <c r="V333" s="6">
        <f>IF(ISERROR(VLOOKUP($S$333,'TAR FIN'!$A$1:$O$93,15,0)),0,VLOOKUP($S$333,'TAR FIN'!$A$1:$O$93,15,0))</f>
        <v>26.17</v>
      </c>
      <c r="W333" s="6">
        <f>IF(ISERROR(VLOOKUP($T$333,'TAR FIN'!$A$1:$O$93,15,0)),0,VLOOKUP($T$333,'TAR FIN'!$A$1:$O$93,15,0))</f>
        <v>0</v>
      </c>
      <c r="X333" s="6">
        <f>IF(ISERROR(VLOOKUP($U$333,'TAR FIN'!$A$1:$O$93,15,0)),0,VLOOKUP($U$333,'TAR FIN'!$A$1:$O$93,15,0))</f>
        <v>0</v>
      </c>
      <c r="Y333" s="6">
        <f ca="1">('TUSD BE'!$AM$14+'TUSD BF'!$AM$14+'TUSD CVA'!$AM$14)*1</f>
        <v>30.453482365333407</v>
      </c>
      <c r="Z333" s="6"/>
      <c r="AA333" s="6"/>
      <c r="AB333" s="6">
        <f>$K$333*$V$333</f>
        <v>-4056.3500000000004</v>
      </c>
      <c r="AC333" s="6">
        <f>$M$333*$W$333</f>
        <v>0</v>
      </c>
      <c r="AD333" s="6">
        <f>$O$333*$X$333</f>
        <v>0</v>
      </c>
      <c r="AE333" s="6">
        <f ca="1">$K$333*$Y$333</f>
        <v>-4720.2897666266781</v>
      </c>
      <c r="AF333" s="6">
        <f>$M$333*$Z$333</f>
        <v>0</v>
      </c>
      <c r="AG333" s="6">
        <f>$O$333*$AA$333</f>
        <v>0</v>
      </c>
    </row>
    <row r="334" spans="1:33" ht="11.25" customHeight="1" x14ac:dyDescent="0.25">
      <c r="A334" s="4" t="s">
        <v>21</v>
      </c>
      <c r="B334" s="4" t="s">
        <v>35</v>
      </c>
      <c r="C334" s="4" t="s">
        <v>39</v>
      </c>
      <c r="D334" s="4" t="s">
        <v>49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44621</v>
      </c>
      <c r="J334" s="6">
        <v>310</v>
      </c>
      <c r="K334" s="6">
        <v>310</v>
      </c>
      <c r="L334" s="6">
        <v>0</v>
      </c>
      <c r="M334" s="6">
        <v>0</v>
      </c>
      <c r="N334" s="6">
        <v>0</v>
      </c>
      <c r="O334" s="6">
        <v>0</v>
      </c>
      <c r="P334" s="6">
        <v>2</v>
      </c>
      <c r="Q334" s="4" t="s">
        <v>26</v>
      </c>
      <c r="R334" s="4">
        <v>0</v>
      </c>
      <c r="S334" s="6">
        <v>18</v>
      </c>
      <c r="T334" s="6">
        <v>0</v>
      </c>
      <c r="U334" s="6">
        <v>0</v>
      </c>
      <c r="V334" s="6">
        <f>IF(ISERROR(VLOOKUP($S$334,'TAR FIN'!$A$1:$O$93,15,0)),0,VLOOKUP($S$334,'TAR FIN'!$A$1:$O$93,15,0))</f>
        <v>26.17</v>
      </c>
      <c r="W334" s="6">
        <f>IF(ISERROR(VLOOKUP($T$334,'TAR FIN'!$A$1:$O$93,15,0)),0,VLOOKUP($T$334,'TAR FIN'!$A$1:$O$93,15,0))</f>
        <v>0</v>
      </c>
      <c r="X334" s="6">
        <f>IF(ISERROR(VLOOKUP($U$334,'TAR FIN'!$A$1:$O$93,15,0)),0,VLOOKUP($U$334,'TAR FIN'!$A$1:$O$93,15,0))</f>
        <v>0</v>
      </c>
      <c r="Y334" s="6">
        <f ca="1">('TUSD BE'!$AM$14+'TUSD BF'!$AM$14+'TUSD CVA'!$AM$14)*1</f>
        <v>30.453482365333407</v>
      </c>
      <c r="Z334" s="6"/>
      <c r="AA334" s="6"/>
      <c r="AB334" s="6">
        <f>$K$334*$V$334</f>
        <v>8112.7000000000007</v>
      </c>
      <c r="AC334" s="6">
        <f>$M$334*$W$334</f>
        <v>0</v>
      </c>
      <c r="AD334" s="6">
        <f>$O$334*$X$334</f>
        <v>0</v>
      </c>
      <c r="AE334" s="6">
        <f ca="1">$K$334*$Y$334</f>
        <v>9440.5795332533562</v>
      </c>
      <c r="AF334" s="6">
        <f>$M$334*$Z$334</f>
        <v>0</v>
      </c>
      <c r="AG334" s="6">
        <f>$O$334*$AA$334</f>
        <v>0</v>
      </c>
    </row>
    <row r="335" spans="1:33" ht="11.25" customHeight="1" x14ac:dyDescent="0.25">
      <c r="A335" s="4" t="s">
        <v>27</v>
      </c>
      <c r="B335" s="4" t="s">
        <v>35</v>
      </c>
      <c r="C335" s="4" t="s">
        <v>39</v>
      </c>
      <c r="D335" s="4" t="s">
        <v>49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44621</v>
      </c>
      <c r="J335" s="6">
        <v>-155</v>
      </c>
      <c r="K335" s="6">
        <v>-155</v>
      </c>
      <c r="L335" s="6">
        <v>0</v>
      </c>
      <c r="M335" s="6">
        <v>0</v>
      </c>
      <c r="N335" s="6">
        <v>0</v>
      </c>
      <c r="O335" s="6">
        <v>0</v>
      </c>
      <c r="P335" s="6">
        <v>-1</v>
      </c>
      <c r="Q335" s="4" t="s">
        <v>26</v>
      </c>
      <c r="R335" s="4">
        <v>0</v>
      </c>
      <c r="S335" s="6">
        <v>18</v>
      </c>
      <c r="T335" s="6">
        <v>0</v>
      </c>
      <c r="U335" s="6">
        <v>0</v>
      </c>
      <c r="V335" s="6">
        <f>IF(ISERROR(VLOOKUP($S$335,'TAR FIN'!$A$1:$O$93,15,0)),0,VLOOKUP($S$335,'TAR FIN'!$A$1:$O$93,15,0))</f>
        <v>26.17</v>
      </c>
      <c r="W335" s="6">
        <f>IF(ISERROR(VLOOKUP($T$335,'TAR FIN'!$A$1:$O$93,15,0)),0,VLOOKUP($T$335,'TAR FIN'!$A$1:$O$93,15,0))</f>
        <v>0</v>
      </c>
      <c r="X335" s="6">
        <f>IF(ISERROR(VLOOKUP($U$335,'TAR FIN'!$A$1:$O$93,15,0)),0,VLOOKUP($U$335,'TAR FIN'!$A$1:$O$93,15,0))</f>
        <v>0</v>
      </c>
      <c r="Y335" s="6">
        <f ca="1">('TUSD BE'!$AM$14+'TUSD BF'!$AM$14+'TUSD CVA'!$AM$14)*1</f>
        <v>30.453482365333407</v>
      </c>
      <c r="Z335" s="6"/>
      <c r="AA335" s="6"/>
      <c r="AB335" s="6">
        <f>$K$335*$V$335</f>
        <v>-4056.3500000000004</v>
      </c>
      <c r="AC335" s="6">
        <f>$M$335*$W$335</f>
        <v>0</v>
      </c>
      <c r="AD335" s="6">
        <f>$O$335*$X$335</f>
        <v>0</v>
      </c>
      <c r="AE335" s="6">
        <f ca="1">$K$335*$Y$335</f>
        <v>-4720.2897666266781</v>
      </c>
      <c r="AF335" s="6">
        <f>$M$335*$Z$335</f>
        <v>0</v>
      </c>
      <c r="AG335" s="6">
        <f>$O$335*$AA$335</f>
        <v>0</v>
      </c>
    </row>
    <row r="336" spans="1:33" ht="11.25" customHeight="1" x14ac:dyDescent="0.25">
      <c r="A336" s="4" t="s">
        <v>21</v>
      </c>
      <c r="B336" s="4" t="s">
        <v>35</v>
      </c>
      <c r="C336" s="4" t="s">
        <v>39</v>
      </c>
      <c r="D336" s="4" t="s">
        <v>49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44652</v>
      </c>
      <c r="J336" s="6">
        <v>155</v>
      </c>
      <c r="K336" s="6">
        <v>155</v>
      </c>
      <c r="L336" s="6">
        <v>0</v>
      </c>
      <c r="M336" s="6">
        <v>0</v>
      </c>
      <c r="N336" s="6">
        <v>0</v>
      </c>
      <c r="O336" s="6">
        <v>0</v>
      </c>
      <c r="P336" s="6">
        <v>1</v>
      </c>
      <c r="Q336" s="4" t="s">
        <v>26</v>
      </c>
      <c r="R336" s="4">
        <v>0</v>
      </c>
      <c r="S336" s="6">
        <v>18</v>
      </c>
      <c r="T336" s="6">
        <v>0</v>
      </c>
      <c r="U336" s="6">
        <v>0</v>
      </c>
      <c r="V336" s="6">
        <f>IF(ISERROR(VLOOKUP($S$336,'TAR FIN'!$A$1:$O$93,15,0)),0,VLOOKUP($S$336,'TAR FIN'!$A$1:$O$93,15,0))</f>
        <v>26.17</v>
      </c>
      <c r="W336" s="6">
        <f>IF(ISERROR(VLOOKUP($T$336,'TAR FIN'!$A$1:$O$93,15,0)),0,VLOOKUP($T$336,'TAR FIN'!$A$1:$O$93,15,0))</f>
        <v>0</v>
      </c>
      <c r="X336" s="6">
        <f>IF(ISERROR(VLOOKUP($U$336,'TAR FIN'!$A$1:$O$93,15,0)),0,VLOOKUP($U$336,'TAR FIN'!$A$1:$O$93,15,0))</f>
        <v>0</v>
      </c>
      <c r="Y336" s="6">
        <f ca="1">('TUSD BE'!$AM$14+'TUSD BF'!$AM$14+'TUSD CVA'!$AM$14)*1</f>
        <v>30.453482365333407</v>
      </c>
      <c r="Z336" s="6"/>
      <c r="AA336" s="6"/>
      <c r="AB336" s="6">
        <f>$K$336*$V$336</f>
        <v>4056.3500000000004</v>
      </c>
      <c r="AC336" s="6">
        <f>$M$336*$W$336</f>
        <v>0</v>
      </c>
      <c r="AD336" s="6">
        <f>$O$336*$X$336</f>
        <v>0</v>
      </c>
      <c r="AE336" s="6">
        <f ca="1">$K$336*$Y$336</f>
        <v>4720.2897666266781</v>
      </c>
      <c r="AF336" s="6">
        <f>$M$336*$Z$336</f>
        <v>0</v>
      </c>
      <c r="AG336" s="6">
        <f>$O$336*$AA$336</f>
        <v>0</v>
      </c>
    </row>
    <row r="337" spans="1:33" ht="11.25" customHeight="1" x14ac:dyDescent="0.25">
      <c r="A337" s="4" t="s">
        <v>21</v>
      </c>
      <c r="B337" s="4" t="s">
        <v>35</v>
      </c>
      <c r="C337" s="4" t="s">
        <v>39</v>
      </c>
      <c r="D337" s="4" t="s">
        <v>49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44682</v>
      </c>
      <c r="J337" s="6">
        <v>155</v>
      </c>
      <c r="K337" s="6">
        <v>155</v>
      </c>
      <c r="L337" s="6">
        <v>0</v>
      </c>
      <c r="M337" s="6">
        <v>0</v>
      </c>
      <c r="N337" s="6">
        <v>0</v>
      </c>
      <c r="O337" s="6">
        <v>0</v>
      </c>
      <c r="P337" s="6">
        <v>1</v>
      </c>
      <c r="Q337" s="4" t="s">
        <v>26</v>
      </c>
      <c r="R337" s="4">
        <v>0</v>
      </c>
      <c r="S337" s="6">
        <v>18</v>
      </c>
      <c r="T337" s="6">
        <v>0</v>
      </c>
      <c r="U337" s="6">
        <v>0</v>
      </c>
      <c r="V337" s="6">
        <f>IF(ISERROR(VLOOKUP($S$337,'TAR FIN'!$A$1:$O$93,15,0)),0,VLOOKUP($S$337,'TAR FIN'!$A$1:$O$93,15,0))</f>
        <v>26.17</v>
      </c>
      <c r="W337" s="6">
        <f>IF(ISERROR(VLOOKUP($T$337,'TAR FIN'!$A$1:$O$93,15,0)),0,VLOOKUP($T$337,'TAR FIN'!$A$1:$O$93,15,0))</f>
        <v>0</v>
      </c>
      <c r="X337" s="6">
        <f>IF(ISERROR(VLOOKUP($U$337,'TAR FIN'!$A$1:$O$93,15,0)),0,VLOOKUP($U$337,'TAR FIN'!$A$1:$O$93,15,0))</f>
        <v>0</v>
      </c>
      <c r="Y337" s="6">
        <f ca="1">('TUSD BE'!$AM$14+'TUSD BF'!$AM$14+'TUSD CVA'!$AM$14)*1</f>
        <v>30.453482365333407</v>
      </c>
      <c r="Z337" s="6"/>
      <c r="AA337" s="6"/>
      <c r="AB337" s="6">
        <f>$K$337*$V$337</f>
        <v>4056.3500000000004</v>
      </c>
      <c r="AC337" s="6">
        <f>$M$337*$W$337</f>
        <v>0</v>
      </c>
      <c r="AD337" s="6">
        <f>$O$337*$X$337</f>
        <v>0</v>
      </c>
      <c r="AE337" s="6">
        <f ca="1">$K$337*$Y$337</f>
        <v>4720.2897666266781</v>
      </c>
      <c r="AF337" s="6">
        <f>$M$337*$Z$337</f>
        <v>0</v>
      </c>
      <c r="AG337" s="6">
        <f>$O$337*$AA$337</f>
        <v>0</v>
      </c>
    </row>
    <row r="338" spans="1:33" ht="11.25" customHeight="1" x14ac:dyDescent="0.25">
      <c r="A338" s="4" t="s">
        <v>21</v>
      </c>
      <c r="B338" s="4" t="s">
        <v>35</v>
      </c>
      <c r="C338" s="4" t="s">
        <v>39</v>
      </c>
      <c r="D338" s="4" t="s">
        <v>49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44713</v>
      </c>
      <c r="J338" s="6">
        <v>155</v>
      </c>
      <c r="K338" s="6">
        <v>155</v>
      </c>
      <c r="L338" s="6">
        <v>0</v>
      </c>
      <c r="M338" s="6">
        <v>0</v>
      </c>
      <c r="N338" s="6">
        <v>0</v>
      </c>
      <c r="O338" s="6">
        <v>0</v>
      </c>
      <c r="P338" s="6">
        <v>1</v>
      </c>
      <c r="Q338" s="4" t="s">
        <v>26</v>
      </c>
      <c r="R338" s="4">
        <v>0</v>
      </c>
      <c r="S338" s="6">
        <v>18</v>
      </c>
      <c r="T338" s="6">
        <v>0</v>
      </c>
      <c r="U338" s="6">
        <v>0</v>
      </c>
      <c r="V338" s="6">
        <f>IF(ISERROR(VLOOKUP($S$338,'TAR FIN'!$A$1:$O$93,15,0)),0,VLOOKUP($S$338,'TAR FIN'!$A$1:$O$93,15,0))</f>
        <v>26.17</v>
      </c>
      <c r="W338" s="6">
        <f>IF(ISERROR(VLOOKUP($T$338,'TAR FIN'!$A$1:$O$93,15,0)),0,VLOOKUP($T$338,'TAR FIN'!$A$1:$O$93,15,0))</f>
        <v>0</v>
      </c>
      <c r="X338" s="6">
        <f>IF(ISERROR(VLOOKUP($U$338,'TAR FIN'!$A$1:$O$93,15,0)),0,VLOOKUP($U$338,'TAR FIN'!$A$1:$O$93,15,0))</f>
        <v>0</v>
      </c>
      <c r="Y338" s="6">
        <f ca="1">('TUSD BE'!$AM$14+'TUSD BF'!$AM$14+'TUSD CVA'!$AM$14)*1</f>
        <v>30.453482365333407</v>
      </c>
      <c r="Z338" s="6"/>
      <c r="AA338" s="6"/>
      <c r="AB338" s="6">
        <f>$K$338*$V$338</f>
        <v>4056.3500000000004</v>
      </c>
      <c r="AC338" s="6">
        <f>$M$338*$W$338</f>
        <v>0</v>
      </c>
      <c r="AD338" s="6">
        <f>$O$338*$X$338</f>
        <v>0</v>
      </c>
      <c r="AE338" s="6">
        <f ca="1">$K$338*$Y$338</f>
        <v>4720.2897666266781</v>
      </c>
      <c r="AF338" s="6">
        <f>$M$338*$Z$338</f>
        <v>0</v>
      </c>
      <c r="AG338" s="6">
        <f>$O$338*$AA$338</f>
        <v>0</v>
      </c>
    </row>
    <row r="339" spans="1:33" ht="11.25" customHeight="1" x14ac:dyDescent="0.25">
      <c r="A339" s="4" t="s">
        <v>21</v>
      </c>
      <c r="B339" s="4" t="s">
        <v>35</v>
      </c>
      <c r="C339" s="4" t="s">
        <v>39</v>
      </c>
      <c r="D339" s="4" t="s">
        <v>49</v>
      </c>
      <c r="E339" s="4" t="s">
        <v>25</v>
      </c>
      <c r="F339" s="4" t="s">
        <v>25</v>
      </c>
      <c r="G339" s="4" t="s">
        <v>25</v>
      </c>
      <c r="H339" s="4" t="s">
        <v>37</v>
      </c>
      <c r="I339" s="5">
        <v>44378</v>
      </c>
      <c r="J339" s="6">
        <v>0</v>
      </c>
      <c r="K339" s="6">
        <v>0</v>
      </c>
      <c r="L339" s="6">
        <v>3.391</v>
      </c>
      <c r="M339" s="6">
        <v>3.391</v>
      </c>
      <c r="N339" s="6">
        <v>3.391</v>
      </c>
      <c r="O339" s="6">
        <v>3.391</v>
      </c>
      <c r="P339" s="6">
        <v>0</v>
      </c>
      <c r="Q339" s="4" t="s">
        <v>26</v>
      </c>
      <c r="R339" s="4">
        <v>0</v>
      </c>
      <c r="S339" s="6">
        <v>0</v>
      </c>
      <c r="T339" s="6">
        <v>12</v>
      </c>
      <c r="U339" s="6">
        <v>66</v>
      </c>
      <c r="V339" s="6">
        <f>IF(ISERROR(VLOOKUP($S$339,'TAR FIN'!$A$1:$O$93,15,0)),0,VLOOKUP($S$339,'TAR FIN'!$A$1:$O$93,15,0))</f>
        <v>0</v>
      </c>
      <c r="W339" s="6">
        <f>IF(ISERROR(VLOOKUP($T$339,'TAR FIN'!$A$1:$O$93,15,0)),0,VLOOKUP($T$339,'TAR FIN'!$A$1:$O$93,15,0))</f>
        <v>1124.7</v>
      </c>
      <c r="X339" s="6">
        <f>IF(ISERROR(VLOOKUP($U$339,'TAR FIN'!$A$1:$O$93,15,0)),0,VLOOKUP($U$339,'TAR FIN'!$A$1:$O$93,15,0))</f>
        <v>185.18</v>
      </c>
      <c r="Y339" s="6"/>
      <c r="Z339" s="6">
        <f ca="1">('TUSD BE'!$AM$15+'TUSD BF'!$AM$15+'TUSD CVA'!$AM$15)*1</f>
        <v>1302.3659842076513</v>
      </c>
      <c r="AA339" s="6">
        <f>('TE BE'!$AB$7+'TE BF'!$AB$7+'TE CVA'!$AB$7)*1</f>
        <v>198.18194779658231</v>
      </c>
      <c r="AB339" s="6">
        <f>$K$339*$V$339</f>
        <v>0</v>
      </c>
      <c r="AC339" s="6">
        <f>$M$339*$W$339</f>
        <v>3813.8577</v>
      </c>
      <c r="AD339" s="6">
        <f>$O$339*$X$339</f>
        <v>627.94538</v>
      </c>
      <c r="AE339" s="6">
        <f>$K$339*$Y$339</f>
        <v>0</v>
      </c>
      <c r="AF339" s="6">
        <f ca="1">$M$339*$Z$339</f>
        <v>4416.323052448146</v>
      </c>
      <c r="AG339" s="6">
        <f>$O$339*$AA$339</f>
        <v>672.03498497821056</v>
      </c>
    </row>
    <row r="340" spans="1:33" ht="11.25" customHeight="1" x14ac:dyDescent="0.25">
      <c r="A340" s="4" t="s">
        <v>21</v>
      </c>
      <c r="B340" s="4" t="s">
        <v>35</v>
      </c>
      <c r="C340" s="4" t="s">
        <v>39</v>
      </c>
      <c r="D340" s="4" t="s">
        <v>49</v>
      </c>
      <c r="E340" s="4" t="s">
        <v>25</v>
      </c>
      <c r="F340" s="4" t="s">
        <v>25</v>
      </c>
      <c r="G340" s="4" t="s">
        <v>25</v>
      </c>
      <c r="H340" s="4" t="s">
        <v>37</v>
      </c>
      <c r="I340" s="5">
        <v>44409</v>
      </c>
      <c r="J340" s="6">
        <v>0</v>
      </c>
      <c r="K340" s="6">
        <v>0</v>
      </c>
      <c r="L340" s="6">
        <v>3.911</v>
      </c>
      <c r="M340" s="6">
        <v>3.911</v>
      </c>
      <c r="N340" s="6">
        <v>3.911</v>
      </c>
      <c r="O340" s="6">
        <v>3.911</v>
      </c>
      <c r="P340" s="6">
        <v>0</v>
      </c>
      <c r="Q340" s="4" t="s">
        <v>26</v>
      </c>
      <c r="R340" s="4">
        <v>0</v>
      </c>
      <c r="S340" s="6">
        <v>0</v>
      </c>
      <c r="T340" s="6">
        <v>12</v>
      </c>
      <c r="U340" s="6">
        <v>66</v>
      </c>
      <c r="V340" s="6">
        <f>IF(ISERROR(VLOOKUP($S$340,'TAR FIN'!$A$1:$O$93,15,0)),0,VLOOKUP($S$340,'TAR FIN'!$A$1:$O$93,15,0))</f>
        <v>0</v>
      </c>
      <c r="W340" s="6">
        <f>IF(ISERROR(VLOOKUP($T$340,'TAR FIN'!$A$1:$O$93,15,0)),0,VLOOKUP($T$340,'TAR FIN'!$A$1:$O$93,15,0))</f>
        <v>1124.7</v>
      </c>
      <c r="X340" s="6">
        <f>IF(ISERROR(VLOOKUP($U$340,'TAR FIN'!$A$1:$O$93,15,0)),0,VLOOKUP($U$340,'TAR FIN'!$A$1:$O$93,15,0))</f>
        <v>185.18</v>
      </c>
      <c r="Y340" s="6"/>
      <c r="Z340" s="6">
        <f ca="1">('TUSD BE'!$AM$15+'TUSD BF'!$AM$15+'TUSD CVA'!$AM$15)*1</f>
        <v>1302.3659842076513</v>
      </c>
      <c r="AA340" s="6">
        <f>('TE BE'!$AB$7+'TE BF'!$AB$7+'TE CVA'!$AB$7)*1</f>
        <v>198.18194779658231</v>
      </c>
      <c r="AB340" s="6">
        <f>$K$340*$V$340</f>
        <v>0</v>
      </c>
      <c r="AC340" s="6">
        <f>$M$340*$W$340</f>
        <v>4398.7017000000005</v>
      </c>
      <c r="AD340" s="6">
        <f>$O$340*$X$340</f>
        <v>724.23898000000008</v>
      </c>
      <c r="AE340" s="6">
        <f>$K$340*$Y$340</f>
        <v>0</v>
      </c>
      <c r="AF340" s="6">
        <f ca="1">$M$340*$Z$340</f>
        <v>5093.5533642361243</v>
      </c>
      <c r="AG340" s="6">
        <f>$O$340*$AA$340</f>
        <v>775.08959783243336</v>
      </c>
    </row>
    <row r="341" spans="1:33" ht="11.25" customHeight="1" x14ac:dyDescent="0.25">
      <c r="A341" s="4" t="s">
        <v>21</v>
      </c>
      <c r="B341" s="4" t="s">
        <v>35</v>
      </c>
      <c r="C341" s="4" t="s">
        <v>39</v>
      </c>
      <c r="D341" s="4" t="s">
        <v>49</v>
      </c>
      <c r="E341" s="4" t="s">
        <v>25</v>
      </c>
      <c r="F341" s="4" t="s">
        <v>25</v>
      </c>
      <c r="G341" s="4" t="s">
        <v>25</v>
      </c>
      <c r="H341" s="4" t="s">
        <v>37</v>
      </c>
      <c r="I341" s="5">
        <v>44440</v>
      </c>
      <c r="J341" s="6">
        <v>0</v>
      </c>
      <c r="K341" s="6">
        <v>0</v>
      </c>
      <c r="L341" s="6">
        <v>3.9119999999999999</v>
      </c>
      <c r="M341" s="6">
        <v>3.9119999999999999</v>
      </c>
      <c r="N341" s="6">
        <v>3.9119999999999999</v>
      </c>
      <c r="O341" s="6">
        <v>3.9119999999999999</v>
      </c>
      <c r="P341" s="6">
        <v>0</v>
      </c>
      <c r="Q341" s="4" t="s">
        <v>26</v>
      </c>
      <c r="R341" s="4">
        <v>0</v>
      </c>
      <c r="S341" s="6">
        <v>0</v>
      </c>
      <c r="T341" s="6">
        <v>12</v>
      </c>
      <c r="U341" s="6">
        <v>66</v>
      </c>
      <c r="V341" s="6">
        <f>IF(ISERROR(VLOOKUP($S$341,'TAR FIN'!$A$1:$O$93,15,0)),0,VLOOKUP($S$341,'TAR FIN'!$A$1:$O$93,15,0))</f>
        <v>0</v>
      </c>
      <c r="W341" s="6">
        <f>IF(ISERROR(VLOOKUP($T$341,'TAR FIN'!$A$1:$O$93,15,0)),0,VLOOKUP($T$341,'TAR FIN'!$A$1:$O$93,15,0))</f>
        <v>1124.7</v>
      </c>
      <c r="X341" s="6">
        <f>IF(ISERROR(VLOOKUP($U$341,'TAR FIN'!$A$1:$O$93,15,0)),0,VLOOKUP($U$341,'TAR FIN'!$A$1:$O$93,15,0))</f>
        <v>185.18</v>
      </c>
      <c r="Y341" s="6"/>
      <c r="Z341" s="6">
        <f ca="1">('TUSD BE'!$AM$15+'TUSD BF'!$AM$15+'TUSD CVA'!$AM$15)*1</f>
        <v>1302.3659842076513</v>
      </c>
      <c r="AA341" s="6">
        <f>('TE BE'!$AB$7+'TE BF'!$AB$7+'TE CVA'!$AB$7)*1</f>
        <v>198.18194779658231</v>
      </c>
      <c r="AB341" s="6">
        <f>$K$341*$V$341</f>
        <v>0</v>
      </c>
      <c r="AC341" s="6">
        <f>$M$341*$W$341</f>
        <v>4399.8263999999999</v>
      </c>
      <c r="AD341" s="6">
        <f>$O$341*$X$341</f>
        <v>724.42416000000003</v>
      </c>
      <c r="AE341" s="6">
        <f>$K$341*$Y$341</f>
        <v>0</v>
      </c>
      <c r="AF341" s="6">
        <f ca="1">$M$341*$Z$341</f>
        <v>5094.8557302203317</v>
      </c>
      <c r="AG341" s="6">
        <f>$O$341*$AA$341</f>
        <v>775.28777978022993</v>
      </c>
    </row>
    <row r="342" spans="1:33" ht="11.25" customHeight="1" x14ac:dyDescent="0.25">
      <c r="A342" s="4" t="s">
        <v>21</v>
      </c>
      <c r="B342" s="4" t="s">
        <v>35</v>
      </c>
      <c r="C342" s="4" t="s">
        <v>39</v>
      </c>
      <c r="D342" s="4" t="s">
        <v>49</v>
      </c>
      <c r="E342" s="4" t="s">
        <v>25</v>
      </c>
      <c r="F342" s="4" t="s">
        <v>25</v>
      </c>
      <c r="G342" s="4" t="s">
        <v>25</v>
      </c>
      <c r="H342" s="4" t="s">
        <v>37</v>
      </c>
      <c r="I342" s="5">
        <v>44470</v>
      </c>
      <c r="J342" s="6">
        <v>0</v>
      </c>
      <c r="K342" s="6">
        <v>0</v>
      </c>
      <c r="L342" s="6">
        <v>3.5720000000000001</v>
      </c>
      <c r="M342" s="6">
        <v>3.5720000000000001</v>
      </c>
      <c r="N342" s="6">
        <v>3.5720000000000001</v>
      </c>
      <c r="O342" s="6">
        <v>3.5720000000000001</v>
      </c>
      <c r="P342" s="6">
        <v>0</v>
      </c>
      <c r="Q342" s="4" t="s">
        <v>26</v>
      </c>
      <c r="R342" s="4">
        <v>0</v>
      </c>
      <c r="S342" s="6">
        <v>0</v>
      </c>
      <c r="T342" s="6">
        <v>12</v>
      </c>
      <c r="U342" s="6">
        <v>66</v>
      </c>
      <c r="V342" s="6">
        <f>IF(ISERROR(VLOOKUP($S$342,'TAR FIN'!$A$1:$O$93,15,0)),0,VLOOKUP($S$342,'TAR FIN'!$A$1:$O$93,15,0))</f>
        <v>0</v>
      </c>
      <c r="W342" s="6">
        <f>IF(ISERROR(VLOOKUP($T$342,'TAR FIN'!$A$1:$O$93,15,0)),0,VLOOKUP($T$342,'TAR FIN'!$A$1:$O$93,15,0))</f>
        <v>1124.7</v>
      </c>
      <c r="X342" s="6">
        <f>IF(ISERROR(VLOOKUP($U$342,'TAR FIN'!$A$1:$O$93,15,0)),0,VLOOKUP($U$342,'TAR FIN'!$A$1:$O$93,15,0))</f>
        <v>185.18</v>
      </c>
      <c r="Y342" s="6"/>
      <c r="Z342" s="6">
        <f ca="1">('TUSD BE'!$AM$15+'TUSD BF'!$AM$15+'TUSD CVA'!$AM$15)*1</f>
        <v>1302.3659842076513</v>
      </c>
      <c r="AA342" s="6">
        <f>('TE BE'!$AB$7+'TE BF'!$AB$7+'TE CVA'!$AB$7)*1</f>
        <v>198.18194779658231</v>
      </c>
      <c r="AB342" s="6">
        <f>$K$342*$V$342</f>
        <v>0</v>
      </c>
      <c r="AC342" s="6">
        <f>$M$342*$W$342</f>
        <v>4017.4284000000002</v>
      </c>
      <c r="AD342" s="6">
        <f>$O$342*$X$342</f>
        <v>661.46296000000007</v>
      </c>
      <c r="AE342" s="6">
        <f>$K$342*$Y$342</f>
        <v>0</v>
      </c>
      <c r="AF342" s="6">
        <f ca="1">$M$342*$Z$342</f>
        <v>4652.0512955897302</v>
      </c>
      <c r="AG342" s="6">
        <f>$O$342*$AA$342</f>
        <v>707.90591752939201</v>
      </c>
    </row>
    <row r="343" spans="1:33" ht="11.25" customHeight="1" x14ac:dyDescent="0.25">
      <c r="A343" s="4" t="s">
        <v>21</v>
      </c>
      <c r="B343" s="4" t="s">
        <v>35</v>
      </c>
      <c r="C343" s="4" t="s">
        <v>39</v>
      </c>
      <c r="D343" s="4" t="s">
        <v>49</v>
      </c>
      <c r="E343" s="4" t="s">
        <v>25</v>
      </c>
      <c r="F343" s="4" t="s">
        <v>25</v>
      </c>
      <c r="G343" s="4" t="s">
        <v>25</v>
      </c>
      <c r="H343" s="4" t="s">
        <v>37</v>
      </c>
      <c r="I343" s="5">
        <v>44501</v>
      </c>
      <c r="J343" s="6">
        <v>0</v>
      </c>
      <c r="K343" s="6">
        <v>0</v>
      </c>
      <c r="L343" s="6">
        <v>6.9139999999999997</v>
      </c>
      <c r="M343" s="6">
        <v>6.9139999999999997</v>
      </c>
      <c r="N343" s="6">
        <v>6.9139999999999997</v>
      </c>
      <c r="O343" s="6">
        <v>6.9139999999999997</v>
      </c>
      <c r="P343" s="6">
        <v>0</v>
      </c>
      <c r="Q343" s="4" t="s">
        <v>26</v>
      </c>
      <c r="R343" s="4">
        <v>0</v>
      </c>
      <c r="S343" s="6">
        <v>0</v>
      </c>
      <c r="T343" s="6">
        <v>12</v>
      </c>
      <c r="U343" s="6">
        <v>66</v>
      </c>
      <c r="V343" s="6">
        <f>IF(ISERROR(VLOOKUP($S$343,'TAR FIN'!$A$1:$O$93,15,0)),0,VLOOKUP($S$343,'TAR FIN'!$A$1:$O$93,15,0))</f>
        <v>0</v>
      </c>
      <c r="W343" s="6">
        <f>IF(ISERROR(VLOOKUP($T$343,'TAR FIN'!$A$1:$O$93,15,0)),0,VLOOKUP($T$343,'TAR FIN'!$A$1:$O$93,15,0))</f>
        <v>1124.7</v>
      </c>
      <c r="X343" s="6">
        <f>IF(ISERROR(VLOOKUP($U$343,'TAR FIN'!$A$1:$O$93,15,0)),0,VLOOKUP($U$343,'TAR FIN'!$A$1:$O$93,15,0))</f>
        <v>185.18</v>
      </c>
      <c r="Y343" s="6"/>
      <c r="Z343" s="6">
        <f ca="1">('TUSD BE'!$AM$15+'TUSD BF'!$AM$15+'TUSD CVA'!$AM$15)*1</f>
        <v>1302.3659842076513</v>
      </c>
      <c r="AA343" s="6">
        <f>('TE BE'!$AB$7+'TE BF'!$AB$7+'TE CVA'!$AB$7)*1</f>
        <v>198.18194779658231</v>
      </c>
      <c r="AB343" s="6">
        <f>$K$343*$V$343</f>
        <v>0</v>
      </c>
      <c r="AC343" s="6">
        <f>$M$343*$W$343</f>
        <v>7776.1758</v>
      </c>
      <c r="AD343" s="6">
        <f>$O$343*$X$343</f>
        <v>1280.3345199999999</v>
      </c>
      <c r="AE343" s="6">
        <f>$K$343*$Y$343</f>
        <v>0</v>
      </c>
      <c r="AF343" s="6">
        <f ca="1">$M$343*$Z$343</f>
        <v>9004.5584148117014</v>
      </c>
      <c r="AG343" s="6">
        <f>$O$343*$AA$343</f>
        <v>1370.22998706557</v>
      </c>
    </row>
    <row r="344" spans="1:33" ht="11.25" customHeight="1" x14ac:dyDescent="0.25">
      <c r="A344" s="4" t="s">
        <v>27</v>
      </c>
      <c r="B344" s="4" t="s">
        <v>35</v>
      </c>
      <c r="C344" s="4" t="s">
        <v>39</v>
      </c>
      <c r="D344" s="4" t="s">
        <v>49</v>
      </c>
      <c r="E344" s="4" t="s">
        <v>25</v>
      </c>
      <c r="F344" s="4" t="s">
        <v>25</v>
      </c>
      <c r="G344" s="4" t="s">
        <v>25</v>
      </c>
      <c r="H344" s="4" t="s">
        <v>37</v>
      </c>
      <c r="I344" s="5">
        <v>44501</v>
      </c>
      <c r="J344" s="6">
        <v>0</v>
      </c>
      <c r="K344" s="6">
        <v>0</v>
      </c>
      <c r="L344" s="6">
        <v>-3.4569999999999999</v>
      </c>
      <c r="M344" s="6">
        <v>-3.4569999999999999</v>
      </c>
      <c r="N344" s="6">
        <v>-3.4569999999999999</v>
      </c>
      <c r="O344" s="6">
        <v>-3.4569999999999999</v>
      </c>
      <c r="P344" s="6">
        <v>0</v>
      </c>
      <c r="Q344" s="4" t="s">
        <v>26</v>
      </c>
      <c r="R344" s="4">
        <v>0</v>
      </c>
      <c r="S344" s="6">
        <v>0</v>
      </c>
      <c r="T344" s="6">
        <v>12</v>
      </c>
      <c r="U344" s="6">
        <v>66</v>
      </c>
      <c r="V344" s="6">
        <f>IF(ISERROR(VLOOKUP($S$344,'TAR FIN'!$A$1:$O$93,15,0)),0,VLOOKUP($S$344,'TAR FIN'!$A$1:$O$93,15,0))</f>
        <v>0</v>
      </c>
      <c r="W344" s="6">
        <f>IF(ISERROR(VLOOKUP($T$344,'TAR FIN'!$A$1:$O$93,15,0)),0,VLOOKUP($T$344,'TAR FIN'!$A$1:$O$93,15,0))</f>
        <v>1124.7</v>
      </c>
      <c r="X344" s="6">
        <f>IF(ISERROR(VLOOKUP($U$344,'TAR FIN'!$A$1:$O$93,15,0)),0,VLOOKUP($U$344,'TAR FIN'!$A$1:$O$93,15,0))</f>
        <v>185.18</v>
      </c>
      <c r="Y344" s="6"/>
      <c r="Z344" s="6">
        <f ca="1">('TUSD BE'!$AM$15+'TUSD BF'!$AM$15+'TUSD CVA'!$AM$15)*1</f>
        <v>1302.3659842076513</v>
      </c>
      <c r="AA344" s="6">
        <f>('TE BE'!$AB$7+'TE BF'!$AB$7+'TE CVA'!$AB$7)*1</f>
        <v>198.18194779658231</v>
      </c>
      <c r="AB344" s="6">
        <f>$K$344*$V$344</f>
        <v>0</v>
      </c>
      <c r="AC344" s="6">
        <f>$M$344*$W$344</f>
        <v>-3888.0879</v>
      </c>
      <c r="AD344" s="6">
        <f>$O$344*$X$344</f>
        <v>-640.16725999999994</v>
      </c>
      <c r="AE344" s="6">
        <f>$K$344*$Y$344</f>
        <v>0</v>
      </c>
      <c r="AF344" s="6">
        <f ca="1">$M$344*$Z$344</f>
        <v>-4502.2792074058507</v>
      </c>
      <c r="AG344" s="6">
        <f>$O$344*$AA$344</f>
        <v>-685.11499353278498</v>
      </c>
    </row>
    <row r="345" spans="1:33" ht="11.25" customHeight="1" x14ac:dyDescent="0.25">
      <c r="A345" s="4" t="s">
        <v>21</v>
      </c>
      <c r="B345" s="4" t="s">
        <v>35</v>
      </c>
      <c r="C345" s="4" t="s">
        <v>39</v>
      </c>
      <c r="D345" s="4" t="s">
        <v>49</v>
      </c>
      <c r="E345" s="4" t="s">
        <v>25</v>
      </c>
      <c r="F345" s="4" t="s">
        <v>25</v>
      </c>
      <c r="G345" s="4" t="s">
        <v>25</v>
      </c>
      <c r="H345" s="4" t="s">
        <v>37</v>
      </c>
      <c r="I345" s="5">
        <v>44531</v>
      </c>
      <c r="J345" s="6">
        <v>0</v>
      </c>
      <c r="K345" s="6">
        <v>0</v>
      </c>
      <c r="L345" s="6">
        <v>3.641</v>
      </c>
      <c r="M345" s="6">
        <v>3.641</v>
      </c>
      <c r="N345" s="6">
        <v>3.641</v>
      </c>
      <c r="O345" s="6">
        <v>3.641</v>
      </c>
      <c r="P345" s="6">
        <v>0</v>
      </c>
      <c r="Q345" s="4" t="s">
        <v>26</v>
      </c>
      <c r="R345" s="4">
        <v>0</v>
      </c>
      <c r="S345" s="6">
        <v>0</v>
      </c>
      <c r="T345" s="6">
        <v>12</v>
      </c>
      <c r="U345" s="6">
        <v>66</v>
      </c>
      <c r="V345" s="6">
        <f>IF(ISERROR(VLOOKUP($S$345,'TAR FIN'!$A$1:$O$93,15,0)),0,VLOOKUP($S$345,'TAR FIN'!$A$1:$O$93,15,0))</f>
        <v>0</v>
      </c>
      <c r="W345" s="6">
        <f>IF(ISERROR(VLOOKUP($T$345,'TAR FIN'!$A$1:$O$93,15,0)),0,VLOOKUP($T$345,'TAR FIN'!$A$1:$O$93,15,0))</f>
        <v>1124.7</v>
      </c>
      <c r="X345" s="6">
        <f>IF(ISERROR(VLOOKUP($U$345,'TAR FIN'!$A$1:$O$93,15,0)),0,VLOOKUP($U$345,'TAR FIN'!$A$1:$O$93,15,0))</f>
        <v>185.18</v>
      </c>
      <c r="Y345" s="6"/>
      <c r="Z345" s="6">
        <f ca="1">('TUSD BE'!$AM$15+'TUSD BF'!$AM$15+'TUSD CVA'!$AM$15)*1</f>
        <v>1302.3659842076513</v>
      </c>
      <c r="AA345" s="6">
        <f>('TE BE'!$AB$7+'TE BF'!$AB$7+'TE CVA'!$AB$7)*1</f>
        <v>198.18194779658231</v>
      </c>
      <c r="AB345" s="6">
        <f>$K$345*$V$345</f>
        <v>0</v>
      </c>
      <c r="AC345" s="6">
        <f>$M$345*$W$345</f>
        <v>4095.0327000000002</v>
      </c>
      <c r="AD345" s="6">
        <f>$O$345*$X$345</f>
        <v>674.24038000000007</v>
      </c>
      <c r="AE345" s="6">
        <f>$K$345*$Y$345</f>
        <v>0</v>
      </c>
      <c r="AF345" s="6">
        <f ca="1">$M$345*$Z$345</f>
        <v>4741.9145485000581</v>
      </c>
      <c r="AG345" s="6">
        <f>$O$345*$AA$345</f>
        <v>721.58047192735614</v>
      </c>
    </row>
    <row r="346" spans="1:33" ht="11.25" customHeight="1" x14ac:dyDescent="0.25">
      <c r="A346" s="4" t="s">
        <v>21</v>
      </c>
      <c r="B346" s="4" t="s">
        <v>35</v>
      </c>
      <c r="C346" s="4" t="s">
        <v>39</v>
      </c>
      <c r="D346" s="4" t="s">
        <v>49</v>
      </c>
      <c r="E346" s="4" t="s">
        <v>25</v>
      </c>
      <c r="F346" s="4" t="s">
        <v>25</v>
      </c>
      <c r="G346" s="4" t="s">
        <v>25</v>
      </c>
      <c r="H346" s="4" t="s">
        <v>37</v>
      </c>
      <c r="I346" s="5">
        <v>44562</v>
      </c>
      <c r="J346" s="6">
        <v>0</v>
      </c>
      <c r="K346" s="6">
        <v>0</v>
      </c>
      <c r="L346" s="6">
        <v>4.4850000000000003</v>
      </c>
      <c r="M346" s="6">
        <v>4.4850000000000003</v>
      </c>
      <c r="N346" s="6">
        <v>4.4850000000000003</v>
      </c>
      <c r="O346" s="6">
        <v>4.4850000000000003</v>
      </c>
      <c r="P346" s="6">
        <v>0</v>
      </c>
      <c r="Q346" s="4" t="s">
        <v>26</v>
      </c>
      <c r="R346" s="4">
        <v>0</v>
      </c>
      <c r="S346" s="6">
        <v>0</v>
      </c>
      <c r="T346" s="6">
        <v>12</v>
      </c>
      <c r="U346" s="6">
        <v>66</v>
      </c>
      <c r="V346" s="6">
        <f>IF(ISERROR(VLOOKUP($S$346,'TAR FIN'!$A$1:$O$93,15,0)),0,VLOOKUP($S$346,'TAR FIN'!$A$1:$O$93,15,0))</f>
        <v>0</v>
      </c>
      <c r="W346" s="6">
        <f>IF(ISERROR(VLOOKUP($T$346,'TAR FIN'!$A$1:$O$93,15,0)),0,VLOOKUP($T$346,'TAR FIN'!$A$1:$O$93,15,0))</f>
        <v>1124.7</v>
      </c>
      <c r="X346" s="6">
        <f>IF(ISERROR(VLOOKUP($U$346,'TAR FIN'!$A$1:$O$93,15,0)),0,VLOOKUP($U$346,'TAR FIN'!$A$1:$O$93,15,0))</f>
        <v>185.18</v>
      </c>
      <c r="Y346" s="6"/>
      <c r="Z346" s="6">
        <f ca="1">('TUSD BE'!$AM$15+'TUSD BF'!$AM$15+'TUSD CVA'!$AM$15)*1</f>
        <v>1302.3659842076513</v>
      </c>
      <c r="AA346" s="6">
        <f>('TE BE'!$AB$7+'TE BF'!$AB$7+'TE CVA'!$AB$7)*1</f>
        <v>198.18194779658231</v>
      </c>
      <c r="AB346" s="6">
        <f>$K$346*$V$346</f>
        <v>0</v>
      </c>
      <c r="AC346" s="6">
        <f>$M$346*$W$346</f>
        <v>5044.2795000000006</v>
      </c>
      <c r="AD346" s="6">
        <f>$O$346*$X$346</f>
        <v>830.53230000000008</v>
      </c>
      <c r="AE346" s="6">
        <f>$K$346*$Y$346</f>
        <v>0</v>
      </c>
      <c r="AF346" s="6">
        <f ca="1">$M$346*$Z$346</f>
        <v>5841.1114391713163</v>
      </c>
      <c r="AG346" s="6">
        <f>$O$346*$AA$346</f>
        <v>888.84603586767173</v>
      </c>
    </row>
    <row r="347" spans="1:33" ht="11.25" customHeight="1" x14ac:dyDescent="0.25">
      <c r="A347" s="4" t="s">
        <v>21</v>
      </c>
      <c r="B347" s="4" t="s">
        <v>35</v>
      </c>
      <c r="C347" s="4" t="s">
        <v>39</v>
      </c>
      <c r="D347" s="4" t="s">
        <v>49</v>
      </c>
      <c r="E347" s="4" t="s">
        <v>25</v>
      </c>
      <c r="F347" s="4" t="s">
        <v>25</v>
      </c>
      <c r="G347" s="4" t="s">
        <v>25</v>
      </c>
      <c r="H347" s="4" t="s">
        <v>37</v>
      </c>
      <c r="I347" s="5">
        <v>44593</v>
      </c>
      <c r="J347" s="6">
        <v>0</v>
      </c>
      <c r="K347" s="6">
        <v>0</v>
      </c>
      <c r="L347" s="6">
        <v>8.4359999999999999</v>
      </c>
      <c r="M347" s="6">
        <v>8.4359999999999999</v>
      </c>
      <c r="N347" s="6">
        <v>8.4359999999999999</v>
      </c>
      <c r="O347" s="6">
        <v>8.4359999999999999</v>
      </c>
      <c r="P347" s="6">
        <v>0</v>
      </c>
      <c r="Q347" s="4" t="s">
        <v>26</v>
      </c>
      <c r="R347" s="4">
        <v>0</v>
      </c>
      <c r="S347" s="6">
        <v>0</v>
      </c>
      <c r="T347" s="6">
        <v>12</v>
      </c>
      <c r="U347" s="6">
        <v>66</v>
      </c>
      <c r="V347" s="6">
        <f>IF(ISERROR(VLOOKUP($S$347,'TAR FIN'!$A$1:$O$93,15,0)),0,VLOOKUP($S$347,'TAR FIN'!$A$1:$O$93,15,0))</f>
        <v>0</v>
      </c>
      <c r="W347" s="6">
        <f>IF(ISERROR(VLOOKUP($T$347,'TAR FIN'!$A$1:$O$93,15,0)),0,VLOOKUP($T$347,'TAR FIN'!$A$1:$O$93,15,0))</f>
        <v>1124.7</v>
      </c>
      <c r="X347" s="6">
        <f>IF(ISERROR(VLOOKUP($U$347,'TAR FIN'!$A$1:$O$93,15,0)),0,VLOOKUP($U$347,'TAR FIN'!$A$1:$O$93,15,0))</f>
        <v>185.18</v>
      </c>
      <c r="Y347" s="6"/>
      <c r="Z347" s="6">
        <f ca="1">('TUSD BE'!$AM$15+'TUSD BF'!$AM$15+'TUSD CVA'!$AM$15)*1</f>
        <v>1302.3659842076513</v>
      </c>
      <c r="AA347" s="6">
        <f>('TE BE'!$AB$7+'TE BF'!$AB$7+'TE CVA'!$AB$7)*1</f>
        <v>198.18194779658231</v>
      </c>
      <c r="AB347" s="6">
        <f>$K$347*$V$347</f>
        <v>0</v>
      </c>
      <c r="AC347" s="6">
        <f>$M$347*$W$347</f>
        <v>9487.9691999999995</v>
      </c>
      <c r="AD347" s="6">
        <f>$O$347*$X$347</f>
        <v>1562.17848</v>
      </c>
      <c r="AE347" s="6">
        <f>$K$347*$Y$347</f>
        <v>0</v>
      </c>
      <c r="AF347" s="6">
        <f ca="1">$M$347*$Z$347</f>
        <v>10986.759442775747</v>
      </c>
      <c r="AG347" s="6">
        <f>$O$347*$AA$347</f>
        <v>1671.8629116119682</v>
      </c>
    </row>
    <row r="348" spans="1:33" ht="11.25" customHeight="1" x14ac:dyDescent="0.25">
      <c r="A348" s="4" t="s">
        <v>27</v>
      </c>
      <c r="B348" s="4" t="s">
        <v>35</v>
      </c>
      <c r="C348" s="4" t="s">
        <v>39</v>
      </c>
      <c r="D348" s="4" t="s">
        <v>49</v>
      </c>
      <c r="E348" s="4" t="s">
        <v>25</v>
      </c>
      <c r="F348" s="4" t="s">
        <v>25</v>
      </c>
      <c r="G348" s="4" t="s">
        <v>25</v>
      </c>
      <c r="H348" s="4" t="s">
        <v>37</v>
      </c>
      <c r="I348" s="5">
        <v>44593</v>
      </c>
      <c r="J348" s="6">
        <v>0</v>
      </c>
      <c r="K348" s="6">
        <v>0</v>
      </c>
      <c r="L348" s="6">
        <v>-4.218</v>
      </c>
      <c r="M348" s="6">
        <v>-4.218</v>
      </c>
      <c r="N348" s="6">
        <v>-4.218</v>
      </c>
      <c r="O348" s="6">
        <v>-4.218</v>
      </c>
      <c r="P348" s="6">
        <v>0</v>
      </c>
      <c r="Q348" s="4" t="s">
        <v>26</v>
      </c>
      <c r="R348" s="4">
        <v>0</v>
      </c>
      <c r="S348" s="6">
        <v>0</v>
      </c>
      <c r="T348" s="6">
        <v>12</v>
      </c>
      <c r="U348" s="6">
        <v>66</v>
      </c>
      <c r="V348" s="6">
        <f>IF(ISERROR(VLOOKUP($S$348,'TAR FIN'!$A$1:$O$93,15,0)),0,VLOOKUP($S$348,'TAR FIN'!$A$1:$O$93,15,0))</f>
        <v>0</v>
      </c>
      <c r="W348" s="6">
        <f>IF(ISERROR(VLOOKUP($T$348,'TAR FIN'!$A$1:$O$93,15,0)),0,VLOOKUP($T$348,'TAR FIN'!$A$1:$O$93,15,0))</f>
        <v>1124.7</v>
      </c>
      <c r="X348" s="6">
        <f>IF(ISERROR(VLOOKUP($U$348,'TAR FIN'!$A$1:$O$93,15,0)),0,VLOOKUP($U$348,'TAR FIN'!$A$1:$O$93,15,0))</f>
        <v>185.18</v>
      </c>
      <c r="Y348" s="6"/>
      <c r="Z348" s="6">
        <f ca="1">('TUSD BE'!$AM$15+'TUSD BF'!$AM$15+'TUSD CVA'!$AM$15)*1</f>
        <v>1302.3659842076513</v>
      </c>
      <c r="AA348" s="6">
        <f>('TE BE'!$AB$7+'TE BF'!$AB$7+'TE CVA'!$AB$7)*1</f>
        <v>198.18194779658231</v>
      </c>
      <c r="AB348" s="6">
        <f>$K$348*$V$348</f>
        <v>0</v>
      </c>
      <c r="AC348" s="6">
        <f>$M$348*$W$348</f>
        <v>-4743.9845999999998</v>
      </c>
      <c r="AD348" s="6">
        <f>$O$348*$X$348</f>
        <v>-781.08924000000002</v>
      </c>
      <c r="AE348" s="6">
        <f>$K$348*$Y$348</f>
        <v>0</v>
      </c>
      <c r="AF348" s="6">
        <f ca="1">$M$348*$Z$348</f>
        <v>-5493.3797213878734</v>
      </c>
      <c r="AG348" s="6">
        <f>$O$348*$AA$348</f>
        <v>-835.93145580598411</v>
      </c>
    </row>
    <row r="349" spans="1:33" ht="11.25" customHeight="1" x14ac:dyDescent="0.25">
      <c r="A349" s="4" t="s">
        <v>21</v>
      </c>
      <c r="B349" s="4" t="s">
        <v>35</v>
      </c>
      <c r="C349" s="4" t="s">
        <v>39</v>
      </c>
      <c r="D349" s="4" t="s">
        <v>49</v>
      </c>
      <c r="E349" s="4" t="s">
        <v>25</v>
      </c>
      <c r="F349" s="4" t="s">
        <v>25</v>
      </c>
      <c r="G349" s="4" t="s">
        <v>25</v>
      </c>
      <c r="H349" s="4" t="s">
        <v>37</v>
      </c>
      <c r="I349" s="5">
        <v>44621</v>
      </c>
      <c r="J349" s="6">
        <v>0</v>
      </c>
      <c r="K349" s="6">
        <v>0</v>
      </c>
      <c r="L349" s="6">
        <v>7.968</v>
      </c>
      <c r="M349" s="6">
        <v>7.968</v>
      </c>
      <c r="N349" s="6">
        <v>7.968</v>
      </c>
      <c r="O349" s="6">
        <v>7.968</v>
      </c>
      <c r="P349" s="6">
        <v>0</v>
      </c>
      <c r="Q349" s="4" t="s">
        <v>26</v>
      </c>
      <c r="R349" s="4">
        <v>0</v>
      </c>
      <c r="S349" s="6">
        <v>0</v>
      </c>
      <c r="T349" s="6">
        <v>12</v>
      </c>
      <c r="U349" s="6">
        <v>66</v>
      </c>
      <c r="V349" s="6">
        <f>IF(ISERROR(VLOOKUP($S$349,'TAR FIN'!$A$1:$O$93,15,0)),0,VLOOKUP($S$349,'TAR FIN'!$A$1:$O$93,15,0))</f>
        <v>0</v>
      </c>
      <c r="W349" s="6">
        <f>IF(ISERROR(VLOOKUP($T$349,'TAR FIN'!$A$1:$O$93,15,0)),0,VLOOKUP($T$349,'TAR FIN'!$A$1:$O$93,15,0))</f>
        <v>1124.7</v>
      </c>
      <c r="X349" s="6">
        <f>IF(ISERROR(VLOOKUP($U$349,'TAR FIN'!$A$1:$O$93,15,0)),0,VLOOKUP($U$349,'TAR FIN'!$A$1:$O$93,15,0))</f>
        <v>185.18</v>
      </c>
      <c r="Y349" s="6"/>
      <c r="Z349" s="6">
        <f ca="1">('TUSD BE'!$AM$15+'TUSD BF'!$AM$15+'TUSD CVA'!$AM$15)*1</f>
        <v>1302.3659842076513</v>
      </c>
      <c r="AA349" s="6">
        <f>('TE BE'!$AB$7+'TE BF'!$AB$7+'TE CVA'!$AB$7)*1</f>
        <v>198.18194779658231</v>
      </c>
      <c r="AB349" s="6">
        <f>$K$349*$V$349</f>
        <v>0</v>
      </c>
      <c r="AC349" s="6">
        <f>$M$349*$W$349</f>
        <v>8961.6095999999998</v>
      </c>
      <c r="AD349" s="6">
        <f>$O$349*$X$349</f>
        <v>1475.51424</v>
      </c>
      <c r="AE349" s="6">
        <f>$K$349*$Y$349</f>
        <v>0</v>
      </c>
      <c r="AF349" s="6">
        <f ca="1">$M$349*$Z$349</f>
        <v>10377.252162166566</v>
      </c>
      <c r="AG349" s="6">
        <f>$O$349*$AA$349</f>
        <v>1579.1137600431678</v>
      </c>
    </row>
    <row r="350" spans="1:33" ht="11.25" customHeight="1" x14ac:dyDescent="0.25">
      <c r="A350" s="4" t="s">
        <v>27</v>
      </c>
      <c r="B350" s="4" t="s">
        <v>35</v>
      </c>
      <c r="C350" s="4" t="s">
        <v>39</v>
      </c>
      <c r="D350" s="4" t="s">
        <v>49</v>
      </c>
      <c r="E350" s="4" t="s">
        <v>25</v>
      </c>
      <c r="F350" s="4" t="s">
        <v>25</v>
      </c>
      <c r="G350" s="4" t="s">
        <v>25</v>
      </c>
      <c r="H350" s="4" t="s">
        <v>37</v>
      </c>
      <c r="I350" s="5">
        <v>44621</v>
      </c>
      <c r="J350" s="6">
        <v>0</v>
      </c>
      <c r="K350" s="6">
        <v>0</v>
      </c>
      <c r="L350" s="6">
        <v>-3.984</v>
      </c>
      <c r="M350" s="6">
        <v>-3.984</v>
      </c>
      <c r="N350" s="6">
        <v>-3.984</v>
      </c>
      <c r="O350" s="6">
        <v>-3.984</v>
      </c>
      <c r="P350" s="6">
        <v>0</v>
      </c>
      <c r="Q350" s="4" t="s">
        <v>26</v>
      </c>
      <c r="R350" s="4">
        <v>0</v>
      </c>
      <c r="S350" s="6">
        <v>0</v>
      </c>
      <c r="T350" s="6">
        <v>12</v>
      </c>
      <c r="U350" s="6">
        <v>66</v>
      </c>
      <c r="V350" s="6">
        <f>IF(ISERROR(VLOOKUP($S$350,'TAR FIN'!$A$1:$O$93,15,0)),0,VLOOKUP($S$350,'TAR FIN'!$A$1:$O$93,15,0))</f>
        <v>0</v>
      </c>
      <c r="W350" s="6">
        <f>IF(ISERROR(VLOOKUP($T$350,'TAR FIN'!$A$1:$O$93,15,0)),0,VLOOKUP($T$350,'TAR FIN'!$A$1:$O$93,15,0))</f>
        <v>1124.7</v>
      </c>
      <c r="X350" s="6">
        <f>IF(ISERROR(VLOOKUP($U$350,'TAR FIN'!$A$1:$O$93,15,0)),0,VLOOKUP($U$350,'TAR FIN'!$A$1:$O$93,15,0))</f>
        <v>185.18</v>
      </c>
      <c r="Y350" s="6"/>
      <c r="Z350" s="6">
        <f ca="1">('TUSD BE'!$AM$15+'TUSD BF'!$AM$15+'TUSD CVA'!$AM$15)*1</f>
        <v>1302.3659842076513</v>
      </c>
      <c r="AA350" s="6">
        <f>('TE BE'!$AB$7+'TE BF'!$AB$7+'TE CVA'!$AB$7)*1</f>
        <v>198.18194779658231</v>
      </c>
      <c r="AB350" s="6">
        <f>$K$350*$V$350</f>
        <v>0</v>
      </c>
      <c r="AC350" s="6">
        <f>$M$350*$W$350</f>
        <v>-4480.8047999999999</v>
      </c>
      <c r="AD350" s="6">
        <f>$O$350*$X$350</f>
        <v>-737.75711999999999</v>
      </c>
      <c r="AE350" s="6">
        <f>$K$350*$Y$350</f>
        <v>0</v>
      </c>
      <c r="AF350" s="6">
        <f ca="1">$M$350*$Z$350</f>
        <v>-5188.6260810832828</v>
      </c>
      <c r="AG350" s="6">
        <f>$O$350*$AA$350</f>
        <v>-789.55688002158388</v>
      </c>
    </row>
    <row r="351" spans="1:33" ht="11.25" customHeight="1" x14ac:dyDescent="0.25">
      <c r="A351" s="4" t="s">
        <v>21</v>
      </c>
      <c r="B351" s="4" t="s">
        <v>35</v>
      </c>
      <c r="C351" s="4" t="s">
        <v>39</v>
      </c>
      <c r="D351" s="4" t="s">
        <v>49</v>
      </c>
      <c r="E351" s="4" t="s">
        <v>25</v>
      </c>
      <c r="F351" s="4" t="s">
        <v>25</v>
      </c>
      <c r="G351" s="4" t="s">
        <v>25</v>
      </c>
      <c r="H351" s="4" t="s">
        <v>37</v>
      </c>
      <c r="I351" s="5">
        <v>44652</v>
      </c>
      <c r="J351" s="6">
        <v>0</v>
      </c>
      <c r="K351" s="6">
        <v>0</v>
      </c>
      <c r="L351" s="6">
        <v>4.383</v>
      </c>
      <c r="M351" s="6">
        <v>4.383</v>
      </c>
      <c r="N351" s="6">
        <v>4.383</v>
      </c>
      <c r="O351" s="6">
        <v>4.383</v>
      </c>
      <c r="P351" s="6">
        <v>0</v>
      </c>
      <c r="Q351" s="4" t="s">
        <v>26</v>
      </c>
      <c r="R351" s="4">
        <v>0</v>
      </c>
      <c r="S351" s="6">
        <v>0</v>
      </c>
      <c r="T351" s="6">
        <v>12</v>
      </c>
      <c r="U351" s="6">
        <v>66</v>
      </c>
      <c r="V351" s="6">
        <f>IF(ISERROR(VLOOKUP($S$351,'TAR FIN'!$A$1:$O$93,15,0)),0,VLOOKUP($S$351,'TAR FIN'!$A$1:$O$93,15,0))</f>
        <v>0</v>
      </c>
      <c r="W351" s="6">
        <f>IF(ISERROR(VLOOKUP($T$351,'TAR FIN'!$A$1:$O$93,15,0)),0,VLOOKUP($T$351,'TAR FIN'!$A$1:$O$93,15,0))</f>
        <v>1124.7</v>
      </c>
      <c r="X351" s="6">
        <f>IF(ISERROR(VLOOKUP($U$351,'TAR FIN'!$A$1:$O$93,15,0)),0,VLOOKUP($U$351,'TAR FIN'!$A$1:$O$93,15,0))</f>
        <v>185.18</v>
      </c>
      <c r="Y351" s="6"/>
      <c r="Z351" s="6">
        <f ca="1">('TUSD BE'!$AM$15+'TUSD BF'!$AM$15+'TUSD CVA'!$AM$15)*1</f>
        <v>1302.3659842076513</v>
      </c>
      <c r="AA351" s="6">
        <f>('TE BE'!$AB$7+'TE BF'!$AB$7+'TE CVA'!$AB$7)*1</f>
        <v>198.18194779658231</v>
      </c>
      <c r="AB351" s="6">
        <f>$K$351*$V$351</f>
        <v>0</v>
      </c>
      <c r="AC351" s="6">
        <f>$M$351*$W$351</f>
        <v>4929.5601000000006</v>
      </c>
      <c r="AD351" s="6">
        <f>$O$351*$X$351</f>
        <v>811.64394000000004</v>
      </c>
      <c r="AE351" s="6">
        <f>$K$351*$Y$351</f>
        <v>0</v>
      </c>
      <c r="AF351" s="6">
        <f ca="1">$M$351*$Z$351</f>
        <v>5708.270108782136</v>
      </c>
      <c r="AG351" s="6">
        <f>$O$351*$AA$351</f>
        <v>868.63147719242022</v>
      </c>
    </row>
    <row r="352" spans="1:33" ht="11.25" customHeight="1" x14ac:dyDescent="0.25">
      <c r="A352" s="4" t="s">
        <v>21</v>
      </c>
      <c r="B352" s="4" t="s">
        <v>35</v>
      </c>
      <c r="C352" s="4" t="s">
        <v>39</v>
      </c>
      <c r="D352" s="4" t="s">
        <v>49</v>
      </c>
      <c r="E352" s="4" t="s">
        <v>25</v>
      </c>
      <c r="F352" s="4" t="s">
        <v>25</v>
      </c>
      <c r="G352" s="4" t="s">
        <v>25</v>
      </c>
      <c r="H352" s="4" t="s">
        <v>37</v>
      </c>
      <c r="I352" s="5">
        <v>44682</v>
      </c>
      <c r="J352" s="6">
        <v>0</v>
      </c>
      <c r="K352" s="6">
        <v>0</v>
      </c>
      <c r="L352" s="6">
        <v>3.214</v>
      </c>
      <c r="M352" s="6">
        <v>3.214</v>
      </c>
      <c r="N352" s="6">
        <v>3.214</v>
      </c>
      <c r="O352" s="6">
        <v>3.214</v>
      </c>
      <c r="P352" s="6">
        <v>0</v>
      </c>
      <c r="Q352" s="4" t="s">
        <v>26</v>
      </c>
      <c r="R352" s="4">
        <v>0</v>
      </c>
      <c r="S352" s="6">
        <v>0</v>
      </c>
      <c r="T352" s="6">
        <v>12</v>
      </c>
      <c r="U352" s="6">
        <v>66</v>
      </c>
      <c r="V352" s="6">
        <f>IF(ISERROR(VLOOKUP($S$352,'TAR FIN'!$A$1:$O$93,15,0)),0,VLOOKUP($S$352,'TAR FIN'!$A$1:$O$93,15,0))</f>
        <v>0</v>
      </c>
      <c r="W352" s="6">
        <f>IF(ISERROR(VLOOKUP($T$352,'TAR FIN'!$A$1:$O$93,15,0)),0,VLOOKUP($T$352,'TAR FIN'!$A$1:$O$93,15,0))</f>
        <v>1124.7</v>
      </c>
      <c r="X352" s="6">
        <f>IF(ISERROR(VLOOKUP($U$352,'TAR FIN'!$A$1:$O$93,15,0)),0,VLOOKUP($U$352,'TAR FIN'!$A$1:$O$93,15,0))</f>
        <v>185.18</v>
      </c>
      <c r="Y352" s="6"/>
      <c r="Z352" s="6">
        <f ca="1">('TUSD BE'!$AM$15+'TUSD BF'!$AM$15+'TUSD CVA'!$AM$15)*1</f>
        <v>1302.3659842076513</v>
      </c>
      <c r="AA352" s="6">
        <f>('TE BE'!$AB$7+'TE BF'!$AB$7+'TE CVA'!$AB$7)*1</f>
        <v>198.18194779658231</v>
      </c>
      <c r="AB352" s="6">
        <f>$K$352*$V$352</f>
        <v>0</v>
      </c>
      <c r="AC352" s="6">
        <f>$M$352*$W$352</f>
        <v>3614.7858000000001</v>
      </c>
      <c r="AD352" s="6">
        <f>$O$352*$X$352</f>
        <v>595.16852000000006</v>
      </c>
      <c r="AE352" s="6">
        <f>$K$352*$Y$352</f>
        <v>0</v>
      </c>
      <c r="AF352" s="6">
        <f ca="1">$M$352*$Z$352</f>
        <v>4185.8042732433914</v>
      </c>
      <c r="AG352" s="6">
        <f>$O$352*$AA$352</f>
        <v>636.9567802182155</v>
      </c>
    </row>
    <row r="353" spans="1:33" ht="11.25" customHeight="1" x14ac:dyDescent="0.25">
      <c r="A353" s="4" t="s">
        <v>21</v>
      </c>
      <c r="B353" s="4" t="s">
        <v>35</v>
      </c>
      <c r="C353" s="4" t="s">
        <v>39</v>
      </c>
      <c r="D353" s="4" t="s">
        <v>49</v>
      </c>
      <c r="E353" s="4" t="s">
        <v>25</v>
      </c>
      <c r="F353" s="4" t="s">
        <v>25</v>
      </c>
      <c r="G353" s="4" t="s">
        <v>25</v>
      </c>
      <c r="H353" s="4" t="s">
        <v>37</v>
      </c>
      <c r="I353" s="5">
        <v>44713</v>
      </c>
      <c r="J353" s="6">
        <v>0</v>
      </c>
      <c r="K353" s="6">
        <v>0</v>
      </c>
      <c r="L353" s="6">
        <v>3.472</v>
      </c>
      <c r="M353" s="6">
        <v>3.472</v>
      </c>
      <c r="N353" s="6">
        <v>3.472</v>
      </c>
      <c r="O353" s="6">
        <v>3.472</v>
      </c>
      <c r="P353" s="6">
        <v>0</v>
      </c>
      <c r="Q353" s="4" t="s">
        <v>26</v>
      </c>
      <c r="R353" s="4">
        <v>0</v>
      </c>
      <c r="S353" s="6">
        <v>0</v>
      </c>
      <c r="T353" s="6">
        <v>12</v>
      </c>
      <c r="U353" s="6">
        <v>66</v>
      </c>
      <c r="V353" s="6">
        <f>IF(ISERROR(VLOOKUP($S$353,'TAR FIN'!$A$1:$O$93,15,0)),0,VLOOKUP($S$353,'TAR FIN'!$A$1:$O$93,15,0))</f>
        <v>0</v>
      </c>
      <c r="W353" s="6">
        <f>IF(ISERROR(VLOOKUP($T$353,'TAR FIN'!$A$1:$O$93,15,0)),0,VLOOKUP($T$353,'TAR FIN'!$A$1:$O$93,15,0))</f>
        <v>1124.7</v>
      </c>
      <c r="X353" s="6">
        <f>IF(ISERROR(VLOOKUP($U$353,'TAR FIN'!$A$1:$O$93,15,0)),0,VLOOKUP($U$353,'TAR FIN'!$A$1:$O$93,15,0))</f>
        <v>185.18</v>
      </c>
      <c r="Y353" s="6"/>
      <c r="Z353" s="6">
        <f ca="1">('TUSD BE'!$AM$15+'TUSD BF'!$AM$15+'TUSD CVA'!$AM$15)*1</f>
        <v>1302.3659842076513</v>
      </c>
      <c r="AA353" s="6">
        <f>('TE BE'!$AB$7+'TE BF'!$AB$7+'TE CVA'!$AB$7)*1</f>
        <v>198.18194779658231</v>
      </c>
      <c r="AB353" s="6">
        <f>$K$353*$V$353</f>
        <v>0</v>
      </c>
      <c r="AC353" s="6">
        <f>$M$353*$W$353</f>
        <v>3904.9584</v>
      </c>
      <c r="AD353" s="6">
        <f>$O$353*$X$353</f>
        <v>642.94496000000004</v>
      </c>
      <c r="AE353" s="6">
        <f>$K$353*$Y$353</f>
        <v>0</v>
      </c>
      <c r="AF353" s="6">
        <f ca="1">$M$353*$Z$353</f>
        <v>4521.8146971689657</v>
      </c>
      <c r="AG353" s="6">
        <f>$O$353*$AA$353</f>
        <v>688.08772274973376</v>
      </c>
    </row>
    <row r="354" spans="1:33" ht="11.25" customHeight="1" x14ac:dyDescent="0.25">
      <c r="A354" s="4" t="s">
        <v>21</v>
      </c>
      <c r="B354" s="4" t="s">
        <v>35</v>
      </c>
      <c r="C354" s="4" t="s">
        <v>39</v>
      </c>
      <c r="D354" s="4" t="s">
        <v>34</v>
      </c>
      <c r="E354" s="4" t="s">
        <v>25</v>
      </c>
      <c r="F354" s="4" t="s">
        <v>55</v>
      </c>
      <c r="G354" s="4" t="s">
        <v>25</v>
      </c>
      <c r="H354" s="4" t="s">
        <v>38</v>
      </c>
      <c r="I354" s="5">
        <v>44378</v>
      </c>
      <c r="J354" s="6">
        <v>0</v>
      </c>
      <c r="K354" s="6">
        <v>0</v>
      </c>
      <c r="L354" s="6">
        <v>456.125</v>
      </c>
      <c r="M354" s="6">
        <v>163.29275000000001</v>
      </c>
      <c r="N354" s="6">
        <v>0</v>
      </c>
      <c r="O354" s="6">
        <v>0</v>
      </c>
      <c r="P354" s="6">
        <v>0</v>
      </c>
      <c r="Q354" s="4" t="s">
        <v>54</v>
      </c>
      <c r="R354" s="4">
        <v>0</v>
      </c>
      <c r="S354" s="6">
        <v>0</v>
      </c>
      <c r="T354" s="6">
        <v>25</v>
      </c>
      <c r="U354" s="6">
        <v>0</v>
      </c>
      <c r="V354" s="6">
        <f>IF(ISERROR(VLOOKUP($S$354,'TAR FIN'!$A$1:$O$93,15,0)),0,VLOOKUP($S$354,'TAR FIN'!$A$1:$O$93,15,0))</f>
        <v>0</v>
      </c>
      <c r="W354" s="6">
        <f>IF(ISERROR(VLOOKUP($T$354,'TAR FIN'!$A$1:$O$93,15,0)),0,VLOOKUP($T$354,'TAR FIN'!$A$1:$O$93,15,0))</f>
        <v>69.489999999999995</v>
      </c>
      <c r="X354" s="6">
        <f>IF(ISERROR(VLOOKUP($U$354,'TAR FIN'!$A$1:$O$93,15,0)),0,VLOOKUP($U$354,'TAR FIN'!$A$1:$O$93,15,0))</f>
        <v>0</v>
      </c>
      <c r="Y354" s="6"/>
      <c r="Z354" s="6">
        <f ca="1">('TUSD BE'!$AM$16+'TUSD BF'!$AM$16+'TUSD CVA'!$AM$16)*1</f>
        <v>92.504793470158234</v>
      </c>
      <c r="AA354" s="6"/>
      <c r="AB354" s="6">
        <f>$K$354*$V$354</f>
        <v>0</v>
      </c>
      <c r="AC354" s="6">
        <f>$M$354*$W$354</f>
        <v>11347.213197499999</v>
      </c>
      <c r="AD354" s="6">
        <f>$O$354*$X$354</f>
        <v>0</v>
      </c>
      <c r="AE354" s="6">
        <f>$K$354*$Y$354</f>
        <v>0</v>
      </c>
      <c r="AF354" s="6">
        <f ca="1">$M$354*$Z$354</f>
        <v>15105.362113924182</v>
      </c>
      <c r="AG354" s="6">
        <f>$O$354*$AA$354</f>
        <v>0</v>
      </c>
    </row>
    <row r="355" spans="1:33" ht="11.25" customHeight="1" x14ac:dyDescent="0.25">
      <c r="A355" s="4" t="s">
        <v>21</v>
      </c>
      <c r="B355" s="4" t="s">
        <v>35</v>
      </c>
      <c r="C355" s="4" t="s">
        <v>39</v>
      </c>
      <c r="D355" s="4" t="s">
        <v>34</v>
      </c>
      <c r="E355" s="4" t="s">
        <v>25</v>
      </c>
      <c r="F355" s="4" t="s">
        <v>55</v>
      </c>
      <c r="G355" s="4" t="s">
        <v>25</v>
      </c>
      <c r="H355" s="4" t="s">
        <v>38</v>
      </c>
      <c r="I355" s="5">
        <v>44409</v>
      </c>
      <c r="J355" s="6">
        <v>0</v>
      </c>
      <c r="K355" s="6">
        <v>0</v>
      </c>
      <c r="L355" s="6">
        <v>527.52300000000002</v>
      </c>
      <c r="M355" s="6">
        <v>527.52300000000002</v>
      </c>
      <c r="N355" s="6">
        <v>0</v>
      </c>
      <c r="O355" s="6">
        <v>0</v>
      </c>
      <c r="P355" s="6">
        <v>0</v>
      </c>
      <c r="Q355" s="4" t="s">
        <v>54</v>
      </c>
      <c r="R355" s="4">
        <v>0</v>
      </c>
      <c r="S355" s="6">
        <v>0</v>
      </c>
      <c r="T355" s="6">
        <v>25</v>
      </c>
      <c r="U355" s="6">
        <v>0</v>
      </c>
      <c r="V355" s="6">
        <f>IF(ISERROR(VLOOKUP($S$355,'TAR FIN'!$A$1:$O$93,15,0)),0,VLOOKUP($S$355,'TAR FIN'!$A$1:$O$93,15,0))</f>
        <v>0</v>
      </c>
      <c r="W355" s="6">
        <f>IF(ISERROR(VLOOKUP($T$355,'TAR FIN'!$A$1:$O$93,15,0)),0,VLOOKUP($T$355,'TAR FIN'!$A$1:$O$93,15,0))</f>
        <v>69.489999999999995</v>
      </c>
      <c r="X355" s="6">
        <f>IF(ISERROR(VLOOKUP($U$355,'TAR FIN'!$A$1:$O$93,15,0)),0,VLOOKUP($U$355,'TAR FIN'!$A$1:$O$93,15,0))</f>
        <v>0</v>
      </c>
      <c r="Y355" s="6"/>
      <c r="Z355" s="6">
        <f ca="1">('TUSD BE'!$AM$16+'TUSD BF'!$AM$16+'TUSD CVA'!$AM$16)*1</f>
        <v>92.504793470158234</v>
      </c>
      <c r="AA355" s="6"/>
      <c r="AB355" s="6">
        <f>$K$355*$V$355</f>
        <v>0</v>
      </c>
      <c r="AC355" s="6">
        <f>$M$355*$W$355</f>
        <v>36657.573270000001</v>
      </c>
      <c r="AD355" s="6">
        <f>$O$355*$X$355</f>
        <v>0</v>
      </c>
      <c r="AE355" s="6">
        <f>$K$355*$Y$355</f>
        <v>0</v>
      </c>
      <c r="AF355" s="6">
        <f ca="1">$M$355*$Z$355</f>
        <v>48798.406165758286</v>
      </c>
      <c r="AG355" s="6">
        <f>$O$355*$AA$355</f>
        <v>0</v>
      </c>
    </row>
    <row r="356" spans="1:33" ht="11.25" customHeight="1" x14ac:dyDescent="0.25">
      <c r="A356" s="4" t="s">
        <v>21</v>
      </c>
      <c r="B356" s="4" t="s">
        <v>35</v>
      </c>
      <c r="C356" s="4" t="s">
        <v>39</v>
      </c>
      <c r="D356" s="4" t="s">
        <v>34</v>
      </c>
      <c r="E356" s="4" t="s">
        <v>25</v>
      </c>
      <c r="F356" s="4" t="s">
        <v>55</v>
      </c>
      <c r="G356" s="4" t="s">
        <v>25</v>
      </c>
      <c r="H356" s="4" t="s">
        <v>38</v>
      </c>
      <c r="I356" s="5">
        <v>44440</v>
      </c>
      <c r="J356" s="6">
        <v>0</v>
      </c>
      <c r="K356" s="6">
        <v>0</v>
      </c>
      <c r="L356" s="6">
        <v>557.39400000000001</v>
      </c>
      <c r="M356" s="6">
        <v>557.39400000000001</v>
      </c>
      <c r="N356" s="6">
        <v>0</v>
      </c>
      <c r="O356" s="6">
        <v>0</v>
      </c>
      <c r="P356" s="6">
        <v>0</v>
      </c>
      <c r="Q356" s="4" t="s">
        <v>54</v>
      </c>
      <c r="R356" s="4">
        <v>0</v>
      </c>
      <c r="S356" s="6">
        <v>0</v>
      </c>
      <c r="T356" s="6">
        <v>25</v>
      </c>
      <c r="U356" s="6">
        <v>0</v>
      </c>
      <c r="V356" s="6">
        <f>IF(ISERROR(VLOOKUP($S$356,'TAR FIN'!$A$1:$O$93,15,0)),0,VLOOKUP($S$356,'TAR FIN'!$A$1:$O$93,15,0))</f>
        <v>0</v>
      </c>
      <c r="W356" s="6">
        <f>IF(ISERROR(VLOOKUP($T$356,'TAR FIN'!$A$1:$O$93,15,0)),0,VLOOKUP($T$356,'TAR FIN'!$A$1:$O$93,15,0))</f>
        <v>69.489999999999995</v>
      </c>
      <c r="X356" s="6">
        <f>IF(ISERROR(VLOOKUP($U$356,'TAR FIN'!$A$1:$O$93,15,0)),0,VLOOKUP($U$356,'TAR FIN'!$A$1:$O$93,15,0))</f>
        <v>0</v>
      </c>
      <c r="Y356" s="6"/>
      <c r="Z356" s="6">
        <f ca="1">('TUSD BE'!$AM$16+'TUSD BF'!$AM$16+'TUSD CVA'!$AM$16)*1</f>
        <v>92.504793470158234</v>
      </c>
      <c r="AA356" s="6"/>
      <c r="AB356" s="6">
        <f>$K$356*$V$356</f>
        <v>0</v>
      </c>
      <c r="AC356" s="6">
        <f>$M$356*$W$356</f>
        <v>38733.30906</v>
      </c>
      <c r="AD356" s="6">
        <f>$O$356*$X$356</f>
        <v>0</v>
      </c>
      <c r="AE356" s="6">
        <f>$K$356*$Y$356</f>
        <v>0</v>
      </c>
      <c r="AF356" s="6">
        <f ca="1">$M$356*$Z$356</f>
        <v>51561.61685150538</v>
      </c>
      <c r="AG356" s="6">
        <f>$O$356*$AA$356</f>
        <v>0</v>
      </c>
    </row>
    <row r="357" spans="1:33" ht="11.25" customHeight="1" x14ac:dyDescent="0.25">
      <c r="A357" s="4" t="s">
        <v>21</v>
      </c>
      <c r="B357" s="4" t="s">
        <v>35</v>
      </c>
      <c r="C357" s="4" t="s">
        <v>39</v>
      </c>
      <c r="D357" s="4" t="s">
        <v>34</v>
      </c>
      <c r="E357" s="4" t="s">
        <v>25</v>
      </c>
      <c r="F357" s="4" t="s">
        <v>55</v>
      </c>
      <c r="G357" s="4" t="s">
        <v>25</v>
      </c>
      <c r="H357" s="4" t="s">
        <v>38</v>
      </c>
      <c r="I357" s="5">
        <v>44470</v>
      </c>
      <c r="J357" s="6">
        <v>0</v>
      </c>
      <c r="K357" s="6">
        <v>0</v>
      </c>
      <c r="L357" s="6">
        <v>516.30700000000002</v>
      </c>
      <c r="M357" s="6">
        <v>516.30700000000002</v>
      </c>
      <c r="N357" s="6">
        <v>0</v>
      </c>
      <c r="O357" s="6">
        <v>0</v>
      </c>
      <c r="P357" s="6">
        <v>0</v>
      </c>
      <c r="Q357" s="4" t="s">
        <v>54</v>
      </c>
      <c r="R357" s="4">
        <v>0</v>
      </c>
      <c r="S357" s="6">
        <v>0</v>
      </c>
      <c r="T357" s="6">
        <v>25</v>
      </c>
      <c r="U357" s="6">
        <v>0</v>
      </c>
      <c r="V357" s="6">
        <f>IF(ISERROR(VLOOKUP($S$357,'TAR FIN'!$A$1:$O$93,15,0)),0,VLOOKUP($S$357,'TAR FIN'!$A$1:$O$93,15,0))</f>
        <v>0</v>
      </c>
      <c r="W357" s="6">
        <f>IF(ISERROR(VLOOKUP($T$357,'TAR FIN'!$A$1:$O$93,15,0)),0,VLOOKUP($T$357,'TAR FIN'!$A$1:$O$93,15,0))</f>
        <v>69.489999999999995</v>
      </c>
      <c r="X357" s="6">
        <f>IF(ISERROR(VLOOKUP($U$357,'TAR FIN'!$A$1:$O$93,15,0)),0,VLOOKUP($U$357,'TAR FIN'!$A$1:$O$93,15,0))</f>
        <v>0</v>
      </c>
      <c r="Y357" s="6"/>
      <c r="Z357" s="6">
        <f ca="1">('TUSD BE'!$AM$16+'TUSD BF'!$AM$16+'TUSD CVA'!$AM$16)*1</f>
        <v>92.504793470158234</v>
      </c>
      <c r="AA357" s="6"/>
      <c r="AB357" s="6">
        <f>$K$357*$V$357</f>
        <v>0</v>
      </c>
      <c r="AC357" s="6">
        <f>$M$357*$W$357</f>
        <v>35878.173429999995</v>
      </c>
      <c r="AD357" s="6">
        <f>$O$357*$X$357</f>
        <v>0</v>
      </c>
      <c r="AE357" s="6">
        <f>$K$357*$Y$357</f>
        <v>0</v>
      </c>
      <c r="AF357" s="6">
        <f ca="1">$M$357*$Z$357</f>
        <v>47760.87240219699</v>
      </c>
      <c r="AG357" s="6">
        <f>$O$357*$AA$357</f>
        <v>0</v>
      </c>
    </row>
    <row r="358" spans="1:33" ht="11.25" customHeight="1" x14ac:dyDescent="0.25">
      <c r="A358" s="4" t="s">
        <v>21</v>
      </c>
      <c r="B358" s="4" t="s">
        <v>35</v>
      </c>
      <c r="C358" s="4" t="s">
        <v>39</v>
      </c>
      <c r="D358" s="4" t="s">
        <v>34</v>
      </c>
      <c r="E358" s="4" t="s">
        <v>25</v>
      </c>
      <c r="F358" s="4" t="s">
        <v>55</v>
      </c>
      <c r="G358" s="4" t="s">
        <v>25</v>
      </c>
      <c r="H358" s="4" t="s">
        <v>38</v>
      </c>
      <c r="I358" s="5">
        <v>44501</v>
      </c>
      <c r="J358" s="6">
        <v>0</v>
      </c>
      <c r="K358" s="6">
        <v>0</v>
      </c>
      <c r="L358" s="6">
        <v>486.08499999999998</v>
      </c>
      <c r="M358" s="6">
        <v>486.08499999999998</v>
      </c>
      <c r="N358" s="6">
        <v>0</v>
      </c>
      <c r="O358" s="6">
        <v>0</v>
      </c>
      <c r="P358" s="6">
        <v>0</v>
      </c>
      <c r="Q358" s="4" t="s">
        <v>54</v>
      </c>
      <c r="R358" s="4">
        <v>0</v>
      </c>
      <c r="S358" s="6">
        <v>0</v>
      </c>
      <c r="T358" s="6">
        <v>25</v>
      </c>
      <c r="U358" s="6">
        <v>0</v>
      </c>
      <c r="V358" s="6">
        <f>IF(ISERROR(VLOOKUP($S$358,'TAR FIN'!$A$1:$O$93,15,0)),0,VLOOKUP($S$358,'TAR FIN'!$A$1:$O$93,15,0))</f>
        <v>0</v>
      </c>
      <c r="W358" s="6">
        <f>IF(ISERROR(VLOOKUP($T$358,'TAR FIN'!$A$1:$O$93,15,0)),0,VLOOKUP($T$358,'TAR FIN'!$A$1:$O$93,15,0))</f>
        <v>69.489999999999995</v>
      </c>
      <c r="X358" s="6">
        <f>IF(ISERROR(VLOOKUP($U$358,'TAR FIN'!$A$1:$O$93,15,0)),0,VLOOKUP($U$358,'TAR FIN'!$A$1:$O$93,15,0))</f>
        <v>0</v>
      </c>
      <c r="Y358" s="6"/>
      <c r="Z358" s="6">
        <f ca="1">('TUSD BE'!$AM$16+'TUSD BF'!$AM$16+'TUSD CVA'!$AM$16)*1</f>
        <v>92.504793470158234</v>
      </c>
      <c r="AA358" s="6"/>
      <c r="AB358" s="6">
        <f>$K$358*$V$358</f>
        <v>0</v>
      </c>
      <c r="AC358" s="6">
        <f>$M$358*$W$358</f>
        <v>33778.046649999997</v>
      </c>
      <c r="AD358" s="6">
        <f>$O$358*$X$358</f>
        <v>0</v>
      </c>
      <c r="AE358" s="6">
        <f>$K$358*$Y$358</f>
        <v>0</v>
      </c>
      <c r="AF358" s="6">
        <f ca="1">$M$358*$Z$358</f>
        <v>44965.192533941859</v>
      </c>
      <c r="AG358" s="6">
        <f>$O$358*$AA$358</f>
        <v>0</v>
      </c>
    </row>
    <row r="359" spans="1:33" ht="11.25" customHeight="1" x14ac:dyDescent="0.25">
      <c r="A359" s="4" t="s">
        <v>65</v>
      </c>
      <c r="B359" s="4" t="s">
        <v>35</v>
      </c>
      <c r="C359" s="4" t="s">
        <v>39</v>
      </c>
      <c r="D359" s="4" t="s">
        <v>34</v>
      </c>
      <c r="E359" s="4" t="s">
        <v>25</v>
      </c>
      <c r="F359" s="4" t="s">
        <v>55</v>
      </c>
      <c r="G359" s="4" t="s">
        <v>25</v>
      </c>
      <c r="H359" s="4" t="s">
        <v>38</v>
      </c>
      <c r="I359" s="5">
        <v>44531</v>
      </c>
      <c r="J359" s="6">
        <v>0</v>
      </c>
      <c r="K359" s="6">
        <v>0</v>
      </c>
      <c r="L359" s="6">
        <v>486.08499999999998</v>
      </c>
      <c r="M359" s="6">
        <v>486.08499999999998</v>
      </c>
      <c r="N359" s="6">
        <v>0</v>
      </c>
      <c r="O359" s="6">
        <v>0</v>
      </c>
      <c r="P359" s="6">
        <v>0</v>
      </c>
      <c r="Q359" s="4" t="s">
        <v>54</v>
      </c>
      <c r="R359" s="4">
        <v>0</v>
      </c>
      <c r="S359" s="6">
        <v>0</v>
      </c>
      <c r="T359" s="6">
        <v>25</v>
      </c>
      <c r="U359" s="6">
        <v>0</v>
      </c>
      <c r="V359" s="6">
        <f>IF(ISERROR(VLOOKUP($S$359,'TAR FIN'!$A$1:$O$93,15,0)),0,VLOOKUP($S$359,'TAR FIN'!$A$1:$O$93,15,0))</f>
        <v>0</v>
      </c>
      <c r="W359" s="6">
        <f>IF(ISERROR(VLOOKUP($T$359,'TAR FIN'!$A$1:$O$93,15,0)),0,VLOOKUP($T$359,'TAR FIN'!$A$1:$O$93,15,0))</f>
        <v>69.489999999999995</v>
      </c>
      <c r="X359" s="6">
        <f>IF(ISERROR(VLOOKUP($U$359,'TAR FIN'!$A$1:$O$93,15,0)),0,VLOOKUP($U$359,'TAR FIN'!$A$1:$O$93,15,0))</f>
        <v>0</v>
      </c>
      <c r="Y359" s="6"/>
      <c r="Z359" s="6">
        <f ca="1">('TUSD BE'!$AM$16+'TUSD BF'!$AM$16+'TUSD CVA'!$AM$16)*1</f>
        <v>92.504793470158234</v>
      </c>
      <c r="AA359" s="6"/>
      <c r="AB359" s="6">
        <f>$K$359*$V$359</f>
        <v>0</v>
      </c>
      <c r="AC359" s="6">
        <f>$M$359*$W$359</f>
        <v>33778.046649999997</v>
      </c>
      <c r="AD359" s="6">
        <f>$O$359*$X$359</f>
        <v>0</v>
      </c>
      <c r="AE359" s="6">
        <f>$K$359*$Y$359</f>
        <v>0</v>
      </c>
      <c r="AF359" s="6">
        <f ca="1">$M$359*$Z$359</f>
        <v>44965.192533941859</v>
      </c>
      <c r="AG359" s="6">
        <f>$O$359*$AA$359</f>
        <v>0</v>
      </c>
    </row>
    <row r="360" spans="1:33" ht="11.25" customHeight="1" x14ac:dyDescent="0.25">
      <c r="A360" s="4" t="s">
        <v>21</v>
      </c>
      <c r="B360" s="4" t="s">
        <v>35</v>
      </c>
      <c r="C360" s="4" t="s">
        <v>39</v>
      </c>
      <c r="D360" s="4" t="s">
        <v>34</v>
      </c>
      <c r="E360" s="4" t="s">
        <v>25</v>
      </c>
      <c r="F360" s="4" t="s">
        <v>55</v>
      </c>
      <c r="G360" s="4" t="s">
        <v>25</v>
      </c>
      <c r="H360" s="4" t="s">
        <v>38</v>
      </c>
      <c r="I360" s="5">
        <v>44562</v>
      </c>
      <c r="J360" s="6">
        <v>0</v>
      </c>
      <c r="K360" s="6">
        <v>0</v>
      </c>
      <c r="L360" s="6">
        <v>362.80500000000001</v>
      </c>
      <c r="M360" s="6">
        <v>362.80500000000001</v>
      </c>
      <c r="N360" s="6">
        <v>0</v>
      </c>
      <c r="O360" s="6">
        <v>0</v>
      </c>
      <c r="P360" s="6">
        <v>0</v>
      </c>
      <c r="Q360" s="4" t="s">
        <v>54</v>
      </c>
      <c r="R360" s="4">
        <v>0</v>
      </c>
      <c r="S360" s="6">
        <v>0</v>
      </c>
      <c r="T360" s="6">
        <v>25</v>
      </c>
      <c r="U360" s="6">
        <v>0</v>
      </c>
      <c r="V360" s="6">
        <f>IF(ISERROR(VLOOKUP($S$360,'TAR FIN'!$A$1:$O$93,15,0)),0,VLOOKUP($S$360,'TAR FIN'!$A$1:$O$93,15,0))</f>
        <v>0</v>
      </c>
      <c r="W360" s="6">
        <f>IF(ISERROR(VLOOKUP($T$360,'TAR FIN'!$A$1:$O$93,15,0)),0,VLOOKUP($T$360,'TAR FIN'!$A$1:$O$93,15,0))</f>
        <v>69.489999999999995</v>
      </c>
      <c r="X360" s="6">
        <f>IF(ISERROR(VLOOKUP($U$360,'TAR FIN'!$A$1:$O$93,15,0)),0,VLOOKUP($U$360,'TAR FIN'!$A$1:$O$93,15,0))</f>
        <v>0</v>
      </c>
      <c r="Y360" s="6"/>
      <c r="Z360" s="6">
        <f ca="1">('TUSD BE'!$AM$16+'TUSD BF'!$AM$16+'TUSD CVA'!$AM$16)*1</f>
        <v>92.504793470158234</v>
      </c>
      <c r="AA360" s="6"/>
      <c r="AB360" s="6">
        <f>$K$360*$V$360</f>
        <v>0</v>
      </c>
      <c r="AC360" s="6">
        <f>$M$360*$W$360</f>
        <v>25211.319449999999</v>
      </c>
      <c r="AD360" s="6">
        <f>$O$360*$X$360</f>
        <v>0</v>
      </c>
      <c r="AE360" s="6">
        <f>$K$360*$Y$360</f>
        <v>0</v>
      </c>
      <c r="AF360" s="6">
        <f ca="1">$M$360*$Z$360</f>
        <v>33561.201594940758</v>
      </c>
      <c r="AG360" s="6">
        <f>$O$360*$AA$360</f>
        <v>0</v>
      </c>
    </row>
    <row r="361" spans="1:33" ht="11.25" customHeight="1" x14ac:dyDescent="0.25">
      <c r="A361" s="4" t="s">
        <v>21</v>
      </c>
      <c r="B361" s="4" t="s">
        <v>35</v>
      </c>
      <c r="C361" s="4" t="s">
        <v>39</v>
      </c>
      <c r="D361" s="4" t="s">
        <v>34</v>
      </c>
      <c r="E361" s="4" t="s">
        <v>25</v>
      </c>
      <c r="F361" s="4" t="s">
        <v>55</v>
      </c>
      <c r="G361" s="4" t="s">
        <v>25</v>
      </c>
      <c r="H361" s="4" t="s">
        <v>38</v>
      </c>
      <c r="I361" s="5">
        <v>44593</v>
      </c>
      <c r="J361" s="6">
        <v>0</v>
      </c>
      <c r="K361" s="6">
        <v>0</v>
      </c>
      <c r="L361" s="6">
        <v>453.40499999999997</v>
      </c>
      <c r="M361" s="6">
        <v>453.40499999999997</v>
      </c>
      <c r="N361" s="6">
        <v>0</v>
      </c>
      <c r="O361" s="6">
        <v>0</v>
      </c>
      <c r="P361" s="6">
        <v>0</v>
      </c>
      <c r="Q361" s="4" t="s">
        <v>54</v>
      </c>
      <c r="R361" s="4">
        <v>0</v>
      </c>
      <c r="S361" s="6">
        <v>0</v>
      </c>
      <c r="T361" s="6">
        <v>25</v>
      </c>
      <c r="U361" s="6">
        <v>0</v>
      </c>
      <c r="V361" s="6">
        <f>IF(ISERROR(VLOOKUP($S$361,'TAR FIN'!$A$1:$O$93,15,0)),0,VLOOKUP($S$361,'TAR FIN'!$A$1:$O$93,15,0))</f>
        <v>0</v>
      </c>
      <c r="W361" s="6">
        <f>IF(ISERROR(VLOOKUP($T$361,'TAR FIN'!$A$1:$O$93,15,0)),0,VLOOKUP($T$361,'TAR FIN'!$A$1:$O$93,15,0))</f>
        <v>69.489999999999995</v>
      </c>
      <c r="X361" s="6">
        <f>IF(ISERROR(VLOOKUP($U$361,'TAR FIN'!$A$1:$O$93,15,0)),0,VLOOKUP($U$361,'TAR FIN'!$A$1:$O$93,15,0))</f>
        <v>0</v>
      </c>
      <c r="Y361" s="6"/>
      <c r="Z361" s="6">
        <f ca="1">('TUSD BE'!$AM$16+'TUSD BF'!$AM$16+'TUSD CVA'!$AM$16)*1</f>
        <v>92.504793470158234</v>
      </c>
      <c r="AA361" s="6"/>
      <c r="AB361" s="6">
        <f>$K$361*$V$361</f>
        <v>0</v>
      </c>
      <c r="AC361" s="6">
        <f>$M$361*$W$361</f>
        <v>31507.113449999997</v>
      </c>
      <c r="AD361" s="6">
        <f>$O$361*$X$361</f>
        <v>0</v>
      </c>
      <c r="AE361" s="6">
        <f>$K$361*$Y$361</f>
        <v>0</v>
      </c>
      <c r="AF361" s="6">
        <f ca="1">$M$361*$Z$361</f>
        <v>41942.13588333709</v>
      </c>
      <c r="AG361" s="6">
        <f>$O$361*$AA$361</f>
        <v>0</v>
      </c>
    </row>
    <row r="362" spans="1:33" ht="11.25" customHeight="1" x14ac:dyDescent="0.25">
      <c r="A362" s="4" t="s">
        <v>21</v>
      </c>
      <c r="B362" s="4" t="s">
        <v>35</v>
      </c>
      <c r="C362" s="4" t="s">
        <v>39</v>
      </c>
      <c r="D362" s="4" t="s">
        <v>34</v>
      </c>
      <c r="E362" s="4" t="s">
        <v>25</v>
      </c>
      <c r="F362" s="4" t="s">
        <v>55</v>
      </c>
      <c r="G362" s="4" t="s">
        <v>25</v>
      </c>
      <c r="H362" s="4" t="s">
        <v>38</v>
      </c>
      <c r="I362" s="5">
        <v>44621</v>
      </c>
      <c r="J362" s="6">
        <v>0</v>
      </c>
      <c r="K362" s="6">
        <v>0</v>
      </c>
      <c r="L362" s="6">
        <v>484.22300000000001</v>
      </c>
      <c r="M362" s="6">
        <v>484.22300000000001</v>
      </c>
      <c r="N362" s="6">
        <v>0</v>
      </c>
      <c r="O362" s="6">
        <v>0</v>
      </c>
      <c r="P362" s="6">
        <v>0</v>
      </c>
      <c r="Q362" s="4" t="s">
        <v>54</v>
      </c>
      <c r="R362" s="4">
        <v>0</v>
      </c>
      <c r="S362" s="6">
        <v>0</v>
      </c>
      <c r="T362" s="6">
        <v>25</v>
      </c>
      <c r="U362" s="6">
        <v>0</v>
      </c>
      <c r="V362" s="6">
        <f>IF(ISERROR(VLOOKUP($S$362,'TAR FIN'!$A$1:$O$93,15,0)),0,VLOOKUP($S$362,'TAR FIN'!$A$1:$O$93,15,0))</f>
        <v>0</v>
      </c>
      <c r="W362" s="6">
        <f>IF(ISERROR(VLOOKUP($T$362,'TAR FIN'!$A$1:$O$93,15,0)),0,VLOOKUP($T$362,'TAR FIN'!$A$1:$O$93,15,0))</f>
        <v>69.489999999999995</v>
      </c>
      <c r="X362" s="6">
        <f>IF(ISERROR(VLOOKUP($U$362,'TAR FIN'!$A$1:$O$93,15,0)),0,VLOOKUP($U$362,'TAR FIN'!$A$1:$O$93,15,0))</f>
        <v>0</v>
      </c>
      <c r="Y362" s="6"/>
      <c r="Z362" s="6">
        <f ca="1">('TUSD BE'!$AM$16+'TUSD BF'!$AM$16+'TUSD CVA'!$AM$16)*1</f>
        <v>92.504793470158234</v>
      </c>
      <c r="AA362" s="6"/>
      <c r="AB362" s="6">
        <f>$K$362*$V$362</f>
        <v>0</v>
      </c>
      <c r="AC362" s="6">
        <f>$M$362*$W$362</f>
        <v>33648.656269999999</v>
      </c>
      <c r="AD362" s="6">
        <f>$O$362*$X$362</f>
        <v>0</v>
      </c>
      <c r="AE362" s="6">
        <f>$K$362*$Y$362</f>
        <v>0</v>
      </c>
      <c r="AF362" s="6">
        <f ca="1">$M$362*$Z$362</f>
        <v>44792.948608500432</v>
      </c>
      <c r="AG362" s="6">
        <f>$O$362*$AA$362</f>
        <v>0</v>
      </c>
    </row>
    <row r="363" spans="1:33" ht="11.25" customHeight="1" x14ac:dyDescent="0.25">
      <c r="A363" s="4" t="s">
        <v>65</v>
      </c>
      <c r="B363" s="4" t="s">
        <v>35</v>
      </c>
      <c r="C363" s="4" t="s">
        <v>39</v>
      </c>
      <c r="D363" s="4" t="s">
        <v>34</v>
      </c>
      <c r="E363" s="4" t="s">
        <v>25</v>
      </c>
      <c r="F363" s="4" t="s">
        <v>55</v>
      </c>
      <c r="G363" s="4" t="s">
        <v>25</v>
      </c>
      <c r="H363" s="4" t="s">
        <v>38</v>
      </c>
      <c r="I363" s="5">
        <v>44652</v>
      </c>
      <c r="J363" s="6">
        <v>0</v>
      </c>
      <c r="K363" s="6">
        <v>0</v>
      </c>
      <c r="L363" s="6">
        <v>484.22300000000001</v>
      </c>
      <c r="M363" s="6">
        <v>484.22300000000001</v>
      </c>
      <c r="N363" s="6">
        <v>0</v>
      </c>
      <c r="O363" s="6">
        <v>0</v>
      </c>
      <c r="P363" s="6">
        <v>0</v>
      </c>
      <c r="Q363" s="4" t="s">
        <v>54</v>
      </c>
      <c r="R363" s="4">
        <v>0</v>
      </c>
      <c r="S363" s="6">
        <v>0</v>
      </c>
      <c r="T363" s="6">
        <v>25</v>
      </c>
      <c r="U363" s="6">
        <v>0</v>
      </c>
      <c r="V363" s="6">
        <f>IF(ISERROR(VLOOKUP($S$363,'TAR FIN'!$A$1:$O$93,15,0)),0,VLOOKUP($S$363,'TAR FIN'!$A$1:$O$93,15,0))</f>
        <v>0</v>
      </c>
      <c r="W363" s="6">
        <f>IF(ISERROR(VLOOKUP($T$363,'TAR FIN'!$A$1:$O$93,15,0)),0,VLOOKUP($T$363,'TAR FIN'!$A$1:$O$93,15,0))</f>
        <v>69.489999999999995</v>
      </c>
      <c r="X363" s="6">
        <f>IF(ISERROR(VLOOKUP($U$363,'TAR FIN'!$A$1:$O$93,15,0)),0,VLOOKUP($U$363,'TAR FIN'!$A$1:$O$93,15,0))</f>
        <v>0</v>
      </c>
      <c r="Y363" s="6"/>
      <c r="Z363" s="6">
        <f ca="1">('TUSD BE'!$AM$16+'TUSD BF'!$AM$16+'TUSD CVA'!$AM$16)*1</f>
        <v>92.504793470158234</v>
      </c>
      <c r="AA363" s="6"/>
      <c r="AB363" s="6">
        <f>$K$363*$V$363</f>
        <v>0</v>
      </c>
      <c r="AC363" s="6">
        <f>$M$363*$W$363</f>
        <v>33648.656269999999</v>
      </c>
      <c r="AD363" s="6">
        <f>$O$363*$X$363</f>
        <v>0</v>
      </c>
      <c r="AE363" s="6">
        <f>$K$363*$Y$363</f>
        <v>0</v>
      </c>
      <c r="AF363" s="6">
        <f ca="1">$M$363*$Z$363</f>
        <v>44792.948608500432</v>
      </c>
      <c r="AG363" s="6">
        <f>$O$363*$AA$363</f>
        <v>0</v>
      </c>
    </row>
    <row r="364" spans="1:33" ht="11.25" customHeight="1" x14ac:dyDescent="0.25">
      <c r="A364" s="4" t="s">
        <v>21</v>
      </c>
      <c r="B364" s="4" t="s">
        <v>35</v>
      </c>
      <c r="C364" s="4" t="s">
        <v>39</v>
      </c>
      <c r="D364" s="4" t="s">
        <v>34</v>
      </c>
      <c r="E364" s="4" t="s">
        <v>25</v>
      </c>
      <c r="F364" s="4" t="s">
        <v>55</v>
      </c>
      <c r="G364" s="4" t="s">
        <v>25</v>
      </c>
      <c r="H364" s="4" t="s">
        <v>38</v>
      </c>
      <c r="I364" s="5">
        <v>44682</v>
      </c>
      <c r="J364" s="6">
        <v>0</v>
      </c>
      <c r="K364" s="6">
        <v>0</v>
      </c>
      <c r="L364" s="6">
        <v>1545.7550000000001</v>
      </c>
      <c r="M364" s="6">
        <v>1545.7550000000001</v>
      </c>
      <c r="N364" s="6">
        <v>0</v>
      </c>
      <c r="O364" s="6">
        <v>0</v>
      </c>
      <c r="P364" s="6">
        <v>0</v>
      </c>
      <c r="Q364" s="4" t="s">
        <v>54</v>
      </c>
      <c r="R364" s="4">
        <v>0</v>
      </c>
      <c r="S364" s="6">
        <v>0</v>
      </c>
      <c r="T364" s="6">
        <v>25</v>
      </c>
      <c r="U364" s="6">
        <v>0</v>
      </c>
      <c r="V364" s="6">
        <f>IF(ISERROR(VLOOKUP($S$364,'TAR FIN'!$A$1:$O$93,15,0)),0,VLOOKUP($S$364,'TAR FIN'!$A$1:$O$93,15,0))</f>
        <v>0</v>
      </c>
      <c r="W364" s="6">
        <f>IF(ISERROR(VLOOKUP($T$364,'TAR FIN'!$A$1:$O$93,15,0)),0,VLOOKUP($T$364,'TAR FIN'!$A$1:$O$93,15,0))</f>
        <v>69.489999999999995</v>
      </c>
      <c r="X364" s="6">
        <f>IF(ISERROR(VLOOKUP($U$364,'TAR FIN'!$A$1:$O$93,15,0)),0,VLOOKUP($U$364,'TAR FIN'!$A$1:$O$93,15,0))</f>
        <v>0</v>
      </c>
      <c r="Y364" s="6"/>
      <c r="Z364" s="6">
        <f ca="1">('TUSD BE'!$AM$16+'TUSD BF'!$AM$16+'TUSD CVA'!$AM$16)*1</f>
        <v>92.504793470158234</v>
      </c>
      <c r="AA364" s="6"/>
      <c r="AB364" s="6">
        <f>$K$364*$V$364</f>
        <v>0</v>
      </c>
      <c r="AC364" s="6">
        <f>$M$364*$W$364</f>
        <v>107414.51495</v>
      </c>
      <c r="AD364" s="6">
        <f>$O$364*$X$364</f>
        <v>0</v>
      </c>
      <c r="AE364" s="6">
        <f>$K$364*$Y$364</f>
        <v>0</v>
      </c>
      <c r="AF364" s="6">
        <f ca="1">$M$364*$Z$364</f>
        <v>142989.74703046444</v>
      </c>
      <c r="AG364" s="6">
        <f>$O$364*$AA$364</f>
        <v>0</v>
      </c>
    </row>
    <row r="365" spans="1:33" ht="11.25" customHeight="1" x14ac:dyDescent="0.25">
      <c r="A365" s="4" t="s">
        <v>21</v>
      </c>
      <c r="B365" s="4" t="s">
        <v>35</v>
      </c>
      <c r="C365" s="4" t="s">
        <v>39</v>
      </c>
      <c r="D365" s="4" t="s">
        <v>34</v>
      </c>
      <c r="E365" s="4" t="s">
        <v>25</v>
      </c>
      <c r="F365" s="4" t="s">
        <v>55</v>
      </c>
      <c r="G365" s="4" t="s">
        <v>25</v>
      </c>
      <c r="H365" s="4" t="s">
        <v>38</v>
      </c>
      <c r="I365" s="5">
        <v>44713</v>
      </c>
      <c r="J365" s="6">
        <v>0</v>
      </c>
      <c r="K365" s="6">
        <v>0</v>
      </c>
      <c r="L365" s="6">
        <v>1995.7719999999999</v>
      </c>
      <c r="M365" s="6">
        <v>1995.7719999999999</v>
      </c>
      <c r="N365" s="6">
        <v>0</v>
      </c>
      <c r="O365" s="6">
        <v>0</v>
      </c>
      <c r="P365" s="6">
        <v>0</v>
      </c>
      <c r="Q365" s="4" t="s">
        <v>54</v>
      </c>
      <c r="R365" s="4">
        <v>0</v>
      </c>
      <c r="S365" s="6">
        <v>0</v>
      </c>
      <c r="T365" s="6">
        <v>25</v>
      </c>
      <c r="U365" s="6">
        <v>0</v>
      </c>
      <c r="V365" s="6">
        <f>IF(ISERROR(VLOOKUP($S$365,'TAR FIN'!$A$1:$O$93,15,0)),0,VLOOKUP($S$365,'TAR FIN'!$A$1:$O$93,15,0))</f>
        <v>0</v>
      </c>
      <c r="W365" s="6">
        <f>IF(ISERROR(VLOOKUP($T$365,'TAR FIN'!$A$1:$O$93,15,0)),0,VLOOKUP($T$365,'TAR FIN'!$A$1:$O$93,15,0))</f>
        <v>69.489999999999995</v>
      </c>
      <c r="X365" s="6">
        <f>IF(ISERROR(VLOOKUP($U$365,'TAR FIN'!$A$1:$O$93,15,0)),0,VLOOKUP($U$365,'TAR FIN'!$A$1:$O$93,15,0))</f>
        <v>0</v>
      </c>
      <c r="Y365" s="6"/>
      <c r="Z365" s="6">
        <f ca="1">('TUSD BE'!$AM$16+'TUSD BF'!$AM$16+'TUSD CVA'!$AM$16)*1</f>
        <v>92.504793470158234</v>
      </c>
      <c r="AA365" s="6"/>
      <c r="AB365" s="6">
        <f>$K$365*$V$365</f>
        <v>0</v>
      </c>
      <c r="AC365" s="6">
        <f>$M$365*$W$365</f>
        <v>138686.19627999997</v>
      </c>
      <c r="AD365" s="6">
        <f>$O$365*$X$365</f>
        <v>0</v>
      </c>
      <c r="AE365" s="6">
        <f>$K$365*$Y$365</f>
        <v>0</v>
      </c>
      <c r="AF365" s="6">
        <f ca="1">$M$365*$Z$365</f>
        <v>184618.47667352462</v>
      </c>
      <c r="AG365" s="6">
        <f>$O$365*$AA$365</f>
        <v>0</v>
      </c>
    </row>
    <row r="366" spans="1:33" ht="11.25" customHeight="1" x14ac:dyDescent="0.25">
      <c r="A366" s="4" t="s">
        <v>21</v>
      </c>
      <c r="B366" s="4" t="s">
        <v>35</v>
      </c>
      <c r="C366" s="4" t="s">
        <v>39</v>
      </c>
      <c r="D366" s="4" t="s">
        <v>34</v>
      </c>
      <c r="E366" s="4" t="s">
        <v>25</v>
      </c>
      <c r="F366" s="4" t="s">
        <v>55</v>
      </c>
      <c r="G366" s="4" t="s">
        <v>25</v>
      </c>
      <c r="H366" s="4" t="s">
        <v>25</v>
      </c>
      <c r="I366" s="5">
        <v>44378</v>
      </c>
      <c r="J366" s="6">
        <v>1822</v>
      </c>
      <c r="K366" s="6">
        <v>652.27599999999995</v>
      </c>
      <c r="L366" s="6">
        <v>0</v>
      </c>
      <c r="M366" s="6">
        <v>0</v>
      </c>
      <c r="N366" s="6">
        <v>0</v>
      </c>
      <c r="O366" s="6">
        <v>0</v>
      </c>
      <c r="P366" s="6">
        <v>3</v>
      </c>
      <c r="Q366" s="4" t="s">
        <v>54</v>
      </c>
      <c r="R366" s="4">
        <v>0</v>
      </c>
      <c r="S366" s="6">
        <v>18</v>
      </c>
      <c r="T366" s="6">
        <v>0</v>
      </c>
      <c r="U366" s="6">
        <v>0</v>
      </c>
      <c r="V366" s="6">
        <f>IF(ISERROR(VLOOKUP($S$366,'TAR FIN'!$A$1:$O$93,15,0)),0,VLOOKUP($S$366,'TAR FIN'!$A$1:$O$93,15,0))</f>
        <v>26.17</v>
      </c>
      <c r="W366" s="6">
        <f>IF(ISERROR(VLOOKUP($T$366,'TAR FIN'!$A$1:$O$93,15,0)),0,VLOOKUP($T$366,'TAR FIN'!$A$1:$O$93,15,0))</f>
        <v>0</v>
      </c>
      <c r="X366" s="6">
        <f>IF(ISERROR(VLOOKUP($U$366,'TAR FIN'!$A$1:$O$93,15,0)),0,VLOOKUP($U$366,'TAR FIN'!$A$1:$O$93,15,0))</f>
        <v>0</v>
      </c>
      <c r="Y366" s="6">
        <f ca="1">('TUSD BE'!$AM$14+'TUSD BF'!$AM$14+'TUSD CVA'!$AM$14)*1</f>
        <v>30.453482365333407</v>
      </c>
      <c r="Z366" s="6"/>
      <c r="AA366" s="6"/>
      <c r="AB366" s="6">
        <f>$K$366*$V$366</f>
        <v>17070.06292</v>
      </c>
      <c r="AC366" s="6">
        <f>$M$366*$W$366</f>
        <v>0</v>
      </c>
      <c r="AD366" s="6">
        <f>$O$366*$X$366</f>
        <v>0</v>
      </c>
      <c r="AE366" s="6">
        <f ca="1">$K$366*$Y$366</f>
        <v>19864.075663330212</v>
      </c>
      <c r="AF366" s="6">
        <f>$M$366*$Z$366</f>
        <v>0</v>
      </c>
      <c r="AG366" s="6">
        <f>$O$366*$AA$366</f>
        <v>0</v>
      </c>
    </row>
    <row r="367" spans="1:33" ht="11.25" customHeight="1" x14ac:dyDescent="0.25">
      <c r="A367" s="4" t="s">
        <v>21</v>
      </c>
      <c r="B367" s="4" t="s">
        <v>35</v>
      </c>
      <c r="C367" s="4" t="s">
        <v>39</v>
      </c>
      <c r="D367" s="4" t="s">
        <v>34</v>
      </c>
      <c r="E367" s="4" t="s">
        <v>25</v>
      </c>
      <c r="F367" s="4" t="s">
        <v>55</v>
      </c>
      <c r="G367" s="4" t="s">
        <v>25</v>
      </c>
      <c r="H367" s="4" t="s">
        <v>25</v>
      </c>
      <c r="I367" s="5">
        <v>44409</v>
      </c>
      <c r="J367" s="6">
        <v>2535</v>
      </c>
      <c r="K367" s="6">
        <v>1133.145</v>
      </c>
      <c r="L367" s="6">
        <v>0</v>
      </c>
      <c r="M367" s="6">
        <v>0</v>
      </c>
      <c r="N367" s="6">
        <v>0</v>
      </c>
      <c r="O367" s="6">
        <v>0</v>
      </c>
      <c r="P367" s="6">
        <v>4</v>
      </c>
      <c r="Q367" s="4" t="s">
        <v>54</v>
      </c>
      <c r="R367" s="4">
        <v>0</v>
      </c>
      <c r="S367" s="6">
        <v>18</v>
      </c>
      <c r="T367" s="6">
        <v>0</v>
      </c>
      <c r="U367" s="6">
        <v>0</v>
      </c>
      <c r="V367" s="6">
        <f>IF(ISERROR(VLOOKUP($S$367,'TAR FIN'!$A$1:$O$93,15,0)),0,VLOOKUP($S$367,'TAR FIN'!$A$1:$O$93,15,0))</f>
        <v>26.17</v>
      </c>
      <c r="W367" s="6">
        <f>IF(ISERROR(VLOOKUP($T$367,'TAR FIN'!$A$1:$O$93,15,0)),0,VLOOKUP($T$367,'TAR FIN'!$A$1:$O$93,15,0))</f>
        <v>0</v>
      </c>
      <c r="X367" s="6">
        <f>IF(ISERROR(VLOOKUP($U$367,'TAR FIN'!$A$1:$O$93,15,0)),0,VLOOKUP($U$367,'TAR FIN'!$A$1:$O$93,15,0))</f>
        <v>0</v>
      </c>
      <c r="Y367" s="6">
        <f ca="1">('TUSD BE'!$AM$14+'TUSD BF'!$AM$14+'TUSD CVA'!$AM$14)*1</f>
        <v>30.453482365333407</v>
      </c>
      <c r="Z367" s="6"/>
      <c r="AA367" s="6"/>
      <c r="AB367" s="6">
        <f>$K$367*$V$367</f>
        <v>29654.40465</v>
      </c>
      <c r="AC367" s="6">
        <f>$M$367*$W$367</f>
        <v>0</v>
      </c>
      <c r="AD367" s="6">
        <f>$O$367*$X$367</f>
        <v>0</v>
      </c>
      <c r="AE367" s="6">
        <f ca="1">$K$367*$Y$367</f>
        <v>34508.211274865724</v>
      </c>
      <c r="AF367" s="6">
        <f>$M$367*$Z$367</f>
        <v>0</v>
      </c>
      <c r="AG367" s="6">
        <f>$O$367*$AA$367</f>
        <v>0</v>
      </c>
    </row>
    <row r="368" spans="1:33" ht="11.25" customHeight="1" x14ac:dyDescent="0.25">
      <c r="A368" s="4" t="s">
        <v>21</v>
      </c>
      <c r="B368" s="4" t="s">
        <v>35</v>
      </c>
      <c r="C368" s="4" t="s">
        <v>39</v>
      </c>
      <c r="D368" s="4" t="s">
        <v>34</v>
      </c>
      <c r="E368" s="4" t="s">
        <v>25</v>
      </c>
      <c r="F368" s="4" t="s">
        <v>55</v>
      </c>
      <c r="G368" s="4" t="s">
        <v>25</v>
      </c>
      <c r="H368" s="4" t="s">
        <v>25</v>
      </c>
      <c r="I368" s="5">
        <v>44440</v>
      </c>
      <c r="J368" s="6">
        <v>3085</v>
      </c>
      <c r="K368" s="6">
        <v>1823.2349999999999</v>
      </c>
      <c r="L368" s="6">
        <v>0</v>
      </c>
      <c r="M368" s="6">
        <v>0</v>
      </c>
      <c r="N368" s="6">
        <v>0</v>
      </c>
      <c r="O368" s="6">
        <v>0</v>
      </c>
      <c r="P368" s="6">
        <v>5</v>
      </c>
      <c r="Q368" s="4" t="s">
        <v>54</v>
      </c>
      <c r="R368" s="4">
        <v>0</v>
      </c>
      <c r="S368" s="6">
        <v>18</v>
      </c>
      <c r="T368" s="6">
        <v>0</v>
      </c>
      <c r="U368" s="6">
        <v>0</v>
      </c>
      <c r="V368" s="6">
        <f>IF(ISERROR(VLOOKUP($S$368,'TAR FIN'!$A$1:$O$93,15,0)),0,VLOOKUP($S$368,'TAR FIN'!$A$1:$O$93,15,0))</f>
        <v>26.17</v>
      </c>
      <c r="W368" s="6">
        <f>IF(ISERROR(VLOOKUP($T$368,'TAR FIN'!$A$1:$O$93,15,0)),0,VLOOKUP($T$368,'TAR FIN'!$A$1:$O$93,15,0))</f>
        <v>0</v>
      </c>
      <c r="X368" s="6">
        <f>IF(ISERROR(VLOOKUP($U$368,'TAR FIN'!$A$1:$O$93,15,0)),0,VLOOKUP($U$368,'TAR FIN'!$A$1:$O$93,15,0))</f>
        <v>0</v>
      </c>
      <c r="Y368" s="6">
        <f ca="1">('TUSD BE'!$AM$14+'TUSD BF'!$AM$14+'TUSD CVA'!$AM$14)*1</f>
        <v>30.453482365333407</v>
      </c>
      <c r="Z368" s="6"/>
      <c r="AA368" s="6"/>
      <c r="AB368" s="6">
        <f>$K$368*$V$368</f>
        <v>47714.059950000003</v>
      </c>
      <c r="AC368" s="6">
        <f>$M$368*$W$368</f>
        <v>0</v>
      </c>
      <c r="AD368" s="6">
        <f>$O$368*$X$368</f>
        <v>0</v>
      </c>
      <c r="AE368" s="6">
        <f ca="1">$K$368*$Y$368</f>
        <v>55523.854920358652</v>
      </c>
      <c r="AF368" s="6">
        <f>$M$368*$Z$368</f>
        <v>0</v>
      </c>
      <c r="AG368" s="6">
        <f>$O$368*$AA$368</f>
        <v>0</v>
      </c>
    </row>
    <row r="369" spans="1:33" ht="11.25" customHeight="1" x14ac:dyDescent="0.25">
      <c r="A369" s="4" t="s">
        <v>21</v>
      </c>
      <c r="B369" s="4" t="s">
        <v>35</v>
      </c>
      <c r="C369" s="4" t="s">
        <v>39</v>
      </c>
      <c r="D369" s="4" t="s">
        <v>34</v>
      </c>
      <c r="E369" s="4" t="s">
        <v>25</v>
      </c>
      <c r="F369" s="4" t="s">
        <v>55</v>
      </c>
      <c r="G369" s="4" t="s">
        <v>25</v>
      </c>
      <c r="H369" s="4" t="s">
        <v>25</v>
      </c>
      <c r="I369" s="5">
        <v>44470</v>
      </c>
      <c r="J369" s="6">
        <v>3172</v>
      </c>
      <c r="K369" s="6">
        <v>1665.3</v>
      </c>
      <c r="L369" s="6">
        <v>0</v>
      </c>
      <c r="M369" s="6">
        <v>0</v>
      </c>
      <c r="N369" s="6">
        <v>0</v>
      </c>
      <c r="O369" s="6">
        <v>0</v>
      </c>
      <c r="P369" s="6">
        <v>5</v>
      </c>
      <c r="Q369" s="4" t="s">
        <v>54</v>
      </c>
      <c r="R369" s="4">
        <v>0</v>
      </c>
      <c r="S369" s="6">
        <v>18</v>
      </c>
      <c r="T369" s="6">
        <v>0</v>
      </c>
      <c r="U369" s="6">
        <v>0</v>
      </c>
      <c r="V369" s="6">
        <f>IF(ISERROR(VLOOKUP($S$369,'TAR FIN'!$A$1:$O$93,15,0)),0,VLOOKUP($S$369,'TAR FIN'!$A$1:$O$93,15,0))</f>
        <v>26.17</v>
      </c>
      <c r="W369" s="6">
        <f>IF(ISERROR(VLOOKUP($T$369,'TAR FIN'!$A$1:$O$93,15,0)),0,VLOOKUP($T$369,'TAR FIN'!$A$1:$O$93,15,0))</f>
        <v>0</v>
      </c>
      <c r="X369" s="6">
        <f>IF(ISERROR(VLOOKUP($U$369,'TAR FIN'!$A$1:$O$93,15,0)),0,VLOOKUP($U$369,'TAR FIN'!$A$1:$O$93,15,0))</f>
        <v>0</v>
      </c>
      <c r="Y369" s="6">
        <f ca="1">('TUSD BE'!$AM$14+'TUSD BF'!$AM$14+'TUSD CVA'!$AM$14)*1</f>
        <v>30.453482365333407</v>
      </c>
      <c r="Z369" s="6"/>
      <c r="AA369" s="6"/>
      <c r="AB369" s="6">
        <f>$K$369*$V$369</f>
        <v>43580.900999999998</v>
      </c>
      <c r="AC369" s="6">
        <f>$M$369*$W$369</f>
        <v>0</v>
      </c>
      <c r="AD369" s="6">
        <f>$O$369*$X$369</f>
        <v>0</v>
      </c>
      <c r="AE369" s="6">
        <f ca="1">$K$369*$Y$369</f>
        <v>50714.184182989724</v>
      </c>
      <c r="AF369" s="6">
        <f>$M$369*$Z$369</f>
        <v>0</v>
      </c>
      <c r="AG369" s="6">
        <f>$O$369*$AA$369</f>
        <v>0</v>
      </c>
    </row>
    <row r="370" spans="1:33" ht="11.25" customHeight="1" x14ac:dyDescent="0.25">
      <c r="A370" s="4" t="s">
        <v>21</v>
      </c>
      <c r="B370" s="4" t="s">
        <v>35</v>
      </c>
      <c r="C370" s="4" t="s">
        <v>39</v>
      </c>
      <c r="D370" s="4" t="s">
        <v>34</v>
      </c>
      <c r="E370" s="4" t="s">
        <v>25</v>
      </c>
      <c r="F370" s="4" t="s">
        <v>55</v>
      </c>
      <c r="G370" s="4" t="s">
        <v>25</v>
      </c>
      <c r="H370" s="4" t="s">
        <v>25</v>
      </c>
      <c r="I370" s="5">
        <v>44501</v>
      </c>
      <c r="J370" s="6">
        <v>3034</v>
      </c>
      <c r="K370" s="6">
        <v>1535.204</v>
      </c>
      <c r="L370" s="6">
        <v>0</v>
      </c>
      <c r="M370" s="6">
        <v>0</v>
      </c>
      <c r="N370" s="6">
        <v>0</v>
      </c>
      <c r="O370" s="6">
        <v>0</v>
      </c>
      <c r="P370" s="6">
        <v>5</v>
      </c>
      <c r="Q370" s="4" t="s">
        <v>54</v>
      </c>
      <c r="R370" s="4">
        <v>0</v>
      </c>
      <c r="S370" s="6">
        <v>18</v>
      </c>
      <c r="T370" s="6">
        <v>0</v>
      </c>
      <c r="U370" s="6">
        <v>0</v>
      </c>
      <c r="V370" s="6">
        <f>IF(ISERROR(VLOOKUP($S$370,'TAR FIN'!$A$1:$O$93,15,0)),0,VLOOKUP($S$370,'TAR FIN'!$A$1:$O$93,15,0))</f>
        <v>26.17</v>
      </c>
      <c r="W370" s="6">
        <f>IF(ISERROR(VLOOKUP($T$370,'TAR FIN'!$A$1:$O$93,15,0)),0,VLOOKUP($T$370,'TAR FIN'!$A$1:$O$93,15,0))</f>
        <v>0</v>
      </c>
      <c r="X370" s="6">
        <f>IF(ISERROR(VLOOKUP($U$370,'TAR FIN'!$A$1:$O$93,15,0)),0,VLOOKUP($U$370,'TAR FIN'!$A$1:$O$93,15,0))</f>
        <v>0</v>
      </c>
      <c r="Y370" s="6">
        <f ca="1">('TUSD BE'!$AM$14+'TUSD BF'!$AM$14+'TUSD CVA'!$AM$14)*1</f>
        <v>30.453482365333407</v>
      </c>
      <c r="Z370" s="6"/>
      <c r="AA370" s="6"/>
      <c r="AB370" s="6">
        <f>$K$370*$V$370</f>
        <v>40176.288679999998</v>
      </c>
      <c r="AC370" s="6">
        <f>$M$370*$W$370</f>
        <v>0</v>
      </c>
      <c r="AD370" s="6">
        <f>$O$370*$X$370</f>
        <v>0</v>
      </c>
      <c r="AE370" s="6">
        <f ca="1">$K$370*$Y$370</f>
        <v>46752.307941189305</v>
      </c>
      <c r="AF370" s="6">
        <f>$M$370*$Z$370</f>
        <v>0</v>
      </c>
      <c r="AG370" s="6">
        <f>$O$370*$AA$370</f>
        <v>0</v>
      </c>
    </row>
    <row r="371" spans="1:33" ht="11.25" customHeight="1" x14ac:dyDescent="0.25">
      <c r="A371" s="4" t="s">
        <v>65</v>
      </c>
      <c r="B371" s="4" t="s">
        <v>35</v>
      </c>
      <c r="C371" s="4" t="s">
        <v>39</v>
      </c>
      <c r="D371" s="4" t="s">
        <v>34</v>
      </c>
      <c r="E371" s="4" t="s">
        <v>25</v>
      </c>
      <c r="F371" s="4" t="s">
        <v>55</v>
      </c>
      <c r="G371" s="4" t="s">
        <v>25</v>
      </c>
      <c r="H371" s="4" t="s">
        <v>25</v>
      </c>
      <c r="I371" s="5">
        <v>44531</v>
      </c>
      <c r="J371" s="6">
        <v>3034</v>
      </c>
      <c r="K371" s="6">
        <v>1535.204</v>
      </c>
      <c r="L371" s="6">
        <v>0</v>
      </c>
      <c r="M371" s="6">
        <v>0</v>
      </c>
      <c r="N371" s="6">
        <v>0</v>
      </c>
      <c r="O371" s="6">
        <v>0</v>
      </c>
      <c r="P371" s="6">
        <v>5</v>
      </c>
      <c r="Q371" s="4" t="s">
        <v>54</v>
      </c>
      <c r="R371" s="4">
        <v>0</v>
      </c>
      <c r="S371" s="6">
        <v>18</v>
      </c>
      <c r="T371" s="6">
        <v>0</v>
      </c>
      <c r="U371" s="6">
        <v>0</v>
      </c>
      <c r="V371" s="6">
        <f>IF(ISERROR(VLOOKUP($S$371,'TAR FIN'!$A$1:$O$93,15,0)),0,VLOOKUP($S$371,'TAR FIN'!$A$1:$O$93,15,0))</f>
        <v>26.17</v>
      </c>
      <c r="W371" s="6">
        <f>IF(ISERROR(VLOOKUP($T$371,'TAR FIN'!$A$1:$O$93,15,0)),0,VLOOKUP($T$371,'TAR FIN'!$A$1:$O$93,15,0))</f>
        <v>0</v>
      </c>
      <c r="X371" s="6">
        <f>IF(ISERROR(VLOOKUP($U$371,'TAR FIN'!$A$1:$O$93,15,0)),0,VLOOKUP($U$371,'TAR FIN'!$A$1:$O$93,15,0))</f>
        <v>0</v>
      </c>
      <c r="Y371" s="6">
        <f ca="1">('TUSD BE'!$AM$14+'TUSD BF'!$AM$14+'TUSD CVA'!$AM$14)*1</f>
        <v>30.453482365333407</v>
      </c>
      <c r="Z371" s="6"/>
      <c r="AA371" s="6"/>
      <c r="AB371" s="6">
        <f>$K$371*$V$371</f>
        <v>40176.288679999998</v>
      </c>
      <c r="AC371" s="6">
        <f>$M$371*$W$371</f>
        <v>0</v>
      </c>
      <c r="AD371" s="6">
        <f>$O$371*$X$371</f>
        <v>0</v>
      </c>
      <c r="AE371" s="6">
        <f ca="1">$K$371*$Y$371</f>
        <v>46752.307941189305</v>
      </c>
      <c r="AF371" s="6">
        <f>$M$371*$Z$371</f>
        <v>0</v>
      </c>
      <c r="AG371" s="6">
        <f>$O$371*$AA$371</f>
        <v>0</v>
      </c>
    </row>
    <row r="372" spans="1:33" ht="11.25" customHeight="1" x14ac:dyDescent="0.25">
      <c r="A372" s="4" t="s">
        <v>21</v>
      </c>
      <c r="B372" s="4" t="s">
        <v>35</v>
      </c>
      <c r="C372" s="4" t="s">
        <v>39</v>
      </c>
      <c r="D372" s="4" t="s">
        <v>34</v>
      </c>
      <c r="E372" s="4" t="s">
        <v>25</v>
      </c>
      <c r="F372" s="4" t="s">
        <v>55</v>
      </c>
      <c r="G372" s="4" t="s">
        <v>25</v>
      </c>
      <c r="H372" s="4" t="s">
        <v>25</v>
      </c>
      <c r="I372" s="5">
        <v>44562</v>
      </c>
      <c r="J372" s="6">
        <v>3855</v>
      </c>
      <c r="K372" s="6">
        <v>2170.3649999999998</v>
      </c>
      <c r="L372" s="6">
        <v>0</v>
      </c>
      <c r="M372" s="6">
        <v>0</v>
      </c>
      <c r="N372" s="6">
        <v>0</v>
      </c>
      <c r="O372" s="6">
        <v>0</v>
      </c>
      <c r="P372" s="6">
        <v>5</v>
      </c>
      <c r="Q372" s="4" t="s">
        <v>54</v>
      </c>
      <c r="R372" s="4">
        <v>0</v>
      </c>
      <c r="S372" s="6">
        <v>18</v>
      </c>
      <c r="T372" s="6">
        <v>0</v>
      </c>
      <c r="U372" s="6">
        <v>0</v>
      </c>
      <c r="V372" s="6">
        <f>IF(ISERROR(VLOOKUP($S$372,'TAR FIN'!$A$1:$O$93,15,0)),0,VLOOKUP($S$372,'TAR FIN'!$A$1:$O$93,15,0))</f>
        <v>26.17</v>
      </c>
      <c r="W372" s="6">
        <f>IF(ISERROR(VLOOKUP($T$372,'TAR FIN'!$A$1:$O$93,15,0)),0,VLOOKUP($T$372,'TAR FIN'!$A$1:$O$93,15,0))</f>
        <v>0</v>
      </c>
      <c r="X372" s="6">
        <f>IF(ISERROR(VLOOKUP($U$372,'TAR FIN'!$A$1:$O$93,15,0)),0,VLOOKUP($U$372,'TAR FIN'!$A$1:$O$93,15,0))</f>
        <v>0</v>
      </c>
      <c r="Y372" s="6">
        <f ca="1">('TUSD BE'!$AM$14+'TUSD BF'!$AM$14+'TUSD CVA'!$AM$14)*1</f>
        <v>30.453482365333407</v>
      </c>
      <c r="Z372" s="6"/>
      <c r="AA372" s="6"/>
      <c r="AB372" s="6">
        <f>$K$372*$V$372</f>
        <v>56798.45205</v>
      </c>
      <c r="AC372" s="6">
        <f>$M$372*$W$372</f>
        <v>0</v>
      </c>
      <c r="AD372" s="6">
        <f>$O$372*$X$372</f>
        <v>0</v>
      </c>
      <c r="AE372" s="6">
        <f ca="1">$K$372*$Y$372</f>
        <v>66095.172253836834</v>
      </c>
      <c r="AF372" s="6">
        <f>$M$372*$Z$372</f>
        <v>0</v>
      </c>
      <c r="AG372" s="6">
        <f>$O$372*$AA$372</f>
        <v>0</v>
      </c>
    </row>
    <row r="373" spans="1:33" ht="11.25" customHeight="1" x14ac:dyDescent="0.25">
      <c r="A373" s="4" t="s">
        <v>21</v>
      </c>
      <c r="B373" s="4" t="s">
        <v>35</v>
      </c>
      <c r="C373" s="4" t="s">
        <v>39</v>
      </c>
      <c r="D373" s="4" t="s">
        <v>34</v>
      </c>
      <c r="E373" s="4" t="s">
        <v>25</v>
      </c>
      <c r="F373" s="4" t="s">
        <v>55</v>
      </c>
      <c r="G373" s="4" t="s">
        <v>25</v>
      </c>
      <c r="H373" s="4" t="s">
        <v>25</v>
      </c>
      <c r="I373" s="5">
        <v>44593</v>
      </c>
      <c r="J373" s="6">
        <v>4613</v>
      </c>
      <c r="K373" s="6">
        <v>1942.0730000000001</v>
      </c>
      <c r="L373" s="6">
        <v>0</v>
      </c>
      <c r="M373" s="6">
        <v>0</v>
      </c>
      <c r="N373" s="6">
        <v>0</v>
      </c>
      <c r="O373" s="6">
        <v>0</v>
      </c>
      <c r="P373" s="6">
        <v>6</v>
      </c>
      <c r="Q373" s="4" t="s">
        <v>54</v>
      </c>
      <c r="R373" s="4">
        <v>0</v>
      </c>
      <c r="S373" s="6">
        <v>18</v>
      </c>
      <c r="T373" s="6">
        <v>0</v>
      </c>
      <c r="U373" s="6">
        <v>0</v>
      </c>
      <c r="V373" s="6">
        <f>IF(ISERROR(VLOOKUP($S$373,'TAR FIN'!$A$1:$O$93,15,0)),0,VLOOKUP($S$373,'TAR FIN'!$A$1:$O$93,15,0))</f>
        <v>26.17</v>
      </c>
      <c r="W373" s="6">
        <f>IF(ISERROR(VLOOKUP($T$373,'TAR FIN'!$A$1:$O$93,15,0)),0,VLOOKUP($T$373,'TAR FIN'!$A$1:$O$93,15,0))</f>
        <v>0</v>
      </c>
      <c r="X373" s="6">
        <f>IF(ISERROR(VLOOKUP($U$373,'TAR FIN'!$A$1:$O$93,15,0)),0,VLOOKUP($U$373,'TAR FIN'!$A$1:$O$93,15,0))</f>
        <v>0</v>
      </c>
      <c r="Y373" s="6">
        <f ca="1">('TUSD BE'!$AM$14+'TUSD BF'!$AM$14+'TUSD CVA'!$AM$14)*1</f>
        <v>30.453482365333407</v>
      </c>
      <c r="Z373" s="6"/>
      <c r="AA373" s="6"/>
      <c r="AB373" s="6">
        <f>$K$373*$V$373</f>
        <v>50824.050410000003</v>
      </c>
      <c r="AC373" s="6">
        <f>$M$373*$W$373</f>
        <v>0</v>
      </c>
      <c r="AD373" s="6">
        <f>$O$373*$X$373</f>
        <v>0</v>
      </c>
      <c r="AE373" s="6">
        <f ca="1">$K$373*$Y$373</f>
        <v>59142.885857690148</v>
      </c>
      <c r="AF373" s="6">
        <f>$M$373*$Z$373</f>
        <v>0</v>
      </c>
      <c r="AG373" s="6">
        <f>$O$373*$AA$373</f>
        <v>0</v>
      </c>
    </row>
    <row r="374" spans="1:33" ht="11.25" customHeight="1" x14ac:dyDescent="0.25">
      <c r="A374" s="4" t="s">
        <v>21</v>
      </c>
      <c r="B374" s="4" t="s">
        <v>35</v>
      </c>
      <c r="C374" s="4" t="s">
        <v>39</v>
      </c>
      <c r="D374" s="4" t="s">
        <v>34</v>
      </c>
      <c r="E374" s="4" t="s">
        <v>25</v>
      </c>
      <c r="F374" s="4" t="s">
        <v>55</v>
      </c>
      <c r="G374" s="4" t="s">
        <v>25</v>
      </c>
      <c r="H374" s="4" t="s">
        <v>25</v>
      </c>
      <c r="I374" s="5">
        <v>44621</v>
      </c>
      <c r="J374" s="6">
        <v>4183</v>
      </c>
      <c r="K374" s="6">
        <v>1765.2260000000001</v>
      </c>
      <c r="L374" s="6">
        <v>0</v>
      </c>
      <c r="M374" s="6">
        <v>0</v>
      </c>
      <c r="N374" s="6">
        <v>0</v>
      </c>
      <c r="O374" s="6">
        <v>0</v>
      </c>
      <c r="P374" s="6">
        <v>7</v>
      </c>
      <c r="Q374" s="4" t="s">
        <v>54</v>
      </c>
      <c r="R374" s="4">
        <v>0</v>
      </c>
      <c r="S374" s="6">
        <v>18</v>
      </c>
      <c r="T374" s="6">
        <v>0</v>
      </c>
      <c r="U374" s="6">
        <v>0</v>
      </c>
      <c r="V374" s="6">
        <f>IF(ISERROR(VLOOKUP($S$374,'TAR FIN'!$A$1:$O$93,15,0)),0,VLOOKUP($S$374,'TAR FIN'!$A$1:$O$93,15,0))</f>
        <v>26.17</v>
      </c>
      <c r="W374" s="6">
        <f>IF(ISERROR(VLOOKUP($T$374,'TAR FIN'!$A$1:$O$93,15,0)),0,VLOOKUP($T$374,'TAR FIN'!$A$1:$O$93,15,0))</f>
        <v>0</v>
      </c>
      <c r="X374" s="6">
        <f>IF(ISERROR(VLOOKUP($U$374,'TAR FIN'!$A$1:$O$93,15,0)),0,VLOOKUP($U$374,'TAR FIN'!$A$1:$O$93,15,0))</f>
        <v>0</v>
      </c>
      <c r="Y374" s="6">
        <f ca="1">('TUSD BE'!$AM$14+'TUSD BF'!$AM$14+'TUSD CVA'!$AM$14)*1</f>
        <v>30.453482365333407</v>
      </c>
      <c r="Z374" s="6"/>
      <c r="AA374" s="6"/>
      <c r="AB374" s="6">
        <f>$K$374*$V$374</f>
        <v>46195.964420000004</v>
      </c>
      <c r="AC374" s="6">
        <f>$M$374*$W$374</f>
        <v>0</v>
      </c>
      <c r="AD374" s="6">
        <f>$O$374*$X$374</f>
        <v>0</v>
      </c>
      <c r="AE374" s="6">
        <f ca="1">$K$374*$Y$374</f>
        <v>53757.278861828032</v>
      </c>
      <c r="AF374" s="6">
        <f>$M$374*$Z$374</f>
        <v>0</v>
      </c>
      <c r="AG374" s="6">
        <f>$O$374*$AA$374</f>
        <v>0</v>
      </c>
    </row>
    <row r="375" spans="1:33" ht="11.25" customHeight="1" x14ac:dyDescent="0.25">
      <c r="A375" s="4" t="s">
        <v>65</v>
      </c>
      <c r="B375" s="4" t="s">
        <v>35</v>
      </c>
      <c r="C375" s="4" t="s">
        <v>39</v>
      </c>
      <c r="D375" s="4" t="s">
        <v>34</v>
      </c>
      <c r="E375" s="4" t="s">
        <v>25</v>
      </c>
      <c r="F375" s="4" t="s">
        <v>55</v>
      </c>
      <c r="G375" s="4" t="s">
        <v>25</v>
      </c>
      <c r="H375" s="4" t="s">
        <v>25</v>
      </c>
      <c r="I375" s="5">
        <v>44652</v>
      </c>
      <c r="J375" s="6">
        <v>4183</v>
      </c>
      <c r="K375" s="6">
        <v>1765.2260000000001</v>
      </c>
      <c r="L375" s="6">
        <v>0</v>
      </c>
      <c r="M375" s="6">
        <v>0</v>
      </c>
      <c r="N375" s="6">
        <v>0</v>
      </c>
      <c r="O375" s="6">
        <v>0</v>
      </c>
      <c r="P375" s="6">
        <v>7</v>
      </c>
      <c r="Q375" s="4" t="s">
        <v>54</v>
      </c>
      <c r="R375" s="4">
        <v>0</v>
      </c>
      <c r="S375" s="6">
        <v>18</v>
      </c>
      <c r="T375" s="6">
        <v>0</v>
      </c>
      <c r="U375" s="6">
        <v>0</v>
      </c>
      <c r="V375" s="6">
        <f>IF(ISERROR(VLOOKUP($S$375,'TAR FIN'!$A$1:$O$93,15,0)),0,VLOOKUP($S$375,'TAR FIN'!$A$1:$O$93,15,0))</f>
        <v>26.17</v>
      </c>
      <c r="W375" s="6">
        <f>IF(ISERROR(VLOOKUP($T$375,'TAR FIN'!$A$1:$O$93,15,0)),0,VLOOKUP($T$375,'TAR FIN'!$A$1:$O$93,15,0))</f>
        <v>0</v>
      </c>
      <c r="X375" s="6">
        <f>IF(ISERROR(VLOOKUP($U$375,'TAR FIN'!$A$1:$O$93,15,0)),0,VLOOKUP($U$375,'TAR FIN'!$A$1:$O$93,15,0))</f>
        <v>0</v>
      </c>
      <c r="Y375" s="6">
        <f ca="1">('TUSD BE'!$AM$14+'TUSD BF'!$AM$14+'TUSD CVA'!$AM$14)*1</f>
        <v>30.453482365333407</v>
      </c>
      <c r="Z375" s="6"/>
      <c r="AA375" s="6"/>
      <c r="AB375" s="6">
        <f>$K$375*$V$375</f>
        <v>46195.964420000004</v>
      </c>
      <c r="AC375" s="6">
        <f>$M$375*$W$375</f>
        <v>0</v>
      </c>
      <c r="AD375" s="6">
        <f>$O$375*$X$375</f>
        <v>0</v>
      </c>
      <c r="AE375" s="6">
        <f ca="1">$K$375*$Y$375</f>
        <v>53757.278861828032</v>
      </c>
      <c r="AF375" s="6">
        <f>$M$375*$Z$375</f>
        <v>0</v>
      </c>
      <c r="AG375" s="6">
        <f>$O$375*$AA$375</f>
        <v>0</v>
      </c>
    </row>
    <row r="376" spans="1:33" ht="11.25" customHeight="1" x14ac:dyDescent="0.25">
      <c r="A376" s="4" t="s">
        <v>21</v>
      </c>
      <c r="B376" s="4" t="s">
        <v>35</v>
      </c>
      <c r="C376" s="4" t="s">
        <v>39</v>
      </c>
      <c r="D376" s="4" t="s">
        <v>34</v>
      </c>
      <c r="E376" s="4" t="s">
        <v>25</v>
      </c>
      <c r="F376" s="4" t="s">
        <v>55</v>
      </c>
      <c r="G376" s="4" t="s">
        <v>25</v>
      </c>
      <c r="H376" s="4" t="s">
        <v>25</v>
      </c>
      <c r="I376" s="5">
        <v>44682</v>
      </c>
      <c r="J376" s="6">
        <v>6667</v>
      </c>
      <c r="K376" s="6">
        <v>2760.1379999999999</v>
      </c>
      <c r="L376" s="6">
        <v>0</v>
      </c>
      <c r="M376" s="6">
        <v>0</v>
      </c>
      <c r="N376" s="6">
        <v>0</v>
      </c>
      <c r="O376" s="6">
        <v>0</v>
      </c>
      <c r="P376" s="6">
        <v>8</v>
      </c>
      <c r="Q376" s="4" t="s">
        <v>54</v>
      </c>
      <c r="R376" s="4">
        <v>0</v>
      </c>
      <c r="S376" s="6">
        <v>18</v>
      </c>
      <c r="T376" s="6">
        <v>0</v>
      </c>
      <c r="U376" s="6">
        <v>0</v>
      </c>
      <c r="V376" s="6">
        <f>IF(ISERROR(VLOOKUP($S$376,'TAR FIN'!$A$1:$O$93,15,0)),0,VLOOKUP($S$376,'TAR FIN'!$A$1:$O$93,15,0))</f>
        <v>26.17</v>
      </c>
      <c r="W376" s="6">
        <f>IF(ISERROR(VLOOKUP($T$376,'TAR FIN'!$A$1:$O$93,15,0)),0,VLOOKUP($T$376,'TAR FIN'!$A$1:$O$93,15,0))</f>
        <v>0</v>
      </c>
      <c r="X376" s="6">
        <f>IF(ISERROR(VLOOKUP($U$376,'TAR FIN'!$A$1:$O$93,15,0)),0,VLOOKUP($U$376,'TAR FIN'!$A$1:$O$93,15,0))</f>
        <v>0</v>
      </c>
      <c r="Y376" s="6">
        <f ca="1">('TUSD BE'!$AM$14+'TUSD BF'!$AM$14+'TUSD CVA'!$AM$14)*1</f>
        <v>30.453482365333407</v>
      </c>
      <c r="Z376" s="6"/>
      <c r="AA376" s="6"/>
      <c r="AB376" s="6">
        <f>$K$376*$V$376</f>
        <v>72232.811459999997</v>
      </c>
      <c r="AC376" s="6">
        <f>$M$376*$W$376</f>
        <v>0</v>
      </c>
      <c r="AD376" s="6">
        <f>$O$376*$X$376</f>
        <v>0</v>
      </c>
      <c r="AE376" s="6">
        <f ca="1">$K$376*$Y$376</f>
        <v>84055.813908886616</v>
      </c>
      <c r="AF376" s="6">
        <f>$M$376*$Z$376</f>
        <v>0</v>
      </c>
      <c r="AG376" s="6">
        <f>$O$376*$AA$376</f>
        <v>0</v>
      </c>
    </row>
    <row r="377" spans="1:33" ht="11.25" customHeight="1" x14ac:dyDescent="0.25">
      <c r="A377" s="4" t="s">
        <v>21</v>
      </c>
      <c r="B377" s="4" t="s">
        <v>35</v>
      </c>
      <c r="C377" s="4" t="s">
        <v>39</v>
      </c>
      <c r="D377" s="4" t="s">
        <v>34</v>
      </c>
      <c r="E377" s="4" t="s">
        <v>25</v>
      </c>
      <c r="F377" s="4" t="s">
        <v>55</v>
      </c>
      <c r="G377" s="4" t="s">
        <v>25</v>
      </c>
      <c r="H377" s="4" t="s">
        <v>25</v>
      </c>
      <c r="I377" s="5">
        <v>44713</v>
      </c>
      <c r="J377" s="6">
        <v>8554</v>
      </c>
      <c r="K377" s="6">
        <v>3002.4540000000002</v>
      </c>
      <c r="L377" s="6">
        <v>0</v>
      </c>
      <c r="M377" s="6">
        <v>0</v>
      </c>
      <c r="N377" s="6">
        <v>0</v>
      </c>
      <c r="O377" s="6">
        <v>0</v>
      </c>
      <c r="P377" s="6">
        <v>13</v>
      </c>
      <c r="Q377" s="4" t="s">
        <v>54</v>
      </c>
      <c r="R377" s="4">
        <v>0</v>
      </c>
      <c r="S377" s="6">
        <v>18</v>
      </c>
      <c r="T377" s="6">
        <v>0</v>
      </c>
      <c r="U377" s="6">
        <v>0</v>
      </c>
      <c r="V377" s="6">
        <f>IF(ISERROR(VLOOKUP($S$377,'TAR FIN'!$A$1:$O$93,15,0)),0,VLOOKUP($S$377,'TAR FIN'!$A$1:$O$93,15,0))</f>
        <v>26.17</v>
      </c>
      <c r="W377" s="6">
        <f>IF(ISERROR(VLOOKUP($T$377,'TAR FIN'!$A$1:$O$93,15,0)),0,VLOOKUP($T$377,'TAR FIN'!$A$1:$O$93,15,0))</f>
        <v>0</v>
      </c>
      <c r="X377" s="6">
        <f>IF(ISERROR(VLOOKUP($U$377,'TAR FIN'!$A$1:$O$93,15,0)),0,VLOOKUP($U$377,'TAR FIN'!$A$1:$O$93,15,0))</f>
        <v>0</v>
      </c>
      <c r="Y377" s="6">
        <f ca="1">('TUSD BE'!$AM$14+'TUSD BF'!$AM$14+'TUSD CVA'!$AM$14)*1</f>
        <v>30.453482365333407</v>
      </c>
      <c r="Z377" s="6"/>
      <c r="AA377" s="6"/>
      <c r="AB377" s="6">
        <f>$K$377*$V$377</f>
        <v>78574.221180000008</v>
      </c>
      <c r="AC377" s="6">
        <f>$M$377*$W$377</f>
        <v>0</v>
      </c>
      <c r="AD377" s="6">
        <f>$O$377*$X$377</f>
        <v>0</v>
      </c>
      <c r="AE377" s="6">
        <f ca="1">$K$377*$Y$377</f>
        <v>91435.179941724753</v>
      </c>
      <c r="AF377" s="6">
        <f>$M$377*$Z$377</f>
        <v>0</v>
      </c>
      <c r="AG377" s="6">
        <f>$O$377*$AA$377</f>
        <v>0</v>
      </c>
    </row>
    <row r="378" spans="1:33" ht="11.25" customHeight="1" x14ac:dyDescent="0.25">
      <c r="A378" s="4" t="s">
        <v>21</v>
      </c>
      <c r="B378" s="4" t="s">
        <v>35</v>
      </c>
      <c r="C378" s="4" t="s">
        <v>39</v>
      </c>
      <c r="D378" s="4" t="s">
        <v>34</v>
      </c>
      <c r="E378" s="4" t="s">
        <v>25</v>
      </c>
      <c r="F378" s="4" t="s">
        <v>55</v>
      </c>
      <c r="G378" s="4" t="s">
        <v>25</v>
      </c>
      <c r="H378" s="4" t="s">
        <v>37</v>
      </c>
      <c r="I378" s="5">
        <v>44378</v>
      </c>
      <c r="J378" s="6">
        <v>0</v>
      </c>
      <c r="K378" s="6">
        <v>0</v>
      </c>
      <c r="L378" s="6">
        <v>64.95</v>
      </c>
      <c r="M378" s="6">
        <v>23.252099999999999</v>
      </c>
      <c r="N378" s="6">
        <v>0</v>
      </c>
      <c r="O378" s="6">
        <v>0</v>
      </c>
      <c r="P378" s="6">
        <v>0</v>
      </c>
      <c r="Q378" s="4" t="s">
        <v>54</v>
      </c>
      <c r="R378" s="4">
        <v>0</v>
      </c>
      <c r="S378" s="6">
        <v>0</v>
      </c>
      <c r="T378" s="6">
        <v>12</v>
      </c>
      <c r="U378" s="6">
        <v>0</v>
      </c>
      <c r="V378" s="6">
        <f>IF(ISERROR(VLOOKUP($S$378,'TAR FIN'!$A$1:$O$93,15,0)),0,VLOOKUP($S$378,'TAR FIN'!$A$1:$O$93,15,0))</f>
        <v>0</v>
      </c>
      <c r="W378" s="6">
        <f>IF(ISERROR(VLOOKUP($T$378,'TAR FIN'!$A$1:$O$93,15,0)),0,VLOOKUP($T$378,'TAR FIN'!$A$1:$O$93,15,0))</f>
        <v>1124.7</v>
      </c>
      <c r="X378" s="6">
        <f>IF(ISERROR(VLOOKUP($U$378,'TAR FIN'!$A$1:$O$93,15,0)),0,VLOOKUP($U$378,'TAR FIN'!$A$1:$O$93,15,0))</f>
        <v>0</v>
      </c>
      <c r="Y378" s="6"/>
      <c r="Z378" s="6">
        <f ca="1">('TUSD BE'!$AM$15+'TUSD BF'!$AM$15+'TUSD CVA'!$AM$15)*1</f>
        <v>1302.3659842076513</v>
      </c>
      <c r="AA378" s="6"/>
      <c r="AB378" s="6">
        <f>$K$378*$V$378</f>
        <v>0</v>
      </c>
      <c r="AC378" s="6">
        <f>$M$378*$W$378</f>
        <v>26151.636869999998</v>
      </c>
      <c r="AD378" s="6">
        <f>$O$378*$X$378</f>
        <v>0</v>
      </c>
      <c r="AE378" s="6">
        <f>$K$378*$Y$378</f>
        <v>0</v>
      </c>
      <c r="AF378" s="6">
        <f ca="1">$M$378*$Z$378</f>
        <v>30282.744101394728</v>
      </c>
      <c r="AG378" s="6">
        <f>$O$378*$AA$378</f>
        <v>0</v>
      </c>
    </row>
    <row r="379" spans="1:33" ht="11.25" customHeight="1" x14ac:dyDescent="0.25">
      <c r="A379" s="4" t="s">
        <v>21</v>
      </c>
      <c r="B379" s="4" t="s">
        <v>35</v>
      </c>
      <c r="C379" s="4" t="s">
        <v>39</v>
      </c>
      <c r="D379" s="4" t="s">
        <v>34</v>
      </c>
      <c r="E379" s="4" t="s">
        <v>25</v>
      </c>
      <c r="F379" s="4" t="s">
        <v>55</v>
      </c>
      <c r="G379" s="4" t="s">
        <v>25</v>
      </c>
      <c r="H379" s="4" t="s">
        <v>37</v>
      </c>
      <c r="I379" s="5">
        <v>44409</v>
      </c>
      <c r="J379" s="6">
        <v>0</v>
      </c>
      <c r="K379" s="6">
        <v>0</v>
      </c>
      <c r="L379" s="6">
        <v>59.216999999999999</v>
      </c>
      <c r="M379" s="6">
        <v>26.647649999999999</v>
      </c>
      <c r="N379" s="6">
        <v>0</v>
      </c>
      <c r="O379" s="6">
        <v>0</v>
      </c>
      <c r="P379" s="6">
        <v>0</v>
      </c>
      <c r="Q379" s="4" t="s">
        <v>54</v>
      </c>
      <c r="R379" s="4">
        <v>0</v>
      </c>
      <c r="S379" s="6">
        <v>0</v>
      </c>
      <c r="T379" s="6">
        <v>12</v>
      </c>
      <c r="U379" s="6">
        <v>0</v>
      </c>
      <c r="V379" s="6">
        <f>IF(ISERROR(VLOOKUP($S$379,'TAR FIN'!$A$1:$O$93,15,0)),0,VLOOKUP($S$379,'TAR FIN'!$A$1:$O$93,15,0))</f>
        <v>0</v>
      </c>
      <c r="W379" s="6">
        <f>IF(ISERROR(VLOOKUP($T$379,'TAR FIN'!$A$1:$O$93,15,0)),0,VLOOKUP($T$379,'TAR FIN'!$A$1:$O$93,15,0))</f>
        <v>1124.7</v>
      </c>
      <c r="X379" s="6">
        <f>IF(ISERROR(VLOOKUP($U$379,'TAR FIN'!$A$1:$O$93,15,0)),0,VLOOKUP($U$379,'TAR FIN'!$A$1:$O$93,15,0))</f>
        <v>0</v>
      </c>
      <c r="Y379" s="6"/>
      <c r="Z379" s="6">
        <f ca="1">('TUSD BE'!$AM$15+'TUSD BF'!$AM$15+'TUSD CVA'!$AM$15)*1</f>
        <v>1302.3659842076513</v>
      </c>
      <c r="AA379" s="6"/>
      <c r="AB379" s="6">
        <f>$K$379*$V$379</f>
        <v>0</v>
      </c>
      <c r="AC379" s="6">
        <f>$M$379*$W$379</f>
        <v>29970.611955</v>
      </c>
      <c r="AD379" s="6">
        <f>$O$379*$X$379</f>
        <v>0</v>
      </c>
      <c r="AE379" s="6">
        <f>$K$379*$Y$379</f>
        <v>0</v>
      </c>
      <c r="AF379" s="6">
        <f ca="1">$M$379*$Z$379</f>
        <v>34704.992919071017</v>
      </c>
      <c r="AG379" s="6">
        <f>$O$379*$AA$379</f>
        <v>0</v>
      </c>
    </row>
    <row r="380" spans="1:33" ht="11.25" customHeight="1" x14ac:dyDescent="0.25">
      <c r="A380" s="4" t="s">
        <v>21</v>
      </c>
      <c r="B380" s="4" t="s">
        <v>35</v>
      </c>
      <c r="C380" s="4" t="s">
        <v>39</v>
      </c>
      <c r="D380" s="4" t="s">
        <v>34</v>
      </c>
      <c r="E380" s="4" t="s">
        <v>25</v>
      </c>
      <c r="F380" s="4" t="s">
        <v>55</v>
      </c>
      <c r="G380" s="4" t="s">
        <v>25</v>
      </c>
      <c r="H380" s="4" t="s">
        <v>37</v>
      </c>
      <c r="I380" s="5">
        <v>44440</v>
      </c>
      <c r="J380" s="6">
        <v>0</v>
      </c>
      <c r="K380" s="6">
        <v>0</v>
      </c>
      <c r="L380" s="6">
        <v>51.08</v>
      </c>
      <c r="M380" s="6">
        <v>27.103048000000001</v>
      </c>
      <c r="N380" s="6">
        <v>0</v>
      </c>
      <c r="O380" s="6">
        <v>0</v>
      </c>
      <c r="P380" s="6">
        <v>0</v>
      </c>
      <c r="Q380" s="4" t="s">
        <v>54</v>
      </c>
      <c r="R380" s="4">
        <v>0</v>
      </c>
      <c r="S380" s="6">
        <v>0</v>
      </c>
      <c r="T380" s="6">
        <v>12</v>
      </c>
      <c r="U380" s="6">
        <v>0</v>
      </c>
      <c r="V380" s="6">
        <f>IF(ISERROR(VLOOKUP($S$380,'TAR FIN'!$A$1:$O$93,15,0)),0,VLOOKUP($S$380,'TAR FIN'!$A$1:$O$93,15,0))</f>
        <v>0</v>
      </c>
      <c r="W380" s="6">
        <f>IF(ISERROR(VLOOKUP($T$380,'TAR FIN'!$A$1:$O$93,15,0)),0,VLOOKUP($T$380,'TAR FIN'!$A$1:$O$93,15,0))</f>
        <v>1124.7</v>
      </c>
      <c r="X380" s="6">
        <f>IF(ISERROR(VLOOKUP($U$380,'TAR FIN'!$A$1:$O$93,15,0)),0,VLOOKUP($U$380,'TAR FIN'!$A$1:$O$93,15,0))</f>
        <v>0</v>
      </c>
      <c r="Y380" s="6"/>
      <c r="Z380" s="6">
        <f ca="1">('TUSD BE'!$AM$15+'TUSD BF'!$AM$15+'TUSD CVA'!$AM$15)*1</f>
        <v>1302.3659842076513</v>
      </c>
      <c r="AA380" s="6"/>
      <c r="AB380" s="6">
        <f>$K$380*$V$380</f>
        <v>0</v>
      </c>
      <c r="AC380" s="6">
        <f>$M$380*$W$380</f>
        <v>30482.798085600003</v>
      </c>
      <c r="AD380" s="6">
        <f>$O$380*$X$380</f>
        <v>0</v>
      </c>
      <c r="AE380" s="6">
        <f>$K$380*$Y$380</f>
        <v>0</v>
      </c>
      <c r="AF380" s="6">
        <f ca="1">$M$380*$Z$380</f>
        <v>35298.08778354722</v>
      </c>
      <c r="AG380" s="6">
        <f>$O$380*$AA$380</f>
        <v>0</v>
      </c>
    </row>
    <row r="381" spans="1:33" ht="11.25" customHeight="1" x14ac:dyDescent="0.25">
      <c r="A381" s="4" t="s">
        <v>21</v>
      </c>
      <c r="B381" s="4" t="s">
        <v>35</v>
      </c>
      <c r="C381" s="4" t="s">
        <v>39</v>
      </c>
      <c r="D381" s="4" t="s">
        <v>34</v>
      </c>
      <c r="E381" s="4" t="s">
        <v>25</v>
      </c>
      <c r="F381" s="4" t="s">
        <v>55</v>
      </c>
      <c r="G381" s="4" t="s">
        <v>25</v>
      </c>
      <c r="H381" s="4" t="s">
        <v>37</v>
      </c>
      <c r="I381" s="5">
        <v>44470</v>
      </c>
      <c r="J381" s="6">
        <v>0</v>
      </c>
      <c r="K381" s="6">
        <v>0</v>
      </c>
      <c r="L381" s="6">
        <v>47.006</v>
      </c>
      <c r="M381" s="6">
        <v>24.678149999999999</v>
      </c>
      <c r="N381" s="6">
        <v>0</v>
      </c>
      <c r="O381" s="6">
        <v>0</v>
      </c>
      <c r="P381" s="6">
        <v>0</v>
      </c>
      <c r="Q381" s="4" t="s">
        <v>54</v>
      </c>
      <c r="R381" s="4">
        <v>0</v>
      </c>
      <c r="S381" s="6">
        <v>0</v>
      </c>
      <c r="T381" s="6">
        <v>12</v>
      </c>
      <c r="U381" s="6">
        <v>0</v>
      </c>
      <c r="V381" s="6">
        <f>IF(ISERROR(VLOOKUP($S$381,'TAR FIN'!$A$1:$O$93,15,0)),0,VLOOKUP($S$381,'TAR FIN'!$A$1:$O$93,15,0))</f>
        <v>0</v>
      </c>
      <c r="W381" s="6">
        <f>IF(ISERROR(VLOOKUP($T$381,'TAR FIN'!$A$1:$O$93,15,0)),0,VLOOKUP($T$381,'TAR FIN'!$A$1:$O$93,15,0))</f>
        <v>1124.7</v>
      </c>
      <c r="X381" s="6">
        <f>IF(ISERROR(VLOOKUP($U$381,'TAR FIN'!$A$1:$O$93,15,0)),0,VLOOKUP($U$381,'TAR FIN'!$A$1:$O$93,15,0))</f>
        <v>0</v>
      </c>
      <c r="Y381" s="6"/>
      <c r="Z381" s="6">
        <f ca="1">('TUSD BE'!$AM$15+'TUSD BF'!$AM$15+'TUSD CVA'!$AM$15)*1</f>
        <v>1302.3659842076513</v>
      </c>
      <c r="AA381" s="6"/>
      <c r="AB381" s="6">
        <f>$K$381*$V$381</f>
        <v>0</v>
      </c>
      <c r="AC381" s="6">
        <f>$M$381*$W$381</f>
        <v>27755.515305000001</v>
      </c>
      <c r="AD381" s="6">
        <f>$O$381*$X$381</f>
        <v>0</v>
      </c>
      <c r="AE381" s="6">
        <f>$K$381*$Y$381</f>
        <v>0</v>
      </c>
      <c r="AF381" s="6">
        <f ca="1">$M$381*$Z$381</f>
        <v>32139.98311317405</v>
      </c>
      <c r="AG381" s="6">
        <f>$O$381*$AA$381</f>
        <v>0</v>
      </c>
    </row>
    <row r="382" spans="1:33" ht="11.25" customHeight="1" x14ac:dyDescent="0.25">
      <c r="A382" s="4" t="s">
        <v>21</v>
      </c>
      <c r="B382" s="4" t="s">
        <v>35</v>
      </c>
      <c r="C382" s="4" t="s">
        <v>39</v>
      </c>
      <c r="D382" s="4" t="s">
        <v>34</v>
      </c>
      <c r="E382" s="4" t="s">
        <v>25</v>
      </c>
      <c r="F382" s="4" t="s">
        <v>55</v>
      </c>
      <c r="G382" s="4" t="s">
        <v>25</v>
      </c>
      <c r="H382" s="4" t="s">
        <v>37</v>
      </c>
      <c r="I382" s="5">
        <v>44501</v>
      </c>
      <c r="J382" s="6">
        <v>0</v>
      </c>
      <c r="K382" s="6">
        <v>0</v>
      </c>
      <c r="L382" s="6">
        <v>47.975000000000001</v>
      </c>
      <c r="M382" s="6">
        <v>24.27535</v>
      </c>
      <c r="N382" s="6">
        <v>0</v>
      </c>
      <c r="O382" s="6">
        <v>0</v>
      </c>
      <c r="P382" s="6">
        <v>0</v>
      </c>
      <c r="Q382" s="4" t="s">
        <v>54</v>
      </c>
      <c r="R382" s="4">
        <v>0</v>
      </c>
      <c r="S382" s="6">
        <v>0</v>
      </c>
      <c r="T382" s="6">
        <v>12</v>
      </c>
      <c r="U382" s="6">
        <v>0</v>
      </c>
      <c r="V382" s="6">
        <f>IF(ISERROR(VLOOKUP($S$382,'TAR FIN'!$A$1:$O$93,15,0)),0,VLOOKUP($S$382,'TAR FIN'!$A$1:$O$93,15,0))</f>
        <v>0</v>
      </c>
      <c r="W382" s="6">
        <f>IF(ISERROR(VLOOKUP($T$382,'TAR FIN'!$A$1:$O$93,15,0)),0,VLOOKUP($T$382,'TAR FIN'!$A$1:$O$93,15,0))</f>
        <v>1124.7</v>
      </c>
      <c r="X382" s="6">
        <f>IF(ISERROR(VLOOKUP($U$382,'TAR FIN'!$A$1:$O$93,15,0)),0,VLOOKUP($U$382,'TAR FIN'!$A$1:$O$93,15,0))</f>
        <v>0</v>
      </c>
      <c r="Y382" s="6"/>
      <c r="Z382" s="6">
        <f ca="1">('TUSD BE'!$AM$15+'TUSD BF'!$AM$15+'TUSD CVA'!$AM$15)*1</f>
        <v>1302.3659842076513</v>
      </c>
      <c r="AA382" s="6"/>
      <c r="AB382" s="6">
        <f>$K$382*$V$382</f>
        <v>0</v>
      </c>
      <c r="AC382" s="6">
        <f>$M$382*$W$382</f>
        <v>27302.486144999999</v>
      </c>
      <c r="AD382" s="6">
        <f>$O$382*$X$382</f>
        <v>0</v>
      </c>
      <c r="AE382" s="6">
        <f>$K$382*$Y$382</f>
        <v>0</v>
      </c>
      <c r="AF382" s="6">
        <f ca="1">$M$382*$Z$382</f>
        <v>31615.390094735209</v>
      </c>
      <c r="AG382" s="6">
        <f>$O$382*$AA$382</f>
        <v>0</v>
      </c>
    </row>
    <row r="383" spans="1:33" ht="11.25" customHeight="1" x14ac:dyDescent="0.25">
      <c r="A383" s="4" t="s">
        <v>65</v>
      </c>
      <c r="B383" s="4" t="s">
        <v>35</v>
      </c>
      <c r="C383" s="4" t="s">
        <v>39</v>
      </c>
      <c r="D383" s="4" t="s">
        <v>34</v>
      </c>
      <c r="E383" s="4" t="s">
        <v>25</v>
      </c>
      <c r="F383" s="4" t="s">
        <v>55</v>
      </c>
      <c r="G383" s="4" t="s">
        <v>25</v>
      </c>
      <c r="H383" s="4" t="s">
        <v>37</v>
      </c>
      <c r="I383" s="5">
        <v>44531</v>
      </c>
      <c r="J383" s="6">
        <v>0</v>
      </c>
      <c r="K383" s="6">
        <v>0</v>
      </c>
      <c r="L383" s="6">
        <v>47.975000000000001</v>
      </c>
      <c r="M383" s="6">
        <v>24.27535</v>
      </c>
      <c r="N383" s="6">
        <v>0</v>
      </c>
      <c r="O383" s="6">
        <v>0</v>
      </c>
      <c r="P383" s="6">
        <v>0</v>
      </c>
      <c r="Q383" s="4" t="s">
        <v>54</v>
      </c>
      <c r="R383" s="4">
        <v>0</v>
      </c>
      <c r="S383" s="6">
        <v>0</v>
      </c>
      <c r="T383" s="6">
        <v>12</v>
      </c>
      <c r="U383" s="6">
        <v>0</v>
      </c>
      <c r="V383" s="6">
        <f>IF(ISERROR(VLOOKUP($S$383,'TAR FIN'!$A$1:$O$93,15,0)),0,VLOOKUP($S$383,'TAR FIN'!$A$1:$O$93,15,0))</f>
        <v>0</v>
      </c>
      <c r="W383" s="6">
        <f>IF(ISERROR(VLOOKUP($T$383,'TAR FIN'!$A$1:$O$93,15,0)),0,VLOOKUP($T$383,'TAR FIN'!$A$1:$O$93,15,0))</f>
        <v>1124.7</v>
      </c>
      <c r="X383" s="6">
        <f>IF(ISERROR(VLOOKUP($U$383,'TAR FIN'!$A$1:$O$93,15,0)),0,VLOOKUP($U$383,'TAR FIN'!$A$1:$O$93,15,0))</f>
        <v>0</v>
      </c>
      <c r="Y383" s="6"/>
      <c r="Z383" s="6">
        <f ca="1">('TUSD BE'!$AM$15+'TUSD BF'!$AM$15+'TUSD CVA'!$AM$15)*1</f>
        <v>1302.3659842076513</v>
      </c>
      <c r="AA383" s="6"/>
      <c r="AB383" s="6">
        <f>$K$383*$V$383</f>
        <v>0</v>
      </c>
      <c r="AC383" s="6">
        <f>$M$383*$W$383</f>
        <v>27302.486144999999</v>
      </c>
      <c r="AD383" s="6">
        <f>$O$383*$X$383</f>
        <v>0</v>
      </c>
      <c r="AE383" s="6">
        <f>$K$383*$Y$383</f>
        <v>0</v>
      </c>
      <c r="AF383" s="6">
        <f ca="1">$M$383*$Z$383</f>
        <v>31615.390094735209</v>
      </c>
      <c r="AG383" s="6">
        <f>$O$383*$AA$383</f>
        <v>0</v>
      </c>
    </row>
    <row r="384" spans="1:33" ht="11.25" customHeight="1" x14ac:dyDescent="0.25">
      <c r="A384" s="4" t="s">
        <v>21</v>
      </c>
      <c r="B384" s="4" t="s">
        <v>35</v>
      </c>
      <c r="C384" s="4" t="s">
        <v>39</v>
      </c>
      <c r="D384" s="4" t="s">
        <v>34</v>
      </c>
      <c r="E384" s="4" t="s">
        <v>25</v>
      </c>
      <c r="F384" s="4" t="s">
        <v>55</v>
      </c>
      <c r="G384" s="4" t="s">
        <v>25</v>
      </c>
      <c r="H384" s="4" t="s">
        <v>37</v>
      </c>
      <c r="I384" s="5">
        <v>44562</v>
      </c>
      <c r="J384" s="6">
        <v>0</v>
      </c>
      <c r="K384" s="6">
        <v>0</v>
      </c>
      <c r="L384" s="6">
        <v>34.628</v>
      </c>
      <c r="M384" s="6">
        <v>19.495564000000002</v>
      </c>
      <c r="N384" s="6">
        <v>0</v>
      </c>
      <c r="O384" s="6">
        <v>0</v>
      </c>
      <c r="P384" s="6">
        <v>0</v>
      </c>
      <c r="Q384" s="4" t="s">
        <v>54</v>
      </c>
      <c r="R384" s="4">
        <v>0</v>
      </c>
      <c r="S384" s="6">
        <v>0</v>
      </c>
      <c r="T384" s="6">
        <v>12</v>
      </c>
      <c r="U384" s="6">
        <v>0</v>
      </c>
      <c r="V384" s="6">
        <f>IF(ISERROR(VLOOKUP($S$384,'TAR FIN'!$A$1:$O$93,15,0)),0,VLOOKUP($S$384,'TAR FIN'!$A$1:$O$93,15,0))</f>
        <v>0</v>
      </c>
      <c r="W384" s="6">
        <f>IF(ISERROR(VLOOKUP($T$384,'TAR FIN'!$A$1:$O$93,15,0)),0,VLOOKUP($T$384,'TAR FIN'!$A$1:$O$93,15,0))</f>
        <v>1124.7</v>
      </c>
      <c r="X384" s="6">
        <f>IF(ISERROR(VLOOKUP($U$384,'TAR FIN'!$A$1:$O$93,15,0)),0,VLOOKUP($U$384,'TAR FIN'!$A$1:$O$93,15,0))</f>
        <v>0</v>
      </c>
      <c r="Y384" s="6"/>
      <c r="Z384" s="6">
        <f ca="1">('TUSD BE'!$AM$15+'TUSD BF'!$AM$15+'TUSD CVA'!$AM$15)*1</f>
        <v>1302.3659842076513</v>
      </c>
      <c r="AA384" s="6"/>
      <c r="AB384" s="6">
        <f>$K$384*$V$384</f>
        <v>0</v>
      </c>
      <c r="AC384" s="6">
        <f>$M$384*$W$384</f>
        <v>21926.660830800003</v>
      </c>
      <c r="AD384" s="6">
        <f>$O$384*$X$384</f>
        <v>0</v>
      </c>
      <c r="AE384" s="6">
        <f>$K$384*$Y$384</f>
        <v>0</v>
      </c>
      <c r="AF384" s="6">
        <f ca="1">$M$384*$Z$384</f>
        <v>25390.359396543259</v>
      </c>
      <c r="AG384" s="6">
        <f>$O$384*$AA$384</f>
        <v>0</v>
      </c>
    </row>
    <row r="385" spans="1:33" ht="11.25" customHeight="1" x14ac:dyDescent="0.25">
      <c r="A385" s="4" t="s">
        <v>21</v>
      </c>
      <c r="B385" s="4" t="s">
        <v>35</v>
      </c>
      <c r="C385" s="4" t="s">
        <v>39</v>
      </c>
      <c r="D385" s="4" t="s">
        <v>34</v>
      </c>
      <c r="E385" s="4" t="s">
        <v>25</v>
      </c>
      <c r="F385" s="4" t="s">
        <v>55</v>
      </c>
      <c r="G385" s="4" t="s">
        <v>25</v>
      </c>
      <c r="H385" s="4" t="s">
        <v>37</v>
      </c>
      <c r="I385" s="5">
        <v>44593</v>
      </c>
      <c r="J385" s="6">
        <v>0</v>
      </c>
      <c r="K385" s="6">
        <v>0</v>
      </c>
      <c r="L385" s="6">
        <v>44.442999999999998</v>
      </c>
      <c r="M385" s="6">
        <v>23.492569799999998</v>
      </c>
      <c r="N385" s="6">
        <v>0</v>
      </c>
      <c r="O385" s="6">
        <v>0</v>
      </c>
      <c r="P385" s="6">
        <v>0</v>
      </c>
      <c r="Q385" s="4" t="s">
        <v>54</v>
      </c>
      <c r="R385" s="4">
        <v>0</v>
      </c>
      <c r="S385" s="6">
        <v>0</v>
      </c>
      <c r="T385" s="6">
        <v>12</v>
      </c>
      <c r="U385" s="6">
        <v>0</v>
      </c>
      <c r="V385" s="6">
        <f>IF(ISERROR(VLOOKUP($S$385,'TAR FIN'!$A$1:$O$93,15,0)),0,VLOOKUP($S$385,'TAR FIN'!$A$1:$O$93,15,0))</f>
        <v>0</v>
      </c>
      <c r="W385" s="6">
        <f>IF(ISERROR(VLOOKUP($T$385,'TAR FIN'!$A$1:$O$93,15,0)),0,VLOOKUP($T$385,'TAR FIN'!$A$1:$O$93,15,0))</f>
        <v>1124.7</v>
      </c>
      <c r="X385" s="6">
        <f>IF(ISERROR(VLOOKUP($U$385,'TAR FIN'!$A$1:$O$93,15,0)),0,VLOOKUP($U$385,'TAR FIN'!$A$1:$O$93,15,0))</f>
        <v>0</v>
      </c>
      <c r="Y385" s="6"/>
      <c r="Z385" s="6">
        <f ca="1">('TUSD BE'!$AM$15+'TUSD BF'!$AM$15+'TUSD CVA'!$AM$15)*1</f>
        <v>1302.3659842076513</v>
      </c>
      <c r="AA385" s="6"/>
      <c r="AB385" s="6">
        <f>$K$385*$V$385</f>
        <v>0</v>
      </c>
      <c r="AC385" s="6">
        <f>$M$385*$W$385</f>
        <v>26422.093254060001</v>
      </c>
      <c r="AD385" s="6">
        <f>$O$385*$X$385</f>
        <v>0</v>
      </c>
      <c r="AE385" s="6">
        <f>$K$385*$Y$385</f>
        <v>0</v>
      </c>
      <c r="AF385" s="6">
        <f ca="1">$M$385*$Z$385</f>
        <v>30595.923789143944</v>
      </c>
      <c r="AG385" s="6">
        <f>$O$385*$AA$385</f>
        <v>0</v>
      </c>
    </row>
    <row r="386" spans="1:33" ht="11.25" customHeight="1" x14ac:dyDescent="0.25">
      <c r="A386" s="4" t="s">
        <v>21</v>
      </c>
      <c r="B386" s="4" t="s">
        <v>35</v>
      </c>
      <c r="C386" s="4" t="s">
        <v>39</v>
      </c>
      <c r="D386" s="4" t="s">
        <v>34</v>
      </c>
      <c r="E386" s="4" t="s">
        <v>25</v>
      </c>
      <c r="F386" s="4" t="s">
        <v>55</v>
      </c>
      <c r="G386" s="4" t="s">
        <v>25</v>
      </c>
      <c r="H386" s="4" t="s">
        <v>37</v>
      </c>
      <c r="I386" s="5">
        <v>44621</v>
      </c>
      <c r="J386" s="6">
        <v>0</v>
      </c>
      <c r="K386" s="6">
        <v>0</v>
      </c>
      <c r="L386" s="6">
        <v>54.761000000000003</v>
      </c>
      <c r="M386" s="6">
        <v>23.109141999999999</v>
      </c>
      <c r="N386" s="6">
        <v>0</v>
      </c>
      <c r="O386" s="6">
        <v>0</v>
      </c>
      <c r="P386" s="6">
        <v>0</v>
      </c>
      <c r="Q386" s="4" t="s">
        <v>54</v>
      </c>
      <c r="R386" s="4">
        <v>0</v>
      </c>
      <c r="S386" s="6">
        <v>0</v>
      </c>
      <c r="T386" s="6">
        <v>12</v>
      </c>
      <c r="U386" s="6">
        <v>0</v>
      </c>
      <c r="V386" s="6">
        <f>IF(ISERROR(VLOOKUP($S$386,'TAR FIN'!$A$1:$O$93,15,0)),0,VLOOKUP($S$386,'TAR FIN'!$A$1:$O$93,15,0))</f>
        <v>0</v>
      </c>
      <c r="W386" s="6">
        <f>IF(ISERROR(VLOOKUP($T$386,'TAR FIN'!$A$1:$O$93,15,0)),0,VLOOKUP($T$386,'TAR FIN'!$A$1:$O$93,15,0))</f>
        <v>1124.7</v>
      </c>
      <c r="X386" s="6">
        <f>IF(ISERROR(VLOOKUP($U$386,'TAR FIN'!$A$1:$O$93,15,0)),0,VLOOKUP($U$386,'TAR FIN'!$A$1:$O$93,15,0))</f>
        <v>0</v>
      </c>
      <c r="Y386" s="6"/>
      <c r="Z386" s="6">
        <f ca="1">('TUSD BE'!$AM$15+'TUSD BF'!$AM$15+'TUSD CVA'!$AM$15)*1</f>
        <v>1302.3659842076513</v>
      </c>
      <c r="AA386" s="6"/>
      <c r="AB386" s="6">
        <f>$K$386*$V$386</f>
        <v>0</v>
      </c>
      <c r="AC386" s="6">
        <f>$M$386*$W$386</f>
        <v>25990.852007400001</v>
      </c>
      <c r="AD386" s="6">
        <f>$O$386*$X$386</f>
        <v>0</v>
      </c>
      <c r="AE386" s="6">
        <f>$K$386*$Y$386</f>
        <v>0</v>
      </c>
      <c r="AF386" s="6">
        <f ca="1">$M$386*$Z$386</f>
        <v>30096.560465024369</v>
      </c>
      <c r="AG386" s="6">
        <f>$O$386*$AA$386</f>
        <v>0</v>
      </c>
    </row>
    <row r="387" spans="1:33" ht="11.25" customHeight="1" x14ac:dyDescent="0.25">
      <c r="A387" s="4" t="s">
        <v>65</v>
      </c>
      <c r="B387" s="4" t="s">
        <v>35</v>
      </c>
      <c r="C387" s="4" t="s">
        <v>39</v>
      </c>
      <c r="D387" s="4" t="s">
        <v>34</v>
      </c>
      <c r="E387" s="4" t="s">
        <v>25</v>
      </c>
      <c r="F387" s="4" t="s">
        <v>55</v>
      </c>
      <c r="G387" s="4" t="s">
        <v>25</v>
      </c>
      <c r="H387" s="4" t="s">
        <v>37</v>
      </c>
      <c r="I387" s="5">
        <v>44652</v>
      </c>
      <c r="J387" s="6">
        <v>0</v>
      </c>
      <c r="K387" s="6">
        <v>0</v>
      </c>
      <c r="L387" s="6">
        <v>54.761000000000003</v>
      </c>
      <c r="M387" s="6">
        <v>23.109141999999999</v>
      </c>
      <c r="N387" s="6">
        <v>0</v>
      </c>
      <c r="O387" s="6">
        <v>0</v>
      </c>
      <c r="P387" s="6">
        <v>0</v>
      </c>
      <c r="Q387" s="4" t="s">
        <v>54</v>
      </c>
      <c r="R387" s="4">
        <v>0</v>
      </c>
      <c r="S387" s="6">
        <v>0</v>
      </c>
      <c r="T387" s="6">
        <v>12</v>
      </c>
      <c r="U387" s="6">
        <v>0</v>
      </c>
      <c r="V387" s="6">
        <f>IF(ISERROR(VLOOKUP($S$387,'TAR FIN'!$A$1:$O$93,15,0)),0,VLOOKUP($S$387,'TAR FIN'!$A$1:$O$93,15,0))</f>
        <v>0</v>
      </c>
      <c r="W387" s="6">
        <f>IF(ISERROR(VLOOKUP($T$387,'TAR FIN'!$A$1:$O$93,15,0)),0,VLOOKUP($T$387,'TAR FIN'!$A$1:$O$93,15,0))</f>
        <v>1124.7</v>
      </c>
      <c r="X387" s="6">
        <f>IF(ISERROR(VLOOKUP($U$387,'TAR FIN'!$A$1:$O$93,15,0)),0,VLOOKUP($U$387,'TAR FIN'!$A$1:$O$93,15,0))</f>
        <v>0</v>
      </c>
      <c r="Y387" s="6"/>
      <c r="Z387" s="6">
        <f ca="1">('TUSD BE'!$AM$15+'TUSD BF'!$AM$15+'TUSD CVA'!$AM$15)*1</f>
        <v>1302.3659842076513</v>
      </c>
      <c r="AA387" s="6"/>
      <c r="AB387" s="6">
        <f>$K$387*$V$387</f>
        <v>0</v>
      </c>
      <c r="AC387" s="6">
        <f>$M$387*$W$387</f>
        <v>25990.852007400001</v>
      </c>
      <c r="AD387" s="6">
        <f>$O$387*$X$387</f>
        <v>0</v>
      </c>
      <c r="AE387" s="6">
        <f>$K$387*$Y$387</f>
        <v>0</v>
      </c>
      <c r="AF387" s="6">
        <f ca="1">$M$387*$Z$387</f>
        <v>30096.560465024369</v>
      </c>
      <c r="AG387" s="6">
        <f>$O$387*$AA$387</f>
        <v>0</v>
      </c>
    </row>
    <row r="388" spans="1:33" ht="11.25" customHeight="1" x14ac:dyDescent="0.25">
      <c r="A388" s="4" t="s">
        <v>21</v>
      </c>
      <c r="B388" s="4" t="s">
        <v>35</v>
      </c>
      <c r="C388" s="4" t="s">
        <v>39</v>
      </c>
      <c r="D388" s="4" t="s">
        <v>34</v>
      </c>
      <c r="E388" s="4" t="s">
        <v>25</v>
      </c>
      <c r="F388" s="4" t="s">
        <v>55</v>
      </c>
      <c r="G388" s="4" t="s">
        <v>25</v>
      </c>
      <c r="H388" s="4" t="s">
        <v>37</v>
      </c>
      <c r="I388" s="5">
        <v>44682</v>
      </c>
      <c r="J388" s="6">
        <v>0</v>
      </c>
      <c r="K388" s="6">
        <v>0</v>
      </c>
      <c r="L388" s="6">
        <v>181.01300000000001</v>
      </c>
      <c r="M388" s="6">
        <v>101.548293</v>
      </c>
      <c r="N388" s="6">
        <v>0</v>
      </c>
      <c r="O388" s="6">
        <v>0</v>
      </c>
      <c r="P388" s="6">
        <v>0</v>
      </c>
      <c r="Q388" s="4" t="s">
        <v>54</v>
      </c>
      <c r="R388" s="4">
        <v>0</v>
      </c>
      <c r="S388" s="6">
        <v>0</v>
      </c>
      <c r="T388" s="6">
        <v>12</v>
      </c>
      <c r="U388" s="6">
        <v>0</v>
      </c>
      <c r="V388" s="6">
        <f>IF(ISERROR(VLOOKUP($S$388,'TAR FIN'!$A$1:$O$93,15,0)),0,VLOOKUP($S$388,'TAR FIN'!$A$1:$O$93,15,0))</f>
        <v>0</v>
      </c>
      <c r="W388" s="6">
        <f>IF(ISERROR(VLOOKUP($T$388,'TAR FIN'!$A$1:$O$93,15,0)),0,VLOOKUP($T$388,'TAR FIN'!$A$1:$O$93,15,0))</f>
        <v>1124.7</v>
      </c>
      <c r="X388" s="6">
        <f>IF(ISERROR(VLOOKUP($U$388,'TAR FIN'!$A$1:$O$93,15,0)),0,VLOOKUP($U$388,'TAR FIN'!$A$1:$O$93,15,0))</f>
        <v>0</v>
      </c>
      <c r="Y388" s="6"/>
      <c r="Z388" s="6">
        <f ca="1">('TUSD BE'!$AM$15+'TUSD BF'!$AM$15+'TUSD CVA'!$AM$15)*1</f>
        <v>1302.3659842076513</v>
      </c>
      <c r="AA388" s="6"/>
      <c r="AB388" s="6">
        <f>$K$388*$V$388</f>
        <v>0</v>
      </c>
      <c r="AC388" s="6">
        <f>$M$388*$W$388</f>
        <v>114211.3651371</v>
      </c>
      <c r="AD388" s="6">
        <f>$O$388*$X$388</f>
        <v>0</v>
      </c>
      <c r="AE388" s="6">
        <f>$K$388*$Y$388</f>
        <v>0</v>
      </c>
      <c r="AF388" s="6">
        <f ca="1">$M$388*$Z$388</f>
        <v>132253.04255755196</v>
      </c>
      <c r="AG388" s="6">
        <f>$O$388*$AA$388</f>
        <v>0</v>
      </c>
    </row>
    <row r="389" spans="1:33" ht="11.25" customHeight="1" x14ac:dyDescent="0.25">
      <c r="A389" s="4" t="s">
        <v>21</v>
      </c>
      <c r="B389" s="4" t="s">
        <v>35</v>
      </c>
      <c r="C389" s="4" t="s">
        <v>39</v>
      </c>
      <c r="D389" s="4" t="s">
        <v>34</v>
      </c>
      <c r="E389" s="4" t="s">
        <v>25</v>
      </c>
      <c r="F389" s="4" t="s">
        <v>55</v>
      </c>
      <c r="G389" s="4" t="s">
        <v>25</v>
      </c>
      <c r="H389" s="4" t="s">
        <v>37</v>
      </c>
      <c r="I389" s="5">
        <v>44713</v>
      </c>
      <c r="J389" s="6">
        <v>0</v>
      </c>
      <c r="K389" s="6">
        <v>0</v>
      </c>
      <c r="L389" s="6">
        <v>229.89099999999999</v>
      </c>
      <c r="M389" s="6">
        <v>128.279178</v>
      </c>
      <c r="N389" s="6">
        <v>0</v>
      </c>
      <c r="O389" s="6">
        <v>0</v>
      </c>
      <c r="P389" s="6">
        <v>0</v>
      </c>
      <c r="Q389" s="4" t="s">
        <v>54</v>
      </c>
      <c r="R389" s="4">
        <v>0</v>
      </c>
      <c r="S389" s="6">
        <v>0</v>
      </c>
      <c r="T389" s="6">
        <v>12</v>
      </c>
      <c r="U389" s="6">
        <v>0</v>
      </c>
      <c r="V389" s="6">
        <f>IF(ISERROR(VLOOKUP($S$389,'TAR FIN'!$A$1:$O$93,15,0)),0,VLOOKUP($S$389,'TAR FIN'!$A$1:$O$93,15,0))</f>
        <v>0</v>
      </c>
      <c r="W389" s="6">
        <f>IF(ISERROR(VLOOKUP($T$389,'TAR FIN'!$A$1:$O$93,15,0)),0,VLOOKUP($T$389,'TAR FIN'!$A$1:$O$93,15,0))</f>
        <v>1124.7</v>
      </c>
      <c r="X389" s="6">
        <f>IF(ISERROR(VLOOKUP($U$389,'TAR FIN'!$A$1:$O$93,15,0)),0,VLOOKUP($U$389,'TAR FIN'!$A$1:$O$93,15,0))</f>
        <v>0</v>
      </c>
      <c r="Y389" s="6"/>
      <c r="Z389" s="6">
        <f ca="1">('TUSD BE'!$AM$15+'TUSD BF'!$AM$15+'TUSD CVA'!$AM$15)*1</f>
        <v>1302.3659842076513</v>
      </c>
      <c r="AA389" s="6"/>
      <c r="AB389" s="6">
        <f>$K$389*$V$389</f>
        <v>0</v>
      </c>
      <c r="AC389" s="6">
        <f>$M$389*$W$389</f>
        <v>144275.59149660001</v>
      </c>
      <c r="AD389" s="6">
        <f>$O$389*$X$389</f>
        <v>0</v>
      </c>
      <c r="AE389" s="6">
        <f>$K$389*$Y$389</f>
        <v>0</v>
      </c>
      <c r="AF389" s="6">
        <f ca="1">$M$389*$Z$389</f>
        <v>167066.43790931848</v>
      </c>
      <c r="AG389" s="6">
        <f>$O$389*$AA$389</f>
        <v>0</v>
      </c>
    </row>
    <row r="390" spans="1:33" ht="11.25" customHeight="1" x14ac:dyDescent="0.25">
      <c r="A390" s="4" t="s">
        <v>21</v>
      </c>
      <c r="B390" s="4" t="s">
        <v>35</v>
      </c>
      <c r="C390" s="4" t="s">
        <v>39</v>
      </c>
      <c r="D390" s="4" t="s">
        <v>34</v>
      </c>
      <c r="E390" s="4" t="s">
        <v>25</v>
      </c>
      <c r="F390" s="4" t="s">
        <v>25</v>
      </c>
      <c r="G390" s="4" t="s">
        <v>25</v>
      </c>
      <c r="H390" s="4" t="s">
        <v>38</v>
      </c>
      <c r="I390" s="5">
        <v>44378</v>
      </c>
      <c r="J390" s="6">
        <v>0</v>
      </c>
      <c r="K390" s="6">
        <v>0</v>
      </c>
      <c r="L390" s="6">
        <v>6815.0640000000003</v>
      </c>
      <c r="M390" s="6">
        <v>6815.0640000000003</v>
      </c>
      <c r="N390" s="6">
        <v>6815.0640000000003</v>
      </c>
      <c r="O390" s="6">
        <v>6815.0640000000003</v>
      </c>
      <c r="P390" s="6">
        <v>0</v>
      </c>
      <c r="Q390" s="4" t="s">
        <v>26</v>
      </c>
      <c r="R390" s="4">
        <v>0</v>
      </c>
      <c r="S390" s="6">
        <v>0</v>
      </c>
      <c r="T390" s="6">
        <v>25</v>
      </c>
      <c r="U390" s="6">
        <v>59</v>
      </c>
      <c r="V390" s="6">
        <f>IF(ISERROR(VLOOKUP($S$390,'TAR FIN'!$A$1:$O$93,15,0)),0,VLOOKUP($S$390,'TAR FIN'!$A$1:$O$93,15,0))</f>
        <v>0</v>
      </c>
      <c r="W390" s="6">
        <f>IF(ISERROR(VLOOKUP($T$390,'TAR FIN'!$A$1:$O$93,15,0)),0,VLOOKUP($T$390,'TAR FIN'!$A$1:$O$93,15,0))</f>
        <v>69.489999999999995</v>
      </c>
      <c r="X390" s="6">
        <f>IF(ISERROR(VLOOKUP($U$390,'TAR FIN'!$A$1:$O$93,15,0)),0,VLOOKUP($U$390,'TAR FIN'!$A$1:$O$93,15,0))</f>
        <v>185.18</v>
      </c>
      <c r="Y390" s="6"/>
      <c r="Z390" s="6">
        <f ca="1">('TUSD BE'!$AM$16+'TUSD BF'!$AM$16+'TUSD CVA'!$AM$16)*1</f>
        <v>92.504793470158234</v>
      </c>
      <c r="AA390" s="6">
        <f>('TE BE'!$AB$8+'TE BF'!$AB$8+'TE CVA'!$AB$8)*1</f>
        <v>198.18194779658231</v>
      </c>
      <c r="AB390" s="6">
        <f>$K$390*$V$390</f>
        <v>0</v>
      </c>
      <c r="AC390" s="6">
        <f>$M$390*$W$390</f>
        <v>473578.79735999997</v>
      </c>
      <c r="AD390" s="6">
        <f>$O$390*$X$390</f>
        <v>1262013.5515200002</v>
      </c>
      <c r="AE390" s="6">
        <f>$K$390*$Y$390</f>
        <v>0</v>
      </c>
      <c r="AF390" s="6">
        <f ca="1">$M$390*$Z$390</f>
        <v>630426.0878059105</v>
      </c>
      <c r="AG390" s="6">
        <f>$O$390*$AA$390</f>
        <v>1350622.6578783675</v>
      </c>
    </row>
    <row r="391" spans="1:33" ht="11.25" customHeight="1" x14ac:dyDescent="0.25">
      <c r="A391" s="4" t="s">
        <v>27</v>
      </c>
      <c r="B391" s="4" t="s">
        <v>35</v>
      </c>
      <c r="C391" s="4" t="s">
        <v>39</v>
      </c>
      <c r="D391" s="4" t="s">
        <v>34</v>
      </c>
      <c r="E391" s="4" t="s">
        <v>25</v>
      </c>
      <c r="F391" s="4" t="s">
        <v>25</v>
      </c>
      <c r="G391" s="4" t="s">
        <v>25</v>
      </c>
      <c r="H391" s="4" t="s">
        <v>38</v>
      </c>
      <c r="I391" s="5">
        <v>44378</v>
      </c>
      <c r="J391" s="6">
        <v>0</v>
      </c>
      <c r="K391" s="6">
        <v>0</v>
      </c>
      <c r="L391" s="6">
        <v>-544.08600000000001</v>
      </c>
      <c r="M391" s="6">
        <v>-544.08600000000001</v>
      </c>
      <c r="N391" s="6">
        <v>-544.08600000000001</v>
      </c>
      <c r="O391" s="6">
        <v>-544.08600000000001</v>
      </c>
      <c r="P391" s="6">
        <v>0</v>
      </c>
      <c r="Q391" s="4" t="s">
        <v>26</v>
      </c>
      <c r="R391" s="4">
        <v>0</v>
      </c>
      <c r="S391" s="6">
        <v>0</v>
      </c>
      <c r="T391" s="6">
        <v>25</v>
      </c>
      <c r="U391" s="6">
        <v>59</v>
      </c>
      <c r="V391" s="6">
        <f>IF(ISERROR(VLOOKUP($S$391,'TAR FIN'!$A$1:$O$93,15,0)),0,VLOOKUP($S$391,'TAR FIN'!$A$1:$O$93,15,0))</f>
        <v>0</v>
      </c>
      <c r="W391" s="6">
        <f>IF(ISERROR(VLOOKUP($T$391,'TAR FIN'!$A$1:$O$93,15,0)),0,VLOOKUP($T$391,'TAR FIN'!$A$1:$O$93,15,0))</f>
        <v>69.489999999999995</v>
      </c>
      <c r="X391" s="6">
        <f>IF(ISERROR(VLOOKUP($U$391,'TAR FIN'!$A$1:$O$93,15,0)),0,VLOOKUP($U$391,'TAR FIN'!$A$1:$O$93,15,0))</f>
        <v>185.18</v>
      </c>
      <c r="Y391" s="6"/>
      <c r="Z391" s="6">
        <f ca="1">('TUSD BE'!$AM$16+'TUSD BF'!$AM$16+'TUSD CVA'!$AM$16)*1</f>
        <v>92.504793470158234</v>
      </c>
      <c r="AA391" s="6">
        <f>('TE BE'!$AB$8+'TE BF'!$AB$8+'TE CVA'!$AB$8)*1</f>
        <v>198.18194779658231</v>
      </c>
      <c r="AB391" s="6">
        <f>$K$391*$V$391</f>
        <v>0</v>
      </c>
      <c r="AC391" s="6">
        <f>$M$391*$W$391</f>
        <v>-37808.536139999997</v>
      </c>
      <c r="AD391" s="6">
        <f>$O$391*$X$391</f>
        <v>-100753.84548</v>
      </c>
      <c r="AE391" s="6">
        <f>$K$391*$Y$391</f>
        <v>0</v>
      </c>
      <c r="AF391" s="6">
        <f ca="1">$M$391*$Z$391</f>
        <v>-50330.563060004511</v>
      </c>
      <c r="AG391" s="6">
        <f>$O$391*$AA$391</f>
        <v>-107828.02324885128</v>
      </c>
    </row>
    <row r="392" spans="1:33" ht="11.25" customHeight="1" x14ac:dyDescent="0.25">
      <c r="A392" s="4" t="s">
        <v>28</v>
      </c>
      <c r="B392" s="4" t="s">
        <v>35</v>
      </c>
      <c r="C392" s="4" t="s">
        <v>39</v>
      </c>
      <c r="D392" s="4" t="s">
        <v>34</v>
      </c>
      <c r="E392" s="4" t="s">
        <v>25</v>
      </c>
      <c r="F392" s="4" t="s">
        <v>25</v>
      </c>
      <c r="G392" s="4" t="s">
        <v>25</v>
      </c>
      <c r="H392" s="4" t="s">
        <v>38</v>
      </c>
      <c r="I392" s="5">
        <v>44378</v>
      </c>
      <c r="J392" s="6">
        <v>0</v>
      </c>
      <c r="K392" s="6">
        <v>0</v>
      </c>
      <c r="L392" s="6">
        <v>316.392</v>
      </c>
      <c r="M392" s="6">
        <v>316.392</v>
      </c>
      <c r="N392" s="6">
        <v>316.392</v>
      </c>
      <c r="O392" s="6">
        <v>316.392</v>
      </c>
      <c r="P392" s="6">
        <v>0</v>
      </c>
      <c r="Q392" s="4" t="s">
        <v>26</v>
      </c>
      <c r="R392" s="4">
        <v>0</v>
      </c>
      <c r="S392" s="6">
        <v>0</v>
      </c>
      <c r="T392" s="6">
        <v>25</v>
      </c>
      <c r="U392" s="6">
        <v>59</v>
      </c>
      <c r="V392" s="6">
        <f>IF(ISERROR(VLOOKUP($S$392,'TAR FIN'!$A$1:$O$93,15,0)),0,VLOOKUP($S$392,'TAR FIN'!$A$1:$O$93,15,0))</f>
        <v>0</v>
      </c>
      <c r="W392" s="6">
        <f>IF(ISERROR(VLOOKUP($T$392,'TAR FIN'!$A$1:$O$93,15,0)),0,VLOOKUP($T$392,'TAR FIN'!$A$1:$O$93,15,0))</f>
        <v>69.489999999999995</v>
      </c>
      <c r="X392" s="6">
        <f>IF(ISERROR(VLOOKUP($U$392,'TAR FIN'!$A$1:$O$93,15,0)),0,VLOOKUP($U$392,'TAR FIN'!$A$1:$O$93,15,0))</f>
        <v>185.18</v>
      </c>
      <c r="Y392" s="6"/>
      <c r="Z392" s="6">
        <f ca="1">('TUSD BE'!$AM$16+'TUSD BF'!$AM$16+'TUSD CVA'!$AM$16)*1</f>
        <v>92.504793470158234</v>
      </c>
      <c r="AA392" s="6">
        <f>('TE BE'!$AB$8+'TE BF'!$AB$8+'TE CVA'!$AB$8)*1</f>
        <v>198.18194779658231</v>
      </c>
      <c r="AB392" s="6">
        <f>$K$392*$V$392</f>
        <v>0</v>
      </c>
      <c r="AC392" s="6">
        <f>$M$392*$W$392</f>
        <v>21986.08008</v>
      </c>
      <c r="AD392" s="6">
        <f>$O$392*$X$392</f>
        <v>58589.470560000002</v>
      </c>
      <c r="AE392" s="6">
        <f>$K$392*$Y$392</f>
        <v>0</v>
      </c>
      <c r="AF392" s="6">
        <f ca="1">$M$392*$Z$392</f>
        <v>29267.776615610303</v>
      </c>
      <c r="AG392" s="6">
        <f>$O$392*$AA$392</f>
        <v>62703.182827256271</v>
      </c>
    </row>
    <row r="393" spans="1:33" ht="11.25" customHeight="1" x14ac:dyDescent="0.25">
      <c r="A393" s="4" t="s">
        <v>21</v>
      </c>
      <c r="B393" s="4" t="s">
        <v>35</v>
      </c>
      <c r="C393" s="4" t="s">
        <v>39</v>
      </c>
      <c r="D393" s="4" t="s">
        <v>34</v>
      </c>
      <c r="E393" s="4" t="s">
        <v>25</v>
      </c>
      <c r="F393" s="4" t="s">
        <v>25</v>
      </c>
      <c r="G393" s="4" t="s">
        <v>25</v>
      </c>
      <c r="H393" s="4" t="s">
        <v>38</v>
      </c>
      <c r="I393" s="5">
        <v>44409</v>
      </c>
      <c r="J393" s="6">
        <v>0</v>
      </c>
      <c r="K393" s="6">
        <v>0</v>
      </c>
      <c r="L393" s="6">
        <v>6384.058</v>
      </c>
      <c r="M393" s="6">
        <v>6384.058</v>
      </c>
      <c r="N393" s="6">
        <v>6384.058</v>
      </c>
      <c r="O393" s="6">
        <v>6384.058</v>
      </c>
      <c r="P393" s="6">
        <v>0</v>
      </c>
      <c r="Q393" s="4" t="s">
        <v>26</v>
      </c>
      <c r="R393" s="4">
        <v>0</v>
      </c>
      <c r="S393" s="6">
        <v>0</v>
      </c>
      <c r="T393" s="6">
        <v>25</v>
      </c>
      <c r="U393" s="6">
        <v>59</v>
      </c>
      <c r="V393" s="6">
        <f>IF(ISERROR(VLOOKUP($S$393,'TAR FIN'!$A$1:$O$93,15,0)),0,VLOOKUP($S$393,'TAR FIN'!$A$1:$O$93,15,0))</f>
        <v>0</v>
      </c>
      <c r="W393" s="6">
        <f>IF(ISERROR(VLOOKUP($T$393,'TAR FIN'!$A$1:$O$93,15,0)),0,VLOOKUP($T$393,'TAR FIN'!$A$1:$O$93,15,0))</f>
        <v>69.489999999999995</v>
      </c>
      <c r="X393" s="6">
        <f>IF(ISERROR(VLOOKUP($U$393,'TAR FIN'!$A$1:$O$93,15,0)),0,VLOOKUP($U$393,'TAR FIN'!$A$1:$O$93,15,0))</f>
        <v>185.18</v>
      </c>
      <c r="Y393" s="6"/>
      <c r="Z393" s="6">
        <f ca="1">('TUSD BE'!$AM$16+'TUSD BF'!$AM$16+'TUSD CVA'!$AM$16)*1</f>
        <v>92.504793470158234</v>
      </c>
      <c r="AA393" s="6">
        <f>('TE BE'!$AB$8+'TE BF'!$AB$8+'TE CVA'!$AB$8)*1</f>
        <v>198.18194779658231</v>
      </c>
      <c r="AB393" s="6">
        <f>$K$393*$V$393</f>
        <v>0</v>
      </c>
      <c r="AC393" s="6">
        <f>$M$393*$W$393</f>
        <v>443628.19041999994</v>
      </c>
      <c r="AD393" s="6">
        <f>$O$393*$X$393</f>
        <v>1182199.86044</v>
      </c>
      <c r="AE393" s="6">
        <f>$K$393*$Y$393</f>
        <v>0</v>
      </c>
      <c r="AF393" s="6">
        <f ca="1">$M$393*$Z$393</f>
        <v>590555.9667915114</v>
      </c>
      <c r="AG393" s="6">
        <f>$O$393*$AA$393</f>
        <v>1265205.0492863536</v>
      </c>
    </row>
    <row r="394" spans="1:33" ht="11.25" customHeight="1" x14ac:dyDescent="0.25">
      <c r="A394" s="4" t="s">
        <v>28</v>
      </c>
      <c r="B394" s="4" t="s">
        <v>35</v>
      </c>
      <c r="C394" s="4" t="s">
        <v>39</v>
      </c>
      <c r="D394" s="4" t="s">
        <v>34</v>
      </c>
      <c r="E394" s="4" t="s">
        <v>25</v>
      </c>
      <c r="F394" s="4" t="s">
        <v>25</v>
      </c>
      <c r="G394" s="4" t="s">
        <v>25</v>
      </c>
      <c r="H394" s="4" t="s">
        <v>38</v>
      </c>
      <c r="I394" s="5">
        <v>44409</v>
      </c>
      <c r="J394" s="6">
        <v>0</v>
      </c>
      <c r="K394" s="6">
        <v>0</v>
      </c>
      <c r="L394" s="6">
        <v>326.16800000000001</v>
      </c>
      <c r="M394" s="6">
        <v>326.16800000000001</v>
      </c>
      <c r="N394" s="6">
        <v>326.16800000000001</v>
      </c>
      <c r="O394" s="6">
        <v>326.16800000000001</v>
      </c>
      <c r="P394" s="6">
        <v>0</v>
      </c>
      <c r="Q394" s="4" t="s">
        <v>26</v>
      </c>
      <c r="R394" s="4">
        <v>0</v>
      </c>
      <c r="S394" s="6">
        <v>0</v>
      </c>
      <c r="T394" s="6">
        <v>25</v>
      </c>
      <c r="U394" s="6">
        <v>59</v>
      </c>
      <c r="V394" s="6">
        <f>IF(ISERROR(VLOOKUP($S$394,'TAR FIN'!$A$1:$O$93,15,0)),0,VLOOKUP($S$394,'TAR FIN'!$A$1:$O$93,15,0))</f>
        <v>0</v>
      </c>
      <c r="W394" s="6">
        <f>IF(ISERROR(VLOOKUP($T$394,'TAR FIN'!$A$1:$O$93,15,0)),0,VLOOKUP($T$394,'TAR FIN'!$A$1:$O$93,15,0))</f>
        <v>69.489999999999995</v>
      </c>
      <c r="X394" s="6">
        <f>IF(ISERROR(VLOOKUP($U$394,'TAR FIN'!$A$1:$O$93,15,0)),0,VLOOKUP($U$394,'TAR FIN'!$A$1:$O$93,15,0))</f>
        <v>185.18</v>
      </c>
      <c r="Y394" s="6"/>
      <c r="Z394" s="6">
        <f ca="1">('TUSD BE'!$AM$16+'TUSD BF'!$AM$16+'TUSD CVA'!$AM$16)*1</f>
        <v>92.504793470158234</v>
      </c>
      <c r="AA394" s="6">
        <f>('TE BE'!$AB$8+'TE BF'!$AB$8+'TE CVA'!$AB$8)*1</f>
        <v>198.18194779658231</v>
      </c>
      <c r="AB394" s="6">
        <f>$K$394*$V$394</f>
        <v>0</v>
      </c>
      <c r="AC394" s="6">
        <f>$M$394*$W$394</f>
        <v>22665.41432</v>
      </c>
      <c r="AD394" s="6">
        <f>$O$394*$X$394</f>
        <v>60399.790240000002</v>
      </c>
      <c r="AE394" s="6">
        <f>$K$394*$Y$394</f>
        <v>0</v>
      </c>
      <c r="AF394" s="6">
        <f ca="1">$M$394*$Z$394</f>
        <v>30172.103476574572</v>
      </c>
      <c r="AG394" s="6">
        <f>$O$394*$AA$394</f>
        <v>64640.609548915658</v>
      </c>
    </row>
    <row r="395" spans="1:33" ht="11.25" customHeight="1" x14ac:dyDescent="0.25">
      <c r="A395" s="4" t="s">
        <v>21</v>
      </c>
      <c r="B395" s="4" t="s">
        <v>35</v>
      </c>
      <c r="C395" s="4" t="s">
        <v>39</v>
      </c>
      <c r="D395" s="4" t="s">
        <v>34</v>
      </c>
      <c r="E395" s="4" t="s">
        <v>25</v>
      </c>
      <c r="F395" s="4" t="s">
        <v>25</v>
      </c>
      <c r="G395" s="4" t="s">
        <v>25</v>
      </c>
      <c r="H395" s="4" t="s">
        <v>38</v>
      </c>
      <c r="I395" s="5">
        <v>44440</v>
      </c>
      <c r="J395" s="6">
        <v>0</v>
      </c>
      <c r="K395" s="6">
        <v>0</v>
      </c>
      <c r="L395" s="6">
        <v>6651.0119999999997</v>
      </c>
      <c r="M395" s="6">
        <v>6651.0119999999997</v>
      </c>
      <c r="N395" s="6">
        <v>6651.0119999999997</v>
      </c>
      <c r="O395" s="6">
        <v>6651.0119999999997</v>
      </c>
      <c r="P395" s="6">
        <v>0</v>
      </c>
      <c r="Q395" s="4" t="s">
        <v>26</v>
      </c>
      <c r="R395" s="4">
        <v>0</v>
      </c>
      <c r="S395" s="6">
        <v>0</v>
      </c>
      <c r="T395" s="6">
        <v>25</v>
      </c>
      <c r="U395" s="6">
        <v>59</v>
      </c>
      <c r="V395" s="6">
        <f>IF(ISERROR(VLOOKUP($S$395,'TAR FIN'!$A$1:$O$93,15,0)),0,VLOOKUP($S$395,'TAR FIN'!$A$1:$O$93,15,0))</f>
        <v>0</v>
      </c>
      <c r="W395" s="6">
        <f>IF(ISERROR(VLOOKUP($T$395,'TAR FIN'!$A$1:$O$93,15,0)),0,VLOOKUP($T$395,'TAR FIN'!$A$1:$O$93,15,0))</f>
        <v>69.489999999999995</v>
      </c>
      <c r="X395" s="6">
        <f>IF(ISERROR(VLOOKUP($U$395,'TAR FIN'!$A$1:$O$93,15,0)),0,VLOOKUP($U$395,'TAR FIN'!$A$1:$O$93,15,0))</f>
        <v>185.18</v>
      </c>
      <c r="Y395" s="6"/>
      <c r="Z395" s="6">
        <f ca="1">('TUSD BE'!$AM$16+'TUSD BF'!$AM$16+'TUSD CVA'!$AM$16)*1</f>
        <v>92.504793470158234</v>
      </c>
      <c r="AA395" s="6">
        <f>('TE BE'!$AB$8+'TE BF'!$AB$8+'TE CVA'!$AB$8)*1</f>
        <v>198.18194779658231</v>
      </c>
      <c r="AB395" s="6">
        <f>$K$395*$V$395</f>
        <v>0</v>
      </c>
      <c r="AC395" s="6">
        <f>$M$395*$W$395</f>
        <v>462178.82387999992</v>
      </c>
      <c r="AD395" s="6">
        <f>$O$395*$X$395</f>
        <v>1231634.4021600001</v>
      </c>
      <c r="AE395" s="6">
        <f>$K$395*$Y$395</f>
        <v>0</v>
      </c>
      <c r="AF395" s="6">
        <f ca="1">$M$395*$Z$395</f>
        <v>615250.49142754404</v>
      </c>
      <c r="AG395" s="6">
        <f>$O$395*$AA$395</f>
        <v>1318110.5129784425</v>
      </c>
    </row>
    <row r="396" spans="1:33" ht="11.25" customHeight="1" x14ac:dyDescent="0.25">
      <c r="A396" s="4" t="s">
        <v>28</v>
      </c>
      <c r="B396" s="4" t="s">
        <v>35</v>
      </c>
      <c r="C396" s="4" t="s">
        <v>39</v>
      </c>
      <c r="D396" s="4" t="s">
        <v>34</v>
      </c>
      <c r="E396" s="4" t="s">
        <v>25</v>
      </c>
      <c r="F396" s="4" t="s">
        <v>25</v>
      </c>
      <c r="G396" s="4" t="s">
        <v>25</v>
      </c>
      <c r="H396" s="4" t="s">
        <v>38</v>
      </c>
      <c r="I396" s="5">
        <v>44440</v>
      </c>
      <c r="J396" s="6">
        <v>0</v>
      </c>
      <c r="K396" s="6">
        <v>0</v>
      </c>
      <c r="L396" s="6">
        <v>325.83699999999999</v>
      </c>
      <c r="M396" s="6">
        <v>325.83699999999999</v>
      </c>
      <c r="N396" s="6">
        <v>325.83699999999999</v>
      </c>
      <c r="O396" s="6">
        <v>325.83699999999999</v>
      </c>
      <c r="P396" s="6">
        <v>0</v>
      </c>
      <c r="Q396" s="4" t="s">
        <v>26</v>
      </c>
      <c r="R396" s="4">
        <v>0</v>
      </c>
      <c r="S396" s="6">
        <v>0</v>
      </c>
      <c r="T396" s="6">
        <v>25</v>
      </c>
      <c r="U396" s="6">
        <v>59</v>
      </c>
      <c r="V396" s="6">
        <f>IF(ISERROR(VLOOKUP($S$396,'TAR FIN'!$A$1:$O$93,15,0)),0,VLOOKUP($S$396,'TAR FIN'!$A$1:$O$93,15,0))</f>
        <v>0</v>
      </c>
      <c r="W396" s="6">
        <f>IF(ISERROR(VLOOKUP($T$396,'TAR FIN'!$A$1:$O$93,15,0)),0,VLOOKUP($T$396,'TAR FIN'!$A$1:$O$93,15,0))</f>
        <v>69.489999999999995</v>
      </c>
      <c r="X396" s="6">
        <f>IF(ISERROR(VLOOKUP($U$396,'TAR FIN'!$A$1:$O$93,15,0)),0,VLOOKUP($U$396,'TAR FIN'!$A$1:$O$93,15,0))</f>
        <v>185.18</v>
      </c>
      <c r="Y396" s="6"/>
      <c r="Z396" s="6">
        <f ca="1">('TUSD BE'!$AM$16+'TUSD BF'!$AM$16+'TUSD CVA'!$AM$16)*1</f>
        <v>92.504793470158234</v>
      </c>
      <c r="AA396" s="6">
        <f>('TE BE'!$AB$8+'TE BF'!$AB$8+'TE CVA'!$AB$8)*1</f>
        <v>198.18194779658231</v>
      </c>
      <c r="AB396" s="6">
        <f>$K$396*$V$396</f>
        <v>0</v>
      </c>
      <c r="AC396" s="6">
        <f>$M$396*$W$396</f>
        <v>22642.413129999997</v>
      </c>
      <c r="AD396" s="6">
        <f>$O$396*$X$396</f>
        <v>60338.49566</v>
      </c>
      <c r="AE396" s="6">
        <f>$K$396*$Y$396</f>
        <v>0</v>
      </c>
      <c r="AF396" s="6">
        <f ca="1">$M$396*$Z$396</f>
        <v>30141.484389935948</v>
      </c>
      <c r="AG396" s="6">
        <f>$O$396*$AA$396</f>
        <v>64575.011324194988</v>
      </c>
    </row>
    <row r="397" spans="1:33" ht="11.25" customHeight="1" x14ac:dyDescent="0.25">
      <c r="A397" s="4" t="s">
        <v>21</v>
      </c>
      <c r="B397" s="4" t="s">
        <v>35</v>
      </c>
      <c r="C397" s="4" t="s">
        <v>39</v>
      </c>
      <c r="D397" s="4" t="s">
        <v>34</v>
      </c>
      <c r="E397" s="4" t="s">
        <v>25</v>
      </c>
      <c r="F397" s="4" t="s">
        <v>25</v>
      </c>
      <c r="G397" s="4" t="s">
        <v>25</v>
      </c>
      <c r="H397" s="4" t="s">
        <v>38</v>
      </c>
      <c r="I397" s="5">
        <v>44470</v>
      </c>
      <c r="J397" s="6">
        <v>0</v>
      </c>
      <c r="K397" s="6">
        <v>0</v>
      </c>
      <c r="L397" s="6">
        <v>6546.0789999999997</v>
      </c>
      <c r="M397" s="6">
        <v>6546.0789999999997</v>
      </c>
      <c r="N397" s="6">
        <v>6546.0789999999997</v>
      </c>
      <c r="O397" s="6">
        <v>6546.0789999999997</v>
      </c>
      <c r="P397" s="6">
        <v>0</v>
      </c>
      <c r="Q397" s="4" t="s">
        <v>26</v>
      </c>
      <c r="R397" s="4">
        <v>0</v>
      </c>
      <c r="S397" s="6">
        <v>0</v>
      </c>
      <c r="T397" s="6">
        <v>25</v>
      </c>
      <c r="U397" s="6">
        <v>59</v>
      </c>
      <c r="V397" s="6">
        <f>IF(ISERROR(VLOOKUP($S$397,'TAR FIN'!$A$1:$O$93,15,0)),0,VLOOKUP($S$397,'TAR FIN'!$A$1:$O$93,15,0))</f>
        <v>0</v>
      </c>
      <c r="W397" s="6">
        <f>IF(ISERROR(VLOOKUP($T$397,'TAR FIN'!$A$1:$O$93,15,0)),0,VLOOKUP($T$397,'TAR FIN'!$A$1:$O$93,15,0))</f>
        <v>69.489999999999995</v>
      </c>
      <c r="X397" s="6">
        <f>IF(ISERROR(VLOOKUP($U$397,'TAR FIN'!$A$1:$O$93,15,0)),0,VLOOKUP($U$397,'TAR FIN'!$A$1:$O$93,15,0))</f>
        <v>185.18</v>
      </c>
      <c r="Y397" s="6"/>
      <c r="Z397" s="6">
        <f ca="1">('TUSD BE'!$AM$16+'TUSD BF'!$AM$16+'TUSD CVA'!$AM$16)*1</f>
        <v>92.504793470158234</v>
      </c>
      <c r="AA397" s="6">
        <f>('TE BE'!$AB$8+'TE BF'!$AB$8+'TE CVA'!$AB$8)*1</f>
        <v>198.18194779658231</v>
      </c>
      <c r="AB397" s="6">
        <f>$K$397*$V$397</f>
        <v>0</v>
      </c>
      <c r="AC397" s="6">
        <f>$M$397*$W$397</f>
        <v>454887.02970999997</v>
      </c>
      <c r="AD397" s="6">
        <f>$O$397*$X$397</f>
        <v>1212202.90922</v>
      </c>
      <c r="AE397" s="6">
        <f>$K$397*$Y$397</f>
        <v>0</v>
      </c>
      <c r="AF397" s="6">
        <f ca="1">$M$397*$Z$397</f>
        <v>605543.68593433988</v>
      </c>
      <c r="AG397" s="6">
        <f>$O$397*$AA$397</f>
        <v>1297314.6866503037</v>
      </c>
    </row>
    <row r="398" spans="1:33" ht="11.25" customHeight="1" x14ac:dyDescent="0.25">
      <c r="A398" s="4" t="s">
        <v>28</v>
      </c>
      <c r="B398" s="4" t="s">
        <v>35</v>
      </c>
      <c r="C398" s="4" t="s">
        <v>39</v>
      </c>
      <c r="D398" s="4" t="s">
        <v>34</v>
      </c>
      <c r="E398" s="4" t="s">
        <v>25</v>
      </c>
      <c r="F398" s="4" t="s">
        <v>25</v>
      </c>
      <c r="G398" s="4" t="s">
        <v>25</v>
      </c>
      <c r="H398" s="4" t="s">
        <v>38</v>
      </c>
      <c r="I398" s="5">
        <v>44470</v>
      </c>
      <c r="J398" s="6">
        <v>0</v>
      </c>
      <c r="K398" s="6">
        <v>0</v>
      </c>
      <c r="L398" s="6">
        <v>305.10700000000003</v>
      </c>
      <c r="M398" s="6">
        <v>305.10700000000003</v>
      </c>
      <c r="N398" s="6">
        <v>305.10700000000003</v>
      </c>
      <c r="O398" s="6">
        <v>305.10700000000003</v>
      </c>
      <c r="P398" s="6">
        <v>0</v>
      </c>
      <c r="Q398" s="4" t="s">
        <v>26</v>
      </c>
      <c r="R398" s="4">
        <v>0</v>
      </c>
      <c r="S398" s="6">
        <v>0</v>
      </c>
      <c r="T398" s="6">
        <v>25</v>
      </c>
      <c r="U398" s="6">
        <v>59</v>
      </c>
      <c r="V398" s="6">
        <f>IF(ISERROR(VLOOKUP($S$398,'TAR FIN'!$A$1:$O$93,15,0)),0,VLOOKUP($S$398,'TAR FIN'!$A$1:$O$93,15,0))</f>
        <v>0</v>
      </c>
      <c r="W398" s="6">
        <f>IF(ISERROR(VLOOKUP($T$398,'TAR FIN'!$A$1:$O$93,15,0)),0,VLOOKUP($T$398,'TAR FIN'!$A$1:$O$93,15,0))</f>
        <v>69.489999999999995</v>
      </c>
      <c r="X398" s="6">
        <f>IF(ISERROR(VLOOKUP($U$398,'TAR FIN'!$A$1:$O$93,15,0)),0,VLOOKUP($U$398,'TAR FIN'!$A$1:$O$93,15,0))</f>
        <v>185.18</v>
      </c>
      <c r="Y398" s="6"/>
      <c r="Z398" s="6">
        <f ca="1">('TUSD BE'!$AM$16+'TUSD BF'!$AM$16+'TUSD CVA'!$AM$16)*1</f>
        <v>92.504793470158234</v>
      </c>
      <c r="AA398" s="6">
        <f>('TE BE'!$AB$8+'TE BF'!$AB$8+'TE CVA'!$AB$8)*1</f>
        <v>198.18194779658231</v>
      </c>
      <c r="AB398" s="6">
        <f>$K$398*$V$398</f>
        <v>0</v>
      </c>
      <c r="AC398" s="6">
        <f>$M$398*$W$398</f>
        <v>21201.885430000002</v>
      </c>
      <c r="AD398" s="6">
        <f>$O$398*$X$398</f>
        <v>56499.714260000008</v>
      </c>
      <c r="AE398" s="6">
        <f>$K$398*$Y$398</f>
        <v>0</v>
      </c>
      <c r="AF398" s="6">
        <f ca="1">$M$398*$Z$398</f>
        <v>28223.86002129957</v>
      </c>
      <c r="AG398" s="6">
        <f>$O$398*$AA$398</f>
        <v>60466.699546371841</v>
      </c>
    </row>
    <row r="399" spans="1:33" ht="11.25" customHeight="1" x14ac:dyDescent="0.25">
      <c r="A399" s="4" t="s">
        <v>21</v>
      </c>
      <c r="B399" s="4" t="s">
        <v>35</v>
      </c>
      <c r="C399" s="4" t="s">
        <v>39</v>
      </c>
      <c r="D399" s="4" t="s">
        <v>34</v>
      </c>
      <c r="E399" s="4" t="s">
        <v>25</v>
      </c>
      <c r="F399" s="4" t="s">
        <v>25</v>
      </c>
      <c r="G399" s="4" t="s">
        <v>25</v>
      </c>
      <c r="H399" s="4" t="s">
        <v>38</v>
      </c>
      <c r="I399" s="5">
        <v>44501</v>
      </c>
      <c r="J399" s="6">
        <v>0</v>
      </c>
      <c r="K399" s="6">
        <v>0</v>
      </c>
      <c r="L399" s="6">
        <v>5027.9440000000004</v>
      </c>
      <c r="M399" s="6">
        <v>5027.9440000000004</v>
      </c>
      <c r="N399" s="6">
        <v>5027.9440000000004</v>
      </c>
      <c r="O399" s="6">
        <v>5027.9440000000004</v>
      </c>
      <c r="P399" s="6">
        <v>0</v>
      </c>
      <c r="Q399" s="4" t="s">
        <v>26</v>
      </c>
      <c r="R399" s="4">
        <v>0</v>
      </c>
      <c r="S399" s="6">
        <v>0</v>
      </c>
      <c r="T399" s="6">
        <v>25</v>
      </c>
      <c r="U399" s="6">
        <v>59</v>
      </c>
      <c r="V399" s="6">
        <f>IF(ISERROR(VLOOKUP($S$399,'TAR FIN'!$A$1:$O$93,15,0)),0,VLOOKUP($S$399,'TAR FIN'!$A$1:$O$93,15,0))</f>
        <v>0</v>
      </c>
      <c r="W399" s="6">
        <f>IF(ISERROR(VLOOKUP($T$399,'TAR FIN'!$A$1:$O$93,15,0)),0,VLOOKUP($T$399,'TAR FIN'!$A$1:$O$93,15,0))</f>
        <v>69.489999999999995</v>
      </c>
      <c r="X399" s="6">
        <f>IF(ISERROR(VLOOKUP($U$399,'TAR FIN'!$A$1:$O$93,15,0)),0,VLOOKUP($U$399,'TAR FIN'!$A$1:$O$93,15,0))</f>
        <v>185.18</v>
      </c>
      <c r="Y399" s="6"/>
      <c r="Z399" s="6">
        <f ca="1">('TUSD BE'!$AM$16+'TUSD BF'!$AM$16+'TUSD CVA'!$AM$16)*1</f>
        <v>92.504793470158234</v>
      </c>
      <c r="AA399" s="6">
        <f>('TE BE'!$AB$8+'TE BF'!$AB$8+'TE CVA'!$AB$8)*1</f>
        <v>198.18194779658231</v>
      </c>
      <c r="AB399" s="6">
        <f>$K$399*$V$399</f>
        <v>0</v>
      </c>
      <c r="AC399" s="6">
        <f>$M$399*$W$399</f>
        <v>349391.82855999999</v>
      </c>
      <c r="AD399" s="6">
        <f>$O$399*$X$399</f>
        <v>931074.66992000013</v>
      </c>
      <c r="AE399" s="6">
        <f>$K$399*$Y$399</f>
        <v>0</v>
      </c>
      <c r="AF399" s="6">
        <f ca="1">$M$399*$Z$399</f>
        <v>465108.92129952129</v>
      </c>
      <c r="AG399" s="6">
        <f>$O$399*$AA$399</f>
        <v>996447.7353321393</v>
      </c>
    </row>
    <row r="400" spans="1:33" ht="11.25" customHeight="1" x14ac:dyDescent="0.25">
      <c r="A400" s="4" t="s">
        <v>28</v>
      </c>
      <c r="B400" s="4" t="s">
        <v>35</v>
      </c>
      <c r="C400" s="4" t="s">
        <v>39</v>
      </c>
      <c r="D400" s="4" t="s">
        <v>34</v>
      </c>
      <c r="E400" s="4" t="s">
        <v>25</v>
      </c>
      <c r="F400" s="4" t="s">
        <v>25</v>
      </c>
      <c r="G400" s="4" t="s">
        <v>25</v>
      </c>
      <c r="H400" s="4" t="s">
        <v>38</v>
      </c>
      <c r="I400" s="5">
        <v>44501</v>
      </c>
      <c r="J400" s="6">
        <v>0</v>
      </c>
      <c r="K400" s="6">
        <v>0</v>
      </c>
      <c r="L400" s="6">
        <v>295.52</v>
      </c>
      <c r="M400" s="6">
        <v>295.52</v>
      </c>
      <c r="N400" s="6">
        <v>295.52</v>
      </c>
      <c r="O400" s="6">
        <v>295.52</v>
      </c>
      <c r="P400" s="6">
        <v>0</v>
      </c>
      <c r="Q400" s="4" t="s">
        <v>26</v>
      </c>
      <c r="R400" s="4">
        <v>0</v>
      </c>
      <c r="S400" s="6">
        <v>0</v>
      </c>
      <c r="T400" s="6">
        <v>25</v>
      </c>
      <c r="U400" s="6">
        <v>59</v>
      </c>
      <c r="V400" s="6">
        <f>IF(ISERROR(VLOOKUP($S$400,'TAR FIN'!$A$1:$O$93,15,0)),0,VLOOKUP($S$400,'TAR FIN'!$A$1:$O$93,15,0))</f>
        <v>0</v>
      </c>
      <c r="W400" s="6">
        <f>IF(ISERROR(VLOOKUP($T$400,'TAR FIN'!$A$1:$O$93,15,0)),0,VLOOKUP($T$400,'TAR FIN'!$A$1:$O$93,15,0))</f>
        <v>69.489999999999995</v>
      </c>
      <c r="X400" s="6">
        <f>IF(ISERROR(VLOOKUP($U$400,'TAR FIN'!$A$1:$O$93,15,0)),0,VLOOKUP($U$400,'TAR FIN'!$A$1:$O$93,15,0))</f>
        <v>185.18</v>
      </c>
      <c r="Y400" s="6"/>
      <c r="Z400" s="6">
        <f ca="1">('TUSD BE'!$AM$16+'TUSD BF'!$AM$16+'TUSD CVA'!$AM$16)*1</f>
        <v>92.504793470158234</v>
      </c>
      <c r="AA400" s="6">
        <f>('TE BE'!$AB$8+'TE BF'!$AB$8+'TE CVA'!$AB$8)*1</f>
        <v>198.18194779658231</v>
      </c>
      <c r="AB400" s="6">
        <f>$K$400*$V$400</f>
        <v>0</v>
      </c>
      <c r="AC400" s="6">
        <f>$M$400*$W$400</f>
        <v>20535.684799999995</v>
      </c>
      <c r="AD400" s="6">
        <f>$O$400*$X$400</f>
        <v>54724.393599999996</v>
      </c>
      <c r="AE400" s="6">
        <f>$K$400*$Y$400</f>
        <v>0</v>
      </c>
      <c r="AF400" s="6">
        <f ca="1">$M$400*$Z$400</f>
        <v>27337.016566301161</v>
      </c>
      <c r="AG400" s="6">
        <f>$O$400*$AA$400</f>
        <v>58566.729212846003</v>
      </c>
    </row>
    <row r="401" spans="1:33" ht="11.25" customHeight="1" x14ac:dyDescent="0.25">
      <c r="A401" s="4" t="s">
        <v>21</v>
      </c>
      <c r="B401" s="4" t="s">
        <v>35</v>
      </c>
      <c r="C401" s="4" t="s">
        <v>39</v>
      </c>
      <c r="D401" s="4" t="s">
        <v>34</v>
      </c>
      <c r="E401" s="4" t="s">
        <v>25</v>
      </c>
      <c r="F401" s="4" t="s">
        <v>25</v>
      </c>
      <c r="G401" s="4" t="s">
        <v>25</v>
      </c>
      <c r="H401" s="4" t="s">
        <v>38</v>
      </c>
      <c r="I401" s="5">
        <v>44531</v>
      </c>
      <c r="J401" s="6">
        <v>0</v>
      </c>
      <c r="K401" s="6">
        <v>0</v>
      </c>
      <c r="L401" s="6">
        <v>4723.2650000000003</v>
      </c>
      <c r="M401" s="6">
        <v>4723.2650000000003</v>
      </c>
      <c r="N401" s="6">
        <v>4723.2650000000003</v>
      </c>
      <c r="O401" s="6">
        <v>4723.2650000000003</v>
      </c>
      <c r="P401" s="6">
        <v>0</v>
      </c>
      <c r="Q401" s="4" t="s">
        <v>26</v>
      </c>
      <c r="R401" s="4">
        <v>0</v>
      </c>
      <c r="S401" s="6">
        <v>0</v>
      </c>
      <c r="T401" s="6">
        <v>25</v>
      </c>
      <c r="U401" s="6">
        <v>59</v>
      </c>
      <c r="V401" s="6">
        <f>IF(ISERROR(VLOOKUP($S$401,'TAR FIN'!$A$1:$O$93,15,0)),0,VLOOKUP($S$401,'TAR FIN'!$A$1:$O$93,15,0))</f>
        <v>0</v>
      </c>
      <c r="W401" s="6">
        <f>IF(ISERROR(VLOOKUP($T$401,'TAR FIN'!$A$1:$O$93,15,0)),0,VLOOKUP($T$401,'TAR FIN'!$A$1:$O$93,15,0))</f>
        <v>69.489999999999995</v>
      </c>
      <c r="X401" s="6">
        <f>IF(ISERROR(VLOOKUP($U$401,'TAR FIN'!$A$1:$O$93,15,0)),0,VLOOKUP($U$401,'TAR FIN'!$A$1:$O$93,15,0))</f>
        <v>185.18</v>
      </c>
      <c r="Y401" s="6"/>
      <c r="Z401" s="6">
        <f ca="1">('TUSD BE'!$AM$16+'TUSD BF'!$AM$16+'TUSD CVA'!$AM$16)*1</f>
        <v>92.504793470158234</v>
      </c>
      <c r="AA401" s="6">
        <f>('TE BE'!$AB$8+'TE BF'!$AB$8+'TE CVA'!$AB$8)*1</f>
        <v>198.18194779658231</v>
      </c>
      <c r="AB401" s="6">
        <f>$K$401*$V$401</f>
        <v>0</v>
      </c>
      <c r="AC401" s="6">
        <f>$M$401*$W$401</f>
        <v>328219.68485000002</v>
      </c>
      <c r="AD401" s="6">
        <f>$O$401*$X$401</f>
        <v>874654.21270000015</v>
      </c>
      <c r="AE401" s="6">
        <f>$K$401*$Y$401</f>
        <v>0</v>
      </c>
      <c r="AF401" s="6">
        <f ca="1">$M$401*$Z$401</f>
        <v>436924.65332982695</v>
      </c>
      <c r="AG401" s="6">
        <f>$O$401*$AA$401</f>
        <v>936065.85765942442</v>
      </c>
    </row>
    <row r="402" spans="1:33" ht="11.25" customHeight="1" x14ac:dyDescent="0.25">
      <c r="A402" s="4" t="s">
        <v>21</v>
      </c>
      <c r="B402" s="4" t="s">
        <v>35</v>
      </c>
      <c r="C402" s="4" t="s">
        <v>39</v>
      </c>
      <c r="D402" s="4" t="s">
        <v>34</v>
      </c>
      <c r="E402" s="4" t="s">
        <v>25</v>
      </c>
      <c r="F402" s="4" t="s">
        <v>25</v>
      </c>
      <c r="G402" s="4" t="s">
        <v>25</v>
      </c>
      <c r="H402" s="4" t="s">
        <v>38</v>
      </c>
      <c r="I402" s="5">
        <v>44562</v>
      </c>
      <c r="J402" s="6">
        <v>0</v>
      </c>
      <c r="K402" s="6">
        <v>0</v>
      </c>
      <c r="L402" s="6">
        <v>4143.5569999999998</v>
      </c>
      <c r="M402" s="6">
        <v>4143.5569999999998</v>
      </c>
      <c r="N402" s="6">
        <v>4143.5569999999998</v>
      </c>
      <c r="O402" s="6">
        <v>4143.5569999999998</v>
      </c>
      <c r="P402" s="6">
        <v>0</v>
      </c>
      <c r="Q402" s="4" t="s">
        <v>26</v>
      </c>
      <c r="R402" s="4">
        <v>0</v>
      </c>
      <c r="S402" s="6">
        <v>0</v>
      </c>
      <c r="T402" s="6">
        <v>25</v>
      </c>
      <c r="U402" s="6">
        <v>59</v>
      </c>
      <c r="V402" s="6">
        <f>IF(ISERROR(VLOOKUP($S$402,'TAR FIN'!$A$1:$O$93,15,0)),0,VLOOKUP($S$402,'TAR FIN'!$A$1:$O$93,15,0))</f>
        <v>0</v>
      </c>
      <c r="W402" s="6">
        <f>IF(ISERROR(VLOOKUP($T$402,'TAR FIN'!$A$1:$O$93,15,0)),0,VLOOKUP($T$402,'TAR FIN'!$A$1:$O$93,15,0))</f>
        <v>69.489999999999995</v>
      </c>
      <c r="X402" s="6">
        <f>IF(ISERROR(VLOOKUP($U$402,'TAR FIN'!$A$1:$O$93,15,0)),0,VLOOKUP($U$402,'TAR FIN'!$A$1:$O$93,15,0))</f>
        <v>185.18</v>
      </c>
      <c r="Y402" s="6"/>
      <c r="Z402" s="6">
        <f ca="1">('TUSD BE'!$AM$16+'TUSD BF'!$AM$16+'TUSD CVA'!$AM$16)*1</f>
        <v>92.504793470158234</v>
      </c>
      <c r="AA402" s="6">
        <f>('TE BE'!$AB$8+'TE BF'!$AB$8+'TE CVA'!$AB$8)*1</f>
        <v>198.18194779658231</v>
      </c>
      <c r="AB402" s="6">
        <f>$K$402*$V$402</f>
        <v>0</v>
      </c>
      <c r="AC402" s="6">
        <f>$M$402*$W$402</f>
        <v>287935.77592999995</v>
      </c>
      <c r="AD402" s="6">
        <f>$O$402*$X$402</f>
        <v>767303.88526000001</v>
      </c>
      <c r="AE402" s="6">
        <f>$K$402*$Y$402</f>
        <v>0</v>
      </c>
      <c r="AF402" s="6">
        <f ca="1">$M$402*$Z$402</f>
        <v>383298.8845168284</v>
      </c>
      <c r="AG402" s="6">
        <f>$O$402*$AA$402</f>
        <v>821178.19706616318</v>
      </c>
    </row>
    <row r="403" spans="1:33" ht="11.25" customHeight="1" x14ac:dyDescent="0.25">
      <c r="A403" s="4" t="s">
        <v>28</v>
      </c>
      <c r="B403" s="4" t="s">
        <v>35</v>
      </c>
      <c r="C403" s="4" t="s">
        <v>39</v>
      </c>
      <c r="D403" s="4" t="s">
        <v>34</v>
      </c>
      <c r="E403" s="4" t="s">
        <v>25</v>
      </c>
      <c r="F403" s="4" t="s">
        <v>25</v>
      </c>
      <c r="G403" s="4" t="s">
        <v>25</v>
      </c>
      <c r="H403" s="4" t="s">
        <v>38</v>
      </c>
      <c r="I403" s="5">
        <v>44562</v>
      </c>
      <c r="J403" s="6">
        <v>0</v>
      </c>
      <c r="K403" s="6">
        <v>0</v>
      </c>
      <c r="L403" s="6">
        <v>274.983</v>
      </c>
      <c r="M403" s="6">
        <v>274.983</v>
      </c>
      <c r="N403" s="6">
        <v>274.983</v>
      </c>
      <c r="O403" s="6">
        <v>274.983</v>
      </c>
      <c r="P403" s="6">
        <v>0</v>
      </c>
      <c r="Q403" s="4" t="s">
        <v>26</v>
      </c>
      <c r="R403" s="4">
        <v>0</v>
      </c>
      <c r="S403" s="6">
        <v>0</v>
      </c>
      <c r="T403" s="6">
        <v>25</v>
      </c>
      <c r="U403" s="6">
        <v>59</v>
      </c>
      <c r="V403" s="6">
        <f>IF(ISERROR(VLOOKUP($S$403,'TAR FIN'!$A$1:$O$93,15,0)),0,VLOOKUP($S$403,'TAR FIN'!$A$1:$O$93,15,0))</f>
        <v>0</v>
      </c>
      <c r="W403" s="6">
        <f>IF(ISERROR(VLOOKUP($T$403,'TAR FIN'!$A$1:$O$93,15,0)),0,VLOOKUP($T$403,'TAR FIN'!$A$1:$O$93,15,0))</f>
        <v>69.489999999999995</v>
      </c>
      <c r="X403" s="6">
        <f>IF(ISERROR(VLOOKUP($U$403,'TAR FIN'!$A$1:$O$93,15,0)),0,VLOOKUP($U$403,'TAR FIN'!$A$1:$O$93,15,0))</f>
        <v>185.18</v>
      </c>
      <c r="Y403" s="6"/>
      <c r="Z403" s="6">
        <f ca="1">('TUSD BE'!$AM$16+'TUSD BF'!$AM$16+'TUSD CVA'!$AM$16)*1</f>
        <v>92.504793470158234</v>
      </c>
      <c r="AA403" s="6">
        <f>('TE BE'!$AB$8+'TE BF'!$AB$8+'TE CVA'!$AB$8)*1</f>
        <v>198.18194779658231</v>
      </c>
      <c r="AB403" s="6">
        <f>$K$403*$V$403</f>
        <v>0</v>
      </c>
      <c r="AC403" s="6">
        <f>$M$403*$W$403</f>
        <v>19108.568670000001</v>
      </c>
      <c r="AD403" s="6">
        <f>$O$403*$X$403</f>
        <v>50921.35194</v>
      </c>
      <c r="AE403" s="6">
        <f>$K$403*$Y$403</f>
        <v>0</v>
      </c>
      <c r="AF403" s="6">
        <f ca="1">$M$403*$Z$403</f>
        <v>25437.245622804523</v>
      </c>
      <c r="AG403" s="6">
        <f>$O$403*$AA$403</f>
        <v>54496.666550947593</v>
      </c>
    </row>
    <row r="404" spans="1:33" ht="11.25" customHeight="1" x14ac:dyDescent="0.25">
      <c r="A404" s="4" t="s">
        <v>21</v>
      </c>
      <c r="B404" s="4" t="s">
        <v>35</v>
      </c>
      <c r="C404" s="4" t="s">
        <v>39</v>
      </c>
      <c r="D404" s="4" t="s">
        <v>34</v>
      </c>
      <c r="E404" s="4" t="s">
        <v>25</v>
      </c>
      <c r="F404" s="4" t="s">
        <v>25</v>
      </c>
      <c r="G404" s="4" t="s">
        <v>25</v>
      </c>
      <c r="H404" s="4" t="s">
        <v>38</v>
      </c>
      <c r="I404" s="5">
        <v>44593</v>
      </c>
      <c r="J404" s="6">
        <v>0</v>
      </c>
      <c r="K404" s="6">
        <v>0</v>
      </c>
      <c r="L404" s="6">
        <v>4078.538</v>
      </c>
      <c r="M404" s="6">
        <v>4078.538</v>
      </c>
      <c r="N404" s="6">
        <v>4078.538</v>
      </c>
      <c r="O404" s="6">
        <v>4078.538</v>
      </c>
      <c r="P404" s="6">
        <v>0</v>
      </c>
      <c r="Q404" s="4" t="s">
        <v>26</v>
      </c>
      <c r="R404" s="4">
        <v>0</v>
      </c>
      <c r="S404" s="6">
        <v>0</v>
      </c>
      <c r="T404" s="6">
        <v>25</v>
      </c>
      <c r="U404" s="6">
        <v>59</v>
      </c>
      <c r="V404" s="6">
        <f>IF(ISERROR(VLOOKUP($S$404,'TAR FIN'!$A$1:$O$93,15,0)),0,VLOOKUP($S$404,'TAR FIN'!$A$1:$O$93,15,0))</f>
        <v>0</v>
      </c>
      <c r="W404" s="6">
        <f>IF(ISERROR(VLOOKUP($T$404,'TAR FIN'!$A$1:$O$93,15,0)),0,VLOOKUP($T$404,'TAR FIN'!$A$1:$O$93,15,0))</f>
        <v>69.489999999999995</v>
      </c>
      <c r="X404" s="6">
        <f>IF(ISERROR(VLOOKUP($U$404,'TAR FIN'!$A$1:$O$93,15,0)),0,VLOOKUP($U$404,'TAR FIN'!$A$1:$O$93,15,0))</f>
        <v>185.18</v>
      </c>
      <c r="Y404" s="6"/>
      <c r="Z404" s="6">
        <f ca="1">('TUSD BE'!$AM$16+'TUSD BF'!$AM$16+'TUSD CVA'!$AM$16)*1</f>
        <v>92.504793470158234</v>
      </c>
      <c r="AA404" s="6">
        <f>('TE BE'!$AB$8+'TE BF'!$AB$8+'TE CVA'!$AB$8)*1</f>
        <v>198.18194779658231</v>
      </c>
      <c r="AB404" s="6">
        <f>$K$404*$V$404</f>
        <v>0</v>
      </c>
      <c r="AC404" s="6">
        <f>$M$404*$W$404</f>
        <v>283417.60561999999</v>
      </c>
      <c r="AD404" s="6">
        <f>$O$404*$X$404</f>
        <v>755263.66684000008</v>
      </c>
      <c r="AE404" s="6">
        <f>$K$404*$Y$404</f>
        <v>0</v>
      </c>
      <c r="AF404" s="6">
        <f ca="1">$M$404*$Z$404</f>
        <v>377284.31535019225</v>
      </c>
      <c r="AG404" s="6">
        <f>$O$404*$AA$404</f>
        <v>808292.60500237718</v>
      </c>
    </row>
    <row r="405" spans="1:33" ht="11.25" customHeight="1" x14ac:dyDescent="0.25">
      <c r="A405" s="4" t="s">
        <v>27</v>
      </c>
      <c r="B405" s="4" t="s">
        <v>35</v>
      </c>
      <c r="C405" s="4" t="s">
        <v>39</v>
      </c>
      <c r="D405" s="4" t="s">
        <v>34</v>
      </c>
      <c r="E405" s="4" t="s">
        <v>25</v>
      </c>
      <c r="F405" s="4" t="s">
        <v>25</v>
      </c>
      <c r="G405" s="4" t="s">
        <v>25</v>
      </c>
      <c r="H405" s="4" t="s">
        <v>38</v>
      </c>
      <c r="I405" s="5">
        <v>44593</v>
      </c>
      <c r="J405" s="6">
        <v>0</v>
      </c>
      <c r="K405" s="6">
        <v>0</v>
      </c>
      <c r="L405" s="6">
        <v>-1.357</v>
      </c>
      <c r="M405" s="6">
        <v>-1.357</v>
      </c>
      <c r="N405" s="6">
        <v>-1.357</v>
      </c>
      <c r="O405" s="6">
        <v>-1.357</v>
      </c>
      <c r="P405" s="6">
        <v>0</v>
      </c>
      <c r="Q405" s="4" t="s">
        <v>26</v>
      </c>
      <c r="R405" s="4">
        <v>0</v>
      </c>
      <c r="S405" s="6">
        <v>0</v>
      </c>
      <c r="T405" s="6">
        <v>25</v>
      </c>
      <c r="U405" s="6">
        <v>59</v>
      </c>
      <c r="V405" s="6">
        <f>IF(ISERROR(VLOOKUP($S$405,'TAR FIN'!$A$1:$O$93,15,0)),0,VLOOKUP($S$405,'TAR FIN'!$A$1:$O$93,15,0))</f>
        <v>0</v>
      </c>
      <c r="W405" s="6">
        <f>IF(ISERROR(VLOOKUP($T$405,'TAR FIN'!$A$1:$O$93,15,0)),0,VLOOKUP($T$405,'TAR FIN'!$A$1:$O$93,15,0))</f>
        <v>69.489999999999995</v>
      </c>
      <c r="X405" s="6">
        <f>IF(ISERROR(VLOOKUP($U$405,'TAR FIN'!$A$1:$O$93,15,0)),0,VLOOKUP($U$405,'TAR FIN'!$A$1:$O$93,15,0))</f>
        <v>185.18</v>
      </c>
      <c r="Y405" s="6"/>
      <c r="Z405" s="6">
        <f ca="1">('TUSD BE'!$AM$16+'TUSD BF'!$AM$16+'TUSD CVA'!$AM$16)*1</f>
        <v>92.504793470158234</v>
      </c>
      <c r="AA405" s="6">
        <f>('TE BE'!$AB$8+'TE BF'!$AB$8+'TE CVA'!$AB$8)*1</f>
        <v>198.18194779658231</v>
      </c>
      <c r="AB405" s="6">
        <f>$K$405*$V$405</f>
        <v>0</v>
      </c>
      <c r="AC405" s="6">
        <f>$M$405*$W$405</f>
        <v>-94.297929999999994</v>
      </c>
      <c r="AD405" s="6">
        <f>$O$405*$X$405</f>
        <v>-251.28926000000001</v>
      </c>
      <c r="AE405" s="6">
        <f>$K$405*$Y$405</f>
        <v>0</v>
      </c>
      <c r="AF405" s="6">
        <f ca="1">$M$405*$Z$405</f>
        <v>-125.52900473900472</v>
      </c>
      <c r="AG405" s="6">
        <f>$O$405*$AA$405</f>
        <v>-268.93290315996217</v>
      </c>
    </row>
    <row r="406" spans="1:33" ht="11.25" customHeight="1" x14ac:dyDescent="0.25">
      <c r="A406" s="4" t="s">
        <v>28</v>
      </c>
      <c r="B406" s="4" t="s">
        <v>35</v>
      </c>
      <c r="C406" s="4" t="s">
        <v>39</v>
      </c>
      <c r="D406" s="4" t="s">
        <v>34</v>
      </c>
      <c r="E406" s="4" t="s">
        <v>25</v>
      </c>
      <c r="F406" s="4" t="s">
        <v>25</v>
      </c>
      <c r="G406" s="4" t="s">
        <v>25</v>
      </c>
      <c r="H406" s="4" t="s">
        <v>38</v>
      </c>
      <c r="I406" s="5">
        <v>44593</v>
      </c>
      <c r="J406" s="6">
        <v>0</v>
      </c>
      <c r="K406" s="6">
        <v>0</v>
      </c>
      <c r="L406" s="6">
        <v>376.36700000000002</v>
      </c>
      <c r="M406" s="6">
        <v>376.36700000000002</v>
      </c>
      <c r="N406" s="6">
        <v>376.36700000000002</v>
      </c>
      <c r="O406" s="6">
        <v>376.36700000000002</v>
      </c>
      <c r="P406" s="6">
        <v>0</v>
      </c>
      <c r="Q406" s="4" t="s">
        <v>26</v>
      </c>
      <c r="R406" s="4">
        <v>0</v>
      </c>
      <c r="S406" s="6">
        <v>0</v>
      </c>
      <c r="T406" s="6">
        <v>25</v>
      </c>
      <c r="U406" s="6">
        <v>59</v>
      </c>
      <c r="V406" s="6">
        <f>IF(ISERROR(VLOOKUP($S$406,'TAR FIN'!$A$1:$O$93,15,0)),0,VLOOKUP($S$406,'TAR FIN'!$A$1:$O$93,15,0))</f>
        <v>0</v>
      </c>
      <c r="W406" s="6">
        <f>IF(ISERROR(VLOOKUP($T$406,'TAR FIN'!$A$1:$O$93,15,0)),0,VLOOKUP($T$406,'TAR FIN'!$A$1:$O$93,15,0))</f>
        <v>69.489999999999995</v>
      </c>
      <c r="X406" s="6">
        <f>IF(ISERROR(VLOOKUP($U$406,'TAR FIN'!$A$1:$O$93,15,0)),0,VLOOKUP($U$406,'TAR FIN'!$A$1:$O$93,15,0))</f>
        <v>185.18</v>
      </c>
      <c r="Y406" s="6"/>
      <c r="Z406" s="6">
        <f ca="1">('TUSD BE'!$AM$16+'TUSD BF'!$AM$16+'TUSD CVA'!$AM$16)*1</f>
        <v>92.504793470158234</v>
      </c>
      <c r="AA406" s="6">
        <f>('TE BE'!$AB$8+'TE BF'!$AB$8+'TE CVA'!$AB$8)*1</f>
        <v>198.18194779658231</v>
      </c>
      <c r="AB406" s="6">
        <f>$K$406*$V$406</f>
        <v>0</v>
      </c>
      <c r="AC406" s="6">
        <f>$M$406*$W$406</f>
        <v>26153.742829999999</v>
      </c>
      <c r="AD406" s="6">
        <f>$O$406*$X$406</f>
        <v>69695.641060000009</v>
      </c>
      <c r="AE406" s="6">
        <f>$K$406*$Y$406</f>
        <v>0</v>
      </c>
      <c r="AF406" s="6">
        <f ca="1">$M$406*$Z$406</f>
        <v>34815.751603983044</v>
      </c>
      <c r="AG406" s="6">
        <f>$O$406*$AA$406</f>
        <v>74589.145146356299</v>
      </c>
    </row>
    <row r="407" spans="1:33" ht="11.25" customHeight="1" x14ac:dyDescent="0.25">
      <c r="A407" s="4" t="s">
        <v>21</v>
      </c>
      <c r="B407" s="4" t="s">
        <v>35</v>
      </c>
      <c r="C407" s="4" t="s">
        <v>39</v>
      </c>
      <c r="D407" s="4" t="s">
        <v>34</v>
      </c>
      <c r="E407" s="4" t="s">
        <v>25</v>
      </c>
      <c r="F407" s="4" t="s">
        <v>25</v>
      </c>
      <c r="G407" s="4" t="s">
        <v>25</v>
      </c>
      <c r="H407" s="4" t="s">
        <v>38</v>
      </c>
      <c r="I407" s="5">
        <v>44621</v>
      </c>
      <c r="J407" s="6">
        <v>0</v>
      </c>
      <c r="K407" s="6">
        <v>0</v>
      </c>
      <c r="L407" s="6">
        <v>4207.1940000000004</v>
      </c>
      <c r="M407" s="6">
        <v>4207.1940000000004</v>
      </c>
      <c r="N407" s="6">
        <v>4207.1940000000004</v>
      </c>
      <c r="O407" s="6">
        <v>4207.1940000000004</v>
      </c>
      <c r="P407" s="6">
        <v>0</v>
      </c>
      <c r="Q407" s="4" t="s">
        <v>26</v>
      </c>
      <c r="R407" s="4">
        <v>0</v>
      </c>
      <c r="S407" s="6">
        <v>0</v>
      </c>
      <c r="T407" s="6">
        <v>25</v>
      </c>
      <c r="U407" s="6">
        <v>59</v>
      </c>
      <c r="V407" s="6">
        <f>IF(ISERROR(VLOOKUP($S$407,'TAR FIN'!$A$1:$O$93,15,0)),0,VLOOKUP($S$407,'TAR FIN'!$A$1:$O$93,15,0))</f>
        <v>0</v>
      </c>
      <c r="W407" s="6">
        <f>IF(ISERROR(VLOOKUP($T$407,'TAR FIN'!$A$1:$O$93,15,0)),0,VLOOKUP($T$407,'TAR FIN'!$A$1:$O$93,15,0))</f>
        <v>69.489999999999995</v>
      </c>
      <c r="X407" s="6">
        <f>IF(ISERROR(VLOOKUP($U$407,'TAR FIN'!$A$1:$O$93,15,0)),0,VLOOKUP($U$407,'TAR FIN'!$A$1:$O$93,15,0))</f>
        <v>185.18</v>
      </c>
      <c r="Y407" s="6"/>
      <c r="Z407" s="6">
        <f ca="1">('TUSD BE'!$AM$16+'TUSD BF'!$AM$16+'TUSD CVA'!$AM$16)*1</f>
        <v>92.504793470158234</v>
      </c>
      <c r="AA407" s="6">
        <f>('TE BE'!$AB$8+'TE BF'!$AB$8+'TE CVA'!$AB$8)*1</f>
        <v>198.18194779658231</v>
      </c>
      <c r="AB407" s="6">
        <f>$K$407*$V$407</f>
        <v>0</v>
      </c>
      <c r="AC407" s="6">
        <f>$M$407*$W$407</f>
        <v>292357.91106000001</v>
      </c>
      <c r="AD407" s="6">
        <f>$O$407*$X$407</f>
        <v>779088.18492000015</v>
      </c>
      <c r="AE407" s="6">
        <f>$K$407*$Y$407</f>
        <v>0</v>
      </c>
      <c r="AF407" s="6">
        <f ca="1">$M$407*$Z$407</f>
        <v>389185.61205888895</v>
      </c>
      <c r="AG407" s="6">
        <f>$O$407*$AA$407</f>
        <v>833789.90167809441</v>
      </c>
    </row>
    <row r="408" spans="1:33" ht="11.25" customHeight="1" x14ac:dyDescent="0.25">
      <c r="A408" s="4" t="s">
        <v>28</v>
      </c>
      <c r="B408" s="4" t="s">
        <v>35</v>
      </c>
      <c r="C408" s="4" t="s">
        <v>39</v>
      </c>
      <c r="D408" s="4" t="s">
        <v>34</v>
      </c>
      <c r="E408" s="4" t="s">
        <v>25</v>
      </c>
      <c r="F408" s="4" t="s">
        <v>25</v>
      </c>
      <c r="G408" s="4" t="s">
        <v>25</v>
      </c>
      <c r="H408" s="4" t="s">
        <v>38</v>
      </c>
      <c r="I408" s="5">
        <v>44621</v>
      </c>
      <c r="J408" s="6">
        <v>0</v>
      </c>
      <c r="K408" s="6">
        <v>0</v>
      </c>
      <c r="L408" s="6">
        <v>413.221</v>
      </c>
      <c r="M408" s="6">
        <v>413.221</v>
      </c>
      <c r="N408" s="6">
        <v>413.221</v>
      </c>
      <c r="O408" s="6">
        <v>413.221</v>
      </c>
      <c r="P408" s="6">
        <v>0</v>
      </c>
      <c r="Q408" s="4" t="s">
        <v>26</v>
      </c>
      <c r="R408" s="4">
        <v>0</v>
      </c>
      <c r="S408" s="6">
        <v>0</v>
      </c>
      <c r="T408" s="6">
        <v>25</v>
      </c>
      <c r="U408" s="6">
        <v>59</v>
      </c>
      <c r="V408" s="6">
        <f>IF(ISERROR(VLOOKUP($S$408,'TAR FIN'!$A$1:$O$93,15,0)),0,VLOOKUP($S$408,'TAR FIN'!$A$1:$O$93,15,0))</f>
        <v>0</v>
      </c>
      <c r="W408" s="6">
        <f>IF(ISERROR(VLOOKUP($T$408,'TAR FIN'!$A$1:$O$93,15,0)),0,VLOOKUP($T$408,'TAR FIN'!$A$1:$O$93,15,0))</f>
        <v>69.489999999999995</v>
      </c>
      <c r="X408" s="6">
        <f>IF(ISERROR(VLOOKUP($U$408,'TAR FIN'!$A$1:$O$93,15,0)),0,VLOOKUP($U$408,'TAR FIN'!$A$1:$O$93,15,0))</f>
        <v>185.18</v>
      </c>
      <c r="Y408" s="6"/>
      <c r="Z408" s="6">
        <f ca="1">('TUSD BE'!$AM$16+'TUSD BF'!$AM$16+'TUSD CVA'!$AM$16)*1</f>
        <v>92.504793470158234</v>
      </c>
      <c r="AA408" s="6">
        <f>('TE BE'!$AB$8+'TE BF'!$AB$8+'TE CVA'!$AB$8)*1</f>
        <v>198.18194779658231</v>
      </c>
      <c r="AB408" s="6">
        <f>$K$408*$V$408</f>
        <v>0</v>
      </c>
      <c r="AC408" s="6">
        <f>$M$408*$W$408</f>
        <v>28714.727289999999</v>
      </c>
      <c r="AD408" s="6">
        <f>$O$408*$X$408</f>
        <v>76520.264779999998</v>
      </c>
      <c r="AE408" s="6">
        <f>$K$408*$Y$408</f>
        <v>0</v>
      </c>
      <c r="AF408" s="6">
        <f ca="1">$M$408*$Z$408</f>
        <v>38224.923262532255</v>
      </c>
      <c r="AG408" s="6">
        <f>$O$408*$AA$408</f>
        <v>81892.942650451543</v>
      </c>
    </row>
    <row r="409" spans="1:33" ht="11.25" customHeight="1" x14ac:dyDescent="0.25">
      <c r="A409" s="4" t="s">
        <v>21</v>
      </c>
      <c r="B409" s="4" t="s">
        <v>35</v>
      </c>
      <c r="C409" s="4" t="s">
        <v>39</v>
      </c>
      <c r="D409" s="4" t="s">
        <v>34</v>
      </c>
      <c r="E409" s="4" t="s">
        <v>25</v>
      </c>
      <c r="F409" s="4" t="s">
        <v>25</v>
      </c>
      <c r="G409" s="4" t="s">
        <v>25</v>
      </c>
      <c r="H409" s="4" t="s">
        <v>38</v>
      </c>
      <c r="I409" s="5">
        <v>44652</v>
      </c>
      <c r="J409" s="6">
        <v>0</v>
      </c>
      <c r="K409" s="6">
        <v>0</v>
      </c>
      <c r="L409" s="6">
        <v>3910.3020000000001</v>
      </c>
      <c r="M409" s="6">
        <v>3910.3020000000001</v>
      </c>
      <c r="N409" s="6">
        <v>3910.3020000000001</v>
      </c>
      <c r="O409" s="6">
        <v>3910.3020000000001</v>
      </c>
      <c r="P409" s="6">
        <v>0</v>
      </c>
      <c r="Q409" s="4" t="s">
        <v>26</v>
      </c>
      <c r="R409" s="4">
        <v>0</v>
      </c>
      <c r="S409" s="6">
        <v>0</v>
      </c>
      <c r="T409" s="6">
        <v>25</v>
      </c>
      <c r="U409" s="6">
        <v>59</v>
      </c>
      <c r="V409" s="6">
        <f>IF(ISERROR(VLOOKUP($S$409,'TAR FIN'!$A$1:$O$93,15,0)),0,VLOOKUP($S$409,'TAR FIN'!$A$1:$O$93,15,0))</f>
        <v>0</v>
      </c>
      <c r="W409" s="6">
        <f>IF(ISERROR(VLOOKUP($T$409,'TAR FIN'!$A$1:$O$93,15,0)),0,VLOOKUP($T$409,'TAR FIN'!$A$1:$O$93,15,0))</f>
        <v>69.489999999999995</v>
      </c>
      <c r="X409" s="6">
        <f>IF(ISERROR(VLOOKUP($U$409,'TAR FIN'!$A$1:$O$93,15,0)),0,VLOOKUP($U$409,'TAR FIN'!$A$1:$O$93,15,0))</f>
        <v>185.18</v>
      </c>
      <c r="Y409" s="6"/>
      <c r="Z409" s="6">
        <f ca="1">('TUSD BE'!$AM$16+'TUSD BF'!$AM$16+'TUSD CVA'!$AM$16)*1</f>
        <v>92.504793470158234</v>
      </c>
      <c r="AA409" s="6">
        <f>('TE BE'!$AB$8+'TE BF'!$AB$8+'TE CVA'!$AB$8)*1</f>
        <v>198.18194779658231</v>
      </c>
      <c r="AB409" s="6">
        <f>$K$409*$V$409</f>
        <v>0</v>
      </c>
      <c r="AC409" s="6">
        <f>$M$409*$W$409</f>
        <v>271726.88597999996</v>
      </c>
      <c r="AD409" s="6">
        <f>$O$409*$X$409</f>
        <v>724109.72436000011</v>
      </c>
      <c r="AE409" s="6">
        <f>$K$409*$Y$409</f>
        <v>0</v>
      </c>
      <c r="AF409" s="6">
        <f ca="1">$M$409*$Z$409</f>
        <v>361721.67891594669</v>
      </c>
      <c r="AG409" s="6">
        <f>$O$409*$AA$409</f>
        <v>774951.26683287136</v>
      </c>
    </row>
    <row r="410" spans="1:33" ht="11.25" customHeight="1" x14ac:dyDescent="0.25">
      <c r="A410" s="4" t="s">
        <v>27</v>
      </c>
      <c r="B410" s="4" t="s">
        <v>35</v>
      </c>
      <c r="C410" s="4" t="s">
        <v>39</v>
      </c>
      <c r="D410" s="4" t="s">
        <v>34</v>
      </c>
      <c r="E410" s="4" t="s">
        <v>25</v>
      </c>
      <c r="F410" s="4" t="s">
        <v>25</v>
      </c>
      <c r="G410" s="4" t="s">
        <v>25</v>
      </c>
      <c r="H410" s="4" t="s">
        <v>38</v>
      </c>
      <c r="I410" s="5">
        <v>44652</v>
      </c>
      <c r="J410" s="6">
        <v>0</v>
      </c>
      <c r="K410" s="6">
        <v>0</v>
      </c>
      <c r="L410" s="6">
        <v>-24.974</v>
      </c>
      <c r="M410" s="6">
        <v>-24.974</v>
      </c>
      <c r="N410" s="6">
        <v>-24.974</v>
      </c>
      <c r="O410" s="6">
        <v>-24.974</v>
      </c>
      <c r="P410" s="6">
        <v>0</v>
      </c>
      <c r="Q410" s="4" t="s">
        <v>26</v>
      </c>
      <c r="R410" s="4">
        <v>0</v>
      </c>
      <c r="S410" s="6">
        <v>0</v>
      </c>
      <c r="T410" s="6">
        <v>25</v>
      </c>
      <c r="U410" s="6">
        <v>59</v>
      </c>
      <c r="V410" s="6">
        <f>IF(ISERROR(VLOOKUP($S$410,'TAR FIN'!$A$1:$O$93,15,0)),0,VLOOKUP($S$410,'TAR FIN'!$A$1:$O$93,15,0))</f>
        <v>0</v>
      </c>
      <c r="W410" s="6">
        <f>IF(ISERROR(VLOOKUP($T$410,'TAR FIN'!$A$1:$O$93,15,0)),0,VLOOKUP($T$410,'TAR FIN'!$A$1:$O$93,15,0))</f>
        <v>69.489999999999995</v>
      </c>
      <c r="X410" s="6">
        <f>IF(ISERROR(VLOOKUP($U$410,'TAR FIN'!$A$1:$O$93,15,0)),0,VLOOKUP($U$410,'TAR FIN'!$A$1:$O$93,15,0))</f>
        <v>185.18</v>
      </c>
      <c r="Y410" s="6"/>
      <c r="Z410" s="6">
        <f ca="1">('TUSD BE'!$AM$16+'TUSD BF'!$AM$16+'TUSD CVA'!$AM$16)*1</f>
        <v>92.504793470158234</v>
      </c>
      <c r="AA410" s="6">
        <f>('TE BE'!$AB$8+'TE BF'!$AB$8+'TE CVA'!$AB$8)*1</f>
        <v>198.18194779658231</v>
      </c>
      <c r="AB410" s="6">
        <f>$K$410*$V$410</f>
        <v>0</v>
      </c>
      <c r="AC410" s="6">
        <f>$M$410*$W$410</f>
        <v>-1735.4432599999998</v>
      </c>
      <c r="AD410" s="6">
        <f>$O$410*$X$410</f>
        <v>-4624.6853200000005</v>
      </c>
      <c r="AE410" s="6">
        <f>$K$410*$Y$410</f>
        <v>0</v>
      </c>
      <c r="AF410" s="6">
        <f ca="1">$M$410*$Z$410</f>
        <v>-2310.2147121237317</v>
      </c>
      <c r="AG410" s="6">
        <f>$O$410*$AA$410</f>
        <v>-4949.3959642718464</v>
      </c>
    </row>
    <row r="411" spans="1:33" ht="11.25" customHeight="1" x14ac:dyDescent="0.25">
      <c r="A411" s="4" t="s">
        <v>28</v>
      </c>
      <c r="B411" s="4" t="s">
        <v>35</v>
      </c>
      <c r="C411" s="4" t="s">
        <v>39</v>
      </c>
      <c r="D411" s="4" t="s">
        <v>34</v>
      </c>
      <c r="E411" s="4" t="s">
        <v>25</v>
      </c>
      <c r="F411" s="4" t="s">
        <v>25</v>
      </c>
      <c r="G411" s="4" t="s">
        <v>25</v>
      </c>
      <c r="H411" s="4" t="s">
        <v>38</v>
      </c>
      <c r="I411" s="5">
        <v>44652</v>
      </c>
      <c r="J411" s="6">
        <v>0</v>
      </c>
      <c r="K411" s="6">
        <v>0</v>
      </c>
      <c r="L411" s="6">
        <v>544.74599999999998</v>
      </c>
      <c r="M411" s="6">
        <v>544.74599999999998</v>
      </c>
      <c r="N411" s="6">
        <v>544.74599999999998</v>
      </c>
      <c r="O411" s="6">
        <v>544.74599999999998</v>
      </c>
      <c r="P411" s="6">
        <v>0</v>
      </c>
      <c r="Q411" s="4" t="s">
        <v>26</v>
      </c>
      <c r="R411" s="4">
        <v>0</v>
      </c>
      <c r="S411" s="6">
        <v>0</v>
      </c>
      <c r="T411" s="6">
        <v>25</v>
      </c>
      <c r="U411" s="6">
        <v>59</v>
      </c>
      <c r="V411" s="6">
        <f>IF(ISERROR(VLOOKUP($S$411,'TAR FIN'!$A$1:$O$93,15,0)),0,VLOOKUP($S$411,'TAR FIN'!$A$1:$O$93,15,0))</f>
        <v>0</v>
      </c>
      <c r="W411" s="6">
        <f>IF(ISERROR(VLOOKUP($T$411,'TAR FIN'!$A$1:$O$93,15,0)),0,VLOOKUP($T$411,'TAR FIN'!$A$1:$O$93,15,0))</f>
        <v>69.489999999999995</v>
      </c>
      <c r="X411" s="6">
        <f>IF(ISERROR(VLOOKUP($U$411,'TAR FIN'!$A$1:$O$93,15,0)),0,VLOOKUP($U$411,'TAR FIN'!$A$1:$O$93,15,0))</f>
        <v>185.18</v>
      </c>
      <c r="Y411" s="6"/>
      <c r="Z411" s="6">
        <f ca="1">('TUSD BE'!$AM$16+'TUSD BF'!$AM$16+'TUSD CVA'!$AM$16)*1</f>
        <v>92.504793470158234</v>
      </c>
      <c r="AA411" s="6">
        <f>('TE BE'!$AB$8+'TE BF'!$AB$8+'TE CVA'!$AB$8)*1</f>
        <v>198.18194779658231</v>
      </c>
      <c r="AB411" s="6">
        <f>$K$411*$V$411</f>
        <v>0</v>
      </c>
      <c r="AC411" s="6">
        <f>$M$411*$W$411</f>
        <v>37854.399539999999</v>
      </c>
      <c r="AD411" s="6">
        <f>$O$411*$X$411</f>
        <v>100876.06428000001</v>
      </c>
      <c r="AE411" s="6">
        <f>$K$411*$Y$411</f>
        <v>0</v>
      </c>
      <c r="AF411" s="6">
        <f ca="1">$M$411*$Z$411</f>
        <v>50391.616223694815</v>
      </c>
      <c r="AG411" s="6">
        <f>$O$411*$AA$411</f>
        <v>107958.82333439702</v>
      </c>
    </row>
    <row r="412" spans="1:33" ht="11.25" customHeight="1" x14ac:dyDescent="0.25">
      <c r="A412" s="4" t="s">
        <v>21</v>
      </c>
      <c r="B412" s="4" t="s">
        <v>35</v>
      </c>
      <c r="C412" s="4" t="s">
        <v>39</v>
      </c>
      <c r="D412" s="4" t="s">
        <v>34</v>
      </c>
      <c r="E412" s="4" t="s">
        <v>25</v>
      </c>
      <c r="F412" s="4" t="s">
        <v>25</v>
      </c>
      <c r="G412" s="4" t="s">
        <v>25</v>
      </c>
      <c r="H412" s="4" t="s">
        <v>38</v>
      </c>
      <c r="I412" s="5">
        <v>44682</v>
      </c>
      <c r="J412" s="6">
        <v>0</v>
      </c>
      <c r="K412" s="6">
        <v>0</v>
      </c>
      <c r="L412" s="6">
        <v>3453.2510000000002</v>
      </c>
      <c r="M412" s="6">
        <v>3453.2510000000002</v>
      </c>
      <c r="N412" s="6">
        <v>3453.2510000000002</v>
      </c>
      <c r="O412" s="6">
        <v>3453.2510000000002</v>
      </c>
      <c r="P412" s="6">
        <v>0</v>
      </c>
      <c r="Q412" s="4" t="s">
        <v>26</v>
      </c>
      <c r="R412" s="4">
        <v>0</v>
      </c>
      <c r="S412" s="6">
        <v>0</v>
      </c>
      <c r="T412" s="6">
        <v>25</v>
      </c>
      <c r="U412" s="6">
        <v>59</v>
      </c>
      <c r="V412" s="6">
        <f>IF(ISERROR(VLOOKUP($S$412,'TAR FIN'!$A$1:$O$93,15,0)),0,VLOOKUP($S$412,'TAR FIN'!$A$1:$O$93,15,0))</f>
        <v>0</v>
      </c>
      <c r="W412" s="6">
        <f>IF(ISERROR(VLOOKUP($T$412,'TAR FIN'!$A$1:$O$93,15,0)),0,VLOOKUP($T$412,'TAR FIN'!$A$1:$O$93,15,0))</f>
        <v>69.489999999999995</v>
      </c>
      <c r="X412" s="6">
        <f>IF(ISERROR(VLOOKUP($U$412,'TAR FIN'!$A$1:$O$93,15,0)),0,VLOOKUP($U$412,'TAR FIN'!$A$1:$O$93,15,0))</f>
        <v>185.18</v>
      </c>
      <c r="Y412" s="6"/>
      <c r="Z412" s="6">
        <f ca="1">('TUSD BE'!$AM$16+'TUSD BF'!$AM$16+'TUSD CVA'!$AM$16)*1</f>
        <v>92.504793470158234</v>
      </c>
      <c r="AA412" s="6">
        <f>('TE BE'!$AB$8+'TE BF'!$AB$8+'TE CVA'!$AB$8)*1</f>
        <v>198.18194779658231</v>
      </c>
      <c r="AB412" s="6">
        <f>$K$412*$V$412</f>
        <v>0</v>
      </c>
      <c r="AC412" s="6">
        <f>$M$412*$W$412</f>
        <v>239966.41198999999</v>
      </c>
      <c r="AD412" s="6">
        <f>$O$412*$X$412</f>
        <v>639473.02018000011</v>
      </c>
      <c r="AE412" s="6">
        <f>$K$412*$Y$412</f>
        <v>0</v>
      </c>
      <c r="AF412" s="6">
        <f ca="1">$M$412*$Z$412</f>
        <v>319442.2705556174</v>
      </c>
      <c r="AG412" s="6">
        <f>$O$412*$AA$412</f>
        <v>684372.00941049564</v>
      </c>
    </row>
    <row r="413" spans="1:33" ht="11.25" customHeight="1" x14ac:dyDescent="0.25">
      <c r="A413" s="4" t="s">
        <v>27</v>
      </c>
      <c r="B413" s="4" t="s">
        <v>35</v>
      </c>
      <c r="C413" s="4" t="s">
        <v>39</v>
      </c>
      <c r="D413" s="4" t="s">
        <v>34</v>
      </c>
      <c r="E413" s="4" t="s">
        <v>25</v>
      </c>
      <c r="F413" s="4" t="s">
        <v>25</v>
      </c>
      <c r="G413" s="4" t="s">
        <v>25</v>
      </c>
      <c r="H413" s="4" t="s">
        <v>38</v>
      </c>
      <c r="I413" s="5">
        <v>44682</v>
      </c>
      <c r="J413" s="6">
        <v>0</v>
      </c>
      <c r="K413" s="6">
        <v>0</v>
      </c>
      <c r="L413" s="6">
        <v>-39.677999999999997</v>
      </c>
      <c r="M413" s="6">
        <v>-39.677999999999997</v>
      </c>
      <c r="N413" s="6">
        <v>-39.677999999999997</v>
      </c>
      <c r="O413" s="6">
        <v>-39.677999999999997</v>
      </c>
      <c r="P413" s="6">
        <v>0</v>
      </c>
      <c r="Q413" s="4" t="s">
        <v>26</v>
      </c>
      <c r="R413" s="4">
        <v>0</v>
      </c>
      <c r="S413" s="6">
        <v>0</v>
      </c>
      <c r="T413" s="6">
        <v>25</v>
      </c>
      <c r="U413" s="6">
        <v>59</v>
      </c>
      <c r="V413" s="6">
        <f>IF(ISERROR(VLOOKUP($S$413,'TAR FIN'!$A$1:$O$93,15,0)),0,VLOOKUP($S$413,'TAR FIN'!$A$1:$O$93,15,0))</f>
        <v>0</v>
      </c>
      <c r="W413" s="6">
        <f>IF(ISERROR(VLOOKUP($T$413,'TAR FIN'!$A$1:$O$93,15,0)),0,VLOOKUP($T$413,'TAR FIN'!$A$1:$O$93,15,0))</f>
        <v>69.489999999999995</v>
      </c>
      <c r="X413" s="6">
        <f>IF(ISERROR(VLOOKUP($U$413,'TAR FIN'!$A$1:$O$93,15,0)),0,VLOOKUP($U$413,'TAR FIN'!$A$1:$O$93,15,0))</f>
        <v>185.18</v>
      </c>
      <c r="Y413" s="6"/>
      <c r="Z413" s="6">
        <f ca="1">('TUSD BE'!$AM$16+'TUSD BF'!$AM$16+'TUSD CVA'!$AM$16)*1</f>
        <v>92.504793470158234</v>
      </c>
      <c r="AA413" s="6">
        <f>('TE BE'!$AB$8+'TE BF'!$AB$8+'TE CVA'!$AB$8)*1</f>
        <v>198.18194779658231</v>
      </c>
      <c r="AB413" s="6">
        <f>$K$413*$V$413</f>
        <v>0</v>
      </c>
      <c r="AC413" s="6">
        <f>$M$413*$W$413</f>
        <v>-2757.2242199999996</v>
      </c>
      <c r="AD413" s="6">
        <f>$O$413*$X$413</f>
        <v>-7347.57204</v>
      </c>
      <c r="AE413" s="6">
        <f>$K$413*$Y$413</f>
        <v>0</v>
      </c>
      <c r="AF413" s="6">
        <f ca="1">$M$413*$Z$413</f>
        <v>-3670.4051953089383</v>
      </c>
      <c r="AG413" s="6">
        <f>$O$413*$AA$413</f>
        <v>-7863.4633246727926</v>
      </c>
    </row>
    <row r="414" spans="1:33" ht="11.25" customHeight="1" x14ac:dyDescent="0.25">
      <c r="A414" s="4" t="s">
        <v>28</v>
      </c>
      <c r="B414" s="4" t="s">
        <v>35</v>
      </c>
      <c r="C414" s="4" t="s">
        <v>39</v>
      </c>
      <c r="D414" s="4" t="s">
        <v>34</v>
      </c>
      <c r="E414" s="4" t="s">
        <v>25</v>
      </c>
      <c r="F414" s="4" t="s">
        <v>25</v>
      </c>
      <c r="G414" s="4" t="s">
        <v>25</v>
      </c>
      <c r="H414" s="4" t="s">
        <v>38</v>
      </c>
      <c r="I414" s="5">
        <v>44682</v>
      </c>
      <c r="J414" s="6">
        <v>0</v>
      </c>
      <c r="K414" s="6">
        <v>0</v>
      </c>
      <c r="L414" s="6">
        <v>423.47500000000002</v>
      </c>
      <c r="M414" s="6">
        <v>423.47500000000002</v>
      </c>
      <c r="N414" s="6">
        <v>423.47500000000002</v>
      </c>
      <c r="O414" s="6">
        <v>423.47500000000002</v>
      </c>
      <c r="P414" s="6">
        <v>0</v>
      </c>
      <c r="Q414" s="4" t="s">
        <v>26</v>
      </c>
      <c r="R414" s="4">
        <v>0</v>
      </c>
      <c r="S414" s="6">
        <v>0</v>
      </c>
      <c r="T414" s="6">
        <v>25</v>
      </c>
      <c r="U414" s="6">
        <v>59</v>
      </c>
      <c r="V414" s="6">
        <f>IF(ISERROR(VLOOKUP($S$414,'TAR FIN'!$A$1:$O$93,15,0)),0,VLOOKUP($S$414,'TAR FIN'!$A$1:$O$93,15,0))</f>
        <v>0</v>
      </c>
      <c r="W414" s="6">
        <f>IF(ISERROR(VLOOKUP($T$414,'TAR FIN'!$A$1:$O$93,15,0)),0,VLOOKUP($T$414,'TAR FIN'!$A$1:$O$93,15,0))</f>
        <v>69.489999999999995</v>
      </c>
      <c r="X414" s="6">
        <f>IF(ISERROR(VLOOKUP($U$414,'TAR FIN'!$A$1:$O$93,15,0)),0,VLOOKUP($U$414,'TAR FIN'!$A$1:$O$93,15,0))</f>
        <v>185.18</v>
      </c>
      <c r="Y414" s="6"/>
      <c r="Z414" s="6">
        <f ca="1">('TUSD BE'!$AM$16+'TUSD BF'!$AM$16+'TUSD CVA'!$AM$16)*1</f>
        <v>92.504793470158234</v>
      </c>
      <c r="AA414" s="6">
        <f>('TE BE'!$AB$8+'TE BF'!$AB$8+'TE CVA'!$AB$8)*1</f>
        <v>198.18194779658231</v>
      </c>
      <c r="AB414" s="6">
        <f>$K$414*$V$414</f>
        <v>0</v>
      </c>
      <c r="AC414" s="6">
        <f>$M$414*$W$414</f>
        <v>29427.277750000001</v>
      </c>
      <c r="AD414" s="6">
        <f>$O$414*$X$414</f>
        <v>78419.1005</v>
      </c>
      <c r="AE414" s="6">
        <f>$K$414*$Y$414</f>
        <v>0</v>
      </c>
      <c r="AF414" s="6">
        <f ca="1">$M$414*$Z$414</f>
        <v>39173.467414775259</v>
      </c>
      <c r="AG414" s="6">
        <f>$O$414*$AA$414</f>
        <v>83925.100343157697</v>
      </c>
    </row>
    <row r="415" spans="1:33" ht="11.25" customHeight="1" x14ac:dyDescent="0.25">
      <c r="A415" s="4" t="s">
        <v>21</v>
      </c>
      <c r="B415" s="4" t="s">
        <v>35</v>
      </c>
      <c r="C415" s="4" t="s">
        <v>39</v>
      </c>
      <c r="D415" s="4" t="s">
        <v>34</v>
      </c>
      <c r="E415" s="4" t="s">
        <v>25</v>
      </c>
      <c r="F415" s="4" t="s">
        <v>25</v>
      </c>
      <c r="G415" s="4" t="s">
        <v>25</v>
      </c>
      <c r="H415" s="4" t="s">
        <v>38</v>
      </c>
      <c r="I415" s="5">
        <v>44713</v>
      </c>
      <c r="J415" s="6">
        <v>0</v>
      </c>
      <c r="K415" s="6">
        <v>0</v>
      </c>
      <c r="L415" s="6">
        <v>3650.1289999999999</v>
      </c>
      <c r="M415" s="6">
        <v>3650.1289999999999</v>
      </c>
      <c r="N415" s="6">
        <v>3650.1289999999999</v>
      </c>
      <c r="O415" s="6">
        <v>3650.1289999999999</v>
      </c>
      <c r="P415" s="6">
        <v>0</v>
      </c>
      <c r="Q415" s="4" t="s">
        <v>26</v>
      </c>
      <c r="R415" s="4">
        <v>0</v>
      </c>
      <c r="S415" s="6">
        <v>0</v>
      </c>
      <c r="T415" s="6">
        <v>25</v>
      </c>
      <c r="U415" s="6">
        <v>59</v>
      </c>
      <c r="V415" s="6">
        <f>IF(ISERROR(VLOOKUP($S$415,'TAR FIN'!$A$1:$O$93,15,0)),0,VLOOKUP($S$415,'TAR FIN'!$A$1:$O$93,15,0))</f>
        <v>0</v>
      </c>
      <c r="W415" s="6">
        <f>IF(ISERROR(VLOOKUP($T$415,'TAR FIN'!$A$1:$O$93,15,0)),0,VLOOKUP($T$415,'TAR FIN'!$A$1:$O$93,15,0))</f>
        <v>69.489999999999995</v>
      </c>
      <c r="X415" s="6">
        <f>IF(ISERROR(VLOOKUP($U$415,'TAR FIN'!$A$1:$O$93,15,0)),0,VLOOKUP($U$415,'TAR FIN'!$A$1:$O$93,15,0))</f>
        <v>185.18</v>
      </c>
      <c r="Y415" s="6"/>
      <c r="Z415" s="6">
        <f ca="1">('TUSD BE'!$AM$16+'TUSD BF'!$AM$16+'TUSD CVA'!$AM$16)*1</f>
        <v>92.504793470158234</v>
      </c>
      <c r="AA415" s="6">
        <f>('TE BE'!$AB$8+'TE BF'!$AB$8+'TE CVA'!$AB$8)*1</f>
        <v>198.18194779658231</v>
      </c>
      <c r="AB415" s="6">
        <f>$K$415*$V$415</f>
        <v>0</v>
      </c>
      <c r="AC415" s="6">
        <f>$M$415*$W$415</f>
        <v>253647.46420999998</v>
      </c>
      <c r="AD415" s="6">
        <f>$O$415*$X$415</f>
        <v>675930.88821999996</v>
      </c>
      <c r="AE415" s="6">
        <f>$K$415*$Y$415</f>
        <v>0</v>
      </c>
      <c r="AF415" s="6">
        <f ca="1">$M$415*$Z$415</f>
        <v>337654.42928443517</v>
      </c>
      <c r="AG415" s="6">
        <f>$O$415*$AA$415</f>
        <v>723389.67492879112</v>
      </c>
    </row>
    <row r="416" spans="1:33" ht="11.25" customHeight="1" x14ac:dyDescent="0.25">
      <c r="A416" s="4" t="s">
        <v>28</v>
      </c>
      <c r="B416" s="4" t="s">
        <v>35</v>
      </c>
      <c r="C416" s="4" t="s">
        <v>39</v>
      </c>
      <c r="D416" s="4" t="s">
        <v>34</v>
      </c>
      <c r="E416" s="4" t="s">
        <v>25</v>
      </c>
      <c r="F416" s="4" t="s">
        <v>25</v>
      </c>
      <c r="G416" s="4" t="s">
        <v>25</v>
      </c>
      <c r="H416" s="4" t="s">
        <v>38</v>
      </c>
      <c r="I416" s="5">
        <v>44713</v>
      </c>
      <c r="J416" s="6">
        <v>0</v>
      </c>
      <c r="K416" s="6">
        <v>0</v>
      </c>
      <c r="L416" s="6">
        <v>512.01099999999997</v>
      </c>
      <c r="M416" s="6">
        <v>512.01099999999997</v>
      </c>
      <c r="N416" s="6">
        <v>512.01099999999997</v>
      </c>
      <c r="O416" s="6">
        <v>512.01099999999997</v>
      </c>
      <c r="P416" s="6">
        <v>0</v>
      </c>
      <c r="Q416" s="4" t="s">
        <v>26</v>
      </c>
      <c r="R416" s="4">
        <v>0</v>
      </c>
      <c r="S416" s="6">
        <v>0</v>
      </c>
      <c r="T416" s="6">
        <v>25</v>
      </c>
      <c r="U416" s="6">
        <v>59</v>
      </c>
      <c r="V416" s="6">
        <f>IF(ISERROR(VLOOKUP($S$416,'TAR FIN'!$A$1:$O$93,15,0)),0,VLOOKUP($S$416,'TAR FIN'!$A$1:$O$93,15,0))</f>
        <v>0</v>
      </c>
      <c r="W416" s="6">
        <f>IF(ISERROR(VLOOKUP($T$416,'TAR FIN'!$A$1:$O$93,15,0)),0,VLOOKUP($T$416,'TAR FIN'!$A$1:$O$93,15,0))</f>
        <v>69.489999999999995</v>
      </c>
      <c r="X416" s="6">
        <f>IF(ISERROR(VLOOKUP($U$416,'TAR FIN'!$A$1:$O$93,15,0)),0,VLOOKUP($U$416,'TAR FIN'!$A$1:$O$93,15,0))</f>
        <v>185.18</v>
      </c>
      <c r="Y416" s="6"/>
      <c r="Z416" s="6">
        <f ca="1">('TUSD BE'!$AM$16+'TUSD BF'!$AM$16+'TUSD CVA'!$AM$16)*1</f>
        <v>92.504793470158234</v>
      </c>
      <c r="AA416" s="6">
        <f>('TE BE'!$AB$8+'TE BF'!$AB$8+'TE CVA'!$AB$8)*1</f>
        <v>198.18194779658231</v>
      </c>
      <c r="AB416" s="6">
        <f>$K$416*$V$416</f>
        <v>0</v>
      </c>
      <c r="AC416" s="6">
        <f>$M$416*$W$416</f>
        <v>35579.644389999994</v>
      </c>
      <c r="AD416" s="6">
        <f>$O$416*$X$416</f>
        <v>94814.196979999993</v>
      </c>
      <c r="AE416" s="6">
        <f>$K$416*$Y$416</f>
        <v>0</v>
      </c>
      <c r="AF416" s="6">
        <f ca="1">$M$416*$Z$416</f>
        <v>47363.471809449184</v>
      </c>
      <c r="AG416" s="6">
        <f>$O$416*$AA$416</f>
        <v>101471.3372732759</v>
      </c>
    </row>
    <row r="417" spans="1:33" ht="11.25" customHeight="1" x14ac:dyDescent="0.25">
      <c r="A417" s="4" t="s">
        <v>21</v>
      </c>
      <c r="B417" s="4" t="s">
        <v>35</v>
      </c>
      <c r="C417" s="4" t="s">
        <v>39</v>
      </c>
      <c r="D417" s="4" t="s">
        <v>34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44378</v>
      </c>
      <c r="J417" s="6">
        <v>28804</v>
      </c>
      <c r="K417" s="6">
        <v>28804</v>
      </c>
      <c r="L417" s="6">
        <v>0</v>
      </c>
      <c r="M417" s="6">
        <v>0</v>
      </c>
      <c r="N417" s="6">
        <v>0</v>
      </c>
      <c r="O417" s="6">
        <v>0</v>
      </c>
      <c r="P417" s="6">
        <v>80</v>
      </c>
      <c r="Q417" s="4" t="s">
        <v>26</v>
      </c>
      <c r="R417" s="4">
        <v>0</v>
      </c>
      <c r="S417" s="6">
        <v>18</v>
      </c>
      <c r="T417" s="6">
        <v>0</v>
      </c>
      <c r="U417" s="6">
        <v>0</v>
      </c>
      <c r="V417" s="6">
        <f>IF(ISERROR(VLOOKUP($S$417,'TAR FIN'!$A$1:$O$93,15,0)),0,VLOOKUP($S$417,'TAR FIN'!$A$1:$O$93,15,0))</f>
        <v>26.17</v>
      </c>
      <c r="W417" s="6">
        <f>IF(ISERROR(VLOOKUP($T$417,'TAR FIN'!$A$1:$O$93,15,0)),0,VLOOKUP($T$417,'TAR FIN'!$A$1:$O$93,15,0))</f>
        <v>0</v>
      </c>
      <c r="X417" s="6">
        <f>IF(ISERROR(VLOOKUP($U$417,'TAR FIN'!$A$1:$O$93,15,0)),0,VLOOKUP($U$417,'TAR FIN'!$A$1:$O$93,15,0))</f>
        <v>0</v>
      </c>
      <c r="Y417" s="6">
        <f ca="1">('TUSD BE'!$AM$14+'TUSD BF'!$AM$14+'TUSD CVA'!$AM$14)*1</f>
        <v>30.453482365333407</v>
      </c>
      <c r="Z417" s="6"/>
      <c r="AA417" s="6"/>
      <c r="AB417" s="6">
        <f>$K$417*$V$417</f>
        <v>753800.68</v>
      </c>
      <c r="AC417" s="6">
        <f>$M$417*$W$417</f>
        <v>0</v>
      </c>
      <c r="AD417" s="6">
        <f>$O$417*$X$417</f>
        <v>0</v>
      </c>
      <c r="AE417" s="6">
        <f ca="1">$K$417*$Y$417</f>
        <v>877182.10605106351</v>
      </c>
      <c r="AF417" s="6">
        <f>$M$417*$Z$417</f>
        <v>0</v>
      </c>
      <c r="AG417" s="6">
        <f>$O$417*$AA$417</f>
        <v>0</v>
      </c>
    </row>
    <row r="418" spans="1:33" ht="11.25" customHeight="1" x14ac:dyDescent="0.25">
      <c r="A418" s="4" t="s">
        <v>27</v>
      </c>
      <c r="B418" s="4" t="s">
        <v>35</v>
      </c>
      <c r="C418" s="4" t="s">
        <v>39</v>
      </c>
      <c r="D418" s="4" t="s">
        <v>34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44378</v>
      </c>
      <c r="J418" s="6">
        <v>-4373</v>
      </c>
      <c r="K418" s="6">
        <v>-4373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4" t="s">
        <v>26</v>
      </c>
      <c r="R418" s="4">
        <v>0</v>
      </c>
      <c r="S418" s="6">
        <v>18</v>
      </c>
      <c r="T418" s="6">
        <v>0</v>
      </c>
      <c r="U418" s="6">
        <v>0</v>
      </c>
      <c r="V418" s="6">
        <f>IF(ISERROR(VLOOKUP($S$418,'TAR FIN'!$A$1:$O$93,15,0)),0,VLOOKUP($S$418,'TAR FIN'!$A$1:$O$93,15,0))</f>
        <v>26.17</v>
      </c>
      <c r="W418" s="6">
        <f>IF(ISERROR(VLOOKUP($T$418,'TAR FIN'!$A$1:$O$93,15,0)),0,VLOOKUP($T$418,'TAR FIN'!$A$1:$O$93,15,0))</f>
        <v>0</v>
      </c>
      <c r="X418" s="6">
        <f>IF(ISERROR(VLOOKUP($U$418,'TAR FIN'!$A$1:$O$93,15,0)),0,VLOOKUP($U$418,'TAR FIN'!$A$1:$O$93,15,0))</f>
        <v>0</v>
      </c>
      <c r="Y418" s="6">
        <f ca="1">('TUSD BE'!$AM$14+'TUSD BF'!$AM$14+'TUSD CVA'!$AM$14)*1</f>
        <v>30.453482365333407</v>
      </c>
      <c r="Z418" s="6"/>
      <c r="AA418" s="6"/>
      <c r="AB418" s="6">
        <f>$K$418*$V$418</f>
        <v>-114441.41</v>
      </c>
      <c r="AC418" s="6">
        <f>$M$418*$W$418</f>
        <v>0</v>
      </c>
      <c r="AD418" s="6">
        <f>$O$418*$X$418</f>
        <v>0</v>
      </c>
      <c r="AE418" s="6">
        <f ca="1">$K$418*$Y$418</f>
        <v>-133173.07838360299</v>
      </c>
      <c r="AF418" s="6">
        <f>$M$418*$Z$418</f>
        <v>0</v>
      </c>
      <c r="AG418" s="6">
        <f>$O$418*$AA$418</f>
        <v>0</v>
      </c>
    </row>
    <row r="419" spans="1:33" ht="11.25" customHeight="1" x14ac:dyDescent="0.25">
      <c r="A419" s="4" t="s">
        <v>28</v>
      </c>
      <c r="B419" s="4" t="s">
        <v>35</v>
      </c>
      <c r="C419" s="4" t="s">
        <v>39</v>
      </c>
      <c r="D419" s="4" t="s">
        <v>34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44378</v>
      </c>
      <c r="J419" s="6">
        <v>1727</v>
      </c>
      <c r="K419" s="6">
        <v>1727</v>
      </c>
      <c r="L419" s="6">
        <v>0</v>
      </c>
      <c r="M419" s="6">
        <v>0</v>
      </c>
      <c r="N419" s="6">
        <v>0</v>
      </c>
      <c r="O419" s="6">
        <v>0</v>
      </c>
      <c r="P419" s="6">
        <v>5</v>
      </c>
      <c r="Q419" s="4" t="s">
        <v>26</v>
      </c>
      <c r="R419" s="4">
        <v>0</v>
      </c>
      <c r="S419" s="6">
        <v>18</v>
      </c>
      <c r="T419" s="6">
        <v>0</v>
      </c>
      <c r="U419" s="6">
        <v>0</v>
      </c>
      <c r="V419" s="6">
        <f>IF(ISERROR(VLOOKUP($S$419,'TAR FIN'!$A$1:$O$93,15,0)),0,VLOOKUP($S$419,'TAR FIN'!$A$1:$O$93,15,0))</f>
        <v>26.17</v>
      </c>
      <c r="W419" s="6">
        <f>IF(ISERROR(VLOOKUP($T$419,'TAR FIN'!$A$1:$O$93,15,0)),0,VLOOKUP($T$419,'TAR FIN'!$A$1:$O$93,15,0))</f>
        <v>0</v>
      </c>
      <c r="X419" s="6">
        <f>IF(ISERROR(VLOOKUP($U$419,'TAR FIN'!$A$1:$O$93,15,0)),0,VLOOKUP($U$419,'TAR FIN'!$A$1:$O$93,15,0))</f>
        <v>0</v>
      </c>
      <c r="Y419" s="6">
        <f ca="1">('TUSD BE'!$AM$14+'TUSD BF'!$AM$14+'TUSD CVA'!$AM$14)*1</f>
        <v>30.453482365333407</v>
      </c>
      <c r="Z419" s="6"/>
      <c r="AA419" s="6"/>
      <c r="AB419" s="6">
        <f>$K$419*$V$419</f>
        <v>45195.590000000004</v>
      </c>
      <c r="AC419" s="6">
        <f>$M$419*$W$419</f>
        <v>0</v>
      </c>
      <c r="AD419" s="6">
        <f>$O$419*$X$419</f>
        <v>0</v>
      </c>
      <c r="AE419" s="6">
        <f ca="1">$K$419*$Y$419</f>
        <v>52593.164044930796</v>
      </c>
      <c r="AF419" s="6">
        <f>$M$419*$Z$419</f>
        <v>0</v>
      </c>
      <c r="AG419" s="6">
        <f>$O$419*$AA$419</f>
        <v>0</v>
      </c>
    </row>
    <row r="420" spans="1:33" ht="11.25" customHeight="1" x14ac:dyDescent="0.25">
      <c r="A420" s="4" t="s">
        <v>21</v>
      </c>
      <c r="B420" s="4" t="s">
        <v>35</v>
      </c>
      <c r="C420" s="4" t="s">
        <v>39</v>
      </c>
      <c r="D420" s="4" t="s">
        <v>34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44409</v>
      </c>
      <c r="J420" s="6">
        <v>24242</v>
      </c>
      <c r="K420" s="6">
        <v>24242</v>
      </c>
      <c r="L420" s="6">
        <v>0</v>
      </c>
      <c r="M420" s="6">
        <v>0</v>
      </c>
      <c r="N420" s="6">
        <v>0</v>
      </c>
      <c r="O420" s="6">
        <v>0</v>
      </c>
      <c r="P420" s="6">
        <v>79</v>
      </c>
      <c r="Q420" s="4" t="s">
        <v>26</v>
      </c>
      <c r="R420" s="4">
        <v>0</v>
      </c>
      <c r="S420" s="6">
        <v>18</v>
      </c>
      <c r="T420" s="6">
        <v>0</v>
      </c>
      <c r="U420" s="6">
        <v>0</v>
      </c>
      <c r="V420" s="6">
        <f>IF(ISERROR(VLOOKUP($S$420,'TAR FIN'!$A$1:$O$93,15,0)),0,VLOOKUP($S$420,'TAR FIN'!$A$1:$O$93,15,0))</f>
        <v>26.17</v>
      </c>
      <c r="W420" s="6">
        <f>IF(ISERROR(VLOOKUP($T$420,'TAR FIN'!$A$1:$O$93,15,0)),0,VLOOKUP($T$420,'TAR FIN'!$A$1:$O$93,15,0))</f>
        <v>0</v>
      </c>
      <c r="X420" s="6">
        <f>IF(ISERROR(VLOOKUP($U$420,'TAR FIN'!$A$1:$O$93,15,0)),0,VLOOKUP($U$420,'TAR FIN'!$A$1:$O$93,15,0))</f>
        <v>0</v>
      </c>
      <c r="Y420" s="6">
        <f ca="1">('TUSD BE'!$AM$14+'TUSD BF'!$AM$14+'TUSD CVA'!$AM$14)*1</f>
        <v>30.453482365333407</v>
      </c>
      <c r="Z420" s="6"/>
      <c r="AA420" s="6"/>
      <c r="AB420" s="6">
        <f>$K$420*$V$420</f>
        <v>634413.14</v>
      </c>
      <c r="AC420" s="6">
        <f>$M$420*$W$420</f>
        <v>0</v>
      </c>
      <c r="AD420" s="6">
        <f>$O$420*$X$420</f>
        <v>0</v>
      </c>
      <c r="AE420" s="6">
        <f ca="1">$K$420*$Y$420</f>
        <v>738253.31950041244</v>
      </c>
      <c r="AF420" s="6">
        <f>$M$420*$Z$420</f>
        <v>0</v>
      </c>
      <c r="AG420" s="6">
        <f>$O$420*$AA$420</f>
        <v>0</v>
      </c>
    </row>
    <row r="421" spans="1:33" ht="11.25" customHeight="1" x14ac:dyDescent="0.25">
      <c r="A421" s="4" t="s">
        <v>28</v>
      </c>
      <c r="B421" s="4" t="s">
        <v>35</v>
      </c>
      <c r="C421" s="4" t="s">
        <v>39</v>
      </c>
      <c r="D421" s="4" t="s">
        <v>34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44409</v>
      </c>
      <c r="J421" s="6">
        <v>1727</v>
      </c>
      <c r="K421" s="6">
        <v>1727</v>
      </c>
      <c r="L421" s="6">
        <v>0</v>
      </c>
      <c r="M421" s="6">
        <v>0</v>
      </c>
      <c r="N421" s="6">
        <v>0</v>
      </c>
      <c r="O421" s="6">
        <v>0</v>
      </c>
      <c r="P421" s="6">
        <v>5</v>
      </c>
      <c r="Q421" s="4" t="s">
        <v>26</v>
      </c>
      <c r="R421" s="4">
        <v>0</v>
      </c>
      <c r="S421" s="6">
        <v>18</v>
      </c>
      <c r="T421" s="6">
        <v>0</v>
      </c>
      <c r="U421" s="6">
        <v>0</v>
      </c>
      <c r="V421" s="6">
        <f>IF(ISERROR(VLOOKUP($S$421,'TAR FIN'!$A$1:$O$93,15,0)),0,VLOOKUP($S$421,'TAR FIN'!$A$1:$O$93,15,0))</f>
        <v>26.17</v>
      </c>
      <c r="W421" s="6">
        <f>IF(ISERROR(VLOOKUP($T$421,'TAR FIN'!$A$1:$O$93,15,0)),0,VLOOKUP($T$421,'TAR FIN'!$A$1:$O$93,15,0))</f>
        <v>0</v>
      </c>
      <c r="X421" s="6">
        <f>IF(ISERROR(VLOOKUP($U$421,'TAR FIN'!$A$1:$O$93,15,0)),0,VLOOKUP($U$421,'TAR FIN'!$A$1:$O$93,15,0))</f>
        <v>0</v>
      </c>
      <c r="Y421" s="6">
        <f ca="1">('TUSD BE'!$AM$14+'TUSD BF'!$AM$14+'TUSD CVA'!$AM$14)*1</f>
        <v>30.453482365333407</v>
      </c>
      <c r="Z421" s="6"/>
      <c r="AA421" s="6"/>
      <c r="AB421" s="6">
        <f>$K$421*$V$421</f>
        <v>45195.590000000004</v>
      </c>
      <c r="AC421" s="6">
        <f>$M$421*$W$421</f>
        <v>0</v>
      </c>
      <c r="AD421" s="6">
        <f>$O$421*$X$421</f>
        <v>0</v>
      </c>
      <c r="AE421" s="6">
        <f ca="1">$K$421*$Y$421</f>
        <v>52593.164044930796</v>
      </c>
      <c r="AF421" s="6">
        <f>$M$421*$Z$421</f>
        <v>0</v>
      </c>
      <c r="AG421" s="6">
        <f>$O$421*$AA$421</f>
        <v>0</v>
      </c>
    </row>
    <row r="422" spans="1:33" ht="11.25" customHeight="1" x14ac:dyDescent="0.25">
      <c r="A422" s="4" t="s">
        <v>21</v>
      </c>
      <c r="B422" s="4" t="s">
        <v>35</v>
      </c>
      <c r="C422" s="4" t="s">
        <v>39</v>
      </c>
      <c r="D422" s="4" t="s">
        <v>34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44440</v>
      </c>
      <c r="J422" s="6">
        <v>24830</v>
      </c>
      <c r="K422" s="6">
        <v>24830</v>
      </c>
      <c r="L422" s="6">
        <v>0</v>
      </c>
      <c r="M422" s="6">
        <v>0</v>
      </c>
      <c r="N422" s="6">
        <v>0</v>
      </c>
      <c r="O422" s="6">
        <v>0</v>
      </c>
      <c r="P422" s="6">
        <v>79</v>
      </c>
      <c r="Q422" s="4" t="s">
        <v>26</v>
      </c>
      <c r="R422" s="4">
        <v>0</v>
      </c>
      <c r="S422" s="6">
        <v>18</v>
      </c>
      <c r="T422" s="6">
        <v>0</v>
      </c>
      <c r="U422" s="6">
        <v>0</v>
      </c>
      <c r="V422" s="6">
        <f>IF(ISERROR(VLOOKUP($S$422,'TAR FIN'!$A$1:$O$93,15,0)),0,VLOOKUP($S$422,'TAR FIN'!$A$1:$O$93,15,0))</f>
        <v>26.17</v>
      </c>
      <c r="W422" s="6">
        <f>IF(ISERROR(VLOOKUP($T$422,'TAR FIN'!$A$1:$O$93,15,0)),0,VLOOKUP($T$422,'TAR FIN'!$A$1:$O$93,15,0))</f>
        <v>0</v>
      </c>
      <c r="X422" s="6">
        <f>IF(ISERROR(VLOOKUP($U$422,'TAR FIN'!$A$1:$O$93,15,0)),0,VLOOKUP($U$422,'TAR FIN'!$A$1:$O$93,15,0))</f>
        <v>0</v>
      </c>
      <c r="Y422" s="6">
        <f ca="1">('TUSD BE'!$AM$14+'TUSD BF'!$AM$14+'TUSD CVA'!$AM$14)*1</f>
        <v>30.453482365333407</v>
      </c>
      <c r="Z422" s="6"/>
      <c r="AA422" s="6"/>
      <c r="AB422" s="6">
        <f>$K$422*$V$422</f>
        <v>649801.10000000009</v>
      </c>
      <c r="AC422" s="6">
        <f>$M$422*$W$422</f>
        <v>0</v>
      </c>
      <c r="AD422" s="6">
        <f>$O$422*$X$422</f>
        <v>0</v>
      </c>
      <c r="AE422" s="6">
        <f ca="1">$K$422*$Y$422</f>
        <v>756159.96713122854</v>
      </c>
      <c r="AF422" s="6">
        <f>$M$422*$Z$422</f>
        <v>0</v>
      </c>
      <c r="AG422" s="6">
        <f>$O$422*$AA$422</f>
        <v>0</v>
      </c>
    </row>
    <row r="423" spans="1:33" ht="11.25" customHeight="1" x14ac:dyDescent="0.25">
      <c r="A423" s="4" t="s">
        <v>28</v>
      </c>
      <c r="B423" s="4" t="s">
        <v>35</v>
      </c>
      <c r="C423" s="4" t="s">
        <v>39</v>
      </c>
      <c r="D423" s="4" t="s">
        <v>34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44440</v>
      </c>
      <c r="J423" s="6">
        <v>1727</v>
      </c>
      <c r="K423" s="6">
        <v>1727</v>
      </c>
      <c r="L423" s="6">
        <v>0</v>
      </c>
      <c r="M423" s="6">
        <v>0</v>
      </c>
      <c r="N423" s="6">
        <v>0</v>
      </c>
      <c r="O423" s="6">
        <v>0</v>
      </c>
      <c r="P423" s="6">
        <v>5</v>
      </c>
      <c r="Q423" s="4" t="s">
        <v>26</v>
      </c>
      <c r="R423" s="4">
        <v>0</v>
      </c>
      <c r="S423" s="6">
        <v>18</v>
      </c>
      <c r="T423" s="6">
        <v>0</v>
      </c>
      <c r="U423" s="6">
        <v>0</v>
      </c>
      <c r="V423" s="6">
        <f>IF(ISERROR(VLOOKUP($S$423,'TAR FIN'!$A$1:$O$93,15,0)),0,VLOOKUP($S$423,'TAR FIN'!$A$1:$O$93,15,0))</f>
        <v>26.17</v>
      </c>
      <c r="W423" s="6">
        <f>IF(ISERROR(VLOOKUP($T$423,'TAR FIN'!$A$1:$O$93,15,0)),0,VLOOKUP($T$423,'TAR FIN'!$A$1:$O$93,15,0))</f>
        <v>0</v>
      </c>
      <c r="X423" s="6">
        <f>IF(ISERROR(VLOOKUP($U$423,'TAR FIN'!$A$1:$O$93,15,0)),0,VLOOKUP($U$423,'TAR FIN'!$A$1:$O$93,15,0))</f>
        <v>0</v>
      </c>
      <c r="Y423" s="6">
        <f ca="1">('TUSD BE'!$AM$14+'TUSD BF'!$AM$14+'TUSD CVA'!$AM$14)*1</f>
        <v>30.453482365333407</v>
      </c>
      <c r="Z423" s="6"/>
      <c r="AA423" s="6"/>
      <c r="AB423" s="6">
        <f>$K$423*$V$423</f>
        <v>45195.590000000004</v>
      </c>
      <c r="AC423" s="6">
        <f>$M$423*$W$423</f>
        <v>0</v>
      </c>
      <c r="AD423" s="6">
        <f>$O$423*$X$423</f>
        <v>0</v>
      </c>
      <c r="AE423" s="6">
        <f ca="1">$K$423*$Y$423</f>
        <v>52593.164044930796</v>
      </c>
      <c r="AF423" s="6">
        <f>$M$423*$Z$423</f>
        <v>0</v>
      </c>
      <c r="AG423" s="6">
        <f>$O$423*$AA$423</f>
        <v>0</v>
      </c>
    </row>
    <row r="424" spans="1:33" ht="11.25" customHeight="1" x14ac:dyDescent="0.25">
      <c r="A424" s="4" t="s">
        <v>21</v>
      </c>
      <c r="B424" s="4" t="s">
        <v>35</v>
      </c>
      <c r="C424" s="4" t="s">
        <v>39</v>
      </c>
      <c r="D424" s="4" t="s">
        <v>34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44470</v>
      </c>
      <c r="J424" s="6">
        <v>24987</v>
      </c>
      <c r="K424" s="6">
        <v>24987</v>
      </c>
      <c r="L424" s="6">
        <v>0</v>
      </c>
      <c r="M424" s="6">
        <v>0</v>
      </c>
      <c r="N424" s="6">
        <v>0</v>
      </c>
      <c r="O424" s="6">
        <v>0</v>
      </c>
      <c r="P424" s="6">
        <v>79</v>
      </c>
      <c r="Q424" s="4" t="s">
        <v>26</v>
      </c>
      <c r="R424" s="4">
        <v>0</v>
      </c>
      <c r="S424" s="6">
        <v>18</v>
      </c>
      <c r="T424" s="6">
        <v>0</v>
      </c>
      <c r="U424" s="6">
        <v>0</v>
      </c>
      <c r="V424" s="6">
        <f>IF(ISERROR(VLOOKUP($S$424,'TAR FIN'!$A$1:$O$93,15,0)),0,VLOOKUP($S$424,'TAR FIN'!$A$1:$O$93,15,0))</f>
        <v>26.17</v>
      </c>
      <c r="W424" s="6">
        <f>IF(ISERROR(VLOOKUP($T$424,'TAR FIN'!$A$1:$O$93,15,0)),0,VLOOKUP($T$424,'TAR FIN'!$A$1:$O$93,15,0))</f>
        <v>0</v>
      </c>
      <c r="X424" s="6">
        <f>IF(ISERROR(VLOOKUP($U$424,'TAR FIN'!$A$1:$O$93,15,0)),0,VLOOKUP($U$424,'TAR FIN'!$A$1:$O$93,15,0))</f>
        <v>0</v>
      </c>
      <c r="Y424" s="6">
        <f ca="1">('TUSD BE'!$AM$14+'TUSD BF'!$AM$14+'TUSD CVA'!$AM$14)*1</f>
        <v>30.453482365333407</v>
      </c>
      <c r="Z424" s="6"/>
      <c r="AA424" s="6"/>
      <c r="AB424" s="6">
        <f>$K$424*$V$424</f>
        <v>653909.79</v>
      </c>
      <c r="AC424" s="6">
        <f>$M$424*$W$424</f>
        <v>0</v>
      </c>
      <c r="AD424" s="6">
        <f>$O$424*$X$424</f>
        <v>0</v>
      </c>
      <c r="AE424" s="6">
        <f ca="1">$K$424*$Y$424</f>
        <v>760941.16386258579</v>
      </c>
      <c r="AF424" s="6">
        <f>$M$424*$Z$424</f>
        <v>0</v>
      </c>
      <c r="AG424" s="6">
        <f>$O$424*$AA$424</f>
        <v>0</v>
      </c>
    </row>
    <row r="425" spans="1:33" ht="11.25" customHeight="1" x14ac:dyDescent="0.25">
      <c r="A425" s="4" t="s">
        <v>28</v>
      </c>
      <c r="B425" s="4" t="s">
        <v>35</v>
      </c>
      <c r="C425" s="4" t="s">
        <v>39</v>
      </c>
      <c r="D425" s="4" t="s">
        <v>34</v>
      </c>
      <c r="E425" s="4" t="s">
        <v>25</v>
      </c>
      <c r="F425" s="4" t="s">
        <v>25</v>
      </c>
      <c r="G425" s="4" t="s">
        <v>25</v>
      </c>
      <c r="H425" s="4" t="s">
        <v>25</v>
      </c>
      <c r="I425" s="5">
        <v>44470</v>
      </c>
      <c r="J425" s="6">
        <v>1727</v>
      </c>
      <c r="K425" s="6">
        <v>1727</v>
      </c>
      <c r="L425" s="6">
        <v>0</v>
      </c>
      <c r="M425" s="6">
        <v>0</v>
      </c>
      <c r="N425" s="6">
        <v>0</v>
      </c>
      <c r="O425" s="6">
        <v>0</v>
      </c>
      <c r="P425" s="6">
        <v>5</v>
      </c>
      <c r="Q425" s="4" t="s">
        <v>26</v>
      </c>
      <c r="R425" s="4">
        <v>0</v>
      </c>
      <c r="S425" s="6">
        <v>18</v>
      </c>
      <c r="T425" s="6">
        <v>0</v>
      </c>
      <c r="U425" s="6">
        <v>0</v>
      </c>
      <c r="V425" s="6">
        <f>IF(ISERROR(VLOOKUP($S$425,'TAR FIN'!$A$1:$O$93,15,0)),0,VLOOKUP($S$425,'TAR FIN'!$A$1:$O$93,15,0))</f>
        <v>26.17</v>
      </c>
      <c r="W425" s="6">
        <f>IF(ISERROR(VLOOKUP($T$425,'TAR FIN'!$A$1:$O$93,15,0)),0,VLOOKUP($T$425,'TAR FIN'!$A$1:$O$93,15,0))</f>
        <v>0</v>
      </c>
      <c r="X425" s="6">
        <f>IF(ISERROR(VLOOKUP($U$425,'TAR FIN'!$A$1:$O$93,15,0)),0,VLOOKUP($U$425,'TAR FIN'!$A$1:$O$93,15,0))</f>
        <v>0</v>
      </c>
      <c r="Y425" s="6">
        <f ca="1">('TUSD BE'!$AM$14+'TUSD BF'!$AM$14+'TUSD CVA'!$AM$14)*1</f>
        <v>30.453482365333407</v>
      </c>
      <c r="Z425" s="6"/>
      <c r="AA425" s="6"/>
      <c r="AB425" s="6">
        <f>$K$425*$V$425</f>
        <v>45195.590000000004</v>
      </c>
      <c r="AC425" s="6">
        <f>$M$425*$W$425</f>
        <v>0</v>
      </c>
      <c r="AD425" s="6">
        <f>$O$425*$X$425</f>
        <v>0</v>
      </c>
      <c r="AE425" s="6">
        <f ca="1">$K$425*$Y$425</f>
        <v>52593.164044930796</v>
      </c>
      <c r="AF425" s="6">
        <f>$M$425*$Z$425</f>
        <v>0</v>
      </c>
      <c r="AG425" s="6">
        <f>$O$425*$AA$425</f>
        <v>0</v>
      </c>
    </row>
    <row r="426" spans="1:33" ht="11.25" customHeight="1" x14ac:dyDescent="0.25">
      <c r="A426" s="4" t="s">
        <v>21</v>
      </c>
      <c r="B426" s="4" t="s">
        <v>35</v>
      </c>
      <c r="C426" s="4" t="s">
        <v>39</v>
      </c>
      <c r="D426" s="4" t="s">
        <v>34</v>
      </c>
      <c r="E426" s="4" t="s">
        <v>25</v>
      </c>
      <c r="F426" s="4" t="s">
        <v>25</v>
      </c>
      <c r="G426" s="4" t="s">
        <v>25</v>
      </c>
      <c r="H426" s="4" t="s">
        <v>25</v>
      </c>
      <c r="I426" s="5">
        <v>44501</v>
      </c>
      <c r="J426" s="6">
        <v>21281</v>
      </c>
      <c r="K426" s="6">
        <v>21281</v>
      </c>
      <c r="L426" s="6">
        <v>0</v>
      </c>
      <c r="M426" s="6">
        <v>0</v>
      </c>
      <c r="N426" s="6">
        <v>0</v>
      </c>
      <c r="O426" s="6">
        <v>0</v>
      </c>
      <c r="P426" s="6">
        <v>80</v>
      </c>
      <c r="Q426" s="4" t="s">
        <v>26</v>
      </c>
      <c r="R426" s="4">
        <v>0</v>
      </c>
      <c r="S426" s="6">
        <v>18</v>
      </c>
      <c r="T426" s="6">
        <v>0</v>
      </c>
      <c r="U426" s="6">
        <v>0</v>
      </c>
      <c r="V426" s="6">
        <f>IF(ISERROR(VLOOKUP($S$426,'TAR FIN'!$A$1:$O$93,15,0)),0,VLOOKUP($S$426,'TAR FIN'!$A$1:$O$93,15,0))</f>
        <v>26.17</v>
      </c>
      <c r="W426" s="6">
        <f>IF(ISERROR(VLOOKUP($T$426,'TAR FIN'!$A$1:$O$93,15,0)),0,VLOOKUP($T$426,'TAR FIN'!$A$1:$O$93,15,0))</f>
        <v>0</v>
      </c>
      <c r="X426" s="6">
        <f>IF(ISERROR(VLOOKUP($U$426,'TAR FIN'!$A$1:$O$93,15,0)),0,VLOOKUP($U$426,'TAR FIN'!$A$1:$O$93,15,0))</f>
        <v>0</v>
      </c>
      <c r="Y426" s="6">
        <f ca="1">('TUSD BE'!$AM$14+'TUSD BF'!$AM$14+'TUSD CVA'!$AM$14)*1</f>
        <v>30.453482365333407</v>
      </c>
      <c r="Z426" s="6"/>
      <c r="AA426" s="6"/>
      <c r="AB426" s="6">
        <f>$K$426*$V$426</f>
        <v>556923.77</v>
      </c>
      <c r="AC426" s="6">
        <f>$M$426*$W$426</f>
        <v>0</v>
      </c>
      <c r="AD426" s="6">
        <f>$O$426*$X$426</f>
        <v>0</v>
      </c>
      <c r="AE426" s="6">
        <f ca="1">$K$426*$Y$426</f>
        <v>648080.55821666028</v>
      </c>
      <c r="AF426" s="6">
        <f>$M$426*$Z$426</f>
        <v>0</v>
      </c>
      <c r="AG426" s="6">
        <f>$O$426*$AA$426</f>
        <v>0</v>
      </c>
    </row>
    <row r="427" spans="1:33" ht="11.25" customHeight="1" x14ac:dyDescent="0.25">
      <c r="A427" s="4" t="s">
        <v>28</v>
      </c>
      <c r="B427" s="4" t="s">
        <v>35</v>
      </c>
      <c r="C427" s="4" t="s">
        <v>39</v>
      </c>
      <c r="D427" s="4" t="s">
        <v>34</v>
      </c>
      <c r="E427" s="4" t="s">
        <v>25</v>
      </c>
      <c r="F427" s="4" t="s">
        <v>25</v>
      </c>
      <c r="G427" s="4" t="s">
        <v>25</v>
      </c>
      <c r="H427" s="4" t="s">
        <v>25</v>
      </c>
      <c r="I427" s="5">
        <v>44501</v>
      </c>
      <c r="J427" s="6">
        <v>1727</v>
      </c>
      <c r="K427" s="6">
        <v>1727</v>
      </c>
      <c r="L427" s="6">
        <v>0</v>
      </c>
      <c r="M427" s="6">
        <v>0</v>
      </c>
      <c r="N427" s="6">
        <v>0</v>
      </c>
      <c r="O427" s="6">
        <v>0</v>
      </c>
      <c r="P427" s="6">
        <v>5</v>
      </c>
      <c r="Q427" s="4" t="s">
        <v>26</v>
      </c>
      <c r="R427" s="4">
        <v>0</v>
      </c>
      <c r="S427" s="6">
        <v>18</v>
      </c>
      <c r="T427" s="6">
        <v>0</v>
      </c>
      <c r="U427" s="6">
        <v>0</v>
      </c>
      <c r="V427" s="6">
        <f>IF(ISERROR(VLOOKUP($S$427,'TAR FIN'!$A$1:$O$93,15,0)),0,VLOOKUP($S$427,'TAR FIN'!$A$1:$O$93,15,0))</f>
        <v>26.17</v>
      </c>
      <c r="W427" s="6">
        <f>IF(ISERROR(VLOOKUP($T$427,'TAR FIN'!$A$1:$O$93,15,0)),0,VLOOKUP($T$427,'TAR FIN'!$A$1:$O$93,15,0))</f>
        <v>0</v>
      </c>
      <c r="X427" s="6">
        <f>IF(ISERROR(VLOOKUP($U$427,'TAR FIN'!$A$1:$O$93,15,0)),0,VLOOKUP($U$427,'TAR FIN'!$A$1:$O$93,15,0))</f>
        <v>0</v>
      </c>
      <c r="Y427" s="6">
        <f ca="1">('TUSD BE'!$AM$14+'TUSD BF'!$AM$14+'TUSD CVA'!$AM$14)*1</f>
        <v>30.453482365333407</v>
      </c>
      <c r="Z427" s="6"/>
      <c r="AA427" s="6"/>
      <c r="AB427" s="6">
        <f>$K$427*$V$427</f>
        <v>45195.590000000004</v>
      </c>
      <c r="AC427" s="6">
        <f>$M$427*$W$427</f>
        <v>0</v>
      </c>
      <c r="AD427" s="6">
        <f>$O$427*$X$427</f>
        <v>0</v>
      </c>
      <c r="AE427" s="6">
        <f ca="1">$K$427*$Y$427</f>
        <v>52593.164044930796</v>
      </c>
      <c r="AF427" s="6">
        <f>$M$427*$Z$427</f>
        <v>0</v>
      </c>
      <c r="AG427" s="6">
        <f>$O$427*$AA$427</f>
        <v>0</v>
      </c>
    </row>
    <row r="428" spans="1:33" ht="11.25" customHeight="1" x14ac:dyDescent="0.25">
      <c r="A428" s="4" t="s">
        <v>21</v>
      </c>
      <c r="B428" s="4" t="s">
        <v>35</v>
      </c>
      <c r="C428" s="4" t="s">
        <v>39</v>
      </c>
      <c r="D428" s="4" t="s">
        <v>34</v>
      </c>
      <c r="E428" s="4" t="s">
        <v>25</v>
      </c>
      <c r="F428" s="4" t="s">
        <v>25</v>
      </c>
      <c r="G428" s="4" t="s">
        <v>25</v>
      </c>
      <c r="H428" s="4" t="s">
        <v>25</v>
      </c>
      <c r="I428" s="5">
        <v>44531</v>
      </c>
      <c r="J428" s="6">
        <v>21331</v>
      </c>
      <c r="K428" s="6">
        <v>21331</v>
      </c>
      <c r="L428" s="6">
        <v>0</v>
      </c>
      <c r="M428" s="6">
        <v>0</v>
      </c>
      <c r="N428" s="6">
        <v>0</v>
      </c>
      <c r="O428" s="6">
        <v>0</v>
      </c>
      <c r="P428" s="6">
        <v>79</v>
      </c>
      <c r="Q428" s="4" t="s">
        <v>26</v>
      </c>
      <c r="R428" s="4">
        <v>0</v>
      </c>
      <c r="S428" s="6">
        <v>18</v>
      </c>
      <c r="T428" s="6">
        <v>0</v>
      </c>
      <c r="U428" s="6">
        <v>0</v>
      </c>
      <c r="V428" s="6">
        <f>IF(ISERROR(VLOOKUP($S$428,'TAR FIN'!$A$1:$O$93,15,0)),0,VLOOKUP($S$428,'TAR FIN'!$A$1:$O$93,15,0))</f>
        <v>26.17</v>
      </c>
      <c r="W428" s="6">
        <f>IF(ISERROR(VLOOKUP($T$428,'TAR FIN'!$A$1:$O$93,15,0)),0,VLOOKUP($T$428,'TAR FIN'!$A$1:$O$93,15,0))</f>
        <v>0</v>
      </c>
      <c r="X428" s="6">
        <f>IF(ISERROR(VLOOKUP($U$428,'TAR FIN'!$A$1:$O$93,15,0)),0,VLOOKUP($U$428,'TAR FIN'!$A$1:$O$93,15,0))</f>
        <v>0</v>
      </c>
      <c r="Y428" s="6">
        <f ca="1">('TUSD BE'!$AM$14+'TUSD BF'!$AM$14+'TUSD CVA'!$AM$14)*1</f>
        <v>30.453482365333407</v>
      </c>
      <c r="Z428" s="6"/>
      <c r="AA428" s="6"/>
      <c r="AB428" s="6">
        <f>$K$428*$V$428</f>
        <v>558232.27</v>
      </c>
      <c r="AC428" s="6">
        <f>$M$428*$W$428</f>
        <v>0</v>
      </c>
      <c r="AD428" s="6">
        <f>$O$428*$X$428</f>
        <v>0</v>
      </c>
      <c r="AE428" s="6">
        <f ca="1">$K$428*$Y$428</f>
        <v>649603.23233492696</v>
      </c>
      <c r="AF428" s="6">
        <f>$M$428*$Z$428</f>
        <v>0</v>
      </c>
      <c r="AG428" s="6">
        <f>$O$428*$AA$428</f>
        <v>0</v>
      </c>
    </row>
    <row r="429" spans="1:33" ht="11.25" customHeight="1" x14ac:dyDescent="0.25">
      <c r="A429" s="4" t="s">
        <v>21</v>
      </c>
      <c r="B429" s="4" t="s">
        <v>35</v>
      </c>
      <c r="C429" s="4" t="s">
        <v>39</v>
      </c>
      <c r="D429" s="4" t="s">
        <v>34</v>
      </c>
      <c r="E429" s="4" t="s">
        <v>25</v>
      </c>
      <c r="F429" s="4" t="s">
        <v>25</v>
      </c>
      <c r="G429" s="4" t="s">
        <v>25</v>
      </c>
      <c r="H429" s="4" t="s">
        <v>25</v>
      </c>
      <c r="I429" s="5">
        <v>44562</v>
      </c>
      <c r="J429" s="6">
        <v>21078</v>
      </c>
      <c r="K429" s="6">
        <v>21078</v>
      </c>
      <c r="L429" s="6">
        <v>0</v>
      </c>
      <c r="M429" s="6">
        <v>0</v>
      </c>
      <c r="N429" s="6">
        <v>0</v>
      </c>
      <c r="O429" s="6">
        <v>0</v>
      </c>
      <c r="P429" s="6">
        <v>80</v>
      </c>
      <c r="Q429" s="4" t="s">
        <v>26</v>
      </c>
      <c r="R429" s="4">
        <v>0</v>
      </c>
      <c r="S429" s="6">
        <v>18</v>
      </c>
      <c r="T429" s="6">
        <v>0</v>
      </c>
      <c r="U429" s="6">
        <v>0</v>
      </c>
      <c r="V429" s="6">
        <f>IF(ISERROR(VLOOKUP($S$429,'TAR FIN'!$A$1:$O$93,15,0)),0,VLOOKUP($S$429,'TAR FIN'!$A$1:$O$93,15,0))</f>
        <v>26.17</v>
      </c>
      <c r="W429" s="6">
        <f>IF(ISERROR(VLOOKUP($T$429,'TAR FIN'!$A$1:$O$93,15,0)),0,VLOOKUP($T$429,'TAR FIN'!$A$1:$O$93,15,0))</f>
        <v>0</v>
      </c>
      <c r="X429" s="6">
        <f>IF(ISERROR(VLOOKUP($U$429,'TAR FIN'!$A$1:$O$93,15,0)),0,VLOOKUP($U$429,'TAR FIN'!$A$1:$O$93,15,0))</f>
        <v>0</v>
      </c>
      <c r="Y429" s="6">
        <f ca="1">('TUSD BE'!$AM$14+'TUSD BF'!$AM$14+'TUSD CVA'!$AM$14)*1</f>
        <v>30.453482365333407</v>
      </c>
      <c r="Z429" s="6"/>
      <c r="AA429" s="6"/>
      <c r="AB429" s="6">
        <f>$K$429*$V$429</f>
        <v>551611.26</v>
      </c>
      <c r="AC429" s="6">
        <f>$M$429*$W$429</f>
        <v>0</v>
      </c>
      <c r="AD429" s="6">
        <f>$O$429*$X$429</f>
        <v>0</v>
      </c>
      <c r="AE429" s="6">
        <f ca="1">$K$429*$Y$429</f>
        <v>641898.50129649753</v>
      </c>
      <c r="AF429" s="6">
        <f>$M$429*$Z$429</f>
        <v>0</v>
      </c>
      <c r="AG429" s="6">
        <f>$O$429*$AA$429</f>
        <v>0</v>
      </c>
    </row>
    <row r="430" spans="1:33" ht="11.25" customHeight="1" x14ac:dyDescent="0.25">
      <c r="A430" s="4" t="s">
        <v>28</v>
      </c>
      <c r="B430" s="4" t="s">
        <v>35</v>
      </c>
      <c r="C430" s="4" t="s">
        <v>39</v>
      </c>
      <c r="D430" s="4" t="s">
        <v>34</v>
      </c>
      <c r="E430" s="4" t="s">
        <v>25</v>
      </c>
      <c r="F430" s="4" t="s">
        <v>25</v>
      </c>
      <c r="G430" s="4" t="s">
        <v>25</v>
      </c>
      <c r="H430" s="4" t="s">
        <v>25</v>
      </c>
      <c r="I430" s="5">
        <v>44562</v>
      </c>
      <c r="J430" s="6">
        <v>1706</v>
      </c>
      <c r="K430" s="6">
        <v>1706</v>
      </c>
      <c r="L430" s="6">
        <v>0</v>
      </c>
      <c r="M430" s="6">
        <v>0</v>
      </c>
      <c r="N430" s="6">
        <v>0</v>
      </c>
      <c r="O430" s="6">
        <v>0</v>
      </c>
      <c r="P430" s="6">
        <v>5</v>
      </c>
      <c r="Q430" s="4" t="s">
        <v>26</v>
      </c>
      <c r="R430" s="4">
        <v>0</v>
      </c>
      <c r="S430" s="6">
        <v>18</v>
      </c>
      <c r="T430" s="6">
        <v>0</v>
      </c>
      <c r="U430" s="6">
        <v>0</v>
      </c>
      <c r="V430" s="6">
        <f>IF(ISERROR(VLOOKUP($S$430,'TAR FIN'!$A$1:$O$93,15,0)),0,VLOOKUP($S$430,'TAR FIN'!$A$1:$O$93,15,0))</f>
        <v>26.17</v>
      </c>
      <c r="W430" s="6">
        <f>IF(ISERROR(VLOOKUP($T$430,'TAR FIN'!$A$1:$O$93,15,0)),0,VLOOKUP($T$430,'TAR FIN'!$A$1:$O$93,15,0))</f>
        <v>0</v>
      </c>
      <c r="X430" s="6">
        <f>IF(ISERROR(VLOOKUP($U$430,'TAR FIN'!$A$1:$O$93,15,0)),0,VLOOKUP($U$430,'TAR FIN'!$A$1:$O$93,15,0))</f>
        <v>0</v>
      </c>
      <c r="Y430" s="6">
        <f ca="1">('TUSD BE'!$AM$14+'TUSD BF'!$AM$14+'TUSD CVA'!$AM$14)*1</f>
        <v>30.453482365333407</v>
      </c>
      <c r="Z430" s="6"/>
      <c r="AA430" s="6"/>
      <c r="AB430" s="6">
        <f>$K$430*$V$430</f>
        <v>44646.020000000004</v>
      </c>
      <c r="AC430" s="6">
        <f>$M$430*$W$430</f>
        <v>0</v>
      </c>
      <c r="AD430" s="6">
        <f>$O$430*$X$430</f>
        <v>0</v>
      </c>
      <c r="AE430" s="6">
        <f ca="1">$K$430*$Y$430</f>
        <v>51953.640915258795</v>
      </c>
      <c r="AF430" s="6">
        <f>$M$430*$Z$430</f>
        <v>0</v>
      </c>
      <c r="AG430" s="6">
        <f>$O$430*$AA$430</f>
        <v>0</v>
      </c>
    </row>
    <row r="431" spans="1:33" ht="11.25" customHeight="1" x14ac:dyDescent="0.25">
      <c r="A431" s="4" t="s">
        <v>21</v>
      </c>
      <c r="B431" s="4" t="s">
        <v>35</v>
      </c>
      <c r="C431" s="4" t="s">
        <v>39</v>
      </c>
      <c r="D431" s="4" t="s">
        <v>34</v>
      </c>
      <c r="E431" s="4" t="s">
        <v>25</v>
      </c>
      <c r="F431" s="4" t="s">
        <v>25</v>
      </c>
      <c r="G431" s="4" t="s">
        <v>25</v>
      </c>
      <c r="H431" s="4" t="s">
        <v>25</v>
      </c>
      <c r="I431" s="5">
        <v>44593</v>
      </c>
      <c r="J431" s="6">
        <v>20546</v>
      </c>
      <c r="K431" s="6">
        <v>20546</v>
      </c>
      <c r="L431" s="6">
        <v>0</v>
      </c>
      <c r="M431" s="6">
        <v>0</v>
      </c>
      <c r="N431" s="6">
        <v>0</v>
      </c>
      <c r="O431" s="6">
        <v>0</v>
      </c>
      <c r="P431" s="6">
        <v>77</v>
      </c>
      <c r="Q431" s="4" t="s">
        <v>26</v>
      </c>
      <c r="R431" s="4">
        <v>0</v>
      </c>
      <c r="S431" s="6">
        <v>18</v>
      </c>
      <c r="T431" s="6">
        <v>0</v>
      </c>
      <c r="U431" s="6">
        <v>0</v>
      </c>
      <c r="V431" s="6">
        <f>IF(ISERROR(VLOOKUP($S$431,'TAR FIN'!$A$1:$O$93,15,0)),0,VLOOKUP($S$431,'TAR FIN'!$A$1:$O$93,15,0))</f>
        <v>26.17</v>
      </c>
      <c r="W431" s="6">
        <f>IF(ISERROR(VLOOKUP($T$431,'TAR FIN'!$A$1:$O$93,15,0)),0,VLOOKUP($T$431,'TAR FIN'!$A$1:$O$93,15,0))</f>
        <v>0</v>
      </c>
      <c r="X431" s="6">
        <f>IF(ISERROR(VLOOKUP($U$431,'TAR FIN'!$A$1:$O$93,15,0)),0,VLOOKUP($U$431,'TAR FIN'!$A$1:$O$93,15,0))</f>
        <v>0</v>
      </c>
      <c r="Y431" s="6">
        <f ca="1">('TUSD BE'!$AM$14+'TUSD BF'!$AM$14+'TUSD CVA'!$AM$14)*1</f>
        <v>30.453482365333407</v>
      </c>
      <c r="Z431" s="6"/>
      <c r="AA431" s="6"/>
      <c r="AB431" s="6">
        <f>$K$431*$V$431</f>
        <v>537688.82000000007</v>
      </c>
      <c r="AC431" s="6">
        <f>$M$431*$W$431</f>
        <v>0</v>
      </c>
      <c r="AD431" s="6">
        <f>$O$431*$X$431</f>
        <v>0</v>
      </c>
      <c r="AE431" s="6">
        <f ca="1">$K$431*$Y$431</f>
        <v>625697.24867814023</v>
      </c>
      <c r="AF431" s="6">
        <f>$M$431*$Z$431</f>
        <v>0</v>
      </c>
      <c r="AG431" s="6">
        <f>$O$431*$AA$431</f>
        <v>0</v>
      </c>
    </row>
    <row r="432" spans="1:33" ht="11.25" customHeight="1" x14ac:dyDescent="0.25">
      <c r="A432" s="4" t="s">
        <v>27</v>
      </c>
      <c r="B432" s="4" t="s">
        <v>35</v>
      </c>
      <c r="C432" s="4" t="s">
        <v>39</v>
      </c>
      <c r="D432" s="4" t="s">
        <v>34</v>
      </c>
      <c r="E432" s="4" t="s">
        <v>25</v>
      </c>
      <c r="F432" s="4" t="s">
        <v>25</v>
      </c>
      <c r="G432" s="4" t="s">
        <v>25</v>
      </c>
      <c r="H432" s="4" t="s">
        <v>25</v>
      </c>
      <c r="I432" s="5">
        <v>44593</v>
      </c>
      <c r="J432" s="6">
        <v>-555</v>
      </c>
      <c r="K432" s="6">
        <v>-555</v>
      </c>
      <c r="L432" s="6">
        <v>0</v>
      </c>
      <c r="M432" s="6">
        <v>0</v>
      </c>
      <c r="N432" s="6">
        <v>0</v>
      </c>
      <c r="O432" s="6">
        <v>0</v>
      </c>
      <c r="P432" s="6">
        <v>-1</v>
      </c>
      <c r="Q432" s="4" t="s">
        <v>26</v>
      </c>
      <c r="R432" s="4">
        <v>0</v>
      </c>
      <c r="S432" s="6">
        <v>18</v>
      </c>
      <c r="T432" s="6">
        <v>0</v>
      </c>
      <c r="U432" s="6">
        <v>0</v>
      </c>
      <c r="V432" s="6">
        <f>IF(ISERROR(VLOOKUP($S$432,'TAR FIN'!$A$1:$O$93,15,0)),0,VLOOKUP($S$432,'TAR FIN'!$A$1:$O$93,15,0))</f>
        <v>26.17</v>
      </c>
      <c r="W432" s="6">
        <f>IF(ISERROR(VLOOKUP($T$432,'TAR FIN'!$A$1:$O$93,15,0)),0,VLOOKUP($T$432,'TAR FIN'!$A$1:$O$93,15,0))</f>
        <v>0</v>
      </c>
      <c r="X432" s="6">
        <f>IF(ISERROR(VLOOKUP($U$432,'TAR FIN'!$A$1:$O$93,15,0)),0,VLOOKUP($U$432,'TAR FIN'!$A$1:$O$93,15,0))</f>
        <v>0</v>
      </c>
      <c r="Y432" s="6">
        <f ca="1">('TUSD BE'!$AM$14+'TUSD BF'!$AM$14+'TUSD CVA'!$AM$14)*1</f>
        <v>30.453482365333407</v>
      </c>
      <c r="Z432" s="6"/>
      <c r="AA432" s="6"/>
      <c r="AB432" s="6">
        <f>$K$432*$V$432</f>
        <v>-14524.35</v>
      </c>
      <c r="AC432" s="6">
        <f>$M$432*$W$432</f>
        <v>0</v>
      </c>
      <c r="AD432" s="6">
        <f>$O$432*$X$432</f>
        <v>0</v>
      </c>
      <c r="AE432" s="6">
        <f ca="1">$K$432*$Y$432</f>
        <v>-16901.682712760041</v>
      </c>
      <c r="AF432" s="6">
        <f>$M$432*$Z$432</f>
        <v>0</v>
      </c>
      <c r="AG432" s="6">
        <f>$O$432*$AA$432</f>
        <v>0</v>
      </c>
    </row>
    <row r="433" spans="1:33" ht="11.25" customHeight="1" x14ac:dyDescent="0.25">
      <c r="A433" s="4" t="s">
        <v>28</v>
      </c>
      <c r="B433" s="4" t="s">
        <v>35</v>
      </c>
      <c r="C433" s="4" t="s">
        <v>39</v>
      </c>
      <c r="D433" s="4" t="s">
        <v>34</v>
      </c>
      <c r="E433" s="4" t="s">
        <v>25</v>
      </c>
      <c r="F433" s="4" t="s">
        <v>25</v>
      </c>
      <c r="G433" s="4" t="s">
        <v>25</v>
      </c>
      <c r="H433" s="4" t="s">
        <v>25</v>
      </c>
      <c r="I433" s="5">
        <v>44593</v>
      </c>
      <c r="J433" s="6">
        <v>2812</v>
      </c>
      <c r="K433" s="6">
        <v>2812</v>
      </c>
      <c r="L433" s="6">
        <v>0</v>
      </c>
      <c r="M433" s="6">
        <v>0</v>
      </c>
      <c r="N433" s="6">
        <v>0</v>
      </c>
      <c r="O433" s="6">
        <v>0</v>
      </c>
      <c r="P433" s="6">
        <v>8</v>
      </c>
      <c r="Q433" s="4" t="s">
        <v>26</v>
      </c>
      <c r="R433" s="4">
        <v>0</v>
      </c>
      <c r="S433" s="6">
        <v>18</v>
      </c>
      <c r="T433" s="6">
        <v>0</v>
      </c>
      <c r="U433" s="6">
        <v>0</v>
      </c>
      <c r="V433" s="6">
        <f>IF(ISERROR(VLOOKUP($S$433,'TAR FIN'!$A$1:$O$93,15,0)),0,VLOOKUP($S$433,'TAR FIN'!$A$1:$O$93,15,0))</f>
        <v>26.17</v>
      </c>
      <c r="W433" s="6">
        <f>IF(ISERROR(VLOOKUP($T$433,'TAR FIN'!$A$1:$O$93,15,0)),0,VLOOKUP($T$433,'TAR FIN'!$A$1:$O$93,15,0))</f>
        <v>0</v>
      </c>
      <c r="X433" s="6">
        <f>IF(ISERROR(VLOOKUP($U$433,'TAR FIN'!$A$1:$O$93,15,0)),0,VLOOKUP($U$433,'TAR FIN'!$A$1:$O$93,15,0))</f>
        <v>0</v>
      </c>
      <c r="Y433" s="6">
        <f ca="1">('TUSD BE'!$AM$14+'TUSD BF'!$AM$14+'TUSD CVA'!$AM$14)*1</f>
        <v>30.453482365333407</v>
      </c>
      <c r="Z433" s="6"/>
      <c r="AA433" s="6"/>
      <c r="AB433" s="6">
        <f>$K$433*$V$433</f>
        <v>73590.040000000008</v>
      </c>
      <c r="AC433" s="6">
        <f>$M$433*$W$433</f>
        <v>0</v>
      </c>
      <c r="AD433" s="6">
        <f>$O$433*$X$433</f>
        <v>0</v>
      </c>
      <c r="AE433" s="6">
        <f ca="1">$K$433*$Y$433</f>
        <v>85635.192411317548</v>
      </c>
      <c r="AF433" s="6">
        <f>$M$433*$Z$433</f>
        <v>0</v>
      </c>
      <c r="AG433" s="6">
        <f>$O$433*$AA$433</f>
        <v>0</v>
      </c>
    </row>
    <row r="434" spans="1:33" ht="11.25" customHeight="1" x14ac:dyDescent="0.25">
      <c r="A434" s="4" t="s">
        <v>21</v>
      </c>
      <c r="B434" s="4" t="s">
        <v>35</v>
      </c>
      <c r="C434" s="4" t="s">
        <v>39</v>
      </c>
      <c r="D434" s="4" t="s">
        <v>34</v>
      </c>
      <c r="E434" s="4" t="s">
        <v>25</v>
      </c>
      <c r="F434" s="4" t="s">
        <v>25</v>
      </c>
      <c r="G434" s="4" t="s">
        <v>25</v>
      </c>
      <c r="H434" s="4" t="s">
        <v>25</v>
      </c>
      <c r="I434" s="5">
        <v>44621</v>
      </c>
      <c r="J434" s="6">
        <v>20348</v>
      </c>
      <c r="K434" s="6">
        <v>20348</v>
      </c>
      <c r="L434" s="6">
        <v>0</v>
      </c>
      <c r="M434" s="6">
        <v>0</v>
      </c>
      <c r="N434" s="6">
        <v>0</v>
      </c>
      <c r="O434" s="6">
        <v>0</v>
      </c>
      <c r="P434" s="6">
        <v>76</v>
      </c>
      <c r="Q434" s="4" t="s">
        <v>26</v>
      </c>
      <c r="R434" s="4">
        <v>0</v>
      </c>
      <c r="S434" s="6">
        <v>18</v>
      </c>
      <c r="T434" s="6">
        <v>0</v>
      </c>
      <c r="U434" s="6">
        <v>0</v>
      </c>
      <c r="V434" s="6">
        <f>IF(ISERROR(VLOOKUP($S$434,'TAR FIN'!$A$1:$O$93,15,0)),0,VLOOKUP($S$434,'TAR FIN'!$A$1:$O$93,15,0))</f>
        <v>26.17</v>
      </c>
      <c r="W434" s="6">
        <f>IF(ISERROR(VLOOKUP($T$434,'TAR FIN'!$A$1:$O$93,15,0)),0,VLOOKUP($T$434,'TAR FIN'!$A$1:$O$93,15,0))</f>
        <v>0</v>
      </c>
      <c r="X434" s="6">
        <f>IF(ISERROR(VLOOKUP($U$434,'TAR FIN'!$A$1:$O$93,15,0)),0,VLOOKUP($U$434,'TAR FIN'!$A$1:$O$93,15,0))</f>
        <v>0</v>
      </c>
      <c r="Y434" s="6">
        <f ca="1">('TUSD BE'!$AM$14+'TUSD BF'!$AM$14+'TUSD CVA'!$AM$14)*1</f>
        <v>30.453482365333407</v>
      </c>
      <c r="Z434" s="6"/>
      <c r="AA434" s="6"/>
      <c r="AB434" s="6">
        <f>$K$434*$V$434</f>
        <v>532507.16</v>
      </c>
      <c r="AC434" s="6">
        <f>$M$434*$W$434</f>
        <v>0</v>
      </c>
      <c r="AD434" s="6">
        <f>$O$434*$X$434</f>
        <v>0</v>
      </c>
      <c r="AE434" s="6">
        <f ca="1">$K$434*$Y$434</f>
        <v>619667.45916980412</v>
      </c>
      <c r="AF434" s="6">
        <f>$M$434*$Z$434</f>
        <v>0</v>
      </c>
      <c r="AG434" s="6">
        <f>$O$434*$AA$434</f>
        <v>0</v>
      </c>
    </row>
    <row r="435" spans="1:33" ht="11.25" customHeight="1" x14ac:dyDescent="0.25">
      <c r="A435" s="4" t="s">
        <v>28</v>
      </c>
      <c r="B435" s="4" t="s">
        <v>35</v>
      </c>
      <c r="C435" s="4" t="s">
        <v>39</v>
      </c>
      <c r="D435" s="4" t="s">
        <v>34</v>
      </c>
      <c r="E435" s="4" t="s">
        <v>25</v>
      </c>
      <c r="F435" s="4" t="s">
        <v>25</v>
      </c>
      <c r="G435" s="4" t="s">
        <v>25</v>
      </c>
      <c r="H435" s="4" t="s">
        <v>25</v>
      </c>
      <c r="I435" s="5">
        <v>44621</v>
      </c>
      <c r="J435" s="6">
        <v>2847</v>
      </c>
      <c r="K435" s="6">
        <v>2847</v>
      </c>
      <c r="L435" s="6">
        <v>0</v>
      </c>
      <c r="M435" s="6">
        <v>0</v>
      </c>
      <c r="N435" s="6">
        <v>0</v>
      </c>
      <c r="O435" s="6">
        <v>0</v>
      </c>
      <c r="P435" s="6">
        <v>9</v>
      </c>
      <c r="Q435" s="4" t="s">
        <v>26</v>
      </c>
      <c r="R435" s="4">
        <v>0</v>
      </c>
      <c r="S435" s="6">
        <v>18</v>
      </c>
      <c r="T435" s="6">
        <v>0</v>
      </c>
      <c r="U435" s="6">
        <v>0</v>
      </c>
      <c r="V435" s="6">
        <f>IF(ISERROR(VLOOKUP($S$435,'TAR FIN'!$A$1:$O$93,15,0)),0,VLOOKUP($S$435,'TAR FIN'!$A$1:$O$93,15,0))</f>
        <v>26.17</v>
      </c>
      <c r="W435" s="6">
        <f>IF(ISERROR(VLOOKUP($T$435,'TAR FIN'!$A$1:$O$93,15,0)),0,VLOOKUP($T$435,'TAR FIN'!$A$1:$O$93,15,0))</f>
        <v>0</v>
      </c>
      <c r="X435" s="6">
        <f>IF(ISERROR(VLOOKUP($U$435,'TAR FIN'!$A$1:$O$93,15,0)),0,VLOOKUP($U$435,'TAR FIN'!$A$1:$O$93,15,0))</f>
        <v>0</v>
      </c>
      <c r="Y435" s="6">
        <f ca="1">('TUSD BE'!$AM$14+'TUSD BF'!$AM$14+'TUSD CVA'!$AM$14)*1</f>
        <v>30.453482365333407</v>
      </c>
      <c r="Z435" s="6"/>
      <c r="AA435" s="6"/>
      <c r="AB435" s="6">
        <f>$K$435*$V$435</f>
        <v>74505.990000000005</v>
      </c>
      <c r="AC435" s="6">
        <f>$M$435*$W$435</f>
        <v>0</v>
      </c>
      <c r="AD435" s="6">
        <f>$O$435*$X$435</f>
        <v>0</v>
      </c>
      <c r="AE435" s="6">
        <f ca="1">$K$435*$Y$435</f>
        <v>86701.064294104217</v>
      </c>
      <c r="AF435" s="6">
        <f>$M$435*$Z$435</f>
        <v>0</v>
      </c>
      <c r="AG435" s="6">
        <f>$O$435*$AA$435</f>
        <v>0</v>
      </c>
    </row>
    <row r="436" spans="1:33" ht="11.25" customHeight="1" x14ac:dyDescent="0.25">
      <c r="A436" s="4" t="s">
        <v>21</v>
      </c>
      <c r="B436" s="4" t="s">
        <v>35</v>
      </c>
      <c r="C436" s="4" t="s">
        <v>39</v>
      </c>
      <c r="D436" s="4" t="s">
        <v>34</v>
      </c>
      <c r="E436" s="4" t="s">
        <v>25</v>
      </c>
      <c r="F436" s="4" t="s">
        <v>25</v>
      </c>
      <c r="G436" s="4" t="s">
        <v>25</v>
      </c>
      <c r="H436" s="4" t="s">
        <v>25</v>
      </c>
      <c r="I436" s="5">
        <v>44652</v>
      </c>
      <c r="J436" s="6">
        <v>18919</v>
      </c>
      <c r="K436" s="6">
        <v>18919</v>
      </c>
      <c r="L436" s="6">
        <v>0</v>
      </c>
      <c r="M436" s="6">
        <v>0</v>
      </c>
      <c r="N436" s="6">
        <v>0</v>
      </c>
      <c r="O436" s="6">
        <v>0</v>
      </c>
      <c r="P436" s="6">
        <v>74</v>
      </c>
      <c r="Q436" s="4" t="s">
        <v>26</v>
      </c>
      <c r="R436" s="4">
        <v>0</v>
      </c>
      <c r="S436" s="6">
        <v>18</v>
      </c>
      <c r="T436" s="6">
        <v>0</v>
      </c>
      <c r="U436" s="6">
        <v>0</v>
      </c>
      <c r="V436" s="6">
        <f>IF(ISERROR(VLOOKUP($S$436,'TAR FIN'!$A$1:$O$93,15,0)),0,VLOOKUP($S$436,'TAR FIN'!$A$1:$O$93,15,0))</f>
        <v>26.17</v>
      </c>
      <c r="W436" s="6">
        <f>IF(ISERROR(VLOOKUP($T$436,'TAR FIN'!$A$1:$O$93,15,0)),0,VLOOKUP($T$436,'TAR FIN'!$A$1:$O$93,15,0))</f>
        <v>0</v>
      </c>
      <c r="X436" s="6">
        <f>IF(ISERROR(VLOOKUP($U$436,'TAR FIN'!$A$1:$O$93,15,0)),0,VLOOKUP($U$436,'TAR FIN'!$A$1:$O$93,15,0))</f>
        <v>0</v>
      </c>
      <c r="Y436" s="6">
        <f ca="1">('TUSD BE'!$AM$14+'TUSD BF'!$AM$14+'TUSD CVA'!$AM$14)*1</f>
        <v>30.453482365333407</v>
      </c>
      <c r="Z436" s="6"/>
      <c r="AA436" s="6"/>
      <c r="AB436" s="6">
        <f>$K$436*$V$436</f>
        <v>495110.23000000004</v>
      </c>
      <c r="AC436" s="6">
        <f>$M$436*$W$436</f>
        <v>0</v>
      </c>
      <c r="AD436" s="6">
        <f>$O$436*$X$436</f>
        <v>0</v>
      </c>
      <c r="AE436" s="6">
        <f ca="1">$K$436*$Y$436</f>
        <v>576149.43286974274</v>
      </c>
      <c r="AF436" s="6">
        <f>$M$436*$Z$436</f>
        <v>0</v>
      </c>
      <c r="AG436" s="6">
        <f>$O$436*$AA$436</f>
        <v>0</v>
      </c>
    </row>
    <row r="437" spans="1:33" ht="11.25" customHeight="1" x14ac:dyDescent="0.25">
      <c r="A437" s="4" t="s">
        <v>27</v>
      </c>
      <c r="B437" s="4" t="s">
        <v>35</v>
      </c>
      <c r="C437" s="4" t="s">
        <v>39</v>
      </c>
      <c r="D437" s="4" t="s">
        <v>34</v>
      </c>
      <c r="E437" s="4" t="s">
        <v>25</v>
      </c>
      <c r="F437" s="4" t="s">
        <v>25</v>
      </c>
      <c r="G437" s="4" t="s">
        <v>25</v>
      </c>
      <c r="H437" s="4" t="s">
        <v>25</v>
      </c>
      <c r="I437" s="5">
        <v>44652</v>
      </c>
      <c r="J437" s="6">
        <v>-369</v>
      </c>
      <c r="K437" s="6">
        <v>-369</v>
      </c>
      <c r="L437" s="6">
        <v>0</v>
      </c>
      <c r="M437" s="6">
        <v>0</v>
      </c>
      <c r="N437" s="6">
        <v>0</v>
      </c>
      <c r="O437" s="6">
        <v>0</v>
      </c>
      <c r="P437" s="6">
        <v>-1</v>
      </c>
      <c r="Q437" s="4" t="s">
        <v>26</v>
      </c>
      <c r="R437" s="4">
        <v>0</v>
      </c>
      <c r="S437" s="6">
        <v>18</v>
      </c>
      <c r="T437" s="6">
        <v>0</v>
      </c>
      <c r="U437" s="6">
        <v>0</v>
      </c>
      <c r="V437" s="6">
        <f>IF(ISERROR(VLOOKUP($S$437,'TAR FIN'!$A$1:$O$93,15,0)),0,VLOOKUP($S$437,'TAR FIN'!$A$1:$O$93,15,0))</f>
        <v>26.17</v>
      </c>
      <c r="W437" s="6">
        <f>IF(ISERROR(VLOOKUP($T$437,'TAR FIN'!$A$1:$O$93,15,0)),0,VLOOKUP($T$437,'TAR FIN'!$A$1:$O$93,15,0))</f>
        <v>0</v>
      </c>
      <c r="X437" s="6">
        <f>IF(ISERROR(VLOOKUP($U$437,'TAR FIN'!$A$1:$O$93,15,0)),0,VLOOKUP($U$437,'TAR FIN'!$A$1:$O$93,15,0))</f>
        <v>0</v>
      </c>
      <c r="Y437" s="6">
        <f ca="1">('TUSD BE'!$AM$14+'TUSD BF'!$AM$14+'TUSD CVA'!$AM$14)*1</f>
        <v>30.453482365333407</v>
      </c>
      <c r="Z437" s="6"/>
      <c r="AA437" s="6"/>
      <c r="AB437" s="6">
        <f>$K$437*$V$437</f>
        <v>-9656.7300000000014</v>
      </c>
      <c r="AC437" s="6">
        <f>$M$437*$W$437</f>
        <v>0</v>
      </c>
      <c r="AD437" s="6">
        <f>$O$437*$X$437</f>
        <v>0</v>
      </c>
      <c r="AE437" s="6">
        <f ca="1">$K$437*$Y$437</f>
        <v>-11237.334992808028</v>
      </c>
      <c r="AF437" s="6">
        <f>$M$437*$Z$437</f>
        <v>0</v>
      </c>
      <c r="AG437" s="6">
        <f>$O$437*$AA$437</f>
        <v>0</v>
      </c>
    </row>
    <row r="438" spans="1:33" ht="11.25" customHeight="1" x14ac:dyDescent="0.25">
      <c r="A438" s="4" t="s">
        <v>28</v>
      </c>
      <c r="B438" s="4" t="s">
        <v>35</v>
      </c>
      <c r="C438" s="4" t="s">
        <v>39</v>
      </c>
      <c r="D438" s="4" t="s">
        <v>34</v>
      </c>
      <c r="E438" s="4" t="s">
        <v>25</v>
      </c>
      <c r="F438" s="4" t="s">
        <v>25</v>
      </c>
      <c r="G438" s="4" t="s">
        <v>25</v>
      </c>
      <c r="H438" s="4" t="s">
        <v>25</v>
      </c>
      <c r="I438" s="5">
        <v>44652</v>
      </c>
      <c r="J438" s="6">
        <v>3005</v>
      </c>
      <c r="K438" s="6">
        <v>3005</v>
      </c>
      <c r="L438" s="6">
        <v>0</v>
      </c>
      <c r="M438" s="6">
        <v>0</v>
      </c>
      <c r="N438" s="6">
        <v>0</v>
      </c>
      <c r="O438" s="6">
        <v>0</v>
      </c>
      <c r="P438" s="6">
        <v>11</v>
      </c>
      <c r="Q438" s="4" t="s">
        <v>26</v>
      </c>
      <c r="R438" s="4">
        <v>0</v>
      </c>
      <c r="S438" s="6">
        <v>18</v>
      </c>
      <c r="T438" s="6">
        <v>0</v>
      </c>
      <c r="U438" s="6">
        <v>0</v>
      </c>
      <c r="V438" s="6">
        <f>IF(ISERROR(VLOOKUP($S$438,'TAR FIN'!$A$1:$O$93,15,0)),0,VLOOKUP($S$438,'TAR FIN'!$A$1:$O$93,15,0))</f>
        <v>26.17</v>
      </c>
      <c r="W438" s="6">
        <f>IF(ISERROR(VLOOKUP($T$438,'TAR FIN'!$A$1:$O$93,15,0)),0,VLOOKUP($T$438,'TAR FIN'!$A$1:$O$93,15,0))</f>
        <v>0</v>
      </c>
      <c r="X438" s="6">
        <f>IF(ISERROR(VLOOKUP($U$438,'TAR FIN'!$A$1:$O$93,15,0)),0,VLOOKUP($U$438,'TAR FIN'!$A$1:$O$93,15,0))</f>
        <v>0</v>
      </c>
      <c r="Y438" s="6">
        <f ca="1">('TUSD BE'!$AM$14+'TUSD BF'!$AM$14+'TUSD CVA'!$AM$14)*1</f>
        <v>30.453482365333407</v>
      </c>
      <c r="Z438" s="6"/>
      <c r="AA438" s="6"/>
      <c r="AB438" s="6">
        <f>$K$438*$V$438</f>
        <v>78640.850000000006</v>
      </c>
      <c r="AC438" s="6">
        <f>$M$438*$W$438</f>
        <v>0</v>
      </c>
      <c r="AD438" s="6">
        <f>$O$438*$X$438</f>
        <v>0</v>
      </c>
      <c r="AE438" s="6">
        <f ca="1">$K$438*$Y$438</f>
        <v>91512.714507826895</v>
      </c>
      <c r="AF438" s="6">
        <f>$M$438*$Z$438</f>
        <v>0</v>
      </c>
      <c r="AG438" s="6">
        <f>$O$438*$AA$438</f>
        <v>0</v>
      </c>
    </row>
    <row r="439" spans="1:33" ht="11.25" customHeight="1" x14ac:dyDescent="0.25">
      <c r="A439" s="4" t="s">
        <v>21</v>
      </c>
      <c r="B439" s="4" t="s">
        <v>35</v>
      </c>
      <c r="C439" s="4" t="s">
        <v>39</v>
      </c>
      <c r="D439" s="4" t="s">
        <v>34</v>
      </c>
      <c r="E439" s="4" t="s">
        <v>25</v>
      </c>
      <c r="F439" s="4" t="s">
        <v>25</v>
      </c>
      <c r="G439" s="4" t="s">
        <v>25</v>
      </c>
      <c r="H439" s="4" t="s">
        <v>25</v>
      </c>
      <c r="I439" s="5">
        <v>44682</v>
      </c>
      <c r="J439" s="6">
        <v>17965</v>
      </c>
      <c r="K439" s="6">
        <v>17965</v>
      </c>
      <c r="L439" s="6">
        <v>0</v>
      </c>
      <c r="M439" s="6">
        <v>0</v>
      </c>
      <c r="N439" s="6">
        <v>0</v>
      </c>
      <c r="O439" s="6">
        <v>0</v>
      </c>
      <c r="P439" s="6">
        <v>72</v>
      </c>
      <c r="Q439" s="4" t="s">
        <v>26</v>
      </c>
      <c r="R439" s="4">
        <v>0</v>
      </c>
      <c r="S439" s="6">
        <v>18</v>
      </c>
      <c r="T439" s="6">
        <v>0</v>
      </c>
      <c r="U439" s="6">
        <v>0</v>
      </c>
      <c r="V439" s="6">
        <f>IF(ISERROR(VLOOKUP($S$439,'TAR FIN'!$A$1:$O$93,15,0)),0,VLOOKUP($S$439,'TAR FIN'!$A$1:$O$93,15,0))</f>
        <v>26.17</v>
      </c>
      <c r="W439" s="6">
        <f>IF(ISERROR(VLOOKUP($T$439,'TAR FIN'!$A$1:$O$93,15,0)),0,VLOOKUP($T$439,'TAR FIN'!$A$1:$O$93,15,0))</f>
        <v>0</v>
      </c>
      <c r="X439" s="6">
        <f>IF(ISERROR(VLOOKUP($U$439,'TAR FIN'!$A$1:$O$93,15,0)),0,VLOOKUP($U$439,'TAR FIN'!$A$1:$O$93,15,0))</f>
        <v>0</v>
      </c>
      <c r="Y439" s="6">
        <f ca="1">('TUSD BE'!$AM$14+'TUSD BF'!$AM$14+'TUSD CVA'!$AM$14)*1</f>
        <v>30.453482365333407</v>
      </c>
      <c r="Z439" s="6"/>
      <c r="AA439" s="6"/>
      <c r="AB439" s="6">
        <f>$K$439*$V$439</f>
        <v>470144.05000000005</v>
      </c>
      <c r="AC439" s="6">
        <f>$M$439*$W$439</f>
        <v>0</v>
      </c>
      <c r="AD439" s="6">
        <f>$O$439*$X$439</f>
        <v>0</v>
      </c>
      <c r="AE439" s="6">
        <f ca="1">$K$439*$Y$439</f>
        <v>547096.81069321465</v>
      </c>
      <c r="AF439" s="6">
        <f>$M$439*$Z$439</f>
        <v>0</v>
      </c>
      <c r="AG439" s="6">
        <f>$O$439*$AA$439</f>
        <v>0</v>
      </c>
    </row>
    <row r="440" spans="1:33" ht="11.25" customHeight="1" x14ac:dyDescent="0.25">
      <c r="A440" s="4" t="s">
        <v>27</v>
      </c>
      <c r="B440" s="4" t="s">
        <v>35</v>
      </c>
      <c r="C440" s="4" t="s">
        <v>39</v>
      </c>
      <c r="D440" s="4" t="s">
        <v>34</v>
      </c>
      <c r="E440" s="4" t="s">
        <v>25</v>
      </c>
      <c r="F440" s="4" t="s">
        <v>25</v>
      </c>
      <c r="G440" s="4" t="s">
        <v>25</v>
      </c>
      <c r="H440" s="4" t="s">
        <v>25</v>
      </c>
      <c r="I440" s="5">
        <v>44682</v>
      </c>
      <c r="J440" s="6">
        <v>-170</v>
      </c>
      <c r="K440" s="6">
        <v>-170</v>
      </c>
      <c r="L440" s="6">
        <v>0</v>
      </c>
      <c r="M440" s="6">
        <v>0</v>
      </c>
      <c r="N440" s="6">
        <v>0</v>
      </c>
      <c r="O440" s="6">
        <v>0</v>
      </c>
      <c r="P440" s="6">
        <v>-1</v>
      </c>
      <c r="Q440" s="4" t="s">
        <v>26</v>
      </c>
      <c r="R440" s="4">
        <v>0</v>
      </c>
      <c r="S440" s="6">
        <v>18</v>
      </c>
      <c r="T440" s="6">
        <v>0</v>
      </c>
      <c r="U440" s="6">
        <v>0</v>
      </c>
      <c r="V440" s="6">
        <f>IF(ISERROR(VLOOKUP($S$440,'TAR FIN'!$A$1:$O$93,15,0)),0,VLOOKUP($S$440,'TAR FIN'!$A$1:$O$93,15,0))</f>
        <v>26.17</v>
      </c>
      <c r="W440" s="6">
        <f>IF(ISERROR(VLOOKUP($T$440,'TAR FIN'!$A$1:$O$93,15,0)),0,VLOOKUP($T$440,'TAR FIN'!$A$1:$O$93,15,0))</f>
        <v>0</v>
      </c>
      <c r="X440" s="6">
        <f>IF(ISERROR(VLOOKUP($U$440,'TAR FIN'!$A$1:$O$93,15,0)),0,VLOOKUP($U$440,'TAR FIN'!$A$1:$O$93,15,0))</f>
        <v>0</v>
      </c>
      <c r="Y440" s="6">
        <f ca="1">('TUSD BE'!$AM$14+'TUSD BF'!$AM$14+'TUSD CVA'!$AM$14)*1</f>
        <v>30.453482365333407</v>
      </c>
      <c r="Z440" s="6"/>
      <c r="AA440" s="6"/>
      <c r="AB440" s="6">
        <f>$K$440*$V$440</f>
        <v>-4448.9000000000005</v>
      </c>
      <c r="AC440" s="6">
        <f>$M$440*$W$440</f>
        <v>0</v>
      </c>
      <c r="AD440" s="6">
        <f>$O$440*$X$440</f>
        <v>0</v>
      </c>
      <c r="AE440" s="6">
        <f ca="1">$K$440*$Y$440</f>
        <v>-5177.0920021066795</v>
      </c>
      <c r="AF440" s="6">
        <f>$M$440*$Z$440</f>
        <v>0</v>
      </c>
      <c r="AG440" s="6">
        <f>$O$440*$AA$440</f>
        <v>0</v>
      </c>
    </row>
    <row r="441" spans="1:33" ht="11.25" customHeight="1" x14ac:dyDescent="0.25">
      <c r="A441" s="4" t="s">
        <v>28</v>
      </c>
      <c r="B441" s="4" t="s">
        <v>35</v>
      </c>
      <c r="C441" s="4" t="s">
        <v>39</v>
      </c>
      <c r="D441" s="4" t="s">
        <v>34</v>
      </c>
      <c r="E441" s="4" t="s">
        <v>25</v>
      </c>
      <c r="F441" s="4" t="s">
        <v>25</v>
      </c>
      <c r="G441" s="4" t="s">
        <v>25</v>
      </c>
      <c r="H441" s="4" t="s">
        <v>25</v>
      </c>
      <c r="I441" s="5">
        <v>44682</v>
      </c>
      <c r="J441" s="6">
        <v>2931</v>
      </c>
      <c r="K441" s="6">
        <v>2931</v>
      </c>
      <c r="L441" s="6">
        <v>0</v>
      </c>
      <c r="M441" s="6">
        <v>0</v>
      </c>
      <c r="N441" s="6">
        <v>0</v>
      </c>
      <c r="O441" s="6">
        <v>0</v>
      </c>
      <c r="P441" s="6">
        <v>10</v>
      </c>
      <c r="Q441" s="4" t="s">
        <v>26</v>
      </c>
      <c r="R441" s="4">
        <v>0</v>
      </c>
      <c r="S441" s="6">
        <v>18</v>
      </c>
      <c r="T441" s="6">
        <v>0</v>
      </c>
      <c r="U441" s="6">
        <v>0</v>
      </c>
      <c r="V441" s="6">
        <f>IF(ISERROR(VLOOKUP($S$441,'TAR FIN'!$A$1:$O$93,15,0)),0,VLOOKUP($S$441,'TAR FIN'!$A$1:$O$93,15,0))</f>
        <v>26.17</v>
      </c>
      <c r="W441" s="6">
        <f>IF(ISERROR(VLOOKUP($T$441,'TAR FIN'!$A$1:$O$93,15,0)),0,VLOOKUP($T$441,'TAR FIN'!$A$1:$O$93,15,0))</f>
        <v>0</v>
      </c>
      <c r="X441" s="6">
        <f>IF(ISERROR(VLOOKUP($U$441,'TAR FIN'!$A$1:$O$93,15,0)),0,VLOOKUP($U$441,'TAR FIN'!$A$1:$O$93,15,0))</f>
        <v>0</v>
      </c>
      <c r="Y441" s="6">
        <f ca="1">('TUSD BE'!$AM$14+'TUSD BF'!$AM$14+'TUSD CVA'!$AM$14)*1</f>
        <v>30.453482365333407</v>
      </c>
      <c r="Z441" s="6"/>
      <c r="AA441" s="6"/>
      <c r="AB441" s="6">
        <f>$K$441*$V$441</f>
        <v>76704.27</v>
      </c>
      <c r="AC441" s="6">
        <f>$M$441*$W$441</f>
        <v>0</v>
      </c>
      <c r="AD441" s="6">
        <f>$O$441*$X$441</f>
        <v>0</v>
      </c>
      <c r="AE441" s="6">
        <f ca="1">$K$441*$Y$441</f>
        <v>89259.156812792222</v>
      </c>
      <c r="AF441" s="6">
        <f>$M$441*$Z$441</f>
        <v>0</v>
      </c>
      <c r="AG441" s="6">
        <f>$O$441*$AA$441</f>
        <v>0</v>
      </c>
    </row>
    <row r="442" spans="1:33" ht="11.25" customHeight="1" x14ac:dyDescent="0.25">
      <c r="A442" s="4" t="s">
        <v>21</v>
      </c>
      <c r="B442" s="4" t="s">
        <v>35</v>
      </c>
      <c r="C442" s="4" t="s">
        <v>39</v>
      </c>
      <c r="D442" s="4" t="s">
        <v>34</v>
      </c>
      <c r="E442" s="4" t="s">
        <v>25</v>
      </c>
      <c r="F442" s="4" t="s">
        <v>25</v>
      </c>
      <c r="G442" s="4" t="s">
        <v>25</v>
      </c>
      <c r="H442" s="4" t="s">
        <v>25</v>
      </c>
      <c r="I442" s="5">
        <v>44713</v>
      </c>
      <c r="J442" s="6">
        <v>17901</v>
      </c>
      <c r="K442" s="6">
        <v>17901</v>
      </c>
      <c r="L442" s="6">
        <v>0</v>
      </c>
      <c r="M442" s="6">
        <v>0</v>
      </c>
      <c r="N442" s="6">
        <v>0</v>
      </c>
      <c r="O442" s="6">
        <v>0</v>
      </c>
      <c r="P442" s="6">
        <v>71</v>
      </c>
      <c r="Q442" s="4" t="s">
        <v>26</v>
      </c>
      <c r="R442" s="4">
        <v>0</v>
      </c>
      <c r="S442" s="6">
        <v>18</v>
      </c>
      <c r="T442" s="6">
        <v>0</v>
      </c>
      <c r="U442" s="6">
        <v>0</v>
      </c>
      <c r="V442" s="6">
        <f>IF(ISERROR(VLOOKUP($S$442,'TAR FIN'!$A$1:$O$93,15,0)),0,VLOOKUP($S$442,'TAR FIN'!$A$1:$O$93,15,0))</f>
        <v>26.17</v>
      </c>
      <c r="W442" s="6">
        <f>IF(ISERROR(VLOOKUP($T$442,'TAR FIN'!$A$1:$O$93,15,0)),0,VLOOKUP($T$442,'TAR FIN'!$A$1:$O$93,15,0))</f>
        <v>0</v>
      </c>
      <c r="X442" s="6">
        <f>IF(ISERROR(VLOOKUP($U$442,'TAR FIN'!$A$1:$O$93,15,0)),0,VLOOKUP($U$442,'TAR FIN'!$A$1:$O$93,15,0))</f>
        <v>0</v>
      </c>
      <c r="Y442" s="6">
        <f ca="1">('TUSD BE'!$AM$14+'TUSD BF'!$AM$14+'TUSD CVA'!$AM$14)*1</f>
        <v>30.453482365333407</v>
      </c>
      <c r="Z442" s="6"/>
      <c r="AA442" s="6"/>
      <c r="AB442" s="6">
        <f>$K$442*$V$442</f>
        <v>468469.17000000004</v>
      </c>
      <c r="AC442" s="6">
        <f>$M$442*$W$442</f>
        <v>0</v>
      </c>
      <c r="AD442" s="6">
        <f>$O$442*$X$442</f>
        <v>0</v>
      </c>
      <c r="AE442" s="6">
        <f ca="1">$K$442*$Y$442</f>
        <v>545147.78782183328</v>
      </c>
      <c r="AF442" s="6">
        <f>$M$442*$Z$442</f>
        <v>0</v>
      </c>
      <c r="AG442" s="6">
        <f>$O$442*$AA$442</f>
        <v>0</v>
      </c>
    </row>
    <row r="443" spans="1:33" ht="11.25" customHeight="1" x14ac:dyDescent="0.25">
      <c r="A443" s="4" t="s">
        <v>28</v>
      </c>
      <c r="B443" s="4" t="s">
        <v>35</v>
      </c>
      <c r="C443" s="4" t="s">
        <v>39</v>
      </c>
      <c r="D443" s="4" t="s">
        <v>34</v>
      </c>
      <c r="E443" s="4" t="s">
        <v>25</v>
      </c>
      <c r="F443" s="4" t="s">
        <v>25</v>
      </c>
      <c r="G443" s="4" t="s">
        <v>25</v>
      </c>
      <c r="H443" s="4" t="s">
        <v>25</v>
      </c>
      <c r="I443" s="5">
        <v>44713</v>
      </c>
      <c r="J443" s="6">
        <v>2960</v>
      </c>
      <c r="K443" s="6">
        <v>2960</v>
      </c>
      <c r="L443" s="6">
        <v>0</v>
      </c>
      <c r="M443" s="6">
        <v>0</v>
      </c>
      <c r="N443" s="6">
        <v>0</v>
      </c>
      <c r="O443" s="6">
        <v>0</v>
      </c>
      <c r="P443" s="6">
        <v>10</v>
      </c>
      <c r="Q443" s="4" t="s">
        <v>26</v>
      </c>
      <c r="R443" s="4">
        <v>0</v>
      </c>
      <c r="S443" s="6">
        <v>18</v>
      </c>
      <c r="T443" s="6">
        <v>0</v>
      </c>
      <c r="U443" s="6">
        <v>0</v>
      </c>
      <c r="V443" s="6">
        <f>IF(ISERROR(VLOOKUP($S$443,'TAR FIN'!$A$1:$O$93,15,0)),0,VLOOKUP($S$443,'TAR FIN'!$A$1:$O$93,15,0))</f>
        <v>26.17</v>
      </c>
      <c r="W443" s="6">
        <f>IF(ISERROR(VLOOKUP($T$443,'TAR FIN'!$A$1:$O$93,15,0)),0,VLOOKUP($T$443,'TAR FIN'!$A$1:$O$93,15,0))</f>
        <v>0</v>
      </c>
      <c r="X443" s="6">
        <f>IF(ISERROR(VLOOKUP($U$443,'TAR FIN'!$A$1:$O$93,15,0)),0,VLOOKUP($U$443,'TAR FIN'!$A$1:$O$93,15,0))</f>
        <v>0</v>
      </c>
      <c r="Y443" s="6">
        <f ca="1">('TUSD BE'!$AM$14+'TUSD BF'!$AM$14+'TUSD CVA'!$AM$14)*1</f>
        <v>30.453482365333407</v>
      </c>
      <c r="Z443" s="6"/>
      <c r="AA443" s="6"/>
      <c r="AB443" s="6">
        <f>$K$443*$V$443</f>
        <v>77463.200000000012</v>
      </c>
      <c r="AC443" s="6">
        <f>$M$443*$W$443</f>
        <v>0</v>
      </c>
      <c r="AD443" s="6">
        <f>$O$443*$X$443</f>
        <v>0</v>
      </c>
      <c r="AE443" s="6">
        <f ca="1">$K$443*$Y$443</f>
        <v>90142.30780138688</v>
      </c>
      <c r="AF443" s="6">
        <f>$M$443*$Z$443</f>
        <v>0</v>
      </c>
      <c r="AG443" s="6">
        <f>$O$443*$AA$443</f>
        <v>0</v>
      </c>
    </row>
    <row r="444" spans="1:33" ht="11.25" customHeight="1" x14ac:dyDescent="0.25">
      <c r="A444" s="4" t="s">
        <v>21</v>
      </c>
      <c r="B444" s="4" t="s">
        <v>35</v>
      </c>
      <c r="C444" s="4" t="s">
        <v>39</v>
      </c>
      <c r="D444" s="4" t="s">
        <v>34</v>
      </c>
      <c r="E444" s="4" t="s">
        <v>25</v>
      </c>
      <c r="F444" s="4" t="s">
        <v>25</v>
      </c>
      <c r="G444" s="4" t="s">
        <v>25</v>
      </c>
      <c r="H444" s="4" t="s">
        <v>37</v>
      </c>
      <c r="I444" s="5">
        <v>44378</v>
      </c>
      <c r="J444" s="6">
        <v>0</v>
      </c>
      <c r="K444" s="6">
        <v>0</v>
      </c>
      <c r="L444" s="6">
        <v>448.46199999999999</v>
      </c>
      <c r="M444" s="6">
        <v>448.46199999999999</v>
      </c>
      <c r="N444" s="6">
        <v>448.46199999999999</v>
      </c>
      <c r="O444" s="6">
        <v>448.46199999999999</v>
      </c>
      <c r="P444" s="6">
        <v>0</v>
      </c>
      <c r="Q444" s="4" t="s">
        <v>26</v>
      </c>
      <c r="R444" s="4">
        <v>0</v>
      </c>
      <c r="S444" s="6">
        <v>0</v>
      </c>
      <c r="T444" s="6">
        <v>12</v>
      </c>
      <c r="U444" s="6">
        <v>66</v>
      </c>
      <c r="V444" s="6">
        <f>IF(ISERROR(VLOOKUP($S$444,'TAR FIN'!$A$1:$O$93,15,0)),0,VLOOKUP($S$444,'TAR FIN'!$A$1:$O$93,15,0))</f>
        <v>0</v>
      </c>
      <c r="W444" s="6">
        <f>IF(ISERROR(VLOOKUP($T$444,'TAR FIN'!$A$1:$O$93,15,0)),0,VLOOKUP($T$444,'TAR FIN'!$A$1:$O$93,15,0))</f>
        <v>1124.7</v>
      </c>
      <c r="X444" s="6">
        <f>IF(ISERROR(VLOOKUP($U$444,'TAR FIN'!$A$1:$O$93,15,0)),0,VLOOKUP($U$444,'TAR FIN'!$A$1:$O$93,15,0))</f>
        <v>185.18</v>
      </c>
      <c r="Y444" s="6"/>
      <c r="Z444" s="6">
        <f ca="1">('TUSD BE'!$AM$15+'TUSD BF'!$AM$15+'TUSD CVA'!$AM$15)*1</f>
        <v>1302.3659842076513</v>
      </c>
      <c r="AA444" s="6">
        <f>('TE BE'!$AB$7+'TE BF'!$AB$7+'TE CVA'!$AB$7)*1</f>
        <v>198.18194779658231</v>
      </c>
      <c r="AB444" s="6">
        <f>$K$444*$V$444</f>
        <v>0</v>
      </c>
      <c r="AC444" s="6">
        <f>$M$444*$W$444</f>
        <v>504385.21140000003</v>
      </c>
      <c r="AD444" s="6">
        <f>$O$444*$X$444</f>
        <v>83046.193159999995</v>
      </c>
      <c r="AE444" s="6">
        <f>$K$444*$Y$444</f>
        <v>0</v>
      </c>
      <c r="AF444" s="6">
        <f ca="1">$M$444*$Z$444</f>
        <v>584061.65400973172</v>
      </c>
      <c r="AG444" s="6">
        <f>$O$444*$AA$444</f>
        <v>88877.072672750888</v>
      </c>
    </row>
    <row r="445" spans="1:33" ht="11.25" customHeight="1" x14ac:dyDescent="0.25">
      <c r="A445" s="4" t="s">
        <v>27</v>
      </c>
      <c r="B445" s="4" t="s">
        <v>35</v>
      </c>
      <c r="C445" s="4" t="s">
        <v>39</v>
      </c>
      <c r="D445" s="4" t="s">
        <v>34</v>
      </c>
      <c r="E445" s="4" t="s">
        <v>25</v>
      </c>
      <c r="F445" s="4" t="s">
        <v>25</v>
      </c>
      <c r="G445" s="4" t="s">
        <v>25</v>
      </c>
      <c r="H445" s="4" t="s">
        <v>37</v>
      </c>
      <c r="I445" s="5">
        <v>44378</v>
      </c>
      <c r="J445" s="6">
        <v>0</v>
      </c>
      <c r="K445" s="6">
        <v>0</v>
      </c>
      <c r="L445" s="6">
        <v>-18.57</v>
      </c>
      <c r="M445" s="6">
        <v>-18.57</v>
      </c>
      <c r="N445" s="6">
        <v>-18.57</v>
      </c>
      <c r="O445" s="6">
        <v>-18.57</v>
      </c>
      <c r="P445" s="6">
        <v>0</v>
      </c>
      <c r="Q445" s="4" t="s">
        <v>26</v>
      </c>
      <c r="R445" s="4">
        <v>0</v>
      </c>
      <c r="S445" s="6">
        <v>0</v>
      </c>
      <c r="T445" s="6">
        <v>12</v>
      </c>
      <c r="U445" s="6">
        <v>66</v>
      </c>
      <c r="V445" s="6">
        <f>IF(ISERROR(VLOOKUP($S$445,'TAR FIN'!$A$1:$O$93,15,0)),0,VLOOKUP($S$445,'TAR FIN'!$A$1:$O$93,15,0))</f>
        <v>0</v>
      </c>
      <c r="W445" s="6">
        <f>IF(ISERROR(VLOOKUP($T$445,'TAR FIN'!$A$1:$O$93,15,0)),0,VLOOKUP($T$445,'TAR FIN'!$A$1:$O$93,15,0))</f>
        <v>1124.7</v>
      </c>
      <c r="X445" s="6">
        <f>IF(ISERROR(VLOOKUP($U$445,'TAR FIN'!$A$1:$O$93,15,0)),0,VLOOKUP($U$445,'TAR FIN'!$A$1:$O$93,15,0))</f>
        <v>185.18</v>
      </c>
      <c r="Y445" s="6"/>
      <c r="Z445" s="6">
        <f ca="1">('TUSD BE'!$AM$15+'TUSD BF'!$AM$15+'TUSD CVA'!$AM$15)*1</f>
        <v>1302.3659842076513</v>
      </c>
      <c r="AA445" s="6">
        <f>('TE BE'!$AB$7+'TE BF'!$AB$7+'TE CVA'!$AB$7)*1</f>
        <v>198.18194779658231</v>
      </c>
      <c r="AB445" s="6">
        <f>$K$445*$V$445</f>
        <v>0</v>
      </c>
      <c r="AC445" s="6">
        <f>$M$445*$W$445</f>
        <v>-20885.679</v>
      </c>
      <c r="AD445" s="6">
        <f>$O$445*$X$445</f>
        <v>-3438.7926000000002</v>
      </c>
      <c r="AE445" s="6">
        <f>$K$445*$Y$445</f>
        <v>0</v>
      </c>
      <c r="AF445" s="6">
        <f ca="1">$M$445*$Z$445</f>
        <v>-24184.936326736086</v>
      </c>
      <c r="AG445" s="6">
        <f>$O$445*$AA$445</f>
        <v>-3680.2387705825336</v>
      </c>
    </row>
    <row r="446" spans="1:33" ht="11.25" customHeight="1" x14ac:dyDescent="0.25">
      <c r="A446" s="4" t="s">
        <v>28</v>
      </c>
      <c r="B446" s="4" t="s">
        <v>35</v>
      </c>
      <c r="C446" s="4" t="s">
        <v>39</v>
      </c>
      <c r="D446" s="4" t="s">
        <v>34</v>
      </c>
      <c r="E446" s="4" t="s">
        <v>25</v>
      </c>
      <c r="F446" s="4" t="s">
        <v>25</v>
      </c>
      <c r="G446" s="4" t="s">
        <v>25</v>
      </c>
      <c r="H446" s="4" t="s">
        <v>37</v>
      </c>
      <c r="I446" s="5">
        <v>44378</v>
      </c>
      <c r="J446" s="6">
        <v>0</v>
      </c>
      <c r="K446" s="6">
        <v>0</v>
      </c>
      <c r="L446" s="6">
        <v>11.151999999999999</v>
      </c>
      <c r="M446" s="6">
        <v>11.151999999999999</v>
      </c>
      <c r="N446" s="6">
        <v>11.151999999999999</v>
      </c>
      <c r="O446" s="6">
        <v>11.151999999999999</v>
      </c>
      <c r="P446" s="6">
        <v>0</v>
      </c>
      <c r="Q446" s="4" t="s">
        <v>26</v>
      </c>
      <c r="R446" s="4">
        <v>0</v>
      </c>
      <c r="S446" s="6">
        <v>0</v>
      </c>
      <c r="T446" s="6">
        <v>12</v>
      </c>
      <c r="U446" s="6">
        <v>66</v>
      </c>
      <c r="V446" s="6">
        <f>IF(ISERROR(VLOOKUP($S$446,'TAR FIN'!$A$1:$O$93,15,0)),0,VLOOKUP($S$446,'TAR FIN'!$A$1:$O$93,15,0))</f>
        <v>0</v>
      </c>
      <c r="W446" s="6">
        <f>IF(ISERROR(VLOOKUP($T$446,'TAR FIN'!$A$1:$O$93,15,0)),0,VLOOKUP($T$446,'TAR FIN'!$A$1:$O$93,15,0))</f>
        <v>1124.7</v>
      </c>
      <c r="X446" s="6">
        <f>IF(ISERROR(VLOOKUP($U$446,'TAR FIN'!$A$1:$O$93,15,0)),0,VLOOKUP($U$446,'TAR FIN'!$A$1:$O$93,15,0))</f>
        <v>185.18</v>
      </c>
      <c r="Y446" s="6"/>
      <c r="Z446" s="6">
        <f ca="1">('TUSD BE'!$AM$15+'TUSD BF'!$AM$15+'TUSD CVA'!$AM$15)*1</f>
        <v>1302.3659842076513</v>
      </c>
      <c r="AA446" s="6">
        <f>('TE BE'!$AB$7+'TE BF'!$AB$7+'TE CVA'!$AB$7)*1</f>
        <v>198.18194779658231</v>
      </c>
      <c r="AB446" s="6">
        <f>$K$446*$V$446</f>
        <v>0</v>
      </c>
      <c r="AC446" s="6">
        <f>$M$446*$W$446</f>
        <v>12542.654399999999</v>
      </c>
      <c r="AD446" s="6">
        <f>$O$446*$X$446</f>
        <v>2065.12736</v>
      </c>
      <c r="AE446" s="6">
        <f>$K$446*$Y$446</f>
        <v>0</v>
      </c>
      <c r="AF446" s="6">
        <f ca="1">$M$446*$Z$446</f>
        <v>14523.985455883727</v>
      </c>
      <c r="AG446" s="6">
        <f>$O$446*$AA$446</f>
        <v>2210.1250818274857</v>
      </c>
    </row>
    <row r="447" spans="1:33" ht="11.25" customHeight="1" x14ac:dyDescent="0.25">
      <c r="A447" s="4" t="s">
        <v>21</v>
      </c>
      <c r="B447" s="4" t="s">
        <v>35</v>
      </c>
      <c r="C447" s="4" t="s">
        <v>39</v>
      </c>
      <c r="D447" s="4" t="s">
        <v>34</v>
      </c>
      <c r="E447" s="4" t="s">
        <v>25</v>
      </c>
      <c r="F447" s="4" t="s">
        <v>25</v>
      </c>
      <c r="G447" s="4" t="s">
        <v>25</v>
      </c>
      <c r="H447" s="4" t="s">
        <v>37</v>
      </c>
      <c r="I447" s="5">
        <v>44409</v>
      </c>
      <c r="J447" s="6">
        <v>0</v>
      </c>
      <c r="K447" s="6">
        <v>0</v>
      </c>
      <c r="L447" s="6">
        <v>409.77499999999998</v>
      </c>
      <c r="M447" s="6">
        <v>409.77499999999998</v>
      </c>
      <c r="N447" s="6">
        <v>409.77499999999998</v>
      </c>
      <c r="O447" s="6">
        <v>409.77499999999998</v>
      </c>
      <c r="P447" s="6">
        <v>0</v>
      </c>
      <c r="Q447" s="4" t="s">
        <v>26</v>
      </c>
      <c r="R447" s="4">
        <v>0</v>
      </c>
      <c r="S447" s="6">
        <v>0</v>
      </c>
      <c r="T447" s="6">
        <v>12</v>
      </c>
      <c r="U447" s="6">
        <v>66</v>
      </c>
      <c r="V447" s="6">
        <f>IF(ISERROR(VLOOKUP($S$447,'TAR FIN'!$A$1:$O$93,15,0)),0,VLOOKUP($S$447,'TAR FIN'!$A$1:$O$93,15,0))</f>
        <v>0</v>
      </c>
      <c r="W447" s="6">
        <f>IF(ISERROR(VLOOKUP($T$447,'TAR FIN'!$A$1:$O$93,15,0)),0,VLOOKUP($T$447,'TAR FIN'!$A$1:$O$93,15,0))</f>
        <v>1124.7</v>
      </c>
      <c r="X447" s="6">
        <f>IF(ISERROR(VLOOKUP($U$447,'TAR FIN'!$A$1:$O$93,15,0)),0,VLOOKUP($U$447,'TAR FIN'!$A$1:$O$93,15,0))</f>
        <v>185.18</v>
      </c>
      <c r="Y447" s="6"/>
      <c r="Z447" s="6">
        <f ca="1">('TUSD BE'!$AM$15+'TUSD BF'!$AM$15+'TUSD CVA'!$AM$15)*1</f>
        <v>1302.3659842076513</v>
      </c>
      <c r="AA447" s="6">
        <f>('TE BE'!$AB$7+'TE BF'!$AB$7+'TE CVA'!$AB$7)*1</f>
        <v>198.18194779658231</v>
      </c>
      <c r="AB447" s="6">
        <f>$K$447*$V$447</f>
        <v>0</v>
      </c>
      <c r="AC447" s="6">
        <f>$M$447*$W$447</f>
        <v>460873.9425</v>
      </c>
      <c r="AD447" s="6">
        <f>$O$447*$X$447</f>
        <v>75882.1345</v>
      </c>
      <c r="AE447" s="6">
        <f>$K$447*$Y$447</f>
        <v>0</v>
      </c>
      <c r="AF447" s="6">
        <f ca="1">$M$447*$Z$447</f>
        <v>533677.02117869025</v>
      </c>
      <c r="AG447" s="6">
        <f>$O$447*$AA$447</f>
        <v>81210.007658344504</v>
      </c>
    </row>
    <row r="448" spans="1:33" ht="11.25" customHeight="1" x14ac:dyDescent="0.25">
      <c r="A448" s="4" t="s">
        <v>28</v>
      </c>
      <c r="B448" s="4" t="s">
        <v>35</v>
      </c>
      <c r="C448" s="4" t="s">
        <v>39</v>
      </c>
      <c r="D448" s="4" t="s">
        <v>34</v>
      </c>
      <c r="E448" s="4" t="s">
        <v>25</v>
      </c>
      <c r="F448" s="4" t="s">
        <v>25</v>
      </c>
      <c r="G448" s="4" t="s">
        <v>25</v>
      </c>
      <c r="H448" s="4" t="s">
        <v>37</v>
      </c>
      <c r="I448" s="5">
        <v>44409</v>
      </c>
      <c r="J448" s="6">
        <v>0</v>
      </c>
      <c r="K448" s="6">
        <v>0</v>
      </c>
      <c r="L448" s="6">
        <v>16.042999999999999</v>
      </c>
      <c r="M448" s="6">
        <v>16.042999999999999</v>
      </c>
      <c r="N448" s="6">
        <v>16.042999999999999</v>
      </c>
      <c r="O448" s="6">
        <v>16.042999999999999</v>
      </c>
      <c r="P448" s="6">
        <v>0</v>
      </c>
      <c r="Q448" s="4" t="s">
        <v>26</v>
      </c>
      <c r="R448" s="4">
        <v>0</v>
      </c>
      <c r="S448" s="6">
        <v>0</v>
      </c>
      <c r="T448" s="6">
        <v>12</v>
      </c>
      <c r="U448" s="6">
        <v>66</v>
      </c>
      <c r="V448" s="6">
        <f>IF(ISERROR(VLOOKUP($S$448,'TAR FIN'!$A$1:$O$93,15,0)),0,VLOOKUP($S$448,'TAR FIN'!$A$1:$O$93,15,0))</f>
        <v>0</v>
      </c>
      <c r="W448" s="6">
        <f>IF(ISERROR(VLOOKUP($T$448,'TAR FIN'!$A$1:$O$93,15,0)),0,VLOOKUP($T$448,'TAR FIN'!$A$1:$O$93,15,0))</f>
        <v>1124.7</v>
      </c>
      <c r="X448" s="6">
        <f>IF(ISERROR(VLOOKUP($U$448,'TAR FIN'!$A$1:$O$93,15,0)),0,VLOOKUP($U$448,'TAR FIN'!$A$1:$O$93,15,0))</f>
        <v>185.18</v>
      </c>
      <c r="Y448" s="6"/>
      <c r="Z448" s="6">
        <f ca="1">('TUSD BE'!$AM$15+'TUSD BF'!$AM$15+'TUSD CVA'!$AM$15)*1</f>
        <v>1302.3659842076513</v>
      </c>
      <c r="AA448" s="6">
        <f>('TE BE'!$AB$7+'TE BF'!$AB$7+'TE CVA'!$AB$7)*1</f>
        <v>198.18194779658231</v>
      </c>
      <c r="AB448" s="6">
        <f>$K$448*$V$448</f>
        <v>0</v>
      </c>
      <c r="AC448" s="6">
        <f>$M$448*$W$448</f>
        <v>18043.562099999999</v>
      </c>
      <c r="AD448" s="6">
        <f>$O$448*$X$448</f>
        <v>2970.84274</v>
      </c>
      <c r="AE448" s="6">
        <f>$K$448*$Y$448</f>
        <v>0</v>
      </c>
      <c r="AF448" s="6">
        <f ca="1">$M$448*$Z$448</f>
        <v>20893.857484643348</v>
      </c>
      <c r="AG448" s="6">
        <f>$O$448*$AA$448</f>
        <v>3179.43298850057</v>
      </c>
    </row>
    <row r="449" spans="1:33" ht="11.25" customHeight="1" x14ac:dyDescent="0.25">
      <c r="A449" s="4" t="s">
        <v>21</v>
      </c>
      <c r="B449" s="4" t="s">
        <v>35</v>
      </c>
      <c r="C449" s="4" t="s">
        <v>39</v>
      </c>
      <c r="D449" s="4" t="s">
        <v>34</v>
      </c>
      <c r="E449" s="4" t="s">
        <v>25</v>
      </c>
      <c r="F449" s="4" t="s">
        <v>25</v>
      </c>
      <c r="G449" s="4" t="s">
        <v>25</v>
      </c>
      <c r="H449" s="4" t="s">
        <v>37</v>
      </c>
      <c r="I449" s="5">
        <v>44440</v>
      </c>
      <c r="J449" s="6">
        <v>0</v>
      </c>
      <c r="K449" s="6">
        <v>0</v>
      </c>
      <c r="L449" s="6">
        <v>396.44200000000001</v>
      </c>
      <c r="M449" s="6">
        <v>396.44200000000001</v>
      </c>
      <c r="N449" s="6">
        <v>396.44200000000001</v>
      </c>
      <c r="O449" s="6">
        <v>396.44200000000001</v>
      </c>
      <c r="P449" s="6">
        <v>0</v>
      </c>
      <c r="Q449" s="4" t="s">
        <v>26</v>
      </c>
      <c r="R449" s="4">
        <v>0</v>
      </c>
      <c r="S449" s="6">
        <v>0</v>
      </c>
      <c r="T449" s="6">
        <v>12</v>
      </c>
      <c r="U449" s="6">
        <v>66</v>
      </c>
      <c r="V449" s="6">
        <f>IF(ISERROR(VLOOKUP($S$449,'TAR FIN'!$A$1:$O$93,15,0)),0,VLOOKUP($S$449,'TAR FIN'!$A$1:$O$93,15,0))</f>
        <v>0</v>
      </c>
      <c r="W449" s="6">
        <f>IF(ISERROR(VLOOKUP($T$449,'TAR FIN'!$A$1:$O$93,15,0)),0,VLOOKUP($T$449,'TAR FIN'!$A$1:$O$93,15,0))</f>
        <v>1124.7</v>
      </c>
      <c r="X449" s="6">
        <f>IF(ISERROR(VLOOKUP($U$449,'TAR FIN'!$A$1:$O$93,15,0)),0,VLOOKUP($U$449,'TAR FIN'!$A$1:$O$93,15,0))</f>
        <v>185.18</v>
      </c>
      <c r="Y449" s="6"/>
      <c r="Z449" s="6">
        <f ca="1">('TUSD BE'!$AM$15+'TUSD BF'!$AM$15+'TUSD CVA'!$AM$15)*1</f>
        <v>1302.3659842076513</v>
      </c>
      <c r="AA449" s="6">
        <f>('TE BE'!$AB$7+'TE BF'!$AB$7+'TE CVA'!$AB$7)*1</f>
        <v>198.18194779658231</v>
      </c>
      <c r="AB449" s="6">
        <f>$K$449*$V$449</f>
        <v>0</v>
      </c>
      <c r="AC449" s="6">
        <f>$M$449*$W$449</f>
        <v>445878.3174</v>
      </c>
      <c r="AD449" s="6">
        <f>$O$449*$X$449</f>
        <v>73413.129560000001</v>
      </c>
      <c r="AE449" s="6">
        <f>$K$449*$Y$449</f>
        <v>0</v>
      </c>
      <c r="AF449" s="6">
        <f ca="1">$M$449*$Z$449</f>
        <v>516312.57551124971</v>
      </c>
      <c r="AG449" s="6">
        <f>$O$449*$AA$449</f>
        <v>78567.647748372678</v>
      </c>
    </row>
    <row r="450" spans="1:33" ht="11.25" customHeight="1" x14ac:dyDescent="0.25">
      <c r="A450" s="4" t="s">
        <v>28</v>
      </c>
      <c r="B450" s="4" t="s">
        <v>35</v>
      </c>
      <c r="C450" s="4" t="s">
        <v>39</v>
      </c>
      <c r="D450" s="4" t="s">
        <v>34</v>
      </c>
      <c r="E450" s="4" t="s">
        <v>25</v>
      </c>
      <c r="F450" s="4" t="s">
        <v>25</v>
      </c>
      <c r="G450" s="4" t="s">
        <v>25</v>
      </c>
      <c r="H450" s="4" t="s">
        <v>37</v>
      </c>
      <c r="I450" s="5">
        <v>44440</v>
      </c>
      <c r="J450" s="6">
        <v>0</v>
      </c>
      <c r="K450" s="6">
        <v>0</v>
      </c>
      <c r="L450" s="6">
        <v>13.768000000000001</v>
      </c>
      <c r="M450" s="6">
        <v>13.768000000000001</v>
      </c>
      <c r="N450" s="6">
        <v>13.768000000000001</v>
      </c>
      <c r="O450" s="6">
        <v>13.768000000000001</v>
      </c>
      <c r="P450" s="6">
        <v>0</v>
      </c>
      <c r="Q450" s="4" t="s">
        <v>26</v>
      </c>
      <c r="R450" s="4">
        <v>0</v>
      </c>
      <c r="S450" s="6">
        <v>0</v>
      </c>
      <c r="T450" s="6">
        <v>12</v>
      </c>
      <c r="U450" s="6">
        <v>66</v>
      </c>
      <c r="V450" s="6">
        <f>IF(ISERROR(VLOOKUP($S$450,'TAR FIN'!$A$1:$O$93,15,0)),0,VLOOKUP($S$450,'TAR FIN'!$A$1:$O$93,15,0))</f>
        <v>0</v>
      </c>
      <c r="W450" s="6">
        <f>IF(ISERROR(VLOOKUP($T$450,'TAR FIN'!$A$1:$O$93,15,0)),0,VLOOKUP($T$450,'TAR FIN'!$A$1:$O$93,15,0))</f>
        <v>1124.7</v>
      </c>
      <c r="X450" s="6">
        <f>IF(ISERROR(VLOOKUP($U$450,'TAR FIN'!$A$1:$O$93,15,0)),0,VLOOKUP($U$450,'TAR FIN'!$A$1:$O$93,15,0))</f>
        <v>185.18</v>
      </c>
      <c r="Y450" s="6"/>
      <c r="Z450" s="6">
        <f ca="1">('TUSD BE'!$AM$15+'TUSD BF'!$AM$15+'TUSD CVA'!$AM$15)*1</f>
        <v>1302.3659842076513</v>
      </c>
      <c r="AA450" s="6">
        <f>('TE BE'!$AB$7+'TE BF'!$AB$7+'TE CVA'!$AB$7)*1</f>
        <v>198.18194779658231</v>
      </c>
      <c r="AB450" s="6">
        <f>$K$450*$V$450</f>
        <v>0</v>
      </c>
      <c r="AC450" s="6">
        <f>$M$450*$W$450</f>
        <v>15484.869600000002</v>
      </c>
      <c r="AD450" s="6">
        <f>$O$450*$X$450</f>
        <v>2549.5582400000003</v>
      </c>
      <c r="AE450" s="6">
        <f>$K$450*$Y$450</f>
        <v>0</v>
      </c>
      <c r="AF450" s="6">
        <f ca="1">$M$450*$Z$450</f>
        <v>17930.974870570943</v>
      </c>
      <c r="AG450" s="6">
        <f>$O$450*$AA$450</f>
        <v>2728.5690572633453</v>
      </c>
    </row>
    <row r="451" spans="1:33" ht="11.25" customHeight="1" x14ac:dyDescent="0.25">
      <c r="A451" s="4" t="s">
        <v>21</v>
      </c>
      <c r="B451" s="4" t="s">
        <v>35</v>
      </c>
      <c r="C451" s="4" t="s">
        <v>39</v>
      </c>
      <c r="D451" s="4" t="s">
        <v>34</v>
      </c>
      <c r="E451" s="4" t="s">
        <v>25</v>
      </c>
      <c r="F451" s="4" t="s">
        <v>25</v>
      </c>
      <c r="G451" s="4" t="s">
        <v>25</v>
      </c>
      <c r="H451" s="4" t="s">
        <v>37</v>
      </c>
      <c r="I451" s="5">
        <v>44470</v>
      </c>
      <c r="J451" s="6">
        <v>0</v>
      </c>
      <c r="K451" s="6">
        <v>0</v>
      </c>
      <c r="L451" s="6">
        <v>371.45499999999998</v>
      </c>
      <c r="M451" s="6">
        <v>371.45499999999998</v>
      </c>
      <c r="N451" s="6">
        <v>371.45499999999998</v>
      </c>
      <c r="O451" s="6">
        <v>371.45499999999998</v>
      </c>
      <c r="P451" s="6">
        <v>0</v>
      </c>
      <c r="Q451" s="4" t="s">
        <v>26</v>
      </c>
      <c r="R451" s="4">
        <v>0</v>
      </c>
      <c r="S451" s="6">
        <v>0</v>
      </c>
      <c r="T451" s="6">
        <v>12</v>
      </c>
      <c r="U451" s="6">
        <v>66</v>
      </c>
      <c r="V451" s="6">
        <f>IF(ISERROR(VLOOKUP($S$451,'TAR FIN'!$A$1:$O$93,15,0)),0,VLOOKUP($S$451,'TAR FIN'!$A$1:$O$93,15,0))</f>
        <v>0</v>
      </c>
      <c r="W451" s="6">
        <f>IF(ISERROR(VLOOKUP($T$451,'TAR FIN'!$A$1:$O$93,15,0)),0,VLOOKUP($T$451,'TAR FIN'!$A$1:$O$93,15,0))</f>
        <v>1124.7</v>
      </c>
      <c r="X451" s="6">
        <f>IF(ISERROR(VLOOKUP($U$451,'TAR FIN'!$A$1:$O$93,15,0)),0,VLOOKUP($U$451,'TAR FIN'!$A$1:$O$93,15,0))</f>
        <v>185.18</v>
      </c>
      <c r="Y451" s="6"/>
      <c r="Z451" s="6">
        <f ca="1">('TUSD BE'!$AM$15+'TUSD BF'!$AM$15+'TUSD CVA'!$AM$15)*1</f>
        <v>1302.3659842076513</v>
      </c>
      <c r="AA451" s="6">
        <f>('TE BE'!$AB$7+'TE BF'!$AB$7+'TE CVA'!$AB$7)*1</f>
        <v>198.18194779658231</v>
      </c>
      <c r="AB451" s="6">
        <f>$K$451*$V$451</f>
        <v>0</v>
      </c>
      <c r="AC451" s="6">
        <f>$M$451*$W$451</f>
        <v>417775.43849999999</v>
      </c>
      <c r="AD451" s="6">
        <f>$O$451*$X$451</f>
        <v>68786.036900000006</v>
      </c>
      <c r="AE451" s="6">
        <f>$K$451*$Y$451</f>
        <v>0</v>
      </c>
      <c r="AF451" s="6">
        <f ca="1">$M$451*$Z$451</f>
        <v>483770.3566638531</v>
      </c>
      <c r="AG451" s="6">
        <f>$O$451*$AA$451</f>
        <v>73615.675418779472</v>
      </c>
    </row>
    <row r="452" spans="1:33" ht="11.25" customHeight="1" x14ac:dyDescent="0.25">
      <c r="A452" s="4" t="s">
        <v>28</v>
      </c>
      <c r="B452" s="4" t="s">
        <v>35</v>
      </c>
      <c r="C452" s="4" t="s">
        <v>39</v>
      </c>
      <c r="D452" s="4" t="s">
        <v>34</v>
      </c>
      <c r="E452" s="4" t="s">
        <v>25</v>
      </c>
      <c r="F452" s="4" t="s">
        <v>25</v>
      </c>
      <c r="G452" s="4" t="s">
        <v>25</v>
      </c>
      <c r="H452" s="4" t="s">
        <v>37</v>
      </c>
      <c r="I452" s="5">
        <v>44470</v>
      </c>
      <c r="J452" s="6">
        <v>0</v>
      </c>
      <c r="K452" s="6">
        <v>0</v>
      </c>
      <c r="L452" s="6">
        <v>10.016</v>
      </c>
      <c r="M452" s="6">
        <v>10.016</v>
      </c>
      <c r="N452" s="6">
        <v>10.016</v>
      </c>
      <c r="O452" s="6">
        <v>10.016</v>
      </c>
      <c r="P452" s="6">
        <v>0</v>
      </c>
      <c r="Q452" s="4" t="s">
        <v>26</v>
      </c>
      <c r="R452" s="4">
        <v>0</v>
      </c>
      <c r="S452" s="6">
        <v>0</v>
      </c>
      <c r="T452" s="6">
        <v>12</v>
      </c>
      <c r="U452" s="6">
        <v>66</v>
      </c>
      <c r="V452" s="6">
        <f>IF(ISERROR(VLOOKUP($S$452,'TAR FIN'!$A$1:$O$93,15,0)),0,VLOOKUP($S$452,'TAR FIN'!$A$1:$O$93,15,0))</f>
        <v>0</v>
      </c>
      <c r="W452" s="6">
        <f>IF(ISERROR(VLOOKUP($T$452,'TAR FIN'!$A$1:$O$93,15,0)),0,VLOOKUP($T$452,'TAR FIN'!$A$1:$O$93,15,0))</f>
        <v>1124.7</v>
      </c>
      <c r="X452" s="6">
        <f>IF(ISERROR(VLOOKUP($U$452,'TAR FIN'!$A$1:$O$93,15,0)),0,VLOOKUP($U$452,'TAR FIN'!$A$1:$O$93,15,0))</f>
        <v>185.18</v>
      </c>
      <c r="Y452" s="6"/>
      <c r="Z452" s="6">
        <f ca="1">('TUSD BE'!$AM$15+'TUSD BF'!$AM$15+'TUSD CVA'!$AM$15)*1</f>
        <v>1302.3659842076513</v>
      </c>
      <c r="AA452" s="6">
        <f>('TE BE'!$AB$7+'TE BF'!$AB$7+'TE CVA'!$AB$7)*1</f>
        <v>198.18194779658231</v>
      </c>
      <c r="AB452" s="6">
        <f>$K$452*$V$452</f>
        <v>0</v>
      </c>
      <c r="AC452" s="6">
        <f>$M$452*$W$452</f>
        <v>11264.995200000001</v>
      </c>
      <c r="AD452" s="6">
        <f>$O$452*$X$452</f>
        <v>1854.76288</v>
      </c>
      <c r="AE452" s="6">
        <f>$K$452*$Y$452</f>
        <v>0</v>
      </c>
      <c r="AF452" s="6">
        <f ca="1">$M$452*$Z$452</f>
        <v>13044.497697823836</v>
      </c>
      <c r="AG452" s="6">
        <f>$O$452*$AA$452</f>
        <v>1984.9903891305685</v>
      </c>
    </row>
    <row r="453" spans="1:33" ht="11.25" customHeight="1" x14ac:dyDescent="0.25">
      <c r="A453" s="4" t="s">
        <v>21</v>
      </c>
      <c r="B453" s="4" t="s">
        <v>35</v>
      </c>
      <c r="C453" s="4" t="s">
        <v>39</v>
      </c>
      <c r="D453" s="4" t="s">
        <v>34</v>
      </c>
      <c r="E453" s="4" t="s">
        <v>25</v>
      </c>
      <c r="F453" s="4" t="s">
        <v>25</v>
      </c>
      <c r="G453" s="4" t="s">
        <v>25</v>
      </c>
      <c r="H453" s="4" t="s">
        <v>37</v>
      </c>
      <c r="I453" s="5">
        <v>44501</v>
      </c>
      <c r="J453" s="6">
        <v>0</v>
      </c>
      <c r="K453" s="6">
        <v>0</v>
      </c>
      <c r="L453" s="6">
        <v>185.691</v>
      </c>
      <c r="M453" s="6">
        <v>185.691</v>
      </c>
      <c r="N453" s="6">
        <v>185.691</v>
      </c>
      <c r="O453" s="6">
        <v>185.691</v>
      </c>
      <c r="P453" s="6">
        <v>0</v>
      </c>
      <c r="Q453" s="4" t="s">
        <v>26</v>
      </c>
      <c r="R453" s="4">
        <v>0</v>
      </c>
      <c r="S453" s="6">
        <v>0</v>
      </c>
      <c r="T453" s="6">
        <v>12</v>
      </c>
      <c r="U453" s="6">
        <v>66</v>
      </c>
      <c r="V453" s="6">
        <f>IF(ISERROR(VLOOKUP($S$453,'TAR FIN'!$A$1:$O$93,15,0)),0,VLOOKUP($S$453,'TAR FIN'!$A$1:$O$93,15,0))</f>
        <v>0</v>
      </c>
      <c r="W453" s="6">
        <f>IF(ISERROR(VLOOKUP($T$453,'TAR FIN'!$A$1:$O$93,15,0)),0,VLOOKUP($T$453,'TAR FIN'!$A$1:$O$93,15,0))</f>
        <v>1124.7</v>
      </c>
      <c r="X453" s="6">
        <f>IF(ISERROR(VLOOKUP($U$453,'TAR FIN'!$A$1:$O$93,15,0)),0,VLOOKUP($U$453,'TAR FIN'!$A$1:$O$93,15,0))</f>
        <v>185.18</v>
      </c>
      <c r="Y453" s="6"/>
      <c r="Z453" s="6">
        <f ca="1">('TUSD BE'!$AM$15+'TUSD BF'!$AM$15+'TUSD CVA'!$AM$15)*1</f>
        <v>1302.3659842076513</v>
      </c>
      <c r="AA453" s="6">
        <f>('TE BE'!$AB$7+'TE BF'!$AB$7+'TE CVA'!$AB$7)*1</f>
        <v>198.18194779658231</v>
      </c>
      <c r="AB453" s="6">
        <f>$K$453*$V$453</f>
        <v>0</v>
      </c>
      <c r="AC453" s="6">
        <f>$M$453*$W$453</f>
        <v>208846.66770000002</v>
      </c>
      <c r="AD453" s="6">
        <f>$O$453*$X$453</f>
        <v>34386.259380000003</v>
      </c>
      <c r="AE453" s="6">
        <f>$K$453*$Y$453</f>
        <v>0</v>
      </c>
      <c r="AF453" s="6">
        <f ca="1">$M$453*$Z$453</f>
        <v>241837.64197350299</v>
      </c>
      <c r="AG453" s="6">
        <f>$O$453*$AA$453</f>
        <v>36800.604068295164</v>
      </c>
    </row>
    <row r="454" spans="1:33" ht="11.25" customHeight="1" x14ac:dyDescent="0.25">
      <c r="A454" s="4" t="s">
        <v>28</v>
      </c>
      <c r="B454" s="4" t="s">
        <v>35</v>
      </c>
      <c r="C454" s="4" t="s">
        <v>39</v>
      </c>
      <c r="D454" s="4" t="s">
        <v>34</v>
      </c>
      <c r="E454" s="4" t="s">
        <v>25</v>
      </c>
      <c r="F454" s="4" t="s">
        <v>25</v>
      </c>
      <c r="G454" s="4" t="s">
        <v>25</v>
      </c>
      <c r="H454" s="4" t="s">
        <v>37</v>
      </c>
      <c r="I454" s="5">
        <v>44501</v>
      </c>
      <c r="J454" s="6">
        <v>0</v>
      </c>
      <c r="K454" s="6">
        <v>0</v>
      </c>
      <c r="L454" s="6">
        <v>7.048</v>
      </c>
      <c r="M454" s="6">
        <v>7.048</v>
      </c>
      <c r="N454" s="6">
        <v>7.048</v>
      </c>
      <c r="O454" s="6">
        <v>7.048</v>
      </c>
      <c r="P454" s="6">
        <v>0</v>
      </c>
      <c r="Q454" s="4" t="s">
        <v>26</v>
      </c>
      <c r="R454" s="4">
        <v>0</v>
      </c>
      <c r="S454" s="6">
        <v>0</v>
      </c>
      <c r="T454" s="6">
        <v>12</v>
      </c>
      <c r="U454" s="6">
        <v>66</v>
      </c>
      <c r="V454" s="6">
        <f>IF(ISERROR(VLOOKUP($S$454,'TAR FIN'!$A$1:$O$93,15,0)),0,VLOOKUP($S$454,'TAR FIN'!$A$1:$O$93,15,0))</f>
        <v>0</v>
      </c>
      <c r="W454" s="6">
        <f>IF(ISERROR(VLOOKUP($T$454,'TAR FIN'!$A$1:$O$93,15,0)),0,VLOOKUP($T$454,'TAR FIN'!$A$1:$O$93,15,0))</f>
        <v>1124.7</v>
      </c>
      <c r="X454" s="6">
        <f>IF(ISERROR(VLOOKUP($U$454,'TAR FIN'!$A$1:$O$93,15,0)),0,VLOOKUP($U$454,'TAR FIN'!$A$1:$O$93,15,0))</f>
        <v>185.18</v>
      </c>
      <c r="Y454" s="6"/>
      <c r="Z454" s="6">
        <f ca="1">('TUSD BE'!$AM$15+'TUSD BF'!$AM$15+'TUSD CVA'!$AM$15)*1</f>
        <v>1302.3659842076513</v>
      </c>
      <c r="AA454" s="6">
        <f>('TE BE'!$AB$7+'TE BF'!$AB$7+'TE CVA'!$AB$7)*1</f>
        <v>198.18194779658231</v>
      </c>
      <c r="AB454" s="6">
        <f>$K$454*$V$454</f>
        <v>0</v>
      </c>
      <c r="AC454" s="6">
        <f>$M$454*$W$454</f>
        <v>7926.8856000000005</v>
      </c>
      <c r="AD454" s="6">
        <f>$O$454*$X$454</f>
        <v>1305.1486400000001</v>
      </c>
      <c r="AE454" s="6">
        <f>$K$454*$Y$454</f>
        <v>0</v>
      </c>
      <c r="AF454" s="6">
        <f ca="1">$M$454*$Z$454</f>
        <v>9179.0754566955256</v>
      </c>
      <c r="AG454" s="6">
        <f>$O$454*$AA$454</f>
        <v>1396.7863680703122</v>
      </c>
    </row>
    <row r="455" spans="1:33" ht="11.25" customHeight="1" x14ac:dyDescent="0.25">
      <c r="A455" s="4" t="s">
        <v>21</v>
      </c>
      <c r="B455" s="4" t="s">
        <v>35</v>
      </c>
      <c r="C455" s="4" t="s">
        <v>39</v>
      </c>
      <c r="D455" s="4" t="s">
        <v>34</v>
      </c>
      <c r="E455" s="4" t="s">
        <v>25</v>
      </c>
      <c r="F455" s="4" t="s">
        <v>25</v>
      </c>
      <c r="G455" s="4" t="s">
        <v>25</v>
      </c>
      <c r="H455" s="4" t="s">
        <v>37</v>
      </c>
      <c r="I455" s="5">
        <v>44531</v>
      </c>
      <c r="J455" s="6">
        <v>0</v>
      </c>
      <c r="K455" s="6">
        <v>0</v>
      </c>
      <c r="L455" s="6">
        <v>183.94399999999999</v>
      </c>
      <c r="M455" s="6">
        <v>183.94399999999999</v>
      </c>
      <c r="N455" s="6">
        <v>183.94399999999999</v>
      </c>
      <c r="O455" s="6">
        <v>183.94399999999999</v>
      </c>
      <c r="P455" s="6">
        <v>0</v>
      </c>
      <c r="Q455" s="4" t="s">
        <v>26</v>
      </c>
      <c r="R455" s="4">
        <v>0</v>
      </c>
      <c r="S455" s="6">
        <v>0</v>
      </c>
      <c r="T455" s="6">
        <v>12</v>
      </c>
      <c r="U455" s="6">
        <v>66</v>
      </c>
      <c r="V455" s="6">
        <f>IF(ISERROR(VLOOKUP($S$455,'TAR FIN'!$A$1:$O$93,15,0)),0,VLOOKUP($S$455,'TAR FIN'!$A$1:$O$93,15,0))</f>
        <v>0</v>
      </c>
      <c r="W455" s="6">
        <f>IF(ISERROR(VLOOKUP($T$455,'TAR FIN'!$A$1:$O$93,15,0)),0,VLOOKUP($T$455,'TAR FIN'!$A$1:$O$93,15,0))</f>
        <v>1124.7</v>
      </c>
      <c r="X455" s="6">
        <f>IF(ISERROR(VLOOKUP($U$455,'TAR FIN'!$A$1:$O$93,15,0)),0,VLOOKUP($U$455,'TAR FIN'!$A$1:$O$93,15,0))</f>
        <v>185.18</v>
      </c>
      <c r="Y455" s="6"/>
      <c r="Z455" s="6">
        <f ca="1">('TUSD BE'!$AM$15+'TUSD BF'!$AM$15+'TUSD CVA'!$AM$15)*1</f>
        <v>1302.3659842076513</v>
      </c>
      <c r="AA455" s="6">
        <f>('TE BE'!$AB$7+'TE BF'!$AB$7+'TE CVA'!$AB$7)*1</f>
        <v>198.18194779658231</v>
      </c>
      <c r="AB455" s="6">
        <f>$K$455*$V$455</f>
        <v>0</v>
      </c>
      <c r="AC455" s="6">
        <f>$M$455*$W$455</f>
        <v>206881.8168</v>
      </c>
      <c r="AD455" s="6">
        <f>$O$455*$X$455</f>
        <v>34062.749920000002</v>
      </c>
      <c r="AE455" s="6">
        <f>$K$455*$Y$455</f>
        <v>0</v>
      </c>
      <c r="AF455" s="6">
        <f ca="1">$M$455*$Z$455</f>
        <v>239562.40859909219</v>
      </c>
      <c r="AG455" s="6">
        <f>$O$455*$AA$455</f>
        <v>36454.380205494534</v>
      </c>
    </row>
    <row r="456" spans="1:33" ht="11.25" customHeight="1" x14ac:dyDescent="0.25">
      <c r="A456" s="4" t="s">
        <v>21</v>
      </c>
      <c r="B456" s="4" t="s">
        <v>35</v>
      </c>
      <c r="C456" s="4" t="s">
        <v>39</v>
      </c>
      <c r="D456" s="4" t="s">
        <v>34</v>
      </c>
      <c r="E456" s="4" t="s">
        <v>25</v>
      </c>
      <c r="F456" s="4" t="s">
        <v>25</v>
      </c>
      <c r="G456" s="4" t="s">
        <v>25</v>
      </c>
      <c r="H456" s="4" t="s">
        <v>37</v>
      </c>
      <c r="I456" s="5">
        <v>44562</v>
      </c>
      <c r="J456" s="6">
        <v>0</v>
      </c>
      <c r="K456" s="6">
        <v>0</v>
      </c>
      <c r="L456" s="6">
        <v>438.71100000000001</v>
      </c>
      <c r="M456" s="6">
        <v>438.71100000000001</v>
      </c>
      <c r="N456" s="6">
        <v>438.71100000000001</v>
      </c>
      <c r="O456" s="6">
        <v>438.71100000000001</v>
      </c>
      <c r="P456" s="6">
        <v>0</v>
      </c>
      <c r="Q456" s="4" t="s">
        <v>26</v>
      </c>
      <c r="R456" s="4">
        <v>0</v>
      </c>
      <c r="S456" s="6">
        <v>0</v>
      </c>
      <c r="T456" s="6">
        <v>12</v>
      </c>
      <c r="U456" s="6">
        <v>66</v>
      </c>
      <c r="V456" s="6">
        <f>IF(ISERROR(VLOOKUP($S$456,'TAR FIN'!$A$1:$O$93,15,0)),0,VLOOKUP($S$456,'TAR FIN'!$A$1:$O$93,15,0))</f>
        <v>0</v>
      </c>
      <c r="W456" s="6">
        <f>IF(ISERROR(VLOOKUP($T$456,'TAR FIN'!$A$1:$O$93,15,0)),0,VLOOKUP($T$456,'TAR FIN'!$A$1:$O$93,15,0))</f>
        <v>1124.7</v>
      </c>
      <c r="X456" s="6">
        <f>IF(ISERROR(VLOOKUP($U$456,'TAR FIN'!$A$1:$O$93,15,0)),0,VLOOKUP($U$456,'TAR FIN'!$A$1:$O$93,15,0))</f>
        <v>185.18</v>
      </c>
      <c r="Y456" s="6"/>
      <c r="Z456" s="6">
        <f ca="1">('TUSD BE'!$AM$15+'TUSD BF'!$AM$15+'TUSD CVA'!$AM$15)*1</f>
        <v>1302.3659842076513</v>
      </c>
      <c r="AA456" s="6">
        <f>('TE BE'!$AB$7+'TE BF'!$AB$7+'TE CVA'!$AB$7)*1</f>
        <v>198.18194779658231</v>
      </c>
      <c r="AB456" s="6">
        <f>$K$456*$V$456</f>
        <v>0</v>
      </c>
      <c r="AC456" s="6">
        <f>$M$456*$W$456</f>
        <v>493418.26170000003</v>
      </c>
      <c r="AD456" s="6">
        <f>$O$456*$X$456</f>
        <v>81240.502980000005</v>
      </c>
      <c r="AE456" s="6">
        <f>$K$456*$Y$456</f>
        <v>0</v>
      </c>
      <c r="AF456" s="6">
        <f ca="1">$M$456*$Z$456</f>
        <v>571362.28329772293</v>
      </c>
      <c r="AG456" s="6">
        <f>$O$456*$AA$456</f>
        <v>86944.600499786422</v>
      </c>
    </row>
    <row r="457" spans="1:33" ht="11.25" customHeight="1" x14ac:dyDescent="0.25">
      <c r="A457" s="4" t="s">
        <v>27</v>
      </c>
      <c r="B457" s="4" t="s">
        <v>35</v>
      </c>
      <c r="C457" s="4" t="s">
        <v>39</v>
      </c>
      <c r="D457" s="4" t="s">
        <v>34</v>
      </c>
      <c r="E457" s="4" t="s">
        <v>25</v>
      </c>
      <c r="F457" s="4" t="s">
        <v>25</v>
      </c>
      <c r="G457" s="4" t="s">
        <v>25</v>
      </c>
      <c r="H457" s="4" t="s">
        <v>37</v>
      </c>
      <c r="I457" s="5">
        <v>44562</v>
      </c>
      <c r="J457" s="6">
        <v>0</v>
      </c>
      <c r="K457" s="6">
        <v>0</v>
      </c>
      <c r="L457" s="6">
        <v>-258.69499999999999</v>
      </c>
      <c r="M457" s="6">
        <v>-258.69499999999999</v>
      </c>
      <c r="N457" s="6">
        <v>-258.69499999999999</v>
      </c>
      <c r="O457" s="6">
        <v>-258.69499999999999</v>
      </c>
      <c r="P457" s="6">
        <v>0</v>
      </c>
      <c r="Q457" s="4" t="s">
        <v>26</v>
      </c>
      <c r="R457" s="4">
        <v>0</v>
      </c>
      <c r="S457" s="6">
        <v>0</v>
      </c>
      <c r="T457" s="6">
        <v>12</v>
      </c>
      <c r="U457" s="6">
        <v>66</v>
      </c>
      <c r="V457" s="6">
        <f>IF(ISERROR(VLOOKUP($S$457,'TAR FIN'!$A$1:$O$93,15,0)),0,VLOOKUP($S$457,'TAR FIN'!$A$1:$O$93,15,0))</f>
        <v>0</v>
      </c>
      <c r="W457" s="6">
        <f>IF(ISERROR(VLOOKUP($T$457,'TAR FIN'!$A$1:$O$93,15,0)),0,VLOOKUP($T$457,'TAR FIN'!$A$1:$O$93,15,0))</f>
        <v>1124.7</v>
      </c>
      <c r="X457" s="6">
        <f>IF(ISERROR(VLOOKUP($U$457,'TAR FIN'!$A$1:$O$93,15,0)),0,VLOOKUP($U$457,'TAR FIN'!$A$1:$O$93,15,0))</f>
        <v>185.18</v>
      </c>
      <c r="Y457" s="6"/>
      <c r="Z457" s="6">
        <f ca="1">('TUSD BE'!$AM$15+'TUSD BF'!$AM$15+'TUSD CVA'!$AM$15)*1</f>
        <v>1302.3659842076513</v>
      </c>
      <c r="AA457" s="6">
        <f>('TE BE'!$AB$7+'TE BF'!$AB$7+'TE CVA'!$AB$7)*1</f>
        <v>198.18194779658231</v>
      </c>
      <c r="AB457" s="6">
        <f>$K$457*$V$457</f>
        <v>0</v>
      </c>
      <c r="AC457" s="6">
        <f>$M$457*$W$457</f>
        <v>-290954.26650000003</v>
      </c>
      <c r="AD457" s="6">
        <f>$O$457*$X$457</f>
        <v>-47905.140099999997</v>
      </c>
      <c r="AE457" s="6">
        <f>$K$457*$Y$457</f>
        <v>0</v>
      </c>
      <c r="AF457" s="6">
        <f ca="1">$M$457*$Z$457</f>
        <v>-336915.56828459835</v>
      </c>
      <c r="AG457" s="6">
        <f>$O$457*$AA$457</f>
        <v>-51268.67898523686</v>
      </c>
    </row>
    <row r="458" spans="1:33" ht="11.25" customHeight="1" x14ac:dyDescent="0.25">
      <c r="A458" s="4" t="s">
        <v>28</v>
      </c>
      <c r="B458" s="4" t="s">
        <v>35</v>
      </c>
      <c r="C458" s="4" t="s">
        <v>39</v>
      </c>
      <c r="D458" s="4" t="s">
        <v>34</v>
      </c>
      <c r="E458" s="4" t="s">
        <v>25</v>
      </c>
      <c r="F458" s="4" t="s">
        <v>25</v>
      </c>
      <c r="G458" s="4" t="s">
        <v>25</v>
      </c>
      <c r="H458" s="4" t="s">
        <v>37</v>
      </c>
      <c r="I458" s="5">
        <v>44562</v>
      </c>
      <c r="J458" s="6">
        <v>0</v>
      </c>
      <c r="K458" s="6">
        <v>0</v>
      </c>
      <c r="L458" s="6">
        <v>18.225999999999999</v>
      </c>
      <c r="M458" s="6">
        <v>18.225999999999999</v>
      </c>
      <c r="N458" s="6">
        <v>18.225999999999999</v>
      </c>
      <c r="O458" s="6">
        <v>18.225999999999999</v>
      </c>
      <c r="P458" s="6">
        <v>0</v>
      </c>
      <c r="Q458" s="4" t="s">
        <v>26</v>
      </c>
      <c r="R458" s="4">
        <v>0</v>
      </c>
      <c r="S458" s="6">
        <v>0</v>
      </c>
      <c r="T458" s="6">
        <v>12</v>
      </c>
      <c r="U458" s="6">
        <v>66</v>
      </c>
      <c r="V458" s="6">
        <f>IF(ISERROR(VLOOKUP($S$458,'TAR FIN'!$A$1:$O$93,15,0)),0,VLOOKUP($S$458,'TAR FIN'!$A$1:$O$93,15,0))</f>
        <v>0</v>
      </c>
      <c r="W458" s="6">
        <f>IF(ISERROR(VLOOKUP($T$458,'TAR FIN'!$A$1:$O$93,15,0)),0,VLOOKUP($T$458,'TAR FIN'!$A$1:$O$93,15,0))</f>
        <v>1124.7</v>
      </c>
      <c r="X458" s="6">
        <f>IF(ISERROR(VLOOKUP($U$458,'TAR FIN'!$A$1:$O$93,15,0)),0,VLOOKUP($U$458,'TAR FIN'!$A$1:$O$93,15,0))</f>
        <v>185.18</v>
      </c>
      <c r="Y458" s="6"/>
      <c r="Z458" s="6">
        <f ca="1">('TUSD BE'!$AM$15+'TUSD BF'!$AM$15+'TUSD CVA'!$AM$15)*1</f>
        <v>1302.3659842076513</v>
      </c>
      <c r="AA458" s="6">
        <f>('TE BE'!$AB$7+'TE BF'!$AB$7+'TE CVA'!$AB$7)*1</f>
        <v>198.18194779658231</v>
      </c>
      <c r="AB458" s="6">
        <f>$K$458*$V$458</f>
        <v>0</v>
      </c>
      <c r="AC458" s="6">
        <f>$M$458*$W$458</f>
        <v>20498.782200000001</v>
      </c>
      <c r="AD458" s="6">
        <f>$O$458*$X$458</f>
        <v>3375.0906799999998</v>
      </c>
      <c r="AE458" s="6">
        <f>$K$458*$Y$458</f>
        <v>0</v>
      </c>
      <c r="AF458" s="6">
        <f ca="1">$M$458*$Z$458</f>
        <v>23736.922428168651</v>
      </c>
      <c r="AG458" s="6">
        <f>$O$458*$AA$458</f>
        <v>3612.0641805405089</v>
      </c>
    </row>
    <row r="459" spans="1:33" ht="11.25" customHeight="1" x14ac:dyDescent="0.25">
      <c r="A459" s="4" t="s">
        <v>21</v>
      </c>
      <c r="B459" s="4" t="s">
        <v>35</v>
      </c>
      <c r="C459" s="4" t="s">
        <v>39</v>
      </c>
      <c r="D459" s="4" t="s">
        <v>34</v>
      </c>
      <c r="E459" s="4" t="s">
        <v>25</v>
      </c>
      <c r="F459" s="4" t="s">
        <v>25</v>
      </c>
      <c r="G459" s="4" t="s">
        <v>25</v>
      </c>
      <c r="H459" s="4" t="s">
        <v>37</v>
      </c>
      <c r="I459" s="5">
        <v>44593</v>
      </c>
      <c r="J459" s="6">
        <v>0</v>
      </c>
      <c r="K459" s="6">
        <v>0</v>
      </c>
      <c r="L459" s="6">
        <v>158.375</v>
      </c>
      <c r="M459" s="6">
        <v>158.375</v>
      </c>
      <c r="N459" s="6">
        <v>158.375</v>
      </c>
      <c r="O459" s="6">
        <v>158.375</v>
      </c>
      <c r="P459" s="6">
        <v>0</v>
      </c>
      <c r="Q459" s="4" t="s">
        <v>26</v>
      </c>
      <c r="R459" s="4">
        <v>0</v>
      </c>
      <c r="S459" s="6">
        <v>0</v>
      </c>
      <c r="T459" s="6">
        <v>12</v>
      </c>
      <c r="U459" s="6">
        <v>66</v>
      </c>
      <c r="V459" s="6">
        <f>IF(ISERROR(VLOOKUP($S$459,'TAR FIN'!$A$1:$O$93,15,0)),0,VLOOKUP($S$459,'TAR FIN'!$A$1:$O$93,15,0))</f>
        <v>0</v>
      </c>
      <c r="W459" s="6">
        <f>IF(ISERROR(VLOOKUP($T$459,'TAR FIN'!$A$1:$O$93,15,0)),0,VLOOKUP($T$459,'TAR FIN'!$A$1:$O$93,15,0))</f>
        <v>1124.7</v>
      </c>
      <c r="X459" s="6">
        <f>IF(ISERROR(VLOOKUP($U$459,'TAR FIN'!$A$1:$O$93,15,0)),0,VLOOKUP($U$459,'TAR FIN'!$A$1:$O$93,15,0))</f>
        <v>185.18</v>
      </c>
      <c r="Y459" s="6"/>
      <c r="Z459" s="6">
        <f ca="1">('TUSD BE'!$AM$15+'TUSD BF'!$AM$15+'TUSD CVA'!$AM$15)*1</f>
        <v>1302.3659842076513</v>
      </c>
      <c r="AA459" s="6">
        <f>('TE BE'!$AB$7+'TE BF'!$AB$7+'TE CVA'!$AB$7)*1</f>
        <v>198.18194779658231</v>
      </c>
      <c r="AB459" s="6">
        <f>$K$459*$V$459</f>
        <v>0</v>
      </c>
      <c r="AC459" s="6">
        <f>$M$459*$W$459</f>
        <v>178124.36250000002</v>
      </c>
      <c r="AD459" s="6">
        <f>$O$459*$X$459</f>
        <v>29327.8825</v>
      </c>
      <c r="AE459" s="6">
        <f>$K$459*$Y$459</f>
        <v>0</v>
      </c>
      <c r="AF459" s="6">
        <f ca="1">$M$459*$Z$459</f>
        <v>206262.21274888678</v>
      </c>
      <c r="AG459" s="6">
        <f>$O$459*$AA$459</f>
        <v>31387.065982283722</v>
      </c>
    </row>
    <row r="460" spans="1:33" ht="11.25" customHeight="1" x14ac:dyDescent="0.25">
      <c r="A460" s="4" t="s">
        <v>27</v>
      </c>
      <c r="B460" s="4" t="s">
        <v>35</v>
      </c>
      <c r="C460" s="4" t="s">
        <v>39</v>
      </c>
      <c r="D460" s="4" t="s">
        <v>34</v>
      </c>
      <c r="E460" s="4" t="s">
        <v>25</v>
      </c>
      <c r="F460" s="4" t="s">
        <v>25</v>
      </c>
      <c r="G460" s="4" t="s">
        <v>25</v>
      </c>
      <c r="H460" s="4" t="s">
        <v>37</v>
      </c>
      <c r="I460" s="5">
        <v>44593</v>
      </c>
      <c r="J460" s="6">
        <v>0</v>
      </c>
      <c r="K460" s="6">
        <v>0</v>
      </c>
      <c r="L460" s="6">
        <v>-0.113</v>
      </c>
      <c r="M460" s="6">
        <v>-0.113</v>
      </c>
      <c r="N460" s="6">
        <v>-0.113</v>
      </c>
      <c r="O460" s="6">
        <v>-0.113</v>
      </c>
      <c r="P460" s="6">
        <v>0</v>
      </c>
      <c r="Q460" s="4" t="s">
        <v>26</v>
      </c>
      <c r="R460" s="4">
        <v>0</v>
      </c>
      <c r="S460" s="6">
        <v>0</v>
      </c>
      <c r="T460" s="6">
        <v>12</v>
      </c>
      <c r="U460" s="6">
        <v>66</v>
      </c>
      <c r="V460" s="6">
        <f>IF(ISERROR(VLOOKUP($S$460,'TAR FIN'!$A$1:$O$93,15,0)),0,VLOOKUP($S$460,'TAR FIN'!$A$1:$O$93,15,0))</f>
        <v>0</v>
      </c>
      <c r="W460" s="6">
        <f>IF(ISERROR(VLOOKUP($T$460,'TAR FIN'!$A$1:$O$93,15,0)),0,VLOOKUP($T$460,'TAR FIN'!$A$1:$O$93,15,0))</f>
        <v>1124.7</v>
      </c>
      <c r="X460" s="6">
        <f>IF(ISERROR(VLOOKUP($U$460,'TAR FIN'!$A$1:$O$93,15,0)),0,VLOOKUP($U$460,'TAR FIN'!$A$1:$O$93,15,0))</f>
        <v>185.18</v>
      </c>
      <c r="Y460" s="6"/>
      <c r="Z460" s="6">
        <f ca="1">('TUSD BE'!$AM$15+'TUSD BF'!$AM$15+'TUSD CVA'!$AM$15)*1</f>
        <v>1302.3659842076513</v>
      </c>
      <c r="AA460" s="6">
        <f>('TE BE'!$AB$7+'TE BF'!$AB$7+'TE CVA'!$AB$7)*1</f>
        <v>198.18194779658231</v>
      </c>
      <c r="AB460" s="6">
        <f>$K$460*$V$460</f>
        <v>0</v>
      </c>
      <c r="AC460" s="6">
        <f>$M$460*$W$460</f>
        <v>-127.09110000000001</v>
      </c>
      <c r="AD460" s="6">
        <f>$O$460*$X$460</f>
        <v>-20.925340000000002</v>
      </c>
      <c r="AE460" s="6">
        <f>$K$460*$Y$460</f>
        <v>0</v>
      </c>
      <c r="AF460" s="6">
        <f ca="1">$M$460*$Z$460</f>
        <v>-147.16735621546459</v>
      </c>
      <c r="AG460" s="6">
        <f>$O$460*$AA$460</f>
        <v>-22.394560101013802</v>
      </c>
    </row>
    <row r="461" spans="1:33" ht="11.25" customHeight="1" x14ac:dyDescent="0.25">
      <c r="A461" s="4" t="s">
        <v>28</v>
      </c>
      <c r="B461" s="4" t="s">
        <v>35</v>
      </c>
      <c r="C461" s="4" t="s">
        <v>39</v>
      </c>
      <c r="D461" s="4" t="s">
        <v>34</v>
      </c>
      <c r="E461" s="4" t="s">
        <v>25</v>
      </c>
      <c r="F461" s="4" t="s">
        <v>25</v>
      </c>
      <c r="G461" s="4" t="s">
        <v>25</v>
      </c>
      <c r="H461" s="4" t="s">
        <v>37</v>
      </c>
      <c r="I461" s="5">
        <v>44593</v>
      </c>
      <c r="J461" s="6">
        <v>0</v>
      </c>
      <c r="K461" s="6">
        <v>0</v>
      </c>
      <c r="L461" s="6">
        <v>33.058999999999997</v>
      </c>
      <c r="M461" s="6">
        <v>33.058999999999997</v>
      </c>
      <c r="N461" s="6">
        <v>33.058999999999997</v>
      </c>
      <c r="O461" s="6">
        <v>33.058999999999997</v>
      </c>
      <c r="P461" s="6">
        <v>0</v>
      </c>
      <c r="Q461" s="4" t="s">
        <v>26</v>
      </c>
      <c r="R461" s="4">
        <v>0</v>
      </c>
      <c r="S461" s="6">
        <v>0</v>
      </c>
      <c r="T461" s="6">
        <v>12</v>
      </c>
      <c r="U461" s="6">
        <v>66</v>
      </c>
      <c r="V461" s="6">
        <f>IF(ISERROR(VLOOKUP($S$461,'TAR FIN'!$A$1:$O$93,15,0)),0,VLOOKUP($S$461,'TAR FIN'!$A$1:$O$93,15,0))</f>
        <v>0</v>
      </c>
      <c r="W461" s="6">
        <f>IF(ISERROR(VLOOKUP($T$461,'TAR FIN'!$A$1:$O$93,15,0)),0,VLOOKUP($T$461,'TAR FIN'!$A$1:$O$93,15,0))</f>
        <v>1124.7</v>
      </c>
      <c r="X461" s="6">
        <f>IF(ISERROR(VLOOKUP($U$461,'TAR FIN'!$A$1:$O$93,15,0)),0,VLOOKUP($U$461,'TAR FIN'!$A$1:$O$93,15,0))</f>
        <v>185.18</v>
      </c>
      <c r="Y461" s="6"/>
      <c r="Z461" s="6">
        <f ca="1">('TUSD BE'!$AM$15+'TUSD BF'!$AM$15+'TUSD CVA'!$AM$15)*1</f>
        <v>1302.3659842076513</v>
      </c>
      <c r="AA461" s="6">
        <f>('TE BE'!$AB$7+'TE BF'!$AB$7+'TE CVA'!$AB$7)*1</f>
        <v>198.18194779658231</v>
      </c>
      <c r="AB461" s="6">
        <f>$K$461*$V$461</f>
        <v>0</v>
      </c>
      <c r="AC461" s="6">
        <f>$M$461*$W$461</f>
        <v>37181.457300000002</v>
      </c>
      <c r="AD461" s="6">
        <f>$O$461*$X$461</f>
        <v>6121.8656199999996</v>
      </c>
      <c r="AE461" s="6">
        <f>$K$461*$Y$461</f>
        <v>0</v>
      </c>
      <c r="AF461" s="6">
        <f ca="1">$M$461*$Z$461</f>
        <v>43054.91707192074</v>
      </c>
      <c r="AG461" s="6">
        <f>$O$461*$AA$461</f>
        <v>6551.6970122072144</v>
      </c>
    </row>
    <row r="462" spans="1:33" ht="11.25" customHeight="1" x14ac:dyDescent="0.25">
      <c r="A462" s="4" t="s">
        <v>21</v>
      </c>
      <c r="B462" s="4" t="s">
        <v>35</v>
      </c>
      <c r="C462" s="4" t="s">
        <v>39</v>
      </c>
      <c r="D462" s="4" t="s">
        <v>34</v>
      </c>
      <c r="E462" s="4" t="s">
        <v>25</v>
      </c>
      <c r="F462" s="4" t="s">
        <v>25</v>
      </c>
      <c r="G462" s="4" t="s">
        <v>25</v>
      </c>
      <c r="H462" s="4" t="s">
        <v>37</v>
      </c>
      <c r="I462" s="5">
        <v>44621</v>
      </c>
      <c r="J462" s="6">
        <v>0</v>
      </c>
      <c r="K462" s="6">
        <v>0</v>
      </c>
      <c r="L462" s="6">
        <v>153.41900000000001</v>
      </c>
      <c r="M462" s="6">
        <v>153.41900000000001</v>
      </c>
      <c r="N462" s="6">
        <v>153.41900000000001</v>
      </c>
      <c r="O462" s="6">
        <v>153.41900000000001</v>
      </c>
      <c r="P462" s="6">
        <v>0</v>
      </c>
      <c r="Q462" s="4" t="s">
        <v>26</v>
      </c>
      <c r="R462" s="4">
        <v>0</v>
      </c>
      <c r="S462" s="6">
        <v>0</v>
      </c>
      <c r="T462" s="6">
        <v>12</v>
      </c>
      <c r="U462" s="6">
        <v>66</v>
      </c>
      <c r="V462" s="6">
        <f>IF(ISERROR(VLOOKUP($S$462,'TAR FIN'!$A$1:$O$93,15,0)),0,VLOOKUP($S$462,'TAR FIN'!$A$1:$O$93,15,0))</f>
        <v>0</v>
      </c>
      <c r="W462" s="6">
        <f>IF(ISERROR(VLOOKUP($T$462,'TAR FIN'!$A$1:$O$93,15,0)),0,VLOOKUP($T$462,'TAR FIN'!$A$1:$O$93,15,0))</f>
        <v>1124.7</v>
      </c>
      <c r="X462" s="6">
        <f>IF(ISERROR(VLOOKUP($U$462,'TAR FIN'!$A$1:$O$93,15,0)),0,VLOOKUP($U$462,'TAR FIN'!$A$1:$O$93,15,0))</f>
        <v>185.18</v>
      </c>
      <c r="Y462" s="6"/>
      <c r="Z462" s="6">
        <f ca="1">('TUSD BE'!$AM$15+'TUSD BF'!$AM$15+'TUSD CVA'!$AM$15)*1</f>
        <v>1302.3659842076513</v>
      </c>
      <c r="AA462" s="6">
        <f>('TE BE'!$AB$7+'TE BF'!$AB$7+'TE CVA'!$AB$7)*1</f>
        <v>198.18194779658231</v>
      </c>
      <c r="AB462" s="6">
        <f>$K$462*$V$462</f>
        <v>0</v>
      </c>
      <c r="AC462" s="6">
        <f>$M$462*$W$462</f>
        <v>172550.34930000003</v>
      </c>
      <c r="AD462" s="6">
        <f>$O$462*$X$462</f>
        <v>28410.130420000001</v>
      </c>
      <c r="AE462" s="6">
        <f>$K$462*$Y$462</f>
        <v>0</v>
      </c>
      <c r="AF462" s="6">
        <f ca="1">$M$462*$Z$462</f>
        <v>199807.68693115367</v>
      </c>
      <c r="AG462" s="6">
        <f>$O$462*$AA$462</f>
        <v>30404.876249003864</v>
      </c>
    </row>
    <row r="463" spans="1:33" ht="11.25" customHeight="1" x14ac:dyDescent="0.25">
      <c r="A463" s="4" t="s">
        <v>28</v>
      </c>
      <c r="B463" s="4" t="s">
        <v>35</v>
      </c>
      <c r="C463" s="4" t="s">
        <v>39</v>
      </c>
      <c r="D463" s="4" t="s">
        <v>34</v>
      </c>
      <c r="E463" s="4" t="s">
        <v>25</v>
      </c>
      <c r="F463" s="4" t="s">
        <v>25</v>
      </c>
      <c r="G463" s="4" t="s">
        <v>25</v>
      </c>
      <c r="H463" s="4" t="s">
        <v>37</v>
      </c>
      <c r="I463" s="5">
        <v>44621</v>
      </c>
      <c r="J463" s="6">
        <v>0</v>
      </c>
      <c r="K463" s="6">
        <v>0</v>
      </c>
      <c r="L463" s="6">
        <v>33.238</v>
      </c>
      <c r="M463" s="6">
        <v>33.238</v>
      </c>
      <c r="N463" s="6">
        <v>33.238</v>
      </c>
      <c r="O463" s="6">
        <v>33.238</v>
      </c>
      <c r="P463" s="6">
        <v>0</v>
      </c>
      <c r="Q463" s="4" t="s">
        <v>26</v>
      </c>
      <c r="R463" s="4">
        <v>0</v>
      </c>
      <c r="S463" s="6">
        <v>0</v>
      </c>
      <c r="T463" s="6">
        <v>12</v>
      </c>
      <c r="U463" s="6">
        <v>66</v>
      </c>
      <c r="V463" s="6">
        <f>IF(ISERROR(VLOOKUP($S$463,'TAR FIN'!$A$1:$O$93,15,0)),0,VLOOKUP($S$463,'TAR FIN'!$A$1:$O$93,15,0))</f>
        <v>0</v>
      </c>
      <c r="W463" s="6">
        <f>IF(ISERROR(VLOOKUP($T$463,'TAR FIN'!$A$1:$O$93,15,0)),0,VLOOKUP($T$463,'TAR FIN'!$A$1:$O$93,15,0))</f>
        <v>1124.7</v>
      </c>
      <c r="X463" s="6">
        <f>IF(ISERROR(VLOOKUP($U$463,'TAR FIN'!$A$1:$O$93,15,0)),0,VLOOKUP($U$463,'TAR FIN'!$A$1:$O$93,15,0))</f>
        <v>185.18</v>
      </c>
      <c r="Y463" s="6"/>
      <c r="Z463" s="6">
        <f ca="1">('TUSD BE'!$AM$15+'TUSD BF'!$AM$15+'TUSD CVA'!$AM$15)*1</f>
        <v>1302.3659842076513</v>
      </c>
      <c r="AA463" s="6">
        <f>('TE BE'!$AB$7+'TE BF'!$AB$7+'TE CVA'!$AB$7)*1</f>
        <v>198.18194779658231</v>
      </c>
      <c r="AB463" s="6">
        <f>$K$463*$V$463</f>
        <v>0</v>
      </c>
      <c r="AC463" s="6">
        <f>$M$463*$W$463</f>
        <v>37382.778599999998</v>
      </c>
      <c r="AD463" s="6">
        <f>$O$463*$X$463</f>
        <v>6155.0128400000003</v>
      </c>
      <c r="AE463" s="6">
        <f>$K$463*$Y$463</f>
        <v>0</v>
      </c>
      <c r="AF463" s="6">
        <f ca="1">$M$463*$Z$463</f>
        <v>43288.040583093913</v>
      </c>
      <c r="AG463" s="6">
        <f>$O$463*$AA$463</f>
        <v>6587.1715808628023</v>
      </c>
    </row>
    <row r="464" spans="1:33" ht="11.25" customHeight="1" x14ac:dyDescent="0.25">
      <c r="A464" s="4" t="s">
        <v>21</v>
      </c>
      <c r="B464" s="4" t="s">
        <v>35</v>
      </c>
      <c r="C464" s="4" t="s">
        <v>39</v>
      </c>
      <c r="D464" s="4" t="s">
        <v>34</v>
      </c>
      <c r="E464" s="4" t="s">
        <v>25</v>
      </c>
      <c r="F464" s="4" t="s">
        <v>25</v>
      </c>
      <c r="G464" s="4" t="s">
        <v>25</v>
      </c>
      <c r="H464" s="4" t="s">
        <v>37</v>
      </c>
      <c r="I464" s="5">
        <v>44652</v>
      </c>
      <c r="J464" s="6">
        <v>0</v>
      </c>
      <c r="K464" s="6">
        <v>0</v>
      </c>
      <c r="L464" s="6">
        <v>232.14599999999999</v>
      </c>
      <c r="M464" s="6">
        <v>232.14599999999999</v>
      </c>
      <c r="N464" s="6">
        <v>232.14599999999999</v>
      </c>
      <c r="O464" s="6">
        <v>232.14599999999999</v>
      </c>
      <c r="P464" s="6">
        <v>0</v>
      </c>
      <c r="Q464" s="4" t="s">
        <v>26</v>
      </c>
      <c r="R464" s="4">
        <v>0</v>
      </c>
      <c r="S464" s="6">
        <v>0</v>
      </c>
      <c r="T464" s="6">
        <v>12</v>
      </c>
      <c r="U464" s="6">
        <v>66</v>
      </c>
      <c r="V464" s="6">
        <f>IF(ISERROR(VLOOKUP($S$464,'TAR FIN'!$A$1:$O$93,15,0)),0,VLOOKUP($S$464,'TAR FIN'!$A$1:$O$93,15,0))</f>
        <v>0</v>
      </c>
      <c r="W464" s="6">
        <f>IF(ISERROR(VLOOKUP($T$464,'TAR FIN'!$A$1:$O$93,15,0)),0,VLOOKUP($T$464,'TAR FIN'!$A$1:$O$93,15,0))</f>
        <v>1124.7</v>
      </c>
      <c r="X464" s="6">
        <f>IF(ISERROR(VLOOKUP($U$464,'TAR FIN'!$A$1:$O$93,15,0)),0,VLOOKUP($U$464,'TAR FIN'!$A$1:$O$93,15,0))</f>
        <v>185.18</v>
      </c>
      <c r="Y464" s="6"/>
      <c r="Z464" s="6">
        <f ca="1">('TUSD BE'!$AM$15+'TUSD BF'!$AM$15+'TUSD CVA'!$AM$15)*1</f>
        <v>1302.3659842076513</v>
      </c>
      <c r="AA464" s="6">
        <f>('TE BE'!$AB$7+'TE BF'!$AB$7+'TE CVA'!$AB$7)*1</f>
        <v>198.18194779658231</v>
      </c>
      <c r="AB464" s="6">
        <f>$K$464*$V$464</f>
        <v>0</v>
      </c>
      <c r="AC464" s="6">
        <f>$M$464*$W$464</f>
        <v>261094.60620000001</v>
      </c>
      <c r="AD464" s="6">
        <f>$O$464*$X$464</f>
        <v>42988.796280000002</v>
      </c>
      <c r="AE464" s="6">
        <f>$K$464*$Y$464</f>
        <v>0</v>
      </c>
      <c r="AF464" s="6">
        <f ca="1">$M$464*$Z$464</f>
        <v>302339.05376986938</v>
      </c>
      <c r="AG464" s="6">
        <f>$O$464*$AA$464</f>
        <v>46007.146453185393</v>
      </c>
    </row>
    <row r="465" spans="1:33" ht="11.25" customHeight="1" x14ac:dyDescent="0.25">
      <c r="A465" s="4" t="s">
        <v>27</v>
      </c>
      <c r="B465" s="4" t="s">
        <v>35</v>
      </c>
      <c r="C465" s="4" t="s">
        <v>39</v>
      </c>
      <c r="D465" s="4" t="s">
        <v>34</v>
      </c>
      <c r="E465" s="4" t="s">
        <v>25</v>
      </c>
      <c r="F465" s="4" t="s">
        <v>25</v>
      </c>
      <c r="G465" s="4" t="s">
        <v>25</v>
      </c>
      <c r="H465" s="4" t="s">
        <v>37</v>
      </c>
      <c r="I465" s="5">
        <v>44652</v>
      </c>
      <c r="J465" s="6">
        <v>0</v>
      </c>
      <c r="K465" s="6">
        <v>0</v>
      </c>
      <c r="L465" s="6">
        <v>-0.154</v>
      </c>
      <c r="M465" s="6">
        <v>-0.154</v>
      </c>
      <c r="N465" s="6">
        <v>-0.154</v>
      </c>
      <c r="O465" s="6">
        <v>-0.154</v>
      </c>
      <c r="P465" s="6">
        <v>0</v>
      </c>
      <c r="Q465" s="4" t="s">
        <v>26</v>
      </c>
      <c r="R465" s="4">
        <v>0</v>
      </c>
      <c r="S465" s="6">
        <v>0</v>
      </c>
      <c r="T465" s="6">
        <v>12</v>
      </c>
      <c r="U465" s="6">
        <v>66</v>
      </c>
      <c r="V465" s="6">
        <f>IF(ISERROR(VLOOKUP($S$465,'TAR FIN'!$A$1:$O$93,15,0)),0,VLOOKUP($S$465,'TAR FIN'!$A$1:$O$93,15,0))</f>
        <v>0</v>
      </c>
      <c r="W465" s="6">
        <f>IF(ISERROR(VLOOKUP($T$465,'TAR FIN'!$A$1:$O$93,15,0)),0,VLOOKUP($T$465,'TAR FIN'!$A$1:$O$93,15,0))</f>
        <v>1124.7</v>
      </c>
      <c r="X465" s="6">
        <f>IF(ISERROR(VLOOKUP($U$465,'TAR FIN'!$A$1:$O$93,15,0)),0,VLOOKUP($U$465,'TAR FIN'!$A$1:$O$93,15,0))</f>
        <v>185.18</v>
      </c>
      <c r="Y465" s="6"/>
      <c r="Z465" s="6">
        <f ca="1">('TUSD BE'!$AM$15+'TUSD BF'!$AM$15+'TUSD CVA'!$AM$15)*1</f>
        <v>1302.3659842076513</v>
      </c>
      <c r="AA465" s="6">
        <f>('TE BE'!$AB$7+'TE BF'!$AB$7+'TE CVA'!$AB$7)*1</f>
        <v>198.18194779658231</v>
      </c>
      <c r="AB465" s="6">
        <f>$K$465*$V$465</f>
        <v>0</v>
      </c>
      <c r="AC465" s="6">
        <f>$M$465*$W$465</f>
        <v>-173.2038</v>
      </c>
      <c r="AD465" s="6">
        <f>$O$465*$X$465</f>
        <v>-28.517720000000001</v>
      </c>
      <c r="AE465" s="6">
        <f>$K$465*$Y$465</f>
        <v>0</v>
      </c>
      <c r="AF465" s="6">
        <f ca="1">$M$465*$Z$465</f>
        <v>-200.5643615679783</v>
      </c>
      <c r="AG465" s="6">
        <f>$O$465*$AA$465</f>
        <v>-30.520019960673675</v>
      </c>
    </row>
    <row r="466" spans="1:33" ht="11.25" customHeight="1" x14ac:dyDescent="0.25">
      <c r="A466" s="4" t="s">
        <v>28</v>
      </c>
      <c r="B466" s="4" t="s">
        <v>35</v>
      </c>
      <c r="C466" s="4" t="s">
        <v>39</v>
      </c>
      <c r="D466" s="4" t="s">
        <v>34</v>
      </c>
      <c r="E466" s="4" t="s">
        <v>25</v>
      </c>
      <c r="F466" s="4" t="s">
        <v>25</v>
      </c>
      <c r="G466" s="4" t="s">
        <v>25</v>
      </c>
      <c r="H466" s="4" t="s">
        <v>37</v>
      </c>
      <c r="I466" s="5">
        <v>44652</v>
      </c>
      <c r="J466" s="6">
        <v>0</v>
      </c>
      <c r="K466" s="6">
        <v>0</v>
      </c>
      <c r="L466" s="6">
        <v>55.688000000000002</v>
      </c>
      <c r="M466" s="6">
        <v>55.688000000000002</v>
      </c>
      <c r="N466" s="6">
        <v>55.688000000000002</v>
      </c>
      <c r="O466" s="6">
        <v>55.688000000000002</v>
      </c>
      <c r="P466" s="6">
        <v>0</v>
      </c>
      <c r="Q466" s="4" t="s">
        <v>26</v>
      </c>
      <c r="R466" s="4">
        <v>0</v>
      </c>
      <c r="S466" s="6">
        <v>0</v>
      </c>
      <c r="T466" s="6">
        <v>12</v>
      </c>
      <c r="U466" s="6">
        <v>66</v>
      </c>
      <c r="V466" s="6">
        <f>IF(ISERROR(VLOOKUP($S$466,'TAR FIN'!$A$1:$O$93,15,0)),0,VLOOKUP($S$466,'TAR FIN'!$A$1:$O$93,15,0))</f>
        <v>0</v>
      </c>
      <c r="W466" s="6">
        <f>IF(ISERROR(VLOOKUP($T$466,'TAR FIN'!$A$1:$O$93,15,0)),0,VLOOKUP($T$466,'TAR FIN'!$A$1:$O$93,15,0))</f>
        <v>1124.7</v>
      </c>
      <c r="X466" s="6">
        <f>IF(ISERROR(VLOOKUP($U$466,'TAR FIN'!$A$1:$O$93,15,0)),0,VLOOKUP($U$466,'TAR FIN'!$A$1:$O$93,15,0))</f>
        <v>185.18</v>
      </c>
      <c r="Y466" s="6"/>
      <c r="Z466" s="6">
        <f ca="1">('TUSD BE'!$AM$15+'TUSD BF'!$AM$15+'TUSD CVA'!$AM$15)*1</f>
        <v>1302.3659842076513</v>
      </c>
      <c r="AA466" s="6">
        <f>('TE BE'!$AB$7+'TE BF'!$AB$7+'TE CVA'!$AB$7)*1</f>
        <v>198.18194779658231</v>
      </c>
      <c r="AB466" s="6">
        <f>$K$466*$V$466</f>
        <v>0</v>
      </c>
      <c r="AC466" s="6">
        <f>$M$466*$W$466</f>
        <v>62632.293600000005</v>
      </c>
      <c r="AD466" s="6">
        <f>$O$466*$X$466</f>
        <v>10312.30384</v>
      </c>
      <c r="AE466" s="6">
        <f>$K$466*$Y$466</f>
        <v>0</v>
      </c>
      <c r="AF466" s="6">
        <f ca="1">$M$466*$Z$466</f>
        <v>72526.156928555691</v>
      </c>
      <c r="AG466" s="6">
        <f>$O$466*$AA$466</f>
        <v>11036.356308896076</v>
      </c>
    </row>
    <row r="467" spans="1:33" ht="11.25" customHeight="1" x14ac:dyDescent="0.25">
      <c r="A467" s="4" t="s">
        <v>21</v>
      </c>
      <c r="B467" s="4" t="s">
        <v>35</v>
      </c>
      <c r="C467" s="4" t="s">
        <v>39</v>
      </c>
      <c r="D467" s="4" t="s">
        <v>34</v>
      </c>
      <c r="E467" s="4" t="s">
        <v>25</v>
      </c>
      <c r="F467" s="4" t="s">
        <v>25</v>
      </c>
      <c r="G467" s="4" t="s">
        <v>25</v>
      </c>
      <c r="H467" s="4" t="s">
        <v>37</v>
      </c>
      <c r="I467" s="5">
        <v>44682</v>
      </c>
      <c r="J467" s="6">
        <v>0</v>
      </c>
      <c r="K467" s="6">
        <v>0</v>
      </c>
      <c r="L467" s="6">
        <v>222.875</v>
      </c>
      <c r="M467" s="6">
        <v>222.875</v>
      </c>
      <c r="N467" s="6">
        <v>222.875</v>
      </c>
      <c r="O467" s="6">
        <v>222.875</v>
      </c>
      <c r="P467" s="6">
        <v>0</v>
      </c>
      <c r="Q467" s="4" t="s">
        <v>26</v>
      </c>
      <c r="R467" s="4">
        <v>0</v>
      </c>
      <c r="S467" s="6">
        <v>0</v>
      </c>
      <c r="T467" s="6">
        <v>12</v>
      </c>
      <c r="U467" s="6">
        <v>66</v>
      </c>
      <c r="V467" s="6">
        <f>IF(ISERROR(VLOOKUP($S$467,'TAR FIN'!$A$1:$O$93,15,0)),0,VLOOKUP($S$467,'TAR FIN'!$A$1:$O$93,15,0))</f>
        <v>0</v>
      </c>
      <c r="W467" s="6">
        <f>IF(ISERROR(VLOOKUP($T$467,'TAR FIN'!$A$1:$O$93,15,0)),0,VLOOKUP($T$467,'TAR FIN'!$A$1:$O$93,15,0))</f>
        <v>1124.7</v>
      </c>
      <c r="X467" s="6">
        <f>IF(ISERROR(VLOOKUP($U$467,'TAR FIN'!$A$1:$O$93,15,0)),0,VLOOKUP($U$467,'TAR FIN'!$A$1:$O$93,15,0))</f>
        <v>185.18</v>
      </c>
      <c r="Y467" s="6"/>
      <c r="Z467" s="6">
        <f ca="1">('TUSD BE'!$AM$15+'TUSD BF'!$AM$15+'TUSD CVA'!$AM$15)*1</f>
        <v>1302.3659842076513</v>
      </c>
      <c r="AA467" s="6">
        <f>('TE BE'!$AB$7+'TE BF'!$AB$7+'TE CVA'!$AB$7)*1</f>
        <v>198.18194779658231</v>
      </c>
      <c r="AB467" s="6">
        <f>$K$467*$V$467</f>
        <v>0</v>
      </c>
      <c r="AC467" s="6">
        <f>$M$467*$W$467</f>
        <v>250667.51250000001</v>
      </c>
      <c r="AD467" s="6">
        <f>$O$467*$X$467</f>
        <v>41271.9925</v>
      </c>
      <c r="AE467" s="6">
        <f>$K$467*$Y$467</f>
        <v>0</v>
      </c>
      <c r="AF467" s="6">
        <f ca="1">$M$467*$Z$467</f>
        <v>290264.81873028027</v>
      </c>
      <c r="AG467" s="6">
        <f>$O$467*$AA$467</f>
        <v>44169.801615163284</v>
      </c>
    </row>
    <row r="468" spans="1:33" ht="11.25" customHeight="1" x14ac:dyDescent="0.25">
      <c r="A468" s="4" t="s">
        <v>27</v>
      </c>
      <c r="B468" s="4" t="s">
        <v>35</v>
      </c>
      <c r="C468" s="4" t="s">
        <v>39</v>
      </c>
      <c r="D468" s="4" t="s">
        <v>34</v>
      </c>
      <c r="E468" s="4" t="s">
        <v>25</v>
      </c>
      <c r="F468" s="4" t="s">
        <v>25</v>
      </c>
      <c r="G468" s="4" t="s">
        <v>25</v>
      </c>
      <c r="H468" s="4" t="s">
        <v>37</v>
      </c>
      <c r="I468" s="5">
        <v>44682</v>
      </c>
      <c r="J468" s="6">
        <v>0</v>
      </c>
      <c r="K468" s="6">
        <v>0</v>
      </c>
      <c r="L468" s="6">
        <v>-1.2649999999999999</v>
      </c>
      <c r="M468" s="6">
        <v>-1.2649999999999999</v>
      </c>
      <c r="N468" s="6">
        <v>-1.2649999999999999</v>
      </c>
      <c r="O468" s="6">
        <v>-1.2649999999999999</v>
      </c>
      <c r="P468" s="6">
        <v>0</v>
      </c>
      <c r="Q468" s="4" t="s">
        <v>26</v>
      </c>
      <c r="R468" s="4">
        <v>0</v>
      </c>
      <c r="S468" s="6">
        <v>0</v>
      </c>
      <c r="T468" s="6">
        <v>12</v>
      </c>
      <c r="U468" s="6">
        <v>66</v>
      </c>
      <c r="V468" s="6">
        <f>IF(ISERROR(VLOOKUP($S$468,'TAR FIN'!$A$1:$O$93,15,0)),0,VLOOKUP($S$468,'TAR FIN'!$A$1:$O$93,15,0))</f>
        <v>0</v>
      </c>
      <c r="W468" s="6">
        <f>IF(ISERROR(VLOOKUP($T$468,'TAR FIN'!$A$1:$O$93,15,0)),0,VLOOKUP($T$468,'TAR FIN'!$A$1:$O$93,15,0))</f>
        <v>1124.7</v>
      </c>
      <c r="X468" s="6">
        <f>IF(ISERROR(VLOOKUP($U$468,'TAR FIN'!$A$1:$O$93,15,0)),0,VLOOKUP($U$468,'TAR FIN'!$A$1:$O$93,15,0))</f>
        <v>185.18</v>
      </c>
      <c r="Y468" s="6"/>
      <c r="Z468" s="6">
        <f ca="1">('TUSD BE'!$AM$15+'TUSD BF'!$AM$15+'TUSD CVA'!$AM$15)*1</f>
        <v>1302.3659842076513</v>
      </c>
      <c r="AA468" s="6">
        <f>('TE BE'!$AB$7+'TE BF'!$AB$7+'TE CVA'!$AB$7)*1</f>
        <v>198.18194779658231</v>
      </c>
      <c r="AB468" s="6">
        <f>$K$468*$V$468</f>
        <v>0</v>
      </c>
      <c r="AC468" s="6">
        <f>$M$468*$W$468</f>
        <v>-1422.7455</v>
      </c>
      <c r="AD468" s="6">
        <f>$O$468*$X$468</f>
        <v>-234.2527</v>
      </c>
      <c r="AE468" s="6">
        <f>$K$468*$Y$468</f>
        <v>0</v>
      </c>
      <c r="AF468" s="6">
        <f ca="1">$M$468*$Z$468</f>
        <v>-1647.4929700226787</v>
      </c>
      <c r="AG468" s="6">
        <f>$O$468*$AA$468</f>
        <v>-250.70016396267661</v>
      </c>
    </row>
    <row r="469" spans="1:33" ht="11.25" customHeight="1" x14ac:dyDescent="0.25">
      <c r="A469" s="4" t="s">
        <v>28</v>
      </c>
      <c r="B469" s="4" t="s">
        <v>35</v>
      </c>
      <c r="C469" s="4" t="s">
        <v>39</v>
      </c>
      <c r="D469" s="4" t="s">
        <v>34</v>
      </c>
      <c r="E469" s="4" t="s">
        <v>25</v>
      </c>
      <c r="F469" s="4" t="s">
        <v>25</v>
      </c>
      <c r="G469" s="4" t="s">
        <v>25</v>
      </c>
      <c r="H469" s="4" t="s">
        <v>37</v>
      </c>
      <c r="I469" s="5">
        <v>44682</v>
      </c>
      <c r="J469" s="6">
        <v>0</v>
      </c>
      <c r="K469" s="6">
        <v>0</v>
      </c>
      <c r="L469" s="6">
        <v>29.966000000000001</v>
      </c>
      <c r="M469" s="6">
        <v>29.966000000000001</v>
      </c>
      <c r="N469" s="6">
        <v>29.966000000000001</v>
      </c>
      <c r="O469" s="6">
        <v>29.966000000000001</v>
      </c>
      <c r="P469" s="6">
        <v>0</v>
      </c>
      <c r="Q469" s="4" t="s">
        <v>26</v>
      </c>
      <c r="R469" s="4">
        <v>0</v>
      </c>
      <c r="S469" s="6">
        <v>0</v>
      </c>
      <c r="T469" s="6">
        <v>12</v>
      </c>
      <c r="U469" s="6">
        <v>66</v>
      </c>
      <c r="V469" s="6">
        <f>IF(ISERROR(VLOOKUP($S$469,'TAR FIN'!$A$1:$O$93,15,0)),0,VLOOKUP($S$469,'TAR FIN'!$A$1:$O$93,15,0))</f>
        <v>0</v>
      </c>
      <c r="W469" s="6">
        <f>IF(ISERROR(VLOOKUP($T$469,'TAR FIN'!$A$1:$O$93,15,0)),0,VLOOKUP($T$469,'TAR FIN'!$A$1:$O$93,15,0))</f>
        <v>1124.7</v>
      </c>
      <c r="X469" s="6">
        <f>IF(ISERROR(VLOOKUP($U$469,'TAR FIN'!$A$1:$O$93,15,0)),0,VLOOKUP($U$469,'TAR FIN'!$A$1:$O$93,15,0))</f>
        <v>185.18</v>
      </c>
      <c r="Y469" s="6"/>
      <c r="Z469" s="6">
        <f ca="1">('TUSD BE'!$AM$15+'TUSD BF'!$AM$15+'TUSD CVA'!$AM$15)*1</f>
        <v>1302.3659842076513</v>
      </c>
      <c r="AA469" s="6">
        <f>('TE BE'!$AB$7+'TE BF'!$AB$7+'TE CVA'!$AB$7)*1</f>
        <v>198.18194779658231</v>
      </c>
      <c r="AB469" s="6">
        <f>$K$469*$V$469</f>
        <v>0</v>
      </c>
      <c r="AC469" s="6">
        <f>$M$469*$W$469</f>
        <v>33702.760200000004</v>
      </c>
      <c r="AD469" s="6">
        <f>$O$469*$X$469</f>
        <v>5549.1038800000006</v>
      </c>
      <c r="AE469" s="6">
        <f>$K$469*$Y$469</f>
        <v>0</v>
      </c>
      <c r="AF469" s="6">
        <f ca="1">$M$469*$Z$469</f>
        <v>39026.699082766478</v>
      </c>
      <c r="AG469" s="6">
        <f>$O$469*$AA$469</f>
        <v>5938.720247672386</v>
      </c>
    </row>
    <row r="470" spans="1:33" ht="11.25" customHeight="1" x14ac:dyDescent="0.25">
      <c r="A470" s="4" t="s">
        <v>21</v>
      </c>
      <c r="B470" s="4" t="s">
        <v>35</v>
      </c>
      <c r="C470" s="4" t="s">
        <v>39</v>
      </c>
      <c r="D470" s="4" t="s">
        <v>34</v>
      </c>
      <c r="E470" s="4" t="s">
        <v>25</v>
      </c>
      <c r="F470" s="4" t="s">
        <v>25</v>
      </c>
      <c r="G470" s="4" t="s">
        <v>25</v>
      </c>
      <c r="H470" s="4" t="s">
        <v>37</v>
      </c>
      <c r="I470" s="5">
        <v>44713</v>
      </c>
      <c r="J470" s="6">
        <v>0</v>
      </c>
      <c r="K470" s="6">
        <v>0</v>
      </c>
      <c r="L470" s="6">
        <v>228.393</v>
      </c>
      <c r="M470" s="6">
        <v>228.393</v>
      </c>
      <c r="N470" s="6">
        <v>228.393</v>
      </c>
      <c r="O470" s="6">
        <v>228.393</v>
      </c>
      <c r="P470" s="6">
        <v>0</v>
      </c>
      <c r="Q470" s="4" t="s">
        <v>26</v>
      </c>
      <c r="R470" s="4">
        <v>0</v>
      </c>
      <c r="S470" s="6">
        <v>0</v>
      </c>
      <c r="T470" s="6">
        <v>12</v>
      </c>
      <c r="U470" s="6">
        <v>66</v>
      </c>
      <c r="V470" s="6">
        <f>IF(ISERROR(VLOOKUP($S$470,'TAR FIN'!$A$1:$O$93,15,0)),0,VLOOKUP($S$470,'TAR FIN'!$A$1:$O$93,15,0))</f>
        <v>0</v>
      </c>
      <c r="W470" s="6">
        <f>IF(ISERROR(VLOOKUP($T$470,'TAR FIN'!$A$1:$O$93,15,0)),0,VLOOKUP($T$470,'TAR FIN'!$A$1:$O$93,15,0))</f>
        <v>1124.7</v>
      </c>
      <c r="X470" s="6">
        <f>IF(ISERROR(VLOOKUP($U$470,'TAR FIN'!$A$1:$O$93,15,0)),0,VLOOKUP($U$470,'TAR FIN'!$A$1:$O$93,15,0))</f>
        <v>185.18</v>
      </c>
      <c r="Y470" s="6"/>
      <c r="Z470" s="6">
        <f ca="1">('TUSD BE'!$AM$15+'TUSD BF'!$AM$15+'TUSD CVA'!$AM$15)*1</f>
        <v>1302.3659842076513</v>
      </c>
      <c r="AA470" s="6">
        <f>('TE BE'!$AB$7+'TE BF'!$AB$7+'TE CVA'!$AB$7)*1</f>
        <v>198.18194779658231</v>
      </c>
      <c r="AB470" s="6">
        <f>$K$470*$V$470</f>
        <v>0</v>
      </c>
      <c r="AC470" s="6">
        <f>$M$470*$W$470</f>
        <v>256873.60710000002</v>
      </c>
      <c r="AD470" s="6">
        <f>$O$470*$X$470</f>
        <v>42293.815739999998</v>
      </c>
      <c r="AE470" s="6">
        <f>$K$470*$Y$470</f>
        <v>0</v>
      </c>
      <c r="AF470" s="6">
        <f ca="1">$M$470*$Z$470</f>
        <v>297451.27423113812</v>
      </c>
      <c r="AG470" s="6">
        <f>$O$470*$AA$470</f>
        <v>45263.369603104824</v>
      </c>
    </row>
    <row r="471" spans="1:33" ht="11.25" customHeight="1" x14ac:dyDescent="0.25">
      <c r="A471" s="4" t="s">
        <v>28</v>
      </c>
      <c r="B471" s="4" t="s">
        <v>35</v>
      </c>
      <c r="C471" s="4" t="s">
        <v>39</v>
      </c>
      <c r="D471" s="4" t="s">
        <v>34</v>
      </c>
      <c r="E471" s="4" t="s">
        <v>25</v>
      </c>
      <c r="F471" s="4" t="s">
        <v>25</v>
      </c>
      <c r="G471" s="4" t="s">
        <v>25</v>
      </c>
      <c r="H471" s="4" t="s">
        <v>37</v>
      </c>
      <c r="I471" s="5">
        <v>44713</v>
      </c>
      <c r="J471" s="6">
        <v>0</v>
      </c>
      <c r="K471" s="6">
        <v>0</v>
      </c>
      <c r="L471" s="6">
        <v>30.966999999999999</v>
      </c>
      <c r="M471" s="6">
        <v>30.966999999999999</v>
      </c>
      <c r="N471" s="6">
        <v>30.966999999999999</v>
      </c>
      <c r="O471" s="6">
        <v>30.966999999999999</v>
      </c>
      <c r="P471" s="6">
        <v>0</v>
      </c>
      <c r="Q471" s="4" t="s">
        <v>26</v>
      </c>
      <c r="R471" s="4">
        <v>0</v>
      </c>
      <c r="S471" s="6">
        <v>0</v>
      </c>
      <c r="T471" s="6">
        <v>12</v>
      </c>
      <c r="U471" s="6">
        <v>66</v>
      </c>
      <c r="V471" s="6">
        <f>IF(ISERROR(VLOOKUP($S$471,'TAR FIN'!$A$1:$O$93,15,0)),0,VLOOKUP($S$471,'TAR FIN'!$A$1:$O$93,15,0))</f>
        <v>0</v>
      </c>
      <c r="W471" s="6">
        <f>IF(ISERROR(VLOOKUP($T$471,'TAR FIN'!$A$1:$O$93,15,0)),0,VLOOKUP($T$471,'TAR FIN'!$A$1:$O$93,15,0))</f>
        <v>1124.7</v>
      </c>
      <c r="X471" s="6">
        <f>IF(ISERROR(VLOOKUP($U$471,'TAR FIN'!$A$1:$O$93,15,0)),0,VLOOKUP($U$471,'TAR FIN'!$A$1:$O$93,15,0))</f>
        <v>185.18</v>
      </c>
      <c r="Y471" s="6"/>
      <c r="Z471" s="6">
        <f ca="1">('TUSD BE'!$AM$15+'TUSD BF'!$AM$15+'TUSD CVA'!$AM$15)*1</f>
        <v>1302.3659842076513</v>
      </c>
      <c r="AA471" s="6">
        <f>('TE BE'!$AB$7+'TE BF'!$AB$7+'TE CVA'!$AB$7)*1</f>
        <v>198.18194779658231</v>
      </c>
      <c r="AB471" s="6">
        <f>$K$471*$V$471</f>
        <v>0</v>
      </c>
      <c r="AC471" s="6">
        <f>$M$471*$W$471</f>
        <v>34828.584900000002</v>
      </c>
      <c r="AD471" s="6">
        <f>$O$471*$X$471</f>
        <v>5734.4690600000004</v>
      </c>
      <c r="AE471" s="6">
        <f>$K$471*$Y$471</f>
        <v>0</v>
      </c>
      <c r="AF471" s="6">
        <f ca="1">$M$471*$Z$471</f>
        <v>40330.367432958337</v>
      </c>
      <c r="AG471" s="6">
        <f>$O$471*$AA$471</f>
        <v>6137.1003774167639</v>
      </c>
    </row>
    <row r="472" spans="1:33" ht="11.25" customHeight="1" x14ac:dyDescent="0.25">
      <c r="A472" s="4" t="s">
        <v>21</v>
      </c>
      <c r="B472" s="4" t="s">
        <v>35</v>
      </c>
      <c r="C472" s="4" t="s">
        <v>39</v>
      </c>
      <c r="D472" s="4" t="s">
        <v>43</v>
      </c>
      <c r="E472" s="4" t="s">
        <v>25</v>
      </c>
      <c r="F472" s="4" t="s">
        <v>25</v>
      </c>
      <c r="G472" s="4" t="s">
        <v>25</v>
      </c>
      <c r="H472" s="4" t="s">
        <v>38</v>
      </c>
      <c r="I472" s="5">
        <v>44378</v>
      </c>
      <c r="J472" s="6">
        <v>0</v>
      </c>
      <c r="K472" s="6">
        <v>0</v>
      </c>
      <c r="L472" s="6">
        <v>23.942</v>
      </c>
      <c r="M472" s="6">
        <v>23.942</v>
      </c>
      <c r="N472" s="6">
        <v>23.942</v>
      </c>
      <c r="O472" s="6">
        <v>23.942</v>
      </c>
      <c r="P472" s="6">
        <v>0</v>
      </c>
      <c r="Q472" s="4" t="s">
        <v>26</v>
      </c>
      <c r="R472" s="4">
        <v>0</v>
      </c>
      <c r="S472" s="6">
        <v>0</v>
      </c>
      <c r="T472" s="6">
        <v>25</v>
      </c>
      <c r="U472" s="6">
        <v>59</v>
      </c>
      <c r="V472" s="6">
        <f>IF(ISERROR(VLOOKUP($S$472,'TAR FIN'!$A$1:$O$93,15,0)),0,VLOOKUP($S$472,'TAR FIN'!$A$1:$O$93,15,0))</f>
        <v>0</v>
      </c>
      <c r="W472" s="6">
        <f>IF(ISERROR(VLOOKUP($T$472,'TAR FIN'!$A$1:$O$93,15,0)),0,VLOOKUP($T$472,'TAR FIN'!$A$1:$O$93,15,0))</f>
        <v>69.489999999999995</v>
      </c>
      <c r="X472" s="6">
        <f>IF(ISERROR(VLOOKUP($U$472,'TAR FIN'!$A$1:$O$93,15,0)),0,VLOOKUP($U$472,'TAR FIN'!$A$1:$O$93,15,0))</f>
        <v>185.18</v>
      </c>
      <c r="Y472" s="6"/>
      <c r="Z472" s="6">
        <f ca="1">('TUSD BE'!$AM$16+'TUSD BF'!$AM$16+'TUSD CVA'!$AM$16)*1</f>
        <v>92.504793470158234</v>
      </c>
      <c r="AA472" s="6">
        <f>('TE BE'!$AB$8+'TE BF'!$AB$8+'TE CVA'!$AB$8)*1</f>
        <v>198.18194779658231</v>
      </c>
      <c r="AB472" s="6">
        <f>$K$472*$V$472</f>
        <v>0</v>
      </c>
      <c r="AC472" s="6">
        <f>$M$472*$W$472</f>
        <v>1663.7295799999999</v>
      </c>
      <c r="AD472" s="6">
        <f>$O$472*$X$472</f>
        <v>4433.5795600000001</v>
      </c>
      <c r="AE472" s="6">
        <f>$K$472*$Y$472</f>
        <v>0</v>
      </c>
      <c r="AF472" s="6">
        <f ca="1">$M$472*$Z$472</f>
        <v>2214.7497652625284</v>
      </c>
      <c r="AG472" s="6">
        <f>$O$472*$AA$472</f>
        <v>4744.8721941457734</v>
      </c>
    </row>
    <row r="473" spans="1:33" ht="11.25" customHeight="1" x14ac:dyDescent="0.25">
      <c r="A473" s="4" t="s">
        <v>27</v>
      </c>
      <c r="B473" s="4" t="s">
        <v>35</v>
      </c>
      <c r="C473" s="4" t="s">
        <v>39</v>
      </c>
      <c r="D473" s="4" t="s">
        <v>43</v>
      </c>
      <c r="E473" s="4" t="s">
        <v>25</v>
      </c>
      <c r="F473" s="4" t="s">
        <v>25</v>
      </c>
      <c r="G473" s="4" t="s">
        <v>25</v>
      </c>
      <c r="H473" s="4" t="s">
        <v>38</v>
      </c>
      <c r="I473" s="5">
        <v>44378</v>
      </c>
      <c r="J473" s="6">
        <v>0</v>
      </c>
      <c r="K473" s="6">
        <v>0</v>
      </c>
      <c r="L473" s="6">
        <v>-4.55</v>
      </c>
      <c r="M473" s="6">
        <v>-4.55</v>
      </c>
      <c r="N473" s="6">
        <v>-4.55</v>
      </c>
      <c r="O473" s="6">
        <v>-4.55</v>
      </c>
      <c r="P473" s="6">
        <v>0</v>
      </c>
      <c r="Q473" s="4" t="s">
        <v>26</v>
      </c>
      <c r="R473" s="4">
        <v>0</v>
      </c>
      <c r="S473" s="6">
        <v>0</v>
      </c>
      <c r="T473" s="6">
        <v>25</v>
      </c>
      <c r="U473" s="6">
        <v>59</v>
      </c>
      <c r="V473" s="6">
        <f>IF(ISERROR(VLOOKUP($S$473,'TAR FIN'!$A$1:$O$93,15,0)),0,VLOOKUP($S$473,'TAR FIN'!$A$1:$O$93,15,0))</f>
        <v>0</v>
      </c>
      <c r="W473" s="6">
        <f>IF(ISERROR(VLOOKUP($T$473,'TAR FIN'!$A$1:$O$93,15,0)),0,VLOOKUP($T$473,'TAR FIN'!$A$1:$O$93,15,0))</f>
        <v>69.489999999999995</v>
      </c>
      <c r="X473" s="6">
        <f>IF(ISERROR(VLOOKUP($U$473,'TAR FIN'!$A$1:$O$93,15,0)),0,VLOOKUP($U$473,'TAR FIN'!$A$1:$O$93,15,0))</f>
        <v>185.18</v>
      </c>
      <c r="Y473" s="6"/>
      <c r="Z473" s="6">
        <f ca="1">('TUSD BE'!$AM$16+'TUSD BF'!$AM$16+'TUSD CVA'!$AM$16)*1</f>
        <v>92.504793470158234</v>
      </c>
      <c r="AA473" s="6">
        <f>('TE BE'!$AB$8+'TE BF'!$AB$8+'TE CVA'!$AB$8)*1</f>
        <v>198.18194779658231</v>
      </c>
      <c r="AB473" s="6">
        <f>$K$473*$V$473</f>
        <v>0</v>
      </c>
      <c r="AC473" s="6">
        <f>$M$473*$W$473</f>
        <v>-316.17949999999996</v>
      </c>
      <c r="AD473" s="6">
        <f>$O$473*$X$473</f>
        <v>-842.56899999999996</v>
      </c>
      <c r="AE473" s="6">
        <f>$K$473*$Y$473</f>
        <v>0</v>
      </c>
      <c r="AF473" s="6">
        <f ca="1">$M$473*$Z$473</f>
        <v>-420.89681028921996</v>
      </c>
      <c r="AG473" s="6">
        <f>$O$473*$AA$473</f>
        <v>-901.72786247444947</v>
      </c>
    </row>
    <row r="474" spans="1:33" ht="11.25" customHeight="1" x14ac:dyDescent="0.25">
      <c r="A474" s="4" t="s">
        <v>21</v>
      </c>
      <c r="B474" s="4" t="s">
        <v>35</v>
      </c>
      <c r="C474" s="4" t="s">
        <v>39</v>
      </c>
      <c r="D474" s="4" t="s">
        <v>43</v>
      </c>
      <c r="E474" s="4" t="s">
        <v>25</v>
      </c>
      <c r="F474" s="4" t="s">
        <v>25</v>
      </c>
      <c r="G474" s="4" t="s">
        <v>25</v>
      </c>
      <c r="H474" s="4" t="s">
        <v>38</v>
      </c>
      <c r="I474" s="5">
        <v>44409</v>
      </c>
      <c r="J474" s="6">
        <v>0</v>
      </c>
      <c r="K474" s="6">
        <v>0</v>
      </c>
      <c r="L474" s="6">
        <v>20.742999999999999</v>
      </c>
      <c r="M474" s="6">
        <v>20.742999999999999</v>
      </c>
      <c r="N474" s="6">
        <v>20.742999999999999</v>
      </c>
      <c r="O474" s="6">
        <v>20.742999999999999</v>
      </c>
      <c r="P474" s="6">
        <v>0</v>
      </c>
      <c r="Q474" s="4" t="s">
        <v>26</v>
      </c>
      <c r="R474" s="4">
        <v>0</v>
      </c>
      <c r="S474" s="6">
        <v>0</v>
      </c>
      <c r="T474" s="6">
        <v>25</v>
      </c>
      <c r="U474" s="6">
        <v>59</v>
      </c>
      <c r="V474" s="6">
        <f>IF(ISERROR(VLOOKUP($S$474,'TAR FIN'!$A$1:$O$93,15,0)),0,VLOOKUP($S$474,'TAR FIN'!$A$1:$O$93,15,0))</f>
        <v>0</v>
      </c>
      <c r="W474" s="6">
        <f>IF(ISERROR(VLOOKUP($T$474,'TAR FIN'!$A$1:$O$93,15,0)),0,VLOOKUP($T$474,'TAR FIN'!$A$1:$O$93,15,0))</f>
        <v>69.489999999999995</v>
      </c>
      <c r="X474" s="6">
        <f>IF(ISERROR(VLOOKUP($U$474,'TAR FIN'!$A$1:$O$93,15,0)),0,VLOOKUP($U$474,'TAR FIN'!$A$1:$O$93,15,0))</f>
        <v>185.18</v>
      </c>
      <c r="Y474" s="6"/>
      <c r="Z474" s="6">
        <f ca="1">('TUSD BE'!$AM$16+'TUSD BF'!$AM$16+'TUSD CVA'!$AM$16)*1</f>
        <v>92.504793470158234</v>
      </c>
      <c r="AA474" s="6">
        <f>('TE BE'!$AB$8+'TE BF'!$AB$8+'TE CVA'!$AB$8)*1</f>
        <v>198.18194779658231</v>
      </c>
      <c r="AB474" s="6">
        <f>$K$474*$V$474</f>
        <v>0</v>
      </c>
      <c r="AC474" s="6">
        <f>$M$474*$W$474</f>
        <v>1441.4310699999999</v>
      </c>
      <c r="AD474" s="6">
        <f>$O$474*$X$474</f>
        <v>3841.1887400000001</v>
      </c>
      <c r="AE474" s="6">
        <f>$K$474*$Y$474</f>
        <v>0</v>
      </c>
      <c r="AF474" s="6">
        <f ca="1">$M$474*$Z$474</f>
        <v>1918.8269309514922</v>
      </c>
      <c r="AG474" s="6">
        <f>$O$474*$AA$474</f>
        <v>4110.8881431445061</v>
      </c>
    </row>
    <row r="475" spans="1:33" ht="11.25" customHeight="1" x14ac:dyDescent="0.25">
      <c r="A475" s="4" t="s">
        <v>21</v>
      </c>
      <c r="B475" s="4" t="s">
        <v>35</v>
      </c>
      <c r="C475" s="4" t="s">
        <v>39</v>
      </c>
      <c r="D475" s="4" t="s">
        <v>43</v>
      </c>
      <c r="E475" s="4" t="s">
        <v>25</v>
      </c>
      <c r="F475" s="4" t="s">
        <v>25</v>
      </c>
      <c r="G475" s="4" t="s">
        <v>25</v>
      </c>
      <c r="H475" s="4" t="s">
        <v>38</v>
      </c>
      <c r="I475" s="5">
        <v>44440</v>
      </c>
      <c r="J475" s="6">
        <v>0</v>
      </c>
      <c r="K475" s="6">
        <v>0</v>
      </c>
      <c r="L475" s="6">
        <v>20.61</v>
      </c>
      <c r="M475" s="6">
        <v>20.61</v>
      </c>
      <c r="N475" s="6">
        <v>20.61</v>
      </c>
      <c r="O475" s="6">
        <v>20.61</v>
      </c>
      <c r="P475" s="6">
        <v>0</v>
      </c>
      <c r="Q475" s="4" t="s">
        <v>26</v>
      </c>
      <c r="R475" s="4">
        <v>0</v>
      </c>
      <c r="S475" s="6">
        <v>0</v>
      </c>
      <c r="T475" s="6">
        <v>25</v>
      </c>
      <c r="U475" s="6">
        <v>59</v>
      </c>
      <c r="V475" s="6">
        <f>IF(ISERROR(VLOOKUP($S$475,'TAR FIN'!$A$1:$O$93,15,0)),0,VLOOKUP($S$475,'TAR FIN'!$A$1:$O$93,15,0))</f>
        <v>0</v>
      </c>
      <c r="W475" s="6">
        <f>IF(ISERROR(VLOOKUP($T$475,'TAR FIN'!$A$1:$O$93,15,0)),0,VLOOKUP($T$475,'TAR FIN'!$A$1:$O$93,15,0))</f>
        <v>69.489999999999995</v>
      </c>
      <c r="X475" s="6">
        <f>IF(ISERROR(VLOOKUP($U$475,'TAR FIN'!$A$1:$O$93,15,0)),0,VLOOKUP($U$475,'TAR FIN'!$A$1:$O$93,15,0))</f>
        <v>185.18</v>
      </c>
      <c r="Y475" s="6"/>
      <c r="Z475" s="6">
        <f ca="1">('TUSD BE'!$AM$16+'TUSD BF'!$AM$16+'TUSD CVA'!$AM$16)*1</f>
        <v>92.504793470158234</v>
      </c>
      <c r="AA475" s="6">
        <f>('TE BE'!$AB$8+'TE BF'!$AB$8+'TE CVA'!$AB$8)*1</f>
        <v>198.18194779658231</v>
      </c>
      <c r="AB475" s="6">
        <f>$K$475*$V$475</f>
        <v>0</v>
      </c>
      <c r="AC475" s="6">
        <f>$M$475*$W$475</f>
        <v>1432.1888999999999</v>
      </c>
      <c r="AD475" s="6">
        <f>$O$475*$X$475</f>
        <v>3816.5598</v>
      </c>
      <c r="AE475" s="6">
        <f>$K$475*$Y$475</f>
        <v>0</v>
      </c>
      <c r="AF475" s="6">
        <f ca="1">$M$475*$Z$475</f>
        <v>1906.5237934199611</v>
      </c>
      <c r="AG475" s="6">
        <f>$O$475*$AA$475</f>
        <v>4084.529944087561</v>
      </c>
    </row>
    <row r="476" spans="1:33" ht="11.25" customHeight="1" x14ac:dyDescent="0.25">
      <c r="A476" s="4" t="s">
        <v>21</v>
      </c>
      <c r="B476" s="4" t="s">
        <v>35</v>
      </c>
      <c r="C476" s="4" t="s">
        <v>39</v>
      </c>
      <c r="D476" s="4" t="s">
        <v>43</v>
      </c>
      <c r="E476" s="4" t="s">
        <v>25</v>
      </c>
      <c r="F476" s="4" t="s">
        <v>25</v>
      </c>
      <c r="G476" s="4" t="s">
        <v>25</v>
      </c>
      <c r="H476" s="4" t="s">
        <v>38</v>
      </c>
      <c r="I476" s="5">
        <v>44470</v>
      </c>
      <c r="J476" s="6">
        <v>0</v>
      </c>
      <c r="K476" s="6">
        <v>0</v>
      </c>
      <c r="L476" s="6">
        <v>16.742000000000001</v>
      </c>
      <c r="M476" s="6">
        <v>16.742000000000001</v>
      </c>
      <c r="N476" s="6">
        <v>16.742000000000001</v>
      </c>
      <c r="O476" s="6">
        <v>16.742000000000001</v>
      </c>
      <c r="P476" s="6">
        <v>0</v>
      </c>
      <c r="Q476" s="4" t="s">
        <v>26</v>
      </c>
      <c r="R476" s="4">
        <v>0</v>
      </c>
      <c r="S476" s="6">
        <v>0</v>
      </c>
      <c r="T476" s="6">
        <v>25</v>
      </c>
      <c r="U476" s="6">
        <v>59</v>
      </c>
      <c r="V476" s="6">
        <f>IF(ISERROR(VLOOKUP($S$476,'TAR FIN'!$A$1:$O$93,15,0)),0,VLOOKUP($S$476,'TAR FIN'!$A$1:$O$93,15,0))</f>
        <v>0</v>
      </c>
      <c r="W476" s="6">
        <f>IF(ISERROR(VLOOKUP($T$476,'TAR FIN'!$A$1:$O$93,15,0)),0,VLOOKUP($T$476,'TAR FIN'!$A$1:$O$93,15,0))</f>
        <v>69.489999999999995</v>
      </c>
      <c r="X476" s="6">
        <f>IF(ISERROR(VLOOKUP($U$476,'TAR FIN'!$A$1:$O$93,15,0)),0,VLOOKUP($U$476,'TAR FIN'!$A$1:$O$93,15,0))</f>
        <v>185.18</v>
      </c>
      <c r="Y476" s="6"/>
      <c r="Z476" s="6">
        <f ca="1">('TUSD BE'!$AM$16+'TUSD BF'!$AM$16+'TUSD CVA'!$AM$16)*1</f>
        <v>92.504793470158234</v>
      </c>
      <c r="AA476" s="6">
        <f>('TE BE'!$AB$8+'TE BF'!$AB$8+'TE CVA'!$AB$8)*1</f>
        <v>198.18194779658231</v>
      </c>
      <c r="AB476" s="6">
        <f>$K$476*$V$476</f>
        <v>0</v>
      </c>
      <c r="AC476" s="6">
        <f>$M$476*$W$476</f>
        <v>1163.40158</v>
      </c>
      <c r="AD476" s="6">
        <f>$O$476*$X$476</f>
        <v>3100.2835600000003</v>
      </c>
      <c r="AE476" s="6">
        <f>$K$476*$Y$476</f>
        <v>0</v>
      </c>
      <c r="AF476" s="6">
        <f ca="1">$M$476*$Z$476</f>
        <v>1548.7152522773893</v>
      </c>
      <c r="AG476" s="6">
        <f>$O$476*$AA$476</f>
        <v>3317.9621700103812</v>
      </c>
    </row>
    <row r="477" spans="1:33" ht="11.25" customHeight="1" x14ac:dyDescent="0.25">
      <c r="A477" s="4" t="s">
        <v>21</v>
      </c>
      <c r="B477" s="4" t="s">
        <v>35</v>
      </c>
      <c r="C477" s="4" t="s">
        <v>39</v>
      </c>
      <c r="D477" s="4" t="s">
        <v>43</v>
      </c>
      <c r="E477" s="4" t="s">
        <v>25</v>
      </c>
      <c r="F477" s="4" t="s">
        <v>25</v>
      </c>
      <c r="G477" s="4" t="s">
        <v>25</v>
      </c>
      <c r="H477" s="4" t="s">
        <v>38</v>
      </c>
      <c r="I477" s="5">
        <v>44501</v>
      </c>
      <c r="J477" s="6">
        <v>0</v>
      </c>
      <c r="K477" s="6">
        <v>0</v>
      </c>
      <c r="L477" s="6">
        <v>19.446000000000002</v>
      </c>
      <c r="M477" s="6">
        <v>19.446000000000002</v>
      </c>
      <c r="N477" s="6">
        <v>19.446000000000002</v>
      </c>
      <c r="O477" s="6">
        <v>19.446000000000002</v>
      </c>
      <c r="P477" s="6">
        <v>0</v>
      </c>
      <c r="Q477" s="4" t="s">
        <v>26</v>
      </c>
      <c r="R477" s="4">
        <v>0</v>
      </c>
      <c r="S477" s="6">
        <v>0</v>
      </c>
      <c r="T477" s="6">
        <v>25</v>
      </c>
      <c r="U477" s="6">
        <v>59</v>
      </c>
      <c r="V477" s="6">
        <f>IF(ISERROR(VLOOKUP($S$477,'TAR FIN'!$A$1:$O$93,15,0)),0,VLOOKUP($S$477,'TAR FIN'!$A$1:$O$93,15,0))</f>
        <v>0</v>
      </c>
      <c r="W477" s="6">
        <f>IF(ISERROR(VLOOKUP($T$477,'TAR FIN'!$A$1:$O$93,15,0)),0,VLOOKUP($T$477,'TAR FIN'!$A$1:$O$93,15,0))</f>
        <v>69.489999999999995</v>
      </c>
      <c r="X477" s="6">
        <f>IF(ISERROR(VLOOKUP($U$477,'TAR FIN'!$A$1:$O$93,15,0)),0,VLOOKUP($U$477,'TAR FIN'!$A$1:$O$93,15,0))</f>
        <v>185.18</v>
      </c>
      <c r="Y477" s="6"/>
      <c r="Z477" s="6">
        <f ca="1">('TUSD BE'!$AM$16+'TUSD BF'!$AM$16+'TUSD CVA'!$AM$16)*1</f>
        <v>92.504793470158234</v>
      </c>
      <c r="AA477" s="6">
        <f>('TE BE'!$AB$8+'TE BF'!$AB$8+'TE CVA'!$AB$8)*1</f>
        <v>198.18194779658231</v>
      </c>
      <c r="AB477" s="6">
        <f>$K$477*$V$477</f>
        <v>0</v>
      </c>
      <c r="AC477" s="6">
        <f>$M$477*$W$477</f>
        <v>1351.3025399999999</v>
      </c>
      <c r="AD477" s="6">
        <f>$O$477*$X$477</f>
        <v>3601.0102800000004</v>
      </c>
      <c r="AE477" s="6">
        <f>$K$477*$Y$477</f>
        <v>0</v>
      </c>
      <c r="AF477" s="6">
        <f ca="1">$M$477*$Z$477</f>
        <v>1798.8482138206971</v>
      </c>
      <c r="AG477" s="6">
        <f>$O$477*$AA$477</f>
        <v>3853.8461568523398</v>
      </c>
    </row>
    <row r="478" spans="1:33" ht="11.25" customHeight="1" x14ac:dyDescent="0.25">
      <c r="A478" s="4" t="s">
        <v>21</v>
      </c>
      <c r="B478" s="4" t="s">
        <v>35</v>
      </c>
      <c r="C478" s="4" t="s">
        <v>39</v>
      </c>
      <c r="D478" s="4" t="s">
        <v>43</v>
      </c>
      <c r="E478" s="4" t="s">
        <v>25</v>
      </c>
      <c r="F478" s="4" t="s">
        <v>25</v>
      </c>
      <c r="G478" s="4" t="s">
        <v>25</v>
      </c>
      <c r="H478" s="4" t="s">
        <v>38</v>
      </c>
      <c r="I478" s="5">
        <v>44531</v>
      </c>
      <c r="J478" s="6">
        <v>0</v>
      </c>
      <c r="K478" s="6">
        <v>0</v>
      </c>
      <c r="L478" s="6">
        <v>21.465</v>
      </c>
      <c r="M478" s="6">
        <v>21.465</v>
      </c>
      <c r="N478" s="6">
        <v>21.465</v>
      </c>
      <c r="O478" s="6">
        <v>21.465</v>
      </c>
      <c r="P478" s="6">
        <v>0</v>
      </c>
      <c r="Q478" s="4" t="s">
        <v>26</v>
      </c>
      <c r="R478" s="4">
        <v>0</v>
      </c>
      <c r="S478" s="6">
        <v>0</v>
      </c>
      <c r="T478" s="6">
        <v>25</v>
      </c>
      <c r="U478" s="6">
        <v>59</v>
      </c>
      <c r="V478" s="6">
        <f>IF(ISERROR(VLOOKUP($S$478,'TAR FIN'!$A$1:$O$93,15,0)),0,VLOOKUP($S$478,'TAR FIN'!$A$1:$O$93,15,0))</f>
        <v>0</v>
      </c>
      <c r="W478" s="6">
        <f>IF(ISERROR(VLOOKUP($T$478,'TAR FIN'!$A$1:$O$93,15,0)),0,VLOOKUP($T$478,'TAR FIN'!$A$1:$O$93,15,0))</f>
        <v>69.489999999999995</v>
      </c>
      <c r="X478" s="6">
        <f>IF(ISERROR(VLOOKUP($U$478,'TAR FIN'!$A$1:$O$93,15,0)),0,VLOOKUP($U$478,'TAR FIN'!$A$1:$O$93,15,0))</f>
        <v>185.18</v>
      </c>
      <c r="Y478" s="6"/>
      <c r="Z478" s="6">
        <f ca="1">('TUSD BE'!$AM$16+'TUSD BF'!$AM$16+'TUSD CVA'!$AM$16)*1</f>
        <v>92.504793470158234</v>
      </c>
      <c r="AA478" s="6">
        <f>('TE BE'!$AB$8+'TE BF'!$AB$8+'TE CVA'!$AB$8)*1</f>
        <v>198.18194779658231</v>
      </c>
      <c r="AB478" s="6">
        <f>$K$478*$V$478</f>
        <v>0</v>
      </c>
      <c r="AC478" s="6">
        <f>$M$478*$W$478</f>
        <v>1491.60285</v>
      </c>
      <c r="AD478" s="6">
        <f>$O$478*$X$478</f>
        <v>3974.8887</v>
      </c>
      <c r="AE478" s="6">
        <f>$K$478*$Y$478</f>
        <v>0</v>
      </c>
      <c r="AF478" s="6">
        <f ca="1">$M$478*$Z$478</f>
        <v>1985.6153918369464</v>
      </c>
      <c r="AG478" s="6">
        <f>$O$478*$AA$478</f>
        <v>4253.9755094536395</v>
      </c>
    </row>
    <row r="479" spans="1:33" ht="11.25" customHeight="1" x14ac:dyDescent="0.25">
      <c r="A479" s="4" t="s">
        <v>21</v>
      </c>
      <c r="B479" s="4" t="s">
        <v>35</v>
      </c>
      <c r="C479" s="4" t="s">
        <v>39</v>
      </c>
      <c r="D479" s="4" t="s">
        <v>43</v>
      </c>
      <c r="E479" s="4" t="s">
        <v>25</v>
      </c>
      <c r="F479" s="4" t="s">
        <v>25</v>
      </c>
      <c r="G479" s="4" t="s">
        <v>25</v>
      </c>
      <c r="H479" s="4" t="s">
        <v>38</v>
      </c>
      <c r="I479" s="5">
        <v>44562</v>
      </c>
      <c r="J479" s="6">
        <v>0</v>
      </c>
      <c r="K479" s="6">
        <v>0</v>
      </c>
      <c r="L479" s="6">
        <v>20.318000000000001</v>
      </c>
      <c r="M479" s="6">
        <v>20.318000000000001</v>
      </c>
      <c r="N479" s="6">
        <v>20.318000000000001</v>
      </c>
      <c r="O479" s="6">
        <v>20.318000000000001</v>
      </c>
      <c r="P479" s="6">
        <v>0</v>
      </c>
      <c r="Q479" s="4" t="s">
        <v>26</v>
      </c>
      <c r="R479" s="4">
        <v>0</v>
      </c>
      <c r="S479" s="6">
        <v>0</v>
      </c>
      <c r="T479" s="6">
        <v>25</v>
      </c>
      <c r="U479" s="6">
        <v>59</v>
      </c>
      <c r="V479" s="6">
        <f>IF(ISERROR(VLOOKUP($S$479,'TAR FIN'!$A$1:$O$93,15,0)),0,VLOOKUP($S$479,'TAR FIN'!$A$1:$O$93,15,0))</f>
        <v>0</v>
      </c>
      <c r="W479" s="6">
        <f>IF(ISERROR(VLOOKUP($T$479,'TAR FIN'!$A$1:$O$93,15,0)),0,VLOOKUP($T$479,'TAR FIN'!$A$1:$O$93,15,0))</f>
        <v>69.489999999999995</v>
      </c>
      <c r="X479" s="6">
        <f>IF(ISERROR(VLOOKUP($U$479,'TAR FIN'!$A$1:$O$93,15,0)),0,VLOOKUP($U$479,'TAR FIN'!$A$1:$O$93,15,0))</f>
        <v>185.18</v>
      </c>
      <c r="Y479" s="6"/>
      <c r="Z479" s="6">
        <f ca="1">('TUSD BE'!$AM$16+'TUSD BF'!$AM$16+'TUSD CVA'!$AM$16)*1</f>
        <v>92.504793470158234</v>
      </c>
      <c r="AA479" s="6">
        <f>('TE BE'!$AB$8+'TE BF'!$AB$8+'TE CVA'!$AB$8)*1</f>
        <v>198.18194779658231</v>
      </c>
      <c r="AB479" s="6">
        <f>$K$479*$V$479</f>
        <v>0</v>
      </c>
      <c r="AC479" s="6">
        <f>$M$479*$W$479</f>
        <v>1411.8978199999999</v>
      </c>
      <c r="AD479" s="6">
        <f>$O$479*$X$479</f>
        <v>3762.4872400000004</v>
      </c>
      <c r="AE479" s="6">
        <f>$K$479*$Y$479</f>
        <v>0</v>
      </c>
      <c r="AF479" s="6">
        <f ca="1">$M$479*$Z$479</f>
        <v>1879.5123937266751</v>
      </c>
      <c r="AG479" s="6">
        <f>$O$479*$AA$479</f>
        <v>4026.6608153309594</v>
      </c>
    </row>
    <row r="480" spans="1:33" ht="11.25" customHeight="1" x14ac:dyDescent="0.25">
      <c r="A480" s="4" t="s">
        <v>21</v>
      </c>
      <c r="B480" s="4" t="s">
        <v>35</v>
      </c>
      <c r="C480" s="4" t="s">
        <v>39</v>
      </c>
      <c r="D480" s="4" t="s">
        <v>43</v>
      </c>
      <c r="E480" s="4" t="s">
        <v>25</v>
      </c>
      <c r="F480" s="4" t="s">
        <v>25</v>
      </c>
      <c r="G480" s="4" t="s">
        <v>25</v>
      </c>
      <c r="H480" s="4" t="s">
        <v>38</v>
      </c>
      <c r="I480" s="5">
        <v>44593</v>
      </c>
      <c r="J480" s="6">
        <v>0</v>
      </c>
      <c r="K480" s="6">
        <v>0</v>
      </c>
      <c r="L480" s="6">
        <v>5.444</v>
      </c>
      <c r="M480" s="6">
        <v>5.444</v>
      </c>
      <c r="N480" s="6">
        <v>5.444</v>
      </c>
      <c r="O480" s="6">
        <v>5.444</v>
      </c>
      <c r="P480" s="6">
        <v>0</v>
      </c>
      <c r="Q480" s="4" t="s">
        <v>26</v>
      </c>
      <c r="R480" s="4">
        <v>0</v>
      </c>
      <c r="S480" s="6">
        <v>0</v>
      </c>
      <c r="T480" s="6">
        <v>25</v>
      </c>
      <c r="U480" s="6">
        <v>59</v>
      </c>
      <c r="V480" s="6">
        <f>IF(ISERROR(VLOOKUP($S$480,'TAR FIN'!$A$1:$O$93,15,0)),0,VLOOKUP($S$480,'TAR FIN'!$A$1:$O$93,15,0))</f>
        <v>0</v>
      </c>
      <c r="W480" s="6">
        <f>IF(ISERROR(VLOOKUP($T$480,'TAR FIN'!$A$1:$O$93,15,0)),0,VLOOKUP($T$480,'TAR FIN'!$A$1:$O$93,15,0))</f>
        <v>69.489999999999995</v>
      </c>
      <c r="X480" s="6">
        <f>IF(ISERROR(VLOOKUP($U$480,'TAR FIN'!$A$1:$O$93,15,0)),0,VLOOKUP($U$480,'TAR FIN'!$A$1:$O$93,15,0))</f>
        <v>185.18</v>
      </c>
      <c r="Y480" s="6"/>
      <c r="Z480" s="6">
        <f ca="1">('TUSD BE'!$AM$16+'TUSD BF'!$AM$16+'TUSD CVA'!$AM$16)*1</f>
        <v>92.504793470158234</v>
      </c>
      <c r="AA480" s="6">
        <f>('TE BE'!$AB$8+'TE BF'!$AB$8+'TE CVA'!$AB$8)*1</f>
        <v>198.18194779658231</v>
      </c>
      <c r="AB480" s="6">
        <f>$K$480*$V$480</f>
        <v>0</v>
      </c>
      <c r="AC480" s="6">
        <f>$M$480*$W$480</f>
        <v>378.30355999999995</v>
      </c>
      <c r="AD480" s="6">
        <f>$O$480*$X$480</f>
        <v>1008.11992</v>
      </c>
      <c r="AE480" s="6">
        <f>$K$480*$Y$480</f>
        <v>0</v>
      </c>
      <c r="AF480" s="6">
        <f ca="1">$M$480*$Z$480</f>
        <v>503.59609565154142</v>
      </c>
      <c r="AG480" s="6">
        <f>$O$480*$AA$480</f>
        <v>1078.902523804594</v>
      </c>
    </row>
    <row r="481" spans="1:33" ht="11.25" customHeight="1" x14ac:dyDescent="0.25">
      <c r="A481" s="4" t="s">
        <v>21</v>
      </c>
      <c r="B481" s="4" t="s">
        <v>35</v>
      </c>
      <c r="C481" s="4" t="s">
        <v>39</v>
      </c>
      <c r="D481" s="4" t="s">
        <v>43</v>
      </c>
      <c r="E481" s="4" t="s">
        <v>25</v>
      </c>
      <c r="F481" s="4" t="s">
        <v>25</v>
      </c>
      <c r="G481" s="4" t="s">
        <v>25</v>
      </c>
      <c r="H481" s="4" t="s">
        <v>38</v>
      </c>
      <c r="I481" s="5">
        <v>44621</v>
      </c>
      <c r="J481" s="6">
        <v>0</v>
      </c>
      <c r="K481" s="6">
        <v>0</v>
      </c>
      <c r="L481" s="6">
        <v>7.0119999999999996</v>
      </c>
      <c r="M481" s="6">
        <v>7.0119999999999996</v>
      </c>
      <c r="N481" s="6">
        <v>7.0119999999999996</v>
      </c>
      <c r="O481" s="6">
        <v>7.0119999999999996</v>
      </c>
      <c r="P481" s="6">
        <v>0</v>
      </c>
      <c r="Q481" s="4" t="s">
        <v>26</v>
      </c>
      <c r="R481" s="4">
        <v>0</v>
      </c>
      <c r="S481" s="6">
        <v>0</v>
      </c>
      <c r="T481" s="6">
        <v>25</v>
      </c>
      <c r="U481" s="6">
        <v>59</v>
      </c>
      <c r="V481" s="6">
        <f>IF(ISERROR(VLOOKUP($S$481,'TAR FIN'!$A$1:$O$93,15,0)),0,VLOOKUP($S$481,'TAR FIN'!$A$1:$O$93,15,0))</f>
        <v>0</v>
      </c>
      <c r="W481" s="6">
        <f>IF(ISERROR(VLOOKUP($T$481,'TAR FIN'!$A$1:$O$93,15,0)),0,VLOOKUP($T$481,'TAR FIN'!$A$1:$O$93,15,0))</f>
        <v>69.489999999999995</v>
      </c>
      <c r="X481" s="6">
        <f>IF(ISERROR(VLOOKUP($U$481,'TAR FIN'!$A$1:$O$93,15,0)),0,VLOOKUP($U$481,'TAR FIN'!$A$1:$O$93,15,0))</f>
        <v>185.18</v>
      </c>
      <c r="Y481" s="6"/>
      <c r="Z481" s="6">
        <f ca="1">('TUSD BE'!$AM$16+'TUSD BF'!$AM$16+'TUSD CVA'!$AM$16)*1</f>
        <v>92.504793470158234</v>
      </c>
      <c r="AA481" s="6">
        <f>('TE BE'!$AB$8+'TE BF'!$AB$8+'TE CVA'!$AB$8)*1</f>
        <v>198.18194779658231</v>
      </c>
      <c r="AB481" s="6">
        <f>$K$481*$V$481</f>
        <v>0</v>
      </c>
      <c r="AC481" s="6">
        <f>$M$481*$W$481</f>
        <v>487.26387999999992</v>
      </c>
      <c r="AD481" s="6">
        <f>$O$481*$X$481</f>
        <v>1298.48216</v>
      </c>
      <c r="AE481" s="6">
        <f>$K$481*$Y$481</f>
        <v>0</v>
      </c>
      <c r="AF481" s="6">
        <f ca="1">$M$481*$Z$481</f>
        <v>648.64361181274944</v>
      </c>
      <c r="AG481" s="6">
        <f>$O$481*$AA$481</f>
        <v>1389.651817949635</v>
      </c>
    </row>
    <row r="482" spans="1:33" ht="11.25" customHeight="1" x14ac:dyDescent="0.25">
      <c r="A482" s="4" t="s">
        <v>27</v>
      </c>
      <c r="B482" s="4" t="s">
        <v>35</v>
      </c>
      <c r="C482" s="4" t="s">
        <v>39</v>
      </c>
      <c r="D482" s="4" t="s">
        <v>43</v>
      </c>
      <c r="E482" s="4" t="s">
        <v>25</v>
      </c>
      <c r="F482" s="4" t="s">
        <v>25</v>
      </c>
      <c r="G482" s="4" t="s">
        <v>25</v>
      </c>
      <c r="H482" s="4" t="s">
        <v>38</v>
      </c>
      <c r="I482" s="5">
        <v>44621</v>
      </c>
      <c r="J482" s="6">
        <v>0</v>
      </c>
      <c r="K482" s="6">
        <v>0</v>
      </c>
      <c r="L482" s="6">
        <v>-0.11</v>
      </c>
      <c r="M482" s="6">
        <v>-0.11</v>
      </c>
      <c r="N482" s="6">
        <v>-0.11</v>
      </c>
      <c r="O482" s="6">
        <v>-0.11</v>
      </c>
      <c r="P482" s="6">
        <v>0</v>
      </c>
      <c r="Q482" s="4" t="s">
        <v>26</v>
      </c>
      <c r="R482" s="4">
        <v>0</v>
      </c>
      <c r="S482" s="6">
        <v>0</v>
      </c>
      <c r="T482" s="6">
        <v>25</v>
      </c>
      <c r="U482" s="6">
        <v>59</v>
      </c>
      <c r="V482" s="6">
        <f>IF(ISERROR(VLOOKUP($S$482,'TAR FIN'!$A$1:$O$93,15,0)),0,VLOOKUP($S$482,'TAR FIN'!$A$1:$O$93,15,0))</f>
        <v>0</v>
      </c>
      <c r="W482" s="6">
        <f>IF(ISERROR(VLOOKUP($T$482,'TAR FIN'!$A$1:$O$93,15,0)),0,VLOOKUP($T$482,'TAR FIN'!$A$1:$O$93,15,0))</f>
        <v>69.489999999999995</v>
      </c>
      <c r="X482" s="6">
        <f>IF(ISERROR(VLOOKUP($U$482,'TAR FIN'!$A$1:$O$93,15,0)),0,VLOOKUP($U$482,'TAR FIN'!$A$1:$O$93,15,0))</f>
        <v>185.18</v>
      </c>
      <c r="Y482" s="6"/>
      <c r="Z482" s="6">
        <f ca="1">('TUSD BE'!$AM$16+'TUSD BF'!$AM$16+'TUSD CVA'!$AM$16)*1</f>
        <v>92.504793470158234</v>
      </c>
      <c r="AA482" s="6">
        <f>('TE BE'!$AB$8+'TE BF'!$AB$8+'TE CVA'!$AB$8)*1</f>
        <v>198.18194779658231</v>
      </c>
      <c r="AB482" s="6">
        <f>$K$482*$V$482</f>
        <v>0</v>
      </c>
      <c r="AC482" s="6">
        <f>$M$482*$W$482</f>
        <v>-7.6438999999999995</v>
      </c>
      <c r="AD482" s="6">
        <f>$O$482*$X$482</f>
        <v>-20.369800000000001</v>
      </c>
      <c r="AE482" s="6">
        <f>$K$482*$Y$482</f>
        <v>0</v>
      </c>
      <c r="AF482" s="6">
        <f ca="1">$M$482*$Z$482</f>
        <v>-10.175527281717406</v>
      </c>
      <c r="AG482" s="6">
        <f>$O$482*$AA$482</f>
        <v>-21.800014257624053</v>
      </c>
    </row>
    <row r="483" spans="1:33" ht="11.25" customHeight="1" x14ac:dyDescent="0.25">
      <c r="A483" s="4" t="s">
        <v>21</v>
      </c>
      <c r="B483" s="4" t="s">
        <v>35</v>
      </c>
      <c r="C483" s="4" t="s">
        <v>39</v>
      </c>
      <c r="D483" s="4" t="s">
        <v>43</v>
      </c>
      <c r="E483" s="4" t="s">
        <v>25</v>
      </c>
      <c r="F483" s="4" t="s">
        <v>25</v>
      </c>
      <c r="G483" s="4" t="s">
        <v>25</v>
      </c>
      <c r="H483" s="4" t="s">
        <v>38</v>
      </c>
      <c r="I483" s="5">
        <v>44652</v>
      </c>
      <c r="J483" s="6">
        <v>0</v>
      </c>
      <c r="K483" s="6">
        <v>0</v>
      </c>
      <c r="L483" s="6">
        <v>10.518000000000001</v>
      </c>
      <c r="M483" s="6">
        <v>10.518000000000001</v>
      </c>
      <c r="N483" s="6">
        <v>10.518000000000001</v>
      </c>
      <c r="O483" s="6">
        <v>10.518000000000001</v>
      </c>
      <c r="P483" s="6">
        <v>0</v>
      </c>
      <c r="Q483" s="4" t="s">
        <v>26</v>
      </c>
      <c r="R483" s="4">
        <v>0</v>
      </c>
      <c r="S483" s="6">
        <v>0</v>
      </c>
      <c r="T483" s="6">
        <v>25</v>
      </c>
      <c r="U483" s="6">
        <v>59</v>
      </c>
      <c r="V483" s="6">
        <f>IF(ISERROR(VLOOKUP($S$483,'TAR FIN'!$A$1:$O$93,15,0)),0,VLOOKUP($S$483,'TAR FIN'!$A$1:$O$93,15,0))</f>
        <v>0</v>
      </c>
      <c r="W483" s="6">
        <f>IF(ISERROR(VLOOKUP($T$483,'TAR FIN'!$A$1:$O$93,15,0)),0,VLOOKUP($T$483,'TAR FIN'!$A$1:$O$93,15,0))</f>
        <v>69.489999999999995</v>
      </c>
      <c r="X483" s="6">
        <f>IF(ISERROR(VLOOKUP($U$483,'TAR FIN'!$A$1:$O$93,15,0)),0,VLOOKUP($U$483,'TAR FIN'!$A$1:$O$93,15,0))</f>
        <v>185.18</v>
      </c>
      <c r="Y483" s="6"/>
      <c r="Z483" s="6">
        <f ca="1">('TUSD BE'!$AM$16+'TUSD BF'!$AM$16+'TUSD CVA'!$AM$16)*1</f>
        <v>92.504793470158234</v>
      </c>
      <c r="AA483" s="6">
        <f>('TE BE'!$AB$8+'TE BF'!$AB$8+'TE CVA'!$AB$8)*1</f>
        <v>198.18194779658231</v>
      </c>
      <c r="AB483" s="6">
        <f>$K$483*$V$483</f>
        <v>0</v>
      </c>
      <c r="AC483" s="6">
        <f>$M$483*$W$483</f>
        <v>730.89581999999996</v>
      </c>
      <c r="AD483" s="6">
        <f>$O$483*$X$483</f>
        <v>1947.7232400000003</v>
      </c>
      <c r="AE483" s="6">
        <f>$K$483*$Y$483</f>
        <v>0</v>
      </c>
      <c r="AF483" s="6">
        <f ca="1">$M$483*$Z$483</f>
        <v>972.96541771912439</v>
      </c>
      <c r="AG483" s="6">
        <f>$O$483*$AA$483</f>
        <v>2084.4777269244528</v>
      </c>
    </row>
    <row r="484" spans="1:33" ht="11.25" customHeight="1" x14ac:dyDescent="0.25">
      <c r="A484" s="4" t="s">
        <v>27</v>
      </c>
      <c r="B484" s="4" t="s">
        <v>35</v>
      </c>
      <c r="C484" s="4" t="s">
        <v>39</v>
      </c>
      <c r="D484" s="4" t="s">
        <v>43</v>
      </c>
      <c r="E484" s="4" t="s">
        <v>25</v>
      </c>
      <c r="F484" s="4" t="s">
        <v>25</v>
      </c>
      <c r="G484" s="4" t="s">
        <v>25</v>
      </c>
      <c r="H484" s="4" t="s">
        <v>38</v>
      </c>
      <c r="I484" s="5">
        <v>44652</v>
      </c>
      <c r="J484" s="6">
        <v>0</v>
      </c>
      <c r="K484" s="6">
        <v>0</v>
      </c>
      <c r="L484" s="6">
        <v>-0.58399999999999996</v>
      </c>
      <c r="M484" s="6">
        <v>-0.58399999999999996</v>
      </c>
      <c r="N484" s="6">
        <v>-0.58399999999999996</v>
      </c>
      <c r="O484" s="6">
        <v>-0.58399999999999996</v>
      </c>
      <c r="P484" s="6">
        <v>0</v>
      </c>
      <c r="Q484" s="4" t="s">
        <v>26</v>
      </c>
      <c r="R484" s="4">
        <v>0</v>
      </c>
      <c r="S484" s="6">
        <v>0</v>
      </c>
      <c r="T484" s="6">
        <v>25</v>
      </c>
      <c r="U484" s="6">
        <v>59</v>
      </c>
      <c r="V484" s="6">
        <f>IF(ISERROR(VLOOKUP($S$484,'TAR FIN'!$A$1:$O$93,15,0)),0,VLOOKUP($S$484,'TAR FIN'!$A$1:$O$93,15,0))</f>
        <v>0</v>
      </c>
      <c r="W484" s="6">
        <f>IF(ISERROR(VLOOKUP($T$484,'TAR FIN'!$A$1:$O$93,15,0)),0,VLOOKUP($T$484,'TAR FIN'!$A$1:$O$93,15,0))</f>
        <v>69.489999999999995</v>
      </c>
      <c r="X484" s="6">
        <f>IF(ISERROR(VLOOKUP($U$484,'TAR FIN'!$A$1:$O$93,15,0)),0,VLOOKUP($U$484,'TAR FIN'!$A$1:$O$93,15,0))</f>
        <v>185.18</v>
      </c>
      <c r="Y484" s="6"/>
      <c r="Z484" s="6">
        <f ca="1">('TUSD BE'!$AM$16+'TUSD BF'!$AM$16+'TUSD CVA'!$AM$16)*1</f>
        <v>92.504793470158234</v>
      </c>
      <c r="AA484" s="6">
        <f>('TE BE'!$AB$8+'TE BF'!$AB$8+'TE CVA'!$AB$8)*1</f>
        <v>198.18194779658231</v>
      </c>
      <c r="AB484" s="6">
        <f>$K$484*$V$484</f>
        <v>0</v>
      </c>
      <c r="AC484" s="6">
        <f>$M$484*$W$484</f>
        <v>-40.582159999999995</v>
      </c>
      <c r="AD484" s="6">
        <f>$O$484*$X$484</f>
        <v>-108.14511999999999</v>
      </c>
      <c r="AE484" s="6">
        <f>$K$484*$Y$484</f>
        <v>0</v>
      </c>
      <c r="AF484" s="6">
        <f ca="1">$M$484*$Z$484</f>
        <v>-54.022799386572402</v>
      </c>
      <c r="AG484" s="6">
        <f>$O$484*$AA$484</f>
        <v>-115.73825751320406</v>
      </c>
    </row>
    <row r="485" spans="1:33" ht="11.25" customHeight="1" x14ac:dyDescent="0.25">
      <c r="A485" s="4" t="s">
        <v>21</v>
      </c>
      <c r="B485" s="4" t="s">
        <v>35</v>
      </c>
      <c r="C485" s="4" t="s">
        <v>39</v>
      </c>
      <c r="D485" s="4" t="s">
        <v>43</v>
      </c>
      <c r="E485" s="4" t="s">
        <v>25</v>
      </c>
      <c r="F485" s="4" t="s">
        <v>25</v>
      </c>
      <c r="G485" s="4" t="s">
        <v>25</v>
      </c>
      <c r="H485" s="4" t="s">
        <v>38</v>
      </c>
      <c r="I485" s="5">
        <v>44682</v>
      </c>
      <c r="J485" s="6">
        <v>0</v>
      </c>
      <c r="K485" s="6">
        <v>0</v>
      </c>
      <c r="L485" s="6">
        <v>9.6660000000000004</v>
      </c>
      <c r="M485" s="6">
        <v>9.6660000000000004</v>
      </c>
      <c r="N485" s="6">
        <v>9.6660000000000004</v>
      </c>
      <c r="O485" s="6">
        <v>9.6660000000000004</v>
      </c>
      <c r="P485" s="6">
        <v>0</v>
      </c>
      <c r="Q485" s="4" t="s">
        <v>26</v>
      </c>
      <c r="R485" s="4">
        <v>0</v>
      </c>
      <c r="S485" s="6">
        <v>0</v>
      </c>
      <c r="T485" s="6">
        <v>25</v>
      </c>
      <c r="U485" s="6">
        <v>59</v>
      </c>
      <c r="V485" s="6">
        <f>IF(ISERROR(VLOOKUP($S$485,'TAR FIN'!$A$1:$O$93,15,0)),0,VLOOKUP($S$485,'TAR FIN'!$A$1:$O$93,15,0))</f>
        <v>0</v>
      </c>
      <c r="W485" s="6">
        <f>IF(ISERROR(VLOOKUP($T$485,'TAR FIN'!$A$1:$O$93,15,0)),0,VLOOKUP($T$485,'TAR FIN'!$A$1:$O$93,15,0))</f>
        <v>69.489999999999995</v>
      </c>
      <c r="X485" s="6">
        <f>IF(ISERROR(VLOOKUP($U$485,'TAR FIN'!$A$1:$O$93,15,0)),0,VLOOKUP($U$485,'TAR FIN'!$A$1:$O$93,15,0))</f>
        <v>185.18</v>
      </c>
      <c r="Y485" s="6"/>
      <c r="Z485" s="6">
        <f ca="1">('TUSD BE'!$AM$16+'TUSD BF'!$AM$16+'TUSD CVA'!$AM$16)*1</f>
        <v>92.504793470158234</v>
      </c>
      <c r="AA485" s="6">
        <f>('TE BE'!$AB$8+'TE BF'!$AB$8+'TE CVA'!$AB$8)*1</f>
        <v>198.18194779658231</v>
      </c>
      <c r="AB485" s="6">
        <f>$K$485*$V$485</f>
        <v>0</v>
      </c>
      <c r="AC485" s="6">
        <f>$M$485*$W$485</f>
        <v>671.69033999999999</v>
      </c>
      <c r="AD485" s="6">
        <f>$O$485*$X$485</f>
        <v>1789.9498800000001</v>
      </c>
      <c r="AE485" s="6">
        <f>$K$485*$Y$485</f>
        <v>0</v>
      </c>
      <c r="AF485" s="6">
        <f ca="1">$M$485*$Z$485</f>
        <v>894.15133368254953</v>
      </c>
      <c r="AG485" s="6">
        <f>$O$485*$AA$485</f>
        <v>1915.6267074017646</v>
      </c>
    </row>
    <row r="486" spans="1:33" ht="11.25" customHeight="1" x14ac:dyDescent="0.25">
      <c r="A486" s="4" t="s">
        <v>21</v>
      </c>
      <c r="B486" s="4" t="s">
        <v>35</v>
      </c>
      <c r="C486" s="4" t="s">
        <v>39</v>
      </c>
      <c r="D486" s="4" t="s">
        <v>43</v>
      </c>
      <c r="E486" s="4" t="s">
        <v>25</v>
      </c>
      <c r="F486" s="4" t="s">
        <v>25</v>
      </c>
      <c r="G486" s="4" t="s">
        <v>25</v>
      </c>
      <c r="H486" s="4" t="s">
        <v>38</v>
      </c>
      <c r="I486" s="5">
        <v>44713</v>
      </c>
      <c r="J486" s="6">
        <v>0</v>
      </c>
      <c r="K486" s="6">
        <v>0</v>
      </c>
      <c r="L486" s="6">
        <v>12.858000000000001</v>
      </c>
      <c r="M486" s="6">
        <v>12.858000000000001</v>
      </c>
      <c r="N486" s="6">
        <v>12.858000000000001</v>
      </c>
      <c r="O486" s="6">
        <v>12.858000000000001</v>
      </c>
      <c r="P486" s="6">
        <v>0</v>
      </c>
      <c r="Q486" s="4" t="s">
        <v>26</v>
      </c>
      <c r="R486" s="4">
        <v>0</v>
      </c>
      <c r="S486" s="6">
        <v>0</v>
      </c>
      <c r="T486" s="6">
        <v>25</v>
      </c>
      <c r="U486" s="6">
        <v>59</v>
      </c>
      <c r="V486" s="6">
        <f>IF(ISERROR(VLOOKUP($S$486,'TAR FIN'!$A$1:$O$93,15,0)),0,VLOOKUP($S$486,'TAR FIN'!$A$1:$O$93,15,0))</f>
        <v>0</v>
      </c>
      <c r="W486" s="6">
        <f>IF(ISERROR(VLOOKUP($T$486,'TAR FIN'!$A$1:$O$93,15,0)),0,VLOOKUP($T$486,'TAR FIN'!$A$1:$O$93,15,0))</f>
        <v>69.489999999999995</v>
      </c>
      <c r="X486" s="6">
        <f>IF(ISERROR(VLOOKUP($U$486,'TAR FIN'!$A$1:$O$93,15,0)),0,VLOOKUP($U$486,'TAR FIN'!$A$1:$O$93,15,0))</f>
        <v>185.18</v>
      </c>
      <c r="Y486" s="6"/>
      <c r="Z486" s="6">
        <f ca="1">('TUSD BE'!$AM$16+'TUSD BF'!$AM$16+'TUSD CVA'!$AM$16)*1</f>
        <v>92.504793470158234</v>
      </c>
      <c r="AA486" s="6">
        <f>('TE BE'!$AB$8+'TE BF'!$AB$8+'TE CVA'!$AB$8)*1</f>
        <v>198.18194779658231</v>
      </c>
      <c r="AB486" s="6">
        <f>$K$486*$V$486</f>
        <v>0</v>
      </c>
      <c r="AC486" s="6">
        <f>$M$486*$W$486</f>
        <v>893.50241999999992</v>
      </c>
      <c r="AD486" s="6">
        <f>$O$486*$X$486</f>
        <v>2381.0444400000001</v>
      </c>
      <c r="AE486" s="6">
        <f>$K$486*$Y$486</f>
        <v>0</v>
      </c>
      <c r="AF486" s="6">
        <f ca="1">$M$486*$Z$486</f>
        <v>1189.4266344392945</v>
      </c>
      <c r="AG486" s="6">
        <f>$O$486*$AA$486</f>
        <v>2548.2234847684554</v>
      </c>
    </row>
    <row r="487" spans="1:33" ht="11.25" customHeight="1" x14ac:dyDescent="0.25">
      <c r="A487" s="4" t="s">
        <v>21</v>
      </c>
      <c r="B487" s="4" t="s">
        <v>35</v>
      </c>
      <c r="C487" s="4" t="s">
        <v>39</v>
      </c>
      <c r="D487" s="4" t="s">
        <v>43</v>
      </c>
      <c r="E487" s="4" t="s">
        <v>25</v>
      </c>
      <c r="F487" s="4" t="s">
        <v>25</v>
      </c>
      <c r="G487" s="4" t="s">
        <v>25</v>
      </c>
      <c r="H487" s="4" t="s">
        <v>25</v>
      </c>
      <c r="I487" s="5">
        <v>44378</v>
      </c>
      <c r="J487" s="6">
        <v>462</v>
      </c>
      <c r="K487" s="6">
        <v>462</v>
      </c>
      <c r="L487" s="6">
        <v>0</v>
      </c>
      <c r="M487" s="6">
        <v>0</v>
      </c>
      <c r="N487" s="6">
        <v>0</v>
      </c>
      <c r="O487" s="6">
        <v>0</v>
      </c>
      <c r="P487" s="6">
        <v>5</v>
      </c>
      <c r="Q487" s="4" t="s">
        <v>26</v>
      </c>
      <c r="R487" s="4">
        <v>0</v>
      </c>
      <c r="S487" s="6">
        <v>18</v>
      </c>
      <c r="T487" s="6">
        <v>0</v>
      </c>
      <c r="U487" s="6">
        <v>0</v>
      </c>
      <c r="V487" s="6">
        <f>IF(ISERROR(VLOOKUP($S$487,'TAR FIN'!$A$1:$O$93,15,0)),0,VLOOKUP($S$487,'TAR FIN'!$A$1:$O$93,15,0))</f>
        <v>26.17</v>
      </c>
      <c r="W487" s="6">
        <f>IF(ISERROR(VLOOKUP($T$487,'TAR FIN'!$A$1:$O$93,15,0)),0,VLOOKUP($T$487,'TAR FIN'!$A$1:$O$93,15,0))</f>
        <v>0</v>
      </c>
      <c r="X487" s="6">
        <f>IF(ISERROR(VLOOKUP($U$487,'TAR FIN'!$A$1:$O$93,15,0)),0,VLOOKUP($U$487,'TAR FIN'!$A$1:$O$93,15,0))</f>
        <v>0</v>
      </c>
      <c r="Y487" s="6">
        <f ca="1">('TUSD BE'!$AM$14+'TUSD BF'!$AM$14+'TUSD CVA'!$AM$14)*1</f>
        <v>30.453482365333407</v>
      </c>
      <c r="Z487" s="6"/>
      <c r="AA487" s="6"/>
      <c r="AB487" s="6">
        <f>$K$487*$V$487</f>
        <v>12090.54</v>
      </c>
      <c r="AC487" s="6">
        <f>$M$487*$W$487</f>
        <v>0</v>
      </c>
      <c r="AD487" s="6">
        <f>$O$487*$X$487</f>
        <v>0</v>
      </c>
      <c r="AE487" s="6">
        <f ca="1">$K$487*$Y$487</f>
        <v>14069.508852784034</v>
      </c>
      <c r="AF487" s="6">
        <f>$M$487*$Z$487</f>
        <v>0</v>
      </c>
      <c r="AG487" s="6">
        <f>$O$487*$AA$487</f>
        <v>0</v>
      </c>
    </row>
    <row r="488" spans="1:33" ht="11.25" customHeight="1" x14ac:dyDescent="0.25">
      <c r="A488" s="4" t="s">
        <v>27</v>
      </c>
      <c r="B488" s="4" t="s">
        <v>35</v>
      </c>
      <c r="C488" s="4" t="s">
        <v>39</v>
      </c>
      <c r="D488" s="4" t="s">
        <v>43</v>
      </c>
      <c r="E488" s="4" t="s">
        <v>25</v>
      </c>
      <c r="F488" s="4" t="s">
        <v>25</v>
      </c>
      <c r="G488" s="4" t="s">
        <v>25</v>
      </c>
      <c r="H488" s="4" t="s">
        <v>25</v>
      </c>
      <c r="I488" s="5">
        <v>44378</v>
      </c>
      <c r="J488" s="6">
        <v>-130</v>
      </c>
      <c r="K488" s="6">
        <v>-130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4" t="s">
        <v>26</v>
      </c>
      <c r="R488" s="4">
        <v>0</v>
      </c>
      <c r="S488" s="6">
        <v>18</v>
      </c>
      <c r="T488" s="6">
        <v>0</v>
      </c>
      <c r="U488" s="6">
        <v>0</v>
      </c>
      <c r="V488" s="6">
        <f>IF(ISERROR(VLOOKUP($S$488,'TAR FIN'!$A$1:$O$93,15,0)),0,VLOOKUP($S$488,'TAR FIN'!$A$1:$O$93,15,0))</f>
        <v>26.17</v>
      </c>
      <c r="W488" s="6">
        <f>IF(ISERROR(VLOOKUP($T$488,'TAR FIN'!$A$1:$O$93,15,0)),0,VLOOKUP($T$488,'TAR FIN'!$A$1:$O$93,15,0))</f>
        <v>0</v>
      </c>
      <c r="X488" s="6">
        <f>IF(ISERROR(VLOOKUP($U$488,'TAR FIN'!$A$1:$O$93,15,0)),0,VLOOKUP($U$488,'TAR FIN'!$A$1:$O$93,15,0))</f>
        <v>0</v>
      </c>
      <c r="Y488" s="6">
        <f ca="1">('TUSD BE'!$AM$14+'TUSD BF'!$AM$14+'TUSD CVA'!$AM$14)*1</f>
        <v>30.453482365333407</v>
      </c>
      <c r="Z488" s="6"/>
      <c r="AA488" s="6"/>
      <c r="AB488" s="6">
        <f>$K$488*$V$488</f>
        <v>-3402.1000000000004</v>
      </c>
      <c r="AC488" s="6">
        <f>$M$488*$W$488</f>
        <v>0</v>
      </c>
      <c r="AD488" s="6">
        <f>$O$488*$X$488</f>
        <v>0</v>
      </c>
      <c r="AE488" s="6">
        <f ca="1">$K$488*$Y$488</f>
        <v>-3958.952707493343</v>
      </c>
      <c r="AF488" s="6">
        <f>$M$488*$Z$488</f>
        <v>0</v>
      </c>
      <c r="AG488" s="6">
        <f>$O$488*$AA$488</f>
        <v>0</v>
      </c>
    </row>
    <row r="489" spans="1:33" ht="11.25" customHeight="1" x14ac:dyDescent="0.25">
      <c r="A489" s="4" t="s">
        <v>21</v>
      </c>
      <c r="B489" s="4" t="s">
        <v>35</v>
      </c>
      <c r="C489" s="4" t="s">
        <v>39</v>
      </c>
      <c r="D489" s="4" t="s">
        <v>43</v>
      </c>
      <c r="E489" s="4" t="s">
        <v>25</v>
      </c>
      <c r="F489" s="4" t="s">
        <v>25</v>
      </c>
      <c r="G489" s="4" t="s">
        <v>25</v>
      </c>
      <c r="H489" s="4" t="s">
        <v>25</v>
      </c>
      <c r="I489" s="5">
        <v>44409</v>
      </c>
      <c r="J489" s="6">
        <v>333</v>
      </c>
      <c r="K489" s="6">
        <v>333</v>
      </c>
      <c r="L489" s="6">
        <v>0</v>
      </c>
      <c r="M489" s="6">
        <v>0</v>
      </c>
      <c r="N489" s="6">
        <v>0</v>
      </c>
      <c r="O489" s="6">
        <v>0</v>
      </c>
      <c r="P489" s="6">
        <v>5</v>
      </c>
      <c r="Q489" s="4" t="s">
        <v>26</v>
      </c>
      <c r="R489" s="4">
        <v>0</v>
      </c>
      <c r="S489" s="6">
        <v>18</v>
      </c>
      <c r="T489" s="6">
        <v>0</v>
      </c>
      <c r="U489" s="6">
        <v>0</v>
      </c>
      <c r="V489" s="6">
        <f>IF(ISERROR(VLOOKUP($S$489,'TAR FIN'!$A$1:$O$93,15,0)),0,VLOOKUP($S$489,'TAR FIN'!$A$1:$O$93,15,0))</f>
        <v>26.17</v>
      </c>
      <c r="W489" s="6">
        <f>IF(ISERROR(VLOOKUP($T$489,'TAR FIN'!$A$1:$O$93,15,0)),0,VLOOKUP($T$489,'TAR FIN'!$A$1:$O$93,15,0))</f>
        <v>0</v>
      </c>
      <c r="X489" s="6">
        <f>IF(ISERROR(VLOOKUP($U$489,'TAR FIN'!$A$1:$O$93,15,0)),0,VLOOKUP($U$489,'TAR FIN'!$A$1:$O$93,15,0))</f>
        <v>0</v>
      </c>
      <c r="Y489" s="6">
        <f ca="1">('TUSD BE'!$AM$14+'TUSD BF'!$AM$14+'TUSD CVA'!$AM$14)*1</f>
        <v>30.453482365333407</v>
      </c>
      <c r="Z489" s="6"/>
      <c r="AA489" s="6"/>
      <c r="AB489" s="6">
        <f>$K$489*$V$489</f>
        <v>8714.61</v>
      </c>
      <c r="AC489" s="6">
        <f>$M$489*$W$489</f>
        <v>0</v>
      </c>
      <c r="AD489" s="6">
        <f>$O$489*$X$489</f>
        <v>0</v>
      </c>
      <c r="AE489" s="6">
        <f ca="1">$K$489*$Y$489</f>
        <v>10141.009627656025</v>
      </c>
      <c r="AF489" s="6">
        <f>$M$489*$Z$489</f>
        <v>0</v>
      </c>
      <c r="AG489" s="6">
        <f>$O$489*$AA$489</f>
        <v>0</v>
      </c>
    </row>
    <row r="490" spans="1:33" ht="11.25" customHeight="1" x14ac:dyDescent="0.25">
      <c r="A490" s="4" t="s">
        <v>21</v>
      </c>
      <c r="B490" s="4" t="s">
        <v>35</v>
      </c>
      <c r="C490" s="4" t="s">
        <v>39</v>
      </c>
      <c r="D490" s="4" t="s">
        <v>43</v>
      </c>
      <c r="E490" s="4" t="s">
        <v>25</v>
      </c>
      <c r="F490" s="4" t="s">
        <v>25</v>
      </c>
      <c r="G490" s="4" t="s">
        <v>25</v>
      </c>
      <c r="H490" s="4" t="s">
        <v>25</v>
      </c>
      <c r="I490" s="5">
        <v>44440</v>
      </c>
      <c r="J490" s="6">
        <v>335</v>
      </c>
      <c r="K490" s="6">
        <v>335</v>
      </c>
      <c r="L490" s="6">
        <v>0</v>
      </c>
      <c r="M490" s="6">
        <v>0</v>
      </c>
      <c r="N490" s="6">
        <v>0</v>
      </c>
      <c r="O490" s="6">
        <v>0</v>
      </c>
      <c r="P490" s="6">
        <v>5</v>
      </c>
      <c r="Q490" s="4" t="s">
        <v>26</v>
      </c>
      <c r="R490" s="4">
        <v>0</v>
      </c>
      <c r="S490" s="6">
        <v>18</v>
      </c>
      <c r="T490" s="6">
        <v>0</v>
      </c>
      <c r="U490" s="6">
        <v>0</v>
      </c>
      <c r="V490" s="6">
        <f>IF(ISERROR(VLOOKUP($S$490,'TAR FIN'!$A$1:$O$93,15,0)),0,VLOOKUP($S$490,'TAR FIN'!$A$1:$O$93,15,0))</f>
        <v>26.17</v>
      </c>
      <c r="W490" s="6">
        <f>IF(ISERROR(VLOOKUP($T$490,'TAR FIN'!$A$1:$O$93,15,0)),0,VLOOKUP($T$490,'TAR FIN'!$A$1:$O$93,15,0))</f>
        <v>0</v>
      </c>
      <c r="X490" s="6">
        <f>IF(ISERROR(VLOOKUP($U$490,'TAR FIN'!$A$1:$O$93,15,0)),0,VLOOKUP($U$490,'TAR FIN'!$A$1:$O$93,15,0))</f>
        <v>0</v>
      </c>
      <c r="Y490" s="6">
        <f ca="1">('TUSD BE'!$AM$14+'TUSD BF'!$AM$14+'TUSD CVA'!$AM$14)*1</f>
        <v>30.453482365333407</v>
      </c>
      <c r="Z490" s="6"/>
      <c r="AA490" s="6"/>
      <c r="AB490" s="6">
        <f>$K$490*$V$490</f>
        <v>8766.9500000000007</v>
      </c>
      <c r="AC490" s="6">
        <f>$M$490*$W$490</f>
        <v>0</v>
      </c>
      <c r="AD490" s="6">
        <f>$O$490*$X$490</f>
        <v>0</v>
      </c>
      <c r="AE490" s="6">
        <f ca="1">$K$490*$Y$490</f>
        <v>10201.916592386691</v>
      </c>
      <c r="AF490" s="6">
        <f>$M$490*$Z$490</f>
        <v>0</v>
      </c>
      <c r="AG490" s="6">
        <f>$O$490*$AA$490</f>
        <v>0</v>
      </c>
    </row>
    <row r="491" spans="1:33" ht="11.25" customHeight="1" x14ac:dyDescent="0.25">
      <c r="A491" s="4" t="s">
        <v>21</v>
      </c>
      <c r="B491" s="4" t="s">
        <v>35</v>
      </c>
      <c r="C491" s="4" t="s">
        <v>39</v>
      </c>
      <c r="D491" s="4" t="s">
        <v>43</v>
      </c>
      <c r="E491" s="4" t="s">
        <v>25</v>
      </c>
      <c r="F491" s="4" t="s">
        <v>25</v>
      </c>
      <c r="G491" s="4" t="s">
        <v>25</v>
      </c>
      <c r="H491" s="4" t="s">
        <v>25</v>
      </c>
      <c r="I491" s="5">
        <v>44470</v>
      </c>
      <c r="J491" s="6">
        <v>332</v>
      </c>
      <c r="K491" s="6">
        <v>332</v>
      </c>
      <c r="L491" s="6">
        <v>0</v>
      </c>
      <c r="M491" s="6">
        <v>0</v>
      </c>
      <c r="N491" s="6">
        <v>0</v>
      </c>
      <c r="O491" s="6">
        <v>0</v>
      </c>
      <c r="P491" s="6">
        <v>5</v>
      </c>
      <c r="Q491" s="4" t="s">
        <v>26</v>
      </c>
      <c r="R491" s="4">
        <v>0</v>
      </c>
      <c r="S491" s="6">
        <v>18</v>
      </c>
      <c r="T491" s="6">
        <v>0</v>
      </c>
      <c r="U491" s="6">
        <v>0</v>
      </c>
      <c r="V491" s="6">
        <f>IF(ISERROR(VLOOKUP($S$491,'TAR FIN'!$A$1:$O$93,15,0)),0,VLOOKUP($S$491,'TAR FIN'!$A$1:$O$93,15,0))</f>
        <v>26.17</v>
      </c>
      <c r="W491" s="6">
        <f>IF(ISERROR(VLOOKUP($T$491,'TAR FIN'!$A$1:$O$93,15,0)),0,VLOOKUP($T$491,'TAR FIN'!$A$1:$O$93,15,0))</f>
        <v>0</v>
      </c>
      <c r="X491" s="6">
        <f>IF(ISERROR(VLOOKUP($U$491,'TAR FIN'!$A$1:$O$93,15,0)),0,VLOOKUP($U$491,'TAR FIN'!$A$1:$O$93,15,0))</f>
        <v>0</v>
      </c>
      <c r="Y491" s="6">
        <f ca="1">('TUSD BE'!$AM$14+'TUSD BF'!$AM$14+'TUSD CVA'!$AM$14)*1</f>
        <v>30.453482365333407</v>
      </c>
      <c r="Z491" s="6"/>
      <c r="AA491" s="6"/>
      <c r="AB491" s="6">
        <f>$K$491*$V$491</f>
        <v>8688.44</v>
      </c>
      <c r="AC491" s="6">
        <f>$M$491*$W$491</f>
        <v>0</v>
      </c>
      <c r="AD491" s="6">
        <f>$O$491*$X$491</f>
        <v>0</v>
      </c>
      <c r="AE491" s="6">
        <f ca="1">$K$491*$Y$491</f>
        <v>10110.556145290691</v>
      </c>
      <c r="AF491" s="6">
        <f>$M$491*$Z$491</f>
        <v>0</v>
      </c>
      <c r="AG491" s="6">
        <f>$O$491*$AA$491</f>
        <v>0</v>
      </c>
    </row>
    <row r="492" spans="1:33" ht="11.25" customHeight="1" x14ac:dyDescent="0.25">
      <c r="A492" s="4" t="s">
        <v>21</v>
      </c>
      <c r="B492" s="4" t="s">
        <v>35</v>
      </c>
      <c r="C492" s="4" t="s">
        <v>39</v>
      </c>
      <c r="D492" s="4" t="s">
        <v>43</v>
      </c>
      <c r="E492" s="4" t="s">
        <v>25</v>
      </c>
      <c r="F492" s="4" t="s">
        <v>25</v>
      </c>
      <c r="G492" s="4" t="s">
        <v>25</v>
      </c>
      <c r="H492" s="4" t="s">
        <v>25</v>
      </c>
      <c r="I492" s="5">
        <v>44501</v>
      </c>
      <c r="J492" s="6">
        <v>332</v>
      </c>
      <c r="K492" s="6">
        <v>332</v>
      </c>
      <c r="L492" s="6">
        <v>0</v>
      </c>
      <c r="M492" s="6">
        <v>0</v>
      </c>
      <c r="N492" s="6">
        <v>0</v>
      </c>
      <c r="O492" s="6">
        <v>0</v>
      </c>
      <c r="P492" s="6">
        <v>5</v>
      </c>
      <c r="Q492" s="4" t="s">
        <v>26</v>
      </c>
      <c r="R492" s="4">
        <v>0</v>
      </c>
      <c r="S492" s="6">
        <v>18</v>
      </c>
      <c r="T492" s="6">
        <v>0</v>
      </c>
      <c r="U492" s="6">
        <v>0</v>
      </c>
      <c r="V492" s="6">
        <f>IF(ISERROR(VLOOKUP($S$492,'TAR FIN'!$A$1:$O$93,15,0)),0,VLOOKUP($S$492,'TAR FIN'!$A$1:$O$93,15,0))</f>
        <v>26.17</v>
      </c>
      <c r="W492" s="6">
        <f>IF(ISERROR(VLOOKUP($T$492,'TAR FIN'!$A$1:$O$93,15,0)),0,VLOOKUP($T$492,'TAR FIN'!$A$1:$O$93,15,0))</f>
        <v>0</v>
      </c>
      <c r="X492" s="6">
        <f>IF(ISERROR(VLOOKUP($U$492,'TAR FIN'!$A$1:$O$93,15,0)),0,VLOOKUP($U$492,'TAR FIN'!$A$1:$O$93,15,0))</f>
        <v>0</v>
      </c>
      <c r="Y492" s="6">
        <f ca="1">('TUSD BE'!$AM$14+'TUSD BF'!$AM$14+'TUSD CVA'!$AM$14)*1</f>
        <v>30.453482365333407</v>
      </c>
      <c r="Z492" s="6"/>
      <c r="AA492" s="6"/>
      <c r="AB492" s="6">
        <f>$K$492*$V$492</f>
        <v>8688.44</v>
      </c>
      <c r="AC492" s="6">
        <f>$M$492*$W$492</f>
        <v>0</v>
      </c>
      <c r="AD492" s="6">
        <f>$O$492*$X$492</f>
        <v>0</v>
      </c>
      <c r="AE492" s="6">
        <f ca="1">$K$492*$Y$492</f>
        <v>10110.556145290691</v>
      </c>
      <c r="AF492" s="6">
        <f>$M$492*$Z$492</f>
        <v>0</v>
      </c>
      <c r="AG492" s="6">
        <f>$O$492*$AA$492</f>
        <v>0</v>
      </c>
    </row>
    <row r="493" spans="1:33" ht="11.25" customHeight="1" x14ac:dyDescent="0.25">
      <c r="A493" s="4" t="s">
        <v>21</v>
      </c>
      <c r="B493" s="4" t="s">
        <v>35</v>
      </c>
      <c r="C493" s="4" t="s">
        <v>39</v>
      </c>
      <c r="D493" s="4" t="s">
        <v>43</v>
      </c>
      <c r="E493" s="4" t="s">
        <v>25</v>
      </c>
      <c r="F493" s="4" t="s">
        <v>25</v>
      </c>
      <c r="G493" s="4" t="s">
        <v>25</v>
      </c>
      <c r="H493" s="4" t="s">
        <v>25</v>
      </c>
      <c r="I493" s="5">
        <v>44531</v>
      </c>
      <c r="J493" s="6">
        <v>339</v>
      </c>
      <c r="K493" s="6">
        <v>339</v>
      </c>
      <c r="L493" s="6">
        <v>0</v>
      </c>
      <c r="M493" s="6">
        <v>0</v>
      </c>
      <c r="N493" s="6">
        <v>0</v>
      </c>
      <c r="O493" s="6">
        <v>0</v>
      </c>
      <c r="P493" s="6">
        <v>5</v>
      </c>
      <c r="Q493" s="4" t="s">
        <v>26</v>
      </c>
      <c r="R493" s="4">
        <v>0</v>
      </c>
      <c r="S493" s="6">
        <v>18</v>
      </c>
      <c r="T493" s="6">
        <v>0</v>
      </c>
      <c r="U493" s="6">
        <v>0</v>
      </c>
      <c r="V493" s="6">
        <f>IF(ISERROR(VLOOKUP($S$493,'TAR FIN'!$A$1:$O$93,15,0)),0,VLOOKUP($S$493,'TAR FIN'!$A$1:$O$93,15,0))</f>
        <v>26.17</v>
      </c>
      <c r="W493" s="6">
        <f>IF(ISERROR(VLOOKUP($T$493,'TAR FIN'!$A$1:$O$93,15,0)),0,VLOOKUP($T$493,'TAR FIN'!$A$1:$O$93,15,0))</f>
        <v>0</v>
      </c>
      <c r="X493" s="6">
        <f>IF(ISERROR(VLOOKUP($U$493,'TAR FIN'!$A$1:$O$93,15,0)),0,VLOOKUP($U$493,'TAR FIN'!$A$1:$O$93,15,0))</f>
        <v>0</v>
      </c>
      <c r="Y493" s="6">
        <f ca="1">('TUSD BE'!$AM$14+'TUSD BF'!$AM$14+'TUSD CVA'!$AM$14)*1</f>
        <v>30.453482365333407</v>
      </c>
      <c r="Z493" s="6"/>
      <c r="AA493" s="6"/>
      <c r="AB493" s="6">
        <f>$K$493*$V$493</f>
        <v>8871.630000000001</v>
      </c>
      <c r="AC493" s="6">
        <f>$M$493*$W$493</f>
        <v>0</v>
      </c>
      <c r="AD493" s="6">
        <f>$O$493*$X$493</f>
        <v>0</v>
      </c>
      <c r="AE493" s="6">
        <f ca="1">$K$493*$Y$493</f>
        <v>10323.730521848025</v>
      </c>
      <c r="AF493" s="6">
        <f>$M$493*$Z$493</f>
        <v>0</v>
      </c>
      <c r="AG493" s="6">
        <f>$O$493*$AA$493</f>
        <v>0</v>
      </c>
    </row>
    <row r="494" spans="1:33" ht="11.25" customHeight="1" x14ac:dyDescent="0.25">
      <c r="A494" s="4" t="s">
        <v>21</v>
      </c>
      <c r="B494" s="4" t="s">
        <v>35</v>
      </c>
      <c r="C494" s="4" t="s">
        <v>39</v>
      </c>
      <c r="D494" s="4" t="s">
        <v>43</v>
      </c>
      <c r="E494" s="4" t="s">
        <v>25</v>
      </c>
      <c r="F494" s="4" t="s">
        <v>25</v>
      </c>
      <c r="G494" s="4" t="s">
        <v>25</v>
      </c>
      <c r="H494" s="4" t="s">
        <v>25</v>
      </c>
      <c r="I494" s="5">
        <v>44562</v>
      </c>
      <c r="J494" s="6">
        <v>340</v>
      </c>
      <c r="K494" s="6">
        <v>340</v>
      </c>
      <c r="L494" s="6">
        <v>0</v>
      </c>
      <c r="M494" s="6">
        <v>0</v>
      </c>
      <c r="N494" s="6">
        <v>0</v>
      </c>
      <c r="O494" s="6">
        <v>0</v>
      </c>
      <c r="P494" s="6">
        <v>5</v>
      </c>
      <c r="Q494" s="4" t="s">
        <v>26</v>
      </c>
      <c r="R494" s="4">
        <v>0</v>
      </c>
      <c r="S494" s="6">
        <v>18</v>
      </c>
      <c r="T494" s="6">
        <v>0</v>
      </c>
      <c r="U494" s="6">
        <v>0</v>
      </c>
      <c r="V494" s="6">
        <f>IF(ISERROR(VLOOKUP($S$494,'TAR FIN'!$A$1:$O$93,15,0)),0,VLOOKUP($S$494,'TAR FIN'!$A$1:$O$93,15,0))</f>
        <v>26.17</v>
      </c>
      <c r="W494" s="6">
        <f>IF(ISERROR(VLOOKUP($T$494,'TAR FIN'!$A$1:$O$93,15,0)),0,VLOOKUP($T$494,'TAR FIN'!$A$1:$O$93,15,0))</f>
        <v>0</v>
      </c>
      <c r="X494" s="6">
        <f>IF(ISERROR(VLOOKUP($U$494,'TAR FIN'!$A$1:$O$93,15,0)),0,VLOOKUP($U$494,'TAR FIN'!$A$1:$O$93,15,0))</f>
        <v>0</v>
      </c>
      <c r="Y494" s="6">
        <f ca="1">('TUSD BE'!$AM$14+'TUSD BF'!$AM$14+'TUSD CVA'!$AM$14)*1</f>
        <v>30.453482365333407</v>
      </c>
      <c r="Z494" s="6"/>
      <c r="AA494" s="6"/>
      <c r="AB494" s="6">
        <f>$K$494*$V$494</f>
        <v>8897.8000000000011</v>
      </c>
      <c r="AC494" s="6">
        <f>$M$494*$W$494</f>
        <v>0</v>
      </c>
      <c r="AD494" s="6">
        <f>$O$494*$X$494</f>
        <v>0</v>
      </c>
      <c r="AE494" s="6">
        <f ca="1">$K$494*$Y$494</f>
        <v>10354.184004213359</v>
      </c>
      <c r="AF494" s="6">
        <f>$M$494*$Z$494</f>
        <v>0</v>
      </c>
      <c r="AG494" s="6">
        <f>$O$494*$AA$494</f>
        <v>0</v>
      </c>
    </row>
    <row r="495" spans="1:33" ht="11.25" customHeight="1" x14ac:dyDescent="0.25">
      <c r="A495" s="4" t="s">
        <v>21</v>
      </c>
      <c r="B495" s="4" t="s">
        <v>35</v>
      </c>
      <c r="C495" s="4" t="s">
        <v>39</v>
      </c>
      <c r="D495" s="4" t="s">
        <v>43</v>
      </c>
      <c r="E495" s="4" t="s">
        <v>25</v>
      </c>
      <c r="F495" s="4" t="s">
        <v>25</v>
      </c>
      <c r="G495" s="4" t="s">
        <v>25</v>
      </c>
      <c r="H495" s="4" t="s">
        <v>25</v>
      </c>
      <c r="I495" s="5">
        <v>44593</v>
      </c>
      <c r="J495" s="6">
        <v>300</v>
      </c>
      <c r="K495" s="6">
        <v>300</v>
      </c>
      <c r="L495" s="6">
        <v>0</v>
      </c>
      <c r="M495" s="6">
        <v>0</v>
      </c>
      <c r="N495" s="6">
        <v>0</v>
      </c>
      <c r="O495" s="6">
        <v>0</v>
      </c>
      <c r="P495" s="6">
        <v>4</v>
      </c>
      <c r="Q495" s="4" t="s">
        <v>26</v>
      </c>
      <c r="R495" s="4">
        <v>0</v>
      </c>
      <c r="S495" s="6">
        <v>18</v>
      </c>
      <c r="T495" s="6">
        <v>0</v>
      </c>
      <c r="U495" s="6">
        <v>0</v>
      </c>
      <c r="V495" s="6">
        <f>IF(ISERROR(VLOOKUP($S$495,'TAR FIN'!$A$1:$O$93,15,0)),0,VLOOKUP($S$495,'TAR FIN'!$A$1:$O$93,15,0))</f>
        <v>26.17</v>
      </c>
      <c r="W495" s="6">
        <f>IF(ISERROR(VLOOKUP($T$495,'TAR FIN'!$A$1:$O$93,15,0)),0,VLOOKUP($T$495,'TAR FIN'!$A$1:$O$93,15,0))</f>
        <v>0</v>
      </c>
      <c r="X495" s="6">
        <f>IF(ISERROR(VLOOKUP($U$495,'TAR FIN'!$A$1:$O$93,15,0)),0,VLOOKUP($U$495,'TAR FIN'!$A$1:$O$93,15,0))</f>
        <v>0</v>
      </c>
      <c r="Y495" s="6">
        <f ca="1">('TUSD BE'!$AM$14+'TUSD BF'!$AM$14+'TUSD CVA'!$AM$14)*1</f>
        <v>30.453482365333407</v>
      </c>
      <c r="Z495" s="6"/>
      <c r="AA495" s="6"/>
      <c r="AB495" s="6">
        <f>$K$495*$V$495</f>
        <v>7851.0000000000009</v>
      </c>
      <c r="AC495" s="6">
        <f>$M$495*$W$495</f>
        <v>0</v>
      </c>
      <c r="AD495" s="6">
        <f>$O$495*$X$495</f>
        <v>0</v>
      </c>
      <c r="AE495" s="6">
        <f ca="1">$K$495*$Y$495</f>
        <v>9136.0447096000225</v>
      </c>
      <c r="AF495" s="6">
        <f>$M$495*$Z$495</f>
        <v>0</v>
      </c>
      <c r="AG495" s="6">
        <f>$O$495*$AA$495</f>
        <v>0</v>
      </c>
    </row>
    <row r="496" spans="1:33" ht="11.25" customHeight="1" x14ac:dyDescent="0.25">
      <c r="A496" s="4" t="s">
        <v>21</v>
      </c>
      <c r="B496" s="4" t="s">
        <v>35</v>
      </c>
      <c r="C496" s="4" t="s">
        <v>39</v>
      </c>
      <c r="D496" s="4" t="s">
        <v>43</v>
      </c>
      <c r="E496" s="4" t="s">
        <v>25</v>
      </c>
      <c r="F496" s="4" t="s">
        <v>25</v>
      </c>
      <c r="G496" s="4" t="s">
        <v>25</v>
      </c>
      <c r="H496" s="4" t="s">
        <v>25</v>
      </c>
      <c r="I496" s="5">
        <v>44621</v>
      </c>
      <c r="J496" s="6">
        <v>428</v>
      </c>
      <c r="K496" s="6">
        <v>428</v>
      </c>
      <c r="L496" s="6">
        <v>0</v>
      </c>
      <c r="M496" s="6">
        <v>0</v>
      </c>
      <c r="N496" s="6">
        <v>0</v>
      </c>
      <c r="O496" s="6">
        <v>0</v>
      </c>
      <c r="P496" s="6">
        <v>5</v>
      </c>
      <c r="Q496" s="4" t="s">
        <v>26</v>
      </c>
      <c r="R496" s="4">
        <v>0</v>
      </c>
      <c r="S496" s="6">
        <v>18</v>
      </c>
      <c r="T496" s="6">
        <v>0</v>
      </c>
      <c r="U496" s="6">
        <v>0</v>
      </c>
      <c r="V496" s="6">
        <f>IF(ISERROR(VLOOKUP($S$496,'TAR FIN'!$A$1:$O$93,15,0)),0,VLOOKUP($S$496,'TAR FIN'!$A$1:$O$93,15,0))</f>
        <v>26.17</v>
      </c>
      <c r="W496" s="6">
        <f>IF(ISERROR(VLOOKUP($T$496,'TAR FIN'!$A$1:$O$93,15,0)),0,VLOOKUP($T$496,'TAR FIN'!$A$1:$O$93,15,0))</f>
        <v>0</v>
      </c>
      <c r="X496" s="6">
        <f>IF(ISERROR(VLOOKUP($U$496,'TAR FIN'!$A$1:$O$93,15,0)),0,VLOOKUP($U$496,'TAR FIN'!$A$1:$O$93,15,0))</f>
        <v>0</v>
      </c>
      <c r="Y496" s="6">
        <f ca="1">('TUSD BE'!$AM$14+'TUSD BF'!$AM$14+'TUSD CVA'!$AM$14)*1</f>
        <v>30.453482365333407</v>
      </c>
      <c r="Z496" s="6"/>
      <c r="AA496" s="6"/>
      <c r="AB496" s="6">
        <f>$K$496*$V$496</f>
        <v>11200.76</v>
      </c>
      <c r="AC496" s="6">
        <f>$M$496*$W$496</f>
        <v>0</v>
      </c>
      <c r="AD496" s="6">
        <f>$O$496*$X$496</f>
        <v>0</v>
      </c>
      <c r="AE496" s="6">
        <f ca="1">$K$496*$Y$496</f>
        <v>13034.090452362698</v>
      </c>
      <c r="AF496" s="6">
        <f>$M$496*$Z$496</f>
        <v>0</v>
      </c>
      <c r="AG496" s="6">
        <f>$O$496*$AA$496</f>
        <v>0</v>
      </c>
    </row>
    <row r="497" spans="1:33" ht="11.25" customHeight="1" x14ac:dyDescent="0.25">
      <c r="A497" s="4" t="s">
        <v>27</v>
      </c>
      <c r="B497" s="4" t="s">
        <v>35</v>
      </c>
      <c r="C497" s="4" t="s">
        <v>39</v>
      </c>
      <c r="D497" s="4" t="s">
        <v>43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44621</v>
      </c>
      <c r="J497" s="6">
        <v>-128</v>
      </c>
      <c r="K497" s="6">
        <v>-128</v>
      </c>
      <c r="L497" s="6">
        <v>0</v>
      </c>
      <c r="M497" s="6">
        <v>0</v>
      </c>
      <c r="N497" s="6">
        <v>0</v>
      </c>
      <c r="O497" s="6">
        <v>0</v>
      </c>
      <c r="P497" s="6">
        <v>-1</v>
      </c>
      <c r="Q497" s="4" t="s">
        <v>26</v>
      </c>
      <c r="R497" s="4">
        <v>0</v>
      </c>
      <c r="S497" s="6">
        <v>18</v>
      </c>
      <c r="T497" s="6">
        <v>0</v>
      </c>
      <c r="U497" s="6">
        <v>0</v>
      </c>
      <c r="V497" s="6">
        <f>IF(ISERROR(VLOOKUP($S$497,'TAR FIN'!$A$1:$O$93,15,0)),0,VLOOKUP($S$497,'TAR FIN'!$A$1:$O$93,15,0))</f>
        <v>26.17</v>
      </c>
      <c r="W497" s="6">
        <f>IF(ISERROR(VLOOKUP($T$497,'TAR FIN'!$A$1:$O$93,15,0)),0,VLOOKUP($T$497,'TAR FIN'!$A$1:$O$93,15,0))</f>
        <v>0</v>
      </c>
      <c r="X497" s="6">
        <f>IF(ISERROR(VLOOKUP($U$497,'TAR FIN'!$A$1:$O$93,15,0)),0,VLOOKUP($U$497,'TAR FIN'!$A$1:$O$93,15,0))</f>
        <v>0</v>
      </c>
      <c r="Y497" s="6">
        <f ca="1">('TUSD BE'!$AM$14+'TUSD BF'!$AM$14+'TUSD CVA'!$AM$14)*1</f>
        <v>30.453482365333407</v>
      </c>
      <c r="Z497" s="6"/>
      <c r="AA497" s="6"/>
      <c r="AB497" s="6">
        <f>$K$497*$V$497</f>
        <v>-3349.76</v>
      </c>
      <c r="AC497" s="6">
        <f>$M$497*$W$497</f>
        <v>0</v>
      </c>
      <c r="AD497" s="6">
        <f>$O$497*$X$497</f>
        <v>0</v>
      </c>
      <c r="AE497" s="6">
        <f ca="1">$K$497*$Y$497</f>
        <v>-3898.0457427626761</v>
      </c>
      <c r="AF497" s="6">
        <f>$M$497*$Z$497</f>
        <v>0</v>
      </c>
      <c r="AG497" s="6">
        <f>$O$497*$AA$497</f>
        <v>0</v>
      </c>
    </row>
    <row r="498" spans="1:33" ht="11.25" customHeight="1" x14ac:dyDescent="0.25">
      <c r="A498" s="4" t="s">
        <v>21</v>
      </c>
      <c r="B498" s="4" t="s">
        <v>35</v>
      </c>
      <c r="C498" s="4" t="s">
        <v>39</v>
      </c>
      <c r="D498" s="4" t="s">
        <v>43</v>
      </c>
      <c r="E498" s="4" t="s">
        <v>25</v>
      </c>
      <c r="F498" s="4" t="s">
        <v>25</v>
      </c>
      <c r="G498" s="4" t="s">
        <v>25</v>
      </c>
      <c r="H498" s="4" t="s">
        <v>25</v>
      </c>
      <c r="I498" s="5">
        <v>44652</v>
      </c>
      <c r="J498" s="6">
        <v>428</v>
      </c>
      <c r="K498" s="6">
        <v>428</v>
      </c>
      <c r="L498" s="6">
        <v>0</v>
      </c>
      <c r="M498" s="6">
        <v>0</v>
      </c>
      <c r="N498" s="6">
        <v>0</v>
      </c>
      <c r="O498" s="6">
        <v>0</v>
      </c>
      <c r="P498" s="6">
        <v>5</v>
      </c>
      <c r="Q498" s="4" t="s">
        <v>26</v>
      </c>
      <c r="R498" s="4">
        <v>0</v>
      </c>
      <c r="S498" s="6">
        <v>18</v>
      </c>
      <c r="T498" s="6">
        <v>0</v>
      </c>
      <c r="U498" s="6">
        <v>0</v>
      </c>
      <c r="V498" s="6">
        <f>IF(ISERROR(VLOOKUP($S$498,'TAR FIN'!$A$1:$O$93,15,0)),0,VLOOKUP($S$498,'TAR FIN'!$A$1:$O$93,15,0))</f>
        <v>26.17</v>
      </c>
      <c r="W498" s="6">
        <f>IF(ISERROR(VLOOKUP($T$498,'TAR FIN'!$A$1:$O$93,15,0)),0,VLOOKUP($T$498,'TAR FIN'!$A$1:$O$93,15,0))</f>
        <v>0</v>
      </c>
      <c r="X498" s="6">
        <f>IF(ISERROR(VLOOKUP($U$498,'TAR FIN'!$A$1:$O$93,15,0)),0,VLOOKUP($U$498,'TAR FIN'!$A$1:$O$93,15,0))</f>
        <v>0</v>
      </c>
      <c r="Y498" s="6">
        <f ca="1">('TUSD BE'!$AM$14+'TUSD BF'!$AM$14+'TUSD CVA'!$AM$14)*1</f>
        <v>30.453482365333407</v>
      </c>
      <c r="Z498" s="6"/>
      <c r="AA498" s="6"/>
      <c r="AB498" s="6">
        <f>$K$498*$V$498</f>
        <v>11200.76</v>
      </c>
      <c r="AC498" s="6">
        <f>$M$498*$W$498</f>
        <v>0</v>
      </c>
      <c r="AD498" s="6">
        <f>$O$498*$X$498</f>
        <v>0</v>
      </c>
      <c r="AE498" s="6">
        <f ca="1">$K$498*$Y$498</f>
        <v>13034.090452362698</v>
      </c>
      <c r="AF498" s="6">
        <f>$M$498*$Z$498</f>
        <v>0</v>
      </c>
      <c r="AG498" s="6">
        <f>$O$498*$AA$498</f>
        <v>0</v>
      </c>
    </row>
    <row r="499" spans="1:33" ht="11.25" customHeight="1" x14ac:dyDescent="0.25">
      <c r="A499" s="4" t="s">
        <v>27</v>
      </c>
      <c r="B499" s="4" t="s">
        <v>35</v>
      </c>
      <c r="C499" s="4" t="s">
        <v>39</v>
      </c>
      <c r="D499" s="4" t="s">
        <v>43</v>
      </c>
      <c r="E499" s="4" t="s">
        <v>25</v>
      </c>
      <c r="F499" s="4" t="s">
        <v>25</v>
      </c>
      <c r="G499" s="4" t="s">
        <v>25</v>
      </c>
      <c r="H499" s="4" t="s">
        <v>25</v>
      </c>
      <c r="I499" s="5">
        <v>44652</v>
      </c>
      <c r="J499" s="6">
        <v>-128</v>
      </c>
      <c r="K499" s="6">
        <v>-128</v>
      </c>
      <c r="L499" s="6">
        <v>0</v>
      </c>
      <c r="M499" s="6">
        <v>0</v>
      </c>
      <c r="N499" s="6">
        <v>0</v>
      </c>
      <c r="O499" s="6">
        <v>0</v>
      </c>
      <c r="P499" s="6">
        <v>-1</v>
      </c>
      <c r="Q499" s="4" t="s">
        <v>26</v>
      </c>
      <c r="R499" s="4">
        <v>0</v>
      </c>
      <c r="S499" s="6">
        <v>18</v>
      </c>
      <c r="T499" s="6">
        <v>0</v>
      </c>
      <c r="U499" s="6">
        <v>0</v>
      </c>
      <c r="V499" s="6">
        <f>IF(ISERROR(VLOOKUP($S$499,'TAR FIN'!$A$1:$O$93,15,0)),0,VLOOKUP($S$499,'TAR FIN'!$A$1:$O$93,15,0))</f>
        <v>26.17</v>
      </c>
      <c r="W499" s="6">
        <f>IF(ISERROR(VLOOKUP($T$499,'TAR FIN'!$A$1:$O$93,15,0)),0,VLOOKUP($T$499,'TAR FIN'!$A$1:$O$93,15,0))</f>
        <v>0</v>
      </c>
      <c r="X499" s="6">
        <f>IF(ISERROR(VLOOKUP($U$499,'TAR FIN'!$A$1:$O$93,15,0)),0,VLOOKUP($U$499,'TAR FIN'!$A$1:$O$93,15,0))</f>
        <v>0</v>
      </c>
      <c r="Y499" s="6">
        <f ca="1">('TUSD BE'!$AM$14+'TUSD BF'!$AM$14+'TUSD CVA'!$AM$14)*1</f>
        <v>30.453482365333407</v>
      </c>
      <c r="Z499" s="6"/>
      <c r="AA499" s="6"/>
      <c r="AB499" s="6">
        <f>$K$499*$V$499</f>
        <v>-3349.76</v>
      </c>
      <c r="AC499" s="6">
        <f>$M$499*$W$499</f>
        <v>0</v>
      </c>
      <c r="AD499" s="6">
        <f>$O$499*$X$499</f>
        <v>0</v>
      </c>
      <c r="AE499" s="6">
        <f ca="1">$K$499*$Y$499</f>
        <v>-3898.0457427626761</v>
      </c>
      <c r="AF499" s="6">
        <f>$M$499*$Z$499</f>
        <v>0</v>
      </c>
      <c r="AG499" s="6">
        <f>$O$499*$AA$499</f>
        <v>0</v>
      </c>
    </row>
    <row r="500" spans="1:33" ht="11.25" customHeight="1" x14ac:dyDescent="0.25">
      <c r="A500" s="4" t="s">
        <v>21</v>
      </c>
      <c r="B500" s="4" t="s">
        <v>35</v>
      </c>
      <c r="C500" s="4" t="s">
        <v>39</v>
      </c>
      <c r="D500" s="4" t="s">
        <v>43</v>
      </c>
      <c r="E500" s="4" t="s">
        <v>25</v>
      </c>
      <c r="F500" s="4" t="s">
        <v>25</v>
      </c>
      <c r="G500" s="4" t="s">
        <v>25</v>
      </c>
      <c r="H500" s="4" t="s">
        <v>25</v>
      </c>
      <c r="I500" s="5">
        <v>44682</v>
      </c>
      <c r="J500" s="6">
        <v>300</v>
      </c>
      <c r="K500" s="6">
        <v>300</v>
      </c>
      <c r="L500" s="6">
        <v>0</v>
      </c>
      <c r="M500" s="6">
        <v>0</v>
      </c>
      <c r="N500" s="6">
        <v>0</v>
      </c>
      <c r="O500" s="6">
        <v>0</v>
      </c>
      <c r="P500" s="6">
        <v>4</v>
      </c>
      <c r="Q500" s="4" t="s">
        <v>26</v>
      </c>
      <c r="R500" s="4">
        <v>0</v>
      </c>
      <c r="S500" s="6">
        <v>18</v>
      </c>
      <c r="T500" s="6">
        <v>0</v>
      </c>
      <c r="U500" s="6">
        <v>0</v>
      </c>
      <c r="V500" s="6">
        <f>IF(ISERROR(VLOOKUP($S$500,'TAR FIN'!$A$1:$O$93,15,0)),0,VLOOKUP($S$500,'TAR FIN'!$A$1:$O$93,15,0))</f>
        <v>26.17</v>
      </c>
      <c r="W500" s="6">
        <f>IF(ISERROR(VLOOKUP($T$500,'TAR FIN'!$A$1:$O$93,15,0)),0,VLOOKUP($T$500,'TAR FIN'!$A$1:$O$93,15,0))</f>
        <v>0</v>
      </c>
      <c r="X500" s="6">
        <f>IF(ISERROR(VLOOKUP($U$500,'TAR FIN'!$A$1:$O$93,15,0)),0,VLOOKUP($U$500,'TAR FIN'!$A$1:$O$93,15,0))</f>
        <v>0</v>
      </c>
      <c r="Y500" s="6">
        <f ca="1">('TUSD BE'!$AM$14+'TUSD BF'!$AM$14+'TUSD CVA'!$AM$14)*1</f>
        <v>30.453482365333407</v>
      </c>
      <c r="Z500" s="6"/>
      <c r="AA500" s="6"/>
      <c r="AB500" s="6">
        <f>$K$500*$V$500</f>
        <v>7851.0000000000009</v>
      </c>
      <c r="AC500" s="6">
        <f>$M$500*$W$500</f>
        <v>0</v>
      </c>
      <c r="AD500" s="6">
        <f>$O$500*$X$500</f>
        <v>0</v>
      </c>
      <c r="AE500" s="6">
        <f ca="1">$K$500*$Y$500</f>
        <v>9136.0447096000225</v>
      </c>
      <c r="AF500" s="6">
        <f>$M$500*$Z$500</f>
        <v>0</v>
      </c>
      <c r="AG500" s="6">
        <f>$O$500*$AA$500</f>
        <v>0</v>
      </c>
    </row>
    <row r="501" spans="1:33" ht="11.25" customHeight="1" x14ac:dyDescent="0.25">
      <c r="A501" s="4" t="s">
        <v>21</v>
      </c>
      <c r="B501" s="4" t="s">
        <v>35</v>
      </c>
      <c r="C501" s="4" t="s">
        <v>39</v>
      </c>
      <c r="D501" s="4" t="s">
        <v>43</v>
      </c>
      <c r="E501" s="4" t="s">
        <v>25</v>
      </c>
      <c r="F501" s="4" t="s">
        <v>25</v>
      </c>
      <c r="G501" s="4" t="s">
        <v>25</v>
      </c>
      <c r="H501" s="4" t="s">
        <v>25</v>
      </c>
      <c r="I501" s="5">
        <v>44713</v>
      </c>
      <c r="J501" s="6">
        <v>300</v>
      </c>
      <c r="K501" s="6">
        <v>300</v>
      </c>
      <c r="L501" s="6">
        <v>0</v>
      </c>
      <c r="M501" s="6">
        <v>0</v>
      </c>
      <c r="N501" s="6">
        <v>0</v>
      </c>
      <c r="O501" s="6">
        <v>0</v>
      </c>
      <c r="P501" s="6">
        <v>4</v>
      </c>
      <c r="Q501" s="4" t="s">
        <v>26</v>
      </c>
      <c r="R501" s="4">
        <v>0</v>
      </c>
      <c r="S501" s="6">
        <v>18</v>
      </c>
      <c r="T501" s="6">
        <v>0</v>
      </c>
      <c r="U501" s="6">
        <v>0</v>
      </c>
      <c r="V501" s="6">
        <f>IF(ISERROR(VLOOKUP($S$501,'TAR FIN'!$A$1:$O$93,15,0)),0,VLOOKUP($S$501,'TAR FIN'!$A$1:$O$93,15,0))</f>
        <v>26.17</v>
      </c>
      <c r="W501" s="6">
        <f>IF(ISERROR(VLOOKUP($T$501,'TAR FIN'!$A$1:$O$93,15,0)),0,VLOOKUP($T$501,'TAR FIN'!$A$1:$O$93,15,0))</f>
        <v>0</v>
      </c>
      <c r="X501" s="6">
        <f>IF(ISERROR(VLOOKUP($U$501,'TAR FIN'!$A$1:$O$93,15,0)),0,VLOOKUP($U$501,'TAR FIN'!$A$1:$O$93,15,0))</f>
        <v>0</v>
      </c>
      <c r="Y501" s="6">
        <f ca="1">('TUSD BE'!$AM$14+'TUSD BF'!$AM$14+'TUSD CVA'!$AM$14)*1</f>
        <v>30.453482365333407</v>
      </c>
      <c r="Z501" s="6"/>
      <c r="AA501" s="6"/>
      <c r="AB501" s="6">
        <f>$K$501*$V$501</f>
        <v>7851.0000000000009</v>
      </c>
      <c r="AC501" s="6">
        <f>$M$501*$W$501</f>
        <v>0</v>
      </c>
      <c r="AD501" s="6">
        <f>$O$501*$X$501</f>
        <v>0</v>
      </c>
      <c r="AE501" s="6">
        <f ca="1">$K$501*$Y$501</f>
        <v>9136.0447096000225</v>
      </c>
      <c r="AF501" s="6">
        <f>$M$501*$Z$501</f>
        <v>0</v>
      </c>
      <c r="AG501" s="6">
        <f>$O$501*$AA$501</f>
        <v>0</v>
      </c>
    </row>
    <row r="502" spans="1:33" ht="11.25" customHeight="1" x14ac:dyDescent="0.25">
      <c r="A502" s="4" t="s">
        <v>21</v>
      </c>
      <c r="B502" s="4" t="s">
        <v>35</v>
      </c>
      <c r="C502" s="4" t="s">
        <v>39</v>
      </c>
      <c r="D502" s="4" t="s">
        <v>43</v>
      </c>
      <c r="E502" s="4" t="s">
        <v>25</v>
      </c>
      <c r="F502" s="4" t="s">
        <v>25</v>
      </c>
      <c r="G502" s="4" t="s">
        <v>25</v>
      </c>
      <c r="H502" s="4" t="s">
        <v>37</v>
      </c>
      <c r="I502" s="5">
        <v>44378</v>
      </c>
      <c r="J502" s="6">
        <v>0</v>
      </c>
      <c r="K502" s="6">
        <v>0</v>
      </c>
      <c r="L502" s="6">
        <v>1.1759999999999999</v>
      </c>
      <c r="M502" s="6">
        <v>1.1759999999999999</v>
      </c>
      <c r="N502" s="6">
        <v>1.1759999999999999</v>
      </c>
      <c r="O502" s="6">
        <v>1.1759999999999999</v>
      </c>
      <c r="P502" s="6">
        <v>0</v>
      </c>
      <c r="Q502" s="4" t="s">
        <v>26</v>
      </c>
      <c r="R502" s="4">
        <v>0</v>
      </c>
      <c r="S502" s="6">
        <v>0</v>
      </c>
      <c r="T502" s="6">
        <v>12</v>
      </c>
      <c r="U502" s="6">
        <v>66</v>
      </c>
      <c r="V502" s="6">
        <f>IF(ISERROR(VLOOKUP($S$502,'TAR FIN'!$A$1:$O$93,15,0)),0,VLOOKUP($S$502,'TAR FIN'!$A$1:$O$93,15,0))</f>
        <v>0</v>
      </c>
      <c r="W502" s="6">
        <f>IF(ISERROR(VLOOKUP($T$502,'TAR FIN'!$A$1:$O$93,15,0)),0,VLOOKUP($T$502,'TAR FIN'!$A$1:$O$93,15,0))</f>
        <v>1124.7</v>
      </c>
      <c r="X502" s="6">
        <f>IF(ISERROR(VLOOKUP($U$502,'TAR FIN'!$A$1:$O$93,15,0)),0,VLOOKUP($U$502,'TAR FIN'!$A$1:$O$93,15,0))</f>
        <v>185.18</v>
      </c>
      <c r="Y502" s="6"/>
      <c r="Z502" s="6">
        <f ca="1">('TUSD BE'!$AM$15+'TUSD BF'!$AM$15+'TUSD CVA'!$AM$15)*1</f>
        <v>1302.3659842076513</v>
      </c>
      <c r="AA502" s="6">
        <f>('TE BE'!$AB$7+'TE BF'!$AB$7+'TE CVA'!$AB$7)*1</f>
        <v>198.18194779658231</v>
      </c>
      <c r="AB502" s="6">
        <f>$K$502*$V$502</f>
        <v>0</v>
      </c>
      <c r="AC502" s="6">
        <f>$M$502*$W$502</f>
        <v>1322.6471999999999</v>
      </c>
      <c r="AD502" s="6">
        <f>$O$502*$X$502</f>
        <v>217.77168</v>
      </c>
      <c r="AE502" s="6">
        <f>$K$502*$Y$502</f>
        <v>0</v>
      </c>
      <c r="AF502" s="6">
        <f ca="1">$M$502*$Z$502</f>
        <v>1531.582397428198</v>
      </c>
      <c r="AG502" s="6">
        <f>$O$502*$AA$502</f>
        <v>233.06197060878077</v>
      </c>
    </row>
    <row r="503" spans="1:33" ht="11.25" customHeight="1" x14ac:dyDescent="0.25">
      <c r="A503" s="4" t="s">
        <v>27</v>
      </c>
      <c r="B503" s="4" t="s">
        <v>35</v>
      </c>
      <c r="C503" s="4" t="s">
        <v>39</v>
      </c>
      <c r="D503" s="4" t="s">
        <v>43</v>
      </c>
      <c r="E503" s="4" t="s">
        <v>25</v>
      </c>
      <c r="F503" s="4" t="s">
        <v>25</v>
      </c>
      <c r="G503" s="4" t="s">
        <v>25</v>
      </c>
      <c r="H503" s="4" t="s">
        <v>37</v>
      </c>
      <c r="I503" s="5">
        <v>44378</v>
      </c>
      <c r="J503" s="6">
        <v>0</v>
      </c>
      <c r="K503" s="6">
        <v>0</v>
      </c>
      <c r="L503" s="6">
        <v>-0.43099999999999999</v>
      </c>
      <c r="M503" s="6">
        <v>-0.43099999999999999</v>
      </c>
      <c r="N503" s="6">
        <v>-0.43099999999999999</v>
      </c>
      <c r="O503" s="6">
        <v>-0.43099999999999999</v>
      </c>
      <c r="P503" s="6">
        <v>0</v>
      </c>
      <c r="Q503" s="4" t="s">
        <v>26</v>
      </c>
      <c r="R503" s="4">
        <v>0</v>
      </c>
      <c r="S503" s="6">
        <v>0</v>
      </c>
      <c r="T503" s="6">
        <v>12</v>
      </c>
      <c r="U503" s="6">
        <v>66</v>
      </c>
      <c r="V503" s="6">
        <f>IF(ISERROR(VLOOKUP($S$503,'TAR FIN'!$A$1:$O$93,15,0)),0,VLOOKUP($S$503,'TAR FIN'!$A$1:$O$93,15,0))</f>
        <v>0</v>
      </c>
      <c r="W503" s="6">
        <f>IF(ISERROR(VLOOKUP($T$503,'TAR FIN'!$A$1:$O$93,15,0)),0,VLOOKUP($T$503,'TAR FIN'!$A$1:$O$93,15,0))</f>
        <v>1124.7</v>
      </c>
      <c r="X503" s="6">
        <f>IF(ISERROR(VLOOKUP($U$503,'TAR FIN'!$A$1:$O$93,15,0)),0,VLOOKUP($U$503,'TAR FIN'!$A$1:$O$93,15,0))</f>
        <v>185.18</v>
      </c>
      <c r="Y503" s="6"/>
      <c r="Z503" s="6">
        <f ca="1">('TUSD BE'!$AM$15+'TUSD BF'!$AM$15+'TUSD CVA'!$AM$15)*1</f>
        <v>1302.3659842076513</v>
      </c>
      <c r="AA503" s="6">
        <f>('TE BE'!$AB$7+'TE BF'!$AB$7+'TE CVA'!$AB$7)*1</f>
        <v>198.18194779658231</v>
      </c>
      <c r="AB503" s="6">
        <f>$K$503*$V$503</f>
        <v>0</v>
      </c>
      <c r="AC503" s="6">
        <f>$M$503*$W$503</f>
        <v>-484.7457</v>
      </c>
      <c r="AD503" s="6">
        <f>$O$503*$X$503</f>
        <v>-79.812579999999997</v>
      </c>
      <c r="AE503" s="6">
        <f>$K$503*$Y$503</f>
        <v>0</v>
      </c>
      <c r="AF503" s="6">
        <f ca="1">$M$503*$Z$503</f>
        <v>-561.31973919349775</v>
      </c>
      <c r="AG503" s="6">
        <f>$O$503*$AA$503</f>
        <v>-85.416419500326967</v>
      </c>
    </row>
    <row r="504" spans="1:33" ht="11.25" customHeight="1" x14ac:dyDescent="0.25">
      <c r="A504" s="4" t="s">
        <v>21</v>
      </c>
      <c r="B504" s="4" t="s">
        <v>35</v>
      </c>
      <c r="C504" s="4" t="s">
        <v>39</v>
      </c>
      <c r="D504" s="4" t="s">
        <v>43</v>
      </c>
      <c r="E504" s="4" t="s">
        <v>25</v>
      </c>
      <c r="F504" s="4" t="s">
        <v>25</v>
      </c>
      <c r="G504" s="4" t="s">
        <v>25</v>
      </c>
      <c r="H504" s="4" t="s">
        <v>37</v>
      </c>
      <c r="I504" s="5">
        <v>44409</v>
      </c>
      <c r="J504" s="6">
        <v>0</v>
      </c>
      <c r="K504" s="6">
        <v>0</v>
      </c>
      <c r="L504" s="6">
        <v>1.042</v>
      </c>
      <c r="M504" s="6">
        <v>1.042</v>
      </c>
      <c r="N504" s="6">
        <v>1.042</v>
      </c>
      <c r="O504" s="6">
        <v>1.042</v>
      </c>
      <c r="P504" s="6">
        <v>0</v>
      </c>
      <c r="Q504" s="4" t="s">
        <v>26</v>
      </c>
      <c r="R504" s="4">
        <v>0</v>
      </c>
      <c r="S504" s="6">
        <v>0</v>
      </c>
      <c r="T504" s="6">
        <v>12</v>
      </c>
      <c r="U504" s="6">
        <v>66</v>
      </c>
      <c r="V504" s="6">
        <f>IF(ISERROR(VLOOKUP($S$504,'TAR FIN'!$A$1:$O$93,15,0)),0,VLOOKUP($S$504,'TAR FIN'!$A$1:$O$93,15,0))</f>
        <v>0</v>
      </c>
      <c r="W504" s="6">
        <f>IF(ISERROR(VLOOKUP($T$504,'TAR FIN'!$A$1:$O$93,15,0)),0,VLOOKUP($T$504,'TAR FIN'!$A$1:$O$93,15,0))</f>
        <v>1124.7</v>
      </c>
      <c r="X504" s="6">
        <f>IF(ISERROR(VLOOKUP($U$504,'TAR FIN'!$A$1:$O$93,15,0)),0,VLOOKUP($U$504,'TAR FIN'!$A$1:$O$93,15,0))</f>
        <v>185.18</v>
      </c>
      <c r="Y504" s="6"/>
      <c r="Z504" s="6">
        <f ca="1">('TUSD BE'!$AM$15+'TUSD BF'!$AM$15+'TUSD CVA'!$AM$15)*1</f>
        <v>1302.3659842076513</v>
      </c>
      <c r="AA504" s="6">
        <f>('TE BE'!$AB$7+'TE BF'!$AB$7+'TE CVA'!$AB$7)*1</f>
        <v>198.18194779658231</v>
      </c>
      <c r="AB504" s="6">
        <f>$K$504*$V$504</f>
        <v>0</v>
      </c>
      <c r="AC504" s="6">
        <f>$M$504*$W$504</f>
        <v>1171.9374</v>
      </c>
      <c r="AD504" s="6">
        <f>$O$504*$X$504</f>
        <v>192.95756</v>
      </c>
      <c r="AE504" s="6">
        <f>$K$504*$Y$504</f>
        <v>0</v>
      </c>
      <c r="AF504" s="6">
        <f ca="1">$M$504*$Z$504</f>
        <v>1357.0653555443728</v>
      </c>
      <c r="AG504" s="6">
        <f>$O$504*$AA$504</f>
        <v>206.50558960403876</v>
      </c>
    </row>
    <row r="505" spans="1:33" ht="11.25" customHeight="1" x14ac:dyDescent="0.25">
      <c r="A505" s="4" t="s">
        <v>21</v>
      </c>
      <c r="B505" s="4" t="s">
        <v>35</v>
      </c>
      <c r="C505" s="4" t="s">
        <v>39</v>
      </c>
      <c r="D505" s="4" t="s">
        <v>43</v>
      </c>
      <c r="E505" s="4" t="s">
        <v>25</v>
      </c>
      <c r="F505" s="4" t="s">
        <v>25</v>
      </c>
      <c r="G505" s="4" t="s">
        <v>25</v>
      </c>
      <c r="H505" s="4" t="s">
        <v>37</v>
      </c>
      <c r="I505" s="5">
        <v>44440</v>
      </c>
      <c r="J505" s="6">
        <v>0</v>
      </c>
      <c r="K505" s="6">
        <v>0</v>
      </c>
      <c r="L505" s="6">
        <v>0.98299999999999998</v>
      </c>
      <c r="M505" s="6">
        <v>0.98299999999999998</v>
      </c>
      <c r="N505" s="6">
        <v>0.98299999999999998</v>
      </c>
      <c r="O505" s="6">
        <v>0.98299999999999998</v>
      </c>
      <c r="P505" s="6">
        <v>0</v>
      </c>
      <c r="Q505" s="4" t="s">
        <v>26</v>
      </c>
      <c r="R505" s="4">
        <v>0</v>
      </c>
      <c r="S505" s="6">
        <v>0</v>
      </c>
      <c r="T505" s="6">
        <v>12</v>
      </c>
      <c r="U505" s="6">
        <v>66</v>
      </c>
      <c r="V505" s="6">
        <f>IF(ISERROR(VLOOKUP($S$505,'TAR FIN'!$A$1:$O$93,15,0)),0,VLOOKUP($S$505,'TAR FIN'!$A$1:$O$93,15,0))</f>
        <v>0</v>
      </c>
      <c r="W505" s="6">
        <f>IF(ISERROR(VLOOKUP($T$505,'TAR FIN'!$A$1:$O$93,15,0)),0,VLOOKUP($T$505,'TAR FIN'!$A$1:$O$93,15,0))</f>
        <v>1124.7</v>
      </c>
      <c r="X505" s="6">
        <f>IF(ISERROR(VLOOKUP($U$505,'TAR FIN'!$A$1:$O$93,15,0)),0,VLOOKUP($U$505,'TAR FIN'!$A$1:$O$93,15,0))</f>
        <v>185.18</v>
      </c>
      <c r="Y505" s="6"/>
      <c r="Z505" s="6">
        <f ca="1">('TUSD BE'!$AM$15+'TUSD BF'!$AM$15+'TUSD CVA'!$AM$15)*1</f>
        <v>1302.3659842076513</v>
      </c>
      <c r="AA505" s="6">
        <f>('TE BE'!$AB$7+'TE BF'!$AB$7+'TE CVA'!$AB$7)*1</f>
        <v>198.18194779658231</v>
      </c>
      <c r="AB505" s="6">
        <f>$K$505*$V$505</f>
        <v>0</v>
      </c>
      <c r="AC505" s="6">
        <f>$M$505*$W$505</f>
        <v>1105.5801000000001</v>
      </c>
      <c r="AD505" s="6">
        <f>$O$505*$X$505</f>
        <v>182.03193999999999</v>
      </c>
      <c r="AE505" s="6">
        <f>$K$505*$Y$505</f>
        <v>0</v>
      </c>
      <c r="AF505" s="6">
        <f ca="1">$M$505*$Z$505</f>
        <v>1280.2257624761212</v>
      </c>
      <c r="AG505" s="6">
        <f>$O$505*$AA$505</f>
        <v>194.81285468404042</v>
      </c>
    </row>
    <row r="506" spans="1:33" ht="11.25" customHeight="1" x14ac:dyDescent="0.25">
      <c r="A506" s="4" t="s">
        <v>21</v>
      </c>
      <c r="B506" s="4" t="s">
        <v>35</v>
      </c>
      <c r="C506" s="4" t="s">
        <v>39</v>
      </c>
      <c r="D506" s="4" t="s">
        <v>43</v>
      </c>
      <c r="E506" s="4" t="s">
        <v>25</v>
      </c>
      <c r="F506" s="4" t="s">
        <v>25</v>
      </c>
      <c r="G506" s="4" t="s">
        <v>25</v>
      </c>
      <c r="H506" s="4" t="s">
        <v>37</v>
      </c>
      <c r="I506" s="5">
        <v>44470</v>
      </c>
      <c r="J506" s="6">
        <v>0</v>
      </c>
      <c r="K506" s="6">
        <v>0</v>
      </c>
      <c r="L506" s="6">
        <v>0.91100000000000003</v>
      </c>
      <c r="M506" s="6">
        <v>0.91100000000000003</v>
      </c>
      <c r="N506" s="6">
        <v>0.91100000000000003</v>
      </c>
      <c r="O506" s="6">
        <v>0.91100000000000003</v>
      </c>
      <c r="P506" s="6">
        <v>0</v>
      </c>
      <c r="Q506" s="4" t="s">
        <v>26</v>
      </c>
      <c r="R506" s="4">
        <v>0</v>
      </c>
      <c r="S506" s="6">
        <v>0</v>
      </c>
      <c r="T506" s="6">
        <v>12</v>
      </c>
      <c r="U506" s="6">
        <v>66</v>
      </c>
      <c r="V506" s="6">
        <f>IF(ISERROR(VLOOKUP($S$506,'TAR FIN'!$A$1:$O$93,15,0)),0,VLOOKUP($S$506,'TAR FIN'!$A$1:$O$93,15,0))</f>
        <v>0</v>
      </c>
      <c r="W506" s="6">
        <f>IF(ISERROR(VLOOKUP($T$506,'TAR FIN'!$A$1:$O$93,15,0)),0,VLOOKUP($T$506,'TAR FIN'!$A$1:$O$93,15,0))</f>
        <v>1124.7</v>
      </c>
      <c r="X506" s="6">
        <f>IF(ISERROR(VLOOKUP($U$506,'TAR FIN'!$A$1:$O$93,15,0)),0,VLOOKUP($U$506,'TAR FIN'!$A$1:$O$93,15,0))</f>
        <v>185.18</v>
      </c>
      <c r="Y506" s="6"/>
      <c r="Z506" s="6">
        <f ca="1">('TUSD BE'!$AM$15+'TUSD BF'!$AM$15+'TUSD CVA'!$AM$15)*1</f>
        <v>1302.3659842076513</v>
      </c>
      <c r="AA506" s="6">
        <f>('TE BE'!$AB$7+'TE BF'!$AB$7+'TE CVA'!$AB$7)*1</f>
        <v>198.18194779658231</v>
      </c>
      <c r="AB506" s="6">
        <f>$K$506*$V$506</f>
        <v>0</v>
      </c>
      <c r="AC506" s="6">
        <f>$M$506*$W$506</f>
        <v>1024.6017000000002</v>
      </c>
      <c r="AD506" s="6">
        <f>$O$506*$X$506</f>
        <v>168.69898000000001</v>
      </c>
      <c r="AE506" s="6">
        <f>$K$506*$Y$506</f>
        <v>0</v>
      </c>
      <c r="AF506" s="6">
        <f ca="1">$M$506*$Z$506</f>
        <v>1186.4554116131703</v>
      </c>
      <c r="AG506" s="6">
        <f>$O$506*$AA$506</f>
        <v>180.54375444268649</v>
      </c>
    </row>
    <row r="507" spans="1:33" ht="11.25" customHeight="1" x14ac:dyDescent="0.25">
      <c r="A507" s="4" t="s">
        <v>21</v>
      </c>
      <c r="B507" s="4" t="s">
        <v>35</v>
      </c>
      <c r="C507" s="4" t="s">
        <v>39</v>
      </c>
      <c r="D507" s="4" t="s">
        <v>43</v>
      </c>
      <c r="E507" s="4" t="s">
        <v>25</v>
      </c>
      <c r="F507" s="4" t="s">
        <v>25</v>
      </c>
      <c r="G507" s="4" t="s">
        <v>25</v>
      </c>
      <c r="H507" s="4" t="s">
        <v>37</v>
      </c>
      <c r="I507" s="5">
        <v>44501</v>
      </c>
      <c r="J507" s="6">
        <v>0</v>
      </c>
      <c r="K507" s="6">
        <v>0</v>
      </c>
      <c r="L507" s="6">
        <v>0.84099999999999997</v>
      </c>
      <c r="M507" s="6">
        <v>0.84099999999999997</v>
      </c>
      <c r="N507" s="6">
        <v>0.84099999999999997</v>
      </c>
      <c r="O507" s="6">
        <v>0.84099999999999997</v>
      </c>
      <c r="P507" s="6">
        <v>0</v>
      </c>
      <c r="Q507" s="4" t="s">
        <v>26</v>
      </c>
      <c r="R507" s="4">
        <v>0</v>
      </c>
      <c r="S507" s="6">
        <v>0</v>
      </c>
      <c r="T507" s="6">
        <v>12</v>
      </c>
      <c r="U507" s="6">
        <v>66</v>
      </c>
      <c r="V507" s="6">
        <f>IF(ISERROR(VLOOKUP($S$507,'TAR FIN'!$A$1:$O$93,15,0)),0,VLOOKUP($S$507,'TAR FIN'!$A$1:$O$93,15,0))</f>
        <v>0</v>
      </c>
      <c r="W507" s="6">
        <f>IF(ISERROR(VLOOKUP($T$507,'TAR FIN'!$A$1:$O$93,15,0)),0,VLOOKUP($T$507,'TAR FIN'!$A$1:$O$93,15,0))</f>
        <v>1124.7</v>
      </c>
      <c r="X507" s="6">
        <f>IF(ISERROR(VLOOKUP($U$507,'TAR FIN'!$A$1:$O$93,15,0)),0,VLOOKUP($U$507,'TAR FIN'!$A$1:$O$93,15,0))</f>
        <v>185.18</v>
      </c>
      <c r="Y507" s="6"/>
      <c r="Z507" s="6">
        <f ca="1">('TUSD BE'!$AM$15+'TUSD BF'!$AM$15+'TUSD CVA'!$AM$15)*1</f>
        <v>1302.3659842076513</v>
      </c>
      <c r="AA507" s="6">
        <f>('TE BE'!$AB$7+'TE BF'!$AB$7+'TE CVA'!$AB$7)*1</f>
        <v>198.18194779658231</v>
      </c>
      <c r="AB507" s="6">
        <f>$K$507*$V$507</f>
        <v>0</v>
      </c>
      <c r="AC507" s="6">
        <f>$M$507*$W$507</f>
        <v>945.87270000000001</v>
      </c>
      <c r="AD507" s="6">
        <f>$O$507*$X$507</f>
        <v>155.73638</v>
      </c>
      <c r="AE507" s="6">
        <f>$K$507*$Y$507</f>
        <v>0</v>
      </c>
      <c r="AF507" s="6">
        <f ca="1">$M$507*$Z$507</f>
        <v>1095.2897927186348</v>
      </c>
      <c r="AG507" s="6">
        <f>$O$507*$AA$507</f>
        <v>166.67101809692571</v>
      </c>
    </row>
    <row r="508" spans="1:33" ht="11.25" customHeight="1" x14ac:dyDescent="0.25">
      <c r="A508" s="4" t="s">
        <v>21</v>
      </c>
      <c r="B508" s="4" t="s">
        <v>35</v>
      </c>
      <c r="C508" s="4" t="s">
        <v>39</v>
      </c>
      <c r="D508" s="4" t="s">
        <v>43</v>
      </c>
      <c r="E508" s="4" t="s">
        <v>25</v>
      </c>
      <c r="F508" s="4" t="s">
        <v>25</v>
      </c>
      <c r="G508" s="4" t="s">
        <v>25</v>
      </c>
      <c r="H508" s="4" t="s">
        <v>37</v>
      </c>
      <c r="I508" s="5">
        <v>44531</v>
      </c>
      <c r="J508" s="6">
        <v>0</v>
      </c>
      <c r="K508" s="6">
        <v>0</v>
      </c>
      <c r="L508" s="6">
        <v>0.81699999999999995</v>
      </c>
      <c r="M508" s="6">
        <v>0.81699999999999995</v>
      </c>
      <c r="N508" s="6">
        <v>0.81699999999999995</v>
      </c>
      <c r="O508" s="6">
        <v>0.81699999999999995</v>
      </c>
      <c r="P508" s="6">
        <v>0</v>
      </c>
      <c r="Q508" s="4" t="s">
        <v>26</v>
      </c>
      <c r="R508" s="4">
        <v>0</v>
      </c>
      <c r="S508" s="6">
        <v>0</v>
      </c>
      <c r="T508" s="6">
        <v>12</v>
      </c>
      <c r="U508" s="6">
        <v>66</v>
      </c>
      <c r="V508" s="6">
        <f>IF(ISERROR(VLOOKUP($S$508,'TAR FIN'!$A$1:$O$93,15,0)),0,VLOOKUP($S$508,'TAR FIN'!$A$1:$O$93,15,0))</f>
        <v>0</v>
      </c>
      <c r="W508" s="6">
        <f>IF(ISERROR(VLOOKUP($T$508,'TAR FIN'!$A$1:$O$93,15,0)),0,VLOOKUP($T$508,'TAR FIN'!$A$1:$O$93,15,0))</f>
        <v>1124.7</v>
      </c>
      <c r="X508" s="6">
        <f>IF(ISERROR(VLOOKUP($U$508,'TAR FIN'!$A$1:$O$93,15,0)),0,VLOOKUP($U$508,'TAR FIN'!$A$1:$O$93,15,0))</f>
        <v>185.18</v>
      </c>
      <c r="Y508" s="6"/>
      <c r="Z508" s="6">
        <f ca="1">('TUSD BE'!$AM$15+'TUSD BF'!$AM$15+'TUSD CVA'!$AM$15)*1</f>
        <v>1302.3659842076513</v>
      </c>
      <c r="AA508" s="6">
        <f>('TE BE'!$AB$7+'TE BF'!$AB$7+'TE CVA'!$AB$7)*1</f>
        <v>198.18194779658231</v>
      </c>
      <c r="AB508" s="6">
        <f>$K$508*$V$508</f>
        <v>0</v>
      </c>
      <c r="AC508" s="6">
        <f>$M$508*$W$508</f>
        <v>918.87990000000002</v>
      </c>
      <c r="AD508" s="6">
        <f>$O$508*$X$508</f>
        <v>151.29205999999999</v>
      </c>
      <c r="AE508" s="6">
        <f>$K$508*$Y$508</f>
        <v>0</v>
      </c>
      <c r="AF508" s="6">
        <f ca="1">$M$508*$Z$508</f>
        <v>1064.0330090976511</v>
      </c>
      <c r="AG508" s="6">
        <f>$O$508*$AA$508</f>
        <v>161.91465134980774</v>
      </c>
    </row>
    <row r="509" spans="1:33" ht="11.25" customHeight="1" x14ac:dyDescent="0.25">
      <c r="A509" s="4" t="s">
        <v>21</v>
      </c>
      <c r="B509" s="4" t="s">
        <v>35</v>
      </c>
      <c r="C509" s="4" t="s">
        <v>39</v>
      </c>
      <c r="D509" s="4" t="s">
        <v>43</v>
      </c>
      <c r="E509" s="4" t="s">
        <v>25</v>
      </c>
      <c r="F509" s="4" t="s">
        <v>25</v>
      </c>
      <c r="G509" s="4" t="s">
        <v>25</v>
      </c>
      <c r="H509" s="4" t="s">
        <v>37</v>
      </c>
      <c r="I509" s="5">
        <v>44562</v>
      </c>
      <c r="J509" s="6">
        <v>0</v>
      </c>
      <c r="K509" s="6">
        <v>0</v>
      </c>
      <c r="L509" s="6">
        <v>0.91700000000000004</v>
      </c>
      <c r="M509" s="6">
        <v>0.91700000000000004</v>
      </c>
      <c r="N509" s="6">
        <v>0.91700000000000004</v>
      </c>
      <c r="O509" s="6">
        <v>0.91700000000000004</v>
      </c>
      <c r="P509" s="6">
        <v>0</v>
      </c>
      <c r="Q509" s="4" t="s">
        <v>26</v>
      </c>
      <c r="R509" s="4">
        <v>0</v>
      </c>
      <c r="S509" s="6">
        <v>0</v>
      </c>
      <c r="T509" s="6">
        <v>12</v>
      </c>
      <c r="U509" s="6">
        <v>66</v>
      </c>
      <c r="V509" s="6">
        <f>IF(ISERROR(VLOOKUP($S$509,'TAR FIN'!$A$1:$O$93,15,0)),0,VLOOKUP($S$509,'TAR FIN'!$A$1:$O$93,15,0))</f>
        <v>0</v>
      </c>
      <c r="W509" s="6">
        <f>IF(ISERROR(VLOOKUP($T$509,'TAR FIN'!$A$1:$O$93,15,0)),0,VLOOKUP($T$509,'TAR FIN'!$A$1:$O$93,15,0))</f>
        <v>1124.7</v>
      </c>
      <c r="X509" s="6">
        <f>IF(ISERROR(VLOOKUP($U$509,'TAR FIN'!$A$1:$O$93,15,0)),0,VLOOKUP($U$509,'TAR FIN'!$A$1:$O$93,15,0))</f>
        <v>185.18</v>
      </c>
      <c r="Y509" s="6"/>
      <c r="Z509" s="6">
        <f ca="1">('TUSD BE'!$AM$15+'TUSD BF'!$AM$15+'TUSD CVA'!$AM$15)*1</f>
        <v>1302.3659842076513</v>
      </c>
      <c r="AA509" s="6">
        <f>('TE BE'!$AB$7+'TE BF'!$AB$7+'TE CVA'!$AB$7)*1</f>
        <v>198.18194779658231</v>
      </c>
      <c r="AB509" s="6">
        <f>$K$509*$V$509</f>
        <v>0</v>
      </c>
      <c r="AC509" s="6">
        <f>$M$509*$W$509</f>
        <v>1031.3499000000002</v>
      </c>
      <c r="AD509" s="6">
        <f>$O$509*$X$509</f>
        <v>169.81006000000002</v>
      </c>
      <c r="AE509" s="6">
        <f>$K$509*$Y$509</f>
        <v>0</v>
      </c>
      <c r="AF509" s="6">
        <f ca="1">$M$509*$Z$509</f>
        <v>1194.2696075184163</v>
      </c>
      <c r="AG509" s="6">
        <f>$O$509*$AA$509</f>
        <v>181.73284612946597</v>
      </c>
    </row>
    <row r="510" spans="1:33" ht="11.25" customHeight="1" x14ac:dyDescent="0.25">
      <c r="A510" s="4" t="s">
        <v>21</v>
      </c>
      <c r="B510" s="4" t="s">
        <v>35</v>
      </c>
      <c r="C510" s="4" t="s">
        <v>39</v>
      </c>
      <c r="D510" s="4" t="s">
        <v>43</v>
      </c>
      <c r="E510" s="4" t="s">
        <v>25</v>
      </c>
      <c r="F510" s="4" t="s">
        <v>25</v>
      </c>
      <c r="G510" s="4" t="s">
        <v>25</v>
      </c>
      <c r="H510" s="4" t="s">
        <v>37</v>
      </c>
      <c r="I510" s="5">
        <v>44593</v>
      </c>
      <c r="J510" s="6">
        <v>0</v>
      </c>
      <c r="K510" s="6">
        <v>0</v>
      </c>
      <c r="L510" s="6">
        <v>0.45</v>
      </c>
      <c r="M510" s="6">
        <v>0.45</v>
      </c>
      <c r="N510" s="6">
        <v>0.45</v>
      </c>
      <c r="O510" s="6">
        <v>0.45</v>
      </c>
      <c r="P510" s="6">
        <v>0</v>
      </c>
      <c r="Q510" s="4" t="s">
        <v>26</v>
      </c>
      <c r="R510" s="4">
        <v>0</v>
      </c>
      <c r="S510" s="6">
        <v>0</v>
      </c>
      <c r="T510" s="6">
        <v>12</v>
      </c>
      <c r="U510" s="6">
        <v>66</v>
      </c>
      <c r="V510" s="6">
        <f>IF(ISERROR(VLOOKUP($S$510,'TAR FIN'!$A$1:$O$93,15,0)),0,VLOOKUP($S$510,'TAR FIN'!$A$1:$O$93,15,0))</f>
        <v>0</v>
      </c>
      <c r="W510" s="6">
        <f>IF(ISERROR(VLOOKUP($T$510,'TAR FIN'!$A$1:$O$93,15,0)),0,VLOOKUP($T$510,'TAR FIN'!$A$1:$O$93,15,0))</f>
        <v>1124.7</v>
      </c>
      <c r="X510" s="6">
        <f>IF(ISERROR(VLOOKUP($U$510,'TAR FIN'!$A$1:$O$93,15,0)),0,VLOOKUP($U$510,'TAR FIN'!$A$1:$O$93,15,0))</f>
        <v>185.18</v>
      </c>
      <c r="Y510" s="6"/>
      <c r="Z510" s="6">
        <f ca="1">('TUSD BE'!$AM$15+'TUSD BF'!$AM$15+'TUSD CVA'!$AM$15)*1</f>
        <v>1302.3659842076513</v>
      </c>
      <c r="AA510" s="6">
        <f>('TE BE'!$AB$7+'TE BF'!$AB$7+'TE CVA'!$AB$7)*1</f>
        <v>198.18194779658231</v>
      </c>
      <c r="AB510" s="6">
        <f>$K$510*$V$510</f>
        <v>0</v>
      </c>
      <c r="AC510" s="6">
        <f>$M$510*$W$510</f>
        <v>506.11500000000001</v>
      </c>
      <c r="AD510" s="6">
        <f>$O$510*$X$510</f>
        <v>83.331000000000003</v>
      </c>
      <c r="AE510" s="6">
        <f>$K$510*$Y$510</f>
        <v>0</v>
      </c>
      <c r="AF510" s="6">
        <f ca="1">$M$510*$Z$510</f>
        <v>586.06469289344307</v>
      </c>
      <c r="AG510" s="6">
        <f>$O$510*$AA$510</f>
        <v>89.18187650846204</v>
      </c>
    </row>
    <row r="511" spans="1:33" ht="11.25" customHeight="1" x14ac:dyDescent="0.25">
      <c r="A511" s="4" t="s">
        <v>21</v>
      </c>
      <c r="B511" s="4" t="s">
        <v>35</v>
      </c>
      <c r="C511" s="4" t="s">
        <v>39</v>
      </c>
      <c r="D511" s="4" t="s">
        <v>43</v>
      </c>
      <c r="E511" s="4" t="s">
        <v>25</v>
      </c>
      <c r="F511" s="4" t="s">
        <v>25</v>
      </c>
      <c r="G511" s="4" t="s">
        <v>25</v>
      </c>
      <c r="H511" s="4" t="s">
        <v>37</v>
      </c>
      <c r="I511" s="5">
        <v>44621</v>
      </c>
      <c r="J511" s="6">
        <v>0</v>
      </c>
      <c r="K511" s="6">
        <v>0</v>
      </c>
      <c r="L511" s="6">
        <v>0.45900000000000002</v>
      </c>
      <c r="M511" s="6">
        <v>0.45900000000000002</v>
      </c>
      <c r="N511" s="6">
        <v>0.45900000000000002</v>
      </c>
      <c r="O511" s="6">
        <v>0.45900000000000002</v>
      </c>
      <c r="P511" s="6">
        <v>0</v>
      </c>
      <c r="Q511" s="4" t="s">
        <v>26</v>
      </c>
      <c r="R511" s="4">
        <v>0</v>
      </c>
      <c r="S511" s="6">
        <v>0</v>
      </c>
      <c r="T511" s="6">
        <v>12</v>
      </c>
      <c r="U511" s="6">
        <v>66</v>
      </c>
      <c r="V511" s="6">
        <f>IF(ISERROR(VLOOKUP($S$511,'TAR FIN'!$A$1:$O$93,15,0)),0,VLOOKUP($S$511,'TAR FIN'!$A$1:$O$93,15,0))</f>
        <v>0</v>
      </c>
      <c r="W511" s="6">
        <f>IF(ISERROR(VLOOKUP($T$511,'TAR FIN'!$A$1:$O$93,15,0)),0,VLOOKUP($T$511,'TAR FIN'!$A$1:$O$93,15,0))</f>
        <v>1124.7</v>
      </c>
      <c r="X511" s="6">
        <f>IF(ISERROR(VLOOKUP($U$511,'TAR FIN'!$A$1:$O$93,15,0)),0,VLOOKUP($U$511,'TAR FIN'!$A$1:$O$93,15,0))</f>
        <v>185.18</v>
      </c>
      <c r="Y511" s="6"/>
      <c r="Z511" s="6">
        <f ca="1">('TUSD BE'!$AM$15+'TUSD BF'!$AM$15+'TUSD CVA'!$AM$15)*1</f>
        <v>1302.3659842076513</v>
      </c>
      <c r="AA511" s="6">
        <f>('TE BE'!$AB$7+'TE BF'!$AB$7+'TE CVA'!$AB$7)*1</f>
        <v>198.18194779658231</v>
      </c>
      <c r="AB511" s="6">
        <f>$K$511*$V$511</f>
        <v>0</v>
      </c>
      <c r="AC511" s="6">
        <f>$M$511*$W$511</f>
        <v>516.2373</v>
      </c>
      <c r="AD511" s="6">
        <f>$O$511*$X$511</f>
        <v>84.997620000000012</v>
      </c>
      <c r="AE511" s="6">
        <f>$K$511*$Y$511</f>
        <v>0</v>
      </c>
      <c r="AF511" s="6">
        <f ca="1">$M$511*$Z$511</f>
        <v>597.78598675131195</v>
      </c>
      <c r="AG511" s="6">
        <f>$O$511*$AA$511</f>
        <v>90.965514038631284</v>
      </c>
    </row>
    <row r="512" spans="1:33" ht="11.25" customHeight="1" x14ac:dyDescent="0.25">
      <c r="A512" s="4" t="s">
        <v>27</v>
      </c>
      <c r="B512" s="4" t="s">
        <v>35</v>
      </c>
      <c r="C512" s="4" t="s">
        <v>39</v>
      </c>
      <c r="D512" s="4" t="s">
        <v>43</v>
      </c>
      <c r="E512" s="4" t="s">
        <v>25</v>
      </c>
      <c r="F512" s="4" t="s">
        <v>25</v>
      </c>
      <c r="G512" s="4" t="s">
        <v>25</v>
      </c>
      <c r="H512" s="4" t="s">
        <v>37</v>
      </c>
      <c r="I512" s="5">
        <v>44621</v>
      </c>
      <c r="J512" s="6">
        <v>0</v>
      </c>
      <c r="K512" s="6">
        <v>0</v>
      </c>
      <c r="L512" s="6">
        <v>-1.0999999999999999E-2</v>
      </c>
      <c r="M512" s="6">
        <v>-1.0999999999999999E-2</v>
      </c>
      <c r="N512" s="6">
        <v>-1.0999999999999999E-2</v>
      </c>
      <c r="O512" s="6">
        <v>-1.0999999999999999E-2</v>
      </c>
      <c r="P512" s="6">
        <v>0</v>
      </c>
      <c r="Q512" s="4" t="s">
        <v>26</v>
      </c>
      <c r="R512" s="4">
        <v>0</v>
      </c>
      <c r="S512" s="6">
        <v>0</v>
      </c>
      <c r="T512" s="6">
        <v>12</v>
      </c>
      <c r="U512" s="6">
        <v>66</v>
      </c>
      <c r="V512" s="6">
        <f>IF(ISERROR(VLOOKUP($S$512,'TAR FIN'!$A$1:$O$93,15,0)),0,VLOOKUP($S$512,'TAR FIN'!$A$1:$O$93,15,0))</f>
        <v>0</v>
      </c>
      <c r="W512" s="6">
        <f>IF(ISERROR(VLOOKUP($T$512,'TAR FIN'!$A$1:$O$93,15,0)),0,VLOOKUP($T$512,'TAR FIN'!$A$1:$O$93,15,0))</f>
        <v>1124.7</v>
      </c>
      <c r="X512" s="6">
        <f>IF(ISERROR(VLOOKUP($U$512,'TAR FIN'!$A$1:$O$93,15,0)),0,VLOOKUP($U$512,'TAR FIN'!$A$1:$O$93,15,0))</f>
        <v>185.18</v>
      </c>
      <c r="Y512" s="6"/>
      <c r="Z512" s="6">
        <f ca="1">('TUSD BE'!$AM$15+'TUSD BF'!$AM$15+'TUSD CVA'!$AM$15)*1</f>
        <v>1302.3659842076513</v>
      </c>
      <c r="AA512" s="6">
        <f>('TE BE'!$AB$7+'TE BF'!$AB$7+'TE CVA'!$AB$7)*1</f>
        <v>198.18194779658231</v>
      </c>
      <c r="AB512" s="6">
        <f>$K$512*$V$512</f>
        <v>0</v>
      </c>
      <c r="AC512" s="6">
        <f>$M$512*$W$512</f>
        <v>-12.371700000000001</v>
      </c>
      <c r="AD512" s="6">
        <f>$O$512*$X$512</f>
        <v>-2.0369799999999998</v>
      </c>
      <c r="AE512" s="6">
        <f>$K$512*$Y$512</f>
        <v>0</v>
      </c>
      <c r="AF512" s="6">
        <f ca="1">$M$512*$Z$512</f>
        <v>-14.326025826284164</v>
      </c>
      <c r="AG512" s="6">
        <f>$O$512*$AA$512</f>
        <v>-2.1800014257624052</v>
      </c>
    </row>
    <row r="513" spans="1:33" ht="11.25" customHeight="1" x14ac:dyDescent="0.25">
      <c r="A513" s="4" t="s">
        <v>21</v>
      </c>
      <c r="B513" s="4" t="s">
        <v>35</v>
      </c>
      <c r="C513" s="4" t="s">
        <v>39</v>
      </c>
      <c r="D513" s="4" t="s">
        <v>43</v>
      </c>
      <c r="E513" s="4" t="s">
        <v>25</v>
      </c>
      <c r="F513" s="4" t="s">
        <v>25</v>
      </c>
      <c r="G513" s="4" t="s">
        <v>25</v>
      </c>
      <c r="H513" s="4" t="s">
        <v>37</v>
      </c>
      <c r="I513" s="5">
        <v>44652</v>
      </c>
      <c r="J513" s="6">
        <v>0</v>
      </c>
      <c r="K513" s="6">
        <v>0</v>
      </c>
      <c r="L513" s="6">
        <v>0.72799999999999998</v>
      </c>
      <c r="M513" s="6">
        <v>0.72799999999999998</v>
      </c>
      <c r="N513" s="6">
        <v>0.72799999999999998</v>
      </c>
      <c r="O513" s="6">
        <v>0.72799999999999998</v>
      </c>
      <c r="P513" s="6">
        <v>0</v>
      </c>
      <c r="Q513" s="4" t="s">
        <v>26</v>
      </c>
      <c r="R513" s="4">
        <v>0</v>
      </c>
      <c r="S513" s="6">
        <v>0</v>
      </c>
      <c r="T513" s="6">
        <v>12</v>
      </c>
      <c r="U513" s="6">
        <v>66</v>
      </c>
      <c r="V513" s="6">
        <f>IF(ISERROR(VLOOKUP($S$513,'TAR FIN'!$A$1:$O$93,15,0)),0,VLOOKUP($S$513,'TAR FIN'!$A$1:$O$93,15,0))</f>
        <v>0</v>
      </c>
      <c r="W513" s="6">
        <f>IF(ISERROR(VLOOKUP($T$513,'TAR FIN'!$A$1:$O$93,15,0)),0,VLOOKUP($T$513,'TAR FIN'!$A$1:$O$93,15,0))</f>
        <v>1124.7</v>
      </c>
      <c r="X513" s="6">
        <f>IF(ISERROR(VLOOKUP($U$513,'TAR FIN'!$A$1:$O$93,15,0)),0,VLOOKUP($U$513,'TAR FIN'!$A$1:$O$93,15,0))</f>
        <v>185.18</v>
      </c>
      <c r="Y513" s="6"/>
      <c r="Z513" s="6">
        <f ca="1">('TUSD BE'!$AM$15+'TUSD BF'!$AM$15+'TUSD CVA'!$AM$15)*1</f>
        <v>1302.3659842076513</v>
      </c>
      <c r="AA513" s="6">
        <f>('TE BE'!$AB$7+'TE BF'!$AB$7+'TE CVA'!$AB$7)*1</f>
        <v>198.18194779658231</v>
      </c>
      <c r="AB513" s="6">
        <f>$K$513*$V$513</f>
        <v>0</v>
      </c>
      <c r="AC513" s="6">
        <f>$M$513*$W$513</f>
        <v>818.78160000000003</v>
      </c>
      <c r="AD513" s="6">
        <f>$O$513*$X$513</f>
        <v>134.81103999999999</v>
      </c>
      <c r="AE513" s="6">
        <f>$K$513*$Y$513</f>
        <v>0</v>
      </c>
      <c r="AF513" s="6">
        <f ca="1">$M$513*$Z$513</f>
        <v>948.12243650317009</v>
      </c>
      <c r="AG513" s="6">
        <f>$O$513*$AA$513</f>
        <v>144.27645799591193</v>
      </c>
    </row>
    <row r="514" spans="1:33" ht="11.25" customHeight="1" x14ac:dyDescent="0.25">
      <c r="A514" s="4" t="s">
        <v>27</v>
      </c>
      <c r="B514" s="4" t="s">
        <v>35</v>
      </c>
      <c r="C514" s="4" t="s">
        <v>39</v>
      </c>
      <c r="D514" s="4" t="s">
        <v>43</v>
      </c>
      <c r="E514" s="4" t="s">
        <v>25</v>
      </c>
      <c r="F514" s="4" t="s">
        <v>25</v>
      </c>
      <c r="G514" s="4" t="s">
        <v>25</v>
      </c>
      <c r="H514" s="4" t="s">
        <v>37</v>
      </c>
      <c r="I514" s="5">
        <v>44652</v>
      </c>
      <c r="J514" s="6">
        <v>0</v>
      </c>
      <c r="K514" s="6">
        <v>0</v>
      </c>
      <c r="L514" s="6">
        <v>-1.4999999999999999E-2</v>
      </c>
      <c r="M514" s="6">
        <v>-1.4999999999999999E-2</v>
      </c>
      <c r="N514" s="6">
        <v>-1.4999999999999999E-2</v>
      </c>
      <c r="O514" s="6">
        <v>-1.4999999999999999E-2</v>
      </c>
      <c r="P514" s="6">
        <v>0</v>
      </c>
      <c r="Q514" s="4" t="s">
        <v>26</v>
      </c>
      <c r="R514" s="4">
        <v>0</v>
      </c>
      <c r="S514" s="6">
        <v>0</v>
      </c>
      <c r="T514" s="6">
        <v>12</v>
      </c>
      <c r="U514" s="6">
        <v>66</v>
      </c>
      <c r="V514" s="6">
        <f>IF(ISERROR(VLOOKUP($S$514,'TAR FIN'!$A$1:$O$93,15,0)),0,VLOOKUP($S$514,'TAR FIN'!$A$1:$O$93,15,0))</f>
        <v>0</v>
      </c>
      <c r="W514" s="6">
        <f>IF(ISERROR(VLOOKUP($T$514,'TAR FIN'!$A$1:$O$93,15,0)),0,VLOOKUP($T$514,'TAR FIN'!$A$1:$O$93,15,0))</f>
        <v>1124.7</v>
      </c>
      <c r="X514" s="6">
        <f>IF(ISERROR(VLOOKUP($U$514,'TAR FIN'!$A$1:$O$93,15,0)),0,VLOOKUP($U$514,'TAR FIN'!$A$1:$O$93,15,0))</f>
        <v>185.18</v>
      </c>
      <c r="Y514" s="6"/>
      <c r="Z514" s="6">
        <f ca="1">('TUSD BE'!$AM$15+'TUSD BF'!$AM$15+'TUSD CVA'!$AM$15)*1</f>
        <v>1302.3659842076513</v>
      </c>
      <c r="AA514" s="6">
        <f>('TE BE'!$AB$7+'TE BF'!$AB$7+'TE CVA'!$AB$7)*1</f>
        <v>198.18194779658231</v>
      </c>
      <c r="AB514" s="6">
        <f>$K$514*$V$514</f>
        <v>0</v>
      </c>
      <c r="AC514" s="6">
        <f>$M$514*$W$514</f>
        <v>-16.8705</v>
      </c>
      <c r="AD514" s="6">
        <f>$O$514*$X$514</f>
        <v>-2.7776999999999998</v>
      </c>
      <c r="AE514" s="6">
        <f>$K$514*$Y$514</f>
        <v>0</v>
      </c>
      <c r="AF514" s="6">
        <f ca="1">$M$514*$Z$514</f>
        <v>-19.535489763114768</v>
      </c>
      <c r="AG514" s="6">
        <f>$O$514*$AA$514</f>
        <v>-2.9727292169487347</v>
      </c>
    </row>
    <row r="515" spans="1:33" ht="11.25" customHeight="1" x14ac:dyDescent="0.25">
      <c r="A515" s="4" t="s">
        <v>21</v>
      </c>
      <c r="B515" s="4" t="s">
        <v>35</v>
      </c>
      <c r="C515" s="4" t="s">
        <v>39</v>
      </c>
      <c r="D515" s="4" t="s">
        <v>43</v>
      </c>
      <c r="E515" s="4" t="s">
        <v>25</v>
      </c>
      <c r="F515" s="4" t="s">
        <v>25</v>
      </c>
      <c r="G515" s="4" t="s">
        <v>25</v>
      </c>
      <c r="H515" s="4" t="s">
        <v>37</v>
      </c>
      <c r="I515" s="5">
        <v>44682</v>
      </c>
      <c r="J515" s="6">
        <v>0</v>
      </c>
      <c r="K515" s="6">
        <v>0</v>
      </c>
      <c r="L515" s="6">
        <v>0.65100000000000002</v>
      </c>
      <c r="M515" s="6">
        <v>0.65100000000000002</v>
      </c>
      <c r="N515" s="6">
        <v>0.65100000000000002</v>
      </c>
      <c r="O515" s="6">
        <v>0.65100000000000002</v>
      </c>
      <c r="P515" s="6">
        <v>0</v>
      </c>
      <c r="Q515" s="4" t="s">
        <v>26</v>
      </c>
      <c r="R515" s="4">
        <v>0</v>
      </c>
      <c r="S515" s="6">
        <v>0</v>
      </c>
      <c r="T515" s="6">
        <v>12</v>
      </c>
      <c r="U515" s="6">
        <v>66</v>
      </c>
      <c r="V515" s="6">
        <f>IF(ISERROR(VLOOKUP($S$515,'TAR FIN'!$A$1:$O$93,15,0)),0,VLOOKUP($S$515,'TAR FIN'!$A$1:$O$93,15,0))</f>
        <v>0</v>
      </c>
      <c r="W515" s="6">
        <f>IF(ISERROR(VLOOKUP($T$515,'TAR FIN'!$A$1:$O$93,15,0)),0,VLOOKUP($T$515,'TAR FIN'!$A$1:$O$93,15,0))</f>
        <v>1124.7</v>
      </c>
      <c r="X515" s="6">
        <f>IF(ISERROR(VLOOKUP($U$515,'TAR FIN'!$A$1:$O$93,15,0)),0,VLOOKUP($U$515,'TAR FIN'!$A$1:$O$93,15,0))</f>
        <v>185.18</v>
      </c>
      <c r="Y515" s="6"/>
      <c r="Z515" s="6">
        <f ca="1">('TUSD BE'!$AM$15+'TUSD BF'!$AM$15+'TUSD CVA'!$AM$15)*1</f>
        <v>1302.3659842076513</v>
      </c>
      <c r="AA515" s="6">
        <f>('TE BE'!$AB$7+'TE BF'!$AB$7+'TE CVA'!$AB$7)*1</f>
        <v>198.18194779658231</v>
      </c>
      <c r="AB515" s="6">
        <f>$K$515*$V$515</f>
        <v>0</v>
      </c>
      <c r="AC515" s="6">
        <f>$M$515*$W$515</f>
        <v>732.17970000000003</v>
      </c>
      <c r="AD515" s="6">
        <f>$O$515*$X$515</f>
        <v>120.55218000000001</v>
      </c>
      <c r="AE515" s="6">
        <f>$K$515*$Y$515</f>
        <v>0</v>
      </c>
      <c r="AF515" s="6">
        <f ca="1">$M$515*$Z$515</f>
        <v>847.84025571918107</v>
      </c>
      <c r="AG515" s="6">
        <f>$O$515*$AA$515</f>
        <v>129.01644801557509</v>
      </c>
    </row>
    <row r="516" spans="1:33" ht="11.25" customHeight="1" x14ac:dyDescent="0.25">
      <c r="A516" s="4" t="s">
        <v>21</v>
      </c>
      <c r="B516" s="4" t="s">
        <v>35</v>
      </c>
      <c r="C516" s="4" t="s">
        <v>39</v>
      </c>
      <c r="D516" s="4" t="s">
        <v>43</v>
      </c>
      <c r="E516" s="4" t="s">
        <v>25</v>
      </c>
      <c r="F516" s="4" t="s">
        <v>25</v>
      </c>
      <c r="G516" s="4" t="s">
        <v>25</v>
      </c>
      <c r="H516" s="4" t="s">
        <v>37</v>
      </c>
      <c r="I516" s="5">
        <v>44713</v>
      </c>
      <c r="J516" s="6">
        <v>0</v>
      </c>
      <c r="K516" s="6">
        <v>0</v>
      </c>
      <c r="L516" s="6">
        <v>0.82899999999999996</v>
      </c>
      <c r="M516" s="6">
        <v>0.82899999999999996</v>
      </c>
      <c r="N516" s="6">
        <v>0.82899999999999996</v>
      </c>
      <c r="O516" s="6">
        <v>0.82899999999999996</v>
      </c>
      <c r="P516" s="6">
        <v>0</v>
      </c>
      <c r="Q516" s="4" t="s">
        <v>26</v>
      </c>
      <c r="R516" s="4">
        <v>0</v>
      </c>
      <c r="S516" s="6">
        <v>0</v>
      </c>
      <c r="T516" s="6">
        <v>12</v>
      </c>
      <c r="U516" s="6">
        <v>66</v>
      </c>
      <c r="V516" s="6">
        <f>IF(ISERROR(VLOOKUP($S$516,'TAR FIN'!$A$1:$O$93,15,0)),0,VLOOKUP($S$516,'TAR FIN'!$A$1:$O$93,15,0))</f>
        <v>0</v>
      </c>
      <c r="W516" s="6">
        <f>IF(ISERROR(VLOOKUP($T$516,'TAR FIN'!$A$1:$O$93,15,0)),0,VLOOKUP($T$516,'TAR FIN'!$A$1:$O$93,15,0))</f>
        <v>1124.7</v>
      </c>
      <c r="X516" s="6">
        <f>IF(ISERROR(VLOOKUP($U$516,'TAR FIN'!$A$1:$O$93,15,0)),0,VLOOKUP($U$516,'TAR FIN'!$A$1:$O$93,15,0))</f>
        <v>185.18</v>
      </c>
      <c r="Y516" s="6"/>
      <c r="Z516" s="6">
        <f ca="1">('TUSD BE'!$AM$15+'TUSD BF'!$AM$15+'TUSD CVA'!$AM$15)*1</f>
        <v>1302.3659842076513</v>
      </c>
      <c r="AA516" s="6">
        <f>('TE BE'!$AB$7+'TE BF'!$AB$7+'TE CVA'!$AB$7)*1</f>
        <v>198.18194779658231</v>
      </c>
      <c r="AB516" s="6">
        <f>$K$516*$V$516</f>
        <v>0</v>
      </c>
      <c r="AC516" s="6">
        <f>$M$516*$W$516</f>
        <v>932.37630000000001</v>
      </c>
      <c r="AD516" s="6">
        <f>$O$516*$X$516</f>
        <v>153.51421999999999</v>
      </c>
      <c r="AE516" s="6">
        <f>$K$516*$Y$516</f>
        <v>0</v>
      </c>
      <c r="AF516" s="6">
        <f ca="1">$M$516*$Z$516</f>
        <v>1079.6614009081429</v>
      </c>
      <c r="AG516" s="6">
        <f>$O$516*$AA$516</f>
        <v>164.29283472336672</v>
      </c>
    </row>
    <row r="517" spans="1:33" ht="11.25" customHeight="1" x14ac:dyDescent="0.25">
      <c r="A517" s="4" t="s">
        <v>21</v>
      </c>
      <c r="B517" s="4" t="s">
        <v>35</v>
      </c>
      <c r="C517" s="4" t="s">
        <v>39</v>
      </c>
      <c r="D517" s="4" t="s">
        <v>42</v>
      </c>
      <c r="E517" s="4" t="s">
        <v>50</v>
      </c>
      <c r="F517" s="4" t="s">
        <v>51</v>
      </c>
      <c r="G517" s="4" t="s">
        <v>25</v>
      </c>
      <c r="H517" s="4" t="s">
        <v>38</v>
      </c>
      <c r="I517" s="5">
        <v>44378</v>
      </c>
      <c r="J517" s="6">
        <v>0</v>
      </c>
      <c r="K517" s="75">
        <v>0</v>
      </c>
      <c r="L517" s="6">
        <v>123.249</v>
      </c>
      <c r="M517" s="75">
        <v>123.249</v>
      </c>
      <c r="N517" s="6">
        <v>123.249</v>
      </c>
      <c r="O517" s="75">
        <v>123.249</v>
      </c>
      <c r="P517" s="6">
        <v>0</v>
      </c>
      <c r="Q517" s="4" t="s">
        <v>26</v>
      </c>
      <c r="R517" s="4">
        <v>0</v>
      </c>
      <c r="S517" s="6">
        <v>0</v>
      </c>
      <c r="T517" s="6">
        <v>25</v>
      </c>
      <c r="U517" s="6">
        <v>59</v>
      </c>
      <c r="V517" s="75">
        <f>IF(ISERROR(VLOOKUP($S$517,'TAR FIN'!$A$1:$O$93,15,0)),0,VLOOKUP($S$517,'TAR FIN'!$A$1:$O$93,15,0))</f>
        <v>0</v>
      </c>
      <c r="W517" s="75">
        <f>IF(ISERROR(VLOOKUP($T$517,'TAR FIN'!$A$1:$O$93,15,0)),0,VLOOKUP($T$517,'TAR FIN'!$A$1:$O$93,15,0))*(1-0.04)</f>
        <v>66.710399999999993</v>
      </c>
      <c r="X517" s="75">
        <f>IF(ISERROR(VLOOKUP($U$517,'TAR FIN'!$A$1:$O$93,15,0)),0,VLOOKUP($U$517,'TAR FIN'!$A$1:$O$93,15,0))*(1-0.04)</f>
        <v>177.77279999999999</v>
      </c>
      <c r="Y517" s="75"/>
      <c r="Z517" s="75">
        <f ca="1">('TUSD BE'!$AM$16+'TUSD BF'!$AM$16+'TUSD CVA'!$AM$16)*1*(1-0.02)</f>
        <v>90.654697600755071</v>
      </c>
      <c r="AA517" s="75">
        <f>('TE BE'!$AB$8+'TE BF'!$AB$8+'TE CVA'!$AB$8)*1*(1-0.02)</f>
        <v>194.21830884065065</v>
      </c>
      <c r="AB517" s="6">
        <f>$K$517*$V$517</f>
        <v>0</v>
      </c>
      <c r="AC517" s="6">
        <f>$M$517*$W$517</f>
        <v>8221.9900895999981</v>
      </c>
      <c r="AD517" s="6">
        <f>$O$517*$X$517</f>
        <v>21910.319827199997</v>
      </c>
      <c r="AE517" s="6">
        <f>$K$517*$Y$517</f>
        <v>0</v>
      </c>
      <c r="AF517" s="6">
        <f ca="1">$M$517*$Z$517</f>
        <v>11173.100824595462</v>
      </c>
      <c r="AG517" s="6">
        <f>$O$517*$AA$517</f>
        <v>23937.212346301352</v>
      </c>
    </row>
    <row r="518" spans="1:33" ht="11.25" customHeight="1" x14ac:dyDescent="0.25">
      <c r="A518" s="4" t="s">
        <v>28</v>
      </c>
      <c r="B518" s="4" t="s">
        <v>35</v>
      </c>
      <c r="C518" s="4" t="s">
        <v>39</v>
      </c>
      <c r="D518" s="4" t="s">
        <v>42</v>
      </c>
      <c r="E518" s="4" t="s">
        <v>50</v>
      </c>
      <c r="F518" s="4" t="s">
        <v>51</v>
      </c>
      <c r="G518" s="4" t="s">
        <v>25</v>
      </c>
      <c r="H518" s="4" t="s">
        <v>38</v>
      </c>
      <c r="I518" s="5">
        <v>44378</v>
      </c>
      <c r="J518" s="6">
        <v>0</v>
      </c>
      <c r="K518" s="75">
        <v>0</v>
      </c>
      <c r="L518" s="6">
        <v>0.23699999999999999</v>
      </c>
      <c r="M518" s="75">
        <v>0.23699999999999999</v>
      </c>
      <c r="N518" s="6">
        <v>0.23699999999999999</v>
      </c>
      <c r="O518" s="75">
        <v>0.23699999999999999</v>
      </c>
      <c r="P518" s="6">
        <v>0</v>
      </c>
      <c r="Q518" s="4" t="s">
        <v>26</v>
      </c>
      <c r="R518" s="4">
        <v>0</v>
      </c>
      <c r="S518" s="6">
        <v>0</v>
      </c>
      <c r="T518" s="6">
        <v>25</v>
      </c>
      <c r="U518" s="6">
        <v>59</v>
      </c>
      <c r="V518" s="75">
        <f>IF(ISERROR(VLOOKUP($S$518,'TAR FIN'!$A$1:$O$93,15,0)),0,VLOOKUP($S$518,'TAR FIN'!$A$1:$O$93,15,0))</f>
        <v>0</v>
      </c>
      <c r="W518" s="75">
        <f>IF(ISERROR(VLOOKUP($T$518,'TAR FIN'!$A$1:$O$93,15,0)),0,VLOOKUP($T$518,'TAR FIN'!$A$1:$O$93,15,0))*(1-0.04)</f>
        <v>66.710399999999993</v>
      </c>
      <c r="X518" s="75">
        <f>IF(ISERROR(VLOOKUP($U$518,'TAR FIN'!$A$1:$O$93,15,0)),0,VLOOKUP($U$518,'TAR FIN'!$A$1:$O$93,15,0))*(1-0.04)</f>
        <v>177.77279999999999</v>
      </c>
      <c r="Y518" s="75"/>
      <c r="Z518" s="75">
        <f ca="1">('TUSD BE'!$AM$16+'TUSD BF'!$AM$16+'TUSD CVA'!$AM$16)*1*(1-0.02)</f>
        <v>90.654697600755071</v>
      </c>
      <c r="AA518" s="75">
        <f>('TE BE'!$AB$8+'TE BF'!$AB$8+'TE CVA'!$AB$8)*1*(1-0.02)</f>
        <v>194.21830884065065</v>
      </c>
      <c r="AB518" s="6">
        <f>$K$518*$V$518</f>
        <v>0</v>
      </c>
      <c r="AC518" s="6">
        <f>$M$518*$W$518</f>
        <v>15.810364799999997</v>
      </c>
      <c r="AD518" s="6">
        <f>$O$518*$X$518</f>
        <v>42.132153599999995</v>
      </c>
      <c r="AE518" s="6">
        <f>$K$518*$Y$518</f>
        <v>0</v>
      </c>
      <c r="AF518" s="6">
        <f ca="1">$M$518*$Z$518</f>
        <v>21.485163331378949</v>
      </c>
      <c r="AG518" s="6">
        <f>$O$518*$AA$518</f>
        <v>46.0297391952342</v>
      </c>
    </row>
    <row r="519" spans="1:33" ht="11.25" customHeight="1" x14ac:dyDescent="0.25">
      <c r="A519" s="4" t="s">
        <v>21</v>
      </c>
      <c r="B519" s="4" t="s">
        <v>35</v>
      </c>
      <c r="C519" s="4" t="s">
        <v>39</v>
      </c>
      <c r="D519" s="4" t="s">
        <v>42</v>
      </c>
      <c r="E519" s="4" t="s">
        <v>50</v>
      </c>
      <c r="F519" s="4" t="s">
        <v>51</v>
      </c>
      <c r="G519" s="4" t="s">
        <v>25</v>
      </c>
      <c r="H519" s="4" t="s">
        <v>38</v>
      </c>
      <c r="I519" s="5">
        <v>44409</v>
      </c>
      <c r="J519" s="6">
        <v>0</v>
      </c>
      <c r="K519" s="75">
        <v>0</v>
      </c>
      <c r="L519" s="6">
        <v>209.07300000000001</v>
      </c>
      <c r="M519" s="75">
        <v>209.07300000000001</v>
      </c>
      <c r="N519" s="6">
        <v>209.07300000000001</v>
      </c>
      <c r="O519" s="75">
        <v>209.07300000000001</v>
      </c>
      <c r="P519" s="6">
        <v>0</v>
      </c>
      <c r="Q519" s="4" t="s">
        <v>26</v>
      </c>
      <c r="R519" s="4">
        <v>0</v>
      </c>
      <c r="S519" s="6">
        <v>0</v>
      </c>
      <c r="T519" s="6">
        <v>25</v>
      </c>
      <c r="U519" s="6">
        <v>59</v>
      </c>
      <c r="V519" s="75">
        <f>IF(ISERROR(VLOOKUP($S$519,'TAR FIN'!$A$1:$O$93,15,0)),0,VLOOKUP($S$519,'TAR FIN'!$A$1:$O$93,15,0))</f>
        <v>0</v>
      </c>
      <c r="W519" s="75">
        <f>IF(ISERROR(VLOOKUP($T$519,'TAR FIN'!$A$1:$O$93,15,0)),0,VLOOKUP($T$519,'TAR FIN'!$A$1:$O$93,15,0))*(1-0.04)</f>
        <v>66.710399999999993</v>
      </c>
      <c r="X519" s="75">
        <f>IF(ISERROR(VLOOKUP($U$519,'TAR FIN'!$A$1:$O$93,15,0)),0,VLOOKUP($U$519,'TAR FIN'!$A$1:$O$93,15,0))*(1-0.04)</f>
        <v>177.77279999999999</v>
      </c>
      <c r="Y519" s="75"/>
      <c r="Z519" s="75">
        <f ca="1">('TUSD BE'!$AM$16+'TUSD BF'!$AM$16+'TUSD CVA'!$AM$16)*1*(1-0.02)</f>
        <v>90.654697600755071</v>
      </c>
      <c r="AA519" s="75">
        <f>('TE BE'!$AB$8+'TE BF'!$AB$8+'TE CVA'!$AB$8)*1*(1-0.02)</f>
        <v>194.21830884065065</v>
      </c>
      <c r="AB519" s="6">
        <f>$K$519*$V$519</f>
        <v>0</v>
      </c>
      <c r="AC519" s="6">
        <f>$M$519*$W$519</f>
        <v>13947.343459199999</v>
      </c>
      <c r="AD519" s="6">
        <f>$O$519*$X$519</f>
        <v>37167.492614399998</v>
      </c>
      <c r="AE519" s="6">
        <f>$K$519*$Y$519</f>
        <v>0</v>
      </c>
      <c r="AF519" s="6">
        <f ca="1">$M$519*$Z$519</f>
        <v>18953.449591482666</v>
      </c>
      <c r="AG519" s="6">
        <f>$O$519*$AA$519</f>
        <v>40605.804484241358</v>
      </c>
    </row>
    <row r="520" spans="1:33" ht="11.25" customHeight="1" x14ac:dyDescent="0.25">
      <c r="A520" s="4" t="s">
        <v>28</v>
      </c>
      <c r="B520" s="4" t="s">
        <v>35</v>
      </c>
      <c r="C520" s="4" t="s">
        <v>39</v>
      </c>
      <c r="D520" s="4" t="s">
        <v>42</v>
      </c>
      <c r="E520" s="4" t="s">
        <v>50</v>
      </c>
      <c r="F520" s="4" t="s">
        <v>51</v>
      </c>
      <c r="G520" s="4" t="s">
        <v>25</v>
      </c>
      <c r="H520" s="4" t="s">
        <v>38</v>
      </c>
      <c r="I520" s="5">
        <v>44409</v>
      </c>
      <c r="J520" s="6">
        <v>0</v>
      </c>
      <c r="K520" s="75">
        <v>0</v>
      </c>
      <c r="L520" s="6">
        <v>8.3350000000000009</v>
      </c>
      <c r="M520" s="75">
        <v>8.3350000000000009</v>
      </c>
      <c r="N520" s="6">
        <v>8.3350000000000009</v>
      </c>
      <c r="O520" s="75">
        <v>8.3350000000000009</v>
      </c>
      <c r="P520" s="6">
        <v>0</v>
      </c>
      <c r="Q520" s="4" t="s">
        <v>26</v>
      </c>
      <c r="R520" s="4">
        <v>0</v>
      </c>
      <c r="S520" s="6">
        <v>0</v>
      </c>
      <c r="T520" s="6">
        <v>25</v>
      </c>
      <c r="U520" s="6">
        <v>59</v>
      </c>
      <c r="V520" s="75">
        <f>IF(ISERROR(VLOOKUP($S$520,'TAR FIN'!$A$1:$O$93,15,0)),0,VLOOKUP($S$520,'TAR FIN'!$A$1:$O$93,15,0))</f>
        <v>0</v>
      </c>
      <c r="W520" s="75">
        <f>IF(ISERROR(VLOOKUP($T$520,'TAR FIN'!$A$1:$O$93,15,0)),0,VLOOKUP($T$520,'TAR FIN'!$A$1:$O$93,15,0))*(1-0.04)</f>
        <v>66.710399999999993</v>
      </c>
      <c r="X520" s="75">
        <f>IF(ISERROR(VLOOKUP($U$520,'TAR FIN'!$A$1:$O$93,15,0)),0,VLOOKUP($U$520,'TAR FIN'!$A$1:$O$93,15,0))*(1-0.04)</f>
        <v>177.77279999999999</v>
      </c>
      <c r="Y520" s="75"/>
      <c r="Z520" s="75">
        <f ca="1">('TUSD BE'!$AM$16+'TUSD BF'!$AM$16+'TUSD CVA'!$AM$16)*1*(1-0.02)</f>
        <v>90.654697600755071</v>
      </c>
      <c r="AA520" s="75">
        <f>('TE BE'!$AB$8+'TE BF'!$AB$8+'TE CVA'!$AB$8)*1*(1-0.02)</f>
        <v>194.21830884065065</v>
      </c>
      <c r="AB520" s="6">
        <f>$K$520*$V$520</f>
        <v>0</v>
      </c>
      <c r="AC520" s="6">
        <f>$M$520*$W$520</f>
        <v>556.03118400000005</v>
      </c>
      <c r="AD520" s="6">
        <f>$O$520*$X$520</f>
        <v>1481.7362880000001</v>
      </c>
      <c r="AE520" s="6">
        <f>$K$520*$Y$520</f>
        <v>0</v>
      </c>
      <c r="AF520" s="6">
        <f ca="1">$M$520*$Z$520</f>
        <v>755.60690450229356</v>
      </c>
      <c r="AG520" s="6">
        <f>$O$520*$AA$520</f>
        <v>1618.8096041868234</v>
      </c>
    </row>
    <row r="521" spans="1:33" ht="11.25" customHeight="1" x14ac:dyDescent="0.25">
      <c r="A521" s="4" t="s">
        <v>21</v>
      </c>
      <c r="B521" s="4" t="s">
        <v>35</v>
      </c>
      <c r="C521" s="4" t="s">
        <v>39</v>
      </c>
      <c r="D521" s="4" t="s">
        <v>42</v>
      </c>
      <c r="E521" s="4" t="s">
        <v>50</v>
      </c>
      <c r="F521" s="4" t="s">
        <v>51</v>
      </c>
      <c r="G521" s="4" t="s">
        <v>25</v>
      </c>
      <c r="H521" s="4" t="s">
        <v>38</v>
      </c>
      <c r="I521" s="5">
        <v>44440</v>
      </c>
      <c r="J521" s="6">
        <v>0</v>
      </c>
      <c r="K521" s="75">
        <v>0</v>
      </c>
      <c r="L521" s="6">
        <v>615.45600000000002</v>
      </c>
      <c r="M521" s="75">
        <v>615.45600000000002</v>
      </c>
      <c r="N521" s="6">
        <v>615.45600000000002</v>
      </c>
      <c r="O521" s="75">
        <v>615.45600000000002</v>
      </c>
      <c r="P521" s="6">
        <v>0</v>
      </c>
      <c r="Q521" s="4" t="s">
        <v>26</v>
      </c>
      <c r="R521" s="4">
        <v>0</v>
      </c>
      <c r="S521" s="6">
        <v>0</v>
      </c>
      <c r="T521" s="6">
        <v>25</v>
      </c>
      <c r="U521" s="6">
        <v>59</v>
      </c>
      <c r="V521" s="75">
        <f>IF(ISERROR(VLOOKUP($S$521,'TAR FIN'!$A$1:$O$93,15,0)),0,VLOOKUP($S$521,'TAR FIN'!$A$1:$O$93,15,0))</f>
        <v>0</v>
      </c>
      <c r="W521" s="75">
        <f>IF(ISERROR(VLOOKUP($T$521,'TAR FIN'!$A$1:$O$93,15,0)),0,VLOOKUP($T$521,'TAR FIN'!$A$1:$O$93,15,0))*(1-0.04)</f>
        <v>66.710399999999993</v>
      </c>
      <c r="X521" s="75">
        <f>IF(ISERROR(VLOOKUP($U$521,'TAR FIN'!$A$1:$O$93,15,0)),0,VLOOKUP($U$521,'TAR FIN'!$A$1:$O$93,15,0))*(1-0.04)</f>
        <v>177.77279999999999</v>
      </c>
      <c r="Y521" s="75"/>
      <c r="Z521" s="75">
        <f ca="1">('TUSD BE'!$AM$16+'TUSD BF'!$AM$16+'TUSD CVA'!$AM$16)*1*(1-0.02)</f>
        <v>90.654697600755071</v>
      </c>
      <c r="AA521" s="75">
        <f>('TE BE'!$AB$8+'TE BF'!$AB$8+'TE CVA'!$AB$8)*1*(1-0.02)</f>
        <v>194.21830884065065</v>
      </c>
      <c r="AB521" s="6">
        <f>$K$521*$V$521</f>
        <v>0</v>
      </c>
      <c r="AC521" s="6">
        <f>$M$521*$W$521</f>
        <v>41057.315942399997</v>
      </c>
      <c r="AD521" s="6">
        <f>$O$521*$X$521</f>
        <v>109411.33639679999</v>
      </c>
      <c r="AE521" s="6">
        <f>$K$521*$Y$521</f>
        <v>0</v>
      </c>
      <c r="AF521" s="6">
        <f ca="1">$M$521*$Z$521</f>
        <v>55793.977566570313</v>
      </c>
      <c r="AG521" s="6">
        <f>$O$521*$AA$521</f>
        <v>119532.82348583148</v>
      </c>
    </row>
    <row r="522" spans="1:33" ht="11.25" customHeight="1" x14ac:dyDescent="0.25">
      <c r="A522" s="4" t="s">
        <v>28</v>
      </c>
      <c r="B522" s="4" t="s">
        <v>35</v>
      </c>
      <c r="C522" s="4" t="s">
        <v>39</v>
      </c>
      <c r="D522" s="4" t="s">
        <v>42</v>
      </c>
      <c r="E522" s="4" t="s">
        <v>50</v>
      </c>
      <c r="F522" s="4" t="s">
        <v>51</v>
      </c>
      <c r="G522" s="4" t="s">
        <v>25</v>
      </c>
      <c r="H522" s="4" t="s">
        <v>38</v>
      </c>
      <c r="I522" s="5">
        <v>44440</v>
      </c>
      <c r="J522" s="6">
        <v>0</v>
      </c>
      <c r="K522" s="75">
        <v>0</v>
      </c>
      <c r="L522" s="6">
        <v>11.565</v>
      </c>
      <c r="M522" s="75">
        <v>11.565</v>
      </c>
      <c r="N522" s="6">
        <v>11.565</v>
      </c>
      <c r="O522" s="75">
        <v>11.565</v>
      </c>
      <c r="P522" s="6">
        <v>0</v>
      </c>
      <c r="Q522" s="4" t="s">
        <v>26</v>
      </c>
      <c r="R522" s="4">
        <v>0</v>
      </c>
      <c r="S522" s="6">
        <v>0</v>
      </c>
      <c r="T522" s="6">
        <v>25</v>
      </c>
      <c r="U522" s="6">
        <v>59</v>
      </c>
      <c r="V522" s="75">
        <f>IF(ISERROR(VLOOKUP($S$522,'TAR FIN'!$A$1:$O$93,15,0)),0,VLOOKUP($S$522,'TAR FIN'!$A$1:$O$93,15,0))</f>
        <v>0</v>
      </c>
      <c r="W522" s="75">
        <f>IF(ISERROR(VLOOKUP($T$522,'TAR FIN'!$A$1:$O$93,15,0)),0,VLOOKUP($T$522,'TAR FIN'!$A$1:$O$93,15,0))*(1-0.04)</f>
        <v>66.710399999999993</v>
      </c>
      <c r="X522" s="75">
        <f>IF(ISERROR(VLOOKUP($U$522,'TAR FIN'!$A$1:$O$93,15,0)),0,VLOOKUP($U$522,'TAR FIN'!$A$1:$O$93,15,0))*(1-0.04)</f>
        <v>177.77279999999999</v>
      </c>
      <c r="Y522" s="75"/>
      <c r="Z522" s="75">
        <f ca="1">('TUSD BE'!$AM$16+'TUSD BF'!$AM$16+'TUSD CVA'!$AM$16)*1*(1-0.02)</f>
        <v>90.654697600755071</v>
      </c>
      <c r="AA522" s="75">
        <f>('TE BE'!$AB$8+'TE BF'!$AB$8+'TE CVA'!$AB$8)*1*(1-0.02)</f>
        <v>194.21830884065065</v>
      </c>
      <c r="AB522" s="6">
        <f>$K$522*$V$522</f>
        <v>0</v>
      </c>
      <c r="AC522" s="6">
        <f>$M$522*$W$522</f>
        <v>771.50577599999986</v>
      </c>
      <c r="AD522" s="6">
        <f>$O$522*$X$522</f>
        <v>2055.9424319999998</v>
      </c>
      <c r="AE522" s="6">
        <f>$K$522*$Y$522</f>
        <v>0</v>
      </c>
      <c r="AF522" s="6">
        <f ca="1">$M$522*$Z$522</f>
        <v>1048.4215777527324</v>
      </c>
      <c r="AG522" s="6">
        <f>$O$522*$AA$522</f>
        <v>2246.1347417421248</v>
      </c>
    </row>
    <row r="523" spans="1:33" ht="11.25" customHeight="1" x14ac:dyDescent="0.25">
      <c r="A523" s="4" t="s">
        <v>21</v>
      </c>
      <c r="B523" s="4" t="s">
        <v>35</v>
      </c>
      <c r="C523" s="4" t="s">
        <v>39</v>
      </c>
      <c r="D523" s="4" t="s">
        <v>42</v>
      </c>
      <c r="E523" s="4" t="s">
        <v>50</v>
      </c>
      <c r="F523" s="4" t="s">
        <v>51</v>
      </c>
      <c r="G523" s="4" t="s">
        <v>25</v>
      </c>
      <c r="H523" s="4" t="s">
        <v>38</v>
      </c>
      <c r="I523" s="5">
        <v>44470</v>
      </c>
      <c r="J523" s="6">
        <v>0</v>
      </c>
      <c r="K523" s="75">
        <v>0</v>
      </c>
      <c r="L523" s="6">
        <v>315.94</v>
      </c>
      <c r="M523" s="75">
        <v>315.94</v>
      </c>
      <c r="N523" s="6">
        <v>315.94</v>
      </c>
      <c r="O523" s="75">
        <v>315.94</v>
      </c>
      <c r="P523" s="6">
        <v>0</v>
      </c>
      <c r="Q523" s="4" t="s">
        <v>26</v>
      </c>
      <c r="R523" s="4">
        <v>0</v>
      </c>
      <c r="S523" s="6">
        <v>0</v>
      </c>
      <c r="T523" s="6">
        <v>25</v>
      </c>
      <c r="U523" s="6">
        <v>59</v>
      </c>
      <c r="V523" s="75">
        <f>IF(ISERROR(VLOOKUP($S$523,'TAR FIN'!$A$1:$O$93,15,0)),0,VLOOKUP($S$523,'TAR FIN'!$A$1:$O$93,15,0))</f>
        <v>0</v>
      </c>
      <c r="W523" s="75">
        <f>IF(ISERROR(VLOOKUP($T$523,'TAR FIN'!$A$1:$O$93,15,0)),0,VLOOKUP($T$523,'TAR FIN'!$A$1:$O$93,15,0))*(1-0.04)</f>
        <v>66.710399999999993</v>
      </c>
      <c r="X523" s="75">
        <f>IF(ISERROR(VLOOKUP($U$523,'TAR FIN'!$A$1:$O$93,15,0)),0,VLOOKUP($U$523,'TAR FIN'!$A$1:$O$93,15,0))*(1-0.04)</f>
        <v>177.77279999999999</v>
      </c>
      <c r="Y523" s="75"/>
      <c r="Z523" s="75">
        <f ca="1">('TUSD BE'!$AM$16+'TUSD BF'!$AM$16+'TUSD CVA'!$AM$16)*1*(1-0.02)</f>
        <v>90.654697600755071</v>
      </c>
      <c r="AA523" s="75">
        <f>('TE BE'!$AB$8+'TE BF'!$AB$8+'TE CVA'!$AB$8)*1*(1-0.02)</f>
        <v>194.21830884065065</v>
      </c>
      <c r="AB523" s="6">
        <f>$K$523*$V$523</f>
        <v>0</v>
      </c>
      <c r="AC523" s="6">
        <f>$M$523*$W$523</f>
        <v>21076.483775999997</v>
      </c>
      <c r="AD523" s="6">
        <f>$O$523*$X$523</f>
        <v>56165.538431999994</v>
      </c>
      <c r="AE523" s="6">
        <f>$K$523*$Y$523</f>
        <v>0</v>
      </c>
      <c r="AF523" s="6">
        <f ca="1">$M$523*$Z$523</f>
        <v>28641.445159982555</v>
      </c>
      <c r="AG523" s="6">
        <f>$O$523*$AA$523</f>
        <v>61361.332495115166</v>
      </c>
    </row>
    <row r="524" spans="1:33" ht="11.25" customHeight="1" x14ac:dyDescent="0.25">
      <c r="A524" s="4" t="s">
        <v>21</v>
      </c>
      <c r="B524" s="4" t="s">
        <v>35</v>
      </c>
      <c r="C524" s="4" t="s">
        <v>39</v>
      </c>
      <c r="D524" s="4" t="s">
        <v>42</v>
      </c>
      <c r="E524" s="4" t="s">
        <v>50</v>
      </c>
      <c r="F524" s="4" t="s">
        <v>51</v>
      </c>
      <c r="G524" s="4" t="s">
        <v>25</v>
      </c>
      <c r="H524" s="4" t="s">
        <v>38</v>
      </c>
      <c r="I524" s="5">
        <v>44501</v>
      </c>
      <c r="J524" s="6">
        <v>0</v>
      </c>
      <c r="K524" s="75">
        <v>0</v>
      </c>
      <c r="L524" s="6">
        <v>584.85500000000002</v>
      </c>
      <c r="M524" s="75">
        <v>584.85500000000002</v>
      </c>
      <c r="N524" s="6">
        <v>584.85500000000002</v>
      </c>
      <c r="O524" s="75">
        <v>584.85500000000002</v>
      </c>
      <c r="P524" s="6">
        <v>0</v>
      </c>
      <c r="Q524" s="4" t="s">
        <v>26</v>
      </c>
      <c r="R524" s="4">
        <v>0</v>
      </c>
      <c r="S524" s="6">
        <v>0</v>
      </c>
      <c r="T524" s="6">
        <v>25</v>
      </c>
      <c r="U524" s="6">
        <v>59</v>
      </c>
      <c r="V524" s="75">
        <f>IF(ISERROR(VLOOKUP($S$524,'TAR FIN'!$A$1:$O$93,15,0)),0,VLOOKUP($S$524,'TAR FIN'!$A$1:$O$93,15,0))</f>
        <v>0</v>
      </c>
      <c r="W524" s="75">
        <f>IF(ISERROR(VLOOKUP($T$524,'TAR FIN'!$A$1:$O$93,15,0)),0,VLOOKUP($T$524,'TAR FIN'!$A$1:$O$93,15,0))*(1-0.04)</f>
        <v>66.710399999999993</v>
      </c>
      <c r="X524" s="75">
        <f>IF(ISERROR(VLOOKUP($U$524,'TAR FIN'!$A$1:$O$93,15,0)),0,VLOOKUP($U$524,'TAR FIN'!$A$1:$O$93,15,0))*(1-0.04)</f>
        <v>177.77279999999999</v>
      </c>
      <c r="Y524" s="75"/>
      <c r="Z524" s="75">
        <f ca="1">('TUSD BE'!$AM$16+'TUSD BF'!$AM$16+'TUSD CVA'!$AM$16)*1*(1-0.02)</f>
        <v>90.654697600755071</v>
      </c>
      <c r="AA524" s="75">
        <f>('TE BE'!$AB$8+'TE BF'!$AB$8+'TE CVA'!$AB$8)*1*(1-0.02)</f>
        <v>194.21830884065065</v>
      </c>
      <c r="AB524" s="6">
        <f>$K$524*$V$524</f>
        <v>0</v>
      </c>
      <c r="AC524" s="6">
        <f>$M$524*$W$524</f>
        <v>39015.910991999997</v>
      </c>
      <c r="AD524" s="6">
        <f>$O$524*$X$524</f>
        <v>103971.310944</v>
      </c>
      <c r="AE524" s="6">
        <f>$K$524*$Y$524</f>
        <v>0</v>
      </c>
      <c r="AF524" s="6">
        <f ca="1">$M$524*$Z$524</f>
        <v>53019.853165289605</v>
      </c>
      <c r="AG524" s="6">
        <f>$O$524*$AA$524</f>
        <v>113589.54901699875</v>
      </c>
    </row>
    <row r="525" spans="1:33" ht="11.25" customHeight="1" x14ac:dyDescent="0.25">
      <c r="A525" s="4" t="s">
        <v>27</v>
      </c>
      <c r="B525" s="4" t="s">
        <v>35</v>
      </c>
      <c r="C525" s="4" t="s">
        <v>39</v>
      </c>
      <c r="D525" s="4" t="s">
        <v>42</v>
      </c>
      <c r="E525" s="4" t="s">
        <v>50</v>
      </c>
      <c r="F525" s="4" t="s">
        <v>51</v>
      </c>
      <c r="G525" s="4" t="s">
        <v>25</v>
      </c>
      <c r="H525" s="4" t="s">
        <v>38</v>
      </c>
      <c r="I525" s="5">
        <v>44501</v>
      </c>
      <c r="J525" s="6">
        <v>0</v>
      </c>
      <c r="K525" s="75">
        <v>0</v>
      </c>
      <c r="L525" s="6">
        <v>-0.63300000000000001</v>
      </c>
      <c r="M525" s="75">
        <v>-0.63300000000000001</v>
      </c>
      <c r="N525" s="6">
        <v>-0.63300000000000001</v>
      </c>
      <c r="O525" s="75">
        <v>-0.63300000000000001</v>
      </c>
      <c r="P525" s="6">
        <v>0</v>
      </c>
      <c r="Q525" s="4" t="s">
        <v>26</v>
      </c>
      <c r="R525" s="4">
        <v>0</v>
      </c>
      <c r="S525" s="6">
        <v>0</v>
      </c>
      <c r="T525" s="6">
        <v>25</v>
      </c>
      <c r="U525" s="6">
        <v>59</v>
      </c>
      <c r="V525" s="75">
        <f>IF(ISERROR(VLOOKUP($S$525,'TAR FIN'!$A$1:$O$93,15,0)),0,VLOOKUP($S$525,'TAR FIN'!$A$1:$O$93,15,0))</f>
        <v>0</v>
      </c>
      <c r="W525" s="75">
        <f>IF(ISERROR(VLOOKUP($T$525,'TAR FIN'!$A$1:$O$93,15,0)),0,VLOOKUP($T$525,'TAR FIN'!$A$1:$O$93,15,0))*(1-0.04)</f>
        <v>66.710399999999993</v>
      </c>
      <c r="X525" s="75">
        <f>IF(ISERROR(VLOOKUP($U$525,'TAR FIN'!$A$1:$O$93,15,0)),0,VLOOKUP($U$525,'TAR FIN'!$A$1:$O$93,15,0))*(1-0.04)</f>
        <v>177.77279999999999</v>
      </c>
      <c r="Y525" s="75"/>
      <c r="Z525" s="75">
        <f ca="1">('TUSD BE'!$AM$16+'TUSD BF'!$AM$16+'TUSD CVA'!$AM$16)*1*(1-0.02)</f>
        <v>90.654697600755071</v>
      </c>
      <c r="AA525" s="75">
        <f>('TE BE'!$AB$8+'TE BF'!$AB$8+'TE CVA'!$AB$8)*1*(1-0.02)</f>
        <v>194.21830884065065</v>
      </c>
      <c r="AB525" s="6">
        <f>$K$525*$V$525</f>
        <v>0</v>
      </c>
      <c r="AC525" s="6">
        <f>$M$525*$W$525</f>
        <v>-42.227683199999994</v>
      </c>
      <c r="AD525" s="6">
        <f>$O$525*$X$525</f>
        <v>-112.5301824</v>
      </c>
      <c r="AE525" s="6">
        <f>$K$525*$Y$525</f>
        <v>0</v>
      </c>
      <c r="AF525" s="6">
        <f ca="1">$M$525*$Z$525</f>
        <v>-57.384423581277957</v>
      </c>
      <c r="AG525" s="6">
        <f>$O$525*$AA$525</f>
        <v>-122.94018949613186</v>
      </c>
    </row>
    <row r="526" spans="1:33" ht="11.25" customHeight="1" x14ac:dyDescent="0.25">
      <c r="A526" s="4" t="s">
        <v>28</v>
      </c>
      <c r="B526" s="4" t="s">
        <v>35</v>
      </c>
      <c r="C526" s="4" t="s">
        <v>39</v>
      </c>
      <c r="D526" s="4" t="s">
        <v>42</v>
      </c>
      <c r="E526" s="4" t="s">
        <v>50</v>
      </c>
      <c r="F526" s="4" t="s">
        <v>51</v>
      </c>
      <c r="G526" s="4" t="s">
        <v>25</v>
      </c>
      <c r="H526" s="4" t="s">
        <v>38</v>
      </c>
      <c r="I526" s="5">
        <v>44501</v>
      </c>
      <c r="J526" s="6">
        <v>0</v>
      </c>
      <c r="K526" s="75">
        <v>0</v>
      </c>
      <c r="L526" s="6">
        <v>9.1150000000000002</v>
      </c>
      <c r="M526" s="75">
        <v>9.1150000000000002</v>
      </c>
      <c r="N526" s="6">
        <v>9.1150000000000002</v>
      </c>
      <c r="O526" s="75">
        <v>9.1150000000000002</v>
      </c>
      <c r="P526" s="6">
        <v>0</v>
      </c>
      <c r="Q526" s="4" t="s">
        <v>26</v>
      </c>
      <c r="R526" s="4">
        <v>0</v>
      </c>
      <c r="S526" s="6">
        <v>0</v>
      </c>
      <c r="T526" s="6">
        <v>25</v>
      </c>
      <c r="U526" s="6">
        <v>59</v>
      </c>
      <c r="V526" s="75">
        <f>IF(ISERROR(VLOOKUP($S$526,'TAR FIN'!$A$1:$O$93,15,0)),0,VLOOKUP($S$526,'TAR FIN'!$A$1:$O$93,15,0))</f>
        <v>0</v>
      </c>
      <c r="W526" s="75">
        <f>IF(ISERROR(VLOOKUP($T$526,'TAR FIN'!$A$1:$O$93,15,0)),0,VLOOKUP($T$526,'TAR FIN'!$A$1:$O$93,15,0))*(1-0.04)</f>
        <v>66.710399999999993</v>
      </c>
      <c r="X526" s="75">
        <f>IF(ISERROR(VLOOKUP($U$526,'TAR FIN'!$A$1:$O$93,15,0)),0,VLOOKUP($U$526,'TAR FIN'!$A$1:$O$93,15,0))*(1-0.04)</f>
        <v>177.77279999999999</v>
      </c>
      <c r="Y526" s="75"/>
      <c r="Z526" s="75">
        <f ca="1">('TUSD BE'!$AM$16+'TUSD BF'!$AM$16+'TUSD CVA'!$AM$16)*1*(1-0.02)</f>
        <v>90.654697600755071</v>
      </c>
      <c r="AA526" s="75">
        <f>('TE BE'!$AB$8+'TE BF'!$AB$8+'TE CVA'!$AB$8)*1*(1-0.02)</f>
        <v>194.21830884065065</v>
      </c>
      <c r="AB526" s="6">
        <f>$K$526*$V$526</f>
        <v>0</v>
      </c>
      <c r="AC526" s="6">
        <f>$M$526*$W$526</f>
        <v>608.06529599999999</v>
      </c>
      <c r="AD526" s="6">
        <f>$O$526*$X$526</f>
        <v>1620.3990719999999</v>
      </c>
      <c r="AE526" s="6">
        <f>$K$526*$Y$526</f>
        <v>0</v>
      </c>
      <c r="AF526" s="6">
        <f ca="1">$M$526*$Z$526</f>
        <v>826.31756863088253</v>
      </c>
      <c r="AG526" s="6">
        <f>$O$526*$AA$526</f>
        <v>1770.2998850825306</v>
      </c>
    </row>
    <row r="527" spans="1:33" ht="11.25" customHeight="1" x14ac:dyDescent="0.25">
      <c r="A527" s="4" t="s">
        <v>21</v>
      </c>
      <c r="B527" s="4" t="s">
        <v>35</v>
      </c>
      <c r="C527" s="4" t="s">
        <v>39</v>
      </c>
      <c r="D527" s="4" t="s">
        <v>42</v>
      </c>
      <c r="E527" s="4" t="s">
        <v>50</v>
      </c>
      <c r="F527" s="4" t="s">
        <v>51</v>
      </c>
      <c r="G527" s="4" t="s">
        <v>25</v>
      </c>
      <c r="H527" s="4" t="s">
        <v>38</v>
      </c>
      <c r="I527" s="5">
        <v>44531</v>
      </c>
      <c r="J527" s="6">
        <v>0</v>
      </c>
      <c r="K527" s="75">
        <v>0</v>
      </c>
      <c r="L527" s="6">
        <v>5148.9059999999999</v>
      </c>
      <c r="M527" s="75">
        <v>5148.9059999999999</v>
      </c>
      <c r="N527" s="6">
        <v>5148.9059999999999</v>
      </c>
      <c r="O527" s="75">
        <v>5148.9059999999999</v>
      </c>
      <c r="P527" s="6">
        <v>0</v>
      </c>
      <c r="Q527" s="4" t="s">
        <v>26</v>
      </c>
      <c r="R527" s="4">
        <v>0</v>
      </c>
      <c r="S527" s="6">
        <v>0</v>
      </c>
      <c r="T527" s="6">
        <v>25</v>
      </c>
      <c r="U527" s="6">
        <v>59</v>
      </c>
      <c r="V527" s="75">
        <f>IF(ISERROR(VLOOKUP($S$527,'TAR FIN'!$A$1:$O$93,15,0)),0,VLOOKUP($S$527,'TAR FIN'!$A$1:$O$93,15,0))</f>
        <v>0</v>
      </c>
      <c r="W527" s="75">
        <f>IF(ISERROR(VLOOKUP($T$527,'TAR FIN'!$A$1:$O$93,15,0)),0,VLOOKUP($T$527,'TAR FIN'!$A$1:$O$93,15,0))*(1-0.04)</f>
        <v>66.710399999999993</v>
      </c>
      <c r="X527" s="75">
        <f>IF(ISERROR(VLOOKUP($U$527,'TAR FIN'!$A$1:$O$93,15,0)),0,VLOOKUP($U$527,'TAR FIN'!$A$1:$O$93,15,0))*(1-0.04)</f>
        <v>177.77279999999999</v>
      </c>
      <c r="Y527" s="75"/>
      <c r="Z527" s="75">
        <f ca="1">('TUSD BE'!$AM$16+'TUSD BF'!$AM$16+'TUSD CVA'!$AM$16)*1*(1-0.02)</f>
        <v>90.654697600755071</v>
      </c>
      <c r="AA527" s="75">
        <f>('TE BE'!$AB$8+'TE BF'!$AB$8+'TE CVA'!$AB$8)*1*(1-0.02)</f>
        <v>194.21830884065065</v>
      </c>
      <c r="AB527" s="6">
        <f>$K$527*$V$527</f>
        <v>0</v>
      </c>
      <c r="AC527" s="6">
        <f>$M$527*$W$527</f>
        <v>343485.57882239996</v>
      </c>
      <c r="AD527" s="6">
        <f>$O$527*$X$527</f>
        <v>915335.43655679992</v>
      </c>
      <c r="AE527" s="6">
        <f>$K$527*$Y$527</f>
        <v>0</v>
      </c>
      <c r="AF527" s="6">
        <f ca="1">$M$527*$Z$527</f>
        <v>466772.51640471339</v>
      </c>
      <c r="AG527" s="6">
        <f>$O$527*$AA$527</f>
        <v>1000011.8156994792</v>
      </c>
    </row>
    <row r="528" spans="1:33" ht="11.25" customHeight="1" x14ac:dyDescent="0.25">
      <c r="A528" s="4" t="s">
        <v>21</v>
      </c>
      <c r="B528" s="4" t="s">
        <v>35</v>
      </c>
      <c r="C528" s="4" t="s">
        <v>39</v>
      </c>
      <c r="D528" s="4" t="s">
        <v>42</v>
      </c>
      <c r="E528" s="4" t="s">
        <v>50</v>
      </c>
      <c r="F528" s="4" t="s">
        <v>51</v>
      </c>
      <c r="G528" s="4" t="s">
        <v>25</v>
      </c>
      <c r="H528" s="4" t="s">
        <v>38</v>
      </c>
      <c r="I528" s="5">
        <v>44562</v>
      </c>
      <c r="J528" s="6">
        <v>0</v>
      </c>
      <c r="K528" s="75">
        <v>0</v>
      </c>
      <c r="L528" s="6">
        <v>6675.9070000000002</v>
      </c>
      <c r="M528" s="75">
        <v>6675.9070000000002</v>
      </c>
      <c r="N528" s="6">
        <v>6675.9070000000002</v>
      </c>
      <c r="O528" s="75">
        <v>6675.9070000000002</v>
      </c>
      <c r="P528" s="6">
        <v>0</v>
      </c>
      <c r="Q528" s="4" t="s">
        <v>26</v>
      </c>
      <c r="R528" s="4">
        <v>0</v>
      </c>
      <c r="S528" s="6">
        <v>0</v>
      </c>
      <c r="T528" s="6">
        <v>25</v>
      </c>
      <c r="U528" s="6">
        <v>59</v>
      </c>
      <c r="V528" s="75">
        <f>IF(ISERROR(VLOOKUP($S$528,'TAR FIN'!$A$1:$O$93,15,0)),0,VLOOKUP($S$528,'TAR FIN'!$A$1:$O$93,15,0))</f>
        <v>0</v>
      </c>
      <c r="W528" s="75">
        <f>IF(ISERROR(VLOOKUP($T$528,'TAR FIN'!$A$1:$O$93,15,0)),0,VLOOKUP($T$528,'TAR FIN'!$A$1:$O$93,15,0))*(1-0.04)</f>
        <v>66.710399999999993</v>
      </c>
      <c r="X528" s="75">
        <f>IF(ISERROR(VLOOKUP($U$528,'TAR FIN'!$A$1:$O$93,15,0)),0,VLOOKUP($U$528,'TAR FIN'!$A$1:$O$93,15,0))*(1-0.04)</f>
        <v>177.77279999999999</v>
      </c>
      <c r="Y528" s="75"/>
      <c r="Z528" s="75">
        <f ca="1">('TUSD BE'!$AM$16+'TUSD BF'!$AM$16+'TUSD CVA'!$AM$16)*1*(1-0.02)</f>
        <v>90.654697600755071</v>
      </c>
      <c r="AA528" s="75">
        <f>('TE BE'!$AB$8+'TE BF'!$AB$8+'TE CVA'!$AB$8)*1*(1-0.02)</f>
        <v>194.21830884065065</v>
      </c>
      <c r="AB528" s="6">
        <f>$K$528*$V$528</f>
        <v>0</v>
      </c>
      <c r="AC528" s="6">
        <f>$M$528*$W$528</f>
        <v>445352.42633279995</v>
      </c>
      <c r="AD528" s="6">
        <f>$O$528*$X$528</f>
        <v>1186794.6799295999</v>
      </c>
      <c r="AE528" s="6">
        <f>$K$528*$Y$528</f>
        <v>0</v>
      </c>
      <c r="AF528" s="6">
        <f ca="1">$M$528*$Z$528</f>
        <v>605202.33029576403</v>
      </c>
      <c r="AG528" s="6">
        <f>$O$528*$AA$528</f>
        <v>1296583.3675174615</v>
      </c>
    </row>
    <row r="529" spans="1:33" ht="11.25" customHeight="1" x14ac:dyDescent="0.25">
      <c r="A529" s="4" t="s">
        <v>28</v>
      </c>
      <c r="B529" s="4" t="s">
        <v>35</v>
      </c>
      <c r="C529" s="4" t="s">
        <v>39</v>
      </c>
      <c r="D529" s="4" t="s">
        <v>42</v>
      </c>
      <c r="E529" s="4" t="s">
        <v>50</v>
      </c>
      <c r="F529" s="4" t="s">
        <v>51</v>
      </c>
      <c r="G529" s="4" t="s">
        <v>25</v>
      </c>
      <c r="H529" s="4" t="s">
        <v>38</v>
      </c>
      <c r="I529" s="5">
        <v>44562</v>
      </c>
      <c r="J529" s="6">
        <v>0</v>
      </c>
      <c r="K529" s="75">
        <v>0</v>
      </c>
      <c r="L529" s="6">
        <v>181.376</v>
      </c>
      <c r="M529" s="75">
        <v>181.376</v>
      </c>
      <c r="N529" s="6">
        <v>181.376</v>
      </c>
      <c r="O529" s="75">
        <v>181.376</v>
      </c>
      <c r="P529" s="6">
        <v>0</v>
      </c>
      <c r="Q529" s="4" t="s">
        <v>26</v>
      </c>
      <c r="R529" s="4">
        <v>0</v>
      </c>
      <c r="S529" s="6">
        <v>0</v>
      </c>
      <c r="T529" s="6">
        <v>25</v>
      </c>
      <c r="U529" s="6">
        <v>59</v>
      </c>
      <c r="V529" s="75">
        <f>IF(ISERROR(VLOOKUP($S$529,'TAR FIN'!$A$1:$O$93,15,0)),0,VLOOKUP($S$529,'TAR FIN'!$A$1:$O$93,15,0))</f>
        <v>0</v>
      </c>
      <c r="W529" s="75">
        <f>IF(ISERROR(VLOOKUP($T$529,'TAR FIN'!$A$1:$O$93,15,0)),0,VLOOKUP($T$529,'TAR FIN'!$A$1:$O$93,15,0))*(1-0.04)</f>
        <v>66.710399999999993</v>
      </c>
      <c r="X529" s="75">
        <f>IF(ISERROR(VLOOKUP($U$529,'TAR FIN'!$A$1:$O$93,15,0)),0,VLOOKUP($U$529,'TAR FIN'!$A$1:$O$93,15,0))*(1-0.04)</f>
        <v>177.77279999999999</v>
      </c>
      <c r="Y529" s="75"/>
      <c r="Z529" s="75">
        <f ca="1">('TUSD BE'!$AM$16+'TUSD BF'!$AM$16+'TUSD CVA'!$AM$16)*1*(1-0.02)</f>
        <v>90.654697600755071</v>
      </c>
      <c r="AA529" s="75">
        <f>('TE BE'!$AB$8+'TE BF'!$AB$8+'TE CVA'!$AB$8)*1*(1-0.02)</f>
        <v>194.21830884065065</v>
      </c>
      <c r="AB529" s="6">
        <f>$K$529*$V$529</f>
        <v>0</v>
      </c>
      <c r="AC529" s="6">
        <f>$M$529*$W$529</f>
        <v>12099.665510399998</v>
      </c>
      <c r="AD529" s="6">
        <f>$O$529*$X$529</f>
        <v>32243.719372799998</v>
      </c>
      <c r="AE529" s="6">
        <f>$K$529*$Y$529</f>
        <v>0</v>
      </c>
      <c r="AF529" s="6">
        <f ca="1">$M$529*$Z$529</f>
        <v>16442.586432034554</v>
      </c>
      <c r="AG529" s="6">
        <f>$O$529*$AA$529</f>
        <v>35226.539984281852</v>
      </c>
    </row>
    <row r="530" spans="1:33" ht="11.25" customHeight="1" x14ac:dyDescent="0.25">
      <c r="A530" s="4" t="s">
        <v>21</v>
      </c>
      <c r="B530" s="4" t="s">
        <v>35</v>
      </c>
      <c r="C530" s="4" t="s">
        <v>39</v>
      </c>
      <c r="D530" s="4" t="s">
        <v>42</v>
      </c>
      <c r="E530" s="4" t="s">
        <v>50</v>
      </c>
      <c r="F530" s="4" t="s">
        <v>51</v>
      </c>
      <c r="G530" s="4" t="s">
        <v>25</v>
      </c>
      <c r="H530" s="4" t="s">
        <v>38</v>
      </c>
      <c r="I530" s="5">
        <v>44593</v>
      </c>
      <c r="J530" s="6">
        <v>0</v>
      </c>
      <c r="K530" s="75">
        <v>0</v>
      </c>
      <c r="L530" s="6">
        <v>5164.74</v>
      </c>
      <c r="M530" s="75">
        <v>5164.74</v>
      </c>
      <c r="N530" s="6">
        <v>5164.74</v>
      </c>
      <c r="O530" s="75">
        <v>5164.74</v>
      </c>
      <c r="P530" s="6">
        <v>0</v>
      </c>
      <c r="Q530" s="4" t="s">
        <v>26</v>
      </c>
      <c r="R530" s="4">
        <v>0</v>
      </c>
      <c r="S530" s="6">
        <v>0</v>
      </c>
      <c r="T530" s="6">
        <v>25</v>
      </c>
      <c r="U530" s="6">
        <v>59</v>
      </c>
      <c r="V530" s="75">
        <f>IF(ISERROR(VLOOKUP($S$530,'TAR FIN'!$A$1:$O$93,15,0)),0,VLOOKUP($S$530,'TAR FIN'!$A$1:$O$93,15,0))</f>
        <v>0</v>
      </c>
      <c r="W530" s="75">
        <f>IF(ISERROR(VLOOKUP($T$530,'TAR FIN'!$A$1:$O$93,15,0)),0,VLOOKUP($T$530,'TAR FIN'!$A$1:$O$93,15,0))*(1-0.04)</f>
        <v>66.710399999999993</v>
      </c>
      <c r="X530" s="75">
        <f>IF(ISERROR(VLOOKUP($U$530,'TAR FIN'!$A$1:$O$93,15,0)),0,VLOOKUP($U$530,'TAR FIN'!$A$1:$O$93,15,0))*(1-0.04)</f>
        <v>177.77279999999999</v>
      </c>
      <c r="Y530" s="75"/>
      <c r="Z530" s="75">
        <f ca="1">('TUSD BE'!$AM$16+'TUSD BF'!$AM$16+'TUSD CVA'!$AM$16)*1*(1-0.02)</f>
        <v>90.654697600755071</v>
      </c>
      <c r="AA530" s="75">
        <f>('TE BE'!$AB$8+'TE BF'!$AB$8+'TE CVA'!$AB$8)*1*(1-0.02)</f>
        <v>194.21830884065065</v>
      </c>
      <c r="AB530" s="6">
        <f>$K$530*$V$530</f>
        <v>0</v>
      </c>
      <c r="AC530" s="6">
        <f>$M$530*$W$530</f>
        <v>344541.87129599997</v>
      </c>
      <c r="AD530" s="6">
        <f>$O$530*$X$530</f>
        <v>918150.29107199993</v>
      </c>
      <c r="AE530" s="6">
        <f>$K$530*$Y$530</f>
        <v>0</v>
      </c>
      <c r="AF530" s="6">
        <f ca="1">$M$530*$Z$530</f>
        <v>468207.94288652373</v>
      </c>
      <c r="AG530" s="6">
        <f>$O$530*$AA$530</f>
        <v>1003087.0684016621</v>
      </c>
    </row>
    <row r="531" spans="1:33" ht="11.25" customHeight="1" x14ac:dyDescent="0.25">
      <c r="A531" s="4" t="s">
        <v>27</v>
      </c>
      <c r="B531" s="4" t="s">
        <v>35</v>
      </c>
      <c r="C531" s="4" t="s">
        <v>39</v>
      </c>
      <c r="D531" s="4" t="s">
        <v>42</v>
      </c>
      <c r="E531" s="4" t="s">
        <v>50</v>
      </c>
      <c r="F531" s="4" t="s">
        <v>51</v>
      </c>
      <c r="G531" s="4" t="s">
        <v>25</v>
      </c>
      <c r="H531" s="4" t="s">
        <v>38</v>
      </c>
      <c r="I531" s="5">
        <v>44593</v>
      </c>
      <c r="J531" s="6">
        <v>0</v>
      </c>
      <c r="K531" s="75">
        <v>0</v>
      </c>
      <c r="L531" s="6">
        <v>-56.470999999999997</v>
      </c>
      <c r="M531" s="75">
        <v>-56.470999999999997</v>
      </c>
      <c r="N531" s="6">
        <v>-56.470999999999997</v>
      </c>
      <c r="O531" s="75">
        <v>-56.470999999999997</v>
      </c>
      <c r="P531" s="6">
        <v>0</v>
      </c>
      <c r="Q531" s="4" t="s">
        <v>26</v>
      </c>
      <c r="R531" s="4">
        <v>0</v>
      </c>
      <c r="S531" s="6">
        <v>0</v>
      </c>
      <c r="T531" s="6">
        <v>25</v>
      </c>
      <c r="U531" s="6">
        <v>59</v>
      </c>
      <c r="V531" s="75">
        <f>IF(ISERROR(VLOOKUP($S$531,'TAR FIN'!$A$1:$O$93,15,0)),0,VLOOKUP($S$531,'TAR FIN'!$A$1:$O$93,15,0))</f>
        <v>0</v>
      </c>
      <c r="W531" s="75">
        <f>IF(ISERROR(VLOOKUP($T$531,'TAR FIN'!$A$1:$O$93,15,0)),0,VLOOKUP($T$531,'TAR FIN'!$A$1:$O$93,15,0))*(1-0.04)</f>
        <v>66.710399999999993</v>
      </c>
      <c r="X531" s="75">
        <f>IF(ISERROR(VLOOKUP($U$531,'TAR FIN'!$A$1:$O$93,15,0)),0,VLOOKUP($U$531,'TAR FIN'!$A$1:$O$93,15,0))*(1-0.04)</f>
        <v>177.77279999999999</v>
      </c>
      <c r="Y531" s="75"/>
      <c r="Z531" s="75">
        <f ca="1">('TUSD BE'!$AM$16+'TUSD BF'!$AM$16+'TUSD CVA'!$AM$16)*1*(1-0.02)</f>
        <v>90.654697600755071</v>
      </c>
      <c r="AA531" s="75">
        <f>('TE BE'!$AB$8+'TE BF'!$AB$8+'TE CVA'!$AB$8)*1*(1-0.02)</f>
        <v>194.21830884065065</v>
      </c>
      <c r="AB531" s="6">
        <f>$K$531*$V$531</f>
        <v>0</v>
      </c>
      <c r="AC531" s="6">
        <f>$M$531*$W$531</f>
        <v>-3767.2029983999992</v>
      </c>
      <c r="AD531" s="6">
        <f>$O$531*$X$531</f>
        <v>-10039.0077888</v>
      </c>
      <c r="AE531" s="6">
        <f>$K$531*$Y$531</f>
        <v>0</v>
      </c>
      <c r="AF531" s="6">
        <f ca="1">$M$531*$Z$531</f>
        <v>-5119.3614282122389</v>
      </c>
      <c r="AG531" s="6">
        <f>$O$531*$AA$531</f>
        <v>-10967.702118540383</v>
      </c>
    </row>
    <row r="532" spans="1:33" ht="11.25" customHeight="1" x14ac:dyDescent="0.25">
      <c r="A532" s="4" t="s">
        <v>28</v>
      </c>
      <c r="B532" s="4" t="s">
        <v>35</v>
      </c>
      <c r="C532" s="4" t="s">
        <v>39</v>
      </c>
      <c r="D532" s="4" t="s">
        <v>42</v>
      </c>
      <c r="E532" s="4" t="s">
        <v>50</v>
      </c>
      <c r="F532" s="4" t="s">
        <v>51</v>
      </c>
      <c r="G532" s="4" t="s">
        <v>25</v>
      </c>
      <c r="H532" s="4" t="s">
        <v>38</v>
      </c>
      <c r="I532" s="5">
        <v>44593</v>
      </c>
      <c r="J532" s="6">
        <v>0</v>
      </c>
      <c r="K532" s="75">
        <v>0</v>
      </c>
      <c r="L532" s="6">
        <v>157.94</v>
      </c>
      <c r="M532" s="75">
        <v>157.94</v>
      </c>
      <c r="N532" s="6">
        <v>157.94</v>
      </c>
      <c r="O532" s="75">
        <v>157.94</v>
      </c>
      <c r="P532" s="6">
        <v>0</v>
      </c>
      <c r="Q532" s="4" t="s">
        <v>26</v>
      </c>
      <c r="R532" s="4">
        <v>0</v>
      </c>
      <c r="S532" s="6">
        <v>0</v>
      </c>
      <c r="T532" s="6">
        <v>25</v>
      </c>
      <c r="U532" s="6">
        <v>59</v>
      </c>
      <c r="V532" s="75">
        <f>IF(ISERROR(VLOOKUP($S$532,'TAR FIN'!$A$1:$O$93,15,0)),0,VLOOKUP($S$532,'TAR FIN'!$A$1:$O$93,15,0))</f>
        <v>0</v>
      </c>
      <c r="W532" s="75">
        <f>IF(ISERROR(VLOOKUP($T$532,'TAR FIN'!$A$1:$O$93,15,0)),0,VLOOKUP($T$532,'TAR FIN'!$A$1:$O$93,15,0))*(1-0.04)</f>
        <v>66.710399999999993</v>
      </c>
      <c r="X532" s="75">
        <f>IF(ISERROR(VLOOKUP($U$532,'TAR FIN'!$A$1:$O$93,15,0)),0,VLOOKUP($U$532,'TAR FIN'!$A$1:$O$93,15,0))*(1-0.04)</f>
        <v>177.77279999999999</v>
      </c>
      <c r="Y532" s="75"/>
      <c r="Z532" s="75">
        <f ca="1">('TUSD BE'!$AM$16+'TUSD BF'!$AM$16+'TUSD CVA'!$AM$16)*1*(1-0.02)</f>
        <v>90.654697600755071</v>
      </c>
      <c r="AA532" s="75">
        <f>('TE BE'!$AB$8+'TE BF'!$AB$8+'TE CVA'!$AB$8)*1*(1-0.02)</f>
        <v>194.21830884065065</v>
      </c>
      <c r="AB532" s="6">
        <f>$K$532*$V$532</f>
        <v>0</v>
      </c>
      <c r="AC532" s="6">
        <f>$M$532*$W$532</f>
        <v>10536.240575999998</v>
      </c>
      <c r="AD532" s="6">
        <f>$O$532*$X$532</f>
        <v>28077.436031999998</v>
      </c>
      <c r="AE532" s="6">
        <f>$K$532*$Y$532</f>
        <v>0</v>
      </c>
      <c r="AF532" s="6">
        <f ca="1">$M$532*$Z$532</f>
        <v>14318.002939063255</v>
      </c>
      <c r="AG532" s="6">
        <f>$O$532*$AA$532</f>
        <v>30674.839698292362</v>
      </c>
    </row>
    <row r="533" spans="1:33" ht="11.25" customHeight="1" x14ac:dyDescent="0.25">
      <c r="A533" s="4" t="s">
        <v>21</v>
      </c>
      <c r="B533" s="4" t="s">
        <v>35</v>
      </c>
      <c r="C533" s="4" t="s">
        <v>39</v>
      </c>
      <c r="D533" s="4" t="s">
        <v>42</v>
      </c>
      <c r="E533" s="4" t="s">
        <v>50</v>
      </c>
      <c r="F533" s="4" t="s">
        <v>51</v>
      </c>
      <c r="G533" s="4" t="s">
        <v>25</v>
      </c>
      <c r="H533" s="4" t="s">
        <v>38</v>
      </c>
      <c r="I533" s="5">
        <v>44621</v>
      </c>
      <c r="J533" s="6">
        <v>0</v>
      </c>
      <c r="K533" s="75">
        <v>0</v>
      </c>
      <c r="L533" s="6">
        <v>3306.627</v>
      </c>
      <c r="M533" s="75">
        <v>3306.627</v>
      </c>
      <c r="N533" s="6">
        <v>3306.627</v>
      </c>
      <c r="O533" s="75">
        <v>3306.627</v>
      </c>
      <c r="P533" s="6">
        <v>0</v>
      </c>
      <c r="Q533" s="4" t="s">
        <v>26</v>
      </c>
      <c r="R533" s="4">
        <v>0</v>
      </c>
      <c r="S533" s="6">
        <v>0</v>
      </c>
      <c r="T533" s="6">
        <v>25</v>
      </c>
      <c r="U533" s="6">
        <v>59</v>
      </c>
      <c r="V533" s="75">
        <f>IF(ISERROR(VLOOKUP($S$533,'TAR FIN'!$A$1:$O$93,15,0)),0,VLOOKUP($S$533,'TAR FIN'!$A$1:$O$93,15,0))</f>
        <v>0</v>
      </c>
      <c r="W533" s="75">
        <f>IF(ISERROR(VLOOKUP($T$533,'TAR FIN'!$A$1:$O$93,15,0)),0,VLOOKUP($T$533,'TAR FIN'!$A$1:$O$93,15,0))*(1-0.04)</f>
        <v>66.710399999999993</v>
      </c>
      <c r="X533" s="75">
        <f>IF(ISERROR(VLOOKUP($U$533,'TAR FIN'!$A$1:$O$93,15,0)),0,VLOOKUP($U$533,'TAR FIN'!$A$1:$O$93,15,0))*(1-0.04)</f>
        <v>177.77279999999999</v>
      </c>
      <c r="Y533" s="75"/>
      <c r="Z533" s="75">
        <f ca="1">('TUSD BE'!$AM$16+'TUSD BF'!$AM$16+'TUSD CVA'!$AM$16)*1*(1-0.02)</f>
        <v>90.654697600755071</v>
      </c>
      <c r="AA533" s="75">
        <f>('TE BE'!$AB$8+'TE BF'!$AB$8+'TE CVA'!$AB$8)*1*(1-0.02)</f>
        <v>194.21830884065065</v>
      </c>
      <c r="AB533" s="6">
        <f>$K$533*$V$533</f>
        <v>0</v>
      </c>
      <c r="AC533" s="6">
        <f>$M$533*$W$533</f>
        <v>220586.40982079998</v>
      </c>
      <c r="AD533" s="6">
        <f>$O$533*$X$533</f>
        <v>587828.34034559992</v>
      </c>
      <c r="AE533" s="6">
        <f>$K$533*$Y$533</f>
        <v>0</v>
      </c>
      <c r="AF533" s="6">
        <f ca="1">$M$533*$Z$533</f>
        <v>299761.27076349192</v>
      </c>
      <c r="AG533" s="6">
        <f>$O$533*$AA$533</f>
        <v>642207.50390683417</v>
      </c>
    </row>
    <row r="534" spans="1:33" ht="11.25" customHeight="1" x14ac:dyDescent="0.25">
      <c r="A534" s="4" t="s">
        <v>27</v>
      </c>
      <c r="B534" s="4" t="s">
        <v>35</v>
      </c>
      <c r="C534" s="4" t="s">
        <v>39</v>
      </c>
      <c r="D534" s="4" t="s">
        <v>42</v>
      </c>
      <c r="E534" s="4" t="s">
        <v>50</v>
      </c>
      <c r="F534" s="4" t="s">
        <v>51</v>
      </c>
      <c r="G534" s="4" t="s">
        <v>25</v>
      </c>
      <c r="H534" s="4" t="s">
        <v>38</v>
      </c>
      <c r="I534" s="5">
        <v>44621</v>
      </c>
      <c r="J534" s="6">
        <v>0</v>
      </c>
      <c r="K534" s="75">
        <v>0</v>
      </c>
      <c r="L534" s="6">
        <v>-55.35</v>
      </c>
      <c r="M534" s="75">
        <v>-55.35</v>
      </c>
      <c r="N534" s="6">
        <v>-55.35</v>
      </c>
      <c r="O534" s="75">
        <v>-55.35</v>
      </c>
      <c r="P534" s="6">
        <v>0</v>
      </c>
      <c r="Q534" s="4" t="s">
        <v>26</v>
      </c>
      <c r="R534" s="4">
        <v>0</v>
      </c>
      <c r="S534" s="6">
        <v>0</v>
      </c>
      <c r="T534" s="6">
        <v>25</v>
      </c>
      <c r="U534" s="6">
        <v>59</v>
      </c>
      <c r="V534" s="75">
        <f>IF(ISERROR(VLOOKUP($S$534,'TAR FIN'!$A$1:$O$93,15,0)),0,VLOOKUP($S$534,'TAR FIN'!$A$1:$O$93,15,0))</f>
        <v>0</v>
      </c>
      <c r="W534" s="75">
        <f>IF(ISERROR(VLOOKUP($T$534,'TAR FIN'!$A$1:$O$93,15,0)),0,VLOOKUP($T$534,'TAR FIN'!$A$1:$O$93,15,0))*(1-0.04)</f>
        <v>66.710399999999993</v>
      </c>
      <c r="X534" s="75">
        <f>IF(ISERROR(VLOOKUP($U$534,'TAR FIN'!$A$1:$O$93,15,0)),0,VLOOKUP($U$534,'TAR FIN'!$A$1:$O$93,15,0))*(1-0.04)</f>
        <v>177.77279999999999</v>
      </c>
      <c r="Y534" s="75"/>
      <c r="Z534" s="75">
        <f ca="1">('TUSD BE'!$AM$16+'TUSD BF'!$AM$16+'TUSD CVA'!$AM$16)*1*(1-0.02)</f>
        <v>90.654697600755071</v>
      </c>
      <c r="AA534" s="75">
        <f>('TE BE'!$AB$8+'TE BF'!$AB$8+'TE CVA'!$AB$8)*1*(1-0.02)</f>
        <v>194.21830884065065</v>
      </c>
      <c r="AB534" s="6">
        <f>$K$534*$V$534</f>
        <v>0</v>
      </c>
      <c r="AC534" s="6">
        <f>$M$534*$W$534</f>
        <v>-3692.4206399999998</v>
      </c>
      <c r="AD534" s="6">
        <f>$O$534*$X$534</f>
        <v>-9839.7244799999989</v>
      </c>
      <c r="AE534" s="6">
        <f>$K$534*$Y$534</f>
        <v>0</v>
      </c>
      <c r="AF534" s="6">
        <f ca="1">$M$534*$Z$534</f>
        <v>-5017.7375122017929</v>
      </c>
      <c r="AG534" s="6">
        <f>$O$534*$AA$534</f>
        <v>-10749.983394330015</v>
      </c>
    </row>
    <row r="535" spans="1:33" ht="11.25" customHeight="1" x14ac:dyDescent="0.25">
      <c r="A535" s="4" t="s">
        <v>28</v>
      </c>
      <c r="B535" s="4" t="s">
        <v>35</v>
      </c>
      <c r="C535" s="4" t="s">
        <v>39</v>
      </c>
      <c r="D535" s="4" t="s">
        <v>42</v>
      </c>
      <c r="E535" s="4" t="s">
        <v>50</v>
      </c>
      <c r="F535" s="4" t="s">
        <v>51</v>
      </c>
      <c r="G535" s="4" t="s">
        <v>25</v>
      </c>
      <c r="H535" s="4" t="s">
        <v>38</v>
      </c>
      <c r="I535" s="5">
        <v>44621</v>
      </c>
      <c r="J535" s="6">
        <v>0</v>
      </c>
      <c r="K535" s="75">
        <v>0</v>
      </c>
      <c r="L535" s="6">
        <v>100.608</v>
      </c>
      <c r="M535" s="75">
        <v>100.608</v>
      </c>
      <c r="N535" s="6">
        <v>100.608</v>
      </c>
      <c r="O535" s="75">
        <v>100.608</v>
      </c>
      <c r="P535" s="6">
        <v>0</v>
      </c>
      <c r="Q535" s="4" t="s">
        <v>26</v>
      </c>
      <c r="R535" s="4">
        <v>0</v>
      </c>
      <c r="S535" s="6">
        <v>0</v>
      </c>
      <c r="T535" s="6">
        <v>25</v>
      </c>
      <c r="U535" s="6">
        <v>59</v>
      </c>
      <c r="V535" s="75">
        <f>IF(ISERROR(VLOOKUP($S$535,'TAR FIN'!$A$1:$O$93,15,0)),0,VLOOKUP($S$535,'TAR FIN'!$A$1:$O$93,15,0))</f>
        <v>0</v>
      </c>
      <c r="W535" s="75">
        <f>IF(ISERROR(VLOOKUP($T$535,'TAR FIN'!$A$1:$O$93,15,0)),0,VLOOKUP($T$535,'TAR FIN'!$A$1:$O$93,15,0))*(1-0.04)</f>
        <v>66.710399999999993</v>
      </c>
      <c r="X535" s="75">
        <f>IF(ISERROR(VLOOKUP($U$535,'TAR FIN'!$A$1:$O$93,15,0)),0,VLOOKUP($U$535,'TAR FIN'!$A$1:$O$93,15,0))*(1-0.04)</f>
        <v>177.77279999999999</v>
      </c>
      <c r="Y535" s="75"/>
      <c r="Z535" s="75">
        <f ca="1">('TUSD BE'!$AM$16+'TUSD BF'!$AM$16+'TUSD CVA'!$AM$16)*1*(1-0.02)</f>
        <v>90.654697600755071</v>
      </c>
      <c r="AA535" s="75">
        <f>('TE BE'!$AB$8+'TE BF'!$AB$8+'TE CVA'!$AB$8)*1*(1-0.02)</f>
        <v>194.21830884065065</v>
      </c>
      <c r="AB535" s="6">
        <f>$K$535*$V$535</f>
        <v>0</v>
      </c>
      <c r="AC535" s="6">
        <f>$M$535*$W$535</f>
        <v>6711.5999231999995</v>
      </c>
      <c r="AD535" s="6">
        <f>$O$535*$X$535</f>
        <v>17885.365862399998</v>
      </c>
      <c r="AE535" s="6">
        <f>$K$535*$Y$535</f>
        <v>0</v>
      </c>
      <c r="AF535" s="6">
        <f ca="1">$M$535*$Z$535</f>
        <v>9120.5878162167664</v>
      </c>
      <c r="AG535" s="6">
        <f>$O$535*$AA$535</f>
        <v>19539.915615840182</v>
      </c>
    </row>
    <row r="536" spans="1:33" ht="11.25" customHeight="1" x14ac:dyDescent="0.25">
      <c r="A536" s="4" t="s">
        <v>21</v>
      </c>
      <c r="B536" s="4" t="s">
        <v>35</v>
      </c>
      <c r="C536" s="4" t="s">
        <v>39</v>
      </c>
      <c r="D536" s="4" t="s">
        <v>42</v>
      </c>
      <c r="E536" s="4" t="s">
        <v>50</v>
      </c>
      <c r="F536" s="4" t="s">
        <v>51</v>
      </c>
      <c r="G536" s="4" t="s">
        <v>25</v>
      </c>
      <c r="H536" s="4" t="s">
        <v>38</v>
      </c>
      <c r="I536" s="5">
        <v>44652</v>
      </c>
      <c r="J536" s="6">
        <v>0</v>
      </c>
      <c r="K536" s="75">
        <v>0</v>
      </c>
      <c r="L536" s="6">
        <v>1019.164</v>
      </c>
      <c r="M536" s="75">
        <v>1019.164</v>
      </c>
      <c r="N536" s="6">
        <v>1019.164</v>
      </c>
      <c r="O536" s="75">
        <v>1019.164</v>
      </c>
      <c r="P536" s="6">
        <v>0</v>
      </c>
      <c r="Q536" s="4" t="s">
        <v>26</v>
      </c>
      <c r="R536" s="4">
        <v>0</v>
      </c>
      <c r="S536" s="6">
        <v>0</v>
      </c>
      <c r="T536" s="6">
        <v>25</v>
      </c>
      <c r="U536" s="6">
        <v>59</v>
      </c>
      <c r="V536" s="75">
        <f>IF(ISERROR(VLOOKUP($S$536,'TAR FIN'!$A$1:$O$93,15,0)),0,VLOOKUP($S$536,'TAR FIN'!$A$1:$O$93,15,0))</f>
        <v>0</v>
      </c>
      <c r="W536" s="75">
        <f>IF(ISERROR(VLOOKUP($T$536,'TAR FIN'!$A$1:$O$93,15,0)),0,VLOOKUP($T$536,'TAR FIN'!$A$1:$O$93,15,0))*(1-0.04)</f>
        <v>66.710399999999993</v>
      </c>
      <c r="X536" s="75">
        <f>IF(ISERROR(VLOOKUP($U$536,'TAR FIN'!$A$1:$O$93,15,0)),0,VLOOKUP($U$536,'TAR FIN'!$A$1:$O$93,15,0))*(1-0.04)</f>
        <v>177.77279999999999</v>
      </c>
      <c r="Y536" s="75"/>
      <c r="Z536" s="75">
        <f ca="1">('TUSD BE'!$AM$16+'TUSD BF'!$AM$16+'TUSD CVA'!$AM$16)*1*(1-0.02)</f>
        <v>90.654697600755071</v>
      </c>
      <c r="AA536" s="75">
        <f>('TE BE'!$AB$8+'TE BF'!$AB$8+'TE CVA'!$AB$8)*1*(1-0.02)</f>
        <v>194.21830884065065</v>
      </c>
      <c r="AB536" s="6">
        <f>$K$536*$V$536</f>
        <v>0</v>
      </c>
      <c r="AC536" s="6">
        <f>$M$536*$W$536</f>
        <v>67988.838105599993</v>
      </c>
      <c r="AD536" s="6">
        <f>$O$536*$X$536</f>
        <v>181179.63793919998</v>
      </c>
      <c r="AE536" s="6">
        <f>$K$536*$Y$536</f>
        <v>0</v>
      </c>
      <c r="AF536" s="6">
        <f ca="1">$M$536*$Z$536</f>
        <v>92392.004225575947</v>
      </c>
      <c r="AG536" s="6">
        <f>$O$536*$AA$536</f>
        <v>197940.30851127289</v>
      </c>
    </row>
    <row r="537" spans="1:33" ht="11.25" customHeight="1" x14ac:dyDescent="0.25">
      <c r="A537" s="4" t="s">
        <v>27</v>
      </c>
      <c r="B537" s="4" t="s">
        <v>35</v>
      </c>
      <c r="C537" s="4" t="s">
        <v>39</v>
      </c>
      <c r="D537" s="4" t="s">
        <v>42</v>
      </c>
      <c r="E537" s="4" t="s">
        <v>50</v>
      </c>
      <c r="F537" s="4" t="s">
        <v>51</v>
      </c>
      <c r="G537" s="4" t="s">
        <v>25</v>
      </c>
      <c r="H537" s="4" t="s">
        <v>38</v>
      </c>
      <c r="I537" s="5">
        <v>44652</v>
      </c>
      <c r="J537" s="6">
        <v>0</v>
      </c>
      <c r="K537" s="75">
        <v>0</v>
      </c>
      <c r="L537" s="6">
        <v>-28.209</v>
      </c>
      <c r="M537" s="75">
        <v>-28.209</v>
      </c>
      <c r="N537" s="6">
        <v>-28.209</v>
      </c>
      <c r="O537" s="75">
        <v>-28.209</v>
      </c>
      <c r="P537" s="6">
        <v>0</v>
      </c>
      <c r="Q537" s="4" t="s">
        <v>26</v>
      </c>
      <c r="R537" s="4">
        <v>0</v>
      </c>
      <c r="S537" s="6">
        <v>0</v>
      </c>
      <c r="T537" s="6">
        <v>25</v>
      </c>
      <c r="U537" s="6">
        <v>59</v>
      </c>
      <c r="V537" s="75">
        <f>IF(ISERROR(VLOOKUP($S$537,'TAR FIN'!$A$1:$O$93,15,0)),0,VLOOKUP($S$537,'TAR FIN'!$A$1:$O$93,15,0))</f>
        <v>0</v>
      </c>
      <c r="W537" s="75">
        <f>IF(ISERROR(VLOOKUP($T$537,'TAR FIN'!$A$1:$O$93,15,0)),0,VLOOKUP($T$537,'TAR FIN'!$A$1:$O$93,15,0))*(1-0.04)</f>
        <v>66.710399999999993</v>
      </c>
      <c r="X537" s="75">
        <f>IF(ISERROR(VLOOKUP($U$537,'TAR FIN'!$A$1:$O$93,15,0)),0,VLOOKUP($U$537,'TAR FIN'!$A$1:$O$93,15,0))*(1-0.04)</f>
        <v>177.77279999999999</v>
      </c>
      <c r="Y537" s="75"/>
      <c r="Z537" s="75">
        <f ca="1">('TUSD BE'!$AM$16+'TUSD BF'!$AM$16+'TUSD CVA'!$AM$16)*1*(1-0.02)</f>
        <v>90.654697600755071</v>
      </c>
      <c r="AA537" s="75">
        <f>('TE BE'!$AB$8+'TE BF'!$AB$8+'TE CVA'!$AB$8)*1*(1-0.02)</f>
        <v>194.21830884065065</v>
      </c>
      <c r="AB537" s="6">
        <f>$K$537*$V$537</f>
        <v>0</v>
      </c>
      <c r="AC537" s="6">
        <f>$M$537*$W$537</f>
        <v>-1881.8336735999999</v>
      </c>
      <c r="AD537" s="6">
        <f>$O$537*$X$537</f>
        <v>-5014.7929151999997</v>
      </c>
      <c r="AE537" s="6">
        <f>$K$537*$Y$537</f>
        <v>0</v>
      </c>
      <c r="AF537" s="6">
        <f ca="1">$M$537*$Z$537</f>
        <v>-2557.2783646196999</v>
      </c>
      <c r="AG537" s="6">
        <f>$O$537*$AA$537</f>
        <v>-5478.7042740859142</v>
      </c>
    </row>
    <row r="538" spans="1:33" ht="11.25" customHeight="1" x14ac:dyDescent="0.25">
      <c r="A538" s="4" t="s">
        <v>28</v>
      </c>
      <c r="B538" s="4" t="s">
        <v>35</v>
      </c>
      <c r="C538" s="4" t="s">
        <v>39</v>
      </c>
      <c r="D538" s="4" t="s">
        <v>42</v>
      </c>
      <c r="E538" s="4" t="s">
        <v>50</v>
      </c>
      <c r="F538" s="4" t="s">
        <v>51</v>
      </c>
      <c r="G538" s="4" t="s">
        <v>25</v>
      </c>
      <c r="H538" s="4" t="s">
        <v>38</v>
      </c>
      <c r="I538" s="5">
        <v>44652</v>
      </c>
      <c r="J538" s="6">
        <v>0</v>
      </c>
      <c r="K538" s="75">
        <v>0</v>
      </c>
      <c r="L538" s="6">
        <v>29.965</v>
      </c>
      <c r="M538" s="75">
        <v>29.965</v>
      </c>
      <c r="N538" s="6">
        <v>29.965</v>
      </c>
      <c r="O538" s="75">
        <v>29.965</v>
      </c>
      <c r="P538" s="6">
        <v>0</v>
      </c>
      <c r="Q538" s="4" t="s">
        <v>26</v>
      </c>
      <c r="R538" s="4">
        <v>0</v>
      </c>
      <c r="S538" s="6">
        <v>0</v>
      </c>
      <c r="T538" s="6">
        <v>25</v>
      </c>
      <c r="U538" s="6">
        <v>59</v>
      </c>
      <c r="V538" s="75">
        <f>IF(ISERROR(VLOOKUP($S$538,'TAR FIN'!$A$1:$O$93,15,0)),0,VLOOKUP($S$538,'TAR FIN'!$A$1:$O$93,15,0))</f>
        <v>0</v>
      </c>
      <c r="W538" s="75">
        <f>IF(ISERROR(VLOOKUP($T$538,'TAR FIN'!$A$1:$O$93,15,0)),0,VLOOKUP($T$538,'TAR FIN'!$A$1:$O$93,15,0))*(1-0.04)</f>
        <v>66.710399999999993</v>
      </c>
      <c r="X538" s="75">
        <f>IF(ISERROR(VLOOKUP($U$538,'TAR FIN'!$A$1:$O$93,15,0)),0,VLOOKUP($U$538,'TAR FIN'!$A$1:$O$93,15,0))*(1-0.04)</f>
        <v>177.77279999999999</v>
      </c>
      <c r="Y538" s="75"/>
      <c r="Z538" s="75">
        <f ca="1">('TUSD BE'!$AM$16+'TUSD BF'!$AM$16+'TUSD CVA'!$AM$16)*1*(1-0.02)</f>
        <v>90.654697600755071</v>
      </c>
      <c r="AA538" s="75">
        <f>('TE BE'!$AB$8+'TE BF'!$AB$8+'TE CVA'!$AB$8)*1*(1-0.02)</f>
        <v>194.21830884065065</v>
      </c>
      <c r="AB538" s="6">
        <f>$K$538*$V$538</f>
        <v>0</v>
      </c>
      <c r="AC538" s="6">
        <f>$M$538*$W$538</f>
        <v>1998.9771359999997</v>
      </c>
      <c r="AD538" s="6">
        <f>$O$538*$X$538</f>
        <v>5326.9619519999997</v>
      </c>
      <c r="AE538" s="6">
        <f>$K$538*$Y$538</f>
        <v>0</v>
      </c>
      <c r="AF538" s="6">
        <f ca="1">$M$538*$Z$538</f>
        <v>2716.4680136066258</v>
      </c>
      <c r="AG538" s="6">
        <f>$O$538*$AA$538</f>
        <v>5819.7516244100971</v>
      </c>
    </row>
    <row r="539" spans="1:33" ht="11.25" customHeight="1" x14ac:dyDescent="0.25">
      <c r="A539" s="4" t="s">
        <v>21</v>
      </c>
      <c r="B539" s="4" t="s">
        <v>35</v>
      </c>
      <c r="C539" s="4" t="s">
        <v>39</v>
      </c>
      <c r="D539" s="4" t="s">
        <v>42</v>
      </c>
      <c r="E539" s="4" t="s">
        <v>50</v>
      </c>
      <c r="F539" s="4" t="s">
        <v>51</v>
      </c>
      <c r="G539" s="4" t="s">
        <v>25</v>
      </c>
      <c r="H539" s="4" t="s">
        <v>38</v>
      </c>
      <c r="I539" s="5">
        <v>44682</v>
      </c>
      <c r="J539" s="6">
        <v>0</v>
      </c>
      <c r="K539" s="75">
        <v>0</v>
      </c>
      <c r="L539" s="6">
        <v>369.96300000000002</v>
      </c>
      <c r="M539" s="75">
        <v>369.96300000000002</v>
      </c>
      <c r="N539" s="6">
        <v>369.96300000000002</v>
      </c>
      <c r="O539" s="75">
        <v>369.96300000000002</v>
      </c>
      <c r="P539" s="6">
        <v>0</v>
      </c>
      <c r="Q539" s="4" t="s">
        <v>26</v>
      </c>
      <c r="R539" s="4">
        <v>0</v>
      </c>
      <c r="S539" s="6">
        <v>0</v>
      </c>
      <c r="T539" s="6">
        <v>25</v>
      </c>
      <c r="U539" s="6">
        <v>59</v>
      </c>
      <c r="V539" s="75">
        <f>IF(ISERROR(VLOOKUP($S$539,'TAR FIN'!$A$1:$O$93,15,0)),0,VLOOKUP($S$539,'TAR FIN'!$A$1:$O$93,15,0))</f>
        <v>0</v>
      </c>
      <c r="W539" s="75">
        <f>IF(ISERROR(VLOOKUP($T$539,'TAR FIN'!$A$1:$O$93,15,0)),0,VLOOKUP($T$539,'TAR FIN'!$A$1:$O$93,15,0))*(1-0.04)</f>
        <v>66.710399999999993</v>
      </c>
      <c r="X539" s="75">
        <f>IF(ISERROR(VLOOKUP($U$539,'TAR FIN'!$A$1:$O$93,15,0)),0,VLOOKUP($U$539,'TAR FIN'!$A$1:$O$93,15,0))*(1-0.04)</f>
        <v>177.77279999999999</v>
      </c>
      <c r="Y539" s="75"/>
      <c r="Z539" s="75">
        <f ca="1">('TUSD BE'!$AM$16+'TUSD BF'!$AM$16+'TUSD CVA'!$AM$16)*1*(1-0.02)</f>
        <v>90.654697600755071</v>
      </c>
      <c r="AA539" s="75">
        <f>('TE BE'!$AB$8+'TE BF'!$AB$8+'TE CVA'!$AB$8)*1*(1-0.02)</f>
        <v>194.21830884065065</v>
      </c>
      <c r="AB539" s="6">
        <f>$K$539*$V$539</f>
        <v>0</v>
      </c>
      <c r="AC539" s="6">
        <f>$M$539*$W$539</f>
        <v>24680.379715200001</v>
      </c>
      <c r="AD539" s="6">
        <f>$O$539*$X$539</f>
        <v>65769.358406400002</v>
      </c>
      <c r="AE539" s="6">
        <f>$K$539*$Y$539</f>
        <v>0</v>
      </c>
      <c r="AF539" s="6">
        <f ca="1">$M$539*$Z$539</f>
        <v>33538.883888468154</v>
      </c>
      <c r="AG539" s="6">
        <f>$O$539*$AA$539</f>
        <v>71853.588193613643</v>
      </c>
    </row>
    <row r="540" spans="1:33" ht="11.25" customHeight="1" x14ac:dyDescent="0.25">
      <c r="A540" s="4" t="s">
        <v>27</v>
      </c>
      <c r="B540" s="4" t="s">
        <v>35</v>
      </c>
      <c r="C540" s="4" t="s">
        <v>39</v>
      </c>
      <c r="D540" s="4" t="s">
        <v>42</v>
      </c>
      <c r="E540" s="4" t="s">
        <v>50</v>
      </c>
      <c r="F540" s="4" t="s">
        <v>51</v>
      </c>
      <c r="G540" s="4" t="s">
        <v>25</v>
      </c>
      <c r="H540" s="4" t="s">
        <v>38</v>
      </c>
      <c r="I540" s="5">
        <v>44682</v>
      </c>
      <c r="J540" s="6">
        <v>0</v>
      </c>
      <c r="K540" s="75">
        <v>0</v>
      </c>
      <c r="L540" s="6">
        <v>-13.811999999999999</v>
      </c>
      <c r="M540" s="75">
        <v>-13.811999999999999</v>
      </c>
      <c r="N540" s="6">
        <v>-13.811999999999999</v>
      </c>
      <c r="O540" s="75">
        <v>-13.811999999999999</v>
      </c>
      <c r="P540" s="6">
        <v>0</v>
      </c>
      <c r="Q540" s="4" t="s">
        <v>26</v>
      </c>
      <c r="R540" s="4">
        <v>0</v>
      </c>
      <c r="S540" s="6">
        <v>0</v>
      </c>
      <c r="T540" s="6">
        <v>25</v>
      </c>
      <c r="U540" s="6">
        <v>59</v>
      </c>
      <c r="V540" s="75">
        <f>IF(ISERROR(VLOOKUP($S$540,'TAR FIN'!$A$1:$O$93,15,0)),0,VLOOKUP($S$540,'TAR FIN'!$A$1:$O$93,15,0))</f>
        <v>0</v>
      </c>
      <c r="W540" s="75">
        <f>IF(ISERROR(VLOOKUP($T$540,'TAR FIN'!$A$1:$O$93,15,0)),0,VLOOKUP($T$540,'TAR FIN'!$A$1:$O$93,15,0))*(1-0.04)</f>
        <v>66.710399999999993</v>
      </c>
      <c r="X540" s="75">
        <f>IF(ISERROR(VLOOKUP($U$540,'TAR FIN'!$A$1:$O$93,15,0)),0,VLOOKUP($U$540,'TAR FIN'!$A$1:$O$93,15,0))*(1-0.04)</f>
        <v>177.77279999999999</v>
      </c>
      <c r="Y540" s="75"/>
      <c r="Z540" s="75">
        <f ca="1">('TUSD BE'!$AM$16+'TUSD BF'!$AM$16+'TUSD CVA'!$AM$16)*1*(1-0.02)</f>
        <v>90.654697600755071</v>
      </c>
      <c r="AA540" s="75">
        <f>('TE BE'!$AB$8+'TE BF'!$AB$8+'TE CVA'!$AB$8)*1*(1-0.02)</f>
        <v>194.21830884065065</v>
      </c>
      <c r="AB540" s="6">
        <f>$K$540*$V$540</f>
        <v>0</v>
      </c>
      <c r="AC540" s="6">
        <f>$M$540*$W$540</f>
        <v>-921.40404479999984</v>
      </c>
      <c r="AD540" s="6">
        <f>$O$540*$X$540</f>
        <v>-2455.3979135999998</v>
      </c>
      <c r="AE540" s="6">
        <f>$K$540*$Y$540</f>
        <v>0</v>
      </c>
      <c r="AF540" s="6">
        <f ca="1">$M$540*$Z$540</f>
        <v>-1252.1226832616289</v>
      </c>
      <c r="AG540" s="6">
        <f>$O$540*$AA$540</f>
        <v>-2682.5432817070669</v>
      </c>
    </row>
    <row r="541" spans="1:33" ht="11.25" customHeight="1" x14ac:dyDescent="0.25">
      <c r="A541" s="4" t="s">
        <v>28</v>
      </c>
      <c r="B541" s="4" t="s">
        <v>35</v>
      </c>
      <c r="C541" s="4" t="s">
        <v>39</v>
      </c>
      <c r="D541" s="4" t="s">
        <v>42</v>
      </c>
      <c r="E541" s="4" t="s">
        <v>50</v>
      </c>
      <c r="F541" s="4" t="s">
        <v>51</v>
      </c>
      <c r="G541" s="4" t="s">
        <v>25</v>
      </c>
      <c r="H541" s="4" t="s">
        <v>38</v>
      </c>
      <c r="I541" s="5">
        <v>44682</v>
      </c>
      <c r="J541" s="6">
        <v>0</v>
      </c>
      <c r="K541" s="75">
        <v>0</v>
      </c>
      <c r="L541" s="6">
        <v>1.6060000000000001</v>
      </c>
      <c r="M541" s="75">
        <v>1.6060000000000001</v>
      </c>
      <c r="N541" s="6">
        <v>1.6060000000000001</v>
      </c>
      <c r="O541" s="75">
        <v>1.6060000000000001</v>
      </c>
      <c r="P541" s="6">
        <v>0</v>
      </c>
      <c r="Q541" s="4" t="s">
        <v>26</v>
      </c>
      <c r="R541" s="4">
        <v>0</v>
      </c>
      <c r="S541" s="6">
        <v>0</v>
      </c>
      <c r="T541" s="6">
        <v>25</v>
      </c>
      <c r="U541" s="6">
        <v>59</v>
      </c>
      <c r="V541" s="75">
        <f>IF(ISERROR(VLOOKUP($S$541,'TAR FIN'!$A$1:$O$93,15,0)),0,VLOOKUP($S$541,'TAR FIN'!$A$1:$O$93,15,0))</f>
        <v>0</v>
      </c>
      <c r="W541" s="75">
        <f>IF(ISERROR(VLOOKUP($T$541,'TAR FIN'!$A$1:$O$93,15,0)),0,VLOOKUP($T$541,'TAR FIN'!$A$1:$O$93,15,0))*(1-0.04)</f>
        <v>66.710399999999993</v>
      </c>
      <c r="X541" s="75">
        <f>IF(ISERROR(VLOOKUP($U$541,'TAR FIN'!$A$1:$O$93,15,0)),0,VLOOKUP($U$541,'TAR FIN'!$A$1:$O$93,15,0))*(1-0.04)</f>
        <v>177.77279999999999</v>
      </c>
      <c r="Y541" s="75"/>
      <c r="Z541" s="75">
        <f ca="1">('TUSD BE'!$AM$16+'TUSD BF'!$AM$16+'TUSD CVA'!$AM$16)*1*(1-0.02)</f>
        <v>90.654697600755071</v>
      </c>
      <c r="AA541" s="75">
        <f>('TE BE'!$AB$8+'TE BF'!$AB$8+'TE CVA'!$AB$8)*1*(1-0.02)</f>
        <v>194.21830884065065</v>
      </c>
      <c r="AB541" s="6">
        <f>$K$541*$V$541</f>
        <v>0</v>
      </c>
      <c r="AC541" s="6">
        <f>$M$541*$W$541</f>
        <v>107.1369024</v>
      </c>
      <c r="AD541" s="6">
        <f>$O$541*$X$541</f>
        <v>285.50311679999999</v>
      </c>
      <c r="AE541" s="6">
        <f>$K$541*$Y$541</f>
        <v>0</v>
      </c>
      <c r="AF541" s="6">
        <f ca="1">$M$541*$Z$541</f>
        <v>145.59144434681266</v>
      </c>
      <c r="AG541" s="6">
        <f>$O$541*$AA$541</f>
        <v>311.91460399808494</v>
      </c>
    </row>
    <row r="542" spans="1:33" ht="11.25" customHeight="1" x14ac:dyDescent="0.25">
      <c r="A542" s="4" t="s">
        <v>21</v>
      </c>
      <c r="B542" s="4" t="s">
        <v>35</v>
      </c>
      <c r="C542" s="4" t="s">
        <v>39</v>
      </c>
      <c r="D542" s="4" t="s">
        <v>42</v>
      </c>
      <c r="E542" s="4" t="s">
        <v>50</v>
      </c>
      <c r="F542" s="4" t="s">
        <v>51</v>
      </c>
      <c r="G542" s="4" t="s">
        <v>25</v>
      </c>
      <c r="H542" s="4" t="s">
        <v>38</v>
      </c>
      <c r="I542" s="5">
        <v>44713</v>
      </c>
      <c r="J542" s="6">
        <v>0</v>
      </c>
      <c r="K542" s="75">
        <v>0</v>
      </c>
      <c r="L542" s="6">
        <v>253.489</v>
      </c>
      <c r="M542" s="75">
        <v>253.489</v>
      </c>
      <c r="N542" s="6">
        <v>253.489</v>
      </c>
      <c r="O542" s="75">
        <v>253.489</v>
      </c>
      <c r="P542" s="6">
        <v>0</v>
      </c>
      <c r="Q542" s="4" t="s">
        <v>26</v>
      </c>
      <c r="R542" s="4">
        <v>0</v>
      </c>
      <c r="S542" s="6">
        <v>0</v>
      </c>
      <c r="T542" s="6">
        <v>25</v>
      </c>
      <c r="U542" s="6">
        <v>59</v>
      </c>
      <c r="V542" s="75">
        <f>IF(ISERROR(VLOOKUP($S$542,'TAR FIN'!$A$1:$O$93,15,0)),0,VLOOKUP($S$542,'TAR FIN'!$A$1:$O$93,15,0))</f>
        <v>0</v>
      </c>
      <c r="W542" s="75">
        <f>IF(ISERROR(VLOOKUP($T$542,'TAR FIN'!$A$1:$O$93,15,0)),0,VLOOKUP($T$542,'TAR FIN'!$A$1:$O$93,15,0))*(1-0.04)</f>
        <v>66.710399999999993</v>
      </c>
      <c r="X542" s="75">
        <f>IF(ISERROR(VLOOKUP($U$542,'TAR FIN'!$A$1:$O$93,15,0)),0,VLOOKUP($U$542,'TAR FIN'!$A$1:$O$93,15,0))*(1-0.04)</f>
        <v>177.77279999999999</v>
      </c>
      <c r="Y542" s="75"/>
      <c r="Z542" s="75">
        <f ca="1">('TUSD BE'!$AM$16+'TUSD BF'!$AM$16+'TUSD CVA'!$AM$16)*1*(1-0.02)</f>
        <v>90.654697600755071</v>
      </c>
      <c r="AA542" s="75">
        <f>('TE BE'!$AB$8+'TE BF'!$AB$8+'TE CVA'!$AB$8)*1*(1-0.02)</f>
        <v>194.21830884065065</v>
      </c>
      <c r="AB542" s="6">
        <f>$K$542*$V$542</f>
        <v>0</v>
      </c>
      <c r="AC542" s="6">
        <f>$M$542*$W$542</f>
        <v>16910.352585599998</v>
      </c>
      <c r="AD542" s="6">
        <f>$O$542*$X$542</f>
        <v>45063.449299200001</v>
      </c>
      <c r="AE542" s="6">
        <f>$K$542*$Y$542</f>
        <v>0</v>
      </c>
      <c r="AF542" s="6">
        <f ca="1">$M$542*$Z$542</f>
        <v>22979.968640117804</v>
      </c>
      <c r="AG542" s="6">
        <f>$O$542*$AA$542</f>
        <v>49232.204889707697</v>
      </c>
    </row>
    <row r="543" spans="1:33" ht="11.25" customHeight="1" x14ac:dyDescent="0.25">
      <c r="A543" s="4" t="s">
        <v>27</v>
      </c>
      <c r="B543" s="4" t="s">
        <v>35</v>
      </c>
      <c r="C543" s="4" t="s">
        <v>39</v>
      </c>
      <c r="D543" s="4" t="s">
        <v>42</v>
      </c>
      <c r="E543" s="4" t="s">
        <v>50</v>
      </c>
      <c r="F543" s="4" t="s">
        <v>51</v>
      </c>
      <c r="G543" s="4" t="s">
        <v>25</v>
      </c>
      <c r="H543" s="4" t="s">
        <v>38</v>
      </c>
      <c r="I543" s="5">
        <v>44713</v>
      </c>
      <c r="J543" s="6">
        <v>0</v>
      </c>
      <c r="K543" s="75">
        <v>0</v>
      </c>
      <c r="L543" s="6">
        <v>-0.57899999999999996</v>
      </c>
      <c r="M543" s="75">
        <v>-0.57899999999999996</v>
      </c>
      <c r="N543" s="6">
        <v>-0.57899999999999996</v>
      </c>
      <c r="O543" s="75">
        <v>-0.57899999999999996</v>
      </c>
      <c r="P543" s="6">
        <v>0</v>
      </c>
      <c r="Q543" s="4" t="s">
        <v>26</v>
      </c>
      <c r="R543" s="4">
        <v>0</v>
      </c>
      <c r="S543" s="6">
        <v>0</v>
      </c>
      <c r="T543" s="6">
        <v>25</v>
      </c>
      <c r="U543" s="6">
        <v>59</v>
      </c>
      <c r="V543" s="75">
        <f>IF(ISERROR(VLOOKUP($S$543,'TAR FIN'!$A$1:$O$93,15,0)),0,VLOOKUP($S$543,'TAR FIN'!$A$1:$O$93,15,0))</f>
        <v>0</v>
      </c>
      <c r="W543" s="75">
        <f>IF(ISERROR(VLOOKUP($T$543,'TAR FIN'!$A$1:$O$93,15,0)),0,VLOOKUP($T$543,'TAR FIN'!$A$1:$O$93,15,0))*(1-0.04)</f>
        <v>66.710399999999993</v>
      </c>
      <c r="X543" s="75">
        <f>IF(ISERROR(VLOOKUP($U$543,'TAR FIN'!$A$1:$O$93,15,0)),0,VLOOKUP($U$543,'TAR FIN'!$A$1:$O$93,15,0))*(1-0.04)</f>
        <v>177.77279999999999</v>
      </c>
      <c r="Y543" s="75"/>
      <c r="Z543" s="75">
        <f ca="1">('TUSD BE'!$AM$16+'TUSD BF'!$AM$16+'TUSD CVA'!$AM$16)*1*(1-0.02)</f>
        <v>90.654697600755071</v>
      </c>
      <c r="AA543" s="75">
        <f>('TE BE'!$AB$8+'TE BF'!$AB$8+'TE CVA'!$AB$8)*1*(1-0.02)</f>
        <v>194.21830884065065</v>
      </c>
      <c r="AB543" s="6">
        <f>$K$543*$V$543</f>
        <v>0</v>
      </c>
      <c r="AC543" s="6">
        <f>$M$543*$W$543</f>
        <v>-38.625321599999992</v>
      </c>
      <c r="AD543" s="6">
        <f>$O$543*$X$543</f>
        <v>-102.93045119999999</v>
      </c>
      <c r="AE543" s="6">
        <f>$K$543*$Y$543</f>
        <v>0</v>
      </c>
      <c r="AF543" s="6">
        <f ca="1">$M$543*$Z$543</f>
        <v>-52.489069910837181</v>
      </c>
      <c r="AG543" s="6">
        <f>$O$543*$AA$543</f>
        <v>-112.45240081873672</v>
      </c>
    </row>
    <row r="544" spans="1:33" ht="11.25" customHeight="1" x14ac:dyDescent="0.25">
      <c r="A544" s="4" t="s">
        <v>21</v>
      </c>
      <c r="B544" s="4" t="s">
        <v>35</v>
      </c>
      <c r="C544" s="4" t="s">
        <v>39</v>
      </c>
      <c r="D544" s="4" t="s">
        <v>42</v>
      </c>
      <c r="E544" s="4" t="s">
        <v>50</v>
      </c>
      <c r="F544" s="4" t="s">
        <v>51</v>
      </c>
      <c r="G544" s="4" t="s">
        <v>25</v>
      </c>
      <c r="H544" s="4" t="s">
        <v>37</v>
      </c>
      <c r="I544" s="5">
        <v>44378</v>
      </c>
      <c r="J544" s="6">
        <v>0</v>
      </c>
      <c r="K544" s="75">
        <v>0</v>
      </c>
      <c r="L544" s="6">
        <v>15.003</v>
      </c>
      <c r="M544" s="75">
        <v>15.003</v>
      </c>
      <c r="N544" s="6">
        <v>15.003</v>
      </c>
      <c r="O544" s="75">
        <v>15.003</v>
      </c>
      <c r="P544" s="6">
        <v>0</v>
      </c>
      <c r="Q544" s="4" t="s">
        <v>26</v>
      </c>
      <c r="R544" s="4">
        <v>0</v>
      </c>
      <c r="S544" s="6">
        <v>0</v>
      </c>
      <c r="T544" s="6">
        <v>12</v>
      </c>
      <c r="U544" s="6">
        <v>66</v>
      </c>
      <c r="V544" s="75">
        <f>IF(ISERROR(VLOOKUP($S$544,'TAR FIN'!$A$1:$O$93,15,0)),0,VLOOKUP($S$544,'TAR FIN'!$A$1:$O$93,15,0))</f>
        <v>0</v>
      </c>
      <c r="W544" s="75">
        <f>IF(ISERROR(VLOOKUP($T$544,'TAR FIN'!$A$1:$O$93,15,0)),0,VLOOKUP($T$544,'TAR FIN'!$A$1:$O$93,15,0))*(1-0.04)</f>
        <v>1079.712</v>
      </c>
      <c r="X544" s="75">
        <f>IF(ISERROR(VLOOKUP($U$544,'TAR FIN'!$A$1:$O$93,15,0)),0,VLOOKUP($U$544,'TAR FIN'!$A$1:$O$93,15,0))*(1-0.04)</f>
        <v>177.77279999999999</v>
      </c>
      <c r="Y544" s="75"/>
      <c r="Z544" s="75">
        <f ca="1">('TUSD BE'!$AM$15+'TUSD BF'!$AM$15+'TUSD CVA'!$AM$15)*1*(1-0.02)</f>
        <v>1276.3186645234982</v>
      </c>
      <c r="AA544" s="75">
        <f>('TE BE'!$AB$7+'TE BF'!$AB$7+'TE CVA'!$AB$7)*1*(1-0.02)</f>
        <v>194.21830884065065</v>
      </c>
      <c r="AB544" s="6">
        <f>$K$544*$V$544</f>
        <v>0</v>
      </c>
      <c r="AC544" s="6">
        <f>$M$544*$W$544</f>
        <v>16198.919136</v>
      </c>
      <c r="AD544" s="6">
        <f>$O$544*$X$544</f>
        <v>2667.1253183999997</v>
      </c>
      <c r="AE544" s="6">
        <f>$K$544*$Y$544</f>
        <v>0</v>
      </c>
      <c r="AF544" s="6">
        <f ca="1">$M$544*$Z$544</f>
        <v>19148.608923846044</v>
      </c>
      <c r="AG544" s="6">
        <f>$O$544*$AA$544</f>
        <v>2913.8572875362815</v>
      </c>
    </row>
    <row r="545" spans="1:33" ht="11.25" customHeight="1" x14ac:dyDescent="0.25">
      <c r="A545" s="4" t="s">
        <v>21</v>
      </c>
      <c r="B545" s="4" t="s">
        <v>35</v>
      </c>
      <c r="C545" s="4" t="s">
        <v>39</v>
      </c>
      <c r="D545" s="4" t="s">
        <v>42</v>
      </c>
      <c r="E545" s="4" t="s">
        <v>50</v>
      </c>
      <c r="F545" s="4" t="s">
        <v>51</v>
      </c>
      <c r="G545" s="4" t="s">
        <v>25</v>
      </c>
      <c r="H545" s="4" t="s">
        <v>37</v>
      </c>
      <c r="I545" s="5">
        <v>44409</v>
      </c>
      <c r="J545" s="6">
        <v>0</v>
      </c>
      <c r="K545" s="75">
        <v>0</v>
      </c>
      <c r="L545" s="6">
        <v>16.64</v>
      </c>
      <c r="M545" s="75">
        <v>16.64</v>
      </c>
      <c r="N545" s="6">
        <v>16.64</v>
      </c>
      <c r="O545" s="75">
        <v>16.64</v>
      </c>
      <c r="P545" s="6">
        <v>0</v>
      </c>
      <c r="Q545" s="4" t="s">
        <v>26</v>
      </c>
      <c r="R545" s="4">
        <v>0</v>
      </c>
      <c r="S545" s="6">
        <v>0</v>
      </c>
      <c r="T545" s="6">
        <v>12</v>
      </c>
      <c r="U545" s="6">
        <v>66</v>
      </c>
      <c r="V545" s="75">
        <f>IF(ISERROR(VLOOKUP($S$545,'TAR FIN'!$A$1:$O$93,15,0)),0,VLOOKUP($S$545,'TAR FIN'!$A$1:$O$93,15,0))</f>
        <v>0</v>
      </c>
      <c r="W545" s="75">
        <f>IF(ISERROR(VLOOKUP($T$545,'TAR FIN'!$A$1:$O$93,15,0)),0,VLOOKUP($T$545,'TAR FIN'!$A$1:$O$93,15,0))*(1-0.04)</f>
        <v>1079.712</v>
      </c>
      <c r="X545" s="75">
        <f>IF(ISERROR(VLOOKUP($U$545,'TAR FIN'!$A$1:$O$93,15,0)),0,VLOOKUP($U$545,'TAR FIN'!$A$1:$O$93,15,0))*(1-0.04)</f>
        <v>177.77279999999999</v>
      </c>
      <c r="Y545" s="75"/>
      <c r="Z545" s="75">
        <f ca="1">('TUSD BE'!$AM$15+'TUSD BF'!$AM$15+'TUSD CVA'!$AM$15)*1*(1-0.02)</f>
        <v>1276.3186645234982</v>
      </c>
      <c r="AA545" s="75">
        <f>('TE BE'!$AB$7+'TE BF'!$AB$7+'TE CVA'!$AB$7)*1*(1-0.02)</f>
        <v>194.21830884065065</v>
      </c>
      <c r="AB545" s="6">
        <f>$K$545*$V$545</f>
        <v>0</v>
      </c>
      <c r="AC545" s="6">
        <f>$M$545*$W$545</f>
        <v>17966.40768</v>
      </c>
      <c r="AD545" s="6">
        <f>$O$545*$X$545</f>
        <v>2958.139392</v>
      </c>
      <c r="AE545" s="6">
        <f>$K$545*$Y$545</f>
        <v>0</v>
      </c>
      <c r="AF545" s="6">
        <f ca="1">$M$545*$Z$545</f>
        <v>21237.942577671012</v>
      </c>
      <c r="AG545" s="6">
        <f>$O$545*$AA$545</f>
        <v>3231.792659108427</v>
      </c>
    </row>
    <row r="546" spans="1:33" ht="11.25" customHeight="1" x14ac:dyDescent="0.25">
      <c r="A546" s="4" t="s">
        <v>28</v>
      </c>
      <c r="B546" s="4" t="s">
        <v>35</v>
      </c>
      <c r="C546" s="4" t="s">
        <v>39</v>
      </c>
      <c r="D546" s="4" t="s">
        <v>42</v>
      </c>
      <c r="E546" s="4" t="s">
        <v>50</v>
      </c>
      <c r="F546" s="4" t="s">
        <v>51</v>
      </c>
      <c r="G546" s="4" t="s">
        <v>25</v>
      </c>
      <c r="H546" s="4" t="s">
        <v>37</v>
      </c>
      <c r="I546" s="5">
        <v>44409</v>
      </c>
      <c r="J546" s="6">
        <v>0</v>
      </c>
      <c r="K546" s="75">
        <v>0</v>
      </c>
      <c r="L546" s="6">
        <v>0.32500000000000001</v>
      </c>
      <c r="M546" s="75">
        <v>0.32500000000000001</v>
      </c>
      <c r="N546" s="6">
        <v>0.32500000000000001</v>
      </c>
      <c r="O546" s="75">
        <v>0.32500000000000001</v>
      </c>
      <c r="P546" s="6">
        <v>0</v>
      </c>
      <c r="Q546" s="4" t="s">
        <v>26</v>
      </c>
      <c r="R546" s="4">
        <v>0</v>
      </c>
      <c r="S546" s="6">
        <v>0</v>
      </c>
      <c r="T546" s="6">
        <v>12</v>
      </c>
      <c r="U546" s="6">
        <v>66</v>
      </c>
      <c r="V546" s="75">
        <f>IF(ISERROR(VLOOKUP($S$546,'TAR FIN'!$A$1:$O$93,15,0)),0,VLOOKUP($S$546,'TAR FIN'!$A$1:$O$93,15,0))</f>
        <v>0</v>
      </c>
      <c r="W546" s="75">
        <f>IF(ISERROR(VLOOKUP($T$546,'TAR FIN'!$A$1:$O$93,15,0)),0,VLOOKUP($T$546,'TAR FIN'!$A$1:$O$93,15,0))*(1-0.04)</f>
        <v>1079.712</v>
      </c>
      <c r="X546" s="75">
        <f>IF(ISERROR(VLOOKUP($U$546,'TAR FIN'!$A$1:$O$93,15,0)),0,VLOOKUP($U$546,'TAR FIN'!$A$1:$O$93,15,0))*(1-0.04)</f>
        <v>177.77279999999999</v>
      </c>
      <c r="Y546" s="75"/>
      <c r="Z546" s="75">
        <f ca="1">('TUSD BE'!$AM$15+'TUSD BF'!$AM$15+'TUSD CVA'!$AM$15)*1*(1-0.02)</f>
        <v>1276.3186645234982</v>
      </c>
      <c r="AA546" s="75">
        <f>('TE BE'!$AB$7+'TE BF'!$AB$7+'TE CVA'!$AB$7)*1*(1-0.02)</f>
        <v>194.21830884065065</v>
      </c>
      <c r="AB546" s="6">
        <f>$K$546*$V$546</f>
        <v>0</v>
      </c>
      <c r="AC546" s="6">
        <f>$M$546*$W$546</f>
        <v>350.90640000000002</v>
      </c>
      <c r="AD546" s="6">
        <f>$O$546*$X$546</f>
        <v>57.776159999999997</v>
      </c>
      <c r="AE546" s="6">
        <f>$K$546*$Y$546</f>
        <v>0</v>
      </c>
      <c r="AF546" s="6">
        <f ca="1">$M$546*$Z$546</f>
        <v>414.80356597013696</v>
      </c>
      <c r="AG546" s="6">
        <f>$O$546*$AA$546</f>
        <v>63.120950373211464</v>
      </c>
    </row>
    <row r="547" spans="1:33" ht="11.25" customHeight="1" x14ac:dyDescent="0.25">
      <c r="A547" s="4" t="s">
        <v>21</v>
      </c>
      <c r="B547" s="4" t="s">
        <v>35</v>
      </c>
      <c r="C547" s="4" t="s">
        <v>39</v>
      </c>
      <c r="D547" s="4" t="s">
        <v>42</v>
      </c>
      <c r="E547" s="4" t="s">
        <v>50</v>
      </c>
      <c r="F547" s="4" t="s">
        <v>51</v>
      </c>
      <c r="G547" s="4" t="s">
        <v>25</v>
      </c>
      <c r="H547" s="4" t="s">
        <v>37</v>
      </c>
      <c r="I547" s="5">
        <v>44440</v>
      </c>
      <c r="J547" s="6">
        <v>0</v>
      </c>
      <c r="K547" s="75">
        <v>0</v>
      </c>
      <c r="L547" s="6">
        <v>21.83</v>
      </c>
      <c r="M547" s="75">
        <v>21.83</v>
      </c>
      <c r="N547" s="6">
        <v>21.83</v>
      </c>
      <c r="O547" s="75">
        <v>21.83</v>
      </c>
      <c r="P547" s="6">
        <v>0</v>
      </c>
      <c r="Q547" s="4" t="s">
        <v>26</v>
      </c>
      <c r="R547" s="4">
        <v>0</v>
      </c>
      <c r="S547" s="6">
        <v>0</v>
      </c>
      <c r="T547" s="6">
        <v>12</v>
      </c>
      <c r="U547" s="6">
        <v>66</v>
      </c>
      <c r="V547" s="75">
        <f>IF(ISERROR(VLOOKUP($S$547,'TAR FIN'!$A$1:$O$93,15,0)),0,VLOOKUP($S$547,'TAR FIN'!$A$1:$O$93,15,0))</f>
        <v>0</v>
      </c>
      <c r="W547" s="75">
        <f>IF(ISERROR(VLOOKUP($T$547,'TAR FIN'!$A$1:$O$93,15,0)),0,VLOOKUP($T$547,'TAR FIN'!$A$1:$O$93,15,0))*(1-0.04)</f>
        <v>1079.712</v>
      </c>
      <c r="X547" s="75">
        <f>IF(ISERROR(VLOOKUP($U$547,'TAR FIN'!$A$1:$O$93,15,0)),0,VLOOKUP($U$547,'TAR FIN'!$A$1:$O$93,15,0))*(1-0.04)</f>
        <v>177.77279999999999</v>
      </c>
      <c r="Y547" s="75"/>
      <c r="Z547" s="75">
        <f ca="1">('TUSD BE'!$AM$15+'TUSD BF'!$AM$15+'TUSD CVA'!$AM$15)*1*(1-0.02)</f>
        <v>1276.3186645234982</v>
      </c>
      <c r="AA547" s="75">
        <f>('TE BE'!$AB$7+'TE BF'!$AB$7+'TE CVA'!$AB$7)*1*(1-0.02)</f>
        <v>194.21830884065065</v>
      </c>
      <c r="AB547" s="6">
        <f>$K$547*$V$547</f>
        <v>0</v>
      </c>
      <c r="AC547" s="6">
        <f>$M$547*$W$547</f>
        <v>23570.112959999999</v>
      </c>
      <c r="AD547" s="6">
        <f>$O$547*$X$547</f>
        <v>3880.7802239999996</v>
      </c>
      <c r="AE547" s="6">
        <f>$K$547*$Y$547</f>
        <v>0</v>
      </c>
      <c r="AF547" s="6">
        <f ca="1">$M$547*$Z$547</f>
        <v>27862.036446547965</v>
      </c>
      <c r="AG547" s="6">
        <f>$O$547*$AA$547</f>
        <v>4239.7856819914032</v>
      </c>
    </row>
    <row r="548" spans="1:33" ht="11.25" customHeight="1" x14ac:dyDescent="0.25">
      <c r="A548" s="4" t="s">
        <v>28</v>
      </c>
      <c r="B548" s="4" t="s">
        <v>35</v>
      </c>
      <c r="C548" s="4" t="s">
        <v>39</v>
      </c>
      <c r="D548" s="4" t="s">
        <v>42</v>
      </c>
      <c r="E548" s="4" t="s">
        <v>50</v>
      </c>
      <c r="F548" s="4" t="s">
        <v>51</v>
      </c>
      <c r="G548" s="4" t="s">
        <v>25</v>
      </c>
      <c r="H548" s="4" t="s">
        <v>37</v>
      </c>
      <c r="I548" s="5">
        <v>44440</v>
      </c>
      <c r="J548" s="6">
        <v>0</v>
      </c>
      <c r="K548" s="75">
        <v>0</v>
      </c>
      <c r="L548" s="6">
        <v>0.42799999999999999</v>
      </c>
      <c r="M548" s="75">
        <v>0.42799999999999999</v>
      </c>
      <c r="N548" s="6">
        <v>0.42799999999999999</v>
      </c>
      <c r="O548" s="75">
        <v>0.42799999999999999</v>
      </c>
      <c r="P548" s="6">
        <v>0</v>
      </c>
      <c r="Q548" s="4" t="s">
        <v>26</v>
      </c>
      <c r="R548" s="4">
        <v>0</v>
      </c>
      <c r="S548" s="6">
        <v>0</v>
      </c>
      <c r="T548" s="6">
        <v>12</v>
      </c>
      <c r="U548" s="6">
        <v>66</v>
      </c>
      <c r="V548" s="75">
        <f>IF(ISERROR(VLOOKUP($S$548,'TAR FIN'!$A$1:$O$93,15,0)),0,VLOOKUP($S$548,'TAR FIN'!$A$1:$O$93,15,0))</f>
        <v>0</v>
      </c>
      <c r="W548" s="75">
        <f>IF(ISERROR(VLOOKUP($T$548,'TAR FIN'!$A$1:$O$93,15,0)),0,VLOOKUP($T$548,'TAR FIN'!$A$1:$O$93,15,0))*(1-0.04)</f>
        <v>1079.712</v>
      </c>
      <c r="X548" s="75">
        <f>IF(ISERROR(VLOOKUP($U$548,'TAR FIN'!$A$1:$O$93,15,0)),0,VLOOKUP($U$548,'TAR FIN'!$A$1:$O$93,15,0))*(1-0.04)</f>
        <v>177.77279999999999</v>
      </c>
      <c r="Y548" s="75"/>
      <c r="Z548" s="75">
        <f ca="1">('TUSD BE'!$AM$15+'TUSD BF'!$AM$15+'TUSD CVA'!$AM$15)*1*(1-0.02)</f>
        <v>1276.3186645234982</v>
      </c>
      <c r="AA548" s="75">
        <f>('TE BE'!$AB$7+'TE BF'!$AB$7+'TE CVA'!$AB$7)*1*(1-0.02)</f>
        <v>194.21830884065065</v>
      </c>
      <c r="AB548" s="6">
        <f>$K$548*$V$548</f>
        <v>0</v>
      </c>
      <c r="AC548" s="6">
        <f>$M$548*$W$548</f>
        <v>462.116736</v>
      </c>
      <c r="AD548" s="6">
        <f>$O$548*$X$548</f>
        <v>76.086758399999994</v>
      </c>
      <c r="AE548" s="6">
        <f>$K$548*$Y$548</f>
        <v>0</v>
      </c>
      <c r="AF548" s="6">
        <f ca="1">$M$548*$Z$548</f>
        <v>546.26438841605727</v>
      </c>
      <c r="AG548" s="6">
        <f>$O$548*$AA$548</f>
        <v>83.12543618379847</v>
      </c>
    </row>
    <row r="549" spans="1:33" ht="11.25" customHeight="1" x14ac:dyDescent="0.25">
      <c r="A549" s="4" t="s">
        <v>21</v>
      </c>
      <c r="B549" s="4" t="s">
        <v>35</v>
      </c>
      <c r="C549" s="4" t="s">
        <v>39</v>
      </c>
      <c r="D549" s="4" t="s">
        <v>42</v>
      </c>
      <c r="E549" s="4" t="s">
        <v>50</v>
      </c>
      <c r="F549" s="4" t="s">
        <v>51</v>
      </c>
      <c r="G549" s="4" t="s">
        <v>25</v>
      </c>
      <c r="H549" s="4" t="s">
        <v>37</v>
      </c>
      <c r="I549" s="5">
        <v>44470</v>
      </c>
      <c r="J549" s="6">
        <v>0</v>
      </c>
      <c r="K549" s="75">
        <v>0</v>
      </c>
      <c r="L549" s="6">
        <v>18.888999999999999</v>
      </c>
      <c r="M549" s="75">
        <v>18.888999999999999</v>
      </c>
      <c r="N549" s="6">
        <v>18.888999999999999</v>
      </c>
      <c r="O549" s="75">
        <v>18.888999999999999</v>
      </c>
      <c r="P549" s="6">
        <v>0</v>
      </c>
      <c r="Q549" s="4" t="s">
        <v>26</v>
      </c>
      <c r="R549" s="4">
        <v>0</v>
      </c>
      <c r="S549" s="6">
        <v>0</v>
      </c>
      <c r="T549" s="6">
        <v>12</v>
      </c>
      <c r="U549" s="6">
        <v>66</v>
      </c>
      <c r="V549" s="75">
        <f>IF(ISERROR(VLOOKUP($S$549,'TAR FIN'!$A$1:$O$93,15,0)),0,VLOOKUP($S$549,'TAR FIN'!$A$1:$O$93,15,0))</f>
        <v>0</v>
      </c>
      <c r="W549" s="75">
        <f>IF(ISERROR(VLOOKUP($T$549,'TAR FIN'!$A$1:$O$93,15,0)),0,VLOOKUP($T$549,'TAR FIN'!$A$1:$O$93,15,0))*(1-0.04)</f>
        <v>1079.712</v>
      </c>
      <c r="X549" s="75">
        <f>IF(ISERROR(VLOOKUP($U$549,'TAR FIN'!$A$1:$O$93,15,0)),0,VLOOKUP($U$549,'TAR FIN'!$A$1:$O$93,15,0))*(1-0.04)</f>
        <v>177.77279999999999</v>
      </c>
      <c r="Y549" s="75"/>
      <c r="Z549" s="75">
        <f ca="1">('TUSD BE'!$AM$15+'TUSD BF'!$AM$15+'TUSD CVA'!$AM$15)*1*(1-0.02)</f>
        <v>1276.3186645234982</v>
      </c>
      <c r="AA549" s="75">
        <f>('TE BE'!$AB$7+'TE BF'!$AB$7+'TE CVA'!$AB$7)*1*(1-0.02)</f>
        <v>194.21830884065065</v>
      </c>
      <c r="AB549" s="6">
        <f>$K$549*$V$549</f>
        <v>0</v>
      </c>
      <c r="AC549" s="6">
        <f>$M$549*$W$549</f>
        <v>20394.679968</v>
      </c>
      <c r="AD549" s="6">
        <f>$O$549*$X$549</f>
        <v>3357.9504191999995</v>
      </c>
      <c r="AE549" s="6">
        <f>$K$549*$Y$549</f>
        <v>0</v>
      </c>
      <c r="AF549" s="6">
        <f ca="1">$M$549*$Z$549</f>
        <v>24108.383254184359</v>
      </c>
      <c r="AG549" s="6">
        <f>$O$549*$AA$549</f>
        <v>3668.5896356910498</v>
      </c>
    </row>
    <row r="550" spans="1:33" ht="11.25" customHeight="1" x14ac:dyDescent="0.25">
      <c r="A550" s="4" t="s">
        <v>21</v>
      </c>
      <c r="B550" s="4" t="s">
        <v>35</v>
      </c>
      <c r="C550" s="4" t="s">
        <v>39</v>
      </c>
      <c r="D550" s="4" t="s">
        <v>42</v>
      </c>
      <c r="E550" s="4" t="s">
        <v>50</v>
      </c>
      <c r="F550" s="4" t="s">
        <v>51</v>
      </c>
      <c r="G550" s="4" t="s">
        <v>25</v>
      </c>
      <c r="H550" s="4" t="s">
        <v>37</v>
      </c>
      <c r="I550" s="5">
        <v>44501</v>
      </c>
      <c r="J550" s="6">
        <v>0</v>
      </c>
      <c r="K550" s="75">
        <v>0</v>
      </c>
      <c r="L550" s="6">
        <v>20.326000000000001</v>
      </c>
      <c r="M550" s="75">
        <v>20.326000000000001</v>
      </c>
      <c r="N550" s="6">
        <v>20.326000000000001</v>
      </c>
      <c r="O550" s="75">
        <v>20.326000000000001</v>
      </c>
      <c r="P550" s="6">
        <v>0</v>
      </c>
      <c r="Q550" s="4" t="s">
        <v>26</v>
      </c>
      <c r="R550" s="4">
        <v>0</v>
      </c>
      <c r="S550" s="6">
        <v>0</v>
      </c>
      <c r="T550" s="6">
        <v>12</v>
      </c>
      <c r="U550" s="6">
        <v>66</v>
      </c>
      <c r="V550" s="75">
        <f>IF(ISERROR(VLOOKUP($S$550,'TAR FIN'!$A$1:$O$93,15,0)),0,VLOOKUP($S$550,'TAR FIN'!$A$1:$O$93,15,0))</f>
        <v>0</v>
      </c>
      <c r="W550" s="75">
        <f>IF(ISERROR(VLOOKUP($T$550,'TAR FIN'!$A$1:$O$93,15,0)),0,VLOOKUP($T$550,'TAR FIN'!$A$1:$O$93,15,0))*(1-0.04)</f>
        <v>1079.712</v>
      </c>
      <c r="X550" s="75">
        <f>IF(ISERROR(VLOOKUP($U$550,'TAR FIN'!$A$1:$O$93,15,0)),0,VLOOKUP($U$550,'TAR FIN'!$A$1:$O$93,15,0))*(1-0.04)</f>
        <v>177.77279999999999</v>
      </c>
      <c r="Y550" s="75"/>
      <c r="Z550" s="75">
        <f ca="1">('TUSD BE'!$AM$15+'TUSD BF'!$AM$15+'TUSD CVA'!$AM$15)*1*(1-0.02)</f>
        <v>1276.3186645234982</v>
      </c>
      <c r="AA550" s="75">
        <f>('TE BE'!$AB$7+'TE BF'!$AB$7+'TE CVA'!$AB$7)*1*(1-0.02)</f>
        <v>194.21830884065065</v>
      </c>
      <c r="AB550" s="6">
        <f>$K$550*$V$550</f>
        <v>0</v>
      </c>
      <c r="AC550" s="6">
        <f>$M$550*$W$550</f>
        <v>21946.226112</v>
      </c>
      <c r="AD550" s="6">
        <f>$O$550*$X$550</f>
        <v>3613.4099327999998</v>
      </c>
      <c r="AE550" s="6">
        <f>$K$550*$Y$550</f>
        <v>0</v>
      </c>
      <c r="AF550" s="6">
        <f ca="1">$M$550*$Z$550</f>
        <v>25942.453175104627</v>
      </c>
      <c r="AG550" s="6">
        <f>$O$550*$AA$550</f>
        <v>3947.6813454950652</v>
      </c>
    </row>
    <row r="551" spans="1:33" ht="11.25" customHeight="1" x14ac:dyDescent="0.25">
      <c r="A551" s="4" t="s">
        <v>27</v>
      </c>
      <c r="B551" s="4" t="s">
        <v>35</v>
      </c>
      <c r="C551" s="4" t="s">
        <v>39</v>
      </c>
      <c r="D551" s="4" t="s">
        <v>42</v>
      </c>
      <c r="E551" s="4" t="s">
        <v>50</v>
      </c>
      <c r="F551" s="4" t="s">
        <v>51</v>
      </c>
      <c r="G551" s="4" t="s">
        <v>25</v>
      </c>
      <c r="H551" s="4" t="s">
        <v>37</v>
      </c>
      <c r="I551" s="5">
        <v>44501</v>
      </c>
      <c r="J551" s="6">
        <v>0</v>
      </c>
      <c r="K551" s="75">
        <v>0</v>
      </c>
      <c r="L551" s="6">
        <v>-6.0999999999999999E-2</v>
      </c>
      <c r="M551" s="75">
        <v>-6.0999999999999999E-2</v>
      </c>
      <c r="N551" s="6">
        <v>-6.0999999999999999E-2</v>
      </c>
      <c r="O551" s="75">
        <v>-6.0999999999999999E-2</v>
      </c>
      <c r="P551" s="6">
        <v>0</v>
      </c>
      <c r="Q551" s="4" t="s">
        <v>26</v>
      </c>
      <c r="R551" s="4">
        <v>0</v>
      </c>
      <c r="S551" s="6">
        <v>0</v>
      </c>
      <c r="T551" s="6">
        <v>12</v>
      </c>
      <c r="U551" s="6">
        <v>66</v>
      </c>
      <c r="V551" s="75">
        <f>IF(ISERROR(VLOOKUP($S$551,'TAR FIN'!$A$1:$O$93,15,0)),0,VLOOKUP($S$551,'TAR FIN'!$A$1:$O$93,15,0))</f>
        <v>0</v>
      </c>
      <c r="W551" s="75">
        <f>IF(ISERROR(VLOOKUP($T$551,'TAR FIN'!$A$1:$O$93,15,0)),0,VLOOKUP($T$551,'TAR FIN'!$A$1:$O$93,15,0))*(1-0.04)</f>
        <v>1079.712</v>
      </c>
      <c r="X551" s="75">
        <f>IF(ISERROR(VLOOKUP($U$551,'TAR FIN'!$A$1:$O$93,15,0)),0,VLOOKUP($U$551,'TAR FIN'!$A$1:$O$93,15,0))*(1-0.04)</f>
        <v>177.77279999999999</v>
      </c>
      <c r="Y551" s="75"/>
      <c r="Z551" s="75">
        <f ca="1">('TUSD BE'!$AM$15+'TUSD BF'!$AM$15+'TUSD CVA'!$AM$15)*1*(1-0.02)</f>
        <v>1276.3186645234982</v>
      </c>
      <c r="AA551" s="75">
        <f>('TE BE'!$AB$7+'TE BF'!$AB$7+'TE CVA'!$AB$7)*1*(1-0.02)</f>
        <v>194.21830884065065</v>
      </c>
      <c r="AB551" s="6">
        <f>$K$551*$V$551</f>
        <v>0</v>
      </c>
      <c r="AC551" s="6">
        <f>$M$551*$W$551</f>
        <v>-65.862431999999998</v>
      </c>
      <c r="AD551" s="6">
        <f>$O$551*$X$551</f>
        <v>-10.8441408</v>
      </c>
      <c r="AE551" s="6">
        <f>$K$551*$Y$551</f>
        <v>0</v>
      </c>
      <c r="AF551" s="6">
        <f ca="1">$M$551*$Z$551</f>
        <v>-77.855438535933388</v>
      </c>
      <c r="AG551" s="6">
        <f>$O$551*$AA$551</f>
        <v>-11.847316839279689</v>
      </c>
    </row>
    <row r="552" spans="1:33" ht="11.25" customHeight="1" x14ac:dyDescent="0.25">
      <c r="A552" s="4" t="s">
        <v>28</v>
      </c>
      <c r="B552" s="4" t="s">
        <v>35</v>
      </c>
      <c r="C552" s="4" t="s">
        <v>39</v>
      </c>
      <c r="D552" s="4" t="s">
        <v>42</v>
      </c>
      <c r="E552" s="4" t="s">
        <v>50</v>
      </c>
      <c r="F552" s="4" t="s">
        <v>51</v>
      </c>
      <c r="G552" s="4" t="s">
        <v>25</v>
      </c>
      <c r="H552" s="4" t="s">
        <v>37</v>
      </c>
      <c r="I552" s="5">
        <v>44501</v>
      </c>
      <c r="J552" s="6">
        <v>0</v>
      </c>
      <c r="K552" s="75">
        <v>0</v>
      </c>
      <c r="L552" s="6">
        <v>0.48199999999999998</v>
      </c>
      <c r="M552" s="75">
        <v>0.48199999999999998</v>
      </c>
      <c r="N552" s="6">
        <v>0.48199999999999998</v>
      </c>
      <c r="O552" s="75">
        <v>0.48199999999999998</v>
      </c>
      <c r="P552" s="6">
        <v>0</v>
      </c>
      <c r="Q552" s="4" t="s">
        <v>26</v>
      </c>
      <c r="R552" s="4">
        <v>0</v>
      </c>
      <c r="S552" s="6">
        <v>0</v>
      </c>
      <c r="T552" s="6">
        <v>12</v>
      </c>
      <c r="U552" s="6">
        <v>66</v>
      </c>
      <c r="V552" s="75">
        <f>IF(ISERROR(VLOOKUP($S$552,'TAR FIN'!$A$1:$O$93,15,0)),0,VLOOKUP($S$552,'TAR FIN'!$A$1:$O$93,15,0))</f>
        <v>0</v>
      </c>
      <c r="W552" s="75">
        <f>IF(ISERROR(VLOOKUP($T$552,'TAR FIN'!$A$1:$O$93,15,0)),0,VLOOKUP($T$552,'TAR FIN'!$A$1:$O$93,15,0))*(1-0.04)</f>
        <v>1079.712</v>
      </c>
      <c r="X552" s="75">
        <f>IF(ISERROR(VLOOKUP($U$552,'TAR FIN'!$A$1:$O$93,15,0)),0,VLOOKUP($U$552,'TAR FIN'!$A$1:$O$93,15,0))*(1-0.04)</f>
        <v>177.77279999999999</v>
      </c>
      <c r="Y552" s="75"/>
      <c r="Z552" s="75">
        <f ca="1">('TUSD BE'!$AM$15+'TUSD BF'!$AM$15+'TUSD CVA'!$AM$15)*1*(1-0.02)</f>
        <v>1276.3186645234982</v>
      </c>
      <c r="AA552" s="75">
        <f>('TE BE'!$AB$7+'TE BF'!$AB$7+'TE CVA'!$AB$7)*1*(1-0.02)</f>
        <v>194.21830884065065</v>
      </c>
      <c r="AB552" s="6">
        <f>$K$552*$V$552</f>
        <v>0</v>
      </c>
      <c r="AC552" s="6">
        <f>$M$552*$W$552</f>
        <v>520.42118399999993</v>
      </c>
      <c r="AD552" s="6">
        <f>$O$552*$X$552</f>
        <v>85.686489599999987</v>
      </c>
      <c r="AE552" s="6">
        <f>$K$552*$Y$552</f>
        <v>0</v>
      </c>
      <c r="AF552" s="6">
        <f ca="1">$M$552*$Z$552</f>
        <v>615.1855963003261</v>
      </c>
      <c r="AG552" s="6">
        <f>$O$552*$AA$552</f>
        <v>93.613224861193615</v>
      </c>
    </row>
    <row r="553" spans="1:33" ht="11.25" customHeight="1" x14ac:dyDescent="0.25">
      <c r="A553" s="4" t="s">
        <v>21</v>
      </c>
      <c r="B553" s="4" t="s">
        <v>35</v>
      </c>
      <c r="C553" s="4" t="s">
        <v>39</v>
      </c>
      <c r="D553" s="4" t="s">
        <v>42</v>
      </c>
      <c r="E553" s="4" t="s">
        <v>50</v>
      </c>
      <c r="F553" s="4" t="s">
        <v>51</v>
      </c>
      <c r="G553" s="4" t="s">
        <v>25</v>
      </c>
      <c r="H553" s="4" t="s">
        <v>37</v>
      </c>
      <c r="I553" s="5">
        <v>44531</v>
      </c>
      <c r="J553" s="6">
        <v>0</v>
      </c>
      <c r="K553" s="75">
        <v>0</v>
      </c>
      <c r="L553" s="6">
        <v>60.673000000000002</v>
      </c>
      <c r="M553" s="75">
        <v>60.673000000000002</v>
      </c>
      <c r="N553" s="6">
        <v>60.673000000000002</v>
      </c>
      <c r="O553" s="75">
        <v>60.673000000000002</v>
      </c>
      <c r="P553" s="6">
        <v>0</v>
      </c>
      <c r="Q553" s="4" t="s">
        <v>26</v>
      </c>
      <c r="R553" s="4">
        <v>0</v>
      </c>
      <c r="S553" s="6">
        <v>0</v>
      </c>
      <c r="T553" s="6">
        <v>12</v>
      </c>
      <c r="U553" s="6">
        <v>66</v>
      </c>
      <c r="V553" s="75">
        <f>IF(ISERROR(VLOOKUP($S$553,'TAR FIN'!$A$1:$O$93,15,0)),0,VLOOKUP($S$553,'TAR FIN'!$A$1:$O$93,15,0))</f>
        <v>0</v>
      </c>
      <c r="W553" s="75">
        <f>IF(ISERROR(VLOOKUP($T$553,'TAR FIN'!$A$1:$O$93,15,0)),0,VLOOKUP($T$553,'TAR FIN'!$A$1:$O$93,15,0))*(1-0.04)</f>
        <v>1079.712</v>
      </c>
      <c r="X553" s="75">
        <f>IF(ISERROR(VLOOKUP($U$553,'TAR FIN'!$A$1:$O$93,15,0)),0,VLOOKUP($U$553,'TAR FIN'!$A$1:$O$93,15,0))*(1-0.04)</f>
        <v>177.77279999999999</v>
      </c>
      <c r="Y553" s="75"/>
      <c r="Z553" s="75">
        <f ca="1">('TUSD BE'!$AM$15+'TUSD BF'!$AM$15+'TUSD CVA'!$AM$15)*1*(1-0.02)</f>
        <v>1276.3186645234982</v>
      </c>
      <c r="AA553" s="75">
        <f>('TE BE'!$AB$7+'TE BF'!$AB$7+'TE CVA'!$AB$7)*1*(1-0.02)</f>
        <v>194.21830884065065</v>
      </c>
      <c r="AB553" s="6">
        <f>$K$553*$V$553</f>
        <v>0</v>
      </c>
      <c r="AC553" s="6">
        <f>$M$553*$W$553</f>
        <v>65509.366176000003</v>
      </c>
      <c r="AD553" s="6">
        <f>$O$553*$X$553</f>
        <v>10786.0090944</v>
      </c>
      <c r="AE553" s="6">
        <f>$K$553*$Y$553</f>
        <v>0</v>
      </c>
      <c r="AF553" s="6">
        <f ca="1">$M$553*$Z$553</f>
        <v>77438.082332634207</v>
      </c>
      <c r="AG553" s="6">
        <f>$O$553*$AA$553</f>
        <v>11783.807452288796</v>
      </c>
    </row>
    <row r="554" spans="1:33" ht="11.25" customHeight="1" x14ac:dyDescent="0.25">
      <c r="A554" s="4" t="s">
        <v>21</v>
      </c>
      <c r="B554" s="4" t="s">
        <v>35</v>
      </c>
      <c r="C554" s="4" t="s">
        <v>39</v>
      </c>
      <c r="D554" s="4" t="s">
        <v>42</v>
      </c>
      <c r="E554" s="4" t="s">
        <v>50</v>
      </c>
      <c r="F554" s="4" t="s">
        <v>51</v>
      </c>
      <c r="G554" s="4" t="s">
        <v>25</v>
      </c>
      <c r="H554" s="4" t="s">
        <v>37</v>
      </c>
      <c r="I554" s="5">
        <v>44562</v>
      </c>
      <c r="J554" s="6">
        <v>0</v>
      </c>
      <c r="K554" s="75">
        <v>0</v>
      </c>
      <c r="L554" s="6">
        <v>126.414</v>
      </c>
      <c r="M554" s="75">
        <v>126.414</v>
      </c>
      <c r="N554" s="6">
        <v>126.414</v>
      </c>
      <c r="O554" s="75">
        <v>126.414</v>
      </c>
      <c r="P554" s="6">
        <v>0</v>
      </c>
      <c r="Q554" s="4" t="s">
        <v>26</v>
      </c>
      <c r="R554" s="4">
        <v>0</v>
      </c>
      <c r="S554" s="6">
        <v>0</v>
      </c>
      <c r="T554" s="6">
        <v>12</v>
      </c>
      <c r="U554" s="6">
        <v>66</v>
      </c>
      <c r="V554" s="75">
        <f>IF(ISERROR(VLOOKUP($S$554,'TAR FIN'!$A$1:$O$93,15,0)),0,VLOOKUP($S$554,'TAR FIN'!$A$1:$O$93,15,0))</f>
        <v>0</v>
      </c>
      <c r="W554" s="75">
        <f>IF(ISERROR(VLOOKUP($T$554,'TAR FIN'!$A$1:$O$93,15,0)),0,VLOOKUP($T$554,'TAR FIN'!$A$1:$O$93,15,0))*(1-0.04)</f>
        <v>1079.712</v>
      </c>
      <c r="X554" s="75">
        <f>IF(ISERROR(VLOOKUP($U$554,'TAR FIN'!$A$1:$O$93,15,0)),0,VLOOKUP($U$554,'TAR FIN'!$A$1:$O$93,15,0))*(1-0.04)</f>
        <v>177.77279999999999</v>
      </c>
      <c r="Y554" s="75"/>
      <c r="Z554" s="75">
        <f ca="1">('TUSD BE'!$AM$15+'TUSD BF'!$AM$15+'TUSD CVA'!$AM$15)*1*(1-0.02)</f>
        <v>1276.3186645234982</v>
      </c>
      <c r="AA554" s="75">
        <f>('TE BE'!$AB$7+'TE BF'!$AB$7+'TE CVA'!$AB$7)*1*(1-0.02)</f>
        <v>194.21830884065065</v>
      </c>
      <c r="AB554" s="6">
        <f>$K$554*$V$554</f>
        <v>0</v>
      </c>
      <c r="AC554" s="6">
        <f>$M$554*$W$554</f>
        <v>136490.712768</v>
      </c>
      <c r="AD554" s="6">
        <f>$O$554*$X$554</f>
        <v>22472.970739199998</v>
      </c>
      <c r="AE554" s="6">
        <f>$K$554*$Y$554</f>
        <v>0</v>
      </c>
      <c r="AF554" s="6">
        <f ca="1">$M$554*$Z$554</f>
        <v>161344.5476570735</v>
      </c>
      <c r="AG554" s="6">
        <f>$O$554*$AA$554</f>
        <v>24551.91329378201</v>
      </c>
    </row>
    <row r="555" spans="1:33" ht="11.25" customHeight="1" x14ac:dyDescent="0.25">
      <c r="A555" s="4" t="s">
        <v>28</v>
      </c>
      <c r="B555" s="4" t="s">
        <v>35</v>
      </c>
      <c r="C555" s="4" t="s">
        <v>39</v>
      </c>
      <c r="D555" s="4" t="s">
        <v>42</v>
      </c>
      <c r="E555" s="4" t="s">
        <v>50</v>
      </c>
      <c r="F555" s="4" t="s">
        <v>51</v>
      </c>
      <c r="G555" s="4" t="s">
        <v>25</v>
      </c>
      <c r="H555" s="4" t="s">
        <v>37</v>
      </c>
      <c r="I555" s="5">
        <v>44562</v>
      </c>
      <c r="J555" s="6">
        <v>0</v>
      </c>
      <c r="K555" s="75">
        <v>0</v>
      </c>
      <c r="L555" s="6">
        <v>0.40500000000000003</v>
      </c>
      <c r="M555" s="75">
        <v>0.40500000000000003</v>
      </c>
      <c r="N555" s="6">
        <v>0.40500000000000003</v>
      </c>
      <c r="O555" s="75">
        <v>0.40500000000000003</v>
      </c>
      <c r="P555" s="6">
        <v>0</v>
      </c>
      <c r="Q555" s="4" t="s">
        <v>26</v>
      </c>
      <c r="R555" s="4">
        <v>0</v>
      </c>
      <c r="S555" s="6">
        <v>0</v>
      </c>
      <c r="T555" s="6">
        <v>12</v>
      </c>
      <c r="U555" s="6">
        <v>66</v>
      </c>
      <c r="V555" s="75">
        <f>IF(ISERROR(VLOOKUP($S$555,'TAR FIN'!$A$1:$O$93,15,0)),0,VLOOKUP($S$555,'TAR FIN'!$A$1:$O$93,15,0))</f>
        <v>0</v>
      </c>
      <c r="W555" s="75">
        <f>IF(ISERROR(VLOOKUP($T$555,'TAR FIN'!$A$1:$O$93,15,0)),0,VLOOKUP($T$555,'TAR FIN'!$A$1:$O$93,15,0))*(1-0.04)</f>
        <v>1079.712</v>
      </c>
      <c r="X555" s="75">
        <f>IF(ISERROR(VLOOKUP($U$555,'TAR FIN'!$A$1:$O$93,15,0)),0,VLOOKUP($U$555,'TAR FIN'!$A$1:$O$93,15,0))*(1-0.04)</f>
        <v>177.77279999999999</v>
      </c>
      <c r="Y555" s="75"/>
      <c r="Z555" s="75">
        <f ca="1">('TUSD BE'!$AM$15+'TUSD BF'!$AM$15+'TUSD CVA'!$AM$15)*1*(1-0.02)</f>
        <v>1276.3186645234982</v>
      </c>
      <c r="AA555" s="75">
        <f>('TE BE'!$AB$7+'TE BF'!$AB$7+'TE CVA'!$AB$7)*1*(1-0.02)</f>
        <v>194.21830884065065</v>
      </c>
      <c r="AB555" s="6">
        <f>$K$555*$V$555</f>
        <v>0</v>
      </c>
      <c r="AC555" s="6">
        <f>$M$555*$W$555</f>
        <v>437.28336000000002</v>
      </c>
      <c r="AD555" s="6">
        <f>$O$555*$X$555</f>
        <v>71.997984000000002</v>
      </c>
      <c r="AE555" s="6">
        <f>$K$555*$Y$555</f>
        <v>0</v>
      </c>
      <c r="AF555" s="6">
        <f ca="1">$M$555*$Z$555</f>
        <v>516.90905913201686</v>
      </c>
      <c r="AG555" s="6">
        <f>$O$555*$AA$555</f>
        <v>78.658415080463513</v>
      </c>
    </row>
    <row r="556" spans="1:33" ht="11.25" customHeight="1" x14ac:dyDescent="0.25">
      <c r="A556" s="4" t="s">
        <v>21</v>
      </c>
      <c r="B556" s="4" t="s">
        <v>35</v>
      </c>
      <c r="C556" s="4" t="s">
        <v>39</v>
      </c>
      <c r="D556" s="4" t="s">
        <v>42</v>
      </c>
      <c r="E556" s="4" t="s">
        <v>50</v>
      </c>
      <c r="F556" s="4" t="s">
        <v>51</v>
      </c>
      <c r="G556" s="4" t="s">
        <v>25</v>
      </c>
      <c r="H556" s="4" t="s">
        <v>37</v>
      </c>
      <c r="I556" s="5">
        <v>44593</v>
      </c>
      <c r="J556" s="6">
        <v>0</v>
      </c>
      <c r="K556" s="75">
        <v>0</v>
      </c>
      <c r="L556" s="6">
        <v>79.546999999999997</v>
      </c>
      <c r="M556" s="75">
        <v>79.546999999999997</v>
      </c>
      <c r="N556" s="6">
        <v>79.546999999999997</v>
      </c>
      <c r="O556" s="75">
        <v>79.546999999999997</v>
      </c>
      <c r="P556" s="6">
        <v>0</v>
      </c>
      <c r="Q556" s="4" t="s">
        <v>26</v>
      </c>
      <c r="R556" s="4">
        <v>0</v>
      </c>
      <c r="S556" s="6">
        <v>0</v>
      </c>
      <c r="T556" s="6">
        <v>12</v>
      </c>
      <c r="U556" s="6">
        <v>66</v>
      </c>
      <c r="V556" s="75">
        <f>IF(ISERROR(VLOOKUP($S$556,'TAR FIN'!$A$1:$O$93,15,0)),0,VLOOKUP($S$556,'TAR FIN'!$A$1:$O$93,15,0))</f>
        <v>0</v>
      </c>
      <c r="W556" s="75">
        <f>IF(ISERROR(VLOOKUP($T$556,'TAR FIN'!$A$1:$O$93,15,0)),0,VLOOKUP($T$556,'TAR FIN'!$A$1:$O$93,15,0))*(1-0.04)</f>
        <v>1079.712</v>
      </c>
      <c r="X556" s="75">
        <f>IF(ISERROR(VLOOKUP($U$556,'TAR FIN'!$A$1:$O$93,15,0)),0,VLOOKUP($U$556,'TAR FIN'!$A$1:$O$93,15,0))*(1-0.04)</f>
        <v>177.77279999999999</v>
      </c>
      <c r="Y556" s="75"/>
      <c r="Z556" s="75">
        <f ca="1">('TUSD BE'!$AM$15+'TUSD BF'!$AM$15+'TUSD CVA'!$AM$15)*1*(1-0.02)</f>
        <v>1276.3186645234982</v>
      </c>
      <c r="AA556" s="75">
        <f>('TE BE'!$AB$7+'TE BF'!$AB$7+'TE CVA'!$AB$7)*1*(1-0.02)</f>
        <v>194.21830884065065</v>
      </c>
      <c r="AB556" s="6">
        <f>$K$556*$V$556</f>
        <v>0</v>
      </c>
      <c r="AC556" s="6">
        <f>$M$556*$W$556</f>
        <v>85887.850464000003</v>
      </c>
      <c r="AD556" s="6">
        <f>$O$556*$X$556</f>
        <v>14141.292921599999</v>
      </c>
      <c r="AE556" s="6">
        <f>$K$556*$Y$556</f>
        <v>0</v>
      </c>
      <c r="AF556" s="6">
        <f ca="1">$M$556*$Z$556</f>
        <v>101527.32080685071</v>
      </c>
      <c r="AG556" s="6">
        <f>$O$556*$AA$556</f>
        <v>15449.483813347237</v>
      </c>
    </row>
    <row r="557" spans="1:33" ht="11.25" customHeight="1" x14ac:dyDescent="0.25">
      <c r="A557" s="4" t="s">
        <v>27</v>
      </c>
      <c r="B557" s="4" t="s">
        <v>35</v>
      </c>
      <c r="C557" s="4" t="s">
        <v>39</v>
      </c>
      <c r="D557" s="4" t="s">
        <v>42</v>
      </c>
      <c r="E557" s="4" t="s">
        <v>50</v>
      </c>
      <c r="F557" s="4" t="s">
        <v>51</v>
      </c>
      <c r="G557" s="4" t="s">
        <v>25</v>
      </c>
      <c r="H557" s="4" t="s">
        <v>37</v>
      </c>
      <c r="I557" s="5">
        <v>44593</v>
      </c>
      <c r="J557" s="6">
        <v>0</v>
      </c>
      <c r="K557" s="75">
        <v>0</v>
      </c>
      <c r="L557" s="6">
        <v>-9.0999999999999998E-2</v>
      </c>
      <c r="M557" s="75">
        <v>-9.0999999999999998E-2</v>
      </c>
      <c r="N557" s="6">
        <v>-9.0999999999999998E-2</v>
      </c>
      <c r="O557" s="75">
        <v>-9.0999999999999998E-2</v>
      </c>
      <c r="P557" s="6">
        <v>0</v>
      </c>
      <c r="Q557" s="4" t="s">
        <v>26</v>
      </c>
      <c r="R557" s="4">
        <v>0</v>
      </c>
      <c r="S557" s="6">
        <v>0</v>
      </c>
      <c r="T557" s="6">
        <v>12</v>
      </c>
      <c r="U557" s="6">
        <v>66</v>
      </c>
      <c r="V557" s="75">
        <f>IF(ISERROR(VLOOKUP($S$557,'TAR FIN'!$A$1:$O$93,15,0)),0,VLOOKUP($S$557,'TAR FIN'!$A$1:$O$93,15,0))</f>
        <v>0</v>
      </c>
      <c r="W557" s="75">
        <f>IF(ISERROR(VLOOKUP($T$557,'TAR FIN'!$A$1:$O$93,15,0)),0,VLOOKUP($T$557,'TAR FIN'!$A$1:$O$93,15,0))*(1-0.04)</f>
        <v>1079.712</v>
      </c>
      <c r="X557" s="75">
        <f>IF(ISERROR(VLOOKUP($U$557,'TAR FIN'!$A$1:$O$93,15,0)),0,VLOOKUP($U$557,'TAR FIN'!$A$1:$O$93,15,0))*(1-0.04)</f>
        <v>177.77279999999999</v>
      </c>
      <c r="Y557" s="75"/>
      <c r="Z557" s="75">
        <f ca="1">('TUSD BE'!$AM$15+'TUSD BF'!$AM$15+'TUSD CVA'!$AM$15)*1*(1-0.02)</f>
        <v>1276.3186645234982</v>
      </c>
      <c r="AA557" s="75">
        <f>('TE BE'!$AB$7+'TE BF'!$AB$7+'TE CVA'!$AB$7)*1*(1-0.02)</f>
        <v>194.21830884065065</v>
      </c>
      <c r="AB557" s="6">
        <f>$K$557*$V$557</f>
        <v>0</v>
      </c>
      <c r="AC557" s="6">
        <f>$M$557*$W$557</f>
        <v>-98.25379199999999</v>
      </c>
      <c r="AD557" s="6">
        <f>$O$557*$X$557</f>
        <v>-16.177324799999997</v>
      </c>
      <c r="AE557" s="6">
        <f>$K$557*$Y$557</f>
        <v>0</v>
      </c>
      <c r="AF557" s="6">
        <f ca="1">$M$557*$Z$557</f>
        <v>-116.14499847163833</v>
      </c>
      <c r="AG557" s="6">
        <f>$O$557*$AA$557</f>
        <v>-17.673866104499208</v>
      </c>
    </row>
    <row r="558" spans="1:33" ht="11.25" customHeight="1" x14ac:dyDescent="0.25">
      <c r="A558" s="4" t="s">
        <v>28</v>
      </c>
      <c r="B558" s="4" t="s">
        <v>35</v>
      </c>
      <c r="C558" s="4" t="s">
        <v>39</v>
      </c>
      <c r="D558" s="4" t="s">
        <v>42</v>
      </c>
      <c r="E558" s="4" t="s">
        <v>50</v>
      </c>
      <c r="F558" s="4" t="s">
        <v>51</v>
      </c>
      <c r="G558" s="4" t="s">
        <v>25</v>
      </c>
      <c r="H558" s="4" t="s">
        <v>37</v>
      </c>
      <c r="I558" s="5">
        <v>44593</v>
      </c>
      <c r="J558" s="6">
        <v>0</v>
      </c>
      <c r="K558" s="75">
        <v>0</v>
      </c>
      <c r="L558" s="6">
        <v>0.38600000000000001</v>
      </c>
      <c r="M558" s="75">
        <v>0.38600000000000001</v>
      </c>
      <c r="N558" s="6">
        <v>0.38600000000000001</v>
      </c>
      <c r="O558" s="75">
        <v>0.38600000000000001</v>
      </c>
      <c r="P558" s="6">
        <v>0</v>
      </c>
      <c r="Q558" s="4" t="s">
        <v>26</v>
      </c>
      <c r="R558" s="4">
        <v>0</v>
      </c>
      <c r="S558" s="6">
        <v>0</v>
      </c>
      <c r="T558" s="6">
        <v>12</v>
      </c>
      <c r="U558" s="6">
        <v>66</v>
      </c>
      <c r="V558" s="75">
        <f>IF(ISERROR(VLOOKUP($S$558,'TAR FIN'!$A$1:$O$93,15,0)),0,VLOOKUP($S$558,'TAR FIN'!$A$1:$O$93,15,0))</f>
        <v>0</v>
      </c>
      <c r="W558" s="75">
        <f>IF(ISERROR(VLOOKUP($T$558,'TAR FIN'!$A$1:$O$93,15,0)),0,VLOOKUP($T$558,'TAR FIN'!$A$1:$O$93,15,0))*(1-0.04)</f>
        <v>1079.712</v>
      </c>
      <c r="X558" s="75">
        <f>IF(ISERROR(VLOOKUP($U$558,'TAR FIN'!$A$1:$O$93,15,0)),0,VLOOKUP($U$558,'TAR FIN'!$A$1:$O$93,15,0))*(1-0.04)</f>
        <v>177.77279999999999</v>
      </c>
      <c r="Y558" s="75"/>
      <c r="Z558" s="75">
        <f ca="1">('TUSD BE'!$AM$15+'TUSD BF'!$AM$15+'TUSD CVA'!$AM$15)*1*(1-0.02)</f>
        <v>1276.3186645234982</v>
      </c>
      <c r="AA558" s="75">
        <f>('TE BE'!$AB$7+'TE BF'!$AB$7+'TE CVA'!$AB$7)*1*(1-0.02)</f>
        <v>194.21830884065065</v>
      </c>
      <c r="AB558" s="6">
        <f>$K$558*$V$558</f>
        <v>0</v>
      </c>
      <c r="AC558" s="6">
        <f>$M$558*$W$558</f>
        <v>416.76883200000003</v>
      </c>
      <c r="AD558" s="6">
        <f>$O$558*$X$558</f>
        <v>68.620300799999995</v>
      </c>
      <c r="AE558" s="6">
        <f>$K$558*$Y$558</f>
        <v>0</v>
      </c>
      <c r="AF558" s="6">
        <f ca="1">$M$558*$Z$558</f>
        <v>492.65900450607035</v>
      </c>
      <c r="AG558" s="6">
        <f>$O$558*$AA$558</f>
        <v>74.968267212491156</v>
      </c>
    </row>
    <row r="559" spans="1:33" ht="11.25" customHeight="1" x14ac:dyDescent="0.25">
      <c r="A559" s="4" t="s">
        <v>21</v>
      </c>
      <c r="B559" s="4" t="s">
        <v>35</v>
      </c>
      <c r="C559" s="4" t="s">
        <v>39</v>
      </c>
      <c r="D559" s="4" t="s">
        <v>42</v>
      </c>
      <c r="E559" s="4" t="s">
        <v>50</v>
      </c>
      <c r="F559" s="4" t="s">
        <v>51</v>
      </c>
      <c r="G559" s="4" t="s">
        <v>25</v>
      </c>
      <c r="H559" s="4" t="s">
        <v>37</v>
      </c>
      <c r="I559" s="5">
        <v>44621</v>
      </c>
      <c r="J559" s="6">
        <v>0</v>
      </c>
      <c r="K559" s="75">
        <v>0</v>
      </c>
      <c r="L559" s="6">
        <v>83.45</v>
      </c>
      <c r="M559" s="75">
        <v>83.45</v>
      </c>
      <c r="N559" s="6">
        <v>83.45</v>
      </c>
      <c r="O559" s="75">
        <v>83.45</v>
      </c>
      <c r="P559" s="6">
        <v>0</v>
      </c>
      <c r="Q559" s="4" t="s">
        <v>26</v>
      </c>
      <c r="R559" s="4">
        <v>0</v>
      </c>
      <c r="S559" s="6">
        <v>0</v>
      </c>
      <c r="T559" s="6">
        <v>12</v>
      </c>
      <c r="U559" s="6">
        <v>66</v>
      </c>
      <c r="V559" s="75">
        <f>IF(ISERROR(VLOOKUP($S$559,'TAR FIN'!$A$1:$O$93,15,0)),0,VLOOKUP($S$559,'TAR FIN'!$A$1:$O$93,15,0))</f>
        <v>0</v>
      </c>
      <c r="W559" s="75">
        <f>IF(ISERROR(VLOOKUP($T$559,'TAR FIN'!$A$1:$O$93,15,0)),0,VLOOKUP($T$559,'TAR FIN'!$A$1:$O$93,15,0))*(1-0.04)</f>
        <v>1079.712</v>
      </c>
      <c r="X559" s="75">
        <f>IF(ISERROR(VLOOKUP($U$559,'TAR FIN'!$A$1:$O$93,15,0)),0,VLOOKUP($U$559,'TAR FIN'!$A$1:$O$93,15,0))*(1-0.04)</f>
        <v>177.77279999999999</v>
      </c>
      <c r="Y559" s="75"/>
      <c r="Z559" s="75">
        <f ca="1">('TUSD BE'!$AM$15+'TUSD BF'!$AM$15+'TUSD CVA'!$AM$15)*1*(1-0.02)</f>
        <v>1276.3186645234982</v>
      </c>
      <c r="AA559" s="75">
        <f>('TE BE'!$AB$7+'TE BF'!$AB$7+'TE CVA'!$AB$7)*1*(1-0.02)</f>
        <v>194.21830884065065</v>
      </c>
      <c r="AB559" s="6">
        <f>$K$559*$V$559</f>
        <v>0</v>
      </c>
      <c r="AC559" s="6">
        <f>$M$559*$W$559</f>
        <v>90101.966400000005</v>
      </c>
      <c r="AD559" s="6">
        <f>$O$559*$X$559</f>
        <v>14835.140159999999</v>
      </c>
      <c r="AE559" s="6">
        <f>$K$559*$Y$559</f>
        <v>0</v>
      </c>
      <c r="AF559" s="6">
        <f ca="1">$M$559*$Z$559</f>
        <v>106508.79255448593</v>
      </c>
      <c r="AG559" s="6">
        <f>$O$559*$AA$559</f>
        <v>16207.517872752298</v>
      </c>
    </row>
    <row r="560" spans="1:33" ht="11.25" customHeight="1" x14ac:dyDescent="0.25">
      <c r="A560" s="4" t="s">
        <v>27</v>
      </c>
      <c r="B560" s="4" t="s">
        <v>35</v>
      </c>
      <c r="C560" s="4" t="s">
        <v>39</v>
      </c>
      <c r="D560" s="4" t="s">
        <v>42</v>
      </c>
      <c r="E560" s="4" t="s">
        <v>50</v>
      </c>
      <c r="F560" s="4" t="s">
        <v>51</v>
      </c>
      <c r="G560" s="4" t="s">
        <v>25</v>
      </c>
      <c r="H560" s="4" t="s">
        <v>37</v>
      </c>
      <c r="I560" s="5">
        <v>44621</v>
      </c>
      <c r="J560" s="6">
        <v>0</v>
      </c>
      <c r="K560" s="75">
        <v>0</v>
      </c>
      <c r="L560" s="6">
        <v>-0.88600000000000001</v>
      </c>
      <c r="M560" s="75">
        <v>-0.88600000000000001</v>
      </c>
      <c r="N560" s="6">
        <v>-0.88600000000000001</v>
      </c>
      <c r="O560" s="75">
        <v>-0.88600000000000001</v>
      </c>
      <c r="P560" s="6">
        <v>0</v>
      </c>
      <c r="Q560" s="4" t="s">
        <v>26</v>
      </c>
      <c r="R560" s="4">
        <v>0</v>
      </c>
      <c r="S560" s="6">
        <v>0</v>
      </c>
      <c r="T560" s="6">
        <v>12</v>
      </c>
      <c r="U560" s="6">
        <v>66</v>
      </c>
      <c r="V560" s="75">
        <f>IF(ISERROR(VLOOKUP($S$560,'TAR FIN'!$A$1:$O$93,15,0)),0,VLOOKUP($S$560,'TAR FIN'!$A$1:$O$93,15,0))</f>
        <v>0</v>
      </c>
      <c r="W560" s="75">
        <f>IF(ISERROR(VLOOKUP($T$560,'TAR FIN'!$A$1:$O$93,15,0)),0,VLOOKUP($T$560,'TAR FIN'!$A$1:$O$93,15,0))*(1-0.04)</f>
        <v>1079.712</v>
      </c>
      <c r="X560" s="75">
        <f>IF(ISERROR(VLOOKUP($U$560,'TAR FIN'!$A$1:$O$93,15,0)),0,VLOOKUP($U$560,'TAR FIN'!$A$1:$O$93,15,0))*(1-0.04)</f>
        <v>177.77279999999999</v>
      </c>
      <c r="Y560" s="75"/>
      <c r="Z560" s="75">
        <f ca="1">('TUSD BE'!$AM$15+'TUSD BF'!$AM$15+'TUSD CVA'!$AM$15)*1*(1-0.02)</f>
        <v>1276.3186645234982</v>
      </c>
      <c r="AA560" s="75">
        <f>('TE BE'!$AB$7+'TE BF'!$AB$7+'TE CVA'!$AB$7)*1*(1-0.02)</f>
        <v>194.21830884065065</v>
      </c>
      <c r="AB560" s="6">
        <f>$K$560*$V$560</f>
        <v>0</v>
      </c>
      <c r="AC560" s="6">
        <f>$M$560*$W$560</f>
        <v>-956.62483199999997</v>
      </c>
      <c r="AD560" s="6">
        <f>$O$560*$X$560</f>
        <v>-157.5067008</v>
      </c>
      <c r="AE560" s="6">
        <f>$K$560*$Y$560</f>
        <v>0</v>
      </c>
      <c r="AF560" s="6">
        <f ca="1">$M$560*$Z$560</f>
        <v>-1130.8183367678193</v>
      </c>
      <c r="AG560" s="6">
        <f>$O$560*$AA$560</f>
        <v>-172.07742163281648</v>
      </c>
    </row>
    <row r="561" spans="1:33" ht="11.25" customHeight="1" x14ac:dyDescent="0.25">
      <c r="A561" s="4" t="s">
        <v>28</v>
      </c>
      <c r="B561" s="4" t="s">
        <v>35</v>
      </c>
      <c r="C561" s="4" t="s">
        <v>39</v>
      </c>
      <c r="D561" s="4" t="s">
        <v>42</v>
      </c>
      <c r="E561" s="4" t="s">
        <v>50</v>
      </c>
      <c r="F561" s="4" t="s">
        <v>51</v>
      </c>
      <c r="G561" s="4" t="s">
        <v>25</v>
      </c>
      <c r="H561" s="4" t="s">
        <v>37</v>
      </c>
      <c r="I561" s="5">
        <v>44621</v>
      </c>
      <c r="J561" s="6">
        <v>0</v>
      </c>
      <c r="K561" s="75">
        <v>0</v>
      </c>
      <c r="L561" s="6">
        <v>0.25800000000000001</v>
      </c>
      <c r="M561" s="75">
        <v>0.25800000000000001</v>
      </c>
      <c r="N561" s="6">
        <v>0.25800000000000001</v>
      </c>
      <c r="O561" s="75">
        <v>0.25800000000000001</v>
      </c>
      <c r="P561" s="6">
        <v>0</v>
      </c>
      <c r="Q561" s="4" t="s">
        <v>26</v>
      </c>
      <c r="R561" s="4">
        <v>0</v>
      </c>
      <c r="S561" s="6">
        <v>0</v>
      </c>
      <c r="T561" s="6">
        <v>12</v>
      </c>
      <c r="U561" s="6">
        <v>66</v>
      </c>
      <c r="V561" s="75">
        <f>IF(ISERROR(VLOOKUP($S$561,'TAR FIN'!$A$1:$O$93,15,0)),0,VLOOKUP($S$561,'TAR FIN'!$A$1:$O$93,15,0))</f>
        <v>0</v>
      </c>
      <c r="W561" s="75">
        <f>IF(ISERROR(VLOOKUP($T$561,'TAR FIN'!$A$1:$O$93,15,0)),0,VLOOKUP($T$561,'TAR FIN'!$A$1:$O$93,15,0))*(1-0.04)</f>
        <v>1079.712</v>
      </c>
      <c r="X561" s="75">
        <f>IF(ISERROR(VLOOKUP($U$561,'TAR FIN'!$A$1:$O$93,15,0)),0,VLOOKUP($U$561,'TAR FIN'!$A$1:$O$93,15,0))*(1-0.04)</f>
        <v>177.77279999999999</v>
      </c>
      <c r="Y561" s="75"/>
      <c r="Z561" s="75">
        <f ca="1">('TUSD BE'!$AM$15+'TUSD BF'!$AM$15+'TUSD CVA'!$AM$15)*1*(1-0.02)</f>
        <v>1276.3186645234982</v>
      </c>
      <c r="AA561" s="75">
        <f>('TE BE'!$AB$7+'TE BF'!$AB$7+'TE CVA'!$AB$7)*1*(1-0.02)</f>
        <v>194.21830884065065</v>
      </c>
      <c r="AB561" s="6">
        <f>$K$561*$V$561</f>
        <v>0</v>
      </c>
      <c r="AC561" s="6">
        <f>$M$561*$W$561</f>
        <v>278.565696</v>
      </c>
      <c r="AD561" s="6">
        <f>$O$561*$X$561</f>
        <v>45.865382400000001</v>
      </c>
      <c r="AE561" s="6">
        <f>$K$561*$Y$561</f>
        <v>0</v>
      </c>
      <c r="AF561" s="6">
        <f ca="1">$M$561*$Z$561</f>
        <v>329.29021544706256</v>
      </c>
      <c r="AG561" s="6">
        <f>$O$561*$AA$561</f>
        <v>50.108323680887871</v>
      </c>
    </row>
    <row r="562" spans="1:33" ht="11.25" customHeight="1" x14ac:dyDescent="0.25">
      <c r="A562" s="4" t="s">
        <v>21</v>
      </c>
      <c r="B562" s="4" t="s">
        <v>35</v>
      </c>
      <c r="C562" s="4" t="s">
        <v>39</v>
      </c>
      <c r="D562" s="4" t="s">
        <v>42</v>
      </c>
      <c r="E562" s="4" t="s">
        <v>50</v>
      </c>
      <c r="F562" s="4" t="s">
        <v>51</v>
      </c>
      <c r="G562" s="4" t="s">
        <v>25</v>
      </c>
      <c r="H562" s="4" t="s">
        <v>37</v>
      </c>
      <c r="I562" s="5">
        <v>44652</v>
      </c>
      <c r="J562" s="6">
        <v>0</v>
      </c>
      <c r="K562" s="75">
        <v>0</v>
      </c>
      <c r="L562" s="6">
        <v>31.059000000000001</v>
      </c>
      <c r="M562" s="75">
        <v>31.059000000000001</v>
      </c>
      <c r="N562" s="6">
        <v>31.059000000000001</v>
      </c>
      <c r="O562" s="75">
        <v>31.059000000000001</v>
      </c>
      <c r="P562" s="6">
        <v>0</v>
      </c>
      <c r="Q562" s="4" t="s">
        <v>26</v>
      </c>
      <c r="R562" s="4">
        <v>0</v>
      </c>
      <c r="S562" s="6">
        <v>0</v>
      </c>
      <c r="T562" s="6">
        <v>12</v>
      </c>
      <c r="U562" s="6">
        <v>66</v>
      </c>
      <c r="V562" s="75">
        <f>IF(ISERROR(VLOOKUP($S$562,'TAR FIN'!$A$1:$O$93,15,0)),0,VLOOKUP($S$562,'TAR FIN'!$A$1:$O$93,15,0))</f>
        <v>0</v>
      </c>
      <c r="W562" s="75">
        <f>IF(ISERROR(VLOOKUP($T$562,'TAR FIN'!$A$1:$O$93,15,0)),0,VLOOKUP($T$562,'TAR FIN'!$A$1:$O$93,15,0))*(1-0.04)</f>
        <v>1079.712</v>
      </c>
      <c r="X562" s="75">
        <f>IF(ISERROR(VLOOKUP($U$562,'TAR FIN'!$A$1:$O$93,15,0)),0,VLOOKUP($U$562,'TAR FIN'!$A$1:$O$93,15,0))*(1-0.04)</f>
        <v>177.77279999999999</v>
      </c>
      <c r="Y562" s="75"/>
      <c r="Z562" s="75">
        <f ca="1">('TUSD BE'!$AM$15+'TUSD BF'!$AM$15+'TUSD CVA'!$AM$15)*1*(1-0.02)</f>
        <v>1276.3186645234982</v>
      </c>
      <c r="AA562" s="75">
        <f>('TE BE'!$AB$7+'TE BF'!$AB$7+'TE CVA'!$AB$7)*1*(1-0.02)</f>
        <v>194.21830884065065</v>
      </c>
      <c r="AB562" s="6">
        <f>$K$562*$V$562</f>
        <v>0</v>
      </c>
      <c r="AC562" s="6">
        <f>$M$562*$W$562</f>
        <v>33534.775008000004</v>
      </c>
      <c r="AD562" s="6">
        <f>$O$562*$X$562</f>
        <v>5521.4453951999994</v>
      </c>
      <c r="AE562" s="6">
        <f>$K$562*$Y$562</f>
        <v>0</v>
      </c>
      <c r="AF562" s="6">
        <f ca="1">$M$562*$Z$562</f>
        <v>39641.181401435329</v>
      </c>
      <c r="AG562" s="6">
        <f>$O$562*$AA$562</f>
        <v>6032.2264542817684</v>
      </c>
    </row>
    <row r="563" spans="1:33" ht="11.25" customHeight="1" x14ac:dyDescent="0.25">
      <c r="A563" s="4" t="s">
        <v>27</v>
      </c>
      <c r="B563" s="4" t="s">
        <v>35</v>
      </c>
      <c r="C563" s="4" t="s">
        <v>39</v>
      </c>
      <c r="D563" s="4" t="s">
        <v>42</v>
      </c>
      <c r="E563" s="4" t="s">
        <v>50</v>
      </c>
      <c r="F563" s="4" t="s">
        <v>51</v>
      </c>
      <c r="G563" s="4" t="s">
        <v>25</v>
      </c>
      <c r="H563" s="4" t="s">
        <v>37</v>
      </c>
      <c r="I563" s="5">
        <v>44652</v>
      </c>
      <c r="J563" s="6">
        <v>0</v>
      </c>
      <c r="K563" s="75">
        <v>0</v>
      </c>
      <c r="L563" s="6">
        <v>-2.99</v>
      </c>
      <c r="M563" s="75">
        <v>-2.99</v>
      </c>
      <c r="N563" s="6">
        <v>-2.99</v>
      </c>
      <c r="O563" s="75">
        <v>-2.99</v>
      </c>
      <c r="P563" s="6">
        <v>0</v>
      </c>
      <c r="Q563" s="4" t="s">
        <v>26</v>
      </c>
      <c r="R563" s="4">
        <v>0</v>
      </c>
      <c r="S563" s="6">
        <v>0</v>
      </c>
      <c r="T563" s="6">
        <v>12</v>
      </c>
      <c r="U563" s="6">
        <v>66</v>
      </c>
      <c r="V563" s="75">
        <f>IF(ISERROR(VLOOKUP($S$563,'TAR FIN'!$A$1:$O$93,15,0)),0,VLOOKUP($S$563,'TAR FIN'!$A$1:$O$93,15,0))</f>
        <v>0</v>
      </c>
      <c r="W563" s="75">
        <f>IF(ISERROR(VLOOKUP($T$563,'TAR FIN'!$A$1:$O$93,15,0)),0,VLOOKUP($T$563,'TAR FIN'!$A$1:$O$93,15,0))*(1-0.04)</f>
        <v>1079.712</v>
      </c>
      <c r="X563" s="75">
        <f>IF(ISERROR(VLOOKUP($U$563,'TAR FIN'!$A$1:$O$93,15,0)),0,VLOOKUP($U$563,'TAR FIN'!$A$1:$O$93,15,0))*(1-0.04)</f>
        <v>177.77279999999999</v>
      </c>
      <c r="Y563" s="75"/>
      <c r="Z563" s="75">
        <f ca="1">('TUSD BE'!$AM$15+'TUSD BF'!$AM$15+'TUSD CVA'!$AM$15)*1*(1-0.02)</f>
        <v>1276.3186645234982</v>
      </c>
      <c r="AA563" s="75">
        <f>('TE BE'!$AB$7+'TE BF'!$AB$7+'TE CVA'!$AB$7)*1*(1-0.02)</f>
        <v>194.21830884065065</v>
      </c>
      <c r="AB563" s="6">
        <f>$K$563*$V$563</f>
        <v>0</v>
      </c>
      <c r="AC563" s="6">
        <f>$M$563*$W$563</f>
        <v>-3228.3388800000002</v>
      </c>
      <c r="AD563" s="6">
        <f>$O$563*$X$563</f>
        <v>-531.54067199999997</v>
      </c>
      <c r="AE563" s="6">
        <f>$K$563*$Y$563</f>
        <v>0</v>
      </c>
      <c r="AF563" s="6">
        <f ca="1">$M$563*$Z$563</f>
        <v>-3816.1928069252599</v>
      </c>
      <c r="AG563" s="6">
        <f>$O$563*$AA$563</f>
        <v>-580.71274343354548</v>
      </c>
    </row>
    <row r="564" spans="1:33" ht="11.25" customHeight="1" x14ac:dyDescent="0.25">
      <c r="A564" s="4" t="s">
        <v>28</v>
      </c>
      <c r="B564" s="4" t="s">
        <v>35</v>
      </c>
      <c r="C564" s="4" t="s">
        <v>39</v>
      </c>
      <c r="D564" s="4" t="s">
        <v>42</v>
      </c>
      <c r="E564" s="4" t="s">
        <v>50</v>
      </c>
      <c r="F564" s="4" t="s">
        <v>51</v>
      </c>
      <c r="G564" s="4" t="s">
        <v>25</v>
      </c>
      <c r="H564" s="4" t="s">
        <v>37</v>
      </c>
      <c r="I564" s="5">
        <v>44652</v>
      </c>
      <c r="J564" s="6">
        <v>0</v>
      </c>
      <c r="K564" s="75">
        <v>0</v>
      </c>
      <c r="L564" s="6">
        <v>0.32</v>
      </c>
      <c r="M564" s="75">
        <v>0.32</v>
      </c>
      <c r="N564" s="6">
        <v>0.32</v>
      </c>
      <c r="O564" s="75">
        <v>0.32</v>
      </c>
      <c r="P564" s="6">
        <v>0</v>
      </c>
      <c r="Q564" s="4" t="s">
        <v>26</v>
      </c>
      <c r="R564" s="4">
        <v>0</v>
      </c>
      <c r="S564" s="6">
        <v>0</v>
      </c>
      <c r="T564" s="6">
        <v>12</v>
      </c>
      <c r="U564" s="6">
        <v>66</v>
      </c>
      <c r="V564" s="75">
        <f>IF(ISERROR(VLOOKUP($S$564,'TAR FIN'!$A$1:$O$93,15,0)),0,VLOOKUP($S$564,'TAR FIN'!$A$1:$O$93,15,0))</f>
        <v>0</v>
      </c>
      <c r="W564" s="75">
        <f>IF(ISERROR(VLOOKUP($T$564,'TAR FIN'!$A$1:$O$93,15,0)),0,VLOOKUP($T$564,'TAR FIN'!$A$1:$O$93,15,0))*(1-0.04)</f>
        <v>1079.712</v>
      </c>
      <c r="X564" s="75">
        <f>IF(ISERROR(VLOOKUP($U$564,'TAR FIN'!$A$1:$O$93,15,0)),0,VLOOKUP($U$564,'TAR FIN'!$A$1:$O$93,15,0))*(1-0.04)</f>
        <v>177.77279999999999</v>
      </c>
      <c r="Y564" s="75"/>
      <c r="Z564" s="75">
        <f ca="1">('TUSD BE'!$AM$15+'TUSD BF'!$AM$15+'TUSD CVA'!$AM$15)*1*(1-0.02)</f>
        <v>1276.3186645234982</v>
      </c>
      <c r="AA564" s="75">
        <f>('TE BE'!$AB$7+'TE BF'!$AB$7+'TE CVA'!$AB$7)*1*(1-0.02)</f>
        <v>194.21830884065065</v>
      </c>
      <c r="AB564" s="6">
        <f>$K$564*$V$564</f>
        <v>0</v>
      </c>
      <c r="AC564" s="6">
        <f>$M$564*$W$564</f>
        <v>345.50783999999999</v>
      </c>
      <c r="AD564" s="6">
        <f>$O$564*$X$564</f>
        <v>56.887295999999999</v>
      </c>
      <c r="AE564" s="6">
        <f>$K$564*$Y$564</f>
        <v>0</v>
      </c>
      <c r="AF564" s="6">
        <f ca="1">$M$564*$Z$564</f>
        <v>408.42197264751945</v>
      </c>
      <c r="AG564" s="6">
        <f>$O$564*$AA$564</f>
        <v>62.14985882900821</v>
      </c>
    </row>
    <row r="565" spans="1:33" ht="11.25" customHeight="1" x14ac:dyDescent="0.25">
      <c r="A565" s="4" t="s">
        <v>21</v>
      </c>
      <c r="B565" s="4" t="s">
        <v>35</v>
      </c>
      <c r="C565" s="4" t="s">
        <v>39</v>
      </c>
      <c r="D565" s="4" t="s">
        <v>42</v>
      </c>
      <c r="E565" s="4" t="s">
        <v>50</v>
      </c>
      <c r="F565" s="4" t="s">
        <v>51</v>
      </c>
      <c r="G565" s="4" t="s">
        <v>25</v>
      </c>
      <c r="H565" s="4" t="s">
        <v>37</v>
      </c>
      <c r="I565" s="5">
        <v>44682</v>
      </c>
      <c r="J565" s="6">
        <v>0</v>
      </c>
      <c r="K565" s="75">
        <v>0</v>
      </c>
      <c r="L565" s="6">
        <v>18.913</v>
      </c>
      <c r="M565" s="75">
        <v>18.913</v>
      </c>
      <c r="N565" s="6">
        <v>18.913</v>
      </c>
      <c r="O565" s="75">
        <v>18.913</v>
      </c>
      <c r="P565" s="6">
        <v>0</v>
      </c>
      <c r="Q565" s="4" t="s">
        <v>26</v>
      </c>
      <c r="R565" s="4">
        <v>0</v>
      </c>
      <c r="S565" s="6">
        <v>0</v>
      </c>
      <c r="T565" s="6">
        <v>12</v>
      </c>
      <c r="U565" s="6">
        <v>66</v>
      </c>
      <c r="V565" s="75">
        <f>IF(ISERROR(VLOOKUP($S$565,'TAR FIN'!$A$1:$O$93,15,0)),0,VLOOKUP($S$565,'TAR FIN'!$A$1:$O$93,15,0))</f>
        <v>0</v>
      </c>
      <c r="W565" s="75">
        <f>IF(ISERROR(VLOOKUP($T$565,'TAR FIN'!$A$1:$O$93,15,0)),0,VLOOKUP($T$565,'TAR FIN'!$A$1:$O$93,15,0))*(1-0.04)</f>
        <v>1079.712</v>
      </c>
      <c r="X565" s="75">
        <f>IF(ISERROR(VLOOKUP($U$565,'TAR FIN'!$A$1:$O$93,15,0)),0,VLOOKUP($U$565,'TAR FIN'!$A$1:$O$93,15,0))*(1-0.04)</f>
        <v>177.77279999999999</v>
      </c>
      <c r="Y565" s="75"/>
      <c r="Z565" s="75">
        <f ca="1">('TUSD BE'!$AM$15+'TUSD BF'!$AM$15+'TUSD CVA'!$AM$15)*1*(1-0.02)</f>
        <v>1276.3186645234982</v>
      </c>
      <c r="AA565" s="75">
        <f>('TE BE'!$AB$7+'TE BF'!$AB$7+'TE CVA'!$AB$7)*1*(1-0.02)</f>
        <v>194.21830884065065</v>
      </c>
      <c r="AB565" s="6">
        <f>$K$565*$V$565</f>
        <v>0</v>
      </c>
      <c r="AC565" s="6">
        <f>$M$565*$W$565</f>
        <v>20420.593056000002</v>
      </c>
      <c r="AD565" s="6">
        <f>$O$565*$X$565</f>
        <v>3362.2169663999998</v>
      </c>
      <c r="AE565" s="6">
        <f>$K$565*$Y$565</f>
        <v>0</v>
      </c>
      <c r="AF565" s="6">
        <f ca="1">$M$565*$Z$565</f>
        <v>24139.014902132923</v>
      </c>
      <c r="AG565" s="6">
        <f>$O$565*$AA$565</f>
        <v>3673.250875103226</v>
      </c>
    </row>
    <row r="566" spans="1:33" ht="11.25" customHeight="1" x14ac:dyDescent="0.25">
      <c r="A566" s="4" t="s">
        <v>27</v>
      </c>
      <c r="B566" s="4" t="s">
        <v>35</v>
      </c>
      <c r="C566" s="4" t="s">
        <v>39</v>
      </c>
      <c r="D566" s="4" t="s">
        <v>42</v>
      </c>
      <c r="E566" s="4" t="s">
        <v>50</v>
      </c>
      <c r="F566" s="4" t="s">
        <v>51</v>
      </c>
      <c r="G566" s="4" t="s">
        <v>25</v>
      </c>
      <c r="H566" s="4" t="s">
        <v>37</v>
      </c>
      <c r="I566" s="5">
        <v>44682</v>
      </c>
      <c r="J566" s="6">
        <v>0</v>
      </c>
      <c r="K566" s="75">
        <v>0</v>
      </c>
      <c r="L566" s="6">
        <v>-0.38</v>
      </c>
      <c r="M566" s="75">
        <v>-0.38</v>
      </c>
      <c r="N566" s="6">
        <v>-0.38</v>
      </c>
      <c r="O566" s="75">
        <v>-0.38</v>
      </c>
      <c r="P566" s="6">
        <v>0</v>
      </c>
      <c r="Q566" s="4" t="s">
        <v>26</v>
      </c>
      <c r="R566" s="4">
        <v>0</v>
      </c>
      <c r="S566" s="6">
        <v>0</v>
      </c>
      <c r="T566" s="6">
        <v>12</v>
      </c>
      <c r="U566" s="6">
        <v>66</v>
      </c>
      <c r="V566" s="75">
        <f>IF(ISERROR(VLOOKUP($S$566,'TAR FIN'!$A$1:$O$93,15,0)),0,VLOOKUP($S$566,'TAR FIN'!$A$1:$O$93,15,0))</f>
        <v>0</v>
      </c>
      <c r="W566" s="75">
        <f>IF(ISERROR(VLOOKUP($T$566,'TAR FIN'!$A$1:$O$93,15,0)),0,VLOOKUP($T$566,'TAR FIN'!$A$1:$O$93,15,0))*(1-0.04)</f>
        <v>1079.712</v>
      </c>
      <c r="X566" s="75">
        <f>IF(ISERROR(VLOOKUP($U$566,'TAR FIN'!$A$1:$O$93,15,0)),0,VLOOKUP($U$566,'TAR FIN'!$A$1:$O$93,15,0))*(1-0.04)</f>
        <v>177.77279999999999</v>
      </c>
      <c r="Y566" s="75"/>
      <c r="Z566" s="75">
        <f ca="1">('TUSD BE'!$AM$15+'TUSD BF'!$AM$15+'TUSD CVA'!$AM$15)*1*(1-0.02)</f>
        <v>1276.3186645234982</v>
      </c>
      <c r="AA566" s="75">
        <f>('TE BE'!$AB$7+'TE BF'!$AB$7+'TE CVA'!$AB$7)*1*(1-0.02)</f>
        <v>194.21830884065065</v>
      </c>
      <c r="AB566" s="6">
        <f>$K$566*$V$566</f>
        <v>0</v>
      </c>
      <c r="AC566" s="6">
        <f>$M$566*$W$566</f>
        <v>-410.29056000000003</v>
      </c>
      <c r="AD566" s="6">
        <f>$O$566*$X$566</f>
        <v>-67.553663999999998</v>
      </c>
      <c r="AE566" s="6">
        <f>$K$566*$Y$566</f>
        <v>0</v>
      </c>
      <c r="AF566" s="6">
        <f ca="1">$M$566*$Z$566</f>
        <v>-485.00109251892934</v>
      </c>
      <c r="AG566" s="6">
        <f>$O$566*$AA$566</f>
        <v>-73.802957359447248</v>
      </c>
    </row>
    <row r="567" spans="1:33" ht="11.25" customHeight="1" x14ac:dyDescent="0.25">
      <c r="A567" s="4" t="s">
        <v>21</v>
      </c>
      <c r="B567" s="4" t="s">
        <v>35</v>
      </c>
      <c r="C567" s="4" t="s">
        <v>39</v>
      </c>
      <c r="D567" s="4" t="s">
        <v>42</v>
      </c>
      <c r="E567" s="4" t="s">
        <v>50</v>
      </c>
      <c r="F567" s="4" t="s">
        <v>51</v>
      </c>
      <c r="G567" s="4" t="s">
        <v>25</v>
      </c>
      <c r="H567" s="4" t="s">
        <v>37</v>
      </c>
      <c r="I567" s="5">
        <v>44713</v>
      </c>
      <c r="J567" s="6">
        <v>0</v>
      </c>
      <c r="K567" s="75">
        <v>0</v>
      </c>
      <c r="L567" s="6">
        <v>19.396999999999998</v>
      </c>
      <c r="M567" s="75">
        <v>19.396999999999998</v>
      </c>
      <c r="N567" s="6">
        <v>19.396999999999998</v>
      </c>
      <c r="O567" s="75">
        <v>19.396999999999998</v>
      </c>
      <c r="P567" s="6">
        <v>0</v>
      </c>
      <c r="Q567" s="4" t="s">
        <v>26</v>
      </c>
      <c r="R567" s="4">
        <v>0</v>
      </c>
      <c r="S567" s="6">
        <v>0</v>
      </c>
      <c r="T567" s="6">
        <v>12</v>
      </c>
      <c r="U567" s="6">
        <v>66</v>
      </c>
      <c r="V567" s="75">
        <f>IF(ISERROR(VLOOKUP($S$567,'TAR FIN'!$A$1:$O$93,15,0)),0,VLOOKUP($S$567,'TAR FIN'!$A$1:$O$93,15,0))</f>
        <v>0</v>
      </c>
      <c r="W567" s="75">
        <f>IF(ISERROR(VLOOKUP($T$567,'TAR FIN'!$A$1:$O$93,15,0)),0,VLOOKUP($T$567,'TAR FIN'!$A$1:$O$93,15,0))*(1-0.04)</f>
        <v>1079.712</v>
      </c>
      <c r="X567" s="75">
        <f>IF(ISERROR(VLOOKUP($U$567,'TAR FIN'!$A$1:$O$93,15,0)),0,VLOOKUP($U$567,'TAR FIN'!$A$1:$O$93,15,0))*(1-0.04)</f>
        <v>177.77279999999999</v>
      </c>
      <c r="Y567" s="75"/>
      <c r="Z567" s="75">
        <f ca="1">('TUSD BE'!$AM$15+'TUSD BF'!$AM$15+'TUSD CVA'!$AM$15)*1*(1-0.02)</f>
        <v>1276.3186645234982</v>
      </c>
      <c r="AA567" s="75">
        <f>('TE BE'!$AB$7+'TE BF'!$AB$7+'TE CVA'!$AB$7)*1*(1-0.02)</f>
        <v>194.21830884065065</v>
      </c>
      <c r="AB567" s="6">
        <f>$K$567*$V$567</f>
        <v>0</v>
      </c>
      <c r="AC567" s="6">
        <f>$M$567*$W$567</f>
        <v>20943.173663999998</v>
      </c>
      <c r="AD567" s="6">
        <f>$O$567*$X$567</f>
        <v>3448.2590015999995</v>
      </c>
      <c r="AE567" s="6">
        <f>$K$567*$Y$567</f>
        <v>0</v>
      </c>
      <c r="AF567" s="6">
        <f ca="1">$M$567*$Z$567</f>
        <v>24756.753135762294</v>
      </c>
      <c r="AG567" s="6">
        <f>$O$567*$AA$567</f>
        <v>3767.2525365821002</v>
      </c>
    </row>
    <row r="568" spans="1:33" ht="11.25" customHeight="1" x14ac:dyDescent="0.25">
      <c r="A568" s="4" t="s">
        <v>27</v>
      </c>
      <c r="B568" s="4" t="s">
        <v>35</v>
      </c>
      <c r="C568" s="4" t="s">
        <v>39</v>
      </c>
      <c r="D568" s="4" t="s">
        <v>42</v>
      </c>
      <c r="E568" s="4" t="s">
        <v>50</v>
      </c>
      <c r="F568" s="4" t="s">
        <v>51</v>
      </c>
      <c r="G568" s="4" t="s">
        <v>25</v>
      </c>
      <c r="H568" s="4" t="s">
        <v>37</v>
      </c>
      <c r="I568" s="5">
        <v>44713</v>
      </c>
      <c r="J568" s="6">
        <v>0</v>
      </c>
      <c r="K568" s="75">
        <v>0</v>
      </c>
      <c r="L568" s="6">
        <v>-0.09</v>
      </c>
      <c r="M568" s="75">
        <v>-0.09</v>
      </c>
      <c r="N568" s="6">
        <v>-0.09</v>
      </c>
      <c r="O568" s="75">
        <v>-0.09</v>
      </c>
      <c r="P568" s="6">
        <v>0</v>
      </c>
      <c r="Q568" s="4" t="s">
        <v>26</v>
      </c>
      <c r="R568" s="4">
        <v>0</v>
      </c>
      <c r="S568" s="6">
        <v>0</v>
      </c>
      <c r="T568" s="6">
        <v>12</v>
      </c>
      <c r="U568" s="6">
        <v>66</v>
      </c>
      <c r="V568" s="75">
        <f>IF(ISERROR(VLOOKUP($S$568,'TAR FIN'!$A$1:$O$93,15,0)),0,VLOOKUP($S$568,'TAR FIN'!$A$1:$O$93,15,0))</f>
        <v>0</v>
      </c>
      <c r="W568" s="75">
        <f>IF(ISERROR(VLOOKUP($T$568,'TAR FIN'!$A$1:$O$93,15,0)),0,VLOOKUP($T$568,'TAR FIN'!$A$1:$O$93,15,0))*(1-0.04)</f>
        <v>1079.712</v>
      </c>
      <c r="X568" s="75">
        <f>IF(ISERROR(VLOOKUP($U$568,'TAR FIN'!$A$1:$O$93,15,0)),0,VLOOKUP($U$568,'TAR FIN'!$A$1:$O$93,15,0))*(1-0.04)</f>
        <v>177.77279999999999</v>
      </c>
      <c r="Y568" s="75"/>
      <c r="Z568" s="75">
        <f ca="1">('TUSD BE'!$AM$15+'TUSD BF'!$AM$15+'TUSD CVA'!$AM$15)*1*(1-0.02)</f>
        <v>1276.3186645234982</v>
      </c>
      <c r="AA568" s="75">
        <f>('TE BE'!$AB$7+'TE BF'!$AB$7+'TE CVA'!$AB$7)*1*(1-0.02)</f>
        <v>194.21830884065065</v>
      </c>
      <c r="AB568" s="6">
        <f>$K$568*$V$568</f>
        <v>0</v>
      </c>
      <c r="AC568" s="6">
        <f>$M$568*$W$568</f>
        <v>-97.174079999999989</v>
      </c>
      <c r="AD568" s="6">
        <f>$O$568*$X$568</f>
        <v>-15.999551999999998</v>
      </c>
      <c r="AE568" s="6">
        <f>$K$568*$Y$568</f>
        <v>0</v>
      </c>
      <c r="AF568" s="6">
        <f ca="1">$M$568*$Z$568</f>
        <v>-114.86867980711483</v>
      </c>
      <c r="AG568" s="6">
        <f>$O$568*$AA$568</f>
        <v>-17.479647795658558</v>
      </c>
    </row>
    <row r="569" spans="1:33" ht="11.25" customHeight="1" x14ac:dyDescent="0.25">
      <c r="A569" s="4" t="s">
        <v>21</v>
      </c>
      <c r="B569" s="4" t="s">
        <v>35</v>
      </c>
      <c r="C569" s="4" t="s">
        <v>39</v>
      </c>
      <c r="D569" s="4" t="s">
        <v>42</v>
      </c>
      <c r="E569" s="4" t="s">
        <v>50</v>
      </c>
      <c r="F569" s="4" t="s">
        <v>52</v>
      </c>
      <c r="G569" s="4" t="s">
        <v>25</v>
      </c>
      <c r="H569" s="4" t="s">
        <v>38</v>
      </c>
      <c r="I569" s="5">
        <v>44378</v>
      </c>
      <c r="J569" s="6">
        <v>0</v>
      </c>
      <c r="K569" s="6">
        <v>0</v>
      </c>
      <c r="L569" s="6">
        <v>84.168000000000006</v>
      </c>
      <c r="M569" s="6">
        <v>25.250399999999999</v>
      </c>
      <c r="N569" s="6">
        <v>84.168000000000006</v>
      </c>
      <c r="O569" s="6">
        <v>25.250399999999999</v>
      </c>
      <c r="P569" s="6">
        <v>0</v>
      </c>
      <c r="Q569" s="4" t="s">
        <v>26</v>
      </c>
      <c r="R569" s="4">
        <v>0</v>
      </c>
      <c r="S569" s="6">
        <v>0</v>
      </c>
      <c r="T569" s="6">
        <v>25</v>
      </c>
      <c r="U569" s="6">
        <v>59</v>
      </c>
      <c r="V569" s="6">
        <f>IF(ISERROR(VLOOKUP($S$569,'TAR FIN'!$A$1:$O$93,15,0)),0,VLOOKUP($S$569,'TAR FIN'!$A$1:$O$93,15,0))</f>
        <v>0</v>
      </c>
      <c r="W569" s="6">
        <f>IF(ISERROR(VLOOKUP($T$569,'TAR FIN'!$A$1:$O$93,15,0)),0,VLOOKUP($T$569,'TAR FIN'!$A$1:$O$93,15,0))</f>
        <v>69.489999999999995</v>
      </c>
      <c r="X569" s="6">
        <f>IF(ISERROR(VLOOKUP($U$569,'TAR FIN'!$A$1:$O$93,15,0)),0,VLOOKUP($U$569,'TAR FIN'!$A$1:$O$93,15,0))</f>
        <v>185.18</v>
      </c>
      <c r="Y569" s="6"/>
      <c r="Z569" s="6">
        <f ca="1">('TUSD BE'!$AM$16+'TUSD BF'!$AM$16+'TUSD CVA'!$AM$16)*1</f>
        <v>92.504793470158234</v>
      </c>
      <c r="AA569" s="6">
        <f>('TE BE'!$AB$8+'TE BF'!$AB$8+'TE CVA'!$AB$8)*1</f>
        <v>198.18194779658231</v>
      </c>
      <c r="AB569" s="6">
        <f>$K$569*$V$569</f>
        <v>0</v>
      </c>
      <c r="AC569" s="6">
        <f>$M$569*$W$569</f>
        <v>1754.6502959999998</v>
      </c>
      <c r="AD569" s="6">
        <f>$O$569*$X$569</f>
        <v>4675.8690720000004</v>
      </c>
      <c r="AE569" s="6">
        <f>$K$569*$Y$569</f>
        <v>0</v>
      </c>
      <c r="AF569" s="6">
        <f ca="1">$M$569*$Z$569</f>
        <v>2335.7830370388833</v>
      </c>
      <c r="AG569" s="6">
        <f>$O$569*$AA$569</f>
        <v>5004.1734546428215</v>
      </c>
    </row>
    <row r="570" spans="1:33" ht="11.25" customHeight="1" x14ac:dyDescent="0.25">
      <c r="A570" s="4" t="s">
        <v>21</v>
      </c>
      <c r="B570" s="4" t="s">
        <v>35</v>
      </c>
      <c r="C570" s="4" t="s">
        <v>39</v>
      </c>
      <c r="D570" s="4" t="s">
        <v>42</v>
      </c>
      <c r="E570" s="4" t="s">
        <v>50</v>
      </c>
      <c r="F570" s="4" t="s">
        <v>52</v>
      </c>
      <c r="G570" s="4" t="s">
        <v>25</v>
      </c>
      <c r="H570" s="4" t="s">
        <v>38</v>
      </c>
      <c r="I570" s="5">
        <v>44409</v>
      </c>
      <c r="J570" s="6">
        <v>0</v>
      </c>
      <c r="K570" s="6">
        <v>0</v>
      </c>
      <c r="L570" s="6">
        <v>151.08000000000001</v>
      </c>
      <c r="M570" s="6">
        <v>45.323999999999998</v>
      </c>
      <c r="N570" s="6">
        <v>151.08000000000001</v>
      </c>
      <c r="O570" s="6">
        <v>45.323999999999998</v>
      </c>
      <c r="P570" s="6">
        <v>0</v>
      </c>
      <c r="Q570" s="4" t="s">
        <v>26</v>
      </c>
      <c r="R570" s="4">
        <v>0</v>
      </c>
      <c r="S570" s="6">
        <v>0</v>
      </c>
      <c r="T570" s="6">
        <v>25</v>
      </c>
      <c r="U570" s="6">
        <v>59</v>
      </c>
      <c r="V570" s="6">
        <f>IF(ISERROR(VLOOKUP($S$570,'TAR FIN'!$A$1:$O$93,15,0)),0,VLOOKUP($S$570,'TAR FIN'!$A$1:$O$93,15,0))</f>
        <v>0</v>
      </c>
      <c r="W570" s="6">
        <f>IF(ISERROR(VLOOKUP($T$570,'TAR FIN'!$A$1:$O$93,15,0)),0,VLOOKUP($T$570,'TAR FIN'!$A$1:$O$93,15,0))</f>
        <v>69.489999999999995</v>
      </c>
      <c r="X570" s="6">
        <f>IF(ISERROR(VLOOKUP($U$570,'TAR FIN'!$A$1:$O$93,15,0)),0,VLOOKUP($U$570,'TAR FIN'!$A$1:$O$93,15,0))</f>
        <v>185.18</v>
      </c>
      <c r="Y570" s="6"/>
      <c r="Z570" s="6">
        <f ca="1">('TUSD BE'!$AM$16+'TUSD BF'!$AM$16+'TUSD CVA'!$AM$16)*1</f>
        <v>92.504793470158234</v>
      </c>
      <c r="AA570" s="6">
        <f>('TE BE'!$AB$8+'TE BF'!$AB$8+'TE CVA'!$AB$8)*1</f>
        <v>198.18194779658231</v>
      </c>
      <c r="AB570" s="6">
        <f>$K$570*$V$570</f>
        <v>0</v>
      </c>
      <c r="AC570" s="6">
        <f>$M$570*$W$570</f>
        <v>3149.5647599999998</v>
      </c>
      <c r="AD570" s="6">
        <f>$O$570*$X$570</f>
        <v>8393.0983199999991</v>
      </c>
      <c r="AE570" s="6">
        <f>$K$570*$Y$570</f>
        <v>0</v>
      </c>
      <c r="AF570" s="6">
        <f ca="1">$M$570*$Z$570</f>
        <v>4192.687259241452</v>
      </c>
      <c r="AG570" s="6">
        <f>$O$570*$AA$570</f>
        <v>8982.3986019322965</v>
      </c>
    </row>
    <row r="571" spans="1:33" ht="11.25" customHeight="1" x14ac:dyDescent="0.25">
      <c r="A571" s="4" t="s">
        <v>28</v>
      </c>
      <c r="B571" s="4" t="s">
        <v>35</v>
      </c>
      <c r="C571" s="4" t="s">
        <v>39</v>
      </c>
      <c r="D571" s="4" t="s">
        <v>42</v>
      </c>
      <c r="E571" s="4" t="s">
        <v>50</v>
      </c>
      <c r="F571" s="4" t="s">
        <v>52</v>
      </c>
      <c r="G571" s="4" t="s">
        <v>25</v>
      </c>
      <c r="H571" s="4" t="s">
        <v>38</v>
      </c>
      <c r="I571" s="5">
        <v>44409</v>
      </c>
      <c r="J571" s="6">
        <v>0</v>
      </c>
      <c r="K571" s="6">
        <v>0</v>
      </c>
      <c r="L571" s="6">
        <v>13.695</v>
      </c>
      <c r="M571" s="6">
        <v>4.1085000000000003</v>
      </c>
      <c r="N571" s="6">
        <v>13.695</v>
      </c>
      <c r="O571" s="6">
        <v>4.1085000000000003</v>
      </c>
      <c r="P571" s="6">
        <v>0</v>
      </c>
      <c r="Q571" s="4" t="s">
        <v>26</v>
      </c>
      <c r="R571" s="4">
        <v>0</v>
      </c>
      <c r="S571" s="6">
        <v>0</v>
      </c>
      <c r="T571" s="6">
        <v>25</v>
      </c>
      <c r="U571" s="6">
        <v>59</v>
      </c>
      <c r="V571" s="6">
        <f>IF(ISERROR(VLOOKUP($S$571,'TAR FIN'!$A$1:$O$93,15,0)),0,VLOOKUP($S$571,'TAR FIN'!$A$1:$O$93,15,0))</f>
        <v>0</v>
      </c>
      <c r="W571" s="6">
        <f>IF(ISERROR(VLOOKUP($T$571,'TAR FIN'!$A$1:$O$93,15,0)),0,VLOOKUP($T$571,'TAR FIN'!$A$1:$O$93,15,0))</f>
        <v>69.489999999999995</v>
      </c>
      <c r="X571" s="6">
        <f>IF(ISERROR(VLOOKUP($U$571,'TAR FIN'!$A$1:$O$93,15,0)),0,VLOOKUP($U$571,'TAR FIN'!$A$1:$O$93,15,0))</f>
        <v>185.18</v>
      </c>
      <c r="Y571" s="6"/>
      <c r="Z571" s="6">
        <f ca="1">('TUSD BE'!$AM$16+'TUSD BF'!$AM$16+'TUSD CVA'!$AM$16)*1</f>
        <v>92.504793470158234</v>
      </c>
      <c r="AA571" s="6">
        <f>('TE BE'!$AB$8+'TE BF'!$AB$8+'TE CVA'!$AB$8)*1</f>
        <v>198.18194779658231</v>
      </c>
      <c r="AB571" s="6">
        <f>$K$571*$V$571</f>
        <v>0</v>
      </c>
      <c r="AC571" s="6">
        <f>$M$571*$W$571</f>
        <v>285.49966499999999</v>
      </c>
      <c r="AD571" s="6">
        <f>$O$571*$X$571</f>
        <v>760.81203000000005</v>
      </c>
      <c r="AE571" s="6">
        <f>$K$571*$Y$571</f>
        <v>0</v>
      </c>
      <c r="AF571" s="6">
        <f ca="1">$M$571*$Z$571</f>
        <v>380.05594397214514</v>
      </c>
      <c r="AG571" s="6">
        <f>$O$571*$AA$571</f>
        <v>814.2305325222585</v>
      </c>
    </row>
    <row r="572" spans="1:33" ht="11.25" customHeight="1" x14ac:dyDescent="0.25">
      <c r="A572" s="4" t="s">
        <v>21</v>
      </c>
      <c r="B572" s="4" t="s">
        <v>35</v>
      </c>
      <c r="C572" s="4" t="s">
        <v>39</v>
      </c>
      <c r="D572" s="4" t="s">
        <v>42</v>
      </c>
      <c r="E572" s="4" t="s">
        <v>50</v>
      </c>
      <c r="F572" s="4" t="s">
        <v>52</v>
      </c>
      <c r="G572" s="4" t="s">
        <v>25</v>
      </c>
      <c r="H572" s="4" t="s">
        <v>38</v>
      </c>
      <c r="I572" s="5">
        <v>44440</v>
      </c>
      <c r="J572" s="6">
        <v>0</v>
      </c>
      <c r="K572" s="6">
        <v>0</v>
      </c>
      <c r="L572" s="6">
        <v>516.85</v>
      </c>
      <c r="M572" s="6">
        <v>155.05500000000001</v>
      </c>
      <c r="N572" s="6">
        <v>516.85</v>
      </c>
      <c r="O572" s="6">
        <v>155.05500000000001</v>
      </c>
      <c r="P572" s="6">
        <v>0</v>
      </c>
      <c r="Q572" s="4" t="s">
        <v>26</v>
      </c>
      <c r="R572" s="4">
        <v>0</v>
      </c>
      <c r="S572" s="6">
        <v>0</v>
      </c>
      <c r="T572" s="6">
        <v>25</v>
      </c>
      <c r="U572" s="6">
        <v>59</v>
      </c>
      <c r="V572" s="6">
        <f>IF(ISERROR(VLOOKUP($S$572,'TAR FIN'!$A$1:$O$93,15,0)),0,VLOOKUP($S$572,'TAR FIN'!$A$1:$O$93,15,0))</f>
        <v>0</v>
      </c>
      <c r="W572" s="6">
        <f>IF(ISERROR(VLOOKUP($T$572,'TAR FIN'!$A$1:$O$93,15,0)),0,VLOOKUP($T$572,'TAR FIN'!$A$1:$O$93,15,0))</f>
        <v>69.489999999999995</v>
      </c>
      <c r="X572" s="6">
        <f>IF(ISERROR(VLOOKUP($U$572,'TAR FIN'!$A$1:$O$93,15,0)),0,VLOOKUP($U$572,'TAR FIN'!$A$1:$O$93,15,0))</f>
        <v>185.18</v>
      </c>
      <c r="Y572" s="6"/>
      <c r="Z572" s="6">
        <f ca="1">('TUSD BE'!$AM$16+'TUSD BF'!$AM$16+'TUSD CVA'!$AM$16)*1</f>
        <v>92.504793470158234</v>
      </c>
      <c r="AA572" s="6">
        <f>('TE BE'!$AB$8+'TE BF'!$AB$8+'TE CVA'!$AB$8)*1</f>
        <v>198.18194779658231</v>
      </c>
      <c r="AB572" s="6">
        <f>$K$572*$V$572</f>
        <v>0</v>
      </c>
      <c r="AC572" s="6">
        <f>$M$572*$W$572</f>
        <v>10774.77195</v>
      </c>
      <c r="AD572" s="6">
        <f>$O$572*$X$572</f>
        <v>28713.084900000002</v>
      </c>
      <c r="AE572" s="6">
        <f>$K$572*$Y$572</f>
        <v>0</v>
      </c>
      <c r="AF572" s="6">
        <f ca="1">$M$572*$Z$572</f>
        <v>14343.330751515385</v>
      </c>
      <c r="AG572" s="6">
        <f>$O$572*$AA$572</f>
        <v>30729.101915599073</v>
      </c>
    </row>
    <row r="573" spans="1:33" ht="11.25" customHeight="1" x14ac:dyDescent="0.25">
      <c r="A573" s="4" t="s">
        <v>28</v>
      </c>
      <c r="B573" s="4" t="s">
        <v>35</v>
      </c>
      <c r="C573" s="4" t="s">
        <v>39</v>
      </c>
      <c r="D573" s="4" t="s">
        <v>42</v>
      </c>
      <c r="E573" s="4" t="s">
        <v>50</v>
      </c>
      <c r="F573" s="4" t="s">
        <v>52</v>
      </c>
      <c r="G573" s="4" t="s">
        <v>25</v>
      </c>
      <c r="H573" s="4" t="s">
        <v>38</v>
      </c>
      <c r="I573" s="5">
        <v>44440</v>
      </c>
      <c r="J573" s="6">
        <v>0</v>
      </c>
      <c r="K573" s="6">
        <v>0</v>
      </c>
      <c r="L573" s="6">
        <v>16.559000000000001</v>
      </c>
      <c r="M573" s="6">
        <v>4.9676999999999998</v>
      </c>
      <c r="N573" s="6">
        <v>16.559000000000001</v>
      </c>
      <c r="O573" s="6">
        <v>4.9676999999999998</v>
      </c>
      <c r="P573" s="6">
        <v>0</v>
      </c>
      <c r="Q573" s="4" t="s">
        <v>26</v>
      </c>
      <c r="R573" s="4">
        <v>0</v>
      </c>
      <c r="S573" s="6">
        <v>0</v>
      </c>
      <c r="T573" s="6">
        <v>25</v>
      </c>
      <c r="U573" s="6">
        <v>59</v>
      </c>
      <c r="V573" s="6">
        <f>IF(ISERROR(VLOOKUP($S$573,'TAR FIN'!$A$1:$O$93,15,0)),0,VLOOKUP($S$573,'TAR FIN'!$A$1:$O$93,15,0))</f>
        <v>0</v>
      </c>
      <c r="W573" s="6">
        <f>IF(ISERROR(VLOOKUP($T$573,'TAR FIN'!$A$1:$O$93,15,0)),0,VLOOKUP($T$573,'TAR FIN'!$A$1:$O$93,15,0))</f>
        <v>69.489999999999995</v>
      </c>
      <c r="X573" s="6">
        <f>IF(ISERROR(VLOOKUP($U$573,'TAR FIN'!$A$1:$O$93,15,0)),0,VLOOKUP($U$573,'TAR FIN'!$A$1:$O$93,15,0))</f>
        <v>185.18</v>
      </c>
      <c r="Y573" s="6"/>
      <c r="Z573" s="6">
        <f ca="1">('TUSD BE'!$AM$16+'TUSD BF'!$AM$16+'TUSD CVA'!$AM$16)*1</f>
        <v>92.504793470158234</v>
      </c>
      <c r="AA573" s="6">
        <f>('TE BE'!$AB$8+'TE BF'!$AB$8+'TE CVA'!$AB$8)*1</f>
        <v>198.18194779658231</v>
      </c>
      <c r="AB573" s="6">
        <f>$K$573*$V$573</f>
        <v>0</v>
      </c>
      <c r="AC573" s="6">
        <f>$M$573*$W$573</f>
        <v>345.20547299999998</v>
      </c>
      <c r="AD573" s="6">
        <f>$O$573*$X$573</f>
        <v>919.91868599999998</v>
      </c>
      <c r="AE573" s="6">
        <f>$K$573*$Y$573</f>
        <v>0</v>
      </c>
      <c r="AF573" s="6">
        <f ca="1">$M$573*$Z$573</f>
        <v>459.53606252170505</v>
      </c>
      <c r="AG573" s="6">
        <f>$O$573*$AA$573</f>
        <v>984.50846206908193</v>
      </c>
    </row>
    <row r="574" spans="1:33" ht="11.25" customHeight="1" x14ac:dyDescent="0.25">
      <c r="A574" s="4" t="s">
        <v>21</v>
      </c>
      <c r="B574" s="4" t="s">
        <v>35</v>
      </c>
      <c r="C574" s="4" t="s">
        <v>39</v>
      </c>
      <c r="D574" s="4" t="s">
        <v>42</v>
      </c>
      <c r="E574" s="4" t="s">
        <v>50</v>
      </c>
      <c r="F574" s="4" t="s">
        <v>52</v>
      </c>
      <c r="G574" s="4" t="s">
        <v>25</v>
      </c>
      <c r="H574" s="4" t="s">
        <v>38</v>
      </c>
      <c r="I574" s="5">
        <v>44470</v>
      </c>
      <c r="J574" s="6">
        <v>0</v>
      </c>
      <c r="K574" s="6">
        <v>0</v>
      </c>
      <c r="L574" s="6">
        <v>249.75800000000001</v>
      </c>
      <c r="M574" s="6">
        <v>74.927400000000006</v>
      </c>
      <c r="N574" s="6">
        <v>249.75800000000001</v>
      </c>
      <c r="O574" s="6">
        <v>74.927400000000006</v>
      </c>
      <c r="P574" s="6">
        <v>0</v>
      </c>
      <c r="Q574" s="4" t="s">
        <v>26</v>
      </c>
      <c r="R574" s="4">
        <v>0</v>
      </c>
      <c r="S574" s="6">
        <v>0</v>
      </c>
      <c r="T574" s="6">
        <v>25</v>
      </c>
      <c r="U574" s="6">
        <v>59</v>
      </c>
      <c r="V574" s="6">
        <f>IF(ISERROR(VLOOKUP($S$574,'TAR FIN'!$A$1:$O$93,15,0)),0,VLOOKUP($S$574,'TAR FIN'!$A$1:$O$93,15,0))</f>
        <v>0</v>
      </c>
      <c r="W574" s="6">
        <f>IF(ISERROR(VLOOKUP($T$574,'TAR FIN'!$A$1:$O$93,15,0)),0,VLOOKUP($T$574,'TAR FIN'!$A$1:$O$93,15,0))</f>
        <v>69.489999999999995</v>
      </c>
      <c r="X574" s="6">
        <f>IF(ISERROR(VLOOKUP($U$574,'TAR FIN'!$A$1:$O$93,15,0)),0,VLOOKUP($U$574,'TAR FIN'!$A$1:$O$93,15,0))</f>
        <v>185.18</v>
      </c>
      <c r="Y574" s="6"/>
      <c r="Z574" s="6">
        <f ca="1">('TUSD BE'!$AM$16+'TUSD BF'!$AM$16+'TUSD CVA'!$AM$16)*1</f>
        <v>92.504793470158234</v>
      </c>
      <c r="AA574" s="6">
        <f>('TE BE'!$AB$8+'TE BF'!$AB$8+'TE CVA'!$AB$8)*1</f>
        <v>198.18194779658231</v>
      </c>
      <c r="AB574" s="6">
        <f>$K$574*$V$574</f>
        <v>0</v>
      </c>
      <c r="AC574" s="6">
        <f>$M$574*$W$574</f>
        <v>5206.7050259999996</v>
      </c>
      <c r="AD574" s="6">
        <f>$O$574*$X$574</f>
        <v>13875.055932000001</v>
      </c>
      <c r="AE574" s="6">
        <f>$K$574*$Y$574</f>
        <v>0</v>
      </c>
      <c r="AF574" s="6">
        <f ca="1">$M$574*$Z$574</f>
        <v>6931.1436622559349</v>
      </c>
      <c r="AG574" s="6">
        <f>$O$574*$AA$574</f>
        <v>14849.258075333642</v>
      </c>
    </row>
    <row r="575" spans="1:33" ht="11.25" customHeight="1" x14ac:dyDescent="0.25">
      <c r="A575" s="4" t="s">
        <v>21</v>
      </c>
      <c r="B575" s="4" t="s">
        <v>35</v>
      </c>
      <c r="C575" s="4" t="s">
        <v>39</v>
      </c>
      <c r="D575" s="4" t="s">
        <v>42</v>
      </c>
      <c r="E575" s="4" t="s">
        <v>50</v>
      </c>
      <c r="F575" s="4" t="s">
        <v>52</v>
      </c>
      <c r="G575" s="4" t="s">
        <v>25</v>
      </c>
      <c r="H575" s="4" t="s">
        <v>38</v>
      </c>
      <c r="I575" s="5">
        <v>44501</v>
      </c>
      <c r="J575" s="6">
        <v>0</v>
      </c>
      <c r="K575" s="6">
        <v>0</v>
      </c>
      <c r="L575" s="6">
        <v>495.33699999999999</v>
      </c>
      <c r="M575" s="6">
        <v>148.6011</v>
      </c>
      <c r="N575" s="6">
        <v>495.33699999999999</v>
      </c>
      <c r="O575" s="6">
        <v>148.6011</v>
      </c>
      <c r="P575" s="6">
        <v>0</v>
      </c>
      <c r="Q575" s="4" t="s">
        <v>26</v>
      </c>
      <c r="R575" s="4">
        <v>0</v>
      </c>
      <c r="S575" s="6">
        <v>0</v>
      </c>
      <c r="T575" s="6">
        <v>25</v>
      </c>
      <c r="U575" s="6">
        <v>59</v>
      </c>
      <c r="V575" s="6">
        <f>IF(ISERROR(VLOOKUP($S$575,'TAR FIN'!$A$1:$O$93,15,0)),0,VLOOKUP($S$575,'TAR FIN'!$A$1:$O$93,15,0))</f>
        <v>0</v>
      </c>
      <c r="W575" s="6">
        <f>IF(ISERROR(VLOOKUP($T$575,'TAR FIN'!$A$1:$O$93,15,0)),0,VLOOKUP($T$575,'TAR FIN'!$A$1:$O$93,15,0))</f>
        <v>69.489999999999995</v>
      </c>
      <c r="X575" s="6">
        <f>IF(ISERROR(VLOOKUP($U$575,'TAR FIN'!$A$1:$O$93,15,0)),0,VLOOKUP($U$575,'TAR FIN'!$A$1:$O$93,15,0))</f>
        <v>185.18</v>
      </c>
      <c r="Y575" s="6"/>
      <c r="Z575" s="6">
        <f ca="1">('TUSD BE'!$AM$16+'TUSD BF'!$AM$16+'TUSD CVA'!$AM$16)*1</f>
        <v>92.504793470158234</v>
      </c>
      <c r="AA575" s="6">
        <f>('TE BE'!$AB$8+'TE BF'!$AB$8+'TE CVA'!$AB$8)*1</f>
        <v>198.18194779658231</v>
      </c>
      <c r="AB575" s="6">
        <f>$K$575*$V$575</f>
        <v>0</v>
      </c>
      <c r="AC575" s="6">
        <f>$M$575*$W$575</f>
        <v>10326.290438999999</v>
      </c>
      <c r="AD575" s="6">
        <f>$O$575*$X$575</f>
        <v>27517.951698000001</v>
      </c>
      <c r="AE575" s="6">
        <f>$K$575*$Y$575</f>
        <v>0</v>
      </c>
      <c r="AF575" s="6">
        <f ca="1">$M$575*$Z$575</f>
        <v>13746.314064938331</v>
      </c>
      <c r="AG575" s="6">
        <f>$O$575*$AA$575</f>
        <v>29450.055442714707</v>
      </c>
    </row>
    <row r="576" spans="1:33" ht="11.25" customHeight="1" x14ac:dyDescent="0.25">
      <c r="A576" s="4" t="s">
        <v>27</v>
      </c>
      <c r="B576" s="4" t="s">
        <v>35</v>
      </c>
      <c r="C576" s="4" t="s">
        <v>39</v>
      </c>
      <c r="D576" s="4" t="s">
        <v>42</v>
      </c>
      <c r="E576" s="4" t="s">
        <v>50</v>
      </c>
      <c r="F576" s="4" t="s">
        <v>52</v>
      </c>
      <c r="G576" s="4" t="s">
        <v>25</v>
      </c>
      <c r="H576" s="4" t="s">
        <v>38</v>
      </c>
      <c r="I576" s="5">
        <v>44501</v>
      </c>
      <c r="J576" s="6">
        <v>0</v>
      </c>
      <c r="K576" s="6">
        <v>0</v>
      </c>
      <c r="L576" s="6">
        <v>-3.9289999999999998</v>
      </c>
      <c r="M576" s="6">
        <v>-1.1787000000000001</v>
      </c>
      <c r="N576" s="6">
        <v>-3.9289999999999998</v>
      </c>
      <c r="O576" s="6">
        <v>-1.1787000000000001</v>
      </c>
      <c r="P576" s="6">
        <v>0</v>
      </c>
      <c r="Q576" s="4" t="s">
        <v>26</v>
      </c>
      <c r="R576" s="4">
        <v>0</v>
      </c>
      <c r="S576" s="6">
        <v>0</v>
      </c>
      <c r="T576" s="6">
        <v>25</v>
      </c>
      <c r="U576" s="6">
        <v>59</v>
      </c>
      <c r="V576" s="6">
        <f>IF(ISERROR(VLOOKUP($S$576,'TAR FIN'!$A$1:$O$93,15,0)),0,VLOOKUP($S$576,'TAR FIN'!$A$1:$O$93,15,0))</f>
        <v>0</v>
      </c>
      <c r="W576" s="6">
        <f>IF(ISERROR(VLOOKUP($T$576,'TAR FIN'!$A$1:$O$93,15,0)),0,VLOOKUP($T$576,'TAR FIN'!$A$1:$O$93,15,0))</f>
        <v>69.489999999999995</v>
      </c>
      <c r="X576" s="6">
        <f>IF(ISERROR(VLOOKUP($U$576,'TAR FIN'!$A$1:$O$93,15,0)),0,VLOOKUP($U$576,'TAR FIN'!$A$1:$O$93,15,0))</f>
        <v>185.18</v>
      </c>
      <c r="Y576" s="6"/>
      <c r="Z576" s="6">
        <f ca="1">('TUSD BE'!$AM$16+'TUSD BF'!$AM$16+'TUSD CVA'!$AM$16)*1</f>
        <v>92.504793470158234</v>
      </c>
      <c r="AA576" s="6">
        <f>('TE BE'!$AB$8+'TE BF'!$AB$8+'TE CVA'!$AB$8)*1</f>
        <v>198.18194779658231</v>
      </c>
      <c r="AB576" s="6">
        <f>$K$576*$V$576</f>
        <v>0</v>
      </c>
      <c r="AC576" s="6">
        <f>$M$576*$W$576</f>
        <v>-81.907863000000006</v>
      </c>
      <c r="AD576" s="6">
        <f>$O$576*$X$576</f>
        <v>-218.27166600000001</v>
      </c>
      <c r="AE576" s="6">
        <f>$K$576*$Y$576</f>
        <v>0</v>
      </c>
      <c r="AF576" s="6">
        <f ca="1">$M$576*$Z$576</f>
        <v>-109.03540006327552</v>
      </c>
      <c r="AG576" s="6">
        <f>$O$576*$AA$576</f>
        <v>-233.59706186783157</v>
      </c>
    </row>
    <row r="577" spans="1:33" ht="11.25" customHeight="1" x14ac:dyDescent="0.25">
      <c r="A577" s="4" t="s">
        <v>28</v>
      </c>
      <c r="B577" s="4" t="s">
        <v>35</v>
      </c>
      <c r="C577" s="4" t="s">
        <v>39</v>
      </c>
      <c r="D577" s="4" t="s">
        <v>42</v>
      </c>
      <c r="E577" s="4" t="s">
        <v>50</v>
      </c>
      <c r="F577" s="4" t="s">
        <v>52</v>
      </c>
      <c r="G577" s="4" t="s">
        <v>25</v>
      </c>
      <c r="H577" s="4" t="s">
        <v>38</v>
      </c>
      <c r="I577" s="5">
        <v>44501</v>
      </c>
      <c r="J577" s="6">
        <v>0</v>
      </c>
      <c r="K577" s="6">
        <v>0</v>
      </c>
      <c r="L577" s="6">
        <v>8.8059999999999992</v>
      </c>
      <c r="M577" s="6">
        <v>2.6417999999999999</v>
      </c>
      <c r="N577" s="6">
        <v>8.8059999999999992</v>
      </c>
      <c r="O577" s="6">
        <v>2.6417999999999999</v>
      </c>
      <c r="P577" s="6">
        <v>0</v>
      </c>
      <c r="Q577" s="4" t="s">
        <v>26</v>
      </c>
      <c r="R577" s="4">
        <v>0</v>
      </c>
      <c r="S577" s="6">
        <v>0</v>
      </c>
      <c r="T577" s="6">
        <v>25</v>
      </c>
      <c r="U577" s="6">
        <v>59</v>
      </c>
      <c r="V577" s="6">
        <f>IF(ISERROR(VLOOKUP($S$577,'TAR FIN'!$A$1:$O$93,15,0)),0,VLOOKUP($S$577,'TAR FIN'!$A$1:$O$93,15,0))</f>
        <v>0</v>
      </c>
      <c r="W577" s="6">
        <f>IF(ISERROR(VLOOKUP($T$577,'TAR FIN'!$A$1:$O$93,15,0)),0,VLOOKUP($T$577,'TAR FIN'!$A$1:$O$93,15,0))</f>
        <v>69.489999999999995</v>
      </c>
      <c r="X577" s="6">
        <f>IF(ISERROR(VLOOKUP($U$577,'TAR FIN'!$A$1:$O$93,15,0)),0,VLOOKUP($U$577,'TAR FIN'!$A$1:$O$93,15,0))</f>
        <v>185.18</v>
      </c>
      <c r="Y577" s="6"/>
      <c r="Z577" s="6">
        <f ca="1">('TUSD BE'!$AM$16+'TUSD BF'!$AM$16+'TUSD CVA'!$AM$16)*1</f>
        <v>92.504793470158234</v>
      </c>
      <c r="AA577" s="6">
        <f>('TE BE'!$AB$8+'TE BF'!$AB$8+'TE CVA'!$AB$8)*1</f>
        <v>198.18194779658231</v>
      </c>
      <c r="AB577" s="6">
        <f>$K$577*$V$577</f>
        <v>0</v>
      </c>
      <c r="AC577" s="6">
        <f>$M$577*$W$577</f>
        <v>183.57868199999999</v>
      </c>
      <c r="AD577" s="6">
        <f>$O$577*$X$577</f>
        <v>489.20852400000001</v>
      </c>
      <c r="AE577" s="6">
        <f>$K$577*$Y$577</f>
        <v>0</v>
      </c>
      <c r="AF577" s="6">
        <f ca="1">$M$577*$Z$577</f>
        <v>244.37916338946403</v>
      </c>
      <c r="AG577" s="6">
        <f>$O$577*$AA$577</f>
        <v>523.55706968901109</v>
      </c>
    </row>
    <row r="578" spans="1:33" ht="11.25" customHeight="1" x14ac:dyDescent="0.25">
      <c r="A578" s="4" t="s">
        <v>21</v>
      </c>
      <c r="B578" s="4" t="s">
        <v>35</v>
      </c>
      <c r="C578" s="4" t="s">
        <v>39</v>
      </c>
      <c r="D578" s="4" t="s">
        <v>42</v>
      </c>
      <c r="E578" s="4" t="s">
        <v>50</v>
      </c>
      <c r="F578" s="4" t="s">
        <v>52</v>
      </c>
      <c r="G578" s="4" t="s">
        <v>25</v>
      </c>
      <c r="H578" s="4" t="s">
        <v>38</v>
      </c>
      <c r="I578" s="5">
        <v>44531</v>
      </c>
      <c r="J578" s="6">
        <v>0</v>
      </c>
      <c r="K578" s="6">
        <v>0</v>
      </c>
      <c r="L578" s="6">
        <v>4394.9979999999996</v>
      </c>
      <c r="M578" s="6">
        <v>1318.4993999999999</v>
      </c>
      <c r="N578" s="6">
        <v>4394.9979999999996</v>
      </c>
      <c r="O578" s="6">
        <v>1318.4993999999999</v>
      </c>
      <c r="P578" s="6">
        <v>0</v>
      </c>
      <c r="Q578" s="4" t="s">
        <v>26</v>
      </c>
      <c r="R578" s="4">
        <v>0</v>
      </c>
      <c r="S578" s="6">
        <v>0</v>
      </c>
      <c r="T578" s="6">
        <v>25</v>
      </c>
      <c r="U578" s="6">
        <v>59</v>
      </c>
      <c r="V578" s="6">
        <f>IF(ISERROR(VLOOKUP($S$578,'TAR FIN'!$A$1:$O$93,15,0)),0,VLOOKUP($S$578,'TAR FIN'!$A$1:$O$93,15,0))</f>
        <v>0</v>
      </c>
      <c r="W578" s="6">
        <f>IF(ISERROR(VLOOKUP($T$578,'TAR FIN'!$A$1:$O$93,15,0)),0,VLOOKUP($T$578,'TAR FIN'!$A$1:$O$93,15,0))</f>
        <v>69.489999999999995</v>
      </c>
      <c r="X578" s="6">
        <f>IF(ISERROR(VLOOKUP($U$578,'TAR FIN'!$A$1:$O$93,15,0)),0,VLOOKUP($U$578,'TAR FIN'!$A$1:$O$93,15,0))</f>
        <v>185.18</v>
      </c>
      <c r="Y578" s="6"/>
      <c r="Z578" s="6">
        <f ca="1">('TUSD BE'!$AM$16+'TUSD BF'!$AM$16+'TUSD CVA'!$AM$16)*1</f>
        <v>92.504793470158234</v>
      </c>
      <c r="AA578" s="6">
        <f>('TE BE'!$AB$8+'TE BF'!$AB$8+'TE CVA'!$AB$8)*1</f>
        <v>198.18194779658231</v>
      </c>
      <c r="AB578" s="6">
        <f>$K$578*$V$578</f>
        <v>0</v>
      </c>
      <c r="AC578" s="6">
        <f>$M$578*$W$578</f>
        <v>91622.523305999988</v>
      </c>
      <c r="AD578" s="6">
        <f>$O$578*$X$578</f>
        <v>244159.718892</v>
      </c>
      <c r="AE578" s="6">
        <f>$K$578*$Y$578</f>
        <v>0</v>
      </c>
      <c r="AF578" s="6">
        <f ca="1">$M$578*$Z$578</f>
        <v>121967.51468752754</v>
      </c>
      <c r="AG578" s="6">
        <f>$O$578*$AA$578</f>
        <v>261302.77926062507</v>
      </c>
    </row>
    <row r="579" spans="1:33" ht="11.25" customHeight="1" x14ac:dyDescent="0.25">
      <c r="A579" s="4" t="s">
        <v>21</v>
      </c>
      <c r="B579" s="4" t="s">
        <v>35</v>
      </c>
      <c r="C579" s="4" t="s">
        <v>39</v>
      </c>
      <c r="D579" s="4" t="s">
        <v>42</v>
      </c>
      <c r="E579" s="4" t="s">
        <v>50</v>
      </c>
      <c r="F579" s="4" t="s">
        <v>52</v>
      </c>
      <c r="G579" s="4" t="s">
        <v>25</v>
      </c>
      <c r="H579" s="4" t="s">
        <v>38</v>
      </c>
      <c r="I579" s="5">
        <v>44562</v>
      </c>
      <c r="J579" s="6">
        <v>0</v>
      </c>
      <c r="K579" s="6">
        <v>0</v>
      </c>
      <c r="L579" s="6">
        <v>6187.6310000000003</v>
      </c>
      <c r="M579" s="6">
        <v>1856.2892999999999</v>
      </c>
      <c r="N579" s="6">
        <v>6187.6310000000003</v>
      </c>
      <c r="O579" s="6">
        <v>1856.2892999999999</v>
      </c>
      <c r="P579" s="6">
        <v>0</v>
      </c>
      <c r="Q579" s="4" t="s">
        <v>26</v>
      </c>
      <c r="R579" s="4">
        <v>0</v>
      </c>
      <c r="S579" s="6">
        <v>0</v>
      </c>
      <c r="T579" s="6">
        <v>25</v>
      </c>
      <c r="U579" s="6">
        <v>59</v>
      </c>
      <c r="V579" s="6">
        <f>IF(ISERROR(VLOOKUP($S$579,'TAR FIN'!$A$1:$O$93,15,0)),0,VLOOKUP($S$579,'TAR FIN'!$A$1:$O$93,15,0))</f>
        <v>0</v>
      </c>
      <c r="W579" s="6">
        <f>IF(ISERROR(VLOOKUP($T$579,'TAR FIN'!$A$1:$O$93,15,0)),0,VLOOKUP($T$579,'TAR FIN'!$A$1:$O$93,15,0))</f>
        <v>69.489999999999995</v>
      </c>
      <c r="X579" s="6">
        <f>IF(ISERROR(VLOOKUP($U$579,'TAR FIN'!$A$1:$O$93,15,0)),0,VLOOKUP($U$579,'TAR FIN'!$A$1:$O$93,15,0))</f>
        <v>185.18</v>
      </c>
      <c r="Y579" s="6"/>
      <c r="Z579" s="6">
        <f ca="1">('TUSD BE'!$AM$16+'TUSD BF'!$AM$16+'TUSD CVA'!$AM$16)*1</f>
        <v>92.504793470158234</v>
      </c>
      <c r="AA579" s="6">
        <f>('TE BE'!$AB$8+'TE BF'!$AB$8+'TE CVA'!$AB$8)*1</f>
        <v>198.18194779658231</v>
      </c>
      <c r="AB579" s="6">
        <f>$K$579*$V$579</f>
        <v>0</v>
      </c>
      <c r="AC579" s="6">
        <f>$M$579*$W$579</f>
        <v>128993.54345699998</v>
      </c>
      <c r="AD579" s="6">
        <f>$O$579*$X$579</f>
        <v>343747.65257400001</v>
      </c>
      <c r="AE579" s="6">
        <f>$K$579*$Y$579</f>
        <v>0</v>
      </c>
      <c r="AF579" s="6">
        <f ca="1">$M$579*$Z$579</f>
        <v>171715.65831736458</v>
      </c>
      <c r="AG579" s="6">
        <f>$O$579*$AA$579</f>
        <v>367883.02914795431</v>
      </c>
    </row>
    <row r="580" spans="1:33" ht="11.25" customHeight="1" x14ac:dyDescent="0.25">
      <c r="A580" s="4" t="s">
        <v>28</v>
      </c>
      <c r="B580" s="4" t="s">
        <v>35</v>
      </c>
      <c r="C580" s="4" t="s">
        <v>39</v>
      </c>
      <c r="D580" s="4" t="s">
        <v>42</v>
      </c>
      <c r="E580" s="4" t="s">
        <v>50</v>
      </c>
      <c r="F580" s="4" t="s">
        <v>52</v>
      </c>
      <c r="G580" s="4" t="s">
        <v>25</v>
      </c>
      <c r="H580" s="4" t="s">
        <v>38</v>
      </c>
      <c r="I580" s="5">
        <v>44562</v>
      </c>
      <c r="J580" s="6">
        <v>0</v>
      </c>
      <c r="K580" s="6">
        <v>0</v>
      </c>
      <c r="L580" s="6">
        <v>94.134</v>
      </c>
      <c r="M580" s="6">
        <v>28.240200000000002</v>
      </c>
      <c r="N580" s="6">
        <v>94.134</v>
      </c>
      <c r="O580" s="6">
        <v>28.240200000000002</v>
      </c>
      <c r="P580" s="6">
        <v>0</v>
      </c>
      <c r="Q580" s="4" t="s">
        <v>26</v>
      </c>
      <c r="R580" s="4">
        <v>0</v>
      </c>
      <c r="S580" s="6">
        <v>0</v>
      </c>
      <c r="T580" s="6">
        <v>25</v>
      </c>
      <c r="U580" s="6">
        <v>59</v>
      </c>
      <c r="V580" s="6">
        <f>IF(ISERROR(VLOOKUP($S$580,'TAR FIN'!$A$1:$O$93,15,0)),0,VLOOKUP($S$580,'TAR FIN'!$A$1:$O$93,15,0))</f>
        <v>0</v>
      </c>
      <c r="W580" s="6">
        <f>IF(ISERROR(VLOOKUP($T$580,'TAR FIN'!$A$1:$O$93,15,0)),0,VLOOKUP($T$580,'TAR FIN'!$A$1:$O$93,15,0))</f>
        <v>69.489999999999995</v>
      </c>
      <c r="X580" s="6">
        <f>IF(ISERROR(VLOOKUP($U$580,'TAR FIN'!$A$1:$O$93,15,0)),0,VLOOKUP($U$580,'TAR FIN'!$A$1:$O$93,15,0))</f>
        <v>185.18</v>
      </c>
      <c r="Y580" s="6"/>
      <c r="Z580" s="6">
        <f ca="1">('TUSD BE'!$AM$16+'TUSD BF'!$AM$16+'TUSD CVA'!$AM$16)*1</f>
        <v>92.504793470158234</v>
      </c>
      <c r="AA580" s="6">
        <f>('TE BE'!$AB$8+'TE BF'!$AB$8+'TE CVA'!$AB$8)*1</f>
        <v>198.18194779658231</v>
      </c>
      <c r="AB580" s="6">
        <f>$K$580*$V$580</f>
        <v>0</v>
      </c>
      <c r="AC580" s="6">
        <f>$M$580*$W$580</f>
        <v>1962.4114979999999</v>
      </c>
      <c r="AD580" s="6">
        <f>$O$580*$X$580</f>
        <v>5229.5202360000003</v>
      </c>
      <c r="AE580" s="6">
        <f>$K$580*$Y$580</f>
        <v>0</v>
      </c>
      <c r="AF580" s="6">
        <f ca="1">$M$580*$Z$580</f>
        <v>2612.3538685559629</v>
      </c>
      <c r="AG580" s="6">
        <f>$O$580*$AA$580</f>
        <v>5596.6978421650438</v>
      </c>
    </row>
    <row r="581" spans="1:33" ht="11.25" customHeight="1" x14ac:dyDescent="0.25">
      <c r="A581" s="4" t="s">
        <v>21</v>
      </c>
      <c r="B581" s="4" t="s">
        <v>35</v>
      </c>
      <c r="C581" s="4" t="s">
        <v>39</v>
      </c>
      <c r="D581" s="4" t="s">
        <v>42</v>
      </c>
      <c r="E581" s="4" t="s">
        <v>50</v>
      </c>
      <c r="F581" s="4" t="s">
        <v>52</v>
      </c>
      <c r="G581" s="4" t="s">
        <v>25</v>
      </c>
      <c r="H581" s="4" t="s">
        <v>38</v>
      </c>
      <c r="I581" s="5">
        <v>44593</v>
      </c>
      <c r="J581" s="6">
        <v>0</v>
      </c>
      <c r="K581" s="6">
        <v>0</v>
      </c>
      <c r="L581" s="6">
        <v>4719.0860000000002</v>
      </c>
      <c r="M581" s="6">
        <v>1415.7257999999999</v>
      </c>
      <c r="N581" s="6">
        <v>4719.0860000000002</v>
      </c>
      <c r="O581" s="6">
        <v>1415.7257999999999</v>
      </c>
      <c r="P581" s="6">
        <v>0</v>
      </c>
      <c r="Q581" s="4" t="s">
        <v>26</v>
      </c>
      <c r="R581" s="4">
        <v>0</v>
      </c>
      <c r="S581" s="6">
        <v>0</v>
      </c>
      <c r="T581" s="6">
        <v>25</v>
      </c>
      <c r="U581" s="6">
        <v>59</v>
      </c>
      <c r="V581" s="6">
        <f>IF(ISERROR(VLOOKUP($S$581,'TAR FIN'!$A$1:$O$93,15,0)),0,VLOOKUP($S$581,'TAR FIN'!$A$1:$O$93,15,0))</f>
        <v>0</v>
      </c>
      <c r="W581" s="6">
        <f>IF(ISERROR(VLOOKUP($T$581,'TAR FIN'!$A$1:$O$93,15,0)),0,VLOOKUP($T$581,'TAR FIN'!$A$1:$O$93,15,0))</f>
        <v>69.489999999999995</v>
      </c>
      <c r="X581" s="6">
        <f>IF(ISERROR(VLOOKUP($U$581,'TAR FIN'!$A$1:$O$93,15,0)),0,VLOOKUP($U$581,'TAR FIN'!$A$1:$O$93,15,0))</f>
        <v>185.18</v>
      </c>
      <c r="Y581" s="6"/>
      <c r="Z581" s="6">
        <f ca="1">('TUSD BE'!$AM$16+'TUSD BF'!$AM$16+'TUSD CVA'!$AM$16)*1</f>
        <v>92.504793470158234</v>
      </c>
      <c r="AA581" s="6">
        <f>('TE BE'!$AB$8+'TE BF'!$AB$8+'TE CVA'!$AB$8)*1</f>
        <v>198.18194779658231</v>
      </c>
      <c r="AB581" s="6">
        <f>$K$581*$V$581</f>
        <v>0</v>
      </c>
      <c r="AC581" s="6">
        <f>$M$581*$W$581</f>
        <v>98378.785841999983</v>
      </c>
      <c r="AD581" s="6">
        <f>$O$581*$X$581</f>
        <v>262164.10364400002</v>
      </c>
      <c r="AE581" s="6">
        <f>$K$581*$Y$581</f>
        <v>0</v>
      </c>
      <c r="AF581" s="6">
        <f ca="1">$M$581*$Z$581</f>
        <v>130961.42273937454</v>
      </c>
      <c r="AG581" s="6">
        <f>$O$581*$AA$581</f>
        <v>280571.29658987472</v>
      </c>
    </row>
    <row r="582" spans="1:33" ht="11.25" customHeight="1" x14ac:dyDescent="0.25">
      <c r="A582" s="4" t="s">
        <v>27</v>
      </c>
      <c r="B582" s="4" t="s">
        <v>35</v>
      </c>
      <c r="C582" s="4" t="s">
        <v>39</v>
      </c>
      <c r="D582" s="4" t="s">
        <v>42</v>
      </c>
      <c r="E582" s="4" t="s">
        <v>50</v>
      </c>
      <c r="F582" s="4" t="s">
        <v>52</v>
      </c>
      <c r="G582" s="4" t="s">
        <v>25</v>
      </c>
      <c r="H582" s="4" t="s">
        <v>38</v>
      </c>
      <c r="I582" s="5">
        <v>44593</v>
      </c>
      <c r="J582" s="6">
        <v>0</v>
      </c>
      <c r="K582" s="6">
        <v>0</v>
      </c>
      <c r="L582" s="6">
        <v>-59.923999999999999</v>
      </c>
      <c r="M582" s="6">
        <v>-17.9772</v>
      </c>
      <c r="N582" s="6">
        <v>-59.923999999999999</v>
      </c>
      <c r="O582" s="6">
        <v>-17.9772</v>
      </c>
      <c r="P582" s="6">
        <v>0</v>
      </c>
      <c r="Q582" s="4" t="s">
        <v>26</v>
      </c>
      <c r="R582" s="4">
        <v>0</v>
      </c>
      <c r="S582" s="6">
        <v>0</v>
      </c>
      <c r="T582" s="6">
        <v>25</v>
      </c>
      <c r="U582" s="6">
        <v>59</v>
      </c>
      <c r="V582" s="6">
        <f>IF(ISERROR(VLOOKUP($S$582,'TAR FIN'!$A$1:$O$93,15,0)),0,VLOOKUP($S$582,'TAR FIN'!$A$1:$O$93,15,0))</f>
        <v>0</v>
      </c>
      <c r="W582" s="6">
        <f>IF(ISERROR(VLOOKUP($T$582,'TAR FIN'!$A$1:$O$93,15,0)),0,VLOOKUP($T$582,'TAR FIN'!$A$1:$O$93,15,0))</f>
        <v>69.489999999999995</v>
      </c>
      <c r="X582" s="6">
        <f>IF(ISERROR(VLOOKUP($U$582,'TAR FIN'!$A$1:$O$93,15,0)),0,VLOOKUP($U$582,'TAR FIN'!$A$1:$O$93,15,0))</f>
        <v>185.18</v>
      </c>
      <c r="Y582" s="6"/>
      <c r="Z582" s="6">
        <f ca="1">('TUSD BE'!$AM$16+'TUSD BF'!$AM$16+'TUSD CVA'!$AM$16)*1</f>
        <v>92.504793470158234</v>
      </c>
      <c r="AA582" s="6">
        <f>('TE BE'!$AB$8+'TE BF'!$AB$8+'TE CVA'!$AB$8)*1</f>
        <v>198.18194779658231</v>
      </c>
      <c r="AB582" s="6">
        <f>$K$582*$V$582</f>
        <v>0</v>
      </c>
      <c r="AC582" s="6">
        <f>$M$582*$W$582</f>
        <v>-1249.2356279999999</v>
      </c>
      <c r="AD582" s="6">
        <f>$O$582*$X$582</f>
        <v>-3329.0178960000003</v>
      </c>
      <c r="AE582" s="6">
        <f>$K$582*$Y$582</f>
        <v>0</v>
      </c>
      <c r="AF582" s="6">
        <f ca="1">$M$582*$Z$582</f>
        <v>-1662.9771731717285</v>
      </c>
      <c r="AG582" s="6">
        <f>$O$582*$AA$582</f>
        <v>-3562.7565119287192</v>
      </c>
    </row>
    <row r="583" spans="1:33" ht="11.25" customHeight="1" x14ac:dyDescent="0.25">
      <c r="A583" s="4" t="s">
        <v>28</v>
      </c>
      <c r="B583" s="4" t="s">
        <v>35</v>
      </c>
      <c r="C583" s="4" t="s">
        <v>39</v>
      </c>
      <c r="D583" s="4" t="s">
        <v>42</v>
      </c>
      <c r="E583" s="4" t="s">
        <v>50</v>
      </c>
      <c r="F583" s="4" t="s">
        <v>52</v>
      </c>
      <c r="G583" s="4" t="s">
        <v>25</v>
      </c>
      <c r="H583" s="4" t="s">
        <v>38</v>
      </c>
      <c r="I583" s="5">
        <v>44593</v>
      </c>
      <c r="J583" s="6">
        <v>0</v>
      </c>
      <c r="K583" s="6">
        <v>0</v>
      </c>
      <c r="L583" s="6">
        <v>93.962999999999994</v>
      </c>
      <c r="M583" s="6">
        <v>28.1889</v>
      </c>
      <c r="N583" s="6">
        <v>93.962999999999994</v>
      </c>
      <c r="O583" s="6">
        <v>28.1889</v>
      </c>
      <c r="P583" s="6">
        <v>0</v>
      </c>
      <c r="Q583" s="4" t="s">
        <v>26</v>
      </c>
      <c r="R583" s="4">
        <v>0</v>
      </c>
      <c r="S583" s="6">
        <v>0</v>
      </c>
      <c r="T583" s="6">
        <v>25</v>
      </c>
      <c r="U583" s="6">
        <v>59</v>
      </c>
      <c r="V583" s="6">
        <f>IF(ISERROR(VLOOKUP($S$583,'TAR FIN'!$A$1:$O$93,15,0)),0,VLOOKUP($S$583,'TAR FIN'!$A$1:$O$93,15,0))</f>
        <v>0</v>
      </c>
      <c r="W583" s="6">
        <f>IF(ISERROR(VLOOKUP($T$583,'TAR FIN'!$A$1:$O$93,15,0)),0,VLOOKUP($T$583,'TAR FIN'!$A$1:$O$93,15,0))</f>
        <v>69.489999999999995</v>
      </c>
      <c r="X583" s="6">
        <f>IF(ISERROR(VLOOKUP($U$583,'TAR FIN'!$A$1:$O$93,15,0)),0,VLOOKUP($U$583,'TAR FIN'!$A$1:$O$93,15,0))</f>
        <v>185.18</v>
      </c>
      <c r="Y583" s="6"/>
      <c r="Z583" s="6">
        <f ca="1">('TUSD BE'!$AM$16+'TUSD BF'!$AM$16+'TUSD CVA'!$AM$16)*1</f>
        <v>92.504793470158234</v>
      </c>
      <c r="AA583" s="6">
        <f>('TE BE'!$AB$8+'TE BF'!$AB$8+'TE CVA'!$AB$8)*1</f>
        <v>198.18194779658231</v>
      </c>
      <c r="AB583" s="6">
        <f>$K$583*$V$583</f>
        <v>0</v>
      </c>
      <c r="AC583" s="6">
        <f>$M$583*$W$583</f>
        <v>1958.8466609999998</v>
      </c>
      <c r="AD583" s="6">
        <f>$O$583*$X$583</f>
        <v>5220.0205020000003</v>
      </c>
      <c r="AE583" s="6">
        <f>$K$583*$Y$583</f>
        <v>0</v>
      </c>
      <c r="AF583" s="6">
        <f ca="1">$M$583*$Z$583</f>
        <v>2607.6083726509432</v>
      </c>
      <c r="AG583" s="6">
        <f>$O$583*$AA$583</f>
        <v>5586.531108243079</v>
      </c>
    </row>
    <row r="584" spans="1:33" ht="11.25" customHeight="1" x14ac:dyDescent="0.25">
      <c r="A584" s="4" t="s">
        <v>21</v>
      </c>
      <c r="B584" s="4" t="s">
        <v>35</v>
      </c>
      <c r="C584" s="4" t="s">
        <v>39</v>
      </c>
      <c r="D584" s="4" t="s">
        <v>42</v>
      </c>
      <c r="E584" s="4" t="s">
        <v>50</v>
      </c>
      <c r="F584" s="4" t="s">
        <v>52</v>
      </c>
      <c r="G584" s="4" t="s">
        <v>25</v>
      </c>
      <c r="H584" s="4" t="s">
        <v>38</v>
      </c>
      <c r="I584" s="5">
        <v>44621</v>
      </c>
      <c r="J584" s="6">
        <v>0</v>
      </c>
      <c r="K584" s="6">
        <v>0</v>
      </c>
      <c r="L584" s="6">
        <v>3626.3319999999999</v>
      </c>
      <c r="M584" s="6">
        <v>1087.8996</v>
      </c>
      <c r="N584" s="6">
        <v>3626.3319999999999</v>
      </c>
      <c r="O584" s="6">
        <v>1087.8996</v>
      </c>
      <c r="P584" s="6">
        <v>0</v>
      </c>
      <c r="Q584" s="4" t="s">
        <v>26</v>
      </c>
      <c r="R584" s="4">
        <v>0</v>
      </c>
      <c r="S584" s="6">
        <v>0</v>
      </c>
      <c r="T584" s="6">
        <v>25</v>
      </c>
      <c r="U584" s="6">
        <v>59</v>
      </c>
      <c r="V584" s="6">
        <f>IF(ISERROR(VLOOKUP($S$584,'TAR FIN'!$A$1:$O$93,15,0)),0,VLOOKUP($S$584,'TAR FIN'!$A$1:$O$93,15,0))</f>
        <v>0</v>
      </c>
      <c r="W584" s="6">
        <f>IF(ISERROR(VLOOKUP($T$584,'TAR FIN'!$A$1:$O$93,15,0)),0,VLOOKUP($T$584,'TAR FIN'!$A$1:$O$93,15,0))</f>
        <v>69.489999999999995</v>
      </c>
      <c r="X584" s="6">
        <f>IF(ISERROR(VLOOKUP($U$584,'TAR FIN'!$A$1:$O$93,15,0)),0,VLOOKUP($U$584,'TAR FIN'!$A$1:$O$93,15,0))</f>
        <v>185.18</v>
      </c>
      <c r="Y584" s="6"/>
      <c r="Z584" s="6">
        <f ca="1">('TUSD BE'!$AM$16+'TUSD BF'!$AM$16+'TUSD CVA'!$AM$16)*1</f>
        <v>92.504793470158234</v>
      </c>
      <c r="AA584" s="6">
        <f>('TE BE'!$AB$8+'TE BF'!$AB$8+'TE CVA'!$AB$8)*1</f>
        <v>198.18194779658231</v>
      </c>
      <c r="AB584" s="6">
        <f>$K$584*$V$584</f>
        <v>0</v>
      </c>
      <c r="AC584" s="6">
        <f>$M$584*$W$584</f>
        <v>75598.143203999993</v>
      </c>
      <c r="AD584" s="6">
        <f>$O$584*$X$584</f>
        <v>201457.247928</v>
      </c>
      <c r="AE584" s="6">
        <f>$K$584*$Y$584</f>
        <v>0</v>
      </c>
      <c r="AF584" s="6">
        <f ca="1">$M$584*$Z$584</f>
        <v>100635.92781426775</v>
      </c>
      <c r="AG584" s="6">
        <f>$O$584*$AA$584</f>
        <v>215602.06173512276</v>
      </c>
    </row>
    <row r="585" spans="1:33" ht="11.25" customHeight="1" x14ac:dyDescent="0.25">
      <c r="A585" s="4" t="s">
        <v>27</v>
      </c>
      <c r="B585" s="4" t="s">
        <v>35</v>
      </c>
      <c r="C585" s="4" t="s">
        <v>39</v>
      </c>
      <c r="D585" s="4" t="s">
        <v>42</v>
      </c>
      <c r="E585" s="4" t="s">
        <v>50</v>
      </c>
      <c r="F585" s="4" t="s">
        <v>52</v>
      </c>
      <c r="G585" s="4" t="s">
        <v>25</v>
      </c>
      <c r="H585" s="4" t="s">
        <v>38</v>
      </c>
      <c r="I585" s="5">
        <v>44621</v>
      </c>
      <c r="J585" s="6">
        <v>0</v>
      </c>
      <c r="K585" s="6">
        <v>0</v>
      </c>
      <c r="L585" s="6">
        <v>-98.995000000000005</v>
      </c>
      <c r="M585" s="6">
        <v>-29.698499999999999</v>
      </c>
      <c r="N585" s="6">
        <v>-98.995000000000005</v>
      </c>
      <c r="O585" s="6">
        <v>-29.698499999999999</v>
      </c>
      <c r="P585" s="6">
        <v>0</v>
      </c>
      <c r="Q585" s="4" t="s">
        <v>26</v>
      </c>
      <c r="R585" s="4">
        <v>0</v>
      </c>
      <c r="S585" s="6">
        <v>0</v>
      </c>
      <c r="T585" s="6">
        <v>25</v>
      </c>
      <c r="U585" s="6">
        <v>59</v>
      </c>
      <c r="V585" s="6">
        <f>IF(ISERROR(VLOOKUP($S$585,'TAR FIN'!$A$1:$O$93,15,0)),0,VLOOKUP($S$585,'TAR FIN'!$A$1:$O$93,15,0))</f>
        <v>0</v>
      </c>
      <c r="W585" s="6">
        <f>IF(ISERROR(VLOOKUP($T$585,'TAR FIN'!$A$1:$O$93,15,0)),0,VLOOKUP($T$585,'TAR FIN'!$A$1:$O$93,15,0))</f>
        <v>69.489999999999995</v>
      </c>
      <c r="X585" s="6">
        <f>IF(ISERROR(VLOOKUP($U$585,'TAR FIN'!$A$1:$O$93,15,0)),0,VLOOKUP($U$585,'TAR FIN'!$A$1:$O$93,15,0))</f>
        <v>185.18</v>
      </c>
      <c r="Y585" s="6"/>
      <c r="Z585" s="6">
        <f ca="1">('TUSD BE'!$AM$16+'TUSD BF'!$AM$16+'TUSD CVA'!$AM$16)*1</f>
        <v>92.504793470158234</v>
      </c>
      <c r="AA585" s="6">
        <f>('TE BE'!$AB$8+'TE BF'!$AB$8+'TE CVA'!$AB$8)*1</f>
        <v>198.18194779658231</v>
      </c>
      <c r="AB585" s="6">
        <f>$K$585*$V$585</f>
        <v>0</v>
      </c>
      <c r="AC585" s="6">
        <f>$M$585*$W$585</f>
        <v>-2063.7487649999998</v>
      </c>
      <c r="AD585" s="6">
        <f>$O$585*$X$585</f>
        <v>-5499.5682299999999</v>
      </c>
      <c r="AE585" s="6">
        <f>$K$585*$Y$585</f>
        <v>0</v>
      </c>
      <c r="AF585" s="6">
        <f ca="1">$M$585*$Z$585</f>
        <v>-2747.2536088734942</v>
      </c>
      <c r="AG585" s="6">
        <f>$O$585*$AA$585</f>
        <v>-5885.7065766367996</v>
      </c>
    </row>
    <row r="586" spans="1:33" ht="11.25" customHeight="1" x14ac:dyDescent="0.25">
      <c r="A586" s="4" t="s">
        <v>28</v>
      </c>
      <c r="B586" s="4" t="s">
        <v>35</v>
      </c>
      <c r="C586" s="4" t="s">
        <v>39</v>
      </c>
      <c r="D586" s="4" t="s">
        <v>42</v>
      </c>
      <c r="E586" s="4" t="s">
        <v>50</v>
      </c>
      <c r="F586" s="4" t="s">
        <v>52</v>
      </c>
      <c r="G586" s="4" t="s">
        <v>25</v>
      </c>
      <c r="H586" s="4" t="s">
        <v>38</v>
      </c>
      <c r="I586" s="5">
        <v>44621</v>
      </c>
      <c r="J586" s="6">
        <v>0</v>
      </c>
      <c r="K586" s="6">
        <v>0</v>
      </c>
      <c r="L586" s="6">
        <v>43.478000000000002</v>
      </c>
      <c r="M586" s="6">
        <v>13.0434</v>
      </c>
      <c r="N586" s="6">
        <v>43.478000000000002</v>
      </c>
      <c r="O586" s="6">
        <v>13.0434</v>
      </c>
      <c r="P586" s="6">
        <v>0</v>
      </c>
      <c r="Q586" s="4" t="s">
        <v>26</v>
      </c>
      <c r="R586" s="4">
        <v>0</v>
      </c>
      <c r="S586" s="6">
        <v>0</v>
      </c>
      <c r="T586" s="6">
        <v>25</v>
      </c>
      <c r="U586" s="6">
        <v>59</v>
      </c>
      <c r="V586" s="6">
        <f>IF(ISERROR(VLOOKUP($S$586,'TAR FIN'!$A$1:$O$93,15,0)),0,VLOOKUP($S$586,'TAR FIN'!$A$1:$O$93,15,0))</f>
        <v>0</v>
      </c>
      <c r="W586" s="6">
        <f>IF(ISERROR(VLOOKUP($T$586,'TAR FIN'!$A$1:$O$93,15,0)),0,VLOOKUP($T$586,'TAR FIN'!$A$1:$O$93,15,0))</f>
        <v>69.489999999999995</v>
      </c>
      <c r="X586" s="6">
        <f>IF(ISERROR(VLOOKUP($U$586,'TAR FIN'!$A$1:$O$93,15,0)),0,VLOOKUP($U$586,'TAR FIN'!$A$1:$O$93,15,0))</f>
        <v>185.18</v>
      </c>
      <c r="Y586" s="6"/>
      <c r="Z586" s="6">
        <f ca="1">('TUSD BE'!$AM$16+'TUSD BF'!$AM$16+'TUSD CVA'!$AM$16)*1</f>
        <v>92.504793470158234</v>
      </c>
      <c r="AA586" s="6">
        <f>('TE BE'!$AB$8+'TE BF'!$AB$8+'TE CVA'!$AB$8)*1</f>
        <v>198.18194779658231</v>
      </c>
      <c r="AB586" s="6">
        <f>$K$586*$V$586</f>
        <v>0</v>
      </c>
      <c r="AC586" s="6">
        <f>$M$586*$W$586</f>
        <v>906.38586599999996</v>
      </c>
      <c r="AD586" s="6">
        <f>$O$586*$X$586</f>
        <v>2415.376812</v>
      </c>
      <c r="AE586" s="6">
        <f>$K$586*$Y$586</f>
        <v>0</v>
      </c>
      <c r="AF586" s="6">
        <f ca="1">$M$586*$Z$586</f>
        <v>1206.577023148662</v>
      </c>
      <c r="AG586" s="6">
        <f>$O$586*$AA$586</f>
        <v>2584.9664178899416</v>
      </c>
    </row>
    <row r="587" spans="1:33" ht="11.25" customHeight="1" x14ac:dyDescent="0.25">
      <c r="A587" s="4" t="s">
        <v>21</v>
      </c>
      <c r="B587" s="4" t="s">
        <v>35</v>
      </c>
      <c r="C587" s="4" t="s">
        <v>39</v>
      </c>
      <c r="D587" s="4" t="s">
        <v>42</v>
      </c>
      <c r="E587" s="4" t="s">
        <v>50</v>
      </c>
      <c r="F587" s="4" t="s">
        <v>52</v>
      </c>
      <c r="G587" s="4" t="s">
        <v>25</v>
      </c>
      <c r="H587" s="4" t="s">
        <v>38</v>
      </c>
      <c r="I587" s="5">
        <v>44652</v>
      </c>
      <c r="J587" s="6">
        <v>0</v>
      </c>
      <c r="K587" s="6">
        <v>0</v>
      </c>
      <c r="L587" s="6">
        <v>891.06500000000005</v>
      </c>
      <c r="M587" s="6">
        <v>267.31950000000001</v>
      </c>
      <c r="N587" s="6">
        <v>891.06500000000005</v>
      </c>
      <c r="O587" s="6">
        <v>267.31950000000001</v>
      </c>
      <c r="P587" s="6">
        <v>0</v>
      </c>
      <c r="Q587" s="4" t="s">
        <v>26</v>
      </c>
      <c r="R587" s="4">
        <v>0</v>
      </c>
      <c r="S587" s="6">
        <v>0</v>
      </c>
      <c r="T587" s="6">
        <v>25</v>
      </c>
      <c r="U587" s="6">
        <v>59</v>
      </c>
      <c r="V587" s="6">
        <f>IF(ISERROR(VLOOKUP($S$587,'TAR FIN'!$A$1:$O$93,15,0)),0,VLOOKUP($S$587,'TAR FIN'!$A$1:$O$93,15,0))</f>
        <v>0</v>
      </c>
      <c r="W587" s="6">
        <f>IF(ISERROR(VLOOKUP($T$587,'TAR FIN'!$A$1:$O$93,15,0)),0,VLOOKUP($T$587,'TAR FIN'!$A$1:$O$93,15,0))</f>
        <v>69.489999999999995</v>
      </c>
      <c r="X587" s="6">
        <f>IF(ISERROR(VLOOKUP($U$587,'TAR FIN'!$A$1:$O$93,15,0)),0,VLOOKUP($U$587,'TAR FIN'!$A$1:$O$93,15,0))</f>
        <v>185.18</v>
      </c>
      <c r="Y587" s="6"/>
      <c r="Z587" s="6">
        <f ca="1">('TUSD BE'!$AM$16+'TUSD BF'!$AM$16+'TUSD CVA'!$AM$16)*1</f>
        <v>92.504793470158234</v>
      </c>
      <c r="AA587" s="6">
        <f>('TE BE'!$AB$8+'TE BF'!$AB$8+'TE CVA'!$AB$8)*1</f>
        <v>198.18194779658231</v>
      </c>
      <c r="AB587" s="6">
        <f>$K$587*$V$587</f>
        <v>0</v>
      </c>
      <c r="AC587" s="6">
        <f>$M$587*$W$587</f>
        <v>18576.032055</v>
      </c>
      <c r="AD587" s="6">
        <f>$O$587*$X$587</f>
        <v>49502.225010000002</v>
      </c>
      <c r="AE587" s="6">
        <f>$K$587*$Y$587</f>
        <v>0</v>
      </c>
      <c r="AF587" s="6">
        <f ca="1">$M$587*$Z$587</f>
        <v>24728.335138045964</v>
      </c>
      <c r="AG587" s="6">
        <f>$O$587*$AA$587</f>
        <v>52977.899194008482</v>
      </c>
    </row>
    <row r="588" spans="1:33" ht="11.25" customHeight="1" x14ac:dyDescent="0.25">
      <c r="A588" s="4" t="s">
        <v>27</v>
      </c>
      <c r="B588" s="4" t="s">
        <v>35</v>
      </c>
      <c r="C588" s="4" t="s">
        <v>39</v>
      </c>
      <c r="D588" s="4" t="s">
        <v>42</v>
      </c>
      <c r="E588" s="4" t="s">
        <v>50</v>
      </c>
      <c r="F588" s="4" t="s">
        <v>52</v>
      </c>
      <c r="G588" s="4" t="s">
        <v>25</v>
      </c>
      <c r="H588" s="4" t="s">
        <v>38</v>
      </c>
      <c r="I588" s="5">
        <v>44652</v>
      </c>
      <c r="J588" s="6">
        <v>0</v>
      </c>
      <c r="K588" s="6">
        <v>0</v>
      </c>
      <c r="L588" s="6">
        <v>-29.437000000000001</v>
      </c>
      <c r="M588" s="6">
        <v>-8.8310999999999993</v>
      </c>
      <c r="N588" s="6">
        <v>-29.437000000000001</v>
      </c>
      <c r="O588" s="6">
        <v>-8.8310999999999993</v>
      </c>
      <c r="P588" s="6">
        <v>0</v>
      </c>
      <c r="Q588" s="4" t="s">
        <v>26</v>
      </c>
      <c r="R588" s="4">
        <v>0</v>
      </c>
      <c r="S588" s="6">
        <v>0</v>
      </c>
      <c r="T588" s="6">
        <v>25</v>
      </c>
      <c r="U588" s="6">
        <v>59</v>
      </c>
      <c r="V588" s="6">
        <f>IF(ISERROR(VLOOKUP($S$588,'TAR FIN'!$A$1:$O$93,15,0)),0,VLOOKUP($S$588,'TAR FIN'!$A$1:$O$93,15,0))</f>
        <v>0</v>
      </c>
      <c r="W588" s="6">
        <f>IF(ISERROR(VLOOKUP($T$588,'TAR FIN'!$A$1:$O$93,15,0)),0,VLOOKUP($T$588,'TAR FIN'!$A$1:$O$93,15,0))</f>
        <v>69.489999999999995</v>
      </c>
      <c r="X588" s="6">
        <f>IF(ISERROR(VLOOKUP($U$588,'TAR FIN'!$A$1:$O$93,15,0)),0,VLOOKUP($U$588,'TAR FIN'!$A$1:$O$93,15,0))</f>
        <v>185.18</v>
      </c>
      <c r="Y588" s="6"/>
      <c r="Z588" s="6">
        <f ca="1">('TUSD BE'!$AM$16+'TUSD BF'!$AM$16+'TUSD CVA'!$AM$16)*1</f>
        <v>92.504793470158234</v>
      </c>
      <c r="AA588" s="6">
        <f>('TE BE'!$AB$8+'TE BF'!$AB$8+'TE CVA'!$AB$8)*1</f>
        <v>198.18194779658231</v>
      </c>
      <c r="AB588" s="6">
        <f>$K$588*$V$588</f>
        <v>0</v>
      </c>
      <c r="AC588" s="6">
        <f>$M$588*$W$588</f>
        <v>-613.67313899999988</v>
      </c>
      <c r="AD588" s="6">
        <f>$O$588*$X$588</f>
        <v>-1635.3430979999998</v>
      </c>
      <c r="AE588" s="6">
        <f>$K$588*$Y$588</f>
        <v>0</v>
      </c>
      <c r="AF588" s="6">
        <f ca="1">$M$588*$Z$588</f>
        <v>-816.91908161431434</v>
      </c>
      <c r="AG588" s="6">
        <f>$O$588*$AA$588</f>
        <v>-1750.1645991863979</v>
      </c>
    </row>
    <row r="589" spans="1:33" ht="11.25" customHeight="1" x14ac:dyDescent="0.25">
      <c r="A589" s="4" t="s">
        <v>28</v>
      </c>
      <c r="B589" s="4" t="s">
        <v>35</v>
      </c>
      <c r="C589" s="4" t="s">
        <v>39</v>
      </c>
      <c r="D589" s="4" t="s">
        <v>42</v>
      </c>
      <c r="E589" s="4" t="s">
        <v>50</v>
      </c>
      <c r="F589" s="4" t="s">
        <v>52</v>
      </c>
      <c r="G589" s="4" t="s">
        <v>25</v>
      </c>
      <c r="H589" s="4" t="s">
        <v>38</v>
      </c>
      <c r="I589" s="5">
        <v>44652</v>
      </c>
      <c r="J589" s="6">
        <v>0</v>
      </c>
      <c r="K589" s="6">
        <v>0</v>
      </c>
      <c r="L589" s="6">
        <v>15.882</v>
      </c>
      <c r="M589" s="6">
        <v>4.7645999999999997</v>
      </c>
      <c r="N589" s="6">
        <v>15.882</v>
      </c>
      <c r="O589" s="6">
        <v>4.7645999999999997</v>
      </c>
      <c r="P589" s="6">
        <v>0</v>
      </c>
      <c r="Q589" s="4" t="s">
        <v>26</v>
      </c>
      <c r="R589" s="4">
        <v>0</v>
      </c>
      <c r="S589" s="6">
        <v>0</v>
      </c>
      <c r="T589" s="6">
        <v>25</v>
      </c>
      <c r="U589" s="6">
        <v>59</v>
      </c>
      <c r="V589" s="6">
        <f>IF(ISERROR(VLOOKUP($S$589,'TAR FIN'!$A$1:$O$93,15,0)),0,VLOOKUP($S$589,'TAR FIN'!$A$1:$O$93,15,0))</f>
        <v>0</v>
      </c>
      <c r="W589" s="6">
        <f>IF(ISERROR(VLOOKUP($T$589,'TAR FIN'!$A$1:$O$93,15,0)),0,VLOOKUP($T$589,'TAR FIN'!$A$1:$O$93,15,0))</f>
        <v>69.489999999999995</v>
      </c>
      <c r="X589" s="6">
        <f>IF(ISERROR(VLOOKUP($U$589,'TAR FIN'!$A$1:$O$93,15,0)),0,VLOOKUP($U$589,'TAR FIN'!$A$1:$O$93,15,0))</f>
        <v>185.18</v>
      </c>
      <c r="Y589" s="6"/>
      <c r="Z589" s="6">
        <f ca="1">('TUSD BE'!$AM$16+'TUSD BF'!$AM$16+'TUSD CVA'!$AM$16)*1</f>
        <v>92.504793470158234</v>
      </c>
      <c r="AA589" s="6">
        <f>('TE BE'!$AB$8+'TE BF'!$AB$8+'TE CVA'!$AB$8)*1</f>
        <v>198.18194779658231</v>
      </c>
      <c r="AB589" s="6">
        <f>$K$589*$V$589</f>
        <v>0</v>
      </c>
      <c r="AC589" s="6">
        <f>$M$589*$W$589</f>
        <v>331.09205399999996</v>
      </c>
      <c r="AD589" s="6">
        <f>$O$589*$X$589</f>
        <v>882.308628</v>
      </c>
      <c r="AE589" s="6">
        <f>$K$589*$Y$589</f>
        <v>0</v>
      </c>
      <c r="AF589" s="6">
        <f ca="1">$M$589*$Z$589</f>
        <v>440.74833896791591</v>
      </c>
      <c r="AG589" s="6">
        <f>$O$589*$AA$589</f>
        <v>944.25770847159606</v>
      </c>
    </row>
    <row r="590" spans="1:33" ht="11.25" customHeight="1" x14ac:dyDescent="0.25">
      <c r="A590" s="4" t="s">
        <v>21</v>
      </c>
      <c r="B590" s="4" t="s">
        <v>35</v>
      </c>
      <c r="C590" s="4" t="s">
        <v>39</v>
      </c>
      <c r="D590" s="4" t="s">
        <v>42</v>
      </c>
      <c r="E590" s="4" t="s">
        <v>50</v>
      </c>
      <c r="F590" s="4" t="s">
        <v>52</v>
      </c>
      <c r="G590" s="4" t="s">
        <v>25</v>
      </c>
      <c r="H590" s="4" t="s">
        <v>38</v>
      </c>
      <c r="I590" s="5">
        <v>44682</v>
      </c>
      <c r="J590" s="6">
        <v>0</v>
      </c>
      <c r="K590" s="6">
        <v>0</v>
      </c>
      <c r="L590" s="6">
        <v>287.714</v>
      </c>
      <c r="M590" s="6">
        <v>86.3142</v>
      </c>
      <c r="N590" s="6">
        <v>287.714</v>
      </c>
      <c r="O590" s="6">
        <v>86.3142</v>
      </c>
      <c r="P590" s="6">
        <v>0</v>
      </c>
      <c r="Q590" s="4" t="s">
        <v>26</v>
      </c>
      <c r="R590" s="4">
        <v>0</v>
      </c>
      <c r="S590" s="6">
        <v>0</v>
      </c>
      <c r="T590" s="6">
        <v>25</v>
      </c>
      <c r="U590" s="6">
        <v>59</v>
      </c>
      <c r="V590" s="6">
        <f>IF(ISERROR(VLOOKUP($S$590,'TAR FIN'!$A$1:$O$93,15,0)),0,VLOOKUP($S$590,'TAR FIN'!$A$1:$O$93,15,0))</f>
        <v>0</v>
      </c>
      <c r="W590" s="6">
        <f>IF(ISERROR(VLOOKUP($T$590,'TAR FIN'!$A$1:$O$93,15,0)),0,VLOOKUP($T$590,'TAR FIN'!$A$1:$O$93,15,0))</f>
        <v>69.489999999999995</v>
      </c>
      <c r="X590" s="6">
        <f>IF(ISERROR(VLOOKUP($U$590,'TAR FIN'!$A$1:$O$93,15,0)),0,VLOOKUP($U$590,'TAR FIN'!$A$1:$O$93,15,0))</f>
        <v>185.18</v>
      </c>
      <c r="Y590" s="6"/>
      <c r="Z590" s="6">
        <f ca="1">('TUSD BE'!$AM$16+'TUSD BF'!$AM$16+'TUSD CVA'!$AM$16)*1</f>
        <v>92.504793470158234</v>
      </c>
      <c r="AA590" s="6">
        <f>('TE BE'!$AB$8+'TE BF'!$AB$8+'TE CVA'!$AB$8)*1</f>
        <v>198.18194779658231</v>
      </c>
      <c r="AB590" s="6">
        <f>$K$590*$V$590</f>
        <v>0</v>
      </c>
      <c r="AC590" s="6">
        <f>$M$590*$W$590</f>
        <v>5997.9737579999992</v>
      </c>
      <c r="AD590" s="6">
        <f>$O$590*$X$590</f>
        <v>15983.663556000001</v>
      </c>
      <c r="AE590" s="6">
        <f>$K$590*$Y$590</f>
        <v>0</v>
      </c>
      <c r="AF590" s="6">
        <f ca="1">$M$590*$Z$590</f>
        <v>7984.4772445419321</v>
      </c>
      <c r="AG590" s="6">
        <f>$O$590*$AA$590</f>
        <v>17105.916278503766</v>
      </c>
    </row>
    <row r="591" spans="1:33" ht="11.25" customHeight="1" x14ac:dyDescent="0.25">
      <c r="A591" s="4" t="s">
        <v>27</v>
      </c>
      <c r="B591" s="4" t="s">
        <v>35</v>
      </c>
      <c r="C591" s="4" t="s">
        <v>39</v>
      </c>
      <c r="D591" s="4" t="s">
        <v>42</v>
      </c>
      <c r="E591" s="4" t="s">
        <v>50</v>
      </c>
      <c r="F591" s="4" t="s">
        <v>52</v>
      </c>
      <c r="G591" s="4" t="s">
        <v>25</v>
      </c>
      <c r="H591" s="4" t="s">
        <v>38</v>
      </c>
      <c r="I591" s="5">
        <v>44682</v>
      </c>
      <c r="J591" s="6">
        <v>0</v>
      </c>
      <c r="K591" s="6">
        <v>0</v>
      </c>
      <c r="L591" s="6">
        <v>-6.31</v>
      </c>
      <c r="M591" s="6">
        <v>-1.893</v>
      </c>
      <c r="N591" s="6">
        <v>-6.31</v>
      </c>
      <c r="O591" s="6">
        <v>-1.893</v>
      </c>
      <c r="P591" s="6">
        <v>0</v>
      </c>
      <c r="Q591" s="4" t="s">
        <v>26</v>
      </c>
      <c r="R591" s="4">
        <v>0</v>
      </c>
      <c r="S591" s="6">
        <v>0</v>
      </c>
      <c r="T591" s="6">
        <v>25</v>
      </c>
      <c r="U591" s="6">
        <v>59</v>
      </c>
      <c r="V591" s="6">
        <f>IF(ISERROR(VLOOKUP($S$591,'TAR FIN'!$A$1:$O$93,15,0)),0,VLOOKUP($S$591,'TAR FIN'!$A$1:$O$93,15,0))</f>
        <v>0</v>
      </c>
      <c r="W591" s="6">
        <f>IF(ISERROR(VLOOKUP($T$591,'TAR FIN'!$A$1:$O$93,15,0)),0,VLOOKUP($T$591,'TAR FIN'!$A$1:$O$93,15,0))</f>
        <v>69.489999999999995</v>
      </c>
      <c r="X591" s="6">
        <f>IF(ISERROR(VLOOKUP($U$591,'TAR FIN'!$A$1:$O$93,15,0)),0,VLOOKUP($U$591,'TAR FIN'!$A$1:$O$93,15,0))</f>
        <v>185.18</v>
      </c>
      <c r="Y591" s="6"/>
      <c r="Z591" s="6">
        <f ca="1">('TUSD BE'!$AM$16+'TUSD BF'!$AM$16+'TUSD CVA'!$AM$16)*1</f>
        <v>92.504793470158234</v>
      </c>
      <c r="AA591" s="6">
        <f>('TE BE'!$AB$8+'TE BF'!$AB$8+'TE CVA'!$AB$8)*1</f>
        <v>198.18194779658231</v>
      </c>
      <c r="AB591" s="6">
        <f>$K$591*$V$591</f>
        <v>0</v>
      </c>
      <c r="AC591" s="6">
        <f>$M$591*$W$591</f>
        <v>-131.54456999999999</v>
      </c>
      <c r="AD591" s="6">
        <f>$O$591*$X$591</f>
        <v>-350.54574000000002</v>
      </c>
      <c r="AE591" s="6">
        <f>$K$591*$Y$591</f>
        <v>0</v>
      </c>
      <c r="AF591" s="6">
        <f ca="1">$M$591*$Z$591</f>
        <v>-175.11157403900953</v>
      </c>
      <c r="AG591" s="6">
        <f>$O$591*$AA$591</f>
        <v>-375.15842717893031</v>
      </c>
    </row>
    <row r="592" spans="1:33" ht="11.25" customHeight="1" x14ac:dyDescent="0.25">
      <c r="A592" s="4" t="s">
        <v>21</v>
      </c>
      <c r="B592" s="4" t="s">
        <v>35</v>
      </c>
      <c r="C592" s="4" t="s">
        <v>39</v>
      </c>
      <c r="D592" s="4" t="s">
        <v>42</v>
      </c>
      <c r="E592" s="4" t="s">
        <v>50</v>
      </c>
      <c r="F592" s="4" t="s">
        <v>52</v>
      </c>
      <c r="G592" s="4" t="s">
        <v>25</v>
      </c>
      <c r="H592" s="4" t="s">
        <v>38</v>
      </c>
      <c r="I592" s="5">
        <v>44713</v>
      </c>
      <c r="J592" s="6">
        <v>0</v>
      </c>
      <c r="K592" s="6">
        <v>0</v>
      </c>
      <c r="L592" s="6">
        <v>222.86099999999999</v>
      </c>
      <c r="M592" s="6">
        <v>66.8583</v>
      </c>
      <c r="N592" s="6">
        <v>222.86099999999999</v>
      </c>
      <c r="O592" s="6">
        <v>66.8583</v>
      </c>
      <c r="P592" s="6">
        <v>0</v>
      </c>
      <c r="Q592" s="4" t="s">
        <v>26</v>
      </c>
      <c r="R592" s="4">
        <v>0</v>
      </c>
      <c r="S592" s="6">
        <v>0</v>
      </c>
      <c r="T592" s="6">
        <v>25</v>
      </c>
      <c r="U592" s="6">
        <v>59</v>
      </c>
      <c r="V592" s="6">
        <f>IF(ISERROR(VLOOKUP($S$592,'TAR FIN'!$A$1:$O$93,15,0)),0,VLOOKUP($S$592,'TAR FIN'!$A$1:$O$93,15,0))</f>
        <v>0</v>
      </c>
      <c r="W592" s="6">
        <f>IF(ISERROR(VLOOKUP($T$592,'TAR FIN'!$A$1:$O$93,15,0)),0,VLOOKUP($T$592,'TAR FIN'!$A$1:$O$93,15,0))</f>
        <v>69.489999999999995</v>
      </c>
      <c r="X592" s="6">
        <f>IF(ISERROR(VLOOKUP($U$592,'TAR FIN'!$A$1:$O$93,15,0)),0,VLOOKUP($U$592,'TAR FIN'!$A$1:$O$93,15,0))</f>
        <v>185.18</v>
      </c>
      <c r="Y592" s="6"/>
      <c r="Z592" s="6">
        <f ca="1">('TUSD BE'!$AM$16+'TUSD BF'!$AM$16+'TUSD CVA'!$AM$16)*1</f>
        <v>92.504793470158234</v>
      </c>
      <c r="AA592" s="6">
        <f>('TE BE'!$AB$8+'TE BF'!$AB$8+'TE CVA'!$AB$8)*1</f>
        <v>198.18194779658231</v>
      </c>
      <c r="AB592" s="6">
        <f>$K$592*$V$592</f>
        <v>0</v>
      </c>
      <c r="AC592" s="6">
        <f>$M$592*$W$592</f>
        <v>4645.9832669999996</v>
      </c>
      <c r="AD592" s="6">
        <f>$O$592*$X$592</f>
        <v>12380.819994000001</v>
      </c>
      <c r="AE592" s="6">
        <f>$K$592*$Y$592</f>
        <v>0</v>
      </c>
      <c r="AF592" s="6">
        <f ca="1">$M$592*$Z$592</f>
        <v>6184.7132332658803</v>
      </c>
      <c r="AG592" s="6">
        <f>$O$592*$AA$592</f>
        <v>13250.108120368239</v>
      </c>
    </row>
    <row r="593" spans="1:33" ht="11.25" customHeight="1" x14ac:dyDescent="0.25">
      <c r="A593" s="4" t="s">
        <v>27</v>
      </c>
      <c r="B593" s="4" t="s">
        <v>35</v>
      </c>
      <c r="C593" s="4" t="s">
        <v>39</v>
      </c>
      <c r="D593" s="4" t="s">
        <v>42</v>
      </c>
      <c r="E593" s="4" t="s">
        <v>50</v>
      </c>
      <c r="F593" s="4" t="s">
        <v>52</v>
      </c>
      <c r="G593" s="4" t="s">
        <v>25</v>
      </c>
      <c r="H593" s="4" t="s">
        <v>38</v>
      </c>
      <c r="I593" s="5">
        <v>44713</v>
      </c>
      <c r="J593" s="6">
        <v>0</v>
      </c>
      <c r="K593" s="6">
        <v>0</v>
      </c>
      <c r="L593" s="6">
        <v>-0.36299999999999999</v>
      </c>
      <c r="M593" s="6">
        <v>-0.1089</v>
      </c>
      <c r="N593" s="6">
        <v>-0.36299999999999999</v>
      </c>
      <c r="O593" s="6">
        <v>-0.1089</v>
      </c>
      <c r="P593" s="6">
        <v>0</v>
      </c>
      <c r="Q593" s="4" t="s">
        <v>26</v>
      </c>
      <c r="R593" s="4">
        <v>0</v>
      </c>
      <c r="S593" s="6">
        <v>0</v>
      </c>
      <c r="T593" s="6">
        <v>25</v>
      </c>
      <c r="U593" s="6">
        <v>59</v>
      </c>
      <c r="V593" s="6">
        <f>IF(ISERROR(VLOOKUP($S$593,'TAR FIN'!$A$1:$O$93,15,0)),0,VLOOKUP($S$593,'TAR FIN'!$A$1:$O$93,15,0))</f>
        <v>0</v>
      </c>
      <c r="W593" s="6">
        <f>IF(ISERROR(VLOOKUP($T$593,'TAR FIN'!$A$1:$O$93,15,0)),0,VLOOKUP($T$593,'TAR FIN'!$A$1:$O$93,15,0))</f>
        <v>69.489999999999995</v>
      </c>
      <c r="X593" s="6">
        <f>IF(ISERROR(VLOOKUP($U$593,'TAR FIN'!$A$1:$O$93,15,0)),0,VLOOKUP($U$593,'TAR FIN'!$A$1:$O$93,15,0))</f>
        <v>185.18</v>
      </c>
      <c r="Y593" s="6"/>
      <c r="Z593" s="6">
        <f ca="1">('TUSD BE'!$AM$16+'TUSD BF'!$AM$16+'TUSD CVA'!$AM$16)*1</f>
        <v>92.504793470158234</v>
      </c>
      <c r="AA593" s="6">
        <f>('TE BE'!$AB$8+'TE BF'!$AB$8+'TE CVA'!$AB$8)*1</f>
        <v>198.18194779658231</v>
      </c>
      <c r="AB593" s="6">
        <f>$K$593*$V$593</f>
        <v>0</v>
      </c>
      <c r="AC593" s="6">
        <f>$M$593*$W$593</f>
        <v>-7.5674609999999989</v>
      </c>
      <c r="AD593" s="6">
        <f>$O$593*$X$593</f>
        <v>-20.166101999999999</v>
      </c>
      <c r="AE593" s="6">
        <f>$K$593*$Y$593</f>
        <v>0</v>
      </c>
      <c r="AF593" s="6">
        <f ca="1">$M$593*$Z$593</f>
        <v>-10.073772008900232</v>
      </c>
      <c r="AG593" s="6">
        <f>$O$593*$AA$593</f>
        <v>-21.582014115047812</v>
      </c>
    </row>
    <row r="594" spans="1:33" ht="11.25" customHeight="1" x14ac:dyDescent="0.25">
      <c r="A594" s="4" t="s">
        <v>28</v>
      </c>
      <c r="B594" s="4" t="s">
        <v>35</v>
      </c>
      <c r="C594" s="4" t="s">
        <v>39</v>
      </c>
      <c r="D594" s="4" t="s">
        <v>42</v>
      </c>
      <c r="E594" s="4" t="s">
        <v>50</v>
      </c>
      <c r="F594" s="4" t="s">
        <v>52</v>
      </c>
      <c r="G594" s="4" t="s">
        <v>25</v>
      </c>
      <c r="H594" s="4" t="s">
        <v>38</v>
      </c>
      <c r="I594" s="5">
        <v>44713</v>
      </c>
      <c r="J594" s="6">
        <v>0</v>
      </c>
      <c r="K594" s="6">
        <v>0</v>
      </c>
      <c r="L594" s="6">
        <v>2E-3</v>
      </c>
      <c r="M594" s="6">
        <v>5.9999999999999995E-4</v>
      </c>
      <c r="N594" s="6">
        <v>2E-3</v>
      </c>
      <c r="O594" s="6">
        <v>5.9999999999999995E-4</v>
      </c>
      <c r="P594" s="6">
        <v>0</v>
      </c>
      <c r="Q594" s="4" t="s">
        <v>26</v>
      </c>
      <c r="R594" s="4">
        <v>0</v>
      </c>
      <c r="S594" s="6">
        <v>0</v>
      </c>
      <c r="T594" s="6">
        <v>25</v>
      </c>
      <c r="U594" s="6">
        <v>59</v>
      </c>
      <c r="V594" s="6">
        <f>IF(ISERROR(VLOOKUP($S$594,'TAR FIN'!$A$1:$O$93,15,0)),0,VLOOKUP($S$594,'TAR FIN'!$A$1:$O$93,15,0))</f>
        <v>0</v>
      </c>
      <c r="W594" s="6">
        <f>IF(ISERROR(VLOOKUP($T$594,'TAR FIN'!$A$1:$O$93,15,0)),0,VLOOKUP($T$594,'TAR FIN'!$A$1:$O$93,15,0))</f>
        <v>69.489999999999995</v>
      </c>
      <c r="X594" s="6">
        <f>IF(ISERROR(VLOOKUP($U$594,'TAR FIN'!$A$1:$O$93,15,0)),0,VLOOKUP($U$594,'TAR FIN'!$A$1:$O$93,15,0))</f>
        <v>185.18</v>
      </c>
      <c r="Y594" s="6"/>
      <c r="Z594" s="6">
        <f ca="1">('TUSD BE'!$AM$16+'TUSD BF'!$AM$16+'TUSD CVA'!$AM$16)*1</f>
        <v>92.504793470158234</v>
      </c>
      <c r="AA594" s="6">
        <f>('TE BE'!$AB$8+'TE BF'!$AB$8+'TE CVA'!$AB$8)*1</f>
        <v>198.18194779658231</v>
      </c>
      <c r="AB594" s="6">
        <f>$K$594*$V$594</f>
        <v>0</v>
      </c>
      <c r="AC594" s="6">
        <f>$M$594*$W$594</f>
        <v>4.1693999999999995E-2</v>
      </c>
      <c r="AD594" s="6">
        <f>$O$594*$X$594</f>
        <v>0.111108</v>
      </c>
      <c r="AE594" s="6">
        <f>$K$594*$Y$594</f>
        <v>0</v>
      </c>
      <c r="AF594" s="6">
        <f ca="1">$M$594*$Z$594</f>
        <v>5.5502876082094935E-2</v>
      </c>
      <c r="AG594" s="6">
        <f>$O$594*$AA$594</f>
        <v>0.11890916867794937</v>
      </c>
    </row>
    <row r="595" spans="1:33" ht="11.25" customHeight="1" x14ac:dyDescent="0.25">
      <c r="A595" s="4" t="s">
        <v>21</v>
      </c>
      <c r="B595" s="4" t="s">
        <v>35</v>
      </c>
      <c r="C595" s="4" t="s">
        <v>39</v>
      </c>
      <c r="D595" s="4" t="s">
        <v>42</v>
      </c>
      <c r="E595" s="4" t="s">
        <v>50</v>
      </c>
      <c r="F595" s="4" t="s">
        <v>25</v>
      </c>
      <c r="G595" s="4" t="s">
        <v>25</v>
      </c>
      <c r="H595" s="4" t="s">
        <v>25</v>
      </c>
      <c r="I595" s="5">
        <v>44378</v>
      </c>
      <c r="J595" s="6">
        <v>5208</v>
      </c>
      <c r="K595" s="75">
        <v>5208</v>
      </c>
      <c r="L595" s="6">
        <v>0</v>
      </c>
      <c r="M595" s="75">
        <v>0</v>
      </c>
      <c r="N595" s="6">
        <v>0</v>
      </c>
      <c r="O595" s="75">
        <v>0</v>
      </c>
      <c r="P595" s="6">
        <v>146</v>
      </c>
      <c r="Q595" s="4" t="s">
        <v>26</v>
      </c>
      <c r="R595" s="4">
        <v>0</v>
      </c>
      <c r="S595" s="6">
        <v>18</v>
      </c>
      <c r="T595" s="6">
        <v>0</v>
      </c>
      <c r="U595" s="6">
        <v>0</v>
      </c>
      <c r="V595" s="75">
        <f>IF(ISERROR(VLOOKUP($S$595,'TAR FIN'!$A$1:$O$93,15,0)),0,VLOOKUP($S$595,'TAR FIN'!$A$1:$O$93,15,0))*(1-0.04)</f>
        <v>25.123200000000001</v>
      </c>
      <c r="W595" s="75">
        <f>IF(ISERROR(VLOOKUP($T$595,'TAR FIN'!$A$1:$O$93,15,0)),0,VLOOKUP($T$595,'TAR FIN'!$A$1:$O$93,15,0))</f>
        <v>0</v>
      </c>
      <c r="X595" s="75">
        <f>IF(ISERROR(VLOOKUP($U$595,'TAR FIN'!$A$1:$O$93,15,0)),0,VLOOKUP($U$595,'TAR FIN'!$A$1:$O$93,15,0))</f>
        <v>0</v>
      </c>
      <c r="Y595" s="75">
        <f ca="1">('TUSD BE'!$AM$14+'TUSD BF'!$AM$14+'TUSD CVA'!$AM$14)*1*(1-0.02)</f>
        <v>29.844412718026739</v>
      </c>
      <c r="Z595" s="75"/>
      <c r="AA595" s="75"/>
      <c r="AB595" s="6">
        <f>$K$595*$V$595</f>
        <v>130841.6256</v>
      </c>
      <c r="AC595" s="6">
        <f>$M$595*$W$595</f>
        <v>0</v>
      </c>
      <c r="AD595" s="6">
        <f>$O$595*$X$595</f>
        <v>0</v>
      </c>
      <c r="AE595" s="6">
        <f ca="1">$K$595*$Y$595</f>
        <v>155429.70143548326</v>
      </c>
      <c r="AF595" s="6">
        <f>$M$595*$Z$595</f>
        <v>0</v>
      </c>
      <c r="AG595" s="6">
        <f>$O$595*$AA$595</f>
        <v>0</v>
      </c>
    </row>
    <row r="596" spans="1:33" ht="11.25" customHeight="1" x14ac:dyDescent="0.25">
      <c r="A596" s="4" t="s">
        <v>28</v>
      </c>
      <c r="B596" s="4" t="s">
        <v>35</v>
      </c>
      <c r="C596" s="4" t="s">
        <v>39</v>
      </c>
      <c r="D596" s="4" t="s">
        <v>42</v>
      </c>
      <c r="E596" s="4" t="s">
        <v>50</v>
      </c>
      <c r="F596" s="4" t="s">
        <v>25</v>
      </c>
      <c r="G596" s="4" t="s">
        <v>25</v>
      </c>
      <c r="H596" s="4" t="s">
        <v>25</v>
      </c>
      <c r="I596" s="5">
        <v>44378</v>
      </c>
      <c r="J596" s="6">
        <v>1170</v>
      </c>
      <c r="K596" s="75">
        <v>1170</v>
      </c>
      <c r="L596" s="6">
        <v>0</v>
      </c>
      <c r="M596" s="75">
        <v>0</v>
      </c>
      <c r="N596" s="6">
        <v>0</v>
      </c>
      <c r="O596" s="75">
        <v>0</v>
      </c>
      <c r="P596" s="6">
        <v>5</v>
      </c>
      <c r="Q596" s="4" t="s">
        <v>26</v>
      </c>
      <c r="R596" s="4">
        <v>0</v>
      </c>
      <c r="S596" s="6">
        <v>18</v>
      </c>
      <c r="T596" s="6">
        <v>0</v>
      </c>
      <c r="U596" s="6">
        <v>0</v>
      </c>
      <c r="V596" s="75">
        <f>IF(ISERROR(VLOOKUP($S$596,'TAR FIN'!$A$1:$O$93,15,0)),0,VLOOKUP($S$596,'TAR FIN'!$A$1:$O$93,15,0))*(1-0.04)</f>
        <v>25.123200000000001</v>
      </c>
      <c r="W596" s="75">
        <f>IF(ISERROR(VLOOKUP($T$596,'TAR FIN'!$A$1:$O$93,15,0)),0,VLOOKUP($T$596,'TAR FIN'!$A$1:$O$93,15,0))</f>
        <v>0</v>
      </c>
      <c r="X596" s="75">
        <f>IF(ISERROR(VLOOKUP($U$596,'TAR FIN'!$A$1:$O$93,15,0)),0,VLOOKUP($U$596,'TAR FIN'!$A$1:$O$93,15,0))</f>
        <v>0</v>
      </c>
      <c r="Y596" s="75">
        <f ca="1">('TUSD BE'!$AM$14+'TUSD BF'!$AM$14+'TUSD CVA'!$AM$14)*1*(1-0.02)</f>
        <v>29.844412718026739</v>
      </c>
      <c r="Z596" s="75"/>
      <c r="AA596" s="75"/>
      <c r="AB596" s="6">
        <f>$K$596*$V$596</f>
        <v>29394.144</v>
      </c>
      <c r="AC596" s="6">
        <f>$M$596*$W$596</f>
        <v>0</v>
      </c>
      <c r="AD596" s="6">
        <f>$O$596*$X$596</f>
        <v>0</v>
      </c>
      <c r="AE596" s="6">
        <f ca="1">$K$596*$Y$596</f>
        <v>34917.962880091283</v>
      </c>
      <c r="AF596" s="6">
        <f>$M$596*$Z$596</f>
        <v>0</v>
      </c>
      <c r="AG596" s="6">
        <f>$O$596*$AA$596</f>
        <v>0</v>
      </c>
    </row>
    <row r="597" spans="1:33" ht="11.25" customHeight="1" x14ac:dyDescent="0.25">
      <c r="A597" s="4" t="s">
        <v>21</v>
      </c>
      <c r="B597" s="4" t="s">
        <v>35</v>
      </c>
      <c r="C597" s="4" t="s">
        <v>39</v>
      </c>
      <c r="D597" s="4" t="s">
        <v>42</v>
      </c>
      <c r="E597" s="4" t="s">
        <v>50</v>
      </c>
      <c r="F597" s="4" t="s">
        <v>25</v>
      </c>
      <c r="G597" s="4" t="s">
        <v>25</v>
      </c>
      <c r="H597" s="4" t="s">
        <v>25</v>
      </c>
      <c r="I597" s="5">
        <v>44409</v>
      </c>
      <c r="J597" s="6">
        <v>7146</v>
      </c>
      <c r="K597" s="75">
        <v>7146</v>
      </c>
      <c r="L597" s="6">
        <v>0</v>
      </c>
      <c r="M597" s="75">
        <v>0</v>
      </c>
      <c r="N597" s="6">
        <v>0</v>
      </c>
      <c r="O597" s="75">
        <v>0</v>
      </c>
      <c r="P597" s="6">
        <v>151</v>
      </c>
      <c r="Q597" s="4" t="s">
        <v>26</v>
      </c>
      <c r="R597" s="4">
        <v>0</v>
      </c>
      <c r="S597" s="6">
        <v>18</v>
      </c>
      <c r="T597" s="6">
        <v>0</v>
      </c>
      <c r="U597" s="6">
        <v>0</v>
      </c>
      <c r="V597" s="75">
        <f>IF(ISERROR(VLOOKUP($S$597,'TAR FIN'!$A$1:$O$93,15,0)),0,VLOOKUP($S$597,'TAR FIN'!$A$1:$O$93,15,0))*(1-0.04)</f>
        <v>25.123200000000001</v>
      </c>
      <c r="W597" s="75">
        <f>IF(ISERROR(VLOOKUP($T$597,'TAR FIN'!$A$1:$O$93,15,0)),0,VLOOKUP($T$597,'TAR FIN'!$A$1:$O$93,15,0))</f>
        <v>0</v>
      </c>
      <c r="X597" s="75">
        <f>IF(ISERROR(VLOOKUP($U$597,'TAR FIN'!$A$1:$O$93,15,0)),0,VLOOKUP($U$597,'TAR FIN'!$A$1:$O$93,15,0))</f>
        <v>0</v>
      </c>
      <c r="Y597" s="75">
        <f ca="1">('TUSD BE'!$AM$14+'TUSD BF'!$AM$14+'TUSD CVA'!$AM$14)*1*(1-0.02)</f>
        <v>29.844412718026739</v>
      </c>
      <c r="Z597" s="75"/>
      <c r="AA597" s="75"/>
      <c r="AB597" s="6">
        <f>$K$597*$V$597</f>
        <v>179530.3872</v>
      </c>
      <c r="AC597" s="6">
        <f>$M$597*$W$597</f>
        <v>0</v>
      </c>
      <c r="AD597" s="6">
        <f>$O$597*$X$597</f>
        <v>0</v>
      </c>
      <c r="AE597" s="6">
        <f ca="1">$K$597*$Y$597</f>
        <v>213268.17328301907</v>
      </c>
      <c r="AF597" s="6">
        <f>$M$597*$Z$597</f>
        <v>0</v>
      </c>
      <c r="AG597" s="6">
        <f>$O$597*$AA$597</f>
        <v>0</v>
      </c>
    </row>
    <row r="598" spans="1:33" ht="11.25" customHeight="1" x14ac:dyDescent="0.25">
      <c r="A598" s="4" t="s">
        <v>28</v>
      </c>
      <c r="B598" s="4" t="s">
        <v>35</v>
      </c>
      <c r="C598" s="4" t="s">
        <v>39</v>
      </c>
      <c r="D598" s="4" t="s">
        <v>42</v>
      </c>
      <c r="E598" s="4" t="s">
        <v>50</v>
      </c>
      <c r="F598" s="4" t="s">
        <v>25</v>
      </c>
      <c r="G598" s="4" t="s">
        <v>25</v>
      </c>
      <c r="H598" s="4" t="s">
        <v>25</v>
      </c>
      <c r="I598" s="5">
        <v>44409</v>
      </c>
      <c r="J598" s="6">
        <v>1170</v>
      </c>
      <c r="K598" s="75">
        <v>1170</v>
      </c>
      <c r="L598" s="6">
        <v>0</v>
      </c>
      <c r="M598" s="75">
        <v>0</v>
      </c>
      <c r="N598" s="6">
        <v>0</v>
      </c>
      <c r="O598" s="75">
        <v>0</v>
      </c>
      <c r="P598" s="6">
        <v>5</v>
      </c>
      <c r="Q598" s="4" t="s">
        <v>26</v>
      </c>
      <c r="R598" s="4">
        <v>0</v>
      </c>
      <c r="S598" s="6">
        <v>18</v>
      </c>
      <c r="T598" s="6">
        <v>0</v>
      </c>
      <c r="U598" s="6">
        <v>0</v>
      </c>
      <c r="V598" s="75">
        <f>IF(ISERROR(VLOOKUP($S$598,'TAR FIN'!$A$1:$O$93,15,0)),0,VLOOKUP($S$598,'TAR FIN'!$A$1:$O$93,15,0))*(1-0.04)</f>
        <v>25.123200000000001</v>
      </c>
      <c r="W598" s="75">
        <f>IF(ISERROR(VLOOKUP($T$598,'TAR FIN'!$A$1:$O$93,15,0)),0,VLOOKUP($T$598,'TAR FIN'!$A$1:$O$93,15,0))</f>
        <v>0</v>
      </c>
      <c r="X598" s="75">
        <f>IF(ISERROR(VLOOKUP($U$598,'TAR FIN'!$A$1:$O$93,15,0)),0,VLOOKUP($U$598,'TAR FIN'!$A$1:$O$93,15,0))</f>
        <v>0</v>
      </c>
      <c r="Y598" s="75">
        <f ca="1">('TUSD BE'!$AM$14+'TUSD BF'!$AM$14+'TUSD CVA'!$AM$14)*1*(1-0.02)</f>
        <v>29.844412718026739</v>
      </c>
      <c r="Z598" s="75"/>
      <c r="AA598" s="75"/>
      <c r="AB598" s="6">
        <f>$K$598*$V$598</f>
        <v>29394.144</v>
      </c>
      <c r="AC598" s="6">
        <f>$M$598*$W$598</f>
        <v>0</v>
      </c>
      <c r="AD598" s="6">
        <f>$O$598*$X$598</f>
        <v>0</v>
      </c>
      <c r="AE598" s="6">
        <f ca="1">$K$598*$Y$598</f>
        <v>34917.962880091283</v>
      </c>
      <c r="AF598" s="6">
        <f>$M$598*$Z$598</f>
        <v>0</v>
      </c>
      <c r="AG598" s="6">
        <f>$O$598*$AA$598</f>
        <v>0</v>
      </c>
    </row>
    <row r="599" spans="1:33" ht="11.25" customHeight="1" x14ac:dyDescent="0.25">
      <c r="A599" s="4" t="s">
        <v>21</v>
      </c>
      <c r="B599" s="4" t="s">
        <v>35</v>
      </c>
      <c r="C599" s="4" t="s">
        <v>39</v>
      </c>
      <c r="D599" s="4" t="s">
        <v>42</v>
      </c>
      <c r="E599" s="4" t="s">
        <v>50</v>
      </c>
      <c r="F599" s="4" t="s">
        <v>25</v>
      </c>
      <c r="G599" s="4" t="s">
        <v>25</v>
      </c>
      <c r="H599" s="4" t="s">
        <v>25</v>
      </c>
      <c r="I599" s="5">
        <v>44440</v>
      </c>
      <c r="J599" s="6">
        <v>15970</v>
      </c>
      <c r="K599" s="75">
        <v>15970</v>
      </c>
      <c r="L599" s="6">
        <v>0</v>
      </c>
      <c r="M599" s="75">
        <v>0</v>
      </c>
      <c r="N599" s="6">
        <v>0</v>
      </c>
      <c r="O599" s="75">
        <v>0</v>
      </c>
      <c r="P599" s="6">
        <v>157</v>
      </c>
      <c r="Q599" s="4" t="s">
        <v>26</v>
      </c>
      <c r="R599" s="4">
        <v>0</v>
      </c>
      <c r="S599" s="6">
        <v>18</v>
      </c>
      <c r="T599" s="6">
        <v>0</v>
      </c>
      <c r="U599" s="6">
        <v>0</v>
      </c>
      <c r="V599" s="75">
        <f>IF(ISERROR(VLOOKUP($S$599,'TAR FIN'!$A$1:$O$93,15,0)),0,VLOOKUP($S$599,'TAR FIN'!$A$1:$O$93,15,0))*(1-0.04)</f>
        <v>25.123200000000001</v>
      </c>
      <c r="W599" s="75">
        <f>IF(ISERROR(VLOOKUP($T$599,'TAR FIN'!$A$1:$O$93,15,0)),0,VLOOKUP($T$599,'TAR FIN'!$A$1:$O$93,15,0))</f>
        <v>0</v>
      </c>
      <c r="X599" s="75">
        <f>IF(ISERROR(VLOOKUP($U$599,'TAR FIN'!$A$1:$O$93,15,0)),0,VLOOKUP($U$599,'TAR FIN'!$A$1:$O$93,15,0))</f>
        <v>0</v>
      </c>
      <c r="Y599" s="75">
        <f ca="1">('TUSD BE'!$AM$14+'TUSD BF'!$AM$14+'TUSD CVA'!$AM$14)*1*(1-0.02)</f>
        <v>29.844412718026739</v>
      </c>
      <c r="Z599" s="75"/>
      <c r="AA599" s="75"/>
      <c r="AB599" s="6">
        <f>$K$599*$V$599</f>
        <v>401217.50400000002</v>
      </c>
      <c r="AC599" s="6">
        <f>$M$599*$W$599</f>
        <v>0</v>
      </c>
      <c r="AD599" s="6">
        <f>$O$599*$X$599</f>
        <v>0</v>
      </c>
      <c r="AE599" s="6">
        <f ca="1">$K$599*$Y$599</f>
        <v>476615.27110688703</v>
      </c>
      <c r="AF599" s="6">
        <f>$M$599*$Z$599</f>
        <v>0</v>
      </c>
      <c r="AG599" s="6">
        <f>$O$599*$AA$599</f>
        <v>0</v>
      </c>
    </row>
    <row r="600" spans="1:33" ht="11.25" customHeight="1" x14ac:dyDescent="0.25">
      <c r="A600" s="4" t="s">
        <v>28</v>
      </c>
      <c r="B600" s="4" t="s">
        <v>35</v>
      </c>
      <c r="C600" s="4" t="s">
        <v>39</v>
      </c>
      <c r="D600" s="4" t="s">
        <v>42</v>
      </c>
      <c r="E600" s="4" t="s">
        <v>50</v>
      </c>
      <c r="F600" s="4" t="s">
        <v>25</v>
      </c>
      <c r="G600" s="4" t="s">
        <v>25</v>
      </c>
      <c r="H600" s="4" t="s">
        <v>25</v>
      </c>
      <c r="I600" s="5">
        <v>44440</v>
      </c>
      <c r="J600" s="6">
        <v>1170</v>
      </c>
      <c r="K600" s="75">
        <v>1170</v>
      </c>
      <c r="L600" s="6">
        <v>0</v>
      </c>
      <c r="M600" s="75">
        <v>0</v>
      </c>
      <c r="N600" s="6">
        <v>0</v>
      </c>
      <c r="O600" s="75">
        <v>0</v>
      </c>
      <c r="P600" s="6">
        <v>5</v>
      </c>
      <c r="Q600" s="4" t="s">
        <v>26</v>
      </c>
      <c r="R600" s="4">
        <v>0</v>
      </c>
      <c r="S600" s="6">
        <v>18</v>
      </c>
      <c r="T600" s="6">
        <v>0</v>
      </c>
      <c r="U600" s="6">
        <v>0</v>
      </c>
      <c r="V600" s="75">
        <f>IF(ISERROR(VLOOKUP($S$600,'TAR FIN'!$A$1:$O$93,15,0)),0,VLOOKUP($S$600,'TAR FIN'!$A$1:$O$93,15,0))*(1-0.04)</f>
        <v>25.123200000000001</v>
      </c>
      <c r="W600" s="75">
        <f>IF(ISERROR(VLOOKUP($T$600,'TAR FIN'!$A$1:$O$93,15,0)),0,VLOOKUP($T$600,'TAR FIN'!$A$1:$O$93,15,0))</f>
        <v>0</v>
      </c>
      <c r="X600" s="75">
        <f>IF(ISERROR(VLOOKUP($U$600,'TAR FIN'!$A$1:$O$93,15,0)),0,VLOOKUP($U$600,'TAR FIN'!$A$1:$O$93,15,0))</f>
        <v>0</v>
      </c>
      <c r="Y600" s="75">
        <f ca="1">('TUSD BE'!$AM$14+'TUSD BF'!$AM$14+'TUSD CVA'!$AM$14)*1*(1-0.02)</f>
        <v>29.844412718026739</v>
      </c>
      <c r="Z600" s="75"/>
      <c r="AA600" s="75"/>
      <c r="AB600" s="6">
        <f>$K$600*$V$600</f>
        <v>29394.144</v>
      </c>
      <c r="AC600" s="6">
        <f>$M$600*$W$600</f>
        <v>0</v>
      </c>
      <c r="AD600" s="6">
        <f>$O$600*$X$600</f>
        <v>0</v>
      </c>
      <c r="AE600" s="6">
        <f ca="1">$K$600*$Y$600</f>
        <v>34917.962880091283</v>
      </c>
      <c r="AF600" s="6">
        <f>$M$600*$Z$600</f>
        <v>0</v>
      </c>
      <c r="AG600" s="6">
        <f>$O$600*$AA$600</f>
        <v>0</v>
      </c>
    </row>
    <row r="601" spans="1:33" ht="11.25" customHeight="1" x14ac:dyDescent="0.25">
      <c r="A601" s="4" t="s">
        <v>21</v>
      </c>
      <c r="B601" s="4" t="s">
        <v>35</v>
      </c>
      <c r="C601" s="4" t="s">
        <v>39</v>
      </c>
      <c r="D601" s="4" t="s">
        <v>42</v>
      </c>
      <c r="E601" s="4" t="s">
        <v>50</v>
      </c>
      <c r="F601" s="4" t="s">
        <v>25</v>
      </c>
      <c r="G601" s="4" t="s">
        <v>25</v>
      </c>
      <c r="H601" s="4" t="s">
        <v>25</v>
      </c>
      <c r="I601" s="5">
        <v>44470</v>
      </c>
      <c r="J601" s="6">
        <v>14507</v>
      </c>
      <c r="K601" s="75">
        <v>14507</v>
      </c>
      <c r="L601" s="6">
        <v>0</v>
      </c>
      <c r="M601" s="75">
        <v>0</v>
      </c>
      <c r="N601" s="6">
        <v>0</v>
      </c>
      <c r="O601" s="75">
        <v>0</v>
      </c>
      <c r="P601" s="6">
        <v>159</v>
      </c>
      <c r="Q601" s="4" t="s">
        <v>26</v>
      </c>
      <c r="R601" s="4">
        <v>0</v>
      </c>
      <c r="S601" s="6">
        <v>18</v>
      </c>
      <c r="T601" s="6">
        <v>0</v>
      </c>
      <c r="U601" s="6">
        <v>0</v>
      </c>
      <c r="V601" s="75">
        <f>IF(ISERROR(VLOOKUP($S$601,'TAR FIN'!$A$1:$O$93,15,0)),0,VLOOKUP($S$601,'TAR FIN'!$A$1:$O$93,15,0))*(1-0.04)</f>
        <v>25.123200000000001</v>
      </c>
      <c r="W601" s="75">
        <f>IF(ISERROR(VLOOKUP($T$601,'TAR FIN'!$A$1:$O$93,15,0)),0,VLOOKUP($T$601,'TAR FIN'!$A$1:$O$93,15,0))</f>
        <v>0</v>
      </c>
      <c r="X601" s="75">
        <f>IF(ISERROR(VLOOKUP($U$601,'TAR FIN'!$A$1:$O$93,15,0)),0,VLOOKUP($U$601,'TAR FIN'!$A$1:$O$93,15,0))</f>
        <v>0</v>
      </c>
      <c r="Y601" s="75">
        <f ca="1">('TUSD BE'!$AM$14+'TUSD BF'!$AM$14+'TUSD CVA'!$AM$14)*1*(1-0.02)</f>
        <v>29.844412718026739</v>
      </c>
      <c r="Z601" s="75"/>
      <c r="AA601" s="75"/>
      <c r="AB601" s="6">
        <f>$K$601*$V$601</f>
        <v>364462.26240000001</v>
      </c>
      <c r="AC601" s="6">
        <f>$M$601*$W$601</f>
        <v>0</v>
      </c>
      <c r="AD601" s="6">
        <f>$O$601*$X$601</f>
        <v>0</v>
      </c>
      <c r="AE601" s="6">
        <f ca="1">$K$601*$Y$601</f>
        <v>432952.89530041389</v>
      </c>
      <c r="AF601" s="6">
        <f>$M$601*$Z$601</f>
        <v>0</v>
      </c>
      <c r="AG601" s="6">
        <f>$O$601*$AA$601</f>
        <v>0</v>
      </c>
    </row>
    <row r="602" spans="1:33" ht="11.25" customHeight="1" x14ac:dyDescent="0.25">
      <c r="A602" s="4" t="s">
        <v>28</v>
      </c>
      <c r="B602" s="4" t="s">
        <v>35</v>
      </c>
      <c r="C602" s="4" t="s">
        <v>39</v>
      </c>
      <c r="D602" s="4" t="s">
        <v>42</v>
      </c>
      <c r="E602" s="4" t="s">
        <v>50</v>
      </c>
      <c r="F602" s="4" t="s">
        <v>25</v>
      </c>
      <c r="G602" s="4" t="s">
        <v>25</v>
      </c>
      <c r="H602" s="4" t="s">
        <v>25</v>
      </c>
      <c r="I602" s="5">
        <v>44470</v>
      </c>
      <c r="J602" s="6">
        <v>1354</v>
      </c>
      <c r="K602" s="75">
        <v>1354</v>
      </c>
      <c r="L602" s="6">
        <v>0</v>
      </c>
      <c r="M602" s="75">
        <v>0</v>
      </c>
      <c r="N602" s="6">
        <v>0</v>
      </c>
      <c r="O602" s="75">
        <v>0</v>
      </c>
      <c r="P602" s="6">
        <v>5</v>
      </c>
      <c r="Q602" s="4" t="s">
        <v>26</v>
      </c>
      <c r="R602" s="4">
        <v>0</v>
      </c>
      <c r="S602" s="6">
        <v>18</v>
      </c>
      <c r="T602" s="6">
        <v>0</v>
      </c>
      <c r="U602" s="6">
        <v>0</v>
      </c>
      <c r="V602" s="75">
        <f>IF(ISERROR(VLOOKUP($S$602,'TAR FIN'!$A$1:$O$93,15,0)),0,VLOOKUP($S$602,'TAR FIN'!$A$1:$O$93,15,0))*(1-0.04)</f>
        <v>25.123200000000001</v>
      </c>
      <c r="W602" s="75">
        <f>IF(ISERROR(VLOOKUP($T$602,'TAR FIN'!$A$1:$O$93,15,0)),0,VLOOKUP($T$602,'TAR FIN'!$A$1:$O$93,15,0))</f>
        <v>0</v>
      </c>
      <c r="X602" s="75">
        <f>IF(ISERROR(VLOOKUP($U$602,'TAR FIN'!$A$1:$O$93,15,0)),0,VLOOKUP($U$602,'TAR FIN'!$A$1:$O$93,15,0))</f>
        <v>0</v>
      </c>
      <c r="Y602" s="75">
        <f ca="1">('TUSD BE'!$AM$14+'TUSD BF'!$AM$14+'TUSD CVA'!$AM$14)*1*(1-0.02)</f>
        <v>29.844412718026739</v>
      </c>
      <c r="Z602" s="75"/>
      <c r="AA602" s="75"/>
      <c r="AB602" s="6">
        <f>$K$602*$V$602</f>
        <v>34016.8128</v>
      </c>
      <c r="AC602" s="6">
        <f>$M$602*$W$602</f>
        <v>0</v>
      </c>
      <c r="AD602" s="6">
        <f>$O$602*$X$602</f>
        <v>0</v>
      </c>
      <c r="AE602" s="6">
        <f ca="1">$K$602*$Y$602</f>
        <v>40409.334820208205</v>
      </c>
      <c r="AF602" s="6">
        <f>$M$602*$Z$602</f>
        <v>0</v>
      </c>
      <c r="AG602" s="6">
        <f>$O$602*$AA$602</f>
        <v>0</v>
      </c>
    </row>
    <row r="603" spans="1:33" ht="11.25" customHeight="1" x14ac:dyDescent="0.25">
      <c r="A603" s="4" t="s">
        <v>21</v>
      </c>
      <c r="B603" s="4" t="s">
        <v>35</v>
      </c>
      <c r="C603" s="4" t="s">
        <v>39</v>
      </c>
      <c r="D603" s="4" t="s">
        <v>42</v>
      </c>
      <c r="E603" s="4" t="s">
        <v>50</v>
      </c>
      <c r="F603" s="4" t="s">
        <v>25</v>
      </c>
      <c r="G603" s="4" t="s">
        <v>25</v>
      </c>
      <c r="H603" s="4" t="s">
        <v>25</v>
      </c>
      <c r="I603" s="5">
        <v>44501</v>
      </c>
      <c r="J603" s="6">
        <v>22271</v>
      </c>
      <c r="K603" s="75">
        <v>22271</v>
      </c>
      <c r="L603" s="6">
        <v>0</v>
      </c>
      <c r="M603" s="75">
        <v>0</v>
      </c>
      <c r="N603" s="6">
        <v>0</v>
      </c>
      <c r="O603" s="75">
        <v>0</v>
      </c>
      <c r="P603" s="6">
        <v>161</v>
      </c>
      <c r="Q603" s="4" t="s">
        <v>26</v>
      </c>
      <c r="R603" s="4">
        <v>0</v>
      </c>
      <c r="S603" s="6">
        <v>18</v>
      </c>
      <c r="T603" s="6">
        <v>0</v>
      </c>
      <c r="U603" s="6">
        <v>0</v>
      </c>
      <c r="V603" s="75">
        <f>IF(ISERROR(VLOOKUP($S$603,'TAR FIN'!$A$1:$O$93,15,0)),0,VLOOKUP($S$603,'TAR FIN'!$A$1:$O$93,15,0))*(1-0.04)</f>
        <v>25.123200000000001</v>
      </c>
      <c r="W603" s="75">
        <f>IF(ISERROR(VLOOKUP($T$603,'TAR FIN'!$A$1:$O$93,15,0)),0,VLOOKUP($T$603,'TAR FIN'!$A$1:$O$93,15,0))</f>
        <v>0</v>
      </c>
      <c r="X603" s="75">
        <f>IF(ISERROR(VLOOKUP($U$603,'TAR FIN'!$A$1:$O$93,15,0)),0,VLOOKUP($U$603,'TAR FIN'!$A$1:$O$93,15,0))</f>
        <v>0</v>
      </c>
      <c r="Y603" s="75">
        <f ca="1">('TUSD BE'!$AM$14+'TUSD BF'!$AM$14+'TUSD CVA'!$AM$14)*1*(1-0.02)</f>
        <v>29.844412718026739</v>
      </c>
      <c r="Z603" s="75"/>
      <c r="AA603" s="75"/>
      <c r="AB603" s="6">
        <f>$K$603*$V$603</f>
        <v>559518.78720000002</v>
      </c>
      <c r="AC603" s="6">
        <f>$M$603*$W$603</f>
        <v>0</v>
      </c>
      <c r="AD603" s="6">
        <f>$O$603*$X$603</f>
        <v>0</v>
      </c>
      <c r="AE603" s="6">
        <f ca="1">$K$603*$Y$603</f>
        <v>664664.9156431735</v>
      </c>
      <c r="AF603" s="6">
        <f>$M$603*$Z$603</f>
        <v>0</v>
      </c>
      <c r="AG603" s="6">
        <f>$O$603*$AA$603</f>
        <v>0</v>
      </c>
    </row>
    <row r="604" spans="1:33" ht="11.25" customHeight="1" x14ac:dyDescent="0.25">
      <c r="A604" s="4" t="s">
        <v>27</v>
      </c>
      <c r="B604" s="4" t="s">
        <v>35</v>
      </c>
      <c r="C604" s="4" t="s">
        <v>39</v>
      </c>
      <c r="D604" s="4" t="s">
        <v>42</v>
      </c>
      <c r="E604" s="4" t="s">
        <v>50</v>
      </c>
      <c r="F604" s="4" t="s">
        <v>25</v>
      </c>
      <c r="G604" s="4" t="s">
        <v>25</v>
      </c>
      <c r="H604" s="4" t="s">
        <v>25</v>
      </c>
      <c r="I604" s="5">
        <v>44501</v>
      </c>
      <c r="J604" s="6">
        <v>-241</v>
      </c>
      <c r="K604" s="75">
        <v>-241</v>
      </c>
      <c r="L604" s="6">
        <v>0</v>
      </c>
      <c r="M604" s="75">
        <v>0</v>
      </c>
      <c r="N604" s="6">
        <v>0</v>
      </c>
      <c r="O604" s="75">
        <v>0</v>
      </c>
      <c r="P604" s="6">
        <v>-1</v>
      </c>
      <c r="Q604" s="4" t="s">
        <v>26</v>
      </c>
      <c r="R604" s="4">
        <v>0</v>
      </c>
      <c r="S604" s="6">
        <v>18</v>
      </c>
      <c r="T604" s="6">
        <v>0</v>
      </c>
      <c r="U604" s="6">
        <v>0</v>
      </c>
      <c r="V604" s="75">
        <f>IF(ISERROR(VLOOKUP($S$604,'TAR FIN'!$A$1:$O$93,15,0)),0,VLOOKUP($S$604,'TAR FIN'!$A$1:$O$93,15,0))*(1-0.04)</f>
        <v>25.123200000000001</v>
      </c>
      <c r="W604" s="75">
        <f>IF(ISERROR(VLOOKUP($T$604,'TAR FIN'!$A$1:$O$93,15,0)),0,VLOOKUP($T$604,'TAR FIN'!$A$1:$O$93,15,0))</f>
        <v>0</v>
      </c>
      <c r="X604" s="75">
        <f>IF(ISERROR(VLOOKUP($U$604,'TAR FIN'!$A$1:$O$93,15,0)),0,VLOOKUP($U$604,'TAR FIN'!$A$1:$O$93,15,0))</f>
        <v>0</v>
      </c>
      <c r="Y604" s="75">
        <f ca="1">('TUSD BE'!$AM$14+'TUSD BF'!$AM$14+'TUSD CVA'!$AM$14)*1*(1-0.02)</f>
        <v>29.844412718026739</v>
      </c>
      <c r="Z604" s="75"/>
      <c r="AA604" s="75"/>
      <c r="AB604" s="6">
        <f>$K$604*$V$604</f>
        <v>-6054.6912000000002</v>
      </c>
      <c r="AC604" s="6">
        <f>$M$604*$W$604</f>
        <v>0</v>
      </c>
      <c r="AD604" s="6">
        <f>$O$604*$X$604</f>
        <v>0</v>
      </c>
      <c r="AE604" s="6">
        <f ca="1">$K$604*$Y$604</f>
        <v>-7192.5034650444441</v>
      </c>
      <c r="AF604" s="6">
        <f>$M$604*$Z$604</f>
        <v>0</v>
      </c>
      <c r="AG604" s="6">
        <f>$O$604*$AA$604</f>
        <v>0</v>
      </c>
    </row>
    <row r="605" spans="1:33" ht="11.25" customHeight="1" x14ac:dyDescent="0.25">
      <c r="A605" s="4" t="s">
        <v>28</v>
      </c>
      <c r="B605" s="4" t="s">
        <v>35</v>
      </c>
      <c r="C605" s="4" t="s">
        <v>39</v>
      </c>
      <c r="D605" s="4" t="s">
        <v>42</v>
      </c>
      <c r="E605" s="4" t="s">
        <v>50</v>
      </c>
      <c r="F605" s="4" t="s">
        <v>25</v>
      </c>
      <c r="G605" s="4" t="s">
        <v>25</v>
      </c>
      <c r="H605" s="4" t="s">
        <v>25</v>
      </c>
      <c r="I605" s="5">
        <v>44501</v>
      </c>
      <c r="J605" s="6">
        <v>1343</v>
      </c>
      <c r="K605" s="75">
        <v>1343</v>
      </c>
      <c r="L605" s="6">
        <v>0</v>
      </c>
      <c r="M605" s="75">
        <v>0</v>
      </c>
      <c r="N605" s="6">
        <v>0</v>
      </c>
      <c r="O605" s="75">
        <v>0</v>
      </c>
      <c r="P605" s="6">
        <v>5</v>
      </c>
      <c r="Q605" s="4" t="s">
        <v>26</v>
      </c>
      <c r="R605" s="4">
        <v>0</v>
      </c>
      <c r="S605" s="6">
        <v>18</v>
      </c>
      <c r="T605" s="6">
        <v>0</v>
      </c>
      <c r="U605" s="6">
        <v>0</v>
      </c>
      <c r="V605" s="75">
        <f>IF(ISERROR(VLOOKUP($S$605,'TAR FIN'!$A$1:$O$93,15,0)),0,VLOOKUP($S$605,'TAR FIN'!$A$1:$O$93,15,0))*(1-0.04)</f>
        <v>25.123200000000001</v>
      </c>
      <c r="W605" s="75">
        <f>IF(ISERROR(VLOOKUP($T$605,'TAR FIN'!$A$1:$O$93,15,0)),0,VLOOKUP($T$605,'TAR FIN'!$A$1:$O$93,15,0))</f>
        <v>0</v>
      </c>
      <c r="X605" s="75">
        <f>IF(ISERROR(VLOOKUP($U$605,'TAR FIN'!$A$1:$O$93,15,0)),0,VLOOKUP($U$605,'TAR FIN'!$A$1:$O$93,15,0))</f>
        <v>0</v>
      </c>
      <c r="Y605" s="75">
        <f ca="1">('TUSD BE'!$AM$14+'TUSD BF'!$AM$14+'TUSD CVA'!$AM$14)*1*(1-0.02)</f>
        <v>29.844412718026739</v>
      </c>
      <c r="Z605" s="75"/>
      <c r="AA605" s="75"/>
      <c r="AB605" s="6">
        <f>$K$605*$V$605</f>
        <v>33740.457600000002</v>
      </c>
      <c r="AC605" s="6">
        <f>$M$605*$W$605</f>
        <v>0</v>
      </c>
      <c r="AD605" s="6">
        <f>$O$605*$X$605</f>
        <v>0</v>
      </c>
      <c r="AE605" s="6">
        <f ca="1">$K$605*$Y$605</f>
        <v>40081.046280309907</v>
      </c>
      <c r="AF605" s="6">
        <f>$M$605*$Z$605</f>
        <v>0</v>
      </c>
      <c r="AG605" s="6">
        <f>$O$605*$AA$605</f>
        <v>0</v>
      </c>
    </row>
    <row r="606" spans="1:33" ht="11.25" customHeight="1" x14ac:dyDescent="0.25">
      <c r="A606" s="4" t="s">
        <v>21</v>
      </c>
      <c r="B606" s="4" t="s">
        <v>35</v>
      </c>
      <c r="C606" s="4" t="s">
        <v>39</v>
      </c>
      <c r="D606" s="4" t="s">
        <v>42</v>
      </c>
      <c r="E606" s="4" t="s">
        <v>50</v>
      </c>
      <c r="F606" s="4" t="s">
        <v>25</v>
      </c>
      <c r="G606" s="4" t="s">
        <v>25</v>
      </c>
      <c r="H606" s="4" t="s">
        <v>25</v>
      </c>
      <c r="I606" s="5">
        <v>44531</v>
      </c>
      <c r="J606" s="6">
        <v>41191</v>
      </c>
      <c r="K606" s="75">
        <v>41191</v>
      </c>
      <c r="L606" s="6">
        <v>0</v>
      </c>
      <c r="M606" s="75">
        <v>0</v>
      </c>
      <c r="N606" s="6">
        <v>0</v>
      </c>
      <c r="O606" s="75">
        <v>0</v>
      </c>
      <c r="P606" s="6">
        <v>160</v>
      </c>
      <c r="Q606" s="4" t="s">
        <v>26</v>
      </c>
      <c r="R606" s="4">
        <v>0</v>
      </c>
      <c r="S606" s="6">
        <v>18</v>
      </c>
      <c r="T606" s="6">
        <v>0</v>
      </c>
      <c r="U606" s="6">
        <v>0</v>
      </c>
      <c r="V606" s="75">
        <f>IF(ISERROR(VLOOKUP($S$606,'TAR FIN'!$A$1:$O$93,15,0)),0,VLOOKUP($S$606,'TAR FIN'!$A$1:$O$93,15,0))*(1-0.04)</f>
        <v>25.123200000000001</v>
      </c>
      <c r="W606" s="75">
        <f>IF(ISERROR(VLOOKUP($T$606,'TAR FIN'!$A$1:$O$93,15,0)),0,VLOOKUP($T$606,'TAR FIN'!$A$1:$O$93,15,0))</f>
        <v>0</v>
      </c>
      <c r="X606" s="75">
        <f>IF(ISERROR(VLOOKUP($U$606,'TAR FIN'!$A$1:$O$93,15,0)),0,VLOOKUP($U$606,'TAR FIN'!$A$1:$O$93,15,0))</f>
        <v>0</v>
      </c>
      <c r="Y606" s="75">
        <f ca="1">('TUSD BE'!$AM$14+'TUSD BF'!$AM$14+'TUSD CVA'!$AM$14)*1*(1-0.02)</f>
        <v>29.844412718026739</v>
      </c>
      <c r="Z606" s="75"/>
      <c r="AA606" s="75"/>
      <c r="AB606" s="6">
        <f>$K$606*$V$606</f>
        <v>1034849.7312</v>
      </c>
      <c r="AC606" s="6">
        <f>$M$606*$W$606</f>
        <v>0</v>
      </c>
      <c r="AD606" s="6">
        <f>$O$606*$X$606</f>
        <v>0</v>
      </c>
      <c r="AE606" s="6">
        <f ca="1">$K$606*$Y$606</f>
        <v>1229321.2042682394</v>
      </c>
      <c r="AF606" s="6">
        <f>$M$606*$Z$606</f>
        <v>0</v>
      </c>
      <c r="AG606" s="6">
        <f>$O$606*$AA$606</f>
        <v>0</v>
      </c>
    </row>
    <row r="607" spans="1:33" ht="11.25" customHeight="1" x14ac:dyDescent="0.25">
      <c r="A607" s="4" t="s">
        <v>21</v>
      </c>
      <c r="B607" s="4" t="s">
        <v>35</v>
      </c>
      <c r="C607" s="4" t="s">
        <v>39</v>
      </c>
      <c r="D607" s="4" t="s">
        <v>42</v>
      </c>
      <c r="E607" s="4" t="s">
        <v>50</v>
      </c>
      <c r="F607" s="4" t="s">
        <v>25</v>
      </c>
      <c r="G607" s="4" t="s">
        <v>25</v>
      </c>
      <c r="H607" s="4" t="s">
        <v>25</v>
      </c>
      <c r="I607" s="5">
        <v>44562</v>
      </c>
      <c r="J607" s="6">
        <v>45076</v>
      </c>
      <c r="K607" s="75">
        <v>45076</v>
      </c>
      <c r="L607" s="6">
        <v>0</v>
      </c>
      <c r="M607" s="75">
        <v>0</v>
      </c>
      <c r="N607" s="6">
        <v>0</v>
      </c>
      <c r="O607" s="75">
        <v>0</v>
      </c>
      <c r="P607" s="6">
        <v>162</v>
      </c>
      <c r="Q607" s="4" t="s">
        <v>26</v>
      </c>
      <c r="R607" s="4">
        <v>0</v>
      </c>
      <c r="S607" s="6">
        <v>18</v>
      </c>
      <c r="T607" s="6">
        <v>0</v>
      </c>
      <c r="U607" s="6">
        <v>0</v>
      </c>
      <c r="V607" s="75">
        <f>IF(ISERROR(VLOOKUP($S$607,'TAR FIN'!$A$1:$O$93,15,0)),0,VLOOKUP($S$607,'TAR FIN'!$A$1:$O$93,15,0))*(1-0.04)</f>
        <v>25.123200000000001</v>
      </c>
      <c r="W607" s="75">
        <f>IF(ISERROR(VLOOKUP($T$607,'TAR FIN'!$A$1:$O$93,15,0)),0,VLOOKUP($T$607,'TAR FIN'!$A$1:$O$93,15,0))</f>
        <v>0</v>
      </c>
      <c r="X607" s="75">
        <f>IF(ISERROR(VLOOKUP($U$607,'TAR FIN'!$A$1:$O$93,15,0)),0,VLOOKUP($U$607,'TAR FIN'!$A$1:$O$93,15,0))</f>
        <v>0</v>
      </c>
      <c r="Y607" s="75">
        <f ca="1">('TUSD BE'!$AM$14+'TUSD BF'!$AM$14+'TUSD CVA'!$AM$14)*1*(1-0.02)</f>
        <v>29.844412718026739</v>
      </c>
      <c r="Z607" s="75"/>
      <c r="AA607" s="75"/>
      <c r="AB607" s="6">
        <f>$K$607*$V$607</f>
        <v>1132453.3632</v>
      </c>
      <c r="AC607" s="6">
        <f>$M$607*$W$607</f>
        <v>0</v>
      </c>
      <c r="AD607" s="6">
        <f>$O$607*$X$607</f>
        <v>0</v>
      </c>
      <c r="AE607" s="6">
        <f ca="1">$K$607*$Y$607</f>
        <v>1345266.7476777732</v>
      </c>
      <c r="AF607" s="6">
        <f>$M$607*$Z$607</f>
        <v>0</v>
      </c>
      <c r="AG607" s="6">
        <f>$O$607*$AA$607</f>
        <v>0</v>
      </c>
    </row>
    <row r="608" spans="1:33" ht="11.25" customHeight="1" x14ac:dyDescent="0.25">
      <c r="A608" s="4" t="s">
        <v>28</v>
      </c>
      <c r="B608" s="4" t="s">
        <v>35</v>
      </c>
      <c r="C608" s="4" t="s">
        <v>39</v>
      </c>
      <c r="D608" s="4" t="s">
        <v>42</v>
      </c>
      <c r="E608" s="4" t="s">
        <v>50</v>
      </c>
      <c r="F608" s="4" t="s">
        <v>25</v>
      </c>
      <c r="G608" s="4" t="s">
        <v>25</v>
      </c>
      <c r="H608" s="4" t="s">
        <v>25</v>
      </c>
      <c r="I608" s="5">
        <v>44562</v>
      </c>
      <c r="J608" s="6">
        <v>1394</v>
      </c>
      <c r="K608" s="75">
        <v>1394</v>
      </c>
      <c r="L608" s="6">
        <v>0</v>
      </c>
      <c r="M608" s="75">
        <v>0</v>
      </c>
      <c r="N608" s="6">
        <v>0</v>
      </c>
      <c r="O608" s="75">
        <v>0</v>
      </c>
      <c r="P608" s="6">
        <v>5</v>
      </c>
      <c r="Q608" s="4" t="s">
        <v>26</v>
      </c>
      <c r="R608" s="4">
        <v>0</v>
      </c>
      <c r="S608" s="6">
        <v>18</v>
      </c>
      <c r="T608" s="6">
        <v>0</v>
      </c>
      <c r="U608" s="6">
        <v>0</v>
      </c>
      <c r="V608" s="75">
        <f>IF(ISERROR(VLOOKUP($S$608,'TAR FIN'!$A$1:$O$93,15,0)),0,VLOOKUP($S$608,'TAR FIN'!$A$1:$O$93,15,0))*(1-0.04)</f>
        <v>25.123200000000001</v>
      </c>
      <c r="W608" s="75">
        <f>IF(ISERROR(VLOOKUP($T$608,'TAR FIN'!$A$1:$O$93,15,0)),0,VLOOKUP($T$608,'TAR FIN'!$A$1:$O$93,15,0))</f>
        <v>0</v>
      </c>
      <c r="X608" s="75">
        <f>IF(ISERROR(VLOOKUP($U$608,'TAR FIN'!$A$1:$O$93,15,0)),0,VLOOKUP($U$608,'TAR FIN'!$A$1:$O$93,15,0))</f>
        <v>0</v>
      </c>
      <c r="Y608" s="75">
        <f ca="1">('TUSD BE'!$AM$14+'TUSD BF'!$AM$14+'TUSD CVA'!$AM$14)*1*(1-0.02)</f>
        <v>29.844412718026739</v>
      </c>
      <c r="Z608" s="75"/>
      <c r="AA608" s="75"/>
      <c r="AB608" s="6">
        <f>$K$608*$V$608</f>
        <v>35021.7408</v>
      </c>
      <c r="AC608" s="6">
        <f>$M$608*$W$608</f>
        <v>0</v>
      </c>
      <c r="AD608" s="6">
        <f>$O$608*$X$608</f>
        <v>0</v>
      </c>
      <c r="AE608" s="6">
        <f ca="1">$K$608*$Y$608</f>
        <v>41603.111328929277</v>
      </c>
      <c r="AF608" s="6">
        <f>$M$608*$Z$608</f>
        <v>0</v>
      </c>
      <c r="AG608" s="6">
        <f>$O$608*$AA$608</f>
        <v>0</v>
      </c>
    </row>
    <row r="609" spans="1:33" ht="11.25" customHeight="1" x14ac:dyDescent="0.25">
      <c r="A609" s="4" t="s">
        <v>21</v>
      </c>
      <c r="B609" s="4" t="s">
        <v>35</v>
      </c>
      <c r="C609" s="4" t="s">
        <v>39</v>
      </c>
      <c r="D609" s="4" t="s">
        <v>42</v>
      </c>
      <c r="E609" s="4" t="s">
        <v>50</v>
      </c>
      <c r="F609" s="4" t="s">
        <v>25</v>
      </c>
      <c r="G609" s="4" t="s">
        <v>25</v>
      </c>
      <c r="H609" s="4" t="s">
        <v>25</v>
      </c>
      <c r="I609" s="5">
        <v>44593</v>
      </c>
      <c r="J609" s="6">
        <v>44486</v>
      </c>
      <c r="K609" s="75">
        <v>44486</v>
      </c>
      <c r="L609" s="6">
        <v>0</v>
      </c>
      <c r="M609" s="75">
        <v>0</v>
      </c>
      <c r="N609" s="6">
        <v>0</v>
      </c>
      <c r="O609" s="75">
        <v>0</v>
      </c>
      <c r="P609" s="6">
        <v>170</v>
      </c>
      <c r="Q609" s="4" t="s">
        <v>26</v>
      </c>
      <c r="R609" s="4">
        <v>0</v>
      </c>
      <c r="S609" s="6">
        <v>18</v>
      </c>
      <c r="T609" s="6">
        <v>0</v>
      </c>
      <c r="U609" s="6">
        <v>0</v>
      </c>
      <c r="V609" s="75">
        <f>IF(ISERROR(VLOOKUP($S$609,'TAR FIN'!$A$1:$O$93,15,0)),0,VLOOKUP($S$609,'TAR FIN'!$A$1:$O$93,15,0))*(1-0.04)</f>
        <v>25.123200000000001</v>
      </c>
      <c r="W609" s="75">
        <f>IF(ISERROR(VLOOKUP($T$609,'TAR FIN'!$A$1:$O$93,15,0)),0,VLOOKUP($T$609,'TAR FIN'!$A$1:$O$93,15,0))</f>
        <v>0</v>
      </c>
      <c r="X609" s="75">
        <f>IF(ISERROR(VLOOKUP($U$609,'TAR FIN'!$A$1:$O$93,15,0)),0,VLOOKUP($U$609,'TAR FIN'!$A$1:$O$93,15,0))</f>
        <v>0</v>
      </c>
      <c r="Y609" s="75">
        <f ca="1">('TUSD BE'!$AM$14+'TUSD BF'!$AM$14+'TUSD CVA'!$AM$14)*1*(1-0.02)</f>
        <v>29.844412718026739</v>
      </c>
      <c r="Z609" s="75"/>
      <c r="AA609" s="75"/>
      <c r="AB609" s="6">
        <f>$K$609*$V$609</f>
        <v>1117630.6751999999</v>
      </c>
      <c r="AC609" s="6">
        <f>$M$609*$W$609</f>
        <v>0</v>
      </c>
      <c r="AD609" s="6">
        <f>$O$609*$X$609</f>
        <v>0</v>
      </c>
      <c r="AE609" s="6">
        <f ca="1">$K$609*$Y$609</f>
        <v>1327658.5441741375</v>
      </c>
      <c r="AF609" s="6">
        <f>$M$609*$Z$609</f>
        <v>0</v>
      </c>
      <c r="AG609" s="6">
        <f>$O$609*$AA$609</f>
        <v>0</v>
      </c>
    </row>
    <row r="610" spans="1:33" ht="11.25" customHeight="1" x14ac:dyDescent="0.25">
      <c r="A610" s="4" t="s">
        <v>27</v>
      </c>
      <c r="B610" s="4" t="s">
        <v>35</v>
      </c>
      <c r="C610" s="4" t="s">
        <v>39</v>
      </c>
      <c r="D610" s="4" t="s">
        <v>42</v>
      </c>
      <c r="E610" s="4" t="s">
        <v>50</v>
      </c>
      <c r="F610" s="4" t="s">
        <v>25</v>
      </c>
      <c r="G610" s="4" t="s">
        <v>25</v>
      </c>
      <c r="H610" s="4" t="s">
        <v>25</v>
      </c>
      <c r="I610" s="5">
        <v>44593</v>
      </c>
      <c r="J610" s="6">
        <v>-431</v>
      </c>
      <c r="K610" s="75">
        <v>-431</v>
      </c>
      <c r="L610" s="6">
        <v>0</v>
      </c>
      <c r="M610" s="75">
        <v>0</v>
      </c>
      <c r="N610" s="6">
        <v>0</v>
      </c>
      <c r="O610" s="75">
        <v>0</v>
      </c>
      <c r="P610" s="6">
        <v>-3</v>
      </c>
      <c r="Q610" s="4" t="s">
        <v>26</v>
      </c>
      <c r="R610" s="4">
        <v>0</v>
      </c>
      <c r="S610" s="6">
        <v>18</v>
      </c>
      <c r="T610" s="6">
        <v>0</v>
      </c>
      <c r="U610" s="6">
        <v>0</v>
      </c>
      <c r="V610" s="75">
        <f>IF(ISERROR(VLOOKUP($S$610,'TAR FIN'!$A$1:$O$93,15,0)),0,VLOOKUP($S$610,'TAR FIN'!$A$1:$O$93,15,0))*(1-0.04)</f>
        <v>25.123200000000001</v>
      </c>
      <c r="W610" s="75">
        <f>IF(ISERROR(VLOOKUP($T$610,'TAR FIN'!$A$1:$O$93,15,0)),0,VLOOKUP($T$610,'TAR FIN'!$A$1:$O$93,15,0))</f>
        <v>0</v>
      </c>
      <c r="X610" s="75">
        <f>IF(ISERROR(VLOOKUP($U$610,'TAR FIN'!$A$1:$O$93,15,0)),0,VLOOKUP($U$610,'TAR FIN'!$A$1:$O$93,15,0))</f>
        <v>0</v>
      </c>
      <c r="Y610" s="75">
        <f ca="1">('TUSD BE'!$AM$14+'TUSD BF'!$AM$14+'TUSD CVA'!$AM$14)*1*(1-0.02)</f>
        <v>29.844412718026739</v>
      </c>
      <c r="Z610" s="75"/>
      <c r="AA610" s="75"/>
      <c r="AB610" s="6">
        <f>$K$610*$V$610</f>
        <v>-10828.099200000001</v>
      </c>
      <c r="AC610" s="6">
        <f>$M$610*$W$610</f>
        <v>0</v>
      </c>
      <c r="AD610" s="6">
        <f>$O$610*$X$610</f>
        <v>0</v>
      </c>
      <c r="AE610" s="6">
        <f ca="1">$K$610*$Y$610</f>
        <v>-12862.941881469524</v>
      </c>
      <c r="AF610" s="6">
        <f>$M$610*$Z$610</f>
        <v>0</v>
      </c>
      <c r="AG610" s="6">
        <f>$O$610*$AA$610</f>
        <v>0</v>
      </c>
    </row>
    <row r="611" spans="1:33" ht="11.25" customHeight="1" x14ac:dyDescent="0.25">
      <c r="A611" s="4" t="s">
        <v>28</v>
      </c>
      <c r="B611" s="4" t="s">
        <v>35</v>
      </c>
      <c r="C611" s="4" t="s">
        <v>39</v>
      </c>
      <c r="D611" s="4" t="s">
        <v>42</v>
      </c>
      <c r="E611" s="4" t="s">
        <v>50</v>
      </c>
      <c r="F611" s="4" t="s">
        <v>25</v>
      </c>
      <c r="G611" s="4" t="s">
        <v>25</v>
      </c>
      <c r="H611" s="4" t="s">
        <v>25</v>
      </c>
      <c r="I611" s="5">
        <v>44593</v>
      </c>
      <c r="J611" s="6">
        <v>1582</v>
      </c>
      <c r="K611" s="75">
        <v>1582</v>
      </c>
      <c r="L611" s="6">
        <v>0</v>
      </c>
      <c r="M611" s="75">
        <v>0</v>
      </c>
      <c r="N611" s="6">
        <v>0</v>
      </c>
      <c r="O611" s="75">
        <v>0</v>
      </c>
      <c r="P611" s="6">
        <v>6</v>
      </c>
      <c r="Q611" s="4" t="s">
        <v>26</v>
      </c>
      <c r="R611" s="4">
        <v>0</v>
      </c>
      <c r="S611" s="6">
        <v>18</v>
      </c>
      <c r="T611" s="6">
        <v>0</v>
      </c>
      <c r="U611" s="6">
        <v>0</v>
      </c>
      <c r="V611" s="75">
        <f>IF(ISERROR(VLOOKUP($S$611,'TAR FIN'!$A$1:$O$93,15,0)),0,VLOOKUP($S$611,'TAR FIN'!$A$1:$O$93,15,0))*(1-0.04)</f>
        <v>25.123200000000001</v>
      </c>
      <c r="W611" s="75">
        <f>IF(ISERROR(VLOOKUP($T$611,'TAR FIN'!$A$1:$O$93,15,0)),0,VLOOKUP($T$611,'TAR FIN'!$A$1:$O$93,15,0))</f>
        <v>0</v>
      </c>
      <c r="X611" s="75">
        <f>IF(ISERROR(VLOOKUP($U$611,'TAR FIN'!$A$1:$O$93,15,0)),0,VLOOKUP($U$611,'TAR FIN'!$A$1:$O$93,15,0))</f>
        <v>0</v>
      </c>
      <c r="Y611" s="75">
        <f ca="1">('TUSD BE'!$AM$14+'TUSD BF'!$AM$14+'TUSD CVA'!$AM$14)*1*(1-0.02)</f>
        <v>29.844412718026739</v>
      </c>
      <c r="Z611" s="75"/>
      <c r="AA611" s="75"/>
      <c r="AB611" s="6">
        <f>$K$611*$V$611</f>
        <v>39744.902399999999</v>
      </c>
      <c r="AC611" s="6">
        <f>$M$611*$W$611</f>
        <v>0</v>
      </c>
      <c r="AD611" s="6">
        <f>$O$611*$X$611</f>
        <v>0</v>
      </c>
      <c r="AE611" s="6">
        <f ca="1">$K$611*$Y$611</f>
        <v>47213.860919918297</v>
      </c>
      <c r="AF611" s="6">
        <f>$M$611*$Z$611</f>
        <v>0</v>
      </c>
      <c r="AG611" s="6">
        <f>$O$611*$AA$611</f>
        <v>0</v>
      </c>
    </row>
    <row r="612" spans="1:33" ht="11.25" customHeight="1" x14ac:dyDescent="0.25">
      <c r="A612" s="4" t="s">
        <v>21</v>
      </c>
      <c r="B612" s="4" t="s">
        <v>35</v>
      </c>
      <c r="C612" s="4" t="s">
        <v>39</v>
      </c>
      <c r="D612" s="4" t="s">
        <v>42</v>
      </c>
      <c r="E612" s="4" t="s">
        <v>50</v>
      </c>
      <c r="F612" s="4" t="s">
        <v>25</v>
      </c>
      <c r="G612" s="4" t="s">
        <v>25</v>
      </c>
      <c r="H612" s="4" t="s">
        <v>25</v>
      </c>
      <c r="I612" s="5">
        <v>44621</v>
      </c>
      <c r="J612" s="6">
        <v>42453</v>
      </c>
      <c r="K612" s="75">
        <v>42453</v>
      </c>
      <c r="L612" s="6">
        <v>0</v>
      </c>
      <c r="M612" s="75">
        <v>0</v>
      </c>
      <c r="N612" s="6">
        <v>0</v>
      </c>
      <c r="O612" s="75">
        <v>0</v>
      </c>
      <c r="P612" s="6">
        <v>171</v>
      </c>
      <c r="Q612" s="4" t="s">
        <v>26</v>
      </c>
      <c r="R612" s="4">
        <v>0</v>
      </c>
      <c r="S612" s="6">
        <v>18</v>
      </c>
      <c r="T612" s="6">
        <v>0</v>
      </c>
      <c r="U612" s="6">
        <v>0</v>
      </c>
      <c r="V612" s="75">
        <f>IF(ISERROR(VLOOKUP($S$612,'TAR FIN'!$A$1:$O$93,15,0)),0,VLOOKUP($S$612,'TAR FIN'!$A$1:$O$93,15,0))*(1-0.04)</f>
        <v>25.123200000000001</v>
      </c>
      <c r="W612" s="75">
        <f>IF(ISERROR(VLOOKUP($T$612,'TAR FIN'!$A$1:$O$93,15,0)),0,VLOOKUP($T$612,'TAR FIN'!$A$1:$O$93,15,0))</f>
        <v>0</v>
      </c>
      <c r="X612" s="75">
        <f>IF(ISERROR(VLOOKUP($U$612,'TAR FIN'!$A$1:$O$93,15,0)),0,VLOOKUP($U$612,'TAR FIN'!$A$1:$O$93,15,0))</f>
        <v>0</v>
      </c>
      <c r="Y612" s="75">
        <f ca="1">('TUSD BE'!$AM$14+'TUSD BF'!$AM$14+'TUSD CVA'!$AM$14)*1*(1-0.02)</f>
        <v>29.844412718026739</v>
      </c>
      <c r="Z612" s="75"/>
      <c r="AA612" s="75"/>
      <c r="AB612" s="6">
        <f>$K$612*$V$612</f>
        <v>1066555.2095999999</v>
      </c>
      <c r="AC612" s="6">
        <f>$M$612*$W$612</f>
        <v>0</v>
      </c>
      <c r="AD612" s="6">
        <f>$O$612*$X$612</f>
        <v>0</v>
      </c>
      <c r="AE612" s="6">
        <f ca="1">$K$612*$Y$612</f>
        <v>1266984.8531183891</v>
      </c>
      <c r="AF612" s="6">
        <f>$M$612*$Z$612</f>
        <v>0</v>
      </c>
      <c r="AG612" s="6">
        <f>$O$612*$AA$612</f>
        <v>0</v>
      </c>
    </row>
    <row r="613" spans="1:33" ht="11.25" customHeight="1" x14ac:dyDescent="0.25">
      <c r="A613" s="4" t="s">
        <v>27</v>
      </c>
      <c r="B613" s="4" t="s">
        <v>35</v>
      </c>
      <c r="C613" s="4" t="s">
        <v>39</v>
      </c>
      <c r="D613" s="4" t="s">
        <v>42</v>
      </c>
      <c r="E613" s="4" t="s">
        <v>50</v>
      </c>
      <c r="F613" s="4" t="s">
        <v>25</v>
      </c>
      <c r="G613" s="4" t="s">
        <v>25</v>
      </c>
      <c r="H613" s="4" t="s">
        <v>25</v>
      </c>
      <c r="I613" s="5">
        <v>44621</v>
      </c>
      <c r="J613" s="6">
        <v>-1086</v>
      </c>
      <c r="K613" s="75">
        <v>-1086</v>
      </c>
      <c r="L613" s="6">
        <v>0</v>
      </c>
      <c r="M613" s="75">
        <v>0</v>
      </c>
      <c r="N613" s="6">
        <v>0</v>
      </c>
      <c r="O613" s="75">
        <v>0</v>
      </c>
      <c r="P613" s="6">
        <v>-4</v>
      </c>
      <c r="Q613" s="4" t="s">
        <v>26</v>
      </c>
      <c r="R613" s="4">
        <v>0</v>
      </c>
      <c r="S613" s="6">
        <v>18</v>
      </c>
      <c r="T613" s="6">
        <v>0</v>
      </c>
      <c r="U613" s="6">
        <v>0</v>
      </c>
      <c r="V613" s="75">
        <f>IF(ISERROR(VLOOKUP($S$613,'TAR FIN'!$A$1:$O$93,15,0)),0,VLOOKUP($S$613,'TAR FIN'!$A$1:$O$93,15,0))*(1-0.04)</f>
        <v>25.123200000000001</v>
      </c>
      <c r="W613" s="75">
        <f>IF(ISERROR(VLOOKUP($T$613,'TAR FIN'!$A$1:$O$93,15,0)),0,VLOOKUP($T$613,'TAR FIN'!$A$1:$O$93,15,0))</f>
        <v>0</v>
      </c>
      <c r="X613" s="75">
        <f>IF(ISERROR(VLOOKUP($U$613,'TAR FIN'!$A$1:$O$93,15,0)),0,VLOOKUP($U$613,'TAR FIN'!$A$1:$O$93,15,0))</f>
        <v>0</v>
      </c>
      <c r="Y613" s="75">
        <f ca="1">('TUSD BE'!$AM$14+'TUSD BF'!$AM$14+'TUSD CVA'!$AM$14)*1*(1-0.02)</f>
        <v>29.844412718026739</v>
      </c>
      <c r="Z613" s="75"/>
      <c r="AA613" s="75"/>
      <c r="AB613" s="6">
        <f>$K$613*$V$613</f>
        <v>-27283.7952</v>
      </c>
      <c r="AC613" s="6">
        <f>$M$613*$W$613</f>
        <v>0</v>
      </c>
      <c r="AD613" s="6">
        <f>$O$613*$X$613</f>
        <v>0</v>
      </c>
      <c r="AE613" s="6">
        <f ca="1">$K$613*$Y$613</f>
        <v>-32411.032211777037</v>
      </c>
      <c r="AF613" s="6">
        <f>$M$613*$Z$613</f>
        <v>0</v>
      </c>
      <c r="AG613" s="6">
        <f>$O$613*$AA$613</f>
        <v>0</v>
      </c>
    </row>
    <row r="614" spans="1:33" ht="11.25" customHeight="1" x14ac:dyDescent="0.25">
      <c r="A614" s="4" t="s">
        <v>28</v>
      </c>
      <c r="B614" s="4" t="s">
        <v>35</v>
      </c>
      <c r="C614" s="4" t="s">
        <v>39</v>
      </c>
      <c r="D614" s="4" t="s">
        <v>42</v>
      </c>
      <c r="E614" s="4" t="s">
        <v>50</v>
      </c>
      <c r="F614" s="4" t="s">
        <v>25</v>
      </c>
      <c r="G614" s="4" t="s">
        <v>25</v>
      </c>
      <c r="H614" s="4" t="s">
        <v>25</v>
      </c>
      <c r="I614" s="5">
        <v>44621</v>
      </c>
      <c r="J614" s="6">
        <v>1803</v>
      </c>
      <c r="K614" s="75">
        <v>1803</v>
      </c>
      <c r="L614" s="6">
        <v>0</v>
      </c>
      <c r="M614" s="75">
        <v>0</v>
      </c>
      <c r="N614" s="6">
        <v>0</v>
      </c>
      <c r="O614" s="75">
        <v>0</v>
      </c>
      <c r="P614" s="6">
        <v>7</v>
      </c>
      <c r="Q614" s="4" t="s">
        <v>26</v>
      </c>
      <c r="R614" s="4">
        <v>0</v>
      </c>
      <c r="S614" s="6">
        <v>18</v>
      </c>
      <c r="T614" s="6">
        <v>0</v>
      </c>
      <c r="U614" s="6">
        <v>0</v>
      </c>
      <c r="V614" s="75">
        <f>IF(ISERROR(VLOOKUP($S$614,'TAR FIN'!$A$1:$O$93,15,0)),0,VLOOKUP($S$614,'TAR FIN'!$A$1:$O$93,15,0))*(1-0.04)</f>
        <v>25.123200000000001</v>
      </c>
      <c r="W614" s="75">
        <f>IF(ISERROR(VLOOKUP($T$614,'TAR FIN'!$A$1:$O$93,15,0)),0,VLOOKUP($T$614,'TAR FIN'!$A$1:$O$93,15,0))</f>
        <v>0</v>
      </c>
      <c r="X614" s="75">
        <f>IF(ISERROR(VLOOKUP($U$614,'TAR FIN'!$A$1:$O$93,15,0)),0,VLOOKUP($U$614,'TAR FIN'!$A$1:$O$93,15,0))</f>
        <v>0</v>
      </c>
      <c r="Y614" s="75">
        <f ca="1">('TUSD BE'!$AM$14+'TUSD BF'!$AM$14+'TUSD CVA'!$AM$14)*1*(1-0.02)</f>
        <v>29.844412718026739</v>
      </c>
      <c r="Z614" s="75"/>
      <c r="AA614" s="75"/>
      <c r="AB614" s="6">
        <f>$K$614*$V$614</f>
        <v>45297.1296</v>
      </c>
      <c r="AC614" s="6">
        <f>$M$614*$W$614</f>
        <v>0</v>
      </c>
      <c r="AD614" s="6">
        <f>$O$614*$X$614</f>
        <v>0</v>
      </c>
      <c r="AE614" s="6">
        <f ca="1">$K$614*$Y$614</f>
        <v>53809.476130602212</v>
      </c>
      <c r="AF614" s="6">
        <f>$M$614*$Z$614</f>
        <v>0</v>
      </c>
      <c r="AG614" s="6">
        <f>$O$614*$AA$614</f>
        <v>0</v>
      </c>
    </row>
    <row r="615" spans="1:33" ht="11.25" customHeight="1" x14ac:dyDescent="0.25">
      <c r="A615" s="4" t="s">
        <v>21</v>
      </c>
      <c r="B615" s="4" t="s">
        <v>35</v>
      </c>
      <c r="C615" s="4" t="s">
        <v>39</v>
      </c>
      <c r="D615" s="4" t="s">
        <v>42</v>
      </c>
      <c r="E615" s="4" t="s">
        <v>50</v>
      </c>
      <c r="F615" s="4" t="s">
        <v>25</v>
      </c>
      <c r="G615" s="4" t="s">
        <v>25</v>
      </c>
      <c r="H615" s="4" t="s">
        <v>25</v>
      </c>
      <c r="I615" s="5">
        <v>44652</v>
      </c>
      <c r="J615" s="6">
        <v>28500</v>
      </c>
      <c r="K615" s="75">
        <v>28500</v>
      </c>
      <c r="L615" s="6">
        <v>0</v>
      </c>
      <c r="M615" s="75">
        <v>0</v>
      </c>
      <c r="N615" s="6">
        <v>0</v>
      </c>
      <c r="O615" s="75">
        <v>0</v>
      </c>
      <c r="P615" s="6">
        <v>171</v>
      </c>
      <c r="Q615" s="4" t="s">
        <v>26</v>
      </c>
      <c r="R615" s="4">
        <v>0</v>
      </c>
      <c r="S615" s="6">
        <v>18</v>
      </c>
      <c r="T615" s="6">
        <v>0</v>
      </c>
      <c r="U615" s="6">
        <v>0</v>
      </c>
      <c r="V615" s="75">
        <f>IF(ISERROR(VLOOKUP($S$615,'TAR FIN'!$A$1:$O$93,15,0)),0,VLOOKUP($S$615,'TAR FIN'!$A$1:$O$93,15,0))*(1-0.04)</f>
        <v>25.123200000000001</v>
      </c>
      <c r="W615" s="75">
        <f>IF(ISERROR(VLOOKUP($T$615,'TAR FIN'!$A$1:$O$93,15,0)),0,VLOOKUP($T$615,'TAR FIN'!$A$1:$O$93,15,0))</f>
        <v>0</v>
      </c>
      <c r="X615" s="75">
        <f>IF(ISERROR(VLOOKUP($U$615,'TAR FIN'!$A$1:$O$93,15,0)),0,VLOOKUP($U$615,'TAR FIN'!$A$1:$O$93,15,0))</f>
        <v>0</v>
      </c>
      <c r="Y615" s="75">
        <f ca="1">('TUSD BE'!$AM$14+'TUSD BF'!$AM$14+'TUSD CVA'!$AM$14)*1*(1-0.02)</f>
        <v>29.844412718026739</v>
      </c>
      <c r="Z615" s="75"/>
      <c r="AA615" s="75"/>
      <c r="AB615" s="6">
        <f>$K$615*$V$615</f>
        <v>716011.20000000007</v>
      </c>
      <c r="AC615" s="6">
        <f>$M$615*$W$615</f>
        <v>0</v>
      </c>
      <c r="AD615" s="6">
        <f>$O$615*$X$615</f>
        <v>0</v>
      </c>
      <c r="AE615" s="6">
        <f ca="1">$K$615*$Y$615</f>
        <v>850565.76246376208</v>
      </c>
      <c r="AF615" s="6">
        <f>$M$615*$Z$615</f>
        <v>0</v>
      </c>
      <c r="AG615" s="6">
        <f>$O$615*$AA$615</f>
        <v>0</v>
      </c>
    </row>
    <row r="616" spans="1:33" ht="11.25" customHeight="1" x14ac:dyDescent="0.25">
      <c r="A616" s="4" t="s">
        <v>27</v>
      </c>
      <c r="B616" s="4" t="s">
        <v>35</v>
      </c>
      <c r="C616" s="4" t="s">
        <v>39</v>
      </c>
      <c r="D616" s="4" t="s">
        <v>42</v>
      </c>
      <c r="E616" s="4" t="s">
        <v>50</v>
      </c>
      <c r="F616" s="4" t="s">
        <v>25</v>
      </c>
      <c r="G616" s="4" t="s">
        <v>25</v>
      </c>
      <c r="H616" s="4" t="s">
        <v>25</v>
      </c>
      <c r="I616" s="5">
        <v>44652</v>
      </c>
      <c r="J616" s="6">
        <v>-1819</v>
      </c>
      <c r="K616" s="75">
        <v>-1819</v>
      </c>
      <c r="L616" s="6">
        <v>0</v>
      </c>
      <c r="M616" s="75">
        <v>0</v>
      </c>
      <c r="N616" s="6">
        <v>0</v>
      </c>
      <c r="O616" s="75">
        <v>0</v>
      </c>
      <c r="P616" s="6">
        <v>-2</v>
      </c>
      <c r="Q616" s="4" t="s">
        <v>26</v>
      </c>
      <c r="R616" s="4">
        <v>0</v>
      </c>
      <c r="S616" s="6">
        <v>18</v>
      </c>
      <c r="T616" s="6">
        <v>0</v>
      </c>
      <c r="U616" s="6">
        <v>0</v>
      </c>
      <c r="V616" s="75">
        <f>IF(ISERROR(VLOOKUP($S$616,'TAR FIN'!$A$1:$O$93,15,0)),0,VLOOKUP($S$616,'TAR FIN'!$A$1:$O$93,15,0))*(1-0.04)</f>
        <v>25.123200000000001</v>
      </c>
      <c r="W616" s="75">
        <f>IF(ISERROR(VLOOKUP($T$616,'TAR FIN'!$A$1:$O$93,15,0)),0,VLOOKUP($T$616,'TAR FIN'!$A$1:$O$93,15,0))</f>
        <v>0</v>
      </c>
      <c r="X616" s="75">
        <f>IF(ISERROR(VLOOKUP($U$616,'TAR FIN'!$A$1:$O$93,15,0)),0,VLOOKUP($U$616,'TAR FIN'!$A$1:$O$93,15,0))</f>
        <v>0</v>
      </c>
      <c r="Y616" s="75">
        <f ca="1">('TUSD BE'!$AM$14+'TUSD BF'!$AM$14+'TUSD CVA'!$AM$14)*1*(1-0.02)</f>
        <v>29.844412718026739</v>
      </c>
      <c r="Z616" s="75"/>
      <c r="AA616" s="75"/>
      <c r="AB616" s="6">
        <f>$K$616*$V$616</f>
        <v>-45699.1008</v>
      </c>
      <c r="AC616" s="6">
        <f>$M$616*$W$616</f>
        <v>0</v>
      </c>
      <c r="AD616" s="6">
        <f>$O$616*$X$616</f>
        <v>0</v>
      </c>
      <c r="AE616" s="6">
        <f ca="1">$K$616*$Y$616</f>
        <v>-54286.986734090635</v>
      </c>
      <c r="AF616" s="6">
        <f>$M$616*$Z$616</f>
        <v>0</v>
      </c>
      <c r="AG616" s="6">
        <f>$O$616*$AA$616</f>
        <v>0</v>
      </c>
    </row>
    <row r="617" spans="1:33" ht="11.25" customHeight="1" x14ac:dyDescent="0.25">
      <c r="A617" s="4" t="s">
        <v>28</v>
      </c>
      <c r="B617" s="4" t="s">
        <v>35</v>
      </c>
      <c r="C617" s="4" t="s">
        <v>39</v>
      </c>
      <c r="D617" s="4" t="s">
        <v>42</v>
      </c>
      <c r="E617" s="4" t="s">
        <v>50</v>
      </c>
      <c r="F617" s="4" t="s">
        <v>25</v>
      </c>
      <c r="G617" s="4" t="s">
        <v>25</v>
      </c>
      <c r="H617" s="4" t="s">
        <v>25</v>
      </c>
      <c r="I617" s="5">
        <v>44652</v>
      </c>
      <c r="J617" s="6">
        <v>1711</v>
      </c>
      <c r="K617" s="75">
        <v>1711</v>
      </c>
      <c r="L617" s="6">
        <v>0</v>
      </c>
      <c r="M617" s="75">
        <v>0</v>
      </c>
      <c r="N617" s="6">
        <v>0</v>
      </c>
      <c r="O617" s="75">
        <v>0</v>
      </c>
      <c r="P617" s="6">
        <v>7</v>
      </c>
      <c r="Q617" s="4" t="s">
        <v>26</v>
      </c>
      <c r="R617" s="4">
        <v>0</v>
      </c>
      <c r="S617" s="6">
        <v>18</v>
      </c>
      <c r="T617" s="6">
        <v>0</v>
      </c>
      <c r="U617" s="6">
        <v>0</v>
      </c>
      <c r="V617" s="75">
        <f>IF(ISERROR(VLOOKUP($S$617,'TAR FIN'!$A$1:$O$93,15,0)),0,VLOOKUP($S$617,'TAR FIN'!$A$1:$O$93,15,0))*(1-0.04)</f>
        <v>25.123200000000001</v>
      </c>
      <c r="W617" s="75">
        <f>IF(ISERROR(VLOOKUP($T$617,'TAR FIN'!$A$1:$O$93,15,0)),0,VLOOKUP($T$617,'TAR FIN'!$A$1:$O$93,15,0))</f>
        <v>0</v>
      </c>
      <c r="X617" s="75">
        <f>IF(ISERROR(VLOOKUP($U$617,'TAR FIN'!$A$1:$O$93,15,0)),0,VLOOKUP($U$617,'TAR FIN'!$A$1:$O$93,15,0))</f>
        <v>0</v>
      </c>
      <c r="Y617" s="75">
        <f ca="1">('TUSD BE'!$AM$14+'TUSD BF'!$AM$14+'TUSD CVA'!$AM$14)*1*(1-0.02)</f>
        <v>29.844412718026739</v>
      </c>
      <c r="Z617" s="75"/>
      <c r="AA617" s="75"/>
      <c r="AB617" s="6">
        <f>$K$617*$V$617</f>
        <v>42985.7952</v>
      </c>
      <c r="AC617" s="6">
        <f>$M$617*$W$617</f>
        <v>0</v>
      </c>
      <c r="AD617" s="6">
        <f>$O$617*$X$617</f>
        <v>0</v>
      </c>
      <c r="AE617" s="6">
        <f ca="1">$K$617*$Y$617</f>
        <v>51063.790160543751</v>
      </c>
      <c r="AF617" s="6">
        <f>$M$617*$Z$617</f>
        <v>0</v>
      </c>
      <c r="AG617" s="6">
        <f>$O$617*$AA$617</f>
        <v>0</v>
      </c>
    </row>
    <row r="618" spans="1:33" ht="11.25" customHeight="1" x14ac:dyDescent="0.25">
      <c r="A618" s="4" t="s">
        <v>21</v>
      </c>
      <c r="B618" s="4" t="s">
        <v>35</v>
      </c>
      <c r="C618" s="4" t="s">
        <v>39</v>
      </c>
      <c r="D618" s="4" t="s">
        <v>42</v>
      </c>
      <c r="E618" s="4" t="s">
        <v>50</v>
      </c>
      <c r="F618" s="4" t="s">
        <v>25</v>
      </c>
      <c r="G618" s="4" t="s">
        <v>25</v>
      </c>
      <c r="H618" s="4" t="s">
        <v>25</v>
      </c>
      <c r="I618" s="5">
        <v>44682</v>
      </c>
      <c r="J618" s="6">
        <v>11500</v>
      </c>
      <c r="K618" s="75">
        <v>11500</v>
      </c>
      <c r="L618" s="6">
        <v>0</v>
      </c>
      <c r="M618" s="75">
        <v>0</v>
      </c>
      <c r="N618" s="6">
        <v>0</v>
      </c>
      <c r="O618" s="75">
        <v>0</v>
      </c>
      <c r="P618" s="6">
        <v>172</v>
      </c>
      <c r="Q618" s="4" t="s">
        <v>26</v>
      </c>
      <c r="R618" s="4">
        <v>0</v>
      </c>
      <c r="S618" s="6">
        <v>18</v>
      </c>
      <c r="T618" s="6">
        <v>0</v>
      </c>
      <c r="U618" s="6">
        <v>0</v>
      </c>
      <c r="V618" s="75">
        <f>IF(ISERROR(VLOOKUP($S$618,'TAR FIN'!$A$1:$O$93,15,0)),0,VLOOKUP($S$618,'TAR FIN'!$A$1:$O$93,15,0))*(1-0.04)</f>
        <v>25.123200000000001</v>
      </c>
      <c r="W618" s="75">
        <f>IF(ISERROR(VLOOKUP($T$618,'TAR FIN'!$A$1:$O$93,15,0)),0,VLOOKUP($T$618,'TAR FIN'!$A$1:$O$93,15,0))</f>
        <v>0</v>
      </c>
      <c r="X618" s="75">
        <f>IF(ISERROR(VLOOKUP($U$618,'TAR FIN'!$A$1:$O$93,15,0)),0,VLOOKUP($U$618,'TAR FIN'!$A$1:$O$93,15,0))</f>
        <v>0</v>
      </c>
      <c r="Y618" s="75">
        <f ca="1">('TUSD BE'!$AM$14+'TUSD BF'!$AM$14+'TUSD CVA'!$AM$14)*1*(1-0.02)</f>
        <v>29.844412718026739</v>
      </c>
      <c r="Z618" s="75"/>
      <c r="AA618" s="75"/>
      <c r="AB618" s="6">
        <f>$K$618*$V$618</f>
        <v>288916.8</v>
      </c>
      <c r="AC618" s="6">
        <f>$M$618*$W$618</f>
        <v>0</v>
      </c>
      <c r="AD618" s="6">
        <f>$O$618*$X$618</f>
        <v>0</v>
      </c>
      <c r="AE618" s="6">
        <f ca="1">$K$618*$Y$618</f>
        <v>343210.74625730747</v>
      </c>
      <c r="AF618" s="6">
        <f>$M$618*$Z$618</f>
        <v>0</v>
      </c>
      <c r="AG618" s="6">
        <f>$O$618*$AA$618</f>
        <v>0</v>
      </c>
    </row>
    <row r="619" spans="1:33" ht="11.25" customHeight="1" x14ac:dyDescent="0.25">
      <c r="A619" s="4" t="s">
        <v>27</v>
      </c>
      <c r="B619" s="4" t="s">
        <v>35</v>
      </c>
      <c r="C619" s="4" t="s">
        <v>39</v>
      </c>
      <c r="D619" s="4" t="s">
        <v>42</v>
      </c>
      <c r="E619" s="4" t="s">
        <v>50</v>
      </c>
      <c r="F619" s="4" t="s">
        <v>25</v>
      </c>
      <c r="G619" s="4" t="s">
        <v>25</v>
      </c>
      <c r="H619" s="4" t="s">
        <v>25</v>
      </c>
      <c r="I619" s="5">
        <v>44682</v>
      </c>
      <c r="J619" s="6">
        <v>-803</v>
      </c>
      <c r="K619" s="75">
        <v>-803</v>
      </c>
      <c r="L619" s="6">
        <v>0</v>
      </c>
      <c r="M619" s="75">
        <v>0</v>
      </c>
      <c r="N619" s="6">
        <v>0</v>
      </c>
      <c r="O619" s="75">
        <v>0</v>
      </c>
      <c r="P619" s="6">
        <v>-3</v>
      </c>
      <c r="Q619" s="4" t="s">
        <v>26</v>
      </c>
      <c r="R619" s="4">
        <v>0</v>
      </c>
      <c r="S619" s="6">
        <v>18</v>
      </c>
      <c r="T619" s="6">
        <v>0</v>
      </c>
      <c r="U619" s="6">
        <v>0</v>
      </c>
      <c r="V619" s="75">
        <f>IF(ISERROR(VLOOKUP($S$619,'TAR FIN'!$A$1:$O$93,15,0)),0,VLOOKUP($S$619,'TAR FIN'!$A$1:$O$93,15,0))*(1-0.04)</f>
        <v>25.123200000000001</v>
      </c>
      <c r="W619" s="75">
        <f>IF(ISERROR(VLOOKUP($T$619,'TAR FIN'!$A$1:$O$93,15,0)),0,VLOOKUP($T$619,'TAR FIN'!$A$1:$O$93,15,0))</f>
        <v>0</v>
      </c>
      <c r="X619" s="75">
        <f>IF(ISERROR(VLOOKUP($U$619,'TAR FIN'!$A$1:$O$93,15,0)),0,VLOOKUP($U$619,'TAR FIN'!$A$1:$O$93,15,0))</f>
        <v>0</v>
      </c>
      <c r="Y619" s="75">
        <f ca="1">('TUSD BE'!$AM$14+'TUSD BF'!$AM$14+'TUSD CVA'!$AM$14)*1*(1-0.02)</f>
        <v>29.844412718026739</v>
      </c>
      <c r="Z619" s="75"/>
      <c r="AA619" s="75"/>
      <c r="AB619" s="6">
        <f>$K$619*$V$619</f>
        <v>-20173.929599999999</v>
      </c>
      <c r="AC619" s="6">
        <f>$M$619*$W$619</f>
        <v>0</v>
      </c>
      <c r="AD619" s="6">
        <f>$O$619*$X$619</f>
        <v>0</v>
      </c>
      <c r="AE619" s="6">
        <f ca="1">$K$619*$Y$619</f>
        <v>-23965.06341257547</v>
      </c>
      <c r="AF619" s="6">
        <f>$M$619*$Z$619</f>
        <v>0</v>
      </c>
      <c r="AG619" s="6">
        <f>$O$619*$AA$619</f>
        <v>0</v>
      </c>
    </row>
    <row r="620" spans="1:33" ht="11.25" customHeight="1" x14ac:dyDescent="0.25">
      <c r="A620" s="4" t="s">
        <v>28</v>
      </c>
      <c r="B620" s="4" t="s">
        <v>35</v>
      </c>
      <c r="C620" s="4" t="s">
        <v>39</v>
      </c>
      <c r="D620" s="4" t="s">
        <v>42</v>
      </c>
      <c r="E620" s="4" t="s">
        <v>50</v>
      </c>
      <c r="F620" s="4" t="s">
        <v>25</v>
      </c>
      <c r="G620" s="4" t="s">
        <v>25</v>
      </c>
      <c r="H620" s="4" t="s">
        <v>25</v>
      </c>
      <c r="I620" s="5">
        <v>44682</v>
      </c>
      <c r="J620" s="6">
        <v>1450</v>
      </c>
      <c r="K620" s="75">
        <v>1450</v>
      </c>
      <c r="L620" s="6">
        <v>0</v>
      </c>
      <c r="M620" s="75">
        <v>0</v>
      </c>
      <c r="N620" s="6">
        <v>0</v>
      </c>
      <c r="O620" s="75">
        <v>0</v>
      </c>
      <c r="P620" s="6">
        <v>7</v>
      </c>
      <c r="Q620" s="4" t="s">
        <v>26</v>
      </c>
      <c r="R620" s="4">
        <v>0</v>
      </c>
      <c r="S620" s="6">
        <v>18</v>
      </c>
      <c r="T620" s="6">
        <v>0</v>
      </c>
      <c r="U620" s="6">
        <v>0</v>
      </c>
      <c r="V620" s="75">
        <f>IF(ISERROR(VLOOKUP($S$620,'TAR FIN'!$A$1:$O$93,15,0)),0,VLOOKUP($S$620,'TAR FIN'!$A$1:$O$93,15,0))*(1-0.04)</f>
        <v>25.123200000000001</v>
      </c>
      <c r="W620" s="75">
        <f>IF(ISERROR(VLOOKUP($T$620,'TAR FIN'!$A$1:$O$93,15,0)),0,VLOOKUP($T$620,'TAR FIN'!$A$1:$O$93,15,0))</f>
        <v>0</v>
      </c>
      <c r="X620" s="75">
        <f>IF(ISERROR(VLOOKUP($U$620,'TAR FIN'!$A$1:$O$93,15,0)),0,VLOOKUP($U$620,'TAR FIN'!$A$1:$O$93,15,0))</f>
        <v>0</v>
      </c>
      <c r="Y620" s="75">
        <f ca="1">('TUSD BE'!$AM$14+'TUSD BF'!$AM$14+'TUSD CVA'!$AM$14)*1*(1-0.02)</f>
        <v>29.844412718026739</v>
      </c>
      <c r="Z620" s="75"/>
      <c r="AA620" s="75"/>
      <c r="AB620" s="6">
        <f>$K$620*$V$620</f>
        <v>36428.639999999999</v>
      </c>
      <c r="AC620" s="6">
        <f>$M$620*$W$620</f>
        <v>0</v>
      </c>
      <c r="AD620" s="6">
        <f>$O$620*$X$620</f>
        <v>0</v>
      </c>
      <c r="AE620" s="6">
        <f ca="1">$K$620*$Y$620</f>
        <v>43274.398441138772</v>
      </c>
      <c r="AF620" s="6">
        <f>$M$620*$Z$620</f>
        <v>0</v>
      </c>
      <c r="AG620" s="6">
        <f>$O$620*$AA$620</f>
        <v>0</v>
      </c>
    </row>
    <row r="621" spans="1:33" ht="11.25" customHeight="1" x14ac:dyDescent="0.25">
      <c r="A621" s="4" t="s">
        <v>21</v>
      </c>
      <c r="B621" s="4" t="s">
        <v>35</v>
      </c>
      <c r="C621" s="4" t="s">
        <v>39</v>
      </c>
      <c r="D621" s="4" t="s">
        <v>42</v>
      </c>
      <c r="E621" s="4" t="s">
        <v>50</v>
      </c>
      <c r="F621" s="4" t="s">
        <v>25</v>
      </c>
      <c r="G621" s="4" t="s">
        <v>25</v>
      </c>
      <c r="H621" s="4" t="s">
        <v>25</v>
      </c>
      <c r="I621" s="5">
        <v>44713</v>
      </c>
      <c r="J621" s="6">
        <v>6121</v>
      </c>
      <c r="K621" s="75">
        <v>6121</v>
      </c>
      <c r="L621" s="6">
        <v>0</v>
      </c>
      <c r="M621" s="75">
        <v>0</v>
      </c>
      <c r="N621" s="6">
        <v>0</v>
      </c>
      <c r="O621" s="75">
        <v>0</v>
      </c>
      <c r="P621" s="6">
        <v>170</v>
      </c>
      <c r="Q621" s="4" t="s">
        <v>26</v>
      </c>
      <c r="R621" s="4">
        <v>0</v>
      </c>
      <c r="S621" s="6">
        <v>18</v>
      </c>
      <c r="T621" s="6">
        <v>0</v>
      </c>
      <c r="U621" s="6">
        <v>0</v>
      </c>
      <c r="V621" s="75">
        <f>IF(ISERROR(VLOOKUP($S$621,'TAR FIN'!$A$1:$O$93,15,0)),0,VLOOKUP($S$621,'TAR FIN'!$A$1:$O$93,15,0))*(1-0.04)</f>
        <v>25.123200000000001</v>
      </c>
      <c r="W621" s="75">
        <f>IF(ISERROR(VLOOKUP($T$621,'TAR FIN'!$A$1:$O$93,15,0)),0,VLOOKUP($T$621,'TAR FIN'!$A$1:$O$93,15,0))</f>
        <v>0</v>
      </c>
      <c r="X621" s="75">
        <f>IF(ISERROR(VLOOKUP($U$621,'TAR FIN'!$A$1:$O$93,15,0)),0,VLOOKUP($U$621,'TAR FIN'!$A$1:$O$93,15,0))</f>
        <v>0</v>
      </c>
      <c r="Y621" s="75">
        <f ca="1">('TUSD BE'!$AM$14+'TUSD BF'!$AM$14+'TUSD CVA'!$AM$14)*1*(1-0.02)</f>
        <v>29.844412718026739</v>
      </c>
      <c r="Z621" s="75"/>
      <c r="AA621" s="75"/>
      <c r="AB621" s="6">
        <f>$K$621*$V$621</f>
        <v>153779.1072</v>
      </c>
      <c r="AC621" s="6">
        <f>$M$621*$W$621</f>
        <v>0</v>
      </c>
      <c r="AD621" s="6">
        <f>$O$621*$X$621</f>
        <v>0</v>
      </c>
      <c r="AE621" s="6">
        <f ca="1">$K$621*$Y$621</f>
        <v>182677.65024704166</v>
      </c>
      <c r="AF621" s="6">
        <f>$M$621*$Z$621</f>
        <v>0</v>
      </c>
      <c r="AG621" s="6">
        <f>$O$621*$AA$621</f>
        <v>0</v>
      </c>
    </row>
    <row r="622" spans="1:33" ht="11.25" customHeight="1" x14ac:dyDescent="0.25">
      <c r="A622" s="4" t="s">
        <v>27</v>
      </c>
      <c r="B622" s="4" t="s">
        <v>35</v>
      </c>
      <c r="C622" s="4" t="s">
        <v>39</v>
      </c>
      <c r="D622" s="4" t="s">
        <v>42</v>
      </c>
      <c r="E622" s="4" t="s">
        <v>50</v>
      </c>
      <c r="F622" s="4" t="s">
        <v>25</v>
      </c>
      <c r="G622" s="4" t="s">
        <v>25</v>
      </c>
      <c r="H622" s="4" t="s">
        <v>25</v>
      </c>
      <c r="I622" s="5">
        <v>44713</v>
      </c>
      <c r="J622" s="6">
        <v>-77</v>
      </c>
      <c r="K622" s="75">
        <v>-77</v>
      </c>
      <c r="L622" s="6">
        <v>0</v>
      </c>
      <c r="M622" s="75">
        <v>0</v>
      </c>
      <c r="N622" s="6">
        <v>0</v>
      </c>
      <c r="O622" s="75">
        <v>0</v>
      </c>
      <c r="P622" s="6">
        <v>-1</v>
      </c>
      <c r="Q622" s="4" t="s">
        <v>26</v>
      </c>
      <c r="R622" s="4">
        <v>0</v>
      </c>
      <c r="S622" s="6">
        <v>18</v>
      </c>
      <c r="T622" s="6">
        <v>0</v>
      </c>
      <c r="U622" s="6">
        <v>0</v>
      </c>
      <c r="V622" s="75">
        <f>IF(ISERROR(VLOOKUP($S$622,'TAR FIN'!$A$1:$O$93,15,0)),0,VLOOKUP($S$622,'TAR FIN'!$A$1:$O$93,15,0))*(1-0.04)</f>
        <v>25.123200000000001</v>
      </c>
      <c r="W622" s="75">
        <f>IF(ISERROR(VLOOKUP($T$622,'TAR FIN'!$A$1:$O$93,15,0)),0,VLOOKUP($T$622,'TAR FIN'!$A$1:$O$93,15,0))</f>
        <v>0</v>
      </c>
      <c r="X622" s="75">
        <f>IF(ISERROR(VLOOKUP($U$622,'TAR FIN'!$A$1:$O$93,15,0)),0,VLOOKUP($U$622,'TAR FIN'!$A$1:$O$93,15,0))</f>
        <v>0</v>
      </c>
      <c r="Y622" s="75">
        <f ca="1">('TUSD BE'!$AM$14+'TUSD BF'!$AM$14+'TUSD CVA'!$AM$14)*1*(1-0.02)</f>
        <v>29.844412718026739</v>
      </c>
      <c r="Z622" s="75"/>
      <c r="AA622" s="75"/>
      <c r="AB622" s="6">
        <f>$K$622*$V$622</f>
        <v>-1934.4864</v>
      </c>
      <c r="AC622" s="6">
        <f>$M$622*$W$622</f>
        <v>0</v>
      </c>
      <c r="AD622" s="6">
        <f>$O$622*$X$622</f>
        <v>0</v>
      </c>
      <c r="AE622" s="6">
        <f ca="1">$K$622*$Y$622</f>
        <v>-2298.019779288059</v>
      </c>
      <c r="AF622" s="6">
        <f>$M$622*$Z$622</f>
        <v>0</v>
      </c>
      <c r="AG622" s="6">
        <f>$O$622*$AA$622</f>
        <v>0</v>
      </c>
    </row>
    <row r="623" spans="1:33" ht="11.25" customHeight="1" x14ac:dyDescent="0.25">
      <c r="A623" s="4" t="s">
        <v>28</v>
      </c>
      <c r="B623" s="4" t="s">
        <v>35</v>
      </c>
      <c r="C623" s="4" t="s">
        <v>39</v>
      </c>
      <c r="D623" s="4" t="s">
        <v>42</v>
      </c>
      <c r="E623" s="4" t="s">
        <v>50</v>
      </c>
      <c r="F623" s="4" t="s">
        <v>25</v>
      </c>
      <c r="G623" s="4" t="s">
        <v>25</v>
      </c>
      <c r="H623" s="4" t="s">
        <v>25</v>
      </c>
      <c r="I623" s="5">
        <v>44713</v>
      </c>
      <c r="J623" s="6">
        <v>1265</v>
      </c>
      <c r="K623" s="75">
        <v>1265</v>
      </c>
      <c r="L623" s="6">
        <v>0</v>
      </c>
      <c r="M623" s="75">
        <v>0</v>
      </c>
      <c r="N623" s="6">
        <v>0</v>
      </c>
      <c r="O623" s="75">
        <v>0</v>
      </c>
      <c r="P623" s="6">
        <v>7</v>
      </c>
      <c r="Q623" s="4" t="s">
        <v>26</v>
      </c>
      <c r="R623" s="4">
        <v>0</v>
      </c>
      <c r="S623" s="6">
        <v>18</v>
      </c>
      <c r="T623" s="6">
        <v>0</v>
      </c>
      <c r="U623" s="6">
        <v>0</v>
      </c>
      <c r="V623" s="75">
        <f>IF(ISERROR(VLOOKUP($S$623,'TAR FIN'!$A$1:$O$93,15,0)),0,VLOOKUP($S$623,'TAR FIN'!$A$1:$O$93,15,0))*(1-0.04)</f>
        <v>25.123200000000001</v>
      </c>
      <c r="W623" s="75">
        <f>IF(ISERROR(VLOOKUP($T$623,'TAR FIN'!$A$1:$O$93,15,0)),0,VLOOKUP($T$623,'TAR FIN'!$A$1:$O$93,15,0))</f>
        <v>0</v>
      </c>
      <c r="X623" s="75">
        <f>IF(ISERROR(VLOOKUP($U$623,'TAR FIN'!$A$1:$O$93,15,0)),0,VLOOKUP($U$623,'TAR FIN'!$A$1:$O$93,15,0))</f>
        <v>0</v>
      </c>
      <c r="Y623" s="75">
        <f ca="1">('TUSD BE'!$AM$14+'TUSD BF'!$AM$14+'TUSD CVA'!$AM$14)*1*(1-0.02)</f>
        <v>29.844412718026739</v>
      </c>
      <c r="Z623" s="75"/>
      <c r="AA623" s="75"/>
      <c r="AB623" s="6">
        <f>$K$623*$V$623</f>
        <v>31780.848000000002</v>
      </c>
      <c r="AC623" s="6">
        <f>$M$623*$W$623</f>
        <v>0</v>
      </c>
      <c r="AD623" s="6">
        <f>$O$623*$X$623</f>
        <v>0</v>
      </c>
      <c r="AE623" s="6">
        <f ca="1">$K$623*$Y$623</f>
        <v>37753.182088303824</v>
      </c>
      <c r="AF623" s="6">
        <f>$M$623*$Z$623</f>
        <v>0</v>
      </c>
      <c r="AG623" s="6">
        <f>$O$623*$AA$623</f>
        <v>0</v>
      </c>
    </row>
    <row r="624" spans="1:33" ht="11.25" customHeight="1" x14ac:dyDescent="0.25">
      <c r="A624" s="4" t="s">
        <v>21</v>
      </c>
      <c r="B624" s="4" t="s">
        <v>35</v>
      </c>
      <c r="C624" s="4" t="s">
        <v>39</v>
      </c>
      <c r="D624" s="4" t="s">
        <v>42</v>
      </c>
      <c r="E624" s="4" t="s">
        <v>25</v>
      </c>
      <c r="F624" s="4" t="s">
        <v>25</v>
      </c>
      <c r="G624" s="4" t="s">
        <v>25</v>
      </c>
      <c r="H624" s="4" t="s">
        <v>38</v>
      </c>
      <c r="I624" s="5">
        <v>44378</v>
      </c>
      <c r="J624" s="6">
        <v>0</v>
      </c>
      <c r="K624" s="75">
        <v>0</v>
      </c>
      <c r="L624" s="6">
        <v>1481.367</v>
      </c>
      <c r="M624" s="75">
        <v>1481.367</v>
      </c>
      <c r="N624" s="6">
        <v>1481.367</v>
      </c>
      <c r="O624" s="75">
        <v>1481.367</v>
      </c>
      <c r="P624" s="6">
        <v>0</v>
      </c>
      <c r="Q624" s="4" t="s">
        <v>26</v>
      </c>
      <c r="R624" s="4">
        <v>0</v>
      </c>
      <c r="S624" s="6">
        <v>0</v>
      </c>
      <c r="T624" s="6">
        <v>25</v>
      </c>
      <c r="U624" s="6">
        <v>59</v>
      </c>
      <c r="V624" s="75">
        <f>IF(ISERROR(VLOOKUP($S$624,'TAR FIN'!$A$1:$O$93,15,0)),0,VLOOKUP($S$624,'TAR FIN'!$A$1:$O$93,15,0))</f>
        <v>0</v>
      </c>
      <c r="W624" s="75">
        <f>IF(ISERROR(VLOOKUP($T$624,'TAR FIN'!$A$1:$O$93,15,0)),0,VLOOKUP($T$624,'TAR FIN'!$A$1:$O$93,15,0))*(1-0.04)</f>
        <v>66.710399999999993</v>
      </c>
      <c r="X624" s="75">
        <f>IF(ISERROR(VLOOKUP($U$624,'TAR FIN'!$A$1:$O$93,15,0)),0,VLOOKUP($U$624,'TAR FIN'!$A$1:$O$93,15,0))*(1-0.04)</f>
        <v>177.77279999999999</v>
      </c>
      <c r="Y624" s="75"/>
      <c r="Z624" s="75">
        <f ca="1">('TUSD BE'!$AM$16+'TUSD BF'!$AM$16+'TUSD CVA'!$AM$16)*1*(1-0.02)</f>
        <v>90.654697600755071</v>
      </c>
      <c r="AA624" s="75">
        <f>('TE BE'!$AB$8+'TE BF'!$AB$8+'TE CVA'!$AB$8)*1*(1-0.02)</f>
        <v>194.21830884065065</v>
      </c>
      <c r="AB624" s="6">
        <f>$K$624*$V$624</f>
        <v>0</v>
      </c>
      <c r="AC624" s="6">
        <f>$M$624*$W$624</f>
        <v>98822.585116799994</v>
      </c>
      <c r="AD624" s="6">
        <f>$O$624*$X$624</f>
        <v>263346.7594176</v>
      </c>
      <c r="AE624" s="6">
        <f>$K$624*$Y$624</f>
        <v>0</v>
      </c>
      <c r="AF624" s="6">
        <f ca="1">$M$624*$Z$624</f>
        <v>134292.87742073773</v>
      </c>
      <c r="AG624" s="6">
        <f>$O$624*$AA$624</f>
        <v>287708.59351234813</v>
      </c>
    </row>
    <row r="625" spans="1:33" ht="11.25" customHeight="1" x14ac:dyDescent="0.25">
      <c r="A625" s="4" t="s">
        <v>28</v>
      </c>
      <c r="B625" s="4" t="s">
        <v>35</v>
      </c>
      <c r="C625" s="4" t="s">
        <v>39</v>
      </c>
      <c r="D625" s="4" t="s">
        <v>42</v>
      </c>
      <c r="E625" s="4" t="s">
        <v>25</v>
      </c>
      <c r="F625" s="4" t="s">
        <v>25</v>
      </c>
      <c r="G625" s="4" t="s">
        <v>25</v>
      </c>
      <c r="H625" s="4" t="s">
        <v>38</v>
      </c>
      <c r="I625" s="5">
        <v>44378</v>
      </c>
      <c r="J625" s="6">
        <v>0</v>
      </c>
      <c r="K625" s="75">
        <v>0</v>
      </c>
      <c r="L625" s="6">
        <v>46.137</v>
      </c>
      <c r="M625" s="75">
        <v>46.137</v>
      </c>
      <c r="N625" s="6">
        <v>46.137</v>
      </c>
      <c r="O625" s="75">
        <v>46.137</v>
      </c>
      <c r="P625" s="6">
        <v>0</v>
      </c>
      <c r="Q625" s="4" t="s">
        <v>26</v>
      </c>
      <c r="R625" s="4">
        <v>0</v>
      </c>
      <c r="S625" s="6">
        <v>0</v>
      </c>
      <c r="T625" s="6">
        <v>25</v>
      </c>
      <c r="U625" s="6">
        <v>59</v>
      </c>
      <c r="V625" s="75">
        <f>IF(ISERROR(VLOOKUP($S$625,'TAR FIN'!$A$1:$O$93,15,0)),0,VLOOKUP($S$625,'TAR FIN'!$A$1:$O$93,15,0))</f>
        <v>0</v>
      </c>
      <c r="W625" s="75">
        <f>IF(ISERROR(VLOOKUP($T$625,'TAR FIN'!$A$1:$O$93,15,0)),0,VLOOKUP($T$625,'TAR FIN'!$A$1:$O$93,15,0))*(1-0.04)</f>
        <v>66.710399999999993</v>
      </c>
      <c r="X625" s="75">
        <f>IF(ISERROR(VLOOKUP($U$625,'TAR FIN'!$A$1:$O$93,15,0)),0,VLOOKUP($U$625,'TAR FIN'!$A$1:$O$93,15,0))*(1-0.04)</f>
        <v>177.77279999999999</v>
      </c>
      <c r="Y625" s="75"/>
      <c r="Z625" s="75">
        <f ca="1">('TUSD BE'!$AM$16+'TUSD BF'!$AM$16+'TUSD CVA'!$AM$16)*1*(1-0.02)</f>
        <v>90.654697600755071</v>
      </c>
      <c r="AA625" s="75">
        <f>('TE BE'!$AB$8+'TE BF'!$AB$8+'TE CVA'!$AB$8)*1*(1-0.02)</f>
        <v>194.21830884065065</v>
      </c>
      <c r="AB625" s="6">
        <f>$K$625*$V$625</f>
        <v>0</v>
      </c>
      <c r="AC625" s="6">
        <f>$M$625*$W$625</f>
        <v>3077.8177247999997</v>
      </c>
      <c r="AD625" s="6">
        <f>$O$625*$X$625</f>
        <v>8201.9036735999998</v>
      </c>
      <c r="AE625" s="6">
        <f>$K$625*$Y$625</f>
        <v>0</v>
      </c>
      <c r="AF625" s="6">
        <f ca="1">$M$625*$Z$625</f>
        <v>4182.5357832060372</v>
      </c>
      <c r="AG625" s="6">
        <f>$O$625*$AA$625</f>
        <v>8960.6501149810993</v>
      </c>
    </row>
    <row r="626" spans="1:33" ht="11.25" customHeight="1" x14ac:dyDescent="0.25">
      <c r="A626" s="4" t="s">
        <v>21</v>
      </c>
      <c r="B626" s="4" t="s">
        <v>35</v>
      </c>
      <c r="C626" s="4" t="s">
        <v>39</v>
      </c>
      <c r="D626" s="4" t="s">
        <v>42</v>
      </c>
      <c r="E626" s="4" t="s">
        <v>25</v>
      </c>
      <c r="F626" s="4" t="s">
        <v>25</v>
      </c>
      <c r="G626" s="4" t="s">
        <v>25</v>
      </c>
      <c r="H626" s="4" t="s">
        <v>38</v>
      </c>
      <c r="I626" s="5">
        <v>44409</v>
      </c>
      <c r="J626" s="6">
        <v>0</v>
      </c>
      <c r="K626" s="75">
        <v>0</v>
      </c>
      <c r="L626" s="6">
        <v>1533.671</v>
      </c>
      <c r="M626" s="75">
        <v>1533.671</v>
      </c>
      <c r="N626" s="6">
        <v>1533.671</v>
      </c>
      <c r="O626" s="75">
        <v>1533.671</v>
      </c>
      <c r="P626" s="6">
        <v>0</v>
      </c>
      <c r="Q626" s="4" t="s">
        <v>26</v>
      </c>
      <c r="R626" s="4">
        <v>0</v>
      </c>
      <c r="S626" s="6">
        <v>0</v>
      </c>
      <c r="T626" s="6">
        <v>25</v>
      </c>
      <c r="U626" s="6">
        <v>59</v>
      </c>
      <c r="V626" s="75">
        <f>IF(ISERROR(VLOOKUP($S$626,'TAR FIN'!$A$1:$O$93,15,0)),0,VLOOKUP($S$626,'TAR FIN'!$A$1:$O$93,15,0))</f>
        <v>0</v>
      </c>
      <c r="W626" s="75">
        <f>IF(ISERROR(VLOOKUP($T$626,'TAR FIN'!$A$1:$O$93,15,0)),0,VLOOKUP($T$626,'TAR FIN'!$A$1:$O$93,15,0))*(1-0.04)</f>
        <v>66.710399999999993</v>
      </c>
      <c r="X626" s="75">
        <f>IF(ISERROR(VLOOKUP($U$626,'TAR FIN'!$A$1:$O$93,15,0)),0,VLOOKUP($U$626,'TAR FIN'!$A$1:$O$93,15,0))*(1-0.04)</f>
        <v>177.77279999999999</v>
      </c>
      <c r="Y626" s="75"/>
      <c r="Z626" s="75">
        <f ca="1">('TUSD BE'!$AM$16+'TUSD BF'!$AM$16+'TUSD CVA'!$AM$16)*1*(1-0.02)</f>
        <v>90.654697600755071</v>
      </c>
      <c r="AA626" s="75">
        <f>('TE BE'!$AB$8+'TE BF'!$AB$8+'TE CVA'!$AB$8)*1*(1-0.02)</f>
        <v>194.21830884065065</v>
      </c>
      <c r="AB626" s="6">
        <f>$K$626*$V$626</f>
        <v>0</v>
      </c>
      <c r="AC626" s="6">
        <f>$M$626*$W$626</f>
        <v>102311.80587839999</v>
      </c>
      <c r="AD626" s="6">
        <f>$O$626*$X$626</f>
        <v>272644.98794879997</v>
      </c>
      <c r="AE626" s="6">
        <f>$K$626*$Y$626</f>
        <v>0</v>
      </c>
      <c r="AF626" s="6">
        <f ca="1">$M$626*$Z$626</f>
        <v>139034.48072404764</v>
      </c>
      <c r="AG626" s="6">
        <f>$O$626*$AA$626</f>
        <v>297866.98793794954</v>
      </c>
    </row>
    <row r="627" spans="1:33" ht="11.25" customHeight="1" x14ac:dyDescent="0.25">
      <c r="A627" s="4" t="s">
        <v>28</v>
      </c>
      <c r="B627" s="4" t="s">
        <v>35</v>
      </c>
      <c r="C627" s="4" t="s">
        <v>39</v>
      </c>
      <c r="D627" s="4" t="s">
        <v>42</v>
      </c>
      <c r="E627" s="4" t="s">
        <v>25</v>
      </c>
      <c r="F627" s="4" t="s">
        <v>25</v>
      </c>
      <c r="G627" s="4" t="s">
        <v>25</v>
      </c>
      <c r="H627" s="4" t="s">
        <v>38</v>
      </c>
      <c r="I627" s="5">
        <v>44409</v>
      </c>
      <c r="J627" s="6">
        <v>0</v>
      </c>
      <c r="K627" s="75">
        <v>0</v>
      </c>
      <c r="L627" s="6">
        <v>32.774000000000001</v>
      </c>
      <c r="M627" s="75">
        <v>32.774000000000001</v>
      </c>
      <c r="N627" s="6">
        <v>32.774000000000001</v>
      </c>
      <c r="O627" s="75">
        <v>32.774000000000001</v>
      </c>
      <c r="P627" s="6">
        <v>0</v>
      </c>
      <c r="Q627" s="4" t="s">
        <v>26</v>
      </c>
      <c r="R627" s="4">
        <v>0</v>
      </c>
      <c r="S627" s="6">
        <v>0</v>
      </c>
      <c r="T627" s="6">
        <v>25</v>
      </c>
      <c r="U627" s="6">
        <v>59</v>
      </c>
      <c r="V627" s="75">
        <f>IF(ISERROR(VLOOKUP($S$627,'TAR FIN'!$A$1:$O$93,15,0)),0,VLOOKUP($S$627,'TAR FIN'!$A$1:$O$93,15,0))</f>
        <v>0</v>
      </c>
      <c r="W627" s="75">
        <f>IF(ISERROR(VLOOKUP($T$627,'TAR FIN'!$A$1:$O$93,15,0)),0,VLOOKUP($T$627,'TAR FIN'!$A$1:$O$93,15,0))*(1-0.04)</f>
        <v>66.710399999999993</v>
      </c>
      <c r="X627" s="75">
        <f>IF(ISERROR(VLOOKUP($U$627,'TAR FIN'!$A$1:$O$93,15,0)),0,VLOOKUP($U$627,'TAR FIN'!$A$1:$O$93,15,0))*(1-0.04)</f>
        <v>177.77279999999999</v>
      </c>
      <c r="Y627" s="75"/>
      <c r="Z627" s="75">
        <f ca="1">('TUSD BE'!$AM$16+'TUSD BF'!$AM$16+'TUSD CVA'!$AM$16)*1*(1-0.02)</f>
        <v>90.654697600755071</v>
      </c>
      <c r="AA627" s="75">
        <f>('TE BE'!$AB$8+'TE BF'!$AB$8+'TE CVA'!$AB$8)*1*(1-0.02)</f>
        <v>194.21830884065065</v>
      </c>
      <c r="AB627" s="6">
        <f>$K$627*$V$627</f>
        <v>0</v>
      </c>
      <c r="AC627" s="6">
        <f>$M$627*$W$627</f>
        <v>2186.3666495999996</v>
      </c>
      <c r="AD627" s="6">
        <f>$O$627*$X$627</f>
        <v>5826.3257471999996</v>
      </c>
      <c r="AE627" s="6">
        <f>$K$627*$Y$627</f>
        <v>0</v>
      </c>
      <c r="AF627" s="6">
        <f ca="1">$M$627*$Z$627</f>
        <v>2971.1170591671466</v>
      </c>
      <c r="AG627" s="6">
        <f>$O$627*$AA$627</f>
        <v>6365.3108539434843</v>
      </c>
    </row>
    <row r="628" spans="1:33" ht="11.25" customHeight="1" x14ac:dyDescent="0.25">
      <c r="A628" s="4" t="s">
        <v>28</v>
      </c>
      <c r="B628" s="4" t="s">
        <v>35</v>
      </c>
      <c r="C628" s="4" t="s">
        <v>39</v>
      </c>
      <c r="D628" s="4" t="s">
        <v>42</v>
      </c>
      <c r="E628" s="4" t="s">
        <v>25</v>
      </c>
      <c r="F628" s="4" t="s">
        <v>25</v>
      </c>
      <c r="G628" s="4" t="s">
        <v>25</v>
      </c>
      <c r="H628" s="4" t="s">
        <v>38</v>
      </c>
      <c r="I628" s="5">
        <v>44409</v>
      </c>
      <c r="J628" s="6">
        <v>0</v>
      </c>
      <c r="K628" s="75">
        <v>0</v>
      </c>
      <c r="L628" s="6">
        <v>-14.188000000000001</v>
      </c>
      <c r="M628" s="75">
        <v>-14.188000000000001</v>
      </c>
      <c r="N628" s="6">
        <v>-14.188000000000001</v>
      </c>
      <c r="O628" s="75">
        <v>-14.188000000000001</v>
      </c>
      <c r="P628" s="6">
        <v>0</v>
      </c>
      <c r="Q628" s="4" t="s">
        <v>26</v>
      </c>
      <c r="R628" s="4">
        <v>0</v>
      </c>
      <c r="S628" s="6">
        <v>0</v>
      </c>
      <c r="T628" s="6">
        <v>25</v>
      </c>
      <c r="U628" s="6">
        <v>59</v>
      </c>
      <c r="V628" s="75">
        <f>IF(ISERROR(VLOOKUP($S$628,'TAR FIN'!$A$1:$O$93,15,0)),0,VLOOKUP($S$628,'TAR FIN'!$A$1:$O$93,15,0))</f>
        <v>0</v>
      </c>
      <c r="W628" s="75">
        <f>IF(ISERROR(VLOOKUP($T$628,'TAR FIN'!$A$1:$O$93,15,0)),0,VLOOKUP($T$628,'TAR FIN'!$A$1:$O$93,15,0))*(1-0.04)</f>
        <v>66.710399999999993</v>
      </c>
      <c r="X628" s="75">
        <f>IF(ISERROR(VLOOKUP($U$628,'TAR FIN'!$A$1:$O$93,15,0)),0,VLOOKUP($U$628,'TAR FIN'!$A$1:$O$93,15,0))*(1-0.04)</f>
        <v>177.77279999999999</v>
      </c>
      <c r="Y628" s="75"/>
      <c r="Z628" s="75">
        <f ca="1">('TUSD BE'!$AM$16+'TUSD BF'!$AM$16+'TUSD CVA'!$AM$16)*1*(1-0.02)</f>
        <v>90.654697600755071</v>
      </c>
      <c r="AA628" s="75">
        <f>('TE BE'!$AB$8+'TE BF'!$AB$8+'TE CVA'!$AB$8)*1*(1-0.02)</f>
        <v>194.21830884065065</v>
      </c>
      <c r="AB628" s="6">
        <f>$K$628*$V$628</f>
        <v>0</v>
      </c>
      <c r="AC628" s="6">
        <f>$M$628*$W$628</f>
        <v>-946.48715519999996</v>
      </c>
      <c r="AD628" s="6">
        <f>$O$628*$X$628</f>
        <v>-2522.2404864</v>
      </c>
      <c r="AE628" s="6">
        <f>$K$628*$Y$628</f>
        <v>0</v>
      </c>
      <c r="AF628" s="6">
        <f ca="1">$M$628*$Z$628</f>
        <v>-1286.2088495595131</v>
      </c>
      <c r="AG628" s="6">
        <f>$O$628*$AA$628</f>
        <v>-2755.5693658311516</v>
      </c>
    </row>
    <row r="629" spans="1:33" ht="11.25" customHeight="1" x14ac:dyDescent="0.25">
      <c r="A629" s="4" t="s">
        <v>21</v>
      </c>
      <c r="B629" s="4" t="s">
        <v>35</v>
      </c>
      <c r="C629" s="4" t="s">
        <v>39</v>
      </c>
      <c r="D629" s="4" t="s">
        <v>42</v>
      </c>
      <c r="E629" s="4" t="s">
        <v>25</v>
      </c>
      <c r="F629" s="4" t="s">
        <v>25</v>
      </c>
      <c r="G629" s="4" t="s">
        <v>25</v>
      </c>
      <c r="H629" s="4" t="s">
        <v>38</v>
      </c>
      <c r="I629" s="5">
        <v>44440</v>
      </c>
      <c r="J629" s="6">
        <v>0</v>
      </c>
      <c r="K629" s="75">
        <v>0</v>
      </c>
      <c r="L629" s="6">
        <v>1383.1130000000001</v>
      </c>
      <c r="M629" s="75">
        <v>1383.1130000000001</v>
      </c>
      <c r="N629" s="6">
        <v>1383.1130000000001</v>
      </c>
      <c r="O629" s="75">
        <v>1383.1130000000001</v>
      </c>
      <c r="P629" s="6">
        <v>0</v>
      </c>
      <c r="Q629" s="4" t="s">
        <v>26</v>
      </c>
      <c r="R629" s="4">
        <v>0</v>
      </c>
      <c r="S629" s="6">
        <v>0</v>
      </c>
      <c r="T629" s="6">
        <v>25</v>
      </c>
      <c r="U629" s="6">
        <v>59</v>
      </c>
      <c r="V629" s="75">
        <f>IF(ISERROR(VLOOKUP($S$629,'TAR FIN'!$A$1:$O$93,15,0)),0,VLOOKUP($S$629,'TAR FIN'!$A$1:$O$93,15,0))</f>
        <v>0</v>
      </c>
      <c r="W629" s="75">
        <f>IF(ISERROR(VLOOKUP($T$629,'TAR FIN'!$A$1:$O$93,15,0)),0,VLOOKUP($T$629,'TAR FIN'!$A$1:$O$93,15,0))*(1-0.04)</f>
        <v>66.710399999999993</v>
      </c>
      <c r="X629" s="75">
        <f>IF(ISERROR(VLOOKUP($U$629,'TAR FIN'!$A$1:$O$93,15,0)),0,VLOOKUP($U$629,'TAR FIN'!$A$1:$O$93,15,0))*(1-0.04)</f>
        <v>177.77279999999999</v>
      </c>
      <c r="Y629" s="75"/>
      <c r="Z629" s="75">
        <f ca="1">('TUSD BE'!$AM$16+'TUSD BF'!$AM$16+'TUSD CVA'!$AM$16)*1*(1-0.02)</f>
        <v>90.654697600755071</v>
      </c>
      <c r="AA629" s="75">
        <f>('TE BE'!$AB$8+'TE BF'!$AB$8+'TE CVA'!$AB$8)*1*(1-0.02)</f>
        <v>194.21830884065065</v>
      </c>
      <c r="AB629" s="6">
        <f>$K$629*$V$629</f>
        <v>0</v>
      </c>
      <c r="AC629" s="6">
        <f>$M$629*$W$629</f>
        <v>92268.021475199988</v>
      </c>
      <c r="AD629" s="6">
        <f>$O$629*$X$629</f>
        <v>245879.8707264</v>
      </c>
      <c r="AE629" s="6">
        <f>$K$629*$Y$629</f>
        <v>0</v>
      </c>
      <c r="AF629" s="6">
        <f ca="1">$M$629*$Z$629</f>
        <v>125385.69076267316</v>
      </c>
      <c r="AG629" s="6">
        <f>$O$629*$AA$629</f>
        <v>268625.86779551883</v>
      </c>
    </row>
    <row r="630" spans="1:33" ht="11.25" customHeight="1" x14ac:dyDescent="0.25">
      <c r="A630" s="4" t="s">
        <v>28</v>
      </c>
      <c r="B630" s="4" t="s">
        <v>35</v>
      </c>
      <c r="C630" s="4" t="s">
        <v>39</v>
      </c>
      <c r="D630" s="4" t="s">
        <v>42</v>
      </c>
      <c r="E630" s="4" t="s">
        <v>25</v>
      </c>
      <c r="F630" s="4" t="s">
        <v>25</v>
      </c>
      <c r="G630" s="4" t="s">
        <v>25</v>
      </c>
      <c r="H630" s="4" t="s">
        <v>38</v>
      </c>
      <c r="I630" s="5">
        <v>44440</v>
      </c>
      <c r="J630" s="6">
        <v>0</v>
      </c>
      <c r="K630" s="75">
        <v>0</v>
      </c>
      <c r="L630" s="6">
        <v>9.8070000000000004</v>
      </c>
      <c r="M630" s="75">
        <v>9.8070000000000004</v>
      </c>
      <c r="N630" s="6">
        <v>9.8070000000000004</v>
      </c>
      <c r="O630" s="75">
        <v>9.8070000000000004</v>
      </c>
      <c r="P630" s="6">
        <v>0</v>
      </c>
      <c r="Q630" s="4" t="s">
        <v>26</v>
      </c>
      <c r="R630" s="4">
        <v>0</v>
      </c>
      <c r="S630" s="6">
        <v>0</v>
      </c>
      <c r="T630" s="6">
        <v>25</v>
      </c>
      <c r="U630" s="6">
        <v>59</v>
      </c>
      <c r="V630" s="75">
        <f>IF(ISERROR(VLOOKUP($S$630,'TAR FIN'!$A$1:$O$93,15,0)),0,VLOOKUP($S$630,'TAR FIN'!$A$1:$O$93,15,0))</f>
        <v>0</v>
      </c>
      <c r="W630" s="75">
        <f>IF(ISERROR(VLOOKUP($T$630,'TAR FIN'!$A$1:$O$93,15,0)),0,VLOOKUP($T$630,'TAR FIN'!$A$1:$O$93,15,0))*(1-0.04)</f>
        <v>66.710399999999993</v>
      </c>
      <c r="X630" s="75">
        <f>IF(ISERROR(VLOOKUP($U$630,'TAR FIN'!$A$1:$O$93,15,0)),0,VLOOKUP($U$630,'TAR FIN'!$A$1:$O$93,15,0))*(1-0.04)</f>
        <v>177.77279999999999</v>
      </c>
      <c r="Y630" s="75"/>
      <c r="Z630" s="75">
        <f ca="1">('TUSD BE'!$AM$16+'TUSD BF'!$AM$16+'TUSD CVA'!$AM$16)*1*(1-0.02)</f>
        <v>90.654697600755071</v>
      </c>
      <c r="AA630" s="75">
        <f>('TE BE'!$AB$8+'TE BF'!$AB$8+'TE CVA'!$AB$8)*1*(1-0.02)</f>
        <v>194.21830884065065</v>
      </c>
      <c r="AB630" s="6">
        <f>$K$630*$V$630</f>
        <v>0</v>
      </c>
      <c r="AC630" s="6">
        <f>$M$630*$W$630</f>
        <v>654.22889279999993</v>
      </c>
      <c r="AD630" s="6">
        <f>$O$630*$X$630</f>
        <v>1743.4178496</v>
      </c>
      <c r="AE630" s="6">
        <f>$K$630*$Y$630</f>
        <v>0</v>
      </c>
      <c r="AF630" s="6">
        <f ca="1">$M$630*$Z$630</f>
        <v>889.05061937060498</v>
      </c>
      <c r="AG630" s="6">
        <f>$O$630*$AA$630</f>
        <v>1904.6989548002609</v>
      </c>
    </row>
    <row r="631" spans="1:33" ht="11.25" customHeight="1" x14ac:dyDescent="0.25">
      <c r="A631" s="4" t="s">
        <v>21</v>
      </c>
      <c r="B631" s="4" t="s">
        <v>35</v>
      </c>
      <c r="C631" s="4" t="s">
        <v>39</v>
      </c>
      <c r="D631" s="4" t="s">
        <v>42</v>
      </c>
      <c r="E631" s="4" t="s">
        <v>25</v>
      </c>
      <c r="F631" s="4" t="s">
        <v>25</v>
      </c>
      <c r="G631" s="4" t="s">
        <v>25</v>
      </c>
      <c r="H631" s="4" t="s">
        <v>38</v>
      </c>
      <c r="I631" s="5">
        <v>44470</v>
      </c>
      <c r="J631" s="6">
        <v>0</v>
      </c>
      <c r="K631" s="75">
        <v>0</v>
      </c>
      <c r="L631" s="6">
        <v>1257.8399999999999</v>
      </c>
      <c r="M631" s="75">
        <v>1257.8399999999999</v>
      </c>
      <c r="N631" s="6">
        <v>1257.8399999999999</v>
      </c>
      <c r="O631" s="75">
        <v>1257.8399999999999</v>
      </c>
      <c r="P631" s="6">
        <v>0</v>
      </c>
      <c r="Q631" s="4" t="s">
        <v>26</v>
      </c>
      <c r="R631" s="4">
        <v>0</v>
      </c>
      <c r="S631" s="6">
        <v>0</v>
      </c>
      <c r="T631" s="6">
        <v>25</v>
      </c>
      <c r="U631" s="6">
        <v>59</v>
      </c>
      <c r="V631" s="75">
        <f>IF(ISERROR(VLOOKUP($S$631,'TAR FIN'!$A$1:$O$93,15,0)),0,VLOOKUP($S$631,'TAR FIN'!$A$1:$O$93,15,0))</f>
        <v>0</v>
      </c>
      <c r="W631" s="75">
        <f>IF(ISERROR(VLOOKUP($T$631,'TAR FIN'!$A$1:$O$93,15,0)),0,VLOOKUP($T$631,'TAR FIN'!$A$1:$O$93,15,0))*(1-0.04)</f>
        <v>66.710399999999993</v>
      </c>
      <c r="X631" s="75">
        <f>IF(ISERROR(VLOOKUP($U$631,'TAR FIN'!$A$1:$O$93,15,0)),0,VLOOKUP($U$631,'TAR FIN'!$A$1:$O$93,15,0))*(1-0.04)</f>
        <v>177.77279999999999</v>
      </c>
      <c r="Y631" s="75"/>
      <c r="Z631" s="75">
        <f ca="1">('TUSD BE'!$AM$16+'TUSD BF'!$AM$16+'TUSD CVA'!$AM$16)*1*(1-0.02)</f>
        <v>90.654697600755071</v>
      </c>
      <c r="AA631" s="75">
        <f>('TE BE'!$AB$8+'TE BF'!$AB$8+'TE CVA'!$AB$8)*1*(1-0.02)</f>
        <v>194.21830884065065</v>
      </c>
      <c r="AB631" s="6">
        <f>$K$631*$V$631</f>
        <v>0</v>
      </c>
      <c r="AC631" s="6">
        <f>$M$631*$W$631</f>
        <v>83911.009535999983</v>
      </c>
      <c r="AD631" s="6">
        <f>$O$631*$X$631</f>
        <v>223609.73875199998</v>
      </c>
      <c r="AE631" s="6">
        <f>$K$631*$Y$631</f>
        <v>0</v>
      </c>
      <c r="AF631" s="6">
        <f ca="1">$M$631*$Z$631</f>
        <v>114029.10483013376</v>
      </c>
      <c r="AG631" s="6">
        <f>$O$631*$AA$631</f>
        <v>244295.55759212401</v>
      </c>
    </row>
    <row r="632" spans="1:33" ht="11.25" customHeight="1" x14ac:dyDescent="0.25">
      <c r="A632" s="4" t="s">
        <v>28</v>
      </c>
      <c r="B632" s="4" t="s">
        <v>35</v>
      </c>
      <c r="C632" s="4" t="s">
        <v>39</v>
      </c>
      <c r="D632" s="4" t="s">
        <v>42</v>
      </c>
      <c r="E632" s="4" t="s">
        <v>25</v>
      </c>
      <c r="F632" s="4" t="s">
        <v>25</v>
      </c>
      <c r="G632" s="4" t="s">
        <v>25</v>
      </c>
      <c r="H632" s="4" t="s">
        <v>38</v>
      </c>
      <c r="I632" s="5">
        <v>44470</v>
      </c>
      <c r="J632" s="6">
        <v>0</v>
      </c>
      <c r="K632" s="75">
        <v>0</v>
      </c>
      <c r="L632" s="6">
        <v>13.04</v>
      </c>
      <c r="M632" s="75">
        <v>13.04</v>
      </c>
      <c r="N632" s="6">
        <v>13.04</v>
      </c>
      <c r="O632" s="75">
        <v>13.04</v>
      </c>
      <c r="P632" s="6">
        <v>0</v>
      </c>
      <c r="Q632" s="4" t="s">
        <v>26</v>
      </c>
      <c r="R632" s="4">
        <v>0</v>
      </c>
      <c r="S632" s="6">
        <v>0</v>
      </c>
      <c r="T632" s="6">
        <v>25</v>
      </c>
      <c r="U632" s="6">
        <v>59</v>
      </c>
      <c r="V632" s="75">
        <f>IF(ISERROR(VLOOKUP($S$632,'TAR FIN'!$A$1:$O$93,15,0)),0,VLOOKUP($S$632,'TAR FIN'!$A$1:$O$93,15,0))</f>
        <v>0</v>
      </c>
      <c r="W632" s="75">
        <f>IF(ISERROR(VLOOKUP($T$632,'TAR FIN'!$A$1:$O$93,15,0)),0,VLOOKUP($T$632,'TAR FIN'!$A$1:$O$93,15,0))*(1-0.04)</f>
        <v>66.710399999999993</v>
      </c>
      <c r="X632" s="75">
        <f>IF(ISERROR(VLOOKUP($U$632,'TAR FIN'!$A$1:$O$93,15,0)),0,VLOOKUP($U$632,'TAR FIN'!$A$1:$O$93,15,0))*(1-0.04)</f>
        <v>177.77279999999999</v>
      </c>
      <c r="Y632" s="75"/>
      <c r="Z632" s="75">
        <f ca="1">('TUSD BE'!$AM$16+'TUSD BF'!$AM$16+'TUSD CVA'!$AM$16)*1*(1-0.02)</f>
        <v>90.654697600755071</v>
      </c>
      <c r="AA632" s="75">
        <f>('TE BE'!$AB$8+'TE BF'!$AB$8+'TE CVA'!$AB$8)*1*(1-0.02)</f>
        <v>194.21830884065065</v>
      </c>
      <c r="AB632" s="6">
        <f>$K$632*$V$632</f>
        <v>0</v>
      </c>
      <c r="AC632" s="6">
        <f>$M$632*$W$632</f>
        <v>869.90361599999983</v>
      </c>
      <c r="AD632" s="6">
        <f>$O$632*$X$632</f>
        <v>2318.1573119999998</v>
      </c>
      <c r="AE632" s="6">
        <f>$K$632*$Y$632</f>
        <v>0</v>
      </c>
      <c r="AF632" s="6">
        <f ca="1">$M$632*$Z$632</f>
        <v>1182.137256713846</v>
      </c>
      <c r="AG632" s="6">
        <f>$O$632*$AA$632</f>
        <v>2532.6067472820841</v>
      </c>
    </row>
    <row r="633" spans="1:33" ht="11.25" customHeight="1" x14ac:dyDescent="0.25">
      <c r="A633" s="4" t="s">
        <v>21</v>
      </c>
      <c r="B633" s="4" t="s">
        <v>35</v>
      </c>
      <c r="C633" s="4" t="s">
        <v>39</v>
      </c>
      <c r="D633" s="4" t="s">
        <v>42</v>
      </c>
      <c r="E633" s="4" t="s">
        <v>25</v>
      </c>
      <c r="F633" s="4" t="s">
        <v>25</v>
      </c>
      <c r="G633" s="4" t="s">
        <v>25</v>
      </c>
      <c r="H633" s="4" t="s">
        <v>38</v>
      </c>
      <c r="I633" s="5">
        <v>44501</v>
      </c>
      <c r="J633" s="6">
        <v>0</v>
      </c>
      <c r="K633" s="75">
        <v>0</v>
      </c>
      <c r="L633" s="6">
        <v>1432.9179999999999</v>
      </c>
      <c r="M633" s="75">
        <v>1432.9179999999999</v>
      </c>
      <c r="N633" s="6">
        <v>1432.9179999999999</v>
      </c>
      <c r="O633" s="75">
        <v>1432.9179999999999</v>
      </c>
      <c r="P633" s="6">
        <v>0</v>
      </c>
      <c r="Q633" s="4" t="s">
        <v>26</v>
      </c>
      <c r="R633" s="4">
        <v>0</v>
      </c>
      <c r="S633" s="6">
        <v>0</v>
      </c>
      <c r="T633" s="6">
        <v>25</v>
      </c>
      <c r="U633" s="6">
        <v>59</v>
      </c>
      <c r="V633" s="75">
        <f>IF(ISERROR(VLOOKUP($S$633,'TAR FIN'!$A$1:$O$93,15,0)),0,VLOOKUP($S$633,'TAR FIN'!$A$1:$O$93,15,0))</f>
        <v>0</v>
      </c>
      <c r="W633" s="75">
        <f>IF(ISERROR(VLOOKUP($T$633,'TAR FIN'!$A$1:$O$93,15,0)),0,VLOOKUP($T$633,'TAR FIN'!$A$1:$O$93,15,0))*(1-0.04)</f>
        <v>66.710399999999993</v>
      </c>
      <c r="X633" s="75">
        <f>IF(ISERROR(VLOOKUP($U$633,'TAR FIN'!$A$1:$O$93,15,0)),0,VLOOKUP($U$633,'TAR FIN'!$A$1:$O$93,15,0))*(1-0.04)</f>
        <v>177.77279999999999</v>
      </c>
      <c r="Y633" s="75"/>
      <c r="Z633" s="75">
        <f ca="1">('TUSD BE'!$AM$16+'TUSD BF'!$AM$16+'TUSD CVA'!$AM$16)*1*(1-0.02)</f>
        <v>90.654697600755071</v>
      </c>
      <c r="AA633" s="75">
        <f>('TE BE'!$AB$8+'TE BF'!$AB$8+'TE CVA'!$AB$8)*1*(1-0.02)</f>
        <v>194.21830884065065</v>
      </c>
      <c r="AB633" s="6">
        <f>$K$633*$V$633</f>
        <v>0</v>
      </c>
      <c r="AC633" s="6">
        <f>$M$633*$W$633</f>
        <v>95590.532947199987</v>
      </c>
      <c r="AD633" s="6">
        <f>$O$633*$X$633</f>
        <v>254733.84503039997</v>
      </c>
      <c r="AE633" s="6">
        <f>$K$633*$Y$633</f>
        <v>0</v>
      </c>
      <c r="AF633" s="6">
        <f ca="1">$M$633*$Z$633</f>
        <v>129900.74797667874</v>
      </c>
      <c r="AG633" s="6">
        <f>$O$633*$AA$633</f>
        <v>278298.91066732741</v>
      </c>
    </row>
    <row r="634" spans="1:33" ht="11.25" customHeight="1" x14ac:dyDescent="0.25">
      <c r="A634" s="4" t="s">
        <v>28</v>
      </c>
      <c r="B634" s="4" t="s">
        <v>35</v>
      </c>
      <c r="C634" s="4" t="s">
        <v>39</v>
      </c>
      <c r="D634" s="4" t="s">
        <v>42</v>
      </c>
      <c r="E634" s="4" t="s">
        <v>25</v>
      </c>
      <c r="F634" s="4" t="s">
        <v>25</v>
      </c>
      <c r="G634" s="4" t="s">
        <v>25</v>
      </c>
      <c r="H634" s="4" t="s">
        <v>38</v>
      </c>
      <c r="I634" s="5">
        <v>44501</v>
      </c>
      <c r="J634" s="6">
        <v>0</v>
      </c>
      <c r="K634" s="75">
        <v>0</v>
      </c>
      <c r="L634" s="6">
        <v>9.89</v>
      </c>
      <c r="M634" s="75">
        <v>9.89</v>
      </c>
      <c r="N634" s="6">
        <v>9.89</v>
      </c>
      <c r="O634" s="75">
        <v>9.89</v>
      </c>
      <c r="P634" s="6">
        <v>0</v>
      </c>
      <c r="Q634" s="4" t="s">
        <v>26</v>
      </c>
      <c r="R634" s="4">
        <v>0</v>
      </c>
      <c r="S634" s="6">
        <v>0</v>
      </c>
      <c r="T634" s="6">
        <v>25</v>
      </c>
      <c r="U634" s="6">
        <v>59</v>
      </c>
      <c r="V634" s="75">
        <f>IF(ISERROR(VLOOKUP($S$634,'TAR FIN'!$A$1:$O$93,15,0)),0,VLOOKUP($S$634,'TAR FIN'!$A$1:$O$93,15,0))</f>
        <v>0</v>
      </c>
      <c r="W634" s="75">
        <f>IF(ISERROR(VLOOKUP($T$634,'TAR FIN'!$A$1:$O$93,15,0)),0,VLOOKUP($T$634,'TAR FIN'!$A$1:$O$93,15,0))*(1-0.04)</f>
        <v>66.710399999999993</v>
      </c>
      <c r="X634" s="75">
        <f>IF(ISERROR(VLOOKUP($U$634,'TAR FIN'!$A$1:$O$93,15,0)),0,VLOOKUP($U$634,'TAR FIN'!$A$1:$O$93,15,0))*(1-0.04)</f>
        <v>177.77279999999999</v>
      </c>
      <c r="Y634" s="75"/>
      <c r="Z634" s="75">
        <f ca="1">('TUSD BE'!$AM$16+'TUSD BF'!$AM$16+'TUSD CVA'!$AM$16)*1*(1-0.02)</f>
        <v>90.654697600755071</v>
      </c>
      <c r="AA634" s="75">
        <f>('TE BE'!$AB$8+'TE BF'!$AB$8+'TE CVA'!$AB$8)*1*(1-0.02)</f>
        <v>194.21830884065065</v>
      </c>
      <c r="AB634" s="6">
        <f>$K$634*$V$634</f>
        <v>0</v>
      </c>
      <c r="AC634" s="6">
        <f>$M$634*$W$634</f>
        <v>659.76585599999999</v>
      </c>
      <c r="AD634" s="6">
        <f>$O$634*$X$634</f>
        <v>1758.172992</v>
      </c>
      <c r="AE634" s="6">
        <f>$K$634*$Y$634</f>
        <v>0</v>
      </c>
      <c r="AF634" s="6">
        <f ca="1">$M$634*$Z$634</f>
        <v>896.57495927146772</v>
      </c>
      <c r="AG634" s="6">
        <f>$O$634*$AA$634</f>
        <v>1920.819074434035</v>
      </c>
    </row>
    <row r="635" spans="1:33" ht="11.25" customHeight="1" x14ac:dyDescent="0.25">
      <c r="A635" s="4" t="s">
        <v>21</v>
      </c>
      <c r="B635" s="4" t="s">
        <v>35</v>
      </c>
      <c r="C635" s="4" t="s">
        <v>39</v>
      </c>
      <c r="D635" s="4" t="s">
        <v>42</v>
      </c>
      <c r="E635" s="4" t="s">
        <v>25</v>
      </c>
      <c r="F635" s="4" t="s">
        <v>25</v>
      </c>
      <c r="G635" s="4" t="s">
        <v>25</v>
      </c>
      <c r="H635" s="4" t="s">
        <v>38</v>
      </c>
      <c r="I635" s="5">
        <v>44531</v>
      </c>
      <c r="J635" s="6">
        <v>0</v>
      </c>
      <c r="K635" s="75">
        <v>0</v>
      </c>
      <c r="L635" s="6">
        <v>1923.298</v>
      </c>
      <c r="M635" s="75">
        <v>1923.298</v>
      </c>
      <c r="N635" s="6">
        <v>1923.298</v>
      </c>
      <c r="O635" s="75">
        <v>1923.298</v>
      </c>
      <c r="P635" s="6">
        <v>0</v>
      </c>
      <c r="Q635" s="4" t="s">
        <v>26</v>
      </c>
      <c r="R635" s="4">
        <v>0</v>
      </c>
      <c r="S635" s="6">
        <v>0</v>
      </c>
      <c r="T635" s="6">
        <v>25</v>
      </c>
      <c r="U635" s="6">
        <v>59</v>
      </c>
      <c r="V635" s="75">
        <f>IF(ISERROR(VLOOKUP($S$635,'TAR FIN'!$A$1:$O$93,15,0)),0,VLOOKUP($S$635,'TAR FIN'!$A$1:$O$93,15,0))</f>
        <v>0</v>
      </c>
      <c r="W635" s="75">
        <f>IF(ISERROR(VLOOKUP($T$635,'TAR FIN'!$A$1:$O$93,15,0)),0,VLOOKUP($T$635,'TAR FIN'!$A$1:$O$93,15,0))*(1-0.04)</f>
        <v>66.710399999999993</v>
      </c>
      <c r="X635" s="75">
        <f>IF(ISERROR(VLOOKUP($U$635,'TAR FIN'!$A$1:$O$93,15,0)),0,VLOOKUP($U$635,'TAR FIN'!$A$1:$O$93,15,0))*(1-0.04)</f>
        <v>177.77279999999999</v>
      </c>
      <c r="Y635" s="75"/>
      <c r="Z635" s="75">
        <f ca="1">('TUSD BE'!$AM$16+'TUSD BF'!$AM$16+'TUSD CVA'!$AM$16)*1*(1-0.02)</f>
        <v>90.654697600755071</v>
      </c>
      <c r="AA635" s="75">
        <f>('TE BE'!$AB$8+'TE BF'!$AB$8+'TE CVA'!$AB$8)*1*(1-0.02)</f>
        <v>194.21830884065065</v>
      </c>
      <c r="AB635" s="6">
        <f>$K$635*$V$635</f>
        <v>0</v>
      </c>
      <c r="AC635" s="6">
        <f>$M$635*$W$635</f>
        <v>128303.97889919998</v>
      </c>
      <c r="AD635" s="6">
        <f>$O$635*$X$635</f>
        <v>341910.0706944</v>
      </c>
      <c r="AE635" s="6">
        <f>$K$635*$Y$635</f>
        <v>0</v>
      </c>
      <c r="AF635" s="6">
        <f ca="1">$M$635*$Z$635</f>
        <v>174355.99858613702</v>
      </c>
      <c r="AG635" s="6">
        <f>$O$635*$AA$635</f>
        <v>373539.68495660572</v>
      </c>
    </row>
    <row r="636" spans="1:33" ht="11.25" customHeight="1" x14ac:dyDescent="0.25">
      <c r="A636" s="4" t="s">
        <v>21</v>
      </c>
      <c r="B636" s="4" t="s">
        <v>35</v>
      </c>
      <c r="C636" s="4" t="s">
        <v>39</v>
      </c>
      <c r="D636" s="4" t="s">
        <v>42</v>
      </c>
      <c r="E636" s="4" t="s">
        <v>25</v>
      </c>
      <c r="F636" s="4" t="s">
        <v>25</v>
      </c>
      <c r="G636" s="4" t="s">
        <v>25</v>
      </c>
      <c r="H636" s="4" t="s">
        <v>38</v>
      </c>
      <c r="I636" s="5">
        <v>44562</v>
      </c>
      <c r="J636" s="6">
        <v>0</v>
      </c>
      <c r="K636" s="75">
        <v>0</v>
      </c>
      <c r="L636" s="6">
        <v>1558.232</v>
      </c>
      <c r="M636" s="75">
        <v>1558.232</v>
      </c>
      <c r="N636" s="6">
        <v>1558.232</v>
      </c>
      <c r="O636" s="75">
        <v>1558.232</v>
      </c>
      <c r="P636" s="6">
        <v>0</v>
      </c>
      <c r="Q636" s="4" t="s">
        <v>26</v>
      </c>
      <c r="R636" s="4">
        <v>0</v>
      </c>
      <c r="S636" s="6">
        <v>0</v>
      </c>
      <c r="T636" s="6">
        <v>25</v>
      </c>
      <c r="U636" s="6">
        <v>59</v>
      </c>
      <c r="V636" s="75">
        <f>IF(ISERROR(VLOOKUP($S$636,'TAR FIN'!$A$1:$O$93,15,0)),0,VLOOKUP($S$636,'TAR FIN'!$A$1:$O$93,15,0))</f>
        <v>0</v>
      </c>
      <c r="W636" s="75">
        <f>IF(ISERROR(VLOOKUP($T$636,'TAR FIN'!$A$1:$O$93,15,0)),0,VLOOKUP($T$636,'TAR FIN'!$A$1:$O$93,15,0))*(1-0.04)</f>
        <v>66.710399999999993</v>
      </c>
      <c r="X636" s="75">
        <f>IF(ISERROR(VLOOKUP($U$636,'TAR FIN'!$A$1:$O$93,15,0)),0,VLOOKUP($U$636,'TAR FIN'!$A$1:$O$93,15,0))*(1-0.04)</f>
        <v>177.77279999999999</v>
      </c>
      <c r="Y636" s="75"/>
      <c r="Z636" s="75">
        <f ca="1">('TUSD BE'!$AM$16+'TUSD BF'!$AM$16+'TUSD CVA'!$AM$16)*1*(1-0.02)</f>
        <v>90.654697600755071</v>
      </c>
      <c r="AA636" s="75">
        <f>('TE BE'!$AB$8+'TE BF'!$AB$8+'TE CVA'!$AB$8)*1*(1-0.02)</f>
        <v>194.21830884065065</v>
      </c>
      <c r="AB636" s="6">
        <f>$K$636*$V$636</f>
        <v>0</v>
      </c>
      <c r="AC636" s="6">
        <f>$M$636*$W$636</f>
        <v>103950.28001279998</v>
      </c>
      <c r="AD636" s="6">
        <f>$O$636*$X$636</f>
        <v>277011.26568959997</v>
      </c>
      <c r="AE636" s="6">
        <f>$K$636*$Y$636</f>
        <v>0</v>
      </c>
      <c r="AF636" s="6">
        <f ca="1">$M$636*$Z$636</f>
        <v>141261.05075181977</v>
      </c>
      <c r="AG636" s="6">
        <f>$O$636*$AA$636</f>
        <v>302637.18382138474</v>
      </c>
    </row>
    <row r="637" spans="1:33" ht="11.25" customHeight="1" x14ac:dyDescent="0.25">
      <c r="A637" s="4" t="s">
        <v>27</v>
      </c>
      <c r="B637" s="4" t="s">
        <v>35</v>
      </c>
      <c r="C637" s="4" t="s">
        <v>39</v>
      </c>
      <c r="D637" s="4" t="s">
        <v>42</v>
      </c>
      <c r="E637" s="4" t="s">
        <v>25</v>
      </c>
      <c r="F637" s="4" t="s">
        <v>25</v>
      </c>
      <c r="G637" s="4" t="s">
        <v>25</v>
      </c>
      <c r="H637" s="4" t="s">
        <v>38</v>
      </c>
      <c r="I637" s="5">
        <v>44562</v>
      </c>
      <c r="J637" s="6">
        <v>0</v>
      </c>
      <c r="K637" s="75">
        <v>0</v>
      </c>
      <c r="L637" s="6">
        <v>-38.384999999999998</v>
      </c>
      <c r="M637" s="75">
        <v>-38.384999999999998</v>
      </c>
      <c r="N637" s="6">
        <v>-38.384999999999998</v>
      </c>
      <c r="O637" s="75">
        <v>-38.384999999999998</v>
      </c>
      <c r="P637" s="6">
        <v>0</v>
      </c>
      <c r="Q637" s="4" t="s">
        <v>26</v>
      </c>
      <c r="R637" s="4">
        <v>0</v>
      </c>
      <c r="S637" s="6">
        <v>0</v>
      </c>
      <c r="T637" s="6">
        <v>25</v>
      </c>
      <c r="U637" s="6">
        <v>59</v>
      </c>
      <c r="V637" s="75">
        <f>IF(ISERROR(VLOOKUP($S$637,'TAR FIN'!$A$1:$O$93,15,0)),0,VLOOKUP($S$637,'TAR FIN'!$A$1:$O$93,15,0))</f>
        <v>0</v>
      </c>
      <c r="W637" s="75">
        <f>IF(ISERROR(VLOOKUP($T$637,'TAR FIN'!$A$1:$O$93,15,0)),0,VLOOKUP($T$637,'TAR FIN'!$A$1:$O$93,15,0))*(1-0.04)</f>
        <v>66.710399999999993</v>
      </c>
      <c r="X637" s="75">
        <f>IF(ISERROR(VLOOKUP($U$637,'TAR FIN'!$A$1:$O$93,15,0)),0,VLOOKUP($U$637,'TAR FIN'!$A$1:$O$93,15,0))*(1-0.04)</f>
        <v>177.77279999999999</v>
      </c>
      <c r="Y637" s="75"/>
      <c r="Z637" s="75">
        <f ca="1">('TUSD BE'!$AM$16+'TUSD BF'!$AM$16+'TUSD CVA'!$AM$16)*1*(1-0.02)</f>
        <v>90.654697600755071</v>
      </c>
      <c r="AA637" s="75">
        <f>('TE BE'!$AB$8+'TE BF'!$AB$8+'TE CVA'!$AB$8)*1*(1-0.02)</f>
        <v>194.21830884065065</v>
      </c>
      <c r="AB637" s="6">
        <f>$K$637*$V$637</f>
        <v>0</v>
      </c>
      <c r="AC637" s="6">
        <f>$M$637*$W$637</f>
        <v>-2560.6787039999995</v>
      </c>
      <c r="AD637" s="6">
        <f>$O$637*$X$637</f>
        <v>-6823.8089279999995</v>
      </c>
      <c r="AE637" s="6">
        <f>$K$637*$Y$637</f>
        <v>0</v>
      </c>
      <c r="AF637" s="6">
        <f ca="1">$M$637*$Z$637</f>
        <v>-3479.7805674049832</v>
      </c>
      <c r="AG637" s="6">
        <f>$O$637*$AA$637</f>
        <v>-7455.0697848483751</v>
      </c>
    </row>
    <row r="638" spans="1:33" ht="11.25" customHeight="1" x14ac:dyDescent="0.25">
      <c r="A638" s="4" t="s">
        <v>28</v>
      </c>
      <c r="B638" s="4" t="s">
        <v>35</v>
      </c>
      <c r="C638" s="4" t="s">
        <v>39</v>
      </c>
      <c r="D638" s="4" t="s">
        <v>42</v>
      </c>
      <c r="E638" s="4" t="s">
        <v>25</v>
      </c>
      <c r="F638" s="4" t="s">
        <v>25</v>
      </c>
      <c r="G638" s="4" t="s">
        <v>25</v>
      </c>
      <c r="H638" s="4" t="s">
        <v>38</v>
      </c>
      <c r="I638" s="5">
        <v>44562</v>
      </c>
      <c r="J638" s="6">
        <v>0</v>
      </c>
      <c r="K638" s="75">
        <v>0</v>
      </c>
      <c r="L638" s="6">
        <v>11.084</v>
      </c>
      <c r="M638" s="75">
        <v>11.084</v>
      </c>
      <c r="N638" s="6">
        <v>11.084</v>
      </c>
      <c r="O638" s="75">
        <v>11.084</v>
      </c>
      <c r="P638" s="6">
        <v>0</v>
      </c>
      <c r="Q638" s="4" t="s">
        <v>26</v>
      </c>
      <c r="R638" s="4">
        <v>0</v>
      </c>
      <c r="S638" s="6">
        <v>0</v>
      </c>
      <c r="T638" s="6">
        <v>25</v>
      </c>
      <c r="U638" s="6">
        <v>59</v>
      </c>
      <c r="V638" s="75">
        <f>IF(ISERROR(VLOOKUP($S$638,'TAR FIN'!$A$1:$O$93,15,0)),0,VLOOKUP($S$638,'TAR FIN'!$A$1:$O$93,15,0))</f>
        <v>0</v>
      </c>
      <c r="W638" s="75">
        <f>IF(ISERROR(VLOOKUP($T$638,'TAR FIN'!$A$1:$O$93,15,0)),0,VLOOKUP($T$638,'TAR FIN'!$A$1:$O$93,15,0))*(1-0.04)</f>
        <v>66.710399999999993</v>
      </c>
      <c r="X638" s="75">
        <f>IF(ISERROR(VLOOKUP($U$638,'TAR FIN'!$A$1:$O$93,15,0)),0,VLOOKUP($U$638,'TAR FIN'!$A$1:$O$93,15,0))*(1-0.04)</f>
        <v>177.77279999999999</v>
      </c>
      <c r="Y638" s="75"/>
      <c r="Z638" s="75">
        <f ca="1">('TUSD BE'!$AM$16+'TUSD BF'!$AM$16+'TUSD CVA'!$AM$16)*1*(1-0.02)</f>
        <v>90.654697600755071</v>
      </c>
      <c r="AA638" s="75">
        <f>('TE BE'!$AB$8+'TE BF'!$AB$8+'TE CVA'!$AB$8)*1*(1-0.02)</f>
        <v>194.21830884065065</v>
      </c>
      <c r="AB638" s="6">
        <f>$K$638*$V$638</f>
        <v>0</v>
      </c>
      <c r="AC638" s="6">
        <f>$M$638*$W$638</f>
        <v>739.41807359999984</v>
      </c>
      <c r="AD638" s="6">
        <f>$O$638*$X$638</f>
        <v>1970.4337151999998</v>
      </c>
      <c r="AE638" s="6">
        <f>$K$638*$Y$638</f>
        <v>0</v>
      </c>
      <c r="AF638" s="6">
        <f ca="1">$M$638*$Z$638</f>
        <v>1004.8166682067691</v>
      </c>
      <c r="AG638" s="6">
        <f>$O$638*$AA$638</f>
        <v>2152.7157351897717</v>
      </c>
    </row>
    <row r="639" spans="1:33" ht="11.25" customHeight="1" x14ac:dyDescent="0.25">
      <c r="A639" s="4" t="s">
        <v>21</v>
      </c>
      <c r="B639" s="4" t="s">
        <v>35</v>
      </c>
      <c r="C639" s="4" t="s">
        <v>39</v>
      </c>
      <c r="D639" s="4" t="s">
        <v>42</v>
      </c>
      <c r="E639" s="4" t="s">
        <v>25</v>
      </c>
      <c r="F639" s="4" t="s">
        <v>25</v>
      </c>
      <c r="G639" s="4" t="s">
        <v>25</v>
      </c>
      <c r="H639" s="4" t="s">
        <v>38</v>
      </c>
      <c r="I639" s="5">
        <v>44593</v>
      </c>
      <c r="J639" s="6">
        <v>0</v>
      </c>
      <c r="K639" s="75">
        <v>0</v>
      </c>
      <c r="L639" s="6">
        <v>2249.62</v>
      </c>
      <c r="M639" s="75">
        <v>2249.62</v>
      </c>
      <c r="N639" s="6">
        <v>2249.62</v>
      </c>
      <c r="O639" s="75">
        <v>2249.62</v>
      </c>
      <c r="P639" s="6">
        <v>0</v>
      </c>
      <c r="Q639" s="4" t="s">
        <v>26</v>
      </c>
      <c r="R639" s="4">
        <v>0</v>
      </c>
      <c r="S639" s="6">
        <v>0</v>
      </c>
      <c r="T639" s="6">
        <v>25</v>
      </c>
      <c r="U639" s="6">
        <v>59</v>
      </c>
      <c r="V639" s="75">
        <f>IF(ISERROR(VLOOKUP($S$639,'TAR FIN'!$A$1:$O$93,15,0)),0,VLOOKUP($S$639,'TAR FIN'!$A$1:$O$93,15,0))</f>
        <v>0</v>
      </c>
      <c r="W639" s="75">
        <f>IF(ISERROR(VLOOKUP($T$639,'TAR FIN'!$A$1:$O$93,15,0)),0,VLOOKUP($T$639,'TAR FIN'!$A$1:$O$93,15,0))*(1-0.04)</f>
        <v>66.710399999999993</v>
      </c>
      <c r="X639" s="75">
        <f>IF(ISERROR(VLOOKUP($U$639,'TAR FIN'!$A$1:$O$93,15,0)),0,VLOOKUP($U$639,'TAR FIN'!$A$1:$O$93,15,0))*(1-0.04)</f>
        <v>177.77279999999999</v>
      </c>
      <c r="Y639" s="75"/>
      <c r="Z639" s="75">
        <f ca="1">('TUSD BE'!$AM$16+'TUSD BF'!$AM$16+'TUSD CVA'!$AM$16)*1*(1-0.02)</f>
        <v>90.654697600755071</v>
      </c>
      <c r="AA639" s="75">
        <f>('TE BE'!$AB$8+'TE BF'!$AB$8+'TE CVA'!$AB$8)*1*(1-0.02)</f>
        <v>194.21830884065065</v>
      </c>
      <c r="AB639" s="6">
        <f>$K$639*$V$639</f>
        <v>0</v>
      </c>
      <c r="AC639" s="6">
        <f>$M$639*$W$639</f>
        <v>150073.05004799998</v>
      </c>
      <c r="AD639" s="6">
        <f>$O$639*$X$639</f>
        <v>399921.24633599998</v>
      </c>
      <c r="AE639" s="6">
        <f>$K$639*$Y$639</f>
        <v>0</v>
      </c>
      <c r="AF639" s="6">
        <f ca="1">$M$639*$Z$639</f>
        <v>203938.62081661061</v>
      </c>
      <c r="AG639" s="6">
        <f>$O$639*$AA$639</f>
        <v>436917.3919341045</v>
      </c>
    </row>
    <row r="640" spans="1:33" ht="11.25" customHeight="1" x14ac:dyDescent="0.25">
      <c r="A640" s="4" t="s">
        <v>27</v>
      </c>
      <c r="B640" s="4" t="s">
        <v>35</v>
      </c>
      <c r="C640" s="4" t="s">
        <v>39</v>
      </c>
      <c r="D640" s="4" t="s">
        <v>42</v>
      </c>
      <c r="E640" s="4" t="s">
        <v>25</v>
      </c>
      <c r="F640" s="4" t="s">
        <v>25</v>
      </c>
      <c r="G640" s="4" t="s">
        <v>25</v>
      </c>
      <c r="H640" s="4" t="s">
        <v>38</v>
      </c>
      <c r="I640" s="5">
        <v>44593</v>
      </c>
      <c r="J640" s="6">
        <v>0</v>
      </c>
      <c r="K640" s="75">
        <v>0</v>
      </c>
      <c r="L640" s="6">
        <v>-82.99</v>
      </c>
      <c r="M640" s="75">
        <v>-82.99</v>
      </c>
      <c r="N640" s="6">
        <v>-82.99</v>
      </c>
      <c r="O640" s="75">
        <v>-82.99</v>
      </c>
      <c r="P640" s="6">
        <v>0</v>
      </c>
      <c r="Q640" s="4" t="s">
        <v>26</v>
      </c>
      <c r="R640" s="4">
        <v>0</v>
      </c>
      <c r="S640" s="6">
        <v>0</v>
      </c>
      <c r="T640" s="6">
        <v>25</v>
      </c>
      <c r="U640" s="6">
        <v>59</v>
      </c>
      <c r="V640" s="75">
        <f>IF(ISERROR(VLOOKUP($S$640,'TAR FIN'!$A$1:$O$93,15,0)),0,VLOOKUP($S$640,'TAR FIN'!$A$1:$O$93,15,0))</f>
        <v>0</v>
      </c>
      <c r="W640" s="75">
        <f>IF(ISERROR(VLOOKUP($T$640,'TAR FIN'!$A$1:$O$93,15,0)),0,VLOOKUP($T$640,'TAR FIN'!$A$1:$O$93,15,0))*(1-0.04)</f>
        <v>66.710399999999993</v>
      </c>
      <c r="X640" s="75">
        <f>IF(ISERROR(VLOOKUP($U$640,'TAR FIN'!$A$1:$O$93,15,0)),0,VLOOKUP($U$640,'TAR FIN'!$A$1:$O$93,15,0))*(1-0.04)</f>
        <v>177.77279999999999</v>
      </c>
      <c r="Y640" s="75"/>
      <c r="Z640" s="75">
        <f ca="1">('TUSD BE'!$AM$16+'TUSD BF'!$AM$16+'TUSD CVA'!$AM$16)*1*(1-0.02)</f>
        <v>90.654697600755071</v>
      </c>
      <c r="AA640" s="75">
        <f>('TE BE'!$AB$8+'TE BF'!$AB$8+'TE CVA'!$AB$8)*1*(1-0.02)</f>
        <v>194.21830884065065</v>
      </c>
      <c r="AB640" s="6">
        <f>$K$640*$V$640</f>
        <v>0</v>
      </c>
      <c r="AC640" s="6">
        <f>$M$640*$W$640</f>
        <v>-5536.2960959999991</v>
      </c>
      <c r="AD640" s="6">
        <f>$O$640*$X$640</f>
        <v>-14753.364671999998</v>
      </c>
      <c r="AE640" s="6">
        <f>$K$640*$Y$640</f>
        <v>0</v>
      </c>
      <c r="AF640" s="6">
        <f ca="1">$M$640*$Z$640</f>
        <v>-7523.4333538866631</v>
      </c>
      <c r="AG640" s="6">
        <f>$O$640*$AA$640</f>
        <v>-16118.177450685596</v>
      </c>
    </row>
    <row r="641" spans="1:33" ht="11.25" customHeight="1" x14ac:dyDescent="0.25">
      <c r="A641" s="4" t="s">
        <v>28</v>
      </c>
      <c r="B641" s="4" t="s">
        <v>35</v>
      </c>
      <c r="C641" s="4" t="s">
        <v>39</v>
      </c>
      <c r="D641" s="4" t="s">
        <v>42</v>
      </c>
      <c r="E641" s="4" t="s">
        <v>25</v>
      </c>
      <c r="F641" s="4" t="s">
        <v>25</v>
      </c>
      <c r="G641" s="4" t="s">
        <v>25</v>
      </c>
      <c r="H641" s="4" t="s">
        <v>38</v>
      </c>
      <c r="I641" s="5">
        <v>44593</v>
      </c>
      <c r="J641" s="6">
        <v>0</v>
      </c>
      <c r="K641" s="75">
        <v>0</v>
      </c>
      <c r="L641" s="6">
        <v>47.274000000000001</v>
      </c>
      <c r="M641" s="75">
        <v>47.274000000000001</v>
      </c>
      <c r="N641" s="6">
        <v>47.274000000000001</v>
      </c>
      <c r="O641" s="75">
        <v>47.274000000000001</v>
      </c>
      <c r="P641" s="6">
        <v>0</v>
      </c>
      <c r="Q641" s="4" t="s">
        <v>26</v>
      </c>
      <c r="R641" s="4">
        <v>0</v>
      </c>
      <c r="S641" s="6">
        <v>0</v>
      </c>
      <c r="T641" s="6">
        <v>25</v>
      </c>
      <c r="U641" s="6">
        <v>59</v>
      </c>
      <c r="V641" s="75">
        <f>IF(ISERROR(VLOOKUP($S$641,'TAR FIN'!$A$1:$O$93,15,0)),0,VLOOKUP($S$641,'TAR FIN'!$A$1:$O$93,15,0))</f>
        <v>0</v>
      </c>
      <c r="W641" s="75">
        <f>IF(ISERROR(VLOOKUP($T$641,'TAR FIN'!$A$1:$O$93,15,0)),0,VLOOKUP($T$641,'TAR FIN'!$A$1:$O$93,15,0))*(1-0.04)</f>
        <v>66.710399999999993</v>
      </c>
      <c r="X641" s="75">
        <f>IF(ISERROR(VLOOKUP($U$641,'TAR FIN'!$A$1:$O$93,15,0)),0,VLOOKUP($U$641,'TAR FIN'!$A$1:$O$93,15,0))*(1-0.04)</f>
        <v>177.77279999999999</v>
      </c>
      <c r="Y641" s="75"/>
      <c r="Z641" s="75">
        <f ca="1">('TUSD BE'!$AM$16+'TUSD BF'!$AM$16+'TUSD CVA'!$AM$16)*1*(1-0.02)</f>
        <v>90.654697600755071</v>
      </c>
      <c r="AA641" s="75">
        <f>('TE BE'!$AB$8+'TE BF'!$AB$8+'TE CVA'!$AB$8)*1*(1-0.02)</f>
        <v>194.21830884065065</v>
      </c>
      <c r="AB641" s="6">
        <f>$K$641*$V$641</f>
        <v>0</v>
      </c>
      <c r="AC641" s="6">
        <f>$M$641*$W$641</f>
        <v>3153.6674495999996</v>
      </c>
      <c r="AD641" s="6">
        <f>$O$641*$X$641</f>
        <v>8404.0313471999998</v>
      </c>
      <c r="AE641" s="6">
        <f>$K$641*$Y$641</f>
        <v>0</v>
      </c>
      <c r="AF641" s="6">
        <f ca="1">$M$641*$Z$641</f>
        <v>4285.6101743780955</v>
      </c>
      <c r="AG641" s="6">
        <f>$O$641*$AA$641</f>
        <v>9181.4763321329192</v>
      </c>
    </row>
    <row r="642" spans="1:33" ht="11.25" customHeight="1" x14ac:dyDescent="0.25">
      <c r="A642" s="4" t="s">
        <v>21</v>
      </c>
      <c r="B642" s="4" t="s">
        <v>35</v>
      </c>
      <c r="C642" s="4" t="s">
        <v>39</v>
      </c>
      <c r="D642" s="4" t="s">
        <v>42</v>
      </c>
      <c r="E642" s="4" t="s">
        <v>25</v>
      </c>
      <c r="F642" s="4" t="s">
        <v>25</v>
      </c>
      <c r="G642" s="4" t="s">
        <v>25</v>
      </c>
      <c r="H642" s="4" t="s">
        <v>38</v>
      </c>
      <c r="I642" s="5">
        <v>44621</v>
      </c>
      <c r="J642" s="6">
        <v>0</v>
      </c>
      <c r="K642" s="75">
        <v>0</v>
      </c>
      <c r="L642" s="6">
        <v>1768.328</v>
      </c>
      <c r="M642" s="75">
        <v>1768.328</v>
      </c>
      <c r="N642" s="6">
        <v>1768.328</v>
      </c>
      <c r="O642" s="75">
        <v>1768.328</v>
      </c>
      <c r="P642" s="6">
        <v>0</v>
      </c>
      <c r="Q642" s="4" t="s">
        <v>26</v>
      </c>
      <c r="R642" s="4">
        <v>0</v>
      </c>
      <c r="S642" s="6">
        <v>0</v>
      </c>
      <c r="T642" s="6">
        <v>25</v>
      </c>
      <c r="U642" s="6">
        <v>59</v>
      </c>
      <c r="V642" s="75">
        <f>IF(ISERROR(VLOOKUP($S$642,'TAR FIN'!$A$1:$O$93,15,0)),0,VLOOKUP($S$642,'TAR FIN'!$A$1:$O$93,15,0))</f>
        <v>0</v>
      </c>
      <c r="W642" s="75">
        <f>IF(ISERROR(VLOOKUP($T$642,'TAR FIN'!$A$1:$O$93,15,0)),0,VLOOKUP($T$642,'TAR FIN'!$A$1:$O$93,15,0))*(1-0.04)</f>
        <v>66.710399999999993</v>
      </c>
      <c r="X642" s="75">
        <f>IF(ISERROR(VLOOKUP($U$642,'TAR FIN'!$A$1:$O$93,15,0)),0,VLOOKUP($U$642,'TAR FIN'!$A$1:$O$93,15,0))*(1-0.04)</f>
        <v>177.77279999999999</v>
      </c>
      <c r="Y642" s="75"/>
      <c r="Z642" s="75">
        <f ca="1">('TUSD BE'!$AM$16+'TUSD BF'!$AM$16+'TUSD CVA'!$AM$16)*1*(1-0.02)</f>
        <v>90.654697600755071</v>
      </c>
      <c r="AA642" s="75">
        <f>('TE BE'!$AB$8+'TE BF'!$AB$8+'TE CVA'!$AB$8)*1*(1-0.02)</f>
        <v>194.21830884065065</v>
      </c>
      <c r="AB642" s="6">
        <f>$K$642*$V$642</f>
        <v>0</v>
      </c>
      <c r="AC642" s="6">
        <f>$M$642*$W$642</f>
        <v>117965.86821119998</v>
      </c>
      <c r="AD642" s="6">
        <f>$O$642*$X$642</f>
        <v>314360.6198784</v>
      </c>
      <c r="AE642" s="6">
        <f>$K$642*$Y$642</f>
        <v>0</v>
      </c>
      <c r="AF642" s="6">
        <f ca="1">$M$642*$Z$642</f>
        <v>160307.24009894801</v>
      </c>
      <c r="AG642" s="6">
        <f>$O$642*$AA$642</f>
        <v>343441.6736355701</v>
      </c>
    </row>
    <row r="643" spans="1:33" ht="11.25" customHeight="1" x14ac:dyDescent="0.25">
      <c r="A643" s="4" t="s">
        <v>27</v>
      </c>
      <c r="B643" s="4" t="s">
        <v>35</v>
      </c>
      <c r="C643" s="4" t="s">
        <v>39</v>
      </c>
      <c r="D643" s="4" t="s">
        <v>42</v>
      </c>
      <c r="E643" s="4" t="s">
        <v>25</v>
      </c>
      <c r="F643" s="4" t="s">
        <v>25</v>
      </c>
      <c r="G643" s="4" t="s">
        <v>25</v>
      </c>
      <c r="H643" s="4" t="s">
        <v>38</v>
      </c>
      <c r="I643" s="5">
        <v>44621</v>
      </c>
      <c r="J643" s="6">
        <v>0</v>
      </c>
      <c r="K643" s="75">
        <v>0</v>
      </c>
      <c r="L643" s="6">
        <v>-48.512999999999998</v>
      </c>
      <c r="M643" s="75">
        <v>-48.512999999999998</v>
      </c>
      <c r="N643" s="6">
        <v>-48.512999999999998</v>
      </c>
      <c r="O643" s="75">
        <v>-48.512999999999998</v>
      </c>
      <c r="P643" s="6">
        <v>0</v>
      </c>
      <c r="Q643" s="4" t="s">
        <v>26</v>
      </c>
      <c r="R643" s="4">
        <v>0</v>
      </c>
      <c r="S643" s="6">
        <v>0</v>
      </c>
      <c r="T643" s="6">
        <v>25</v>
      </c>
      <c r="U643" s="6">
        <v>59</v>
      </c>
      <c r="V643" s="75">
        <f>IF(ISERROR(VLOOKUP($S$643,'TAR FIN'!$A$1:$O$93,15,0)),0,VLOOKUP($S$643,'TAR FIN'!$A$1:$O$93,15,0))</f>
        <v>0</v>
      </c>
      <c r="W643" s="75">
        <f>IF(ISERROR(VLOOKUP($T$643,'TAR FIN'!$A$1:$O$93,15,0)),0,VLOOKUP($T$643,'TAR FIN'!$A$1:$O$93,15,0))*(1-0.04)</f>
        <v>66.710399999999993</v>
      </c>
      <c r="X643" s="75">
        <f>IF(ISERROR(VLOOKUP($U$643,'TAR FIN'!$A$1:$O$93,15,0)),0,VLOOKUP($U$643,'TAR FIN'!$A$1:$O$93,15,0))*(1-0.04)</f>
        <v>177.77279999999999</v>
      </c>
      <c r="Y643" s="75"/>
      <c r="Z643" s="75">
        <f ca="1">('TUSD BE'!$AM$16+'TUSD BF'!$AM$16+'TUSD CVA'!$AM$16)*1*(1-0.02)</f>
        <v>90.654697600755071</v>
      </c>
      <c r="AA643" s="75">
        <f>('TE BE'!$AB$8+'TE BF'!$AB$8+'TE CVA'!$AB$8)*1*(1-0.02)</f>
        <v>194.21830884065065</v>
      </c>
      <c r="AB643" s="6">
        <f>$K$643*$V$643</f>
        <v>0</v>
      </c>
      <c r="AC643" s="6">
        <f>$M$643*$W$643</f>
        <v>-3236.3216351999995</v>
      </c>
      <c r="AD643" s="6">
        <f>$O$643*$X$643</f>
        <v>-8624.2918463999995</v>
      </c>
      <c r="AE643" s="6">
        <f>$K$643*$Y$643</f>
        <v>0</v>
      </c>
      <c r="AF643" s="6">
        <f ca="1">$M$643*$Z$643</f>
        <v>-4397.931344705431</v>
      </c>
      <c r="AG643" s="6">
        <f>$O$643*$AA$643</f>
        <v>-9422.1128167864845</v>
      </c>
    </row>
    <row r="644" spans="1:33" ht="11.25" customHeight="1" x14ac:dyDescent="0.25">
      <c r="A644" s="4" t="s">
        <v>28</v>
      </c>
      <c r="B644" s="4" t="s">
        <v>35</v>
      </c>
      <c r="C644" s="4" t="s">
        <v>39</v>
      </c>
      <c r="D644" s="4" t="s">
        <v>42</v>
      </c>
      <c r="E644" s="4" t="s">
        <v>25</v>
      </c>
      <c r="F644" s="4" t="s">
        <v>25</v>
      </c>
      <c r="G644" s="4" t="s">
        <v>25</v>
      </c>
      <c r="H644" s="4" t="s">
        <v>38</v>
      </c>
      <c r="I644" s="5">
        <v>44621</v>
      </c>
      <c r="J644" s="6">
        <v>0</v>
      </c>
      <c r="K644" s="75">
        <v>0</v>
      </c>
      <c r="L644" s="6">
        <v>75.542000000000002</v>
      </c>
      <c r="M644" s="75">
        <v>75.542000000000002</v>
      </c>
      <c r="N644" s="6">
        <v>75.542000000000002</v>
      </c>
      <c r="O644" s="75">
        <v>75.542000000000002</v>
      </c>
      <c r="P644" s="6">
        <v>0</v>
      </c>
      <c r="Q644" s="4" t="s">
        <v>26</v>
      </c>
      <c r="R644" s="4">
        <v>0</v>
      </c>
      <c r="S644" s="6">
        <v>0</v>
      </c>
      <c r="T644" s="6">
        <v>25</v>
      </c>
      <c r="U644" s="6">
        <v>59</v>
      </c>
      <c r="V644" s="75">
        <f>IF(ISERROR(VLOOKUP($S$644,'TAR FIN'!$A$1:$O$93,15,0)),0,VLOOKUP($S$644,'TAR FIN'!$A$1:$O$93,15,0))</f>
        <v>0</v>
      </c>
      <c r="W644" s="75">
        <f>IF(ISERROR(VLOOKUP($T$644,'TAR FIN'!$A$1:$O$93,15,0)),0,VLOOKUP($T$644,'TAR FIN'!$A$1:$O$93,15,0))*(1-0.04)</f>
        <v>66.710399999999993</v>
      </c>
      <c r="X644" s="75">
        <f>IF(ISERROR(VLOOKUP($U$644,'TAR FIN'!$A$1:$O$93,15,0)),0,VLOOKUP($U$644,'TAR FIN'!$A$1:$O$93,15,0))*(1-0.04)</f>
        <v>177.77279999999999</v>
      </c>
      <c r="Y644" s="75"/>
      <c r="Z644" s="75">
        <f ca="1">('TUSD BE'!$AM$16+'TUSD BF'!$AM$16+'TUSD CVA'!$AM$16)*1*(1-0.02)</f>
        <v>90.654697600755071</v>
      </c>
      <c r="AA644" s="75">
        <f>('TE BE'!$AB$8+'TE BF'!$AB$8+'TE CVA'!$AB$8)*1*(1-0.02)</f>
        <v>194.21830884065065</v>
      </c>
      <c r="AB644" s="6">
        <f>$K$644*$V$644</f>
        <v>0</v>
      </c>
      <c r="AC644" s="6">
        <f>$M$644*$W$644</f>
        <v>5039.4370368</v>
      </c>
      <c r="AD644" s="6">
        <f>$O$644*$X$644</f>
        <v>13429.3128576</v>
      </c>
      <c r="AE644" s="6">
        <f>$K$644*$Y$644</f>
        <v>0</v>
      </c>
      <c r="AF644" s="6">
        <f ca="1">$M$644*$Z$644</f>
        <v>6848.2371661562402</v>
      </c>
      <c r="AG644" s="6">
        <f>$O$644*$AA$644</f>
        <v>14671.639486440432</v>
      </c>
    </row>
    <row r="645" spans="1:33" ht="11.25" customHeight="1" x14ac:dyDescent="0.25">
      <c r="A645" s="4" t="s">
        <v>21</v>
      </c>
      <c r="B645" s="4" t="s">
        <v>35</v>
      </c>
      <c r="C645" s="4" t="s">
        <v>39</v>
      </c>
      <c r="D645" s="4" t="s">
        <v>42</v>
      </c>
      <c r="E645" s="4" t="s">
        <v>25</v>
      </c>
      <c r="F645" s="4" t="s">
        <v>25</v>
      </c>
      <c r="G645" s="4" t="s">
        <v>25</v>
      </c>
      <c r="H645" s="4" t="s">
        <v>38</v>
      </c>
      <c r="I645" s="5">
        <v>44652</v>
      </c>
      <c r="J645" s="6">
        <v>0</v>
      </c>
      <c r="K645" s="75">
        <v>0</v>
      </c>
      <c r="L645" s="6">
        <v>1720.4949999999999</v>
      </c>
      <c r="M645" s="75">
        <v>1720.4949999999999</v>
      </c>
      <c r="N645" s="6">
        <v>1720.4949999999999</v>
      </c>
      <c r="O645" s="75">
        <v>1720.4949999999999</v>
      </c>
      <c r="P645" s="6">
        <v>0</v>
      </c>
      <c r="Q645" s="4" t="s">
        <v>26</v>
      </c>
      <c r="R645" s="4">
        <v>0</v>
      </c>
      <c r="S645" s="6">
        <v>0</v>
      </c>
      <c r="T645" s="6">
        <v>25</v>
      </c>
      <c r="U645" s="6">
        <v>59</v>
      </c>
      <c r="V645" s="75">
        <f>IF(ISERROR(VLOOKUP($S$645,'TAR FIN'!$A$1:$O$93,15,0)),0,VLOOKUP($S$645,'TAR FIN'!$A$1:$O$93,15,0))</f>
        <v>0</v>
      </c>
      <c r="W645" s="75">
        <f>IF(ISERROR(VLOOKUP($T$645,'TAR FIN'!$A$1:$O$93,15,0)),0,VLOOKUP($T$645,'TAR FIN'!$A$1:$O$93,15,0))*(1-0.04)</f>
        <v>66.710399999999993</v>
      </c>
      <c r="X645" s="75">
        <f>IF(ISERROR(VLOOKUP($U$645,'TAR FIN'!$A$1:$O$93,15,0)),0,VLOOKUP($U$645,'TAR FIN'!$A$1:$O$93,15,0))*(1-0.04)</f>
        <v>177.77279999999999</v>
      </c>
      <c r="Y645" s="75"/>
      <c r="Z645" s="75">
        <f ca="1">('TUSD BE'!$AM$16+'TUSD BF'!$AM$16+'TUSD CVA'!$AM$16)*1*(1-0.02)</f>
        <v>90.654697600755071</v>
      </c>
      <c r="AA645" s="75">
        <f>('TE BE'!$AB$8+'TE BF'!$AB$8+'TE CVA'!$AB$8)*1*(1-0.02)</f>
        <v>194.21830884065065</v>
      </c>
      <c r="AB645" s="6">
        <f>$K$645*$V$645</f>
        <v>0</v>
      </c>
      <c r="AC645" s="6">
        <f>$M$645*$W$645</f>
        <v>114774.90964799999</v>
      </c>
      <c r="AD645" s="6">
        <f>$O$645*$X$645</f>
        <v>305857.21353599994</v>
      </c>
      <c r="AE645" s="6">
        <f>$K$645*$Y$645</f>
        <v>0</v>
      </c>
      <c r="AF645" s="6">
        <f ca="1">$M$645*$Z$645</f>
        <v>155970.95394861107</v>
      </c>
      <c r="AG645" s="6">
        <f>$O$645*$AA$645</f>
        <v>334151.62926879519</v>
      </c>
    </row>
    <row r="646" spans="1:33" ht="11.25" customHeight="1" x14ac:dyDescent="0.25">
      <c r="A646" s="4" t="s">
        <v>28</v>
      </c>
      <c r="B646" s="4" t="s">
        <v>35</v>
      </c>
      <c r="C646" s="4" t="s">
        <v>39</v>
      </c>
      <c r="D646" s="4" t="s">
        <v>42</v>
      </c>
      <c r="E646" s="4" t="s">
        <v>25</v>
      </c>
      <c r="F646" s="4" t="s">
        <v>25</v>
      </c>
      <c r="G646" s="4" t="s">
        <v>25</v>
      </c>
      <c r="H646" s="4" t="s">
        <v>38</v>
      </c>
      <c r="I646" s="5">
        <v>44652</v>
      </c>
      <c r="J646" s="6">
        <v>0</v>
      </c>
      <c r="K646" s="75">
        <v>0</v>
      </c>
      <c r="L646" s="6">
        <v>37.835000000000001</v>
      </c>
      <c r="M646" s="75">
        <v>37.835000000000001</v>
      </c>
      <c r="N646" s="6">
        <v>37.835000000000001</v>
      </c>
      <c r="O646" s="75">
        <v>37.835000000000001</v>
      </c>
      <c r="P646" s="6">
        <v>0</v>
      </c>
      <c r="Q646" s="4" t="s">
        <v>26</v>
      </c>
      <c r="R646" s="4">
        <v>0</v>
      </c>
      <c r="S646" s="6">
        <v>0</v>
      </c>
      <c r="T646" s="6">
        <v>25</v>
      </c>
      <c r="U646" s="6">
        <v>59</v>
      </c>
      <c r="V646" s="75">
        <f>IF(ISERROR(VLOOKUP($S$646,'TAR FIN'!$A$1:$O$93,15,0)),0,VLOOKUP($S$646,'TAR FIN'!$A$1:$O$93,15,0))</f>
        <v>0</v>
      </c>
      <c r="W646" s="75">
        <f>IF(ISERROR(VLOOKUP($T$646,'TAR FIN'!$A$1:$O$93,15,0)),0,VLOOKUP($T$646,'TAR FIN'!$A$1:$O$93,15,0))*(1-0.04)</f>
        <v>66.710399999999993</v>
      </c>
      <c r="X646" s="75">
        <f>IF(ISERROR(VLOOKUP($U$646,'TAR FIN'!$A$1:$O$93,15,0)),0,VLOOKUP($U$646,'TAR FIN'!$A$1:$O$93,15,0))*(1-0.04)</f>
        <v>177.77279999999999</v>
      </c>
      <c r="Y646" s="75"/>
      <c r="Z646" s="75">
        <f ca="1">('TUSD BE'!$AM$16+'TUSD BF'!$AM$16+'TUSD CVA'!$AM$16)*1*(1-0.02)</f>
        <v>90.654697600755071</v>
      </c>
      <c r="AA646" s="75">
        <f>('TE BE'!$AB$8+'TE BF'!$AB$8+'TE CVA'!$AB$8)*1*(1-0.02)</f>
        <v>194.21830884065065</v>
      </c>
      <c r="AB646" s="6">
        <f>$K$646*$V$646</f>
        <v>0</v>
      </c>
      <c r="AC646" s="6">
        <f>$M$646*$W$646</f>
        <v>2523.9879839999999</v>
      </c>
      <c r="AD646" s="6">
        <f>$O$646*$X$646</f>
        <v>6726.0338879999999</v>
      </c>
      <c r="AE646" s="6">
        <f>$K$646*$Y$646</f>
        <v>0</v>
      </c>
      <c r="AF646" s="6">
        <f ca="1">$M$646*$Z$646</f>
        <v>3429.9204837245684</v>
      </c>
      <c r="AG646" s="6">
        <f>$O$646*$AA$646</f>
        <v>7348.2497149860174</v>
      </c>
    </row>
    <row r="647" spans="1:33" ht="11.25" customHeight="1" x14ac:dyDescent="0.25">
      <c r="A647" s="4" t="s">
        <v>21</v>
      </c>
      <c r="B647" s="4" t="s">
        <v>35</v>
      </c>
      <c r="C647" s="4" t="s">
        <v>39</v>
      </c>
      <c r="D647" s="4" t="s">
        <v>42</v>
      </c>
      <c r="E647" s="4" t="s">
        <v>25</v>
      </c>
      <c r="F647" s="4" t="s">
        <v>25</v>
      </c>
      <c r="G647" s="4" t="s">
        <v>25</v>
      </c>
      <c r="H647" s="4" t="s">
        <v>38</v>
      </c>
      <c r="I647" s="5">
        <v>44682</v>
      </c>
      <c r="J647" s="6">
        <v>0</v>
      </c>
      <c r="K647" s="75">
        <v>0</v>
      </c>
      <c r="L647" s="6">
        <v>2034.04</v>
      </c>
      <c r="M647" s="75">
        <v>2034.04</v>
      </c>
      <c r="N647" s="6">
        <v>2034.04</v>
      </c>
      <c r="O647" s="75">
        <v>2034.04</v>
      </c>
      <c r="P647" s="6">
        <v>0</v>
      </c>
      <c r="Q647" s="4" t="s">
        <v>26</v>
      </c>
      <c r="R647" s="4">
        <v>0</v>
      </c>
      <c r="S647" s="6">
        <v>0</v>
      </c>
      <c r="T647" s="6">
        <v>25</v>
      </c>
      <c r="U647" s="6">
        <v>59</v>
      </c>
      <c r="V647" s="75">
        <f>IF(ISERROR(VLOOKUP($S$647,'TAR FIN'!$A$1:$O$93,15,0)),0,VLOOKUP($S$647,'TAR FIN'!$A$1:$O$93,15,0))</f>
        <v>0</v>
      </c>
      <c r="W647" s="75">
        <f>IF(ISERROR(VLOOKUP($T$647,'TAR FIN'!$A$1:$O$93,15,0)),0,VLOOKUP($T$647,'TAR FIN'!$A$1:$O$93,15,0))*(1-0.04)</f>
        <v>66.710399999999993</v>
      </c>
      <c r="X647" s="75">
        <f>IF(ISERROR(VLOOKUP($U$647,'TAR FIN'!$A$1:$O$93,15,0)),0,VLOOKUP($U$647,'TAR FIN'!$A$1:$O$93,15,0))*(1-0.04)</f>
        <v>177.77279999999999</v>
      </c>
      <c r="Y647" s="75"/>
      <c r="Z647" s="75">
        <f ca="1">('TUSD BE'!$AM$16+'TUSD BF'!$AM$16+'TUSD CVA'!$AM$16)*1*(1-0.02)</f>
        <v>90.654697600755071</v>
      </c>
      <c r="AA647" s="75">
        <f>('TE BE'!$AB$8+'TE BF'!$AB$8+'TE CVA'!$AB$8)*1*(1-0.02)</f>
        <v>194.21830884065065</v>
      </c>
      <c r="AB647" s="6">
        <f>$K$647*$V$647</f>
        <v>0</v>
      </c>
      <c r="AC647" s="6">
        <f>$M$647*$W$647</f>
        <v>135691.62201599998</v>
      </c>
      <c r="AD647" s="6">
        <f>$O$647*$X$647</f>
        <v>361596.98611199996</v>
      </c>
      <c r="AE647" s="6">
        <f>$K$647*$Y$647</f>
        <v>0</v>
      </c>
      <c r="AF647" s="6">
        <f ca="1">$M$647*$Z$647</f>
        <v>184395.28110783984</v>
      </c>
      <c r="AG647" s="6">
        <f>$O$647*$AA$647</f>
        <v>395047.80891423702</v>
      </c>
    </row>
    <row r="648" spans="1:33" ht="11.25" customHeight="1" x14ac:dyDescent="0.25">
      <c r="A648" s="4" t="s">
        <v>27</v>
      </c>
      <c r="B648" s="4" t="s">
        <v>35</v>
      </c>
      <c r="C648" s="4" t="s">
        <v>39</v>
      </c>
      <c r="D648" s="4" t="s">
        <v>42</v>
      </c>
      <c r="E648" s="4" t="s">
        <v>25</v>
      </c>
      <c r="F648" s="4" t="s">
        <v>25</v>
      </c>
      <c r="G648" s="4" t="s">
        <v>25</v>
      </c>
      <c r="H648" s="4" t="s">
        <v>38</v>
      </c>
      <c r="I648" s="5">
        <v>44682</v>
      </c>
      <c r="J648" s="6">
        <v>0</v>
      </c>
      <c r="K648" s="75">
        <v>0</v>
      </c>
      <c r="L648" s="6">
        <v>-41.206000000000003</v>
      </c>
      <c r="M648" s="75">
        <v>-41.206000000000003</v>
      </c>
      <c r="N648" s="6">
        <v>-41.206000000000003</v>
      </c>
      <c r="O648" s="75">
        <v>-41.206000000000003</v>
      </c>
      <c r="P648" s="6">
        <v>0</v>
      </c>
      <c r="Q648" s="4" t="s">
        <v>26</v>
      </c>
      <c r="R648" s="4">
        <v>0</v>
      </c>
      <c r="S648" s="6">
        <v>0</v>
      </c>
      <c r="T648" s="6">
        <v>25</v>
      </c>
      <c r="U648" s="6">
        <v>59</v>
      </c>
      <c r="V648" s="75">
        <f>IF(ISERROR(VLOOKUP($S$648,'TAR FIN'!$A$1:$O$93,15,0)),0,VLOOKUP($S$648,'TAR FIN'!$A$1:$O$93,15,0))</f>
        <v>0</v>
      </c>
      <c r="W648" s="75">
        <f>IF(ISERROR(VLOOKUP($T$648,'TAR FIN'!$A$1:$O$93,15,0)),0,VLOOKUP($T$648,'TAR FIN'!$A$1:$O$93,15,0))*(1-0.04)</f>
        <v>66.710399999999993</v>
      </c>
      <c r="X648" s="75">
        <f>IF(ISERROR(VLOOKUP($U$648,'TAR FIN'!$A$1:$O$93,15,0)),0,VLOOKUP($U$648,'TAR FIN'!$A$1:$O$93,15,0))*(1-0.04)</f>
        <v>177.77279999999999</v>
      </c>
      <c r="Y648" s="75"/>
      <c r="Z648" s="75">
        <f ca="1">('TUSD BE'!$AM$16+'TUSD BF'!$AM$16+'TUSD CVA'!$AM$16)*1*(1-0.02)</f>
        <v>90.654697600755071</v>
      </c>
      <c r="AA648" s="75">
        <f>('TE BE'!$AB$8+'TE BF'!$AB$8+'TE CVA'!$AB$8)*1*(1-0.02)</f>
        <v>194.21830884065065</v>
      </c>
      <c r="AB648" s="6">
        <f>$K$648*$V$648</f>
        <v>0</v>
      </c>
      <c r="AC648" s="6">
        <f>$M$648*$W$648</f>
        <v>-2748.8687424</v>
      </c>
      <c r="AD648" s="6">
        <f>$O$648*$X$648</f>
        <v>-7325.3059967999998</v>
      </c>
      <c r="AE648" s="6">
        <f>$K$648*$Y$648</f>
        <v>0</v>
      </c>
      <c r="AF648" s="6">
        <f ca="1">$M$648*$Z$648</f>
        <v>-3735.5174693367139</v>
      </c>
      <c r="AG648" s="6">
        <f>$O$648*$AA$648</f>
        <v>-8002.9596340878516</v>
      </c>
    </row>
    <row r="649" spans="1:33" ht="11.25" customHeight="1" x14ac:dyDescent="0.25">
      <c r="A649" s="4" t="s">
        <v>28</v>
      </c>
      <c r="B649" s="4" t="s">
        <v>35</v>
      </c>
      <c r="C649" s="4" t="s">
        <v>39</v>
      </c>
      <c r="D649" s="4" t="s">
        <v>42</v>
      </c>
      <c r="E649" s="4" t="s">
        <v>25</v>
      </c>
      <c r="F649" s="4" t="s">
        <v>25</v>
      </c>
      <c r="G649" s="4" t="s">
        <v>25</v>
      </c>
      <c r="H649" s="4" t="s">
        <v>38</v>
      </c>
      <c r="I649" s="5">
        <v>44682</v>
      </c>
      <c r="J649" s="6">
        <v>0</v>
      </c>
      <c r="K649" s="75">
        <v>0</v>
      </c>
      <c r="L649" s="6">
        <v>102.774</v>
      </c>
      <c r="M649" s="75">
        <v>102.774</v>
      </c>
      <c r="N649" s="6">
        <v>102.774</v>
      </c>
      <c r="O649" s="75">
        <v>102.774</v>
      </c>
      <c r="P649" s="6">
        <v>0</v>
      </c>
      <c r="Q649" s="4" t="s">
        <v>26</v>
      </c>
      <c r="R649" s="4">
        <v>0</v>
      </c>
      <c r="S649" s="6">
        <v>0</v>
      </c>
      <c r="T649" s="6">
        <v>25</v>
      </c>
      <c r="U649" s="6">
        <v>59</v>
      </c>
      <c r="V649" s="75">
        <f>IF(ISERROR(VLOOKUP($S$649,'TAR FIN'!$A$1:$O$93,15,0)),0,VLOOKUP($S$649,'TAR FIN'!$A$1:$O$93,15,0))</f>
        <v>0</v>
      </c>
      <c r="W649" s="75">
        <f>IF(ISERROR(VLOOKUP($T$649,'TAR FIN'!$A$1:$O$93,15,0)),0,VLOOKUP($T$649,'TAR FIN'!$A$1:$O$93,15,0))*(1-0.04)</f>
        <v>66.710399999999993</v>
      </c>
      <c r="X649" s="75">
        <f>IF(ISERROR(VLOOKUP($U$649,'TAR FIN'!$A$1:$O$93,15,0)),0,VLOOKUP($U$649,'TAR FIN'!$A$1:$O$93,15,0))*(1-0.04)</f>
        <v>177.77279999999999</v>
      </c>
      <c r="Y649" s="75"/>
      <c r="Z649" s="75">
        <f ca="1">('TUSD BE'!$AM$16+'TUSD BF'!$AM$16+'TUSD CVA'!$AM$16)*1*(1-0.02)</f>
        <v>90.654697600755071</v>
      </c>
      <c r="AA649" s="75">
        <f>('TE BE'!$AB$8+'TE BF'!$AB$8+'TE CVA'!$AB$8)*1*(1-0.02)</f>
        <v>194.21830884065065</v>
      </c>
      <c r="AB649" s="6">
        <f>$K$649*$V$649</f>
        <v>0</v>
      </c>
      <c r="AC649" s="6">
        <f>$M$649*$W$649</f>
        <v>6856.0946495999997</v>
      </c>
      <c r="AD649" s="6">
        <f>$O$649*$X$649</f>
        <v>18270.421747199998</v>
      </c>
      <c r="AE649" s="6">
        <f>$K$649*$Y$649</f>
        <v>0</v>
      </c>
      <c r="AF649" s="6">
        <f ca="1">$M$649*$Z$649</f>
        <v>9316.9458912200025</v>
      </c>
      <c r="AG649" s="6">
        <f>$O$649*$AA$649</f>
        <v>19960.592472789031</v>
      </c>
    </row>
    <row r="650" spans="1:33" ht="11.25" customHeight="1" x14ac:dyDescent="0.25">
      <c r="A650" s="4" t="s">
        <v>28</v>
      </c>
      <c r="B650" s="4" t="s">
        <v>35</v>
      </c>
      <c r="C650" s="4" t="s">
        <v>39</v>
      </c>
      <c r="D650" s="4" t="s">
        <v>42</v>
      </c>
      <c r="E650" s="4" t="s">
        <v>25</v>
      </c>
      <c r="F650" s="4" t="s">
        <v>25</v>
      </c>
      <c r="G650" s="4" t="s">
        <v>25</v>
      </c>
      <c r="H650" s="4" t="s">
        <v>38</v>
      </c>
      <c r="I650" s="5">
        <v>44682</v>
      </c>
      <c r="J650" s="6">
        <v>0</v>
      </c>
      <c r="K650" s="75">
        <v>0</v>
      </c>
      <c r="L650" s="6">
        <v>-10.106</v>
      </c>
      <c r="M650" s="75">
        <v>-10.106</v>
      </c>
      <c r="N650" s="6">
        <v>-10.106</v>
      </c>
      <c r="O650" s="75">
        <v>-10.106</v>
      </c>
      <c r="P650" s="6">
        <v>0</v>
      </c>
      <c r="Q650" s="4" t="s">
        <v>26</v>
      </c>
      <c r="R650" s="4">
        <v>0</v>
      </c>
      <c r="S650" s="6">
        <v>0</v>
      </c>
      <c r="T650" s="6">
        <v>25</v>
      </c>
      <c r="U650" s="6">
        <v>59</v>
      </c>
      <c r="V650" s="75">
        <f>IF(ISERROR(VLOOKUP($S$650,'TAR FIN'!$A$1:$O$93,15,0)),0,VLOOKUP($S$650,'TAR FIN'!$A$1:$O$93,15,0))</f>
        <v>0</v>
      </c>
      <c r="W650" s="75">
        <f>IF(ISERROR(VLOOKUP($T$650,'TAR FIN'!$A$1:$O$93,15,0)),0,VLOOKUP($T$650,'TAR FIN'!$A$1:$O$93,15,0))*(1-0.04)</f>
        <v>66.710399999999993</v>
      </c>
      <c r="X650" s="75">
        <f>IF(ISERROR(VLOOKUP($U$650,'TAR FIN'!$A$1:$O$93,15,0)),0,VLOOKUP($U$650,'TAR FIN'!$A$1:$O$93,15,0))*(1-0.04)</f>
        <v>177.77279999999999</v>
      </c>
      <c r="Y650" s="75"/>
      <c r="Z650" s="75">
        <f ca="1">('TUSD BE'!$AM$16+'TUSD BF'!$AM$16+'TUSD CVA'!$AM$16)*1*(1-0.02)</f>
        <v>90.654697600755071</v>
      </c>
      <c r="AA650" s="75">
        <f>('TE BE'!$AB$8+'TE BF'!$AB$8+'TE CVA'!$AB$8)*1*(1-0.02)</f>
        <v>194.21830884065065</v>
      </c>
      <c r="AB650" s="6">
        <f>$K$650*$V$650</f>
        <v>0</v>
      </c>
      <c r="AC650" s="6">
        <f>$M$650*$W$650</f>
        <v>-674.17530239999996</v>
      </c>
      <c r="AD650" s="6">
        <f>$O$650*$X$650</f>
        <v>-1796.5719167999998</v>
      </c>
      <c r="AE650" s="6">
        <f>$K$650*$Y$650</f>
        <v>0</v>
      </c>
      <c r="AF650" s="6">
        <f ca="1">$M$650*$Z$650</f>
        <v>-916.15637395323074</v>
      </c>
      <c r="AG650" s="6">
        <f>$O$650*$AA$650</f>
        <v>-1962.7702291436156</v>
      </c>
    </row>
    <row r="651" spans="1:33" ht="11.25" customHeight="1" x14ac:dyDescent="0.25">
      <c r="A651" s="4" t="s">
        <v>21</v>
      </c>
      <c r="B651" s="4" t="s">
        <v>35</v>
      </c>
      <c r="C651" s="4" t="s">
        <v>39</v>
      </c>
      <c r="D651" s="4" t="s">
        <v>42</v>
      </c>
      <c r="E651" s="4" t="s">
        <v>25</v>
      </c>
      <c r="F651" s="4" t="s">
        <v>25</v>
      </c>
      <c r="G651" s="4" t="s">
        <v>25</v>
      </c>
      <c r="H651" s="4" t="s">
        <v>38</v>
      </c>
      <c r="I651" s="5">
        <v>44713</v>
      </c>
      <c r="J651" s="6">
        <v>0</v>
      </c>
      <c r="K651" s="75">
        <v>0</v>
      </c>
      <c r="L651" s="6">
        <v>1914.43</v>
      </c>
      <c r="M651" s="75">
        <v>1914.43</v>
      </c>
      <c r="N651" s="6">
        <v>1914.43</v>
      </c>
      <c r="O651" s="75">
        <v>1914.43</v>
      </c>
      <c r="P651" s="6">
        <v>0</v>
      </c>
      <c r="Q651" s="4" t="s">
        <v>26</v>
      </c>
      <c r="R651" s="4">
        <v>0</v>
      </c>
      <c r="S651" s="6">
        <v>0</v>
      </c>
      <c r="T651" s="6">
        <v>25</v>
      </c>
      <c r="U651" s="6">
        <v>59</v>
      </c>
      <c r="V651" s="75">
        <f>IF(ISERROR(VLOOKUP($S$651,'TAR FIN'!$A$1:$O$93,15,0)),0,VLOOKUP($S$651,'TAR FIN'!$A$1:$O$93,15,0))</f>
        <v>0</v>
      </c>
      <c r="W651" s="75">
        <f>IF(ISERROR(VLOOKUP($T$651,'TAR FIN'!$A$1:$O$93,15,0)),0,VLOOKUP($T$651,'TAR FIN'!$A$1:$O$93,15,0))*(1-0.04)</f>
        <v>66.710399999999993</v>
      </c>
      <c r="X651" s="75">
        <f>IF(ISERROR(VLOOKUP($U$651,'TAR FIN'!$A$1:$O$93,15,0)),0,VLOOKUP($U$651,'TAR FIN'!$A$1:$O$93,15,0))*(1-0.04)</f>
        <v>177.77279999999999</v>
      </c>
      <c r="Y651" s="75"/>
      <c r="Z651" s="75">
        <f ca="1">('TUSD BE'!$AM$16+'TUSD BF'!$AM$16+'TUSD CVA'!$AM$16)*1*(1-0.02)</f>
        <v>90.654697600755071</v>
      </c>
      <c r="AA651" s="75">
        <f>('TE BE'!$AB$8+'TE BF'!$AB$8+'TE CVA'!$AB$8)*1*(1-0.02)</f>
        <v>194.21830884065065</v>
      </c>
      <c r="AB651" s="6">
        <f>$K$651*$V$651</f>
        <v>0</v>
      </c>
      <c r="AC651" s="6">
        <f>$M$651*$W$651</f>
        <v>127712.39107199998</v>
      </c>
      <c r="AD651" s="6">
        <f>$O$651*$X$651</f>
        <v>340333.581504</v>
      </c>
      <c r="AE651" s="6">
        <f>$K$651*$Y$651</f>
        <v>0</v>
      </c>
      <c r="AF651" s="6">
        <f ca="1">$M$651*$Z$651</f>
        <v>173552.07272781353</v>
      </c>
      <c r="AG651" s="6">
        <f>$O$651*$AA$651</f>
        <v>371817.35699380684</v>
      </c>
    </row>
    <row r="652" spans="1:33" ht="11.25" customHeight="1" x14ac:dyDescent="0.25">
      <c r="A652" s="4" t="s">
        <v>27</v>
      </c>
      <c r="B652" s="4" t="s">
        <v>35</v>
      </c>
      <c r="C652" s="4" t="s">
        <v>39</v>
      </c>
      <c r="D652" s="4" t="s">
        <v>42</v>
      </c>
      <c r="E652" s="4" t="s">
        <v>25</v>
      </c>
      <c r="F652" s="4" t="s">
        <v>25</v>
      </c>
      <c r="G652" s="4" t="s">
        <v>25</v>
      </c>
      <c r="H652" s="4" t="s">
        <v>38</v>
      </c>
      <c r="I652" s="5">
        <v>44713</v>
      </c>
      <c r="J652" s="6">
        <v>0</v>
      </c>
      <c r="K652" s="75">
        <v>0</v>
      </c>
      <c r="L652" s="6">
        <v>-19.802</v>
      </c>
      <c r="M652" s="75">
        <v>-19.802</v>
      </c>
      <c r="N652" s="6">
        <v>-19.802</v>
      </c>
      <c r="O652" s="75">
        <v>-19.802</v>
      </c>
      <c r="P652" s="6">
        <v>0</v>
      </c>
      <c r="Q652" s="4" t="s">
        <v>26</v>
      </c>
      <c r="R652" s="4">
        <v>0</v>
      </c>
      <c r="S652" s="6">
        <v>0</v>
      </c>
      <c r="T652" s="6">
        <v>25</v>
      </c>
      <c r="U652" s="6">
        <v>59</v>
      </c>
      <c r="V652" s="75">
        <f>IF(ISERROR(VLOOKUP($S$652,'TAR FIN'!$A$1:$O$93,15,0)),0,VLOOKUP($S$652,'TAR FIN'!$A$1:$O$93,15,0))</f>
        <v>0</v>
      </c>
      <c r="W652" s="75">
        <f>IF(ISERROR(VLOOKUP($T$652,'TAR FIN'!$A$1:$O$93,15,0)),0,VLOOKUP($T$652,'TAR FIN'!$A$1:$O$93,15,0))*(1-0.04)</f>
        <v>66.710399999999993</v>
      </c>
      <c r="X652" s="75">
        <f>IF(ISERROR(VLOOKUP($U$652,'TAR FIN'!$A$1:$O$93,15,0)),0,VLOOKUP($U$652,'TAR FIN'!$A$1:$O$93,15,0))*(1-0.04)</f>
        <v>177.77279999999999</v>
      </c>
      <c r="Y652" s="75"/>
      <c r="Z652" s="75">
        <f ca="1">('TUSD BE'!$AM$16+'TUSD BF'!$AM$16+'TUSD CVA'!$AM$16)*1*(1-0.02)</f>
        <v>90.654697600755071</v>
      </c>
      <c r="AA652" s="75">
        <f>('TE BE'!$AB$8+'TE BF'!$AB$8+'TE CVA'!$AB$8)*1*(1-0.02)</f>
        <v>194.21830884065065</v>
      </c>
      <c r="AB652" s="6">
        <f>$K$652*$V$652</f>
        <v>0</v>
      </c>
      <c r="AC652" s="6">
        <f>$M$652*$W$652</f>
        <v>-1320.9993407999998</v>
      </c>
      <c r="AD652" s="6">
        <f>$O$652*$X$652</f>
        <v>-3520.2569855999996</v>
      </c>
      <c r="AE652" s="6">
        <f>$K$652*$Y$652</f>
        <v>0</v>
      </c>
      <c r="AF652" s="6">
        <f ca="1">$M$652*$Z$652</f>
        <v>-1795.1443218901518</v>
      </c>
      <c r="AG652" s="6">
        <f>$O$652*$AA$652</f>
        <v>-3845.910951662564</v>
      </c>
    </row>
    <row r="653" spans="1:33" ht="11.25" customHeight="1" x14ac:dyDescent="0.25">
      <c r="A653" s="4" t="s">
        <v>28</v>
      </c>
      <c r="B653" s="4" t="s">
        <v>35</v>
      </c>
      <c r="C653" s="4" t="s">
        <v>39</v>
      </c>
      <c r="D653" s="4" t="s">
        <v>42</v>
      </c>
      <c r="E653" s="4" t="s">
        <v>25</v>
      </c>
      <c r="F653" s="4" t="s">
        <v>25</v>
      </c>
      <c r="G653" s="4" t="s">
        <v>25</v>
      </c>
      <c r="H653" s="4" t="s">
        <v>38</v>
      </c>
      <c r="I653" s="5">
        <v>44713</v>
      </c>
      <c r="J653" s="6">
        <v>0</v>
      </c>
      <c r="K653" s="75">
        <v>0</v>
      </c>
      <c r="L653" s="6">
        <v>191.12200000000001</v>
      </c>
      <c r="M653" s="75">
        <v>191.12200000000001</v>
      </c>
      <c r="N653" s="6">
        <v>191.12200000000001</v>
      </c>
      <c r="O653" s="75">
        <v>191.12200000000001</v>
      </c>
      <c r="P653" s="6">
        <v>0</v>
      </c>
      <c r="Q653" s="4" t="s">
        <v>26</v>
      </c>
      <c r="R653" s="4">
        <v>0</v>
      </c>
      <c r="S653" s="6">
        <v>0</v>
      </c>
      <c r="T653" s="6">
        <v>25</v>
      </c>
      <c r="U653" s="6">
        <v>59</v>
      </c>
      <c r="V653" s="75">
        <f>IF(ISERROR(VLOOKUP($S$653,'TAR FIN'!$A$1:$O$93,15,0)),0,VLOOKUP($S$653,'TAR FIN'!$A$1:$O$93,15,0))</f>
        <v>0</v>
      </c>
      <c r="W653" s="75">
        <f>IF(ISERROR(VLOOKUP($T$653,'TAR FIN'!$A$1:$O$93,15,0)),0,VLOOKUP($T$653,'TAR FIN'!$A$1:$O$93,15,0))*(1-0.04)</f>
        <v>66.710399999999993</v>
      </c>
      <c r="X653" s="75">
        <f>IF(ISERROR(VLOOKUP($U$653,'TAR FIN'!$A$1:$O$93,15,0)),0,VLOOKUP($U$653,'TAR FIN'!$A$1:$O$93,15,0))*(1-0.04)</f>
        <v>177.77279999999999</v>
      </c>
      <c r="Y653" s="75"/>
      <c r="Z653" s="75">
        <f ca="1">('TUSD BE'!$AM$16+'TUSD BF'!$AM$16+'TUSD CVA'!$AM$16)*1*(1-0.02)</f>
        <v>90.654697600755071</v>
      </c>
      <c r="AA653" s="75">
        <f>('TE BE'!$AB$8+'TE BF'!$AB$8+'TE CVA'!$AB$8)*1*(1-0.02)</f>
        <v>194.21830884065065</v>
      </c>
      <c r="AB653" s="6">
        <f>$K$653*$V$653</f>
        <v>0</v>
      </c>
      <c r="AC653" s="6">
        <f>$M$653*$W$653</f>
        <v>12749.825068799999</v>
      </c>
      <c r="AD653" s="6">
        <f>$O$653*$X$653</f>
        <v>33976.293081600001</v>
      </c>
      <c r="AE653" s="6">
        <f>$K$653*$Y$653</f>
        <v>0</v>
      </c>
      <c r="AF653" s="6">
        <f ca="1">$M$653*$Z$653</f>
        <v>17326.107114851511</v>
      </c>
      <c r="AG653" s="6">
        <f>$O$653*$AA$653</f>
        <v>37119.391622242838</v>
      </c>
    </row>
    <row r="654" spans="1:33" ht="11.25" customHeight="1" x14ac:dyDescent="0.25">
      <c r="A654" s="4" t="s">
        <v>21</v>
      </c>
      <c r="B654" s="4" t="s">
        <v>35</v>
      </c>
      <c r="C654" s="4" t="s">
        <v>39</v>
      </c>
      <c r="D654" s="4" t="s">
        <v>42</v>
      </c>
      <c r="E654" s="4" t="s">
        <v>25</v>
      </c>
      <c r="F654" s="4" t="s">
        <v>25</v>
      </c>
      <c r="G654" s="4" t="s">
        <v>25</v>
      </c>
      <c r="H654" s="4" t="s">
        <v>25</v>
      </c>
      <c r="I654" s="5">
        <v>44378</v>
      </c>
      <c r="J654" s="6">
        <v>8787</v>
      </c>
      <c r="K654" s="75">
        <v>8787</v>
      </c>
      <c r="L654" s="6">
        <v>0</v>
      </c>
      <c r="M654" s="75">
        <v>0</v>
      </c>
      <c r="N654" s="6">
        <v>0</v>
      </c>
      <c r="O654" s="75">
        <v>0</v>
      </c>
      <c r="P654" s="6">
        <v>106</v>
      </c>
      <c r="Q654" s="4" t="s">
        <v>26</v>
      </c>
      <c r="R654" s="4">
        <v>0</v>
      </c>
      <c r="S654" s="6">
        <v>18</v>
      </c>
      <c r="T654" s="6">
        <v>0</v>
      </c>
      <c r="U654" s="6">
        <v>0</v>
      </c>
      <c r="V654" s="75">
        <f>IF(ISERROR(VLOOKUP($S$654,'TAR FIN'!$A$1:$O$93,15,0)),0,VLOOKUP($S$654,'TAR FIN'!$A$1:$O$93,15,0))*(1-0.04)</f>
        <v>25.123200000000001</v>
      </c>
      <c r="W654" s="75">
        <f>IF(ISERROR(VLOOKUP($T$654,'TAR FIN'!$A$1:$O$93,15,0)),0,VLOOKUP($T$654,'TAR FIN'!$A$1:$O$93,15,0))</f>
        <v>0</v>
      </c>
      <c r="X654" s="75">
        <f>IF(ISERROR(VLOOKUP($U$654,'TAR FIN'!$A$1:$O$93,15,0)),0,VLOOKUP($U$654,'TAR FIN'!$A$1:$O$93,15,0))</f>
        <v>0</v>
      </c>
      <c r="Y654" s="75">
        <f ca="1">('TUSD BE'!$AM$14+'TUSD BF'!$AM$14+'TUSD CVA'!$AM$14)*1*(1-0.02)</f>
        <v>29.844412718026739</v>
      </c>
      <c r="Z654" s="75"/>
      <c r="AA654" s="75"/>
      <c r="AB654" s="6">
        <f>$K$654*$V$654</f>
        <v>220757.55840000001</v>
      </c>
      <c r="AC654" s="6">
        <f>$M$654*$W$654</f>
        <v>0</v>
      </c>
      <c r="AD654" s="6">
        <f>$O$654*$X$654</f>
        <v>0</v>
      </c>
      <c r="AE654" s="6">
        <f ca="1">$K$654*$Y$654</f>
        <v>262242.85455330095</v>
      </c>
      <c r="AF654" s="6">
        <f>$M$654*$Z$654</f>
        <v>0</v>
      </c>
      <c r="AG654" s="6">
        <f>$O$654*$AA$654</f>
        <v>0</v>
      </c>
    </row>
    <row r="655" spans="1:33" ht="11.25" customHeight="1" x14ac:dyDescent="0.25">
      <c r="A655" s="4" t="s">
        <v>28</v>
      </c>
      <c r="B655" s="4" t="s">
        <v>35</v>
      </c>
      <c r="C655" s="4" t="s">
        <v>39</v>
      </c>
      <c r="D655" s="4" t="s">
        <v>42</v>
      </c>
      <c r="E655" s="4" t="s">
        <v>25</v>
      </c>
      <c r="F655" s="4" t="s">
        <v>25</v>
      </c>
      <c r="G655" s="4" t="s">
        <v>25</v>
      </c>
      <c r="H655" s="4" t="s">
        <v>25</v>
      </c>
      <c r="I655" s="5">
        <v>44378</v>
      </c>
      <c r="J655" s="6">
        <v>1106</v>
      </c>
      <c r="K655" s="75">
        <v>1106</v>
      </c>
      <c r="L655" s="6">
        <v>0</v>
      </c>
      <c r="M655" s="75">
        <v>0</v>
      </c>
      <c r="N655" s="6">
        <v>0</v>
      </c>
      <c r="O655" s="75">
        <v>0</v>
      </c>
      <c r="P655" s="6">
        <v>10</v>
      </c>
      <c r="Q655" s="4" t="s">
        <v>26</v>
      </c>
      <c r="R655" s="4">
        <v>0</v>
      </c>
      <c r="S655" s="6">
        <v>18</v>
      </c>
      <c r="T655" s="6">
        <v>0</v>
      </c>
      <c r="U655" s="6">
        <v>0</v>
      </c>
      <c r="V655" s="75">
        <f>IF(ISERROR(VLOOKUP($S$655,'TAR FIN'!$A$1:$O$93,15,0)),0,VLOOKUP($S$655,'TAR FIN'!$A$1:$O$93,15,0))*(1-0.04)</f>
        <v>25.123200000000001</v>
      </c>
      <c r="W655" s="75">
        <f>IF(ISERROR(VLOOKUP($T$655,'TAR FIN'!$A$1:$O$93,15,0)),0,VLOOKUP($T$655,'TAR FIN'!$A$1:$O$93,15,0))</f>
        <v>0</v>
      </c>
      <c r="X655" s="75">
        <f>IF(ISERROR(VLOOKUP($U$655,'TAR FIN'!$A$1:$O$93,15,0)),0,VLOOKUP($U$655,'TAR FIN'!$A$1:$O$93,15,0))</f>
        <v>0</v>
      </c>
      <c r="Y655" s="75">
        <f ca="1">('TUSD BE'!$AM$14+'TUSD BF'!$AM$14+'TUSD CVA'!$AM$14)*1*(1-0.02)</f>
        <v>29.844412718026739</v>
      </c>
      <c r="Z655" s="75"/>
      <c r="AA655" s="75"/>
      <c r="AB655" s="6">
        <f>$K$655*$V$655</f>
        <v>27786.2592</v>
      </c>
      <c r="AC655" s="6">
        <f>$M$655*$W$655</f>
        <v>0</v>
      </c>
      <c r="AD655" s="6">
        <f>$O$655*$X$655</f>
        <v>0</v>
      </c>
      <c r="AE655" s="6">
        <f ca="1">$K$655*$Y$655</f>
        <v>33007.92046613757</v>
      </c>
      <c r="AF655" s="6">
        <f>$M$655*$Z$655</f>
        <v>0</v>
      </c>
      <c r="AG655" s="6">
        <f>$O$655*$AA$655</f>
        <v>0</v>
      </c>
    </row>
    <row r="656" spans="1:33" ht="11.25" customHeight="1" x14ac:dyDescent="0.25">
      <c r="A656" s="4" t="s">
        <v>21</v>
      </c>
      <c r="B656" s="4" t="s">
        <v>35</v>
      </c>
      <c r="C656" s="4" t="s">
        <v>39</v>
      </c>
      <c r="D656" s="4" t="s">
        <v>42</v>
      </c>
      <c r="E656" s="4" t="s">
        <v>25</v>
      </c>
      <c r="F656" s="4" t="s">
        <v>25</v>
      </c>
      <c r="G656" s="4" t="s">
        <v>25</v>
      </c>
      <c r="H656" s="4" t="s">
        <v>25</v>
      </c>
      <c r="I656" s="5">
        <v>44409</v>
      </c>
      <c r="J656" s="6">
        <v>8162</v>
      </c>
      <c r="K656" s="75">
        <v>8162</v>
      </c>
      <c r="L656" s="6">
        <v>0</v>
      </c>
      <c r="M656" s="75">
        <v>0</v>
      </c>
      <c r="N656" s="6">
        <v>0</v>
      </c>
      <c r="O656" s="75">
        <v>0</v>
      </c>
      <c r="P656" s="6">
        <v>107</v>
      </c>
      <c r="Q656" s="4" t="s">
        <v>26</v>
      </c>
      <c r="R656" s="4">
        <v>0</v>
      </c>
      <c r="S656" s="6">
        <v>18</v>
      </c>
      <c r="T656" s="6">
        <v>0</v>
      </c>
      <c r="U656" s="6">
        <v>0</v>
      </c>
      <c r="V656" s="75">
        <f>IF(ISERROR(VLOOKUP($S$656,'TAR FIN'!$A$1:$O$93,15,0)),0,VLOOKUP($S$656,'TAR FIN'!$A$1:$O$93,15,0))*(1-0.04)</f>
        <v>25.123200000000001</v>
      </c>
      <c r="W656" s="75">
        <f>IF(ISERROR(VLOOKUP($T$656,'TAR FIN'!$A$1:$O$93,15,0)),0,VLOOKUP($T$656,'TAR FIN'!$A$1:$O$93,15,0))</f>
        <v>0</v>
      </c>
      <c r="X656" s="75">
        <f>IF(ISERROR(VLOOKUP($U$656,'TAR FIN'!$A$1:$O$93,15,0)),0,VLOOKUP($U$656,'TAR FIN'!$A$1:$O$93,15,0))</f>
        <v>0</v>
      </c>
      <c r="Y656" s="75">
        <f ca="1">('TUSD BE'!$AM$14+'TUSD BF'!$AM$14+'TUSD CVA'!$AM$14)*1*(1-0.02)</f>
        <v>29.844412718026739</v>
      </c>
      <c r="Z656" s="75"/>
      <c r="AA656" s="75"/>
      <c r="AB656" s="6">
        <f>$K$656*$V$656</f>
        <v>205055.55840000001</v>
      </c>
      <c r="AC656" s="6">
        <f>$M$656*$W$656</f>
        <v>0</v>
      </c>
      <c r="AD656" s="6">
        <f>$O$656*$X$656</f>
        <v>0</v>
      </c>
      <c r="AE656" s="6">
        <f ca="1">$K$656*$Y$656</f>
        <v>243590.09660453425</v>
      </c>
      <c r="AF656" s="6">
        <f>$M$656*$Z$656</f>
        <v>0</v>
      </c>
      <c r="AG656" s="6">
        <f>$O$656*$AA$656</f>
        <v>0</v>
      </c>
    </row>
    <row r="657" spans="1:33" ht="11.25" customHeight="1" x14ac:dyDescent="0.25">
      <c r="A657" s="4" t="s">
        <v>28</v>
      </c>
      <c r="B657" s="4" t="s">
        <v>35</v>
      </c>
      <c r="C657" s="4" t="s">
        <v>39</v>
      </c>
      <c r="D657" s="4" t="s">
        <v>42</v>
      </c>
      <c r="E657" s="4" t="s">
        <v>25</v>
      </c>
      <c r="F657" s="4" t="s">
        <v>25</v>
      </c>
      <c r="G657" s="4" t="s">
        <v>25</v>
      </c>
      <c r="H657" s="4" t="s">
        <v>25</v>
      </c>
      <c r="I657" s="5">
        <v>44409</v>
      </c>
      <c r="J657" s="6">
        <v>1277</v>
      </c>
      <c r="K657" s="75">
        <v>1277</v>
      </c>
      <c r="L657" s="6">
        <v>0</v>
      </c>
      <c r="M657" s="75">
        <v>0</v>
      </c>
      <c r="N657" s="6">
        <v>0</v>
      </c>
      <c r="O657" s="75">
        <v>0</v>
      </c>
      <c r="P657" s="6">
        <v>12</v>
      </c>
      <c r="Q657" s="4" t="s">
        <v>26</v>
      </c>
      <c r="R657" s="4">
        <v>0</v>
      </c>
      <c r="S657" s="6">
        <v>18</v>
      </c>
      <c r="T657" s="6">
        <v>0</v>
      </c>
      <c r="U657" s="6">
        <v>0</v>
      </c>
      <c r="V657" s="75">
        <f>IF(ISERROR(VLOOKUP($S$657,'TAR FIN'!$A$1:$O$93,15,0)),0,VLOOKUP($S$657,'TAR FIN'!$A$1:$O$93,15,0))*(1-0.04)</f>
        <v>25.123200000000001</v>
      </c>
      <c r="W657" s="75">
        <f>IF(ISERROR(VLOOKUP($T$657,'TAR FIN'!$A$1:$O$93,15,0)),0,VLOOKUP($T$657,'TAR FIN'!$A$1:$O$93,15,0))</f>
        <v>0</v>
      </c>
      <c r="X657" s="75">
        <f>IF(ISERROR(VLOOKUP($U$657,'TAR FIN'!$A$1:$O$93,15,0)),0,VLOOKUP($U$657,'TAR FIN'!$A$1:$O$93,15,0))</f>
        <v>0</v>
      </c>
      <c r="Y657" s="75">
        <f ca="1">('TUSD BE'!$AM$14+'TUSD BF'!$AM$14+'TUSD CVA'!$AM$14)*1*(1-0.02)</f>
        <v>29.844412718026739</v>
      </c>
      <c r="Z657" s="75"/>
      <c r="AA657" s="75"/>
      <c r="AB657" s="6">
        <f>$K$657*$V$657</f>
        <v>32082.326400000002</v>
      </c>
      <c r="AC657" s="6">
        <f>$M$657*$W$657</f>
        <v>0</v>
      </c>
      <c r="AD657" s="6">
        <f>$O$657*$X$657</f>
        <v>0</v>
      </c>
      <c r="AE657" s="6">
        <f ca="1">$K$657*$Y$657</f>
        <v>38111.315040920148</v>
      </c>
      <c r="AF657" s="6">
        <f>$M$657*$Z$657</f>
        <v>0</v>
      </c>
      <c r="AG657" s="6">
        <f>$O$657*$AA$657</f>
        <v>0</v>
      </c>
    </row>
    <row r="658" spans="1:33" ht="11.25" customHeight="1" x14ac:dyDescent="0.25">
      <c r="A658" s="4" t="s">
        <v>28</v>
      </c>
      <c r="B658" s="4" t="s">
        <v>35</v>
      </c>
      <c r="C658" s="4" t="s">
        <v>39</v>
      </c>
      <c r="D658" s="4" t="s">
        <v>42</v>
      </c>
      <c r="E658" s="4" t="s">
        <v>25</v>
      </c>
      <c r="F658" s="4" t="s">
        <v>25</v>
      </c>
      <c r="G658" s="4" t="s">
        <v>25</v>
      </c>
      <c r="H658" s="4" t="s">
        <v>25</v>
      </c>
      <c r="I658" s="5">
        <v>44409</v>
      </c>
      <c r="J658" s="6">
        <v>-150</v>
      </c>
      <c r="K658" s="75">
        <v>-150</v>
      </c>
      <c r="L658" s="6">
        <v>0</v>
      </c>
      <c r="M658" s="75">
        <v>0</v>
      </c>
      <c r="N658" s="6">
        <v>0</v>
      </c>
      <c r="O658" s="75">
        <v>0</v>
      </c>
      <c r="P658" s="6">
        <v>-2</v>
      </c>
      <c r="Q658" s="4" t="s">
        <v>26</v>
      </c>
      <c r="R658" s="4">
        <v>0</v>
      </c>
      <c r="S658" s="6">
        <v>18</v>
      </c>
      <c r="T658" s="6">
        <v>0</v>
      </c>
      <c r="U658" s="6">
        <v>0</v>
      </c>
      <c r="V658" s="75">
        <f>IF(ISERROR(VLOOKUP($S$658,'TAR FIN'!$A$1:$O$93,15,0)),0,VLOOKUP($S$658,'TAR FIN'!$A$1:$O$93,15,0))*(1-0.04)</f>
        <v>25.123200000000001</v>
      </c>
      <c r="W658" s="75">
        <f>IF(ISERROR(VLOOKUP($T$658,'TAR FIN'!$A$1:$O$93,15,0)),0,VLOOKUP($T$658,'TAR FIN'!$A$1:$O$93,15,0))</f>
        <v>0</v>
      </c>
      <c r="X658" s="75">
        <f>IF(ISERROR(VLOOKUP($U$658,'TAR FIN'!$A$1:$O$93,15,0)),0,VLOOKUP($U$658,'TAR FIN'!$A$1:$O$93,15,0))</f>
        <v>0</v>
      </c>
      <c r="Y658" s="75">
        <f ca="1">('TUSD BE'!$AM$14+'TUSD BF'!$AM$14+'TUSD CVA'!$AM$14)*1*(1-0.02)</f>
        <v>29.844412718026739</v>
      </c>
      <c r="Z658" s="75"/>
      <c r="AA658" s="75"/>
      <c r="AB658" s="6">
        <f>$K$658*$V$658</f>
        <v>-3768.48</v>
      </c>
      <c r="AC658" s="6">
        <f>$M$658*$W$658</f>
        <v>0</v>
      </c>
      <c r="AD658" s="6">
        <f>$O$658*$X$658</f>
        <v>0</v>
      </c>
      <c r="AE658" s="6">
        <f ca="1">$K$658*$Y$658</f>
        <v>-4476.6619077040104</v>
      </c>
      <c r="AF658" s="6">
        <f>$M$658*$Z$658</f>
        <v>0</v>
      </c>
      <c r="AG658" s="6">
        <f>$O$658*$AA$658</f>
        <v>0</v>
      </c>
    </row>
    <row r="659" spans="1:33" ht="11.25" customHeight="1" x14ac:dyDescent="0.25">
      <c r="A659" s="4" t="s">
        <v>21</v>
      </c>
      <c r="B659" s="4" t="s">
        <v>35</v>
      </c>
      <c r="C659" s="4" t="s">
        <v>39</v>
      </c>
      <c r="D659" s="4" t="s">
        <v>42</v>
      </c>
      <c r="E659" s="4" t="s">
        <v>25</v>
      </c>
      <c r="F659" s="4" t="s">
        <v>25</v>
      </c>
      <c r="G659" s="4" t="s">
        <v>25</v>
      </c>
      <c r="H659" s="4" t="s">
        <v>25</v>
      </c>
      <c r="I659" s="5">
        <v>44440</v>
      </c>
      <c r="J659" s="6">
        <v>7599</v>
      </c>
      <c r="K659" s="75">
        <v>7599</v>
      </c>
      <c r="L659" s="6">
        <v>0</v>
      </c>
      <c r="M659" s="75">
        <v>0</v>
      </c>
      <c r="N659" s="6">
        <v>0</v>
      </c>
      <c r="O659" s="75">
        <v>0</v>
      </c>
      <c r="P659" s="6">
        <v>107</v>
      </c>
      <c r="Q659" s="4" t="s">
        <v>26</v>
      </c>
      <c r="R659" s="4">
        <v>0</v>
      </c>
      <c r="S659" s="6">
        <v>18</v>
      </c>
      <c r="T659" s="6">
        <v>0</v>
      </c>
      <c r="U659" s="6">
        <v>0</v>
      </c>
      <c r="V659" s="75">
        <f>IF(ISERROR(VLOOKUP($S$659,'TAR FIN'!$A$1:$O$93,15,0)),0,VLOOKUP($S$659,'TAR FIN'!$A$1:$O$93,15,0))*(1-0.04)</f>
        <v>25.123200000000001</v>
      </c>
      <c r="W659" s="75">
        <f>IF(ISERROR(VLOOKUP($T$659,'TAR FIN'!$A$1:$O$93,15,0)),0,VLOOKUP($T$659,'TAR FIN'!$A$1:$O$93,15,0))</f>
        <v>0</v>
      </c>
      <c r="X659" s="75">
        <f>IF(ISERROR(VLOOKUP($U$659,'TAR FIN'!$A$1:$O$93,15,0)),0,VLOOKUP($U$659,'TAR FIN'!$A$1:$O$93,15,0))</f>
        <v>0</v>
      </c>
      <c r="Y659" s="75">
        <f ca="1">('TUSD BE'!$AM$14+'TUSD BF'!$AM$14+'TUSD CVA'!$AM$14)*1*(1-0.02)</f>
        <v>29.844412718026739</v>
      </c>
      <c r="Z659" s="75"/>
      <c r="AA659" s="75"/>
      <c r="AB659" s="6">
        <f>$K$659*$V$659</f>
        <v>190911.19680000001</v>
      </c>
      <c r="AC659" s="6">
        <f>$M$659*$W$659</f>
        <v>0</v>
      </c>
      <c r="AD659" s="6">
        <f>$O$659*$X$659</f>
        <v>0</v>
      </c>
      <c r="AE659" s="6">
        <f ca="1">$K$659*$Y$659</f>
        <v>226787.69224428519</v>
      </c>
      <c r="AF659" s="6">
        <f>$M$659*$Z$659</f>
        <v>0</v>
      </c>
      <c r="AG659" s="6">
        <f>$O$659*$AA$659</f>
        <v>0</v>
      </c>
    </row>
    <row r="660" spans="1:33" ht="11.25" customHeight="1" x14ac:dyDescent="0.25">
      <c r="A660" s="4" t="s">
        <v>28</v>
      </c>
      <c r="B660" s="4" t="s">
        <v>35</v>
      </c>
      <c r="C660" s="4" t="s">
        <v>39</v>
      </c>
      <c r="D660" s="4" t="s">
        <v>42</v>
      </c>
      <c r="E660" s="4" t="s">
        <v>25</v>
      </c>
      <c r="F660" s="4" t="s">
        <v>25</v>
      </c>
      <c r="G660" s="4" t="s">
        <v>25</v>
      </c>
      <c r="H660" s="4" t="s">
        <v>25</v>
      </c>
      <c r="I660" s="5">
        <v>44440</v>
      </c>
      <c r="J660" s="6">
        <v>1110</v>
      </c>
      <c r="K660" s="75">
        <v>1110</v>
      </c>
      <c r="L660" s="6">
        <v>0</v>
      </c>
      <c r="M660" s="75">
        <v>0</v>
      </c>
      <c r="N660" s="6">
        <v>0</v>
      </c>
      <c r="O660" s="75">
        <v>0</v>
      </c>
      <c r="P660" s="6">
        <v>10</v>
      </c>
      <c r="Q660" s="4" t="s">
        <v>26</v>
      </c>
      <c r="R660" s="4">
        <v>0</v>
      </c>
      <c r="S660" s="6">
        <v>18</v>
      </c>
      <c r="T660" s="6">
        <v>0</v>
      </c>
      <c r="U660" s="6">
        <v>0</v>
      </c>
      <c r="V660" s="75">
        <f>IF(ISERROR(VLOOKUP($S$660,'TAR FIN'!$A$1:$O$93,15,0)),0,VLOOKUP($S$660,'TAR FIN'!$A$1:$O$93,15,0))*(1-0.04)</f>
        <v>25.123200000000001</v>
      </c>
      <c r="W660" s="75">
        <f>IF(ISERROR(VLOOKUP($T$660,'TAR FIN'!$A$1:$O$93,15,0)),0,VLOOKUP($T$660,'TAR FIN'!$A$1:$O$93,15,0))</f>
        <v>0</v>
      </c>
      <c r="X660" s="75">
        <f>IF(ISERROR(VLOOKUP($U$660,'TAR FIN'!$A$1:$O$93,15,0)),0,VLOOKUP($U$660,'TAR FIN'!$A$1:$O$93,15,0))</f>
        <v>0</v>
      </c>
      <c r="Y660" s="75">
        <f ca="1">('TUSD BE'!$AM$14+'TUSD BF'!$AM$14+'TUSD CVA'!$AM$14)*1*(1-0.02)</f>
        <v>29.844412718026739</v>
      </c>
      <c r="Z660" s="75"/>
      <c r="AA660" s="75"/>
      <c r="AB660" s="6">
        <f>$K$660*$V$660</f>
        <v>27886.752</v>
      </c>
      <c r="AC660" s="6">
        <f>$M$660*$W$660</f>
        <v>0</v>
      </c>
      <c r="AD660" s="6">
        <f>$O$660*$X$660</f>
        <v>0</v>
      </c>
      <c r="AE660" s="6">
        <f ca="1">$K$660*$Y$660</f>
        <v>33127.298117009683</v>
      </c>
      <c r="AF660" s="6">
        <f>$M$660*$Z$660</f>
        <v>0</v>
      </c>
      <c r="AG660" s="6">
        <f>$O$660*$AA$660</f>
        <v>0</v>
      </c>
    </row>
    <row r="661" spans="1:33" ht="11.25" customHeight="1" x14ac:dyDescent="0.25">
      <c r="A661" s="4" t="s">
        <v>21</v>
      </c>
      <c r="B661" s="4" t="s">
        <v>35</v>
      </c>
      <c r="C661" s="4" t="s">
        <v>39</v>
      </c>
      <c r="D661" s="4" t="s">
        <v>42</v>
      </c>
      <c r="E661" s="4" t="s">
        <v>25</v>
      </c>
      <c r="F661" s="4" t="s">
        <v>25</v>
      </c>
      <c r="G661" s="4" t="s">
        <v>25</v>
      </c>
      <c r="H661" s="4" t="s">
        <v>25</v>
      </c>
      <c r="I661" s="5">
        <v>44470</v>
      </c>
      <c r="J661" s="6">
        <v>7273</v>
      </c>
      <c r="K661" s="75">
        <v>7273</v>
      </c>
      <c r="L661" s="6">
        <v>0</v>
      </c>
      <c r="M661" s="75">
        <v>0</v>
      </c>
      <c r="N661" s="6">
        <v>0</v>
      </c>
      <c r="O661" s="75">
        <v>0</v>
      </c>
      <c r="P661" s="6">
        <v>107</v>
      </c>
      <c r="Q661" s="4" t="s">
        <v>26</v>
      </c>
      <c r="R661" s="4">
        <v>0</v>
      </c>
      <c r="S661" s="6">
        <v>18</v>
      </c>
      <c r="T661" s="6">
        <v>0</v>
      </c>
      <c r="U661" s="6">
        <v>0</v>
      </c>
      <c r="V661" s="75">
        <f>IF(ISERROR(VLOOKUP($S$661,'TAR FIN'!$A$1:$O$93,15,0)),0,VLOOKUP($S$661,'TAR FIN'!$A$1:$O$93,15,0))*(1-0.04)</f>
        <v>25.123200000000001</v>
      </c>
      <c r="W661" s="75">
        <f>IF(ISERROR(VLOOKUP($T$661,'TAR FIN'!$A$1:$O$93,15,0)),0,VLOOKUP($T$661,'TAR FIN'!$A$1:$O$93,15,0))</f>
        <v>0</v>
      </c>
      <c r="X661" s="75">
        <f>IF(ISERROR(VLOOKUP($U$661,'TAR FIN'!$A$1:$O$93,15,0)),0,VLOOKUP($U$661,'TAR FIN'!$A$1:$O$93,15,0))</f>
        <v>0</v>
      </c>
      <c r="Y661" s="75">
        <f ca="1">('TUSD BE'!$AM$14+'TUSD BF'!$AM$14+'TUSD CVA'!$AM$14)*1*(1-0.02)</f>
        <v>29.844412718026739</v>
      </c>
      <c r="Z661" s="75"/>
      <c r="AA661" s="75"/>
      <c r="AB661" s="6">
        <f>$K$661*$V$661</f>
        <v>182721.0336</v>
      </c>
      <c r="AC661" s="6">
        <f>$M$661*$W$661</f>
        <v>0</v>
      </c>
      <c r="AD661" s="6">
        <f>$O$661*$X$661</f>
        <v>0</v>
      </c>
      <c r="AE661" s="6">
        <f ca="1">$K$661*$Y$661</f>
        <v>217058.41369820846</v>
      </c>
      <c r="AF661" s="6">
        <f>$M$661*$Z$661</f>
        <v>0</v>
      </c>
      <c r="AG661" s="6">
        <f>$O$661*$AA$661</f>
        <v>0</v>
      </c>
    </row>
    <row r="662" spans="1:33" ht="11.25" customHeight="1" x14ac:dyDescent="0.25">
      <c r="A662" s="4" t="s">
        <v>28</v>
      </c>
      <c r="B662" s="4" t="s">
        <v>35</v>
      </c>
      <c r="C662" s="4" t="s">
        <v>39</v>
      </c>
      <c r="D662" s="4" t="s">
        <v>42</v>
      </c>
      <c r="E662" s="4" t="s">
        <v>25</v>
      </c>
      <c r="F662" s="4" t="s">
        <v>25</v>
      </c>
      <c r="G662" s="4" t="s">
        <v>25</v>
      </c>
      <c r="H662" s="4" t="s">
        <v>25</v>
      </c>
      <c r="I662" s="5">
        <v>44470</v>
      </c>
      <c r="J662" s="6">
        <v>1138</v>
      </c>
      <c r="K662" s="75">
        <v>1138</v>
      </c>
      <c r="L662" s="6">
        <v>0</v>
      </c>
      <c r="M662" s="75">
        <v>0</v>
      </c>
      <c r="N662" s="6">
        <v>0</v>
      </c>
      <c r="O662" s="75">
        <v>0</v>
      </c>
      <c r="P662" s="6">
        <v>10</v>
      </c>
      <c r="Q662" s="4" t="s">
        <v>26</v>
      </c>
      <c r="R662" s="4">
        <v>0</v>
      </c>
      <c r="S662" s="6">
        <v>18</v>
      </c>
      <c r="T662" s="6">
        <v>0</v>
      </c>
      <c r="U662" s="6">
        <v>0</v>
      </c>
      <c r="V662" s="75">
        <f>IF(ISERROR(VLOOKUP($S$662,'TAR FIN'!$A$1:$O$93,15,0)),0,VLOOKUP($S$662,'TAR FIN'!$A$1:$O$93,15,0))*(1-0.04)</f>
        <v>25.123200000000001</v>
      </c>
      <c r="W662" s="75">
        <f>IF(ISERROR(VLOOKUP($T$662,'TAR FIN'!$A$1:$O$93,15,0)),0,VLOOKUP($T$662,'TAR FIN'!$A$1:$O$93,15,0))</f>
        <v>0</v>
      </c>
      <c r="X662" s="75">
        <f>IF(ISERROR(VLOOKUP($U$662,'TAR FIN'!$A$1:$O$93,15,0)),0,VLOOKUP($U$662,'TAR FIN'!$A$1:$O$93,15,0))</f>
        <v>0</v>
      </c>
      <c r="Y662" s="75">
        <f ca="1">('TUSD BE'!$AM$14+'TUSD BF'!$AM$14+'TUSD CVA'!$AM$14)*1*(1-0.02)</f>
        <v>29.844412718026739</v>
      </c>
      <c r="Z662" s="75"/>
      <c r="AA662" s="75"/>
      <c r="AB662" s="6">
        <f>$K$662*$V$662</f>
        <v>28590.2016</v>
      </c>
      <c r="AC662" s="6">
        <f>$M$662*$W$662</f>
        <v>0</v>
      </c>
      <c r="AD662" s="6">
        <f>$O$662*$X$662</f>
        <v>0</v>
      </c>
      <c r="AE662" s="6">
        <f ca="1">$K$662*$Y$662</f>
        <v>33962.94167311443</v>
      </c>
      <c r="AF662" s="6">
        <f>$M$662*$Z$662</f>
        <v>0</v>
      </c>
      <c r="AG662" s="6">
        <f>$O$662*$AA$662</f>
        <v>0</v>
      </c>
    </row>
    <row r="663" spans="1:33" ht="11.25" customHeight="1" x14ac:dyDescent="0.25">
      <c r="A663" s="4" t="s">
        <v>21</v>
      </c>
      <c r="B663" s="4" t="s">
        <v>35</v>
      </c>
      <c r="C663" s="4" t="s">
        <v>39</v>
      </c>
      <c r="D663" s="4" t="s">
        <v>42</v>
      </c>
      <c r="E663" s="4" t="s">
        <v>25</v>
      </c>
      <c r="F663" s="4" t="s">
        <v>25</v>
      </c>
      <c r="G663" s="4" t="s">
        <v>25</v>
      </c>
      <c r="H663" s="4" t="s">
        <v>25</v>
      </c>
      <c r="I663" s="5">
        <v>44501</v>
      </c>
      <c r="J663" s="6">
        <v>8501</v>
      </c>
      <c r="K663" s="75">
        <v>8501</v>
      </c>
      <c r="L663" s="6">
        <v>0</v>
      </c>
      <c r="M663" s="75">
        <v>0</v>
      </c>
      <c r="N663" s="6">
        <v>0</v>
      </c>
      <c r="O663" s="75">
        <v>0</v>
      </c>
      <c r="P663" s="6">
        <v>107</v>
      </c>
      <c r="Q663" s="4" t="s">
        <v>26</v>
      </c>
      <c r="R663" s="4">
        <v>0</v>
      </c>
      <c r="S663" s="6">
        <v>18</v>
      </c>
      <c r="T663" s="6">
        <v>0</v>
      </c>
      <c r="U663" s="6">
        <v>0</v>
      </c>
      <c r="V663" s="75">
        <f>IF(ISERROR(VLOOKUP($S$663,'TAR FIN'!$A$1:$O$93,15,0)),0,VLOOKUP($S$663,'TAR FIN'!$A$1:$O$93,15,0))*(1-0.04)</f>
        <v>25.123200000000001</v>
      </c>
      <c r="W663" s="75">
        <f>IF(ISERROR(VLOOKUP($T$663,'TAR FIN'!$A$1:$O$93,15,0)),0,VLOOKUP($T$663,'TAR FIN'!$A$1:$O$93,15,0))</f>
        <v>0</v>
      </c>
      <c r="X663" s="75">
        <f>IF(ISERROR(VLOOKUP($U$663,'TAR FIN'!$A$1:$O$93,15,0)),0,VLOOKUP($U$663,'TAR FIN'!$A$1:$O$93,15,0))</f>
        <v>0</v>
      </c>
      <c r="Y663" s="75">
        <f ca="1">('TUSD BE'!$AM$14+'TUSD BF'!$AM$14+'TUSD CVA'!$AM$14)*1*(1-0.02)</f>
        <v>29.844412718026739</v>
      </c>
      <c r="Z663" s="75"/>
      <c r="AA663" s="75"/>
      <c r="AB663" s="6">
        <f>$K$663*$V$663</f>
        <v>213572.32320000001</v>
      </c>
      <c r="AC663" s="6">
        <f>$M$663*$W$663</f>
        <v>0</v>
      </c>
      <c r="AD663" s="6">
        <f>$O$663*$X$663</f>
        <v>0</v>
      </c>
      <c r="AE663" s="6">
        <f ca="1">$K$663*$Y$663</f>
        <v>253707.3525159453</v>
      </c>
      <c r="AF663" s="6">
        <f>$M$663*$Z$663</f>
        <v>0</v>
      </c>
      <c r="AG663" s="6">
        <f>$O$663*$AA$663</f>
        <v>0</v>
      </c>
    </row>
    <row r="664" spans="1:33" ht="11.25" customHeight="1" x14ac:dyDescent="0.25">
      <c r="A664" s="4" t="s">
        <v>28</v>
      </c>
      <c r="B664" s="4" t="s">
        <v>35</v>
      </c>
      <c r="C664" s="4" t="s">
        <v>39</v>
      </c>
      <c r="D664" s="4" t="s">
        <v>42</v>
      </c>
      <c r="E664" s="4" t="s">
        <v>25</v>
      </c>
      <c r="F664" s="4" t="s">
        <v>25</v>
      </c>
      <c r="G664" s="4" t="s">
        <v>25</v>
      </c>
      <c r="H664" s="4" t="s">
        <v>25</v>
      </c>
      <c r="I664" s="5">
        <v>44501</v>
      </c>
      <c r="J664" s="6">
        <v>1298</v>
      </c>
      <c r="K664" s="75">
        <v>1298</v>
      </c>
      <c r="L664" s="6">
        <v>0</v>
      </c>
      <c r="M664" s="75">
        <v>0</v>
      </c>
      <c r="N664" s="6">
        <v>0</v>
      </c>
      <c r="O664" s="75">
        <v>0</v>
      </c>
      <c r="P664" s="6">
        <v>10</v>
      </c>
      <c r="Q664" s="4" t="s">
        <v>26</v>
      </c>
      <c r="R664" s="4">
        <v>0</v>
      </c>
      <c r="S664" s="6">
        <v>18</v>
      </c>
      <c r="T664" s="6">
        <v>0</v>
      </c>
      <c r="U664" s="6">
        <v>0</v>
      </c>
      <c r="V664" s="75">
        <f>IF(ISERROR(VLOOKUP($S$664,'TAR FIN'!$A$1:$O$93,15,0)),0,VLOOKUP($S$664,'TAR FIN'!$A$1:$O$93,15,0))*(1-0.04)</f>
        <v>25.123200000000001</v>
      </c>
      <c r="W664" s="75">
        <f>IF(ISERROR(VLOOKUP($T$664,'TAR FIN'!$A$1:$O$93,15,0)),0,VLOOKUP($T$664,'TAR FIN'!$A$1:$O$93,15,0))</f>
        <v>0</v>
      </c>
      <c r="X664" s="75">
        <f>IF(ISERROR(VLOOKUP($U$664,'TAR FIN'!$A$1:$O$93,15,0)),0,VLOOKUP($U$664,'TAR FIN'!$A$1:$O$93,15,0))</f>
        <v>0</v>
      </c>
      <c r="Y664" s="75">
        <f ca="1">('TUSD BE'!$AM$14+'TUSD BF'!$AM$14+'TUSD CVA'!$AM$14)*1*(1-0.02)</f>
        <v>29.844412718026739</v>
      </c>
      <c r="Z664" s="75"/>
      <c r="AA664" s="75"/>
      <c r="AB664" s="6">
        <f>$K$664*$V$664</f>
        <v>32609.9136</v>
      </c>
      <c r="AC664" s="6">
        <f>$M$664*$W$664</f>
        <v>0</v>
      </c>
      <c r="AD664" s="6">
        <f>$O$664*$X$664</f>
        <v>0</v>
      </c>
      <c r="AE664" s="6">
        <f ca="1">$K$664*$Y$664</f>
        <v>38738.04770799871</v>
      </c>
      <c r="AF664" s="6">
        <f>$M$664*$Z$664</f>
        <v>0</v>
      </c>
      <c r="AG664" s="6">
        <f>$O$664*$AA$664</f>
        <v>0</v>
      </c>
    </row>
    <row r="665" spans="1:33" ht="11.25" customHeight="1" x14ac:dyDescent="0.25">
      <c r="A665" s="4" t="s">
        <v>21</v>
      </c>
      <c r="B665" s="4" t="s">
        <v>35</v>
      </c>
      <c r="C665" s="4" t="s">
        <v>39</v>
      </c>
      <c r="D665" s="4" t="s">
        <v>42</v>
      </c>
      <c r="E665" s="4" t="s">
        <v>25</v>
      </c>
      <c r="F665" s="4" t="s">
        <v>25</v>
      </c>
      <c r="G665" s="4" t="s">
        <v>25</v>
      </c>
      <c r="H665" s="4" t="s">
        <v>25</v>
      </c>
      <c r="I665" s="5">
        <v>44531</v>
      </c>
      <c r="J665" s="6">
        <v>10613</v>
      </c>
      <c r="K665" s="75">
        <v>10613</v>
      </c>
      <c r="L665" s="6">
        <v>0</v>
      </c>
      <c r="M665" s="75">
        <v>0</v>
      </c>
      <c r="N665" s="6">
        <v>0</v>
      </c>
      <c r="O665" s="75">
        <v>0</v>
      </c>
      <c r="P665" s="6">
        <v>107</v>
      </c>
      <c r="Q665" s="4" t="s">
        <v>26</v>
      </c>
      <c r="R665" s="4">
        <v>0</v>
      </c>
      <c r="S665" s="6">
        <v>18</v>
      </c>
      <c r="T665" s="6">
        <v>0</v>
      </c>
      <c r="U665" s="6">
        <v>0</v>
      </c>
      <c r="V665" s="75">
        <f>IF(ISERROR(VLOOKUP($S$665,'TAR FIN'!$A$1:$O$93,15,0)),0,VLOOKUP($S$665,'TAR FIN'!$A$1:$O$93,15,0))*(1-0.04)</f>
        <v>25.123200000000001</v>
      </c>
      <c r="W665" s="75">
        <f>IF(ISERROR(VLOOKUP($T$665,'TAR FIN'!$A$1:$O$93,15,0)),0,VLOOKUP($T$665,'TAR FIN'!$A$1:$O$93,15,0))</f>
        <v>0</v>
      </c>
      <c r="X665" s="75">
        <f>IF(ISERROR(VLOOKUP($U$665,'TAR FIN'!$A$1:$O$93,15,0)),0,VLOOKUP($U$665,'TAR FIN'!$A$1:$O$93,15,0))</f>
        <v>0</v>
      </c>
      <c r="Y665" s="75">
        <f ca="1">('TUSD BE'!$AM$14+'TUSD BF'!$AM$14+'TUSD CVA'!$AM$14)*1*(1-0.02)</f>
        <v>29.844412718026739</v>
      </c>
      <c r="Z665" s="75"/>
      <c r="AA665" s="75"/>
      <c r="AB665" s="6">
        <f>$K$665*$V$665</f>
        <v>266632.52159999998</v>
      </c>
      <c r="AC665" s="6">
        <f>$M$665*$W$665</f>
        <v>0</v>
      </c>
      <c r="AD665" s="6">
        <f>$O$665*$X$665</f>
        <v>0</v>
      </c>
      <c r="AE665" s="6">
        <f ca="1">$K$665*$Y$665</f>
        <v>316738.75217641779</v>
      </c>
      <c r="AF665" s="6">
        <f>$M$665*$Z$665</f>
        <v>0</v>
      </c>
      <c r="AG665" s="6">
        <f>$O$665*$AA$665</f>
        <v>0</v>
      </c>
    </row>
    <row r="666" spans="1:33" ht="11.25" customHeight="1" x14ac:dyDescent="0.25">
      <c r="A666" s="4" t="s">
        <v>21</v>
      </c>
      <c r="B666" s="4" t="s">
        <v>35</v>
      </c>
      <c r="C666" s="4" t="s">
        <v>39</v>
      </c>
      <c r="D666" s="4" t="s">
        <v>42</v>
      </c>
      <c r="E666" s="4" t="s">
        <v>25</v>
      </c>
      <c r="F666" s="4" t="s">
        <v>25</v>
      </c>
      <c r="G666" s="4" t="s">
        <v>25</v>
      </c>
      <c r="H666" s="4" t="s">
        <v>25</v>
      </c>
      <c r="I666" s="5">
        <v>44562</v>
      </c>
      <c r="J666" s="6">
        <v>8788</v>
      </c>
      <c r="K666" s="75">
        <v>8788</v>
      </c>
      <c r="L666" s="6">
        <v>0</v>
      </c>
      <c r="M666" s="75">
        <v>0</v>
      </c>
      <c r="N666" s="6">
        <v>0</v>
      </c>
      <c r="O666" s="75">
        <v>0</v>
      </c>
      <c r="P666" s="6">
        <v>108</v>
      </c>
      <c r="Q666" s="4" t="s">
        <v>26</v>
      </c>
      <c r="R666" s="4">
        <v>0</v>
      </c>
      <c r="S666" s="6">
        <v>18</v>
      </c>
      <c r="T666" s="6">
        <v>0</v>
      </c>
      <c r="U666" s="6">
        <v>0</v>
      </c>
      <c r="V666" s="75">
        <f>IF(ISERROR(VLOOKUP($S$666,'TAR FIN'!$A$1:$O$93,15,0)),0,VLOOKUP($S$666,'TAR FIN'!$A$1:$O$93,15,0))*(1-0.04)</f>
        <v>25.123200000000001</v>
      </c>
      <c r="W666" s="75">
        <f>IF(ISERROR(VLOOKUP($T$666,'TAR FIN'!$A$1:$O$93,15,0)),0,VLOOKUP($T$666,'TAR FIN'!$A$1:$O$93,15,0))</f>
        <v>0</v>
      </c>
      <c r="X666" s="75">
        <f>IF(ISERROR(VLOOKUP($U$666,'TAR FIN'!$A$1:$O$93,15,0)),0,VLOOKUP($U$666,'TAR FIN'!$A$1:$O$93,15,0))</f>
        <v>0</v>
      </c>
      <c r="Y666" s="75">
        <f ca="1">('TUSD BE'!$AM$14+'TUSD BF'!$AM$14+'TUSD CVA'!$AM$14)*1*(1-0.02)</f>
        <v>29.844412718026739</v>
      </c>
      <c r="Z666" s="75"/>
      <c r="AA666" s="75"/>
      <c r="AB666" s="6">
        <f>$K$666*$V$666</f>
        <v>220782.68160000001</v>
      </c>
      <c r="AC666" s="6">
        <f>$M$666*$W$666</f>
        <v>0</v>
      </c>
      <c r="AD666" s="6">
        <f>$O$666*$X$666</f>
        <v>0</v>
      </c>
      <c r="AE666" s="6">
        <f ca="1">$K$666*$Y$666</f>
        <v>262272.69896601897</v>
      </c>
      <c r="AF666" s="6">
        <f>$M$666*$Z$666</f>
        <v>0</v>
      </c>
      <c r="AG666" s="6">
        <f>$O$666*$AA$666</f>
        <v>0</v>
      </c>
    </row>
    <row r="667" spans="1:33" ht="11.25" customHeight="1" x14ac:dyDescent="0.25">
      <c r="A667" s="4" t="s">
        <v>27</v>
      </c>
      <c r="B667" s="4" t="s">
        <v>35</v>
      </c>
      <c r="C667" s="4" t="s">
        <v>39</v>
      </c>
      <c r="D667" s="4" t="s">
        <v>42</v>
      </c>
      <c r="E667" s="4" t="s">
        <v>25</v>
      </c>
      <c r="F667" s="4" t="s">
        <v>25</v>
      </c>
      <c r="G667" s="4" t="s">
        <v>25</v>
      </c>
      <c r="H667" s="4" t="s">
        <v>25</v>
      </c>
      <c r="I667" s="5">
        <v>44562</v>
      </c>
      <c r="J667" s="6">
        <v>-291</v>
      </c>
      <c r="K667" s="75">
        <v>-291</v>
      </c>
      <c r="L667" s="6">
        <v>0</v>
      </c>
      <c r="M667" s="75">
        <v>0</v>
      </c>
      <c r="N667" s="6">
        <v>0</v>
      </c>
      <c r="O667" s="75">
        <v>0</v>
      </c>
      <c r="P667" s="6">
        <v>-1</v>
      </c>
      <c r="Q667" s="4" t="s">
        <v>26</v>
      </c>
      <c r="R667" s="4">
        <v>0</v>
      </c>
      <c r="S667" s="6">
        <v>18</v>
      </c>
      <c r="T667" s="6">
        <v>0</v>
      </c>
      <c r="U667" s="6">
        <v>0</v>
      </c>
      <c r="V667" s="75">
        <f>IF(ISERROR(VLOOKUP($S$667,'TAR FIN'!$A$1:$O$93,15,0)),0,VLOOKUP($S$667,'TAR FIN'!$A$1:$O$93,15,0))*(1-0.04)</f>
        <v>25.123200000000001</v>
      </c>
      <c r="W667" s="75">
        <f>IF(ISERROR(VLOOKUP($T$667,'TAR FIN'!$A$1:$O$93,15,0)),0,VLOOKUP($T$667,'TAR FIN'!$A$1:$O$93,15,0))</f>
        <v>0</v>
      </c>
      <c r="X667" s="75">
        <f>IF(ISERROR(VLOOKUP($U$667,'TAR FIN'!$A$1:$O$93,15,0)),0,VLOOKUP($U$667,'TAR FIN'!$A$1:$O$93,15,0))</f>
        <v>0</v>
      </c>
      <c r="Y667" s="75">
        <f ca="1">('TUSD BE'!$AM$14+'TUSD BF'!$AM$14+'TUSD CVA'!$AM$14)*1*(1-0.02)</f>
        <v>29.844412718026739</v>
      </c>
      <c r="Z667" s="75"/>
      <c r="AA667" s="75"/>
      <c r="AB667" s="6">
        <f>$K$667*$V$667</f>
        <v>-7310.8512000000001</v>
      </c>
      <c r="AC667" s="6">
        <f>$M$667*$W$667</f>
        <v>0</v>
      </c>
      <c r="AD667" s="6">
        <f>$O$667*$X$667</f>
        <v>0</v>
      </c>
      <c r="AE667" s="6">
        <f ca="1">$K$667*$Y$667</f>
        <v>-8684.7241009457812</v>
      </c>
      <c r="AF667" s="6">
        <f>$M$667*$Z$667</f>
        <v>0</v>
      </c>
      <c r="AG667" s="6">
        <f>$O$667*$AA$667</f>
        <v>0</v>
      </c>
    </row>
    <row r="668" spans="1:33" ht="11.25" customHeight="1" x14ac:dyDescent="0.25">
      <c r="A668" s="4" t="s">
        <v>28</v>
      </c>
      <c r="B668" s="4" t="s">
        <v>35</v>
      </c>
      <c r="C668" s="4" t="s">
        <v>39</v>
      </c>
      <c r="D668" s="4" t="s">
        <v>42</v>
      </c>
      <c r="E668" s="4" t="s">
        <v>25</v>
      </c>
      <c r="F668" s="4" t="s">
        <v>25</v>
      </c>
      <c r="G668" s="4" t="s">
        <v>25</v>
      </c>
      <c r="H668" s="4" t="s">
        <v>25</v>
      </c>
      <c r="I668" s="5">
        <v>44562</v>
      </c>
      <c r="J668" s="6">
        <v>1117</v>
      </c>
      <c r="K668" s="75">
        <v>1117</v>
      </c>
      <c r="L668" s="6">
        <v>0</v>
      </c>
      <c r="M668" s="75">
        <v>0</v>
      </c>
      <c r="N668" s="6">
        <v>0</v>
      </c>
      <c r="O668" s="75">
        <v>0</v>
      </c>
      <c r="P668" s="6">
        <v>10</v>
      </c>
      <c r="Q668" s="4" t="s">
        <v>26</v>
      </c>
      <c r="R668" s="4">
        <v>0</v>
      </c>
      <c r="S668" s="6">
        <v>18</v>
      </c>
      <c r="T668" s="6">
        <v>0</v>
      </c>
      <c r="U668" s="6">
        <v>0</v>
      </c>
      <c r="V668" s="75">
        <f>IF(ISERROR(VLOOKUP($S$668,'TAR FIN'!$A$1:$O$93,15,0)),0,VLOOKUP($S$668,'TAR FIN'!$A$1:$O$93,15,0))*(1-0.04)</f>
        <v>25.123200000000001</v>
      </c>
      <c r="W668" s="75">
        <f>IF(ISERROR(VLOOKUP($T$668,'TAR FIN'!$A$1:$O$93,15,0)),0,VLOOKUP($T$668,'TAR FIN'!$A$1:$O$93,15,0))</f>
        <v>0</v>
      </c>
      <c r="X668" s="75">
        <f>IF(ISERROR(VLOOKUP($U$668,'TAR FIN'!$A$1:$O$93,15,0)),0,VLOOKUP($U$668,'TAR FIN'!$A$1:$O$93,15,0))</f>
        <v>0</v>
      </c>
      <c r="Y668" s="75">
        <f ca="1">('TUSD BE'!$AM$14+'TUSD BF'!$AM$14+'TUSD CVA'!$AM$14)*1*(1-0.02)</f>
        <v>29.844412718026739</v>
      </c>
      <c r="Z668" s="75"/>
      <c r="AA668" s="75"/>
      <c r="AB668" s="6">
        <f>$K$668*$V$668</f>
        <v>28062.614400000002</v>
      </c>
      <c r="AC668" s="6">
        <f>$M$668*$W$668</f>
        <v>0</v>
      </c>
      <c r="AD668" s="6">
        <f>$O$668*$X$668</f>
        <v>0</v>
      </c>
      <c r="AE668" s="6">
        <f ca="1">$K$668*$Y$668</f>
        <v>33336.209006035868</v>
      </c>
      <c r="AF668" s="6">
        <f>$M$668*$Z$668</f>
        <v>0</v>
      </c>
      <c r="AG668" s="6">
        <f>$O$668*$AA$668</f>
        <v>0</v>
      </c>
    </row>
    <row r="669" spans="1:33" ht="11.25" customHeight="1" x14ac:dyDescent="0.25">
      <c r="A669" s="4" t="s">
        <v>21</v>
      </c>
      <c r="B669" s="4" t="s">
        <v>35</v>
      </c>
      <c r="C669" s="4" t="s">
        <v>39</v>
      </c>
      <c r="D669" s="4" t="s">
        <v>42</v>
      </c>
      <c r="E669" s="4" t="s">
        <v>25</v>
      </c>
      <c r="F669" s="4" t="s">
        <v>25</v>
      </c>
      <c r="G669" s="4" t="s">
        <v>25</v>
      </c>
      <c r="H669" s="4" t="s">
        <v>25</v>
      </c>
      <c r="I669" s="5">
        <v>44593</v>
      </c>
      <c r="J669" s="6">
        <v>10922</v>
      </c>
      <c r="K669" s="75">
        <v>10922</v>
      </c>
      <c r="L669" s="6">
        <v>0</v>
      </c>
      <c r="M669" s="75">
        <v>0</v>
      </c>
      <c r="N669" s="6">
        <v>0</v>
      </c>
      <c r="O669" s="75">
        <v>0</v>
      </c>
      <c r="P669" s="6">
        <v>108</v>
      </c>
      <c r="Q669" s="4" t="s">
        <v>26</v>
      </c>
      <c r="R669" s="4">
        <v>0</v>
      </c>
      <c r="S669" s="6">
        <v>18</v>
      </c>
      <c r="T669" s="6">
        <v>0</v>
      </c>
      <c r="U669" s="6">
        <v>0</v>
      </c>
      <c r="V669" s="75">
        <f>IF(ISERROR(VLOOKUP($S$669,'TAR FIN'!$A$1:$O$93,15,0)),0,VLOOKUP($S$669,'TAR FIN'!$A$1:$O$93,15,0))*(1-0.04)</f>
        <v>25.123200000000001</v>
      </c>
      <c r="W669" s="75">
        <f>IF(ISERROR(VLOOKUP($T$669,'TAR FIN'!$A$1:$O$93,15,0)),0,VLOOKUP($T$669,'TAR FIN'!$A$1:$O$93,15,0))</f>
        <v>0</v>
      </c>
      <c r="X669" s="75">
        <f>IF(ISERROR(VLOOKUP($U$669,'TAR FIN'!$A$1:$O$93,15,0)),0,VLOOKUP($U$669,'TAR FIN'!$A$1:$O$93,15,0))</f>
        <v>0</v>
      </c>
      <c r="Y669" s="75">
        <f ca="1">('TUSD BE'!$AM$14+'TUSD BF'!$AM$14+'TUSD CVA'!$AM$14)*1*(1-0.02)</f>
        <v>29.844412718026739</v>
      </c>
      <c r="Z669" s="75"/>
      <c r="AA669" s="75"/>
      <c r="AB669" s="6">
        <f>$K$669*$V$669</f>
        <v>274395.59039999999</v>
      </c>
      <c r="AC669" s="6">
        <f>$M$669*$W$669</f>
        <v>0</v>
      </c>
      <c r="AD669" s="6">
        <f>$O$669*$X$669</f>
        <v>0</v>
      </c>
      <c r="AE669" s="6">
        <f ca="1">$K$669*$Y$669</f>
        <v>325960.67570628802</v>
      </c>
      <c r="AF669" s="6">
        <f>$M$669*$Z$669</f>
        <v>0</v>
      </c>
      <c r="AG669" s="6">
        <f>$O$669*$AA$669</f>
        <v>0</v>
      </c>
    </row>
    <row r="670" spans="1:33" ht="11.25" customHeight="1" x14ac:dyDescent="0.25">
      <c r="A670" s="4" t="s">
        <v>27</v>
      </c>
      <c r="B670" s="4" t="s">
        <v>35</v>
      </c>
      <c r="C670" s="4" t="s">
        <v>39</v>
      </c>
      <c r="D670" s="4" t="s">
        <v>42</v>
      </c>
      <c r="E670" s="4" t="s">
        <v>25</v>
      </c>
      <c r="F670" s="4" t="s">
        <v>25</v>
      </c>
      <c r="G670" s="4" t="s">
        <v>25</v>
      </c>
      <c r="H670" s="4" t="s">
        <v>25</v>
      </c>
      <c r="I670" s="5">
        <v>44593</v>
      </c>
      <c r="J670" s="6">
        <v>-340</v>
      </c>
      <c r="K670" s="75">
        <v>-340</v>
      </c>
      <c r="L670" s="6">
        <v>0</v>
      </c>
      <c r="M670" s="75">
        <v>0</v>
      </c>
      <c r="N670" s="6">
        <v>0</v>
      </c>
      <c r="O670" s="75">
        <v>0</v>
      </c>
      <c r="P670" s="6">
        <v>-1</v>
      </c>
      <c r="Q670" s="4" t="s">
        <v>26</v>
      </c>
      <c r="R670" s="4">
        <v>0</v>
      </c>
      <c r="S670" s="6">
        <v>18</v>
      </c>
      <c r="T670" s="6">
        <v>0</v>
      </c>
      <c r="U670" s="6">
        <v>0</v>
      </c>
      <c r="V670" s="75">
        <f>IF(ISERROR(VLOOKUP($S$670,'TAR FIN'!$A$1:$O$93,15,0)),0,VLOOKUP($S$670,'TAR FIN'!$A$1:$O$93,15,0))*(1-0.04)</f>
        <v>25.123200000000001</v>
      </c>
      <c r="W670" s="75">
        <f>IF(ISERROR(VLOOKUP($T$670,'TAR FIN'!$A$1:$O$93,15,0)),0,VLOOKUP($T$670,'TAR FIN'!$A$1:$O$93,15,0))</f>
        <v>0</v>
      </c>
      <c r="X670" s="75">
        <f>IF(ISERROR(VLOOKUP($U$670,'TAR FIN'!$A$1:$O$93,15,0)),0,VLOOKUP($U$670,'TAR FIN'!$A$1:$O$93,15,0))</f>
        <v>0</v>
      </c>
      <c r="Y670" s="75">
        <f ca="1">('TUSD BE'!$AM$14+'TUSD BF'!$AM$14+'TUSD CVA'!$AM$14)*1*(1-0.02)</f>
        <v>29.844412718026739</v>
      </c>
      <c r="Z670" s="75"/>
      <c r="AA670" s="75"/>
      <c r="AB670" s="6">
        <f>$K$670*$V$670</f>
        <v>-8541.8880000000008</v>
      </c>
      <c r="AC670" s="6">
        <f>$M$670*$W$670</f>
        <v>0</v>
      </c>
      <c r="AD670" s="6">
        <f>$O$670*$X$670</f>
        <v>0</v>
      </c>
      <c r="AE670" s="6">
        <f ca="1">$K$670*$Y$670</f>
        <v>-10147.100324129091</v>
      </c>
      <c r="AF670" s="6">
        <f>$M$670*$Z$670</f>
        <v>0</v>
      </c>
      <c r="AG670" s="6">
        <f>$O$670*$AA$670</f>
        <v>0</v>
      </c>
    </row>
    <row r="671" spans="1:33" ht="11.25" customHeight="1" x14ac:dyDescent="0.25">
      <c r="A671" s="4" t="s">
        <v>28</v>
      </c>
      <c r="B671" s="4" t="s">
        <v>35</v>
      </c>
      <c r="C671" s="4" t="s">
        <v>39</v>
      </c>
      <c r="D671" s="4" t="s">
        <v>42</v>
      </c>
      <c r="E671" s="4" t="s">
        <v>25</v>
      </c>
      <c r="F671" s="4" t="s">
        <v>25</v>
      </c>
      <c r="G671" s="4" t="s">
        <v>25</v>
      </c>
      <c r="H671" s="4" t="s">
        <v>25</v>
      </c>
      <c r="I671" s="5">
        <v>44593</v>
      </c>
      <c r="J671" s="6">
        <v>1569</v>
      </c>
      <c r="K671" s="75">
        <v>1569</v>
      </c>
      <c r="L671" s="6">
        <v>0</v>
      </c>
      <c r="M671" s="75">
        <v>0</v>
      </c>
      <c r="N671" s="6">
        <v>0</v>
      </c>
      <c r="O671" s="75">
        <v>0</v>
      </c>
      <c r="P671" s="6">
        <v>11</v>
      </c>
      <c r="Q671" s="4" t="s">
        <v>26</v>
      </c>
      <c r="R671" s="4">
        <v>0</v>
      </c>
      <c r="S671" s="6">
        <v>18</v>
      </c>
      <c r="T671" s="6">
        <v>0</v>
      </c>
      <c r="U671" s="6">
        <v>0</v>
      </c>
      <c r="V671" s="75">
        <f>IF(ISERROR(VLOOKUP($S$671,'TAR FIN'!$A$1:$O$93,15,0)),0,VLOOKUP($S$671,'TAR FIN'!$A$1:$O$93,15,0))*(1-0.04)</f>
        <v>25.123200000000001</v>
      </c>
      <c r="W671" s="75">
        <f>IF(ISERROR(VLOOKUP($T$671,'TAR FIN'!$A$1:$O$93,15,0)),0,VLOOKUP($T$671,'TAR FIN'!$A$1:$O$93,15,0))</f>
        <v>0</v>
      </c>
      <c r="X671" s="75">
        <f>IF(ISERROR(VLOOKUP($U$671,'TAR FIN'!$A$1:$O$93,15,0)),0,VLOOKUP($U$671,'TAR FIN'!$A$1:$O$93,15,0))</f>
        <v>0</v>
      </c>
      <c r="Y671" s="75">
        <f ca="1">('TUSD BE'!$AM$14+'TUSD BF'!$AM$14+'TUSD CVA'!$AM$14)*1*(1-0.02)</f>
        <v>29.844412718026739</v>
      </c>
      <c r="Z671" s="75"/>
      <c r="AA671" s="75"/>
      <c r="AB671" s="6">
        <f>$K$671*$V$671</f>
        <v>39418.300800000005</v>
      </c>
      <c r="AC671" s="6">
        <f>$M$671*$W$671</f>
        <v>0</v>
      </c>
      <c r="AD671" s="6">
        <f>$O$671*$X$671</f>
        <v>0</v>
      </c>
      <c r="AE671" s="6">
        <f ca="1">$K$671*$Y$671</f>
        <v>46825.883554583954</v>
      </c>
      <c r="AF671" s="6">
        <f>$M$671*$Z$671</f>
        <v>0</v>
      </c>
      <c r="AG671" s="6">
        <f>$O$671*$AA$671</f>
        <v>0</v>
      </c>
    </row>
    <row r="672" spans="1:33" ht="11.25" customHeight="1" x14ac:dyDescent="0.25">
      <c r="A672" s="4" t="s">
        <v>21</v>
      </c>
      <c r="B672" s="4" t="s">
        <v>35</v>
      </c>
      <c r="C672" s="4" t="s">
        <v>39</v>
      </c>
      <c r="D672" s="4" t="s">
        <v>42</v>
      </c>
      <c r="E672" s="4" t="s">
        <v>25</v>
      </c>
      <c r="F672" s="4" t="s">
        <v>25</v>
      </c>
      <c r="G672" s="4" t="s">
        <v>25</v>
      </c>
      <c r="H672" s="4" t="s">
        <v>25</v>
      </c>
      <c r="I672" s="5">
        <v>44621</v>
      </c>
      <c r="J672" s="6">
        <v>10321</v>
      </c>
      <c r="K672" s="75">
        <v>10321</v>
      </c>
      <c r="L672" s="6">
        <v>0</v>
      </c>
      <c r="M672" s="75">
        <v>0</v>
      </c>
      <c r="N672" s="6">
        <v>0</v>
      </c>
      <c r="O672" s="75">
        <v>0</v>
      </c>
      <c r="P672" s="6">
        <v>111</v>
      </c>
      <c r="Q672" s="4" t="s">
        <v>26</v>
      </c>
      <c r="R672" s="4">
        <v>0</v>
      </c>
      <c r="S672" s="6">
        <v>18</v>
      </c>
      <c r="T672" s="6">
        <v>0</v>
      </c>
      <c r="U672" s="6">
        <v>0</v>
      </c>
      <c r="V672" s="75">
        <f>IF(ISERROR(VLOOKUP($S$672,'TAR FIN'!$A$1:$O$93,15,0)),0,VLOOKUP($S$672,'TAR FIN'!$A$1:$O$93,15,0))*(1-0.04)</f>
        <v>25.123200000000001</v>
      </c>
      <c r="W672" s="75">
        <f>IF(ISERROR(VLOOKUP($T$672,'TAR FIN'!$A$1:$O$93,15,0)),0,VLOOKUP($T$672,'TAR FIN'!$A$1:$O$93,15,0))</f>
        <v>0</v>
      </c>
      <c r="X672" s="75">
        <f>IF(ISERROR(VLOOKUP($U$672,'TAR FIN'!$A$1:$O$93,15,0)),0,VLOOKUP($U$672,'TAR FIN'!$A$1:$O$93,15,0))</f>
        <v>0</v>
      </c>
      <c r="Y672" s="75">
        <f ca="1">('TUSD BE'!$AM$14+'TUSD BF'!$AM$14+'TUSD CVA'!$AM$14)*1*(1-0.02)</f>
        <v>29.844412718026739</v>
      </c>
      <c r="Z672" s="75"/>
      <c r="AA672" s="75"/>
      <c r="AB672" s="6">
        <f>$K$672*$V$672</f>
        <v>259296.5472</v>
      </c>
      <c r="AC672" s="6">
        <f>$M$672*$W$672</f>
        <v>0</v>
      </c>
      <c r="AD672" s="6">
        <f>$O$672*$X$672</f>
        <v>0</v>
      </c>
      <c r="AE672" s="6">
        <f ca="1">$K$672*$Y$672</f>
        <v>308024.18366275396</v>
      </c>
      <c r="AF672" s="6">
        <f>$M$672*$Z$672</f>
        <v>0</v>
      </c>
      <c r="AG672" s="6">
        <f>$O$672*$AA$672</f>
        <v>0</v>
      </c>
    </row>
    <row r="673" spans="1:33" ht="11.25" customHeight="1" x14ac:dyDescent="0.25">
      <c r="A673" s="4" t="s">
        <v>27</v>
      </c>
      <c r="B673" s="4" t="s">
        <v>35</v>
      </c>
      <c r="C673" s="4" t="s">
        <v>39</v>
      </c>
      <c r="D673" s="4" t="s">
        <v>42</v>
      </c>
      <c r="E673" s="4" t="s">
        <v>25</v>
      </c>
      <c r="F673" s="4" t="s">
        <v>25</v>
      </c>
      <c r="G673" s="4" t="s">
        <v>25</v>
      </c>
      <c r="H673" s="4" t="s">
        <v>25</v>
      </c>
      <c r="I673" s="5">
        <v>44621</v>
      </c>
      <c r="J673" s="6">
        <v>-328</v>
      </c>
      <c r="K673" s="75">
        <v>-328</v>
      </c>
      <c r="L673" s="6">
        <v>0</v>
      </c>
      <c r="M673" s="75">
        <v>0</v>
      </c>
      <c r="N673" s="6">
        <v>0</v>
      </c>
      <c r="O673" s="75">
        <v>0</v>
      </c>
      <c r="P673" s="6">
        <v>-5</v>
      </c>
      <c r="Q673" s="4" t="s">
        <v>26</v>
      </c>
      <c r="R673" s="4">
        <v>0</v>
      </c>
      <c r="S673" s="6">
        <v>18</v>
      </c>
      <c r="T673" s="6">
        <v>0</v>
      </c>
      <c r="U673" s="6">
        <v>0</v>
      </c>
      <c r="V673" s="75">
        <f>IF(ISERROR(VLOOKUP($S$673,'TAR FIN'!$A$1:$O$93,15,0)),0,VLOOKUP($S$673,'TAR FIN'!$A$1:$O$93,15,0))*(1-0.04)</f>
        <v>25.123200000000001</v>
      </c>
      <c r="W673" s="75">
        <f>IF(ISERROR(VLOOKUP($T$673,'TAR FIN'!$A$1:$O$93,15,0)),0,VLOOKUP($T$673,'TAR FIN'!$A$1:$O$93,15,0))</f>
        <v>0</v>
      </c>
      <c r="X673" s="75">
        <f>IF(ISERROR(VLOOKUP($U$673,'TAR FIN'!$A$1:$O$93,15,0)),0,VLOOKUP($U$673,'TAR FIN'!$A$1:$O$93,15,0))</f>
        <v>0</v>
      </c>
      <c r="Y673" s="75">
        <f ca="1">('TUSD BE'!$AM$14+'TUSD BF'!$AM$14+'TUSD CVA'!$AM$14)*1*(1-0.02)</f>
        <v>29.844412718026739</v>
      </c>
      <c r="Z673" s="75"/>
      <c r="AA673" s="75"/>
      <c r="AB673" s="6">
        <f>$K$673*$V$673</f>
        <v>-8240.4096000000009</v>
      </c>
      <c r="AC673" s="6">
        <f>$M$673*$W$673</f>
        <v>0</v>
      </c>
      <c r="AD673" s="6">
        <f>$O$673*$X$673</f>
        <v>0</v>
      </c>
      <c r="AE673" s="6">
        <f ca="1">$K$673*$Y$673</f>
        <v>-9788.9673715127701</v>
      </c>
      <c r="AF673" s="6">
        <f>$M$673*$Z$673</f>
        <v>0</v>
      </c>
      <c r="AG673" s="6">
        <f>$O$673*$AA$673</f>
        <v>0</v>
      </c>
    </row>
    <row r="674" spans="1:33" ht="11.25" customHeight="1" x14ac:dyDescent="0.25">
      <c r="A674" s="4" t="s">
        <v>28</v>
      </c>
      <c r="B674" s="4" t="s">
        <v>35</v>
      </c>
      <c r="C674" s="4" t="s">
        <v>39</v>
      </c>
      <c r="D674" s="4" t="s">
        <v>42</v>
      </c>
      <c r="E674" s="4" t="s">
        <v>25</v>
      </c>
      <c r="F674" s="4" t="s">
        <v>25</v>
      </c>
      <c r="G674" s="4" t="s">
        <v>25</v>
      </c>
      <c r="H674" s="4" t="s">
        <v>25</v>
      </c>
      <c r="I674" s="5">
        <v>44621</v>
      </c>
      <c r="J674" s="6">
        <v>1903</v>
      </c>
      <c r="K674" s="75">
        <v>1903</v>
      </c>
      <c r="L674" s="6">
        <v>0</v>
      </c>
      <c r="M674" s="75">
        <v>0</v>
      </c>
      <c r="N674" s="6">
        <v>0</v>
      </c>
      <c r="O674" s="75">
        <v>0</v>
      </c>
      <c r="P674" s="6">
        <v>13</v>
      </c>
      <c r="Q674" s="4" t="s">
        <v>26</v>
      </c>
      <c r="R674" s="4">
        <v>0</v>
      </c>
      <c r="S674" s="6">
        <v>18</v>
      </c>
      <c r="T674" s="6">
        <v>0</v>
      </c>
      <c r="U674" s="6">
        <v>0</v>
      </c>
      <c r="V674" s="75">
        <f>IF(ISERROR(VLOOKUP($S$674,'TAR FIN'!$A$1:$O$93,15,0)),0,VLOOKUP($S$674,'TAR FIN'!$A$1:$O$93,15,0))*(1-0.04)</f>
        <v>25.123200000000001</v>
      </c>
      <c r="W674" s="75">
        <f>IF(ISERROR(VLOOKUP($T$674,'TAR FIN'!$A$1:$O$93,15,0)),0,VLOOKUP($T$674,'TAR FIN'!$A$1:$O$93,15,0))</f>
        <v>0</v>
      </c>
      <c r="X674" s="75">
        <f>IF(ISERROR(VLOOKUP($U$674,'TAR FIN'!$A$1:$O$93,15,0)),0,VLOOKUP($U$674,'TAR FIN'!$A$1:$O$93,15,0))</f>
        <v>0</v>
      </c>
      <c r="Y674" s="75">
        <f ca="1">('TUSD BE'!$AM$14+'TUSD BF'!$AM$14+'TUSD CVA'!$AM$14)*1*(1-0.02)</f>
        <v>29.844412718026739</v>
      </c>
      <c r="Z674" s="75"/>
      <c r="AA674" s="75"/>
      <c r="AB674" s="6">
        <f>$K$674*$V$674</f>
        <v>47809.4496</v>
      </c>
      <c r="AC674" s="6">
        <f>$M$674*$W$674</f>
        <v>0</v>
      </c>
      <c r="AD674" s="6">
        <f>$O$674*$X$674</f>
        <v>0</v>
      </c>
      <c r="AE674" s="6">
        <f ca="1">$K$674*$Y$674</f>
        <v>56793.917402404884</v>
      </c>
      <c r="AF674" s="6">
        <f>$M$674*$Z$674</f>
        <v>0</v>
      </c>
      <c r="AG674" s="6">
        <f>$O$674*$AA$674</f>
        <v>0</v>
      </c>
    </row>
    <row r="675" spans="1:33" ht="11.25" customHeight="1" x14ac:dyDescent="0.25">
      <c r="A675" s="4" t="s">
        <v>21</v>
      </c>
      <c r="B675" s="4" t="s">
        <v>35</v>
      </c>
      <c r="C675" s="4" t="s">
        <v>39</v>
      </c>
      <c r="D675" s="4" t="s">
        <v>42</v>
      </c>
      <c r="E675" s="4" t="s">
        <v>25</v>
      </c>
      <c r="F675" s="4" t="s">
        <v>25</v>
      </c>
      <c r="G675" s="4" t="s">
        <v>25</v>
      </c>
      <c r="H675" s="4" t="s">
        <v>25</v>
      </c>
      <c r="I675" s="5">
        <v>44652</v>
      </c>
      <c r="J675" s="6">
        <v>10116</v>
      </c>
      <c r="K675" s="75">
        <v>10116</v>
      </c>
      <c r="L675" s="6">
        <v>0</v>
      </c>
      <c r="M675" s="75">
        <v>0</v>
      </c>
      <c r="N675" s="6">
        <v>0</v>
      </c>
      <c r="O675" s="75">
        <v>0</v>
      </c>
      <c r="P675" s="6">
        <v>107</v>
      </c>
      <c r="Q675" s="4" t="s">
        <v>26</v>
      </c>
      <c r="R675" s="4">
        <v>0</v>
      </c>
      <c r="S675" s="6">
        <v>18</v>
      </c>
      <c r="T675" s="6">
        <v>0</v>
      </c>
      <c r="U675" s="6">
        <v>0</v>
      </c>
      <c r="V675" s="75">
        <f>IF(ISERROR(VLOOKUP($S$675,'TAR FIN'!$A$1:$O$93,15,0)),0,VLOOKUP($S$675,'TAR FIN'!$A$1:$O$93,15,0))*(1-0.04)</f>
        <v>25.123200000000001</v>
      </c>
      <c r="W675" s="75">
        <f>IF(ISERROR(VLOOKUP($T$675,'TAR FIN'!$A$1:$O$93,15,0)),0,VLOOKUP($T$675,'TAR FIN'!$A$1:$O$93,15,0))</f>
        <v>0</v>
      </c>
      <c r="X675" s="75">
        <f>IF(ISERROR(VLOOKUP($U$675,'TAR FIN'!$A$1:$O$93,15,0)),0,VLOOKUP($U$675,'TAR FIN'!$A$1:$O$93,15,0))</f>
        <v>0</v>
      </c>
      <c r="Y675" s="75">
        <f ca="1">('TUSD BE'!$AM$14+'TUSD BF'!$AM$14+'TUSD CVA'!$AM$14)*1*(1-0.02)</f>
        <v>29.844412718026739</v>
      </c>
      <c r="Z675" s="75"/>
      <c r="AA675" s="75"/>
      <c r="AB675" s="6">
        <f>$K$675*$V$675</f>
        <v>254146.29120000001</v>
      </c>
      <c r="AC675" s="6">
        <f>$M$675*$W$675</f>
        <v>0</v>
      </c>
      <c r="AD675" s="6">
        <f>$O$675*$X$675</f>
        <v>0</v>
      </c>
      <c r="AE675" s="6">
        <f ca="1">$K$675*$Y$675</f>
        <v>301906.07905555848</v>
      </c>
      <c r="AF675" s="6">
        <f>$M$675*$Z$675</f>
        <v>0</v>
      </c>
      <c r="AG675" s="6">
        <f>$O$675*$AA$675</f>
        <v>0</v>
      </c>
    </row>
    <row r="676" spans="1:33" ht="11.25" customHeight="1" x14ac:dyDescent="0.25">
      <c r="A676" s="4" t="s">
        <v>28</v>
      </c>
      <c r="B676" s="4" t="s">
        <v>35</v>
      </c>
      <c r="C676" s="4" t="s">
        <v>39</v>
      </c>
      <c r="D676" s="4" t="s">
        <v>42</v>
      </c>
      <c r="E676" s="4" t="s">
        <v>25</v>
      </c>
      <c r="F676" s="4" t="s">
        <v>25</v>
      </c>
      <c r="G676" s="4" t="s">
        <v>25</v>
      </c>
      <c r="H676" s="4" t="s">
        <v>25</v>
      </c>
      <c r="I676" s="5">
        <v>44652</v>
      </c>
      <c r="J676" s="6">
        <v>1989</v>
      </c>
      <c r="K676" s="75">
        <v>1989</v>
      </c>
      <c r="L676" s="6">
        <v>0</v>
      </c>
      <c r="M676" s="75">
        <v>0</v>
      </c>
      <c r="N676" s="6">
        <v>0</v>
      </c>
      <c r="O676" s="75">
        <v>0</v>
      </c>
      <c r="P676" s="6">
        <v>14</v>
      </c>
      <c r="Q676" s="4" t="s">
        <v>26</v>
      </c>
      <c r="R676" s="4">
        <v>0</v>
      </c>
      <c r="S676" s="6">
        <v>18</v>
      </c>
      <c r="T676" s="6">
        <v>0</v>
      </c>
      <c r="U676" s="6">
        <v>0</v>
      </c>
      <c r="V676" s="75">
        <f>IF(ISERROR(VLOOKUP($S$676,'TAR FIN'!$A$1:$O$93,15,0)),0,VLOOKUP($S$676,'TAR FIN'!$A$1:$O$93,15,0))*(1-0.04)</f>
        <v>25.123200000000001</v>
      </c>
      <c r="W676" s="75">
        <f>IF(ISERROR(VLOOKUP($T$676,'TAR FIN'!$A$1:$O$93,15,0)),0,VLOOKUP($T$676,'TAR FIN'!$A$1:$O$93,15,0))</f>
        <v>0</v>
      </c>
      <c r="X676" s="75">
        <f>IF(ISERROR(VLOOKUP($U$676,'TAR FIN'!$A$1:$O$93,15,0)),0,VLOOKUP($U$676,'TAR FIN'!$A$1:$O$93,15,0))</f>
        <v>0</v>
      </c>
      <c r="Y676" s="75">
        <f ca="1">('TUSD BE'!$AM$14+'TUSD BF'!$AM$14+'TUSD CVA'!$AM$14)*1*(1-0.02)</f>
        <v>29.844412718026739</v>
      </c>
      <c r="Z676" s="75"/>
      <c r="AA676" s="75"/>
      <c r="AB676" s="6">
        <f>$K$676*$V$676</f>
        <v>49970.044800000003</v>
      </c>
      <c r="AC676" s="6">
        <f>$M$676*$W$676</f>
        <v>0</v>
      </c>
      <c r="AD676" s="6">
        <f>$O$676*$X$676</f>
        <v>0</v>
      </c>
      <c r="AE676" s="6">
        <f ca="1">$K$676*$Y$676</f>
        <v>59360.536896155187</v>
      </c>
      <c r="AF676" s="6">
        <f>$M$676*$Z$676</f>
        <v>0</v>
      </c>
      <c r="AG676" s="6">
        <f>$O$676*$AA$676</f>
        <v>0</v>
      </c>
    </row>
    <row r="677" spans="1:33" ht="11.25" customHeight="1" x14ac:dyDescent="0.25">
      <c r="A677" s="4" t="s">
        <v>21</v>
      </c>
      <c r="B677" s="4" t="s">
        <v>35</v>
      </c>
      <c r="C677" s="4" t="s">
        <v>39</v>
      </c>
      <c r="D677" s="4" t="s">
        <v>42</v>
      </c>
      <c r="E677" s="4" t="s">
        <v>25</v>
      </c>
      <c r="F677" s="4" t="s">
        <v>25</v>
      </c>
      <c r="G677" s="4" t="s">
        <v>25</v>
      </c>
      <c r="H677" s="4" t="s">
        <v>25</v>
      </c>
      <c r="I677" s="5">
        <v>44682</v>
      </c>
      <c r="J677" s="6">
        <v>11615</v>
      </c>
      <c r="K677" s="75">
        <v>11615</v>
      </c>
      <c r="L677" s="6">
        <v>0</v>
      </c>
      <c r="M677" s="75">
        <v>0</v>
      </c>
      <c r="N677" s="6">
        <v>0</v>
      </c>
      <c r="O677" s="75">
        <v>0</v>
      </c>
      <c r="P677" s="6">
        <v>110</v>
      </c>
      <c r="Q677" s="4" t="s">
        <v>26</v>
      </c>
      <c r="R677" s="4">
        <v>0</v>
      </c>
      <c r="S677" s="6">
        <v>18</v>
      </c>
      <c r="T677" s="6">
        <v>0</v>
      </c>
      <c r="U677" s="6">
        <v>0</v>
      </c>
      <c r="V677" s="75">
        <f>IF(ISERROR(VLOOKUP($S$677,'TAR FIN'!$A$1:$O$93,15,0)),0,VLOOKUP($S$677,'TAR FIN'!$A$1:$O$93,15,0))*(1-0.04)</f>
        <v>25.123200000000001</v>
      </c>
      <c r="W677" s="75">
        <f>IF(ISERROR(VLOOKUP($T$677,'TAR FIN'!$A$1:$O$93,15,0)),0,VLOOKUP($T$677,'TAR FIN'!$A$1:$O$93,15,0))</f>
        <v>0</v>
      </c>
      <c r="X677" s="75">
        <f>IF(ISERROR(VLOOKUP($U$677,'TAR FIN'!$A$1:$O$93,15,0)),0,VLOOKUP($U$677,'TAR FIN'!$A$1:$O$93,15,0))</f>
        <v>0</v>
      </c>
      <c r="Y677" s="75">
        <f ca="1">('TUSD BE'!$AM$14+'TUSD BF'!$AM$14+'TUSD CVA'!$AM$14)*1*(1-0.02)</f>
        <v>29.844412718026739</v>
      </c>
      <c r="Z677" s="75"/>
      <c r="AA677" s="75"/>
      <c r="AB677" s="6">
        <f>$K$677*$V$677</f>
        <v>291805.96799999999</v>
      </c>
      <c r="AC677" s="6">
        <f>$M$677*$W$677</f>
        <v>0</v>
      </c>
      <c r="AD677" s="6">
        <f>$O$677*$X$677</f>
        <v>0</v>
      </c>
      <c r="AE677" s="6">
        <f ca="1">$K$677*$Y$677</f>
        <v>346642.85371988057</v>
      </c>
      <c r="AF677" s="6">
        <f>$M$677*$Z$677</f>
        <v>0</v>
      </c>
      <c r="AG677" s="6">
        <f>$O$677*$AA$677</f>
        <v>0</v>
      </c>
    </row>
    <row r="678" spans="1:33" ht="11.25" customHeight="1" x14ac:dyDescent="0.25">
      <c r="A678" s="4" t="s">
        <v>27</v>
      </c>
      <c r="B678" s="4" t="s">
        <v>35</v>
      </c>
      <c r="C678" s="4" t="s">
        <v>39</v>
      </c>
      <c r="D678" s="4" t="s">
        <v>42</v>
      </c>
      <c r="E678" s="4" t="s">
        <v>25</v>
      </c>
      <c r="F678" s="4" t="s">
        <v>25</v>
      </c>
      <c r="G678" s="4" t="s">
        <v>25</v>
      </c>
      <c r="H678" s="4" t="s">
        <v>25</v>
      </c>
      <c r="I678" s="5">
        <v>44682</v>
      </c>
      <c r="J678" s="6">
        <v>-304</v>
      </c>
      <c r="K678" s="75">
        <v>-304</v>
      </c>
      <c r="L678" s="6">
        <v>0</v>
      </c>
      <c r="M678" s="75">
        <v>0</v>
      </c>
      <c r="N678" s="6">
        <v>0</v>
      </c>
      <c r="O678" s="75">
        <v>0</v>
      </c>
      <c r="P678" s="6">
        <v>-3</v>
      </c>
      <c r="Q678" s="4" t="s">
        <v>26</v>
      </c>
      <c r="R678" s="4">
        <v>0</v>
      </c>
      <c r="S678" s="6">
        <v>18</v>
      </c>
      <c r="T678" s="6">
        <v>0</v>
      </c>
      <c r="U678" s="6">
        <v>0</v>
      </c>
      <c r="V678" s="75">
        <f>IF(ISERROR(VLOOKUP($S$678,'TAR FIN'!$A$1:$O$93,15,0)),0,VLOOKUP($S$678,'TAR FIN'!$A$1:$O$93,15,0))*(1-0.04)</f>
        <v>25.123200000000001</v>
      </c>
      <c r="W678" s="75">
        <f>IF(ISERROR(VLOOKUP($T$678,'TAR FIN'!$A$1:$O$93,15,0)),0,VLOOKUP($T$678,'TAR FIN'!$A$1:$O$93,15,0))</f>
        <v>0</v>
      </c>
      <c r="X678" s="75">
        <f>IF(ISERROR(VLOOKUP($U$678,'TAR FIN'!$A$1:$O$93,15,0)),0,VLOOKUP($U$678,'TAR FIN'!$A$1:$O$93,15,0))</f>
        <v>0</v>
      </c>
      <c r="Y678" s="75">
        <f ca="1">('TUSD BE'!$AM$14+'TUSD BF'!$AM$14+'TUSD CVA'!$AM$14)*1*(1-0.02)</f>
        <v>29.844412718026739</v>
      </c>
      <c r="Z678" s="75"/>
      <c r="AA678" s="75"/>
      <c r="AB678" s="6">
        <f>$K$678*$V$678</f>
        <v>-7637.4528</v>
      </c>
      <c r="AC678" s="6">
        <f>$M$678*$W$678</f>
        <v>0</v>
      </c>
      <c r="AD678" s="6">
        <f>$O$678*$X$678</f>
        <v>0</v>
      </c>
      <c r="AE678" s="6">
        <f ca="1">$K$678*$Y$678</f>
        <v>-9072.7014662801284</v>
      </c>
      <c r="AF678" s="6">
        <f>$M$678*$Z$678</f>
        <v>0</v>
      </c>
      <c r="AG678" s="6">
        <f>$O$678*$AA$678</f>
        <v>0</v>
      </c>
    </row>
    <row r="679" spans="1:33" ht="11.25" customHeight="1" x14ac:dyDescent="0.25">
      <c r="A679" s="4" t="s">
        <v>28</v>
      </c>
      <c r="B679" s="4" t="s">
        <v>35</v>
      </c>
      <c r="C679" s="4" t="s">
        <v>39</v>
      </c>
      <c r="D679" s="4" t="s">
        <v>42</v>
      </c>
      <c r="E679" s="4" t="s">
        <v>25</v>
      </c>
      <c r="F679" s="4" t="s">
        <v>25</v>
      </c>
      <c r="G679" s="4" t="s">
        <v>25</v>
      </c>
      <c r="H679" s="4" t="s">
        <v>25</v>
      </c>
      <c r="I679" s="5">
        <v>44682</v>
      </c>
      <c r="J679" s="6">
        <v>2388</v>
      </c>
      <c r="K679" s="75">
        <v>2388</v>
      </c>
      <c r="L679" s="6">
        <v>0</v>
      </c>
      <c r="M679" s="75">
        <v>0</v>
      </c>
      <c r="N679" s="6">
        <v>0</v>
      </c>
      <c r="O679" s="75">
        <v>0</v>
      </c>
      <c r="P679" s="6">
        <v>16</v>
      </c>
      <c r="Q679" s="4" t="s">
        <v>26</v>
      </c>
      <c r="R679" s="4">
        <v>0</v>
      </c>
      <c r="S679" s="6">
        <v>18</v>
      </c>
      <c r="T679" s="6">
        <v>0</v>
      </c>
      <c r="U679" s="6">
        <v>0</v>
      </c>
      <c r="V679" s="75">
        <f>IF(ISERROR(VLOOKUP($S$679,'TAR FIN'!$A$1:$O$93,15,0)),0,VLOOKUP($S$679,'TAR FIN'!$A$1:$O$93,15,0))*(1-0.04)</f>
        <v>25.123200000000001</v>
      </c>
      <c r="W679" s="75">
        <f>IF(ISERROR(VLOOKUP($T$679,'TAR FIN'!$A$1:$O$93,15,0)),0,VLOOKUP($T$679,'TAR FIN'!$A$1:$O$93,15,0))</f>
        <v>0</v>
      </c>
      <c r="X679" s="75">
        <f>IF(ISERROR(VLOOKUP($U$679,'TAR FIN'!$A$1:$O$93,15,0)),0,VLOOKUP($U$679,'TAR FIN'!$A$1:$O$93,15,0))</f>
        <v>0</v>
      </c>
      <c r="Y679" s="75">
        <f ca="1">('TUSD BE'!$AM$14+'TUSD BF'!$AM$14+'TUSD CVA'!$AM$14)*1*(1-0.02)</f>
        <v>29.844412718026739</v>
      </c>
      <c r="Z679" s="75"/>
      <c r="AA679" s="75"/>
      <c r="AB679" s="6">
        <f>$K$679*$V$679</f>
        <v>59994.2016</v>
      </c>
      <c r="AC679" s="6">
        <f>$M$679*$W$679</f>
        <v>0</v>
      </c>
      <c r="AD679" s="6">
        <f>$O$679*$X$679</f>
        <v>0</v>
      </c>
      <c r="AE679" s="6">
        <f ca="1">$K$679*$Y$679</f>
        <v>71268.45757064785</v>
      </c>
      <c r="AF679" s="6">
        <f>$M$679*$Z$679</f>
        <v>0</v>
      </c>
      <c r="AG679" s="6">
        <f>$O$679*$AA$679</f>
        <v>0</v>
      </c>
    </row>
    <row r="680" spans="1:33" ht="11.25" customHeight="1" x14ac:dyDescent="0.25">
      <c r="A680" s="4" t="s">
        <v>28</v>
      </c>
      <c r="B680" s="4" t="s">
        <v>35</v>
      </c>
      <c r="C680" s="4" t="s">
        <v>39</v>
      </c>
      <c r="D680" s="4" t="s">
        <v>42</v>
      </c>
      <c r="E680" s="4" t="s">
        <v>25</v>
      </c>
      <c r="F680" s="4" t="s">
        <v>25</v>
      </c>
      <c r="G680" s="4" t="s">
        <v>25</v>
      </c>
      <c r="H680" s="4" t="s">
        <v>25</v>
      </c>
      <c r="I680" s="5">
        <v>44682</v>
      </c>
      <c r="J680" s="6">
        <v>-266</v>
      </c>
      <c r="K680" s="75">
        <v>-266</v>
      </c>
      <c r="L680" s="6">
        <v>0</v>
      </c>
      <c r="M680" s="75">
        <v>0</v>
      </c>
      <c r="N680" s="6">
        <v>0</v>
      </c>
      <c r="O680" s="75">
        <v>0</v>
      </c>
      <c r="P680" s="6">
        <v>-1</v>
      </c>
      <c r="Q680" s="4" t="s">
        <v>26</v>
      </c>
      <c r="R680" s="4">
        <v>0</v>
      </c>
      <c r="S680" s="6">
        <v>18</v>
      </c>
      <c r="T680" s="6">
        <v>0</v>
      </c>
      <c r="U680" s="6">
        <v>0</v>
      </c>
      <c r="V680" s="75">
        <f>IF(ISERROR(VLOOKUP($S$680,'TAR FIN'!$A$1:$O$93,15,0)),0,VLOOKUP($S$680,'TAR FIN'!$A$1:$O$93,15,0))*(1-0.04)</f>
        <v>25.123200000000001</v>
      </c>
      <c r="W680" s="75">
        <f>IF(ISERROR(VLOOKUP($T$680,'TAR FIN'!$A$1:$O$93,15,0)),0,VLOOKUP($T$680,'TAR FIN'!$A$1:$O$93,15,0))</f>
        <v>0</v>
      </c>
      <c r="X680" s="75">
        <f>IF(ISERROR(VLOOKUP($U$680,'TAR FIN'!$A$1:$O$93,15,0)),0,VLOOKUP($U$680,'TAR FIN'!$A$1:$O$93,15,0))</f>
        <v>0</v>
      </c>
      <c r="Y680" s="75">
        <f ca="1">('TUSD BE'!$AM$14+'TUSD BF'!$AM$14+'TUSD CVA'!$AM$14)*1*(1-0.02)</f>
        <v>29.844412718026739</v>
      </c>
      <c r="Z680" s="75"/>
      <c r="AA680" s="75"/>
      <c r="AB680" s="6">
        <f>$K$680*$V$680</f>
        <v>-6682.7712000000001</v>
      </c>
      <c r="AC680" s="6">
        <f>$M$680*$W$680</f>
        <v>0</v>
      </c>
      <c r="AD680" s="6">
        <f>$O$680*$X$680</f>
        <v>0</v>
      </c>
      <c r="AE680" s="6">
        <f ca="1">$K$680*$Y$680</f>
        <v>-7938.6137829951122</v>
      </c>
      <c r="AF680" s="6">
        <f>$M$680*$Z$680</f>
        <v>0</v>
      </c>
      <c r="AG680" s="6">
        <f>$O$680*$AA$680</f>
        <v>0</v>
      </c>
    </row>
    <row r="681" spans="1:33" ht="11.25" customHeight="1" x14ac:dyDescent="0.25">
      <c r="A681" s="4" t="s">
        <v>21</v>
      </c>
      <c r="B681" s="4" t="s">
        <v>35</v>
      </c>
      <c r="C681" s="4" t="s">
        <v>39</v>
      </c>
      <c r="D681" s="4" t="s">
        <v>42</v>
      </c>
      <c r="E681" s="4" t="s">
        <v>25</v>
      </c>
      <c r="F681" s="4" t="s">
        <v>25</v>
      </c>
      <c r="G681" s="4" t="s">
        <v>25</v>
      </c>
      <c r="H681" s="4" t="s">
        <v>25</v>
      </c>
      <c r="I681" s="5">
        <v>44713</v>
      </c>
      <c r="J681" s="6">
        <v>11142</v>
      </c>
      <c r="K681" s="75">
        <v>11142</v>
      </c>
      <c r="L681" s="6">
        <v>0</v>
      </c>
      <c r="M681" s="75">
        <v>0</v>
      </c>
      <c r="N681" s="6">
        <v>0</v>
      </c>
      <c r="O681" s="75">
        <v>0</v>
      </c>
      <c r="P681" s="6">
        <v>107</v>
      </c>
      <c r="Q681" s="4" t="s">
        <v>26</v>
      </c>
      <c r="R681" s="4">
        <v>0</v>
      </c>
      <c r="S681" s="6">
        <v>18</v>
      </c>
      <c r="T681" s="6">
        <v>0</v>
      </c>
      <c r="U681" s="6">
        <v>0</v>
      </c>
      <c r="V681" s="75">
        <f>IF(ISERROR(VLOOKUP($S$681,'TAR FIN'!$A$1:$O$93,15,0)),0,VLOOKUP($S$681,'TAR FIN'!$A$1:$O$93,15,0))*(1-0.04)</f>
        <v>25.123200000000001</v>
      </c>
      <c r="W681" s="75">
        <f>IF(ISERROR(VLOOKUP($T$681,'TAR FIN'!$A$1:$O$93,15,0)),0,VLOOKUP($T$681,'TAR FIN'!$A$1:$O$93,15,0))</f>
        <v>0</v>
      </c>
      <c r="X681" s="75">
        <f>IF(ISERROR(VLOOKUP($U$681,'TAR FIN'!$A$1:$O$93,15,0)),0,VLOOKUP($U$681,'TAR FIN'!$A$1:$O$93,15,0))</f>
        <v>0</v>
      </c>
      <c r="Y681" s="75">
        <f ca="1">('TUSD BE'!$AM$14+'TUSD BF'!$AM$14+'TUSD CVA'!$AM$14)*1*(1-0.02)</f>
        <v>29.844412718026739</v>
      </c>
      <c r="Z681" s="75"/>
      <c r="AA681" s="75"/>
      <c r="AB681" s="6">
        <f>$K$681*$V$681</f>
        <v>279922.69439999998</v>
      </c>
      <c r="AC681" s="6">
        <f>$M$681*$W$681</f>
        <v>0</v>
      </c>
      <c r="AD681" s="6">
        <f>$O$681*$X$681</f>
        <v>0</v>
      </c>
      <c r="AE681" s="6">
        <f ca="1">$K$681*$Y$681</f>
        <v>332526.44650425389</v>
      </c>
      <c r="AF681" s="6">
        <f>$M$681*$Z$681</f>
        <v>0</v>
      </c>
      <c r="AG681" s="6">
        <f>$O$681*$AA$681</f>
        <v>0</v>
      </c>
    </row>
    <row r="682" spans="1:33" ht="11.25" customHeight="1" x14ac:dyDescent="0.25">
      <c r="A682" s="4" t="s">
        <v>27</v>
      </c>
      <c r="B682" s="4" t="s">
        <v>35</v>
      </c>
      <c r="C682" s="4" t="s">
        <v>39</v>
      </c>
      <c r="D682" s="4" t="s">
        <v>42</v>
      </c>
      <c r="E682" s="4" t="s">
        <v>25</v>
      </c>
      <c r="F682" s="4" t="s">
        <v>25</v>
      </c>
      <c r="G682" s="4" t="s">
        <v>25</v>
      </c>
      <c r="H682" s="4" t="s">
        <v>25</v>
      </c>
      <c r="I682" s="5">
        <v>44713</v>
      </c>
      <c r="J682" s="6">
        <v>-91</v>
      </c>
      <c r="K682" s="75">
        <v>-91</v>
      </c>
      <c r="L682" s="6">
        <v>0</v>
      </c>
      <c r="M682" s="75">
        <v>0</v>
      </c>
      <c r="N682" s="6">
        <v>0</v>
      </c>
      <c r="O682" s="75">
        <v>0</v>
      </c>
      <c r="P682" s="6">
        <v>-1</v>
      </c>
      <c r="Q682" s="4" t="s">
        <v>26</v>
      </c>
      <c r="R682" s="4">
        <v>0</v>
      </c>
      <c r="S682" s="6">
        <v>18</v>
      </c>
      <c r="T682" s="6">
        <v>0</v>
      </c>
      <c r="U682" s="6">
        <v>0</v>
      </c>
      <c r="V682" s="75">
        <f>IF(ISERROR(VLOOKUP($S$682,'TAR FIN'!$A$1:$O$93,15,0)),0,VLOOKUP($S$682,'TAR FIN'!$A$1:$O$93,15,0))*(1-0.04)</f>
        <v>25.123200000000001</v>
      </c>
      <c r="W682" s="75">
        <f>IF(ISERROR(VLOOKUP($T$682,'TAR FIN'!$A$1:$O$93,15,0)),0,VLOOKUP($T$682,'TAR FIN'!$A$1:$O$93,15,0))</f>
        <v>0</v>
      </c>
      <c r="X682" s="75">
        <f>IF(ISERROR(VLOOKUP($U$682,'TAR FIN'!$A$1:$O$93,15,0)),0,VLOOKUP($U$682,'TAR FIN'!$A$1:$O$93,15,0))</f>
        <v>0</v>
      </c>
      <c r="Y682" s="75">
        <f ca="1">('TUSD BE'!$AM$14+'TUSD BF'!$AM$14+'TUSD CVA'!$AM$14)*1*(1-0.02)</f>
        <v>29.844412718026739</v>
      </c>
      <c r="Z682" s="75"/>
      <c r="AA682" s="75"/>
      <c r="AB682" s="6">
        <f>$K$682*$V$682</f>
        <v>-2286.2112000000002</v>
      </c>
      <c r="AC682" s="6">
        <f>$M$682*$W$682</f>
        <v>0</v>
      </c>
      <c r="AD682" s="6">
        <f>$O$682*$X$682</f>
        <v>0</v>
      </c>
      <c r="AE682" s="6">
        <f ca="1">$K$682*$Y$682</f>
        <v>-2715.8415573404332</v>
      </c>
      <c r="AF682" s="6">
        <f>$M$682*$Z$682</f>
        <v>0</v>
      </c>
      <c r="AG682" s="6">
        <f>$O$682*$AA$682</f>
        <v>0</v>
      </c>
    </row>
    <row r="683" spans="1:33" ht="11.25" customHeight="1" x14ac:dyDescent="0.25">
      <c r="A683" s="4" t="s">
        <v>28</v>
      </c>
      <c r="B683" s="4" t="s">
        <v>35</v>
      </c>
      <c r="C683" s="4" t="s">
        <v>39</v>
      </c>
      <c r="D683" s="4" t="s">
        <v>42</v>
      </c>
      <c r="E683" s="4" t="s">
        <v>25</v>
      </c>
      <c r="F683" s="4" t="s">
        <v>25</v>
      </c>
      <c r="G683" s="4" t="s">
        <v>25</v>
      </c>
      <c r="H683" s="4" t="s">
        <v>25</v>
      </c>
      <c r="I683" s="5">
        <v>44713</v>
      </c>
      <c r="J683" s="6">
        <v>2531</v>
      </c>
      <c r="K683" s="75">
        <v>2531</v>
      </c>
      <c r="L683" s="6">
        <v>0</v>
      </c>
      <c r="M683" s="75">
        <v>0</v>
      </c>
      <c r="N683" s="6">
        <v>0</v>
      </c>
      <c r="O683" s="75">
        <v>0</v>
      </c>
      <c r="P683" s="6">
        <v>16</v>
      </c>
      <c r="Q683" s="4" t="s">
        <v>26</v>
      </c>
      <c r="R683" s="4">
        <v>0</v>
      </c>
      <c r="S683" s="6">
        <v>18</v>
      </c>
      <c r="T683" s="6">
        <v>0</v>
      </c>
      <c r="U683" s="6">
        <v>0</v>
      </c>
      <c r="V683" s="75">
        <f>IF(ISERROR(VLOOKUP($S$683,'TAR FIN'!$A$1:$O$93,15,0)),0,VLOOKUP($S$683,'TAR FIN'!$A$1:$O$93,15,0))*(1-0.04)</f>
        <v>25.123200000000001</v>
      </c>
      <c r="W683" s="75">
        <f>IF(ISERROR(VLOOKUP($T$683,'TAR FIN'!$A$1:$O$93,15,0)),0,VLOOKUP($T$683,'TAR FIN'!$A$1:$O$93,15,0))</f>
        <v>0</v>
      </c>
      <c r="X683" s="75">
        <f>IF(ISERROR(VLOOKUP($U$683,'TAR FIN'!$A$1:$O$93,15,0)),0,VLOOKUP($U$683,'TAR FIN'!$A$1:$O$93,15,0))</f>
        <v>0</v>
      </c>
      <c r="Y683" s="75">
        <f ca="1">('TUSD BE'!$AM$14+'TUSD BF'!$AM$14+'TUSD CVA'!$AM$14)*1*(1-0.02)</f>
        <v>29.844412718026739</v>
      </c>
      <c r="Z683" s="75"/>
      <c r="AA683" s="75"/>
      <c r="AB683" s="6">
        <f>$K$683*$V$683</f>
        <v>63586.819199999998</v>
      </c>
      <c r="AC683" s="6">
        <f>$M$683*$W$683</f>
        <v>0</v>
      </c>
      <c r="AD683" s="6">
        <f>$O$683*$X$683</f>
        <v>0</v>
      </c>
      <c r="AE683" s="6">
        <f ca="1">$K$683*$Y$683</f>
        <v>75536.208589325674</v>
      </c>
      <c r="AF683" s="6">
        <f>$M$683*$Z$683</f>
        <v>0</v>
      </c>
      <c r="AG683" s="6">
        <f>$O$683*$AA$683</f>
        <v>0</v>
      </c>
    </row>
    <row r="684" spans="1:33" ht="11.25" customHeight="1" x14ac:dyDescent="0.25">
      <c r="A684" s="4" t="s">
        <v>21</v>
      </c>
      <c r="B684" s="4" t="s">
        <v>35</v>
      </c>
      <c r="C684" s="4" t="s">
        <v>39</v>
      </c>
      <c r="D684" s="4" t="s">
        <v>42</v>
      </c>
      <c r="E684" s="4" t="s">
        <v>25</v>
      </c>
      <c r="F684" s="4" t="s">
        <v>25</v>
      </c>
      <c r="G684" s="4" t="s">
        <v>25</v>
      </c>
      <c r="H684" s="4" t="s">
        <v>37</v>
      </c>
      <c r="I684" s="5">
        <v>44378</v>
      </c>
      <c r="J684" s="6">
        <v>0</v>
      </c>
      <c r="K684" s="75">
        <v>0</v>
      </c>
      <c r="L684" s="6">
        <v>146.107</v>
      </c>
      <c r="M684" s="75">
        <v>146.107</v>
      </c>
      <c r="N684" s="6">
        <v>146.107</v>
      </c>
      <c r="O684" s="75">
        <v>146.107</v>
      </c>
      <c r="P684" s="6">
        <v>0</v>
      </c>
      <c r="Q684" s="4" t="s">
        <v>26</v>
      </c>
      <c r="R684" s="4">
        <v>0</v>
      </c>
      <c r="S684" s="6">
        <v>0</v>
      </c>
      <c r="T684" s="6">
        <v>12</v>
      </c>
      <c r="U684" s="6">
        <v>66</v>
      </c>
      <c r="V684" s="75">
        <f>IF(ISERROR(VLOOKUP($S$684,'TAR FIN'!$A$1:$O$93,15,0)),0,VLOOKUP($S$684,'TAR FIN'!$A$1:$O$93,15,0))</f>
        <v>0</v>
      </c>
      <c r="W684" s="75">
        <f>IF(ISERROR(VLOOKUP($T$684,'TAR FIN'!$A$1:$O$93,15,0)),0,VLOOKUP($T$684,'TAR FIN'!$A$1:$O$93,15,0))*(1-0.04)</f>
        <v>1079.712</v>
      </c>
      <c r="X684" s="75">
        <f>IF(ISERROR(VLOOKUP($U$684,'TAR FIN'!$A$1:$O$93,15,0)),0,VLOOKUP($U$684,'TAR FIN'!$A$1:$O$93,15,0))*(1-0.04)</f>
        <v>177.77279999999999</v>
      </c>
      <c r="Y684" s="75"/>
      <c r="Z684" s="75">
        <f ca="1">('TUSD BE'!$AM$15+'TUSD BF'!$AM$15+'TUSD CVA'!$AM$15)*1*(1-0.02)</f>
        <v>1276.3186645234982</v>
      </c>
      <c r="AA684" s="75">
        <f>('TE BE'!$AB$7+'TE BF'!$AB$7+'TE CVA'!$AB$7)*1*(1-0.02)</f>
        <v>194.21830884065065</v>
      </c>
      <c r="AB684" s="6">
        <f>$K$684*$V$684</f>
        <v>0</v>
      </c>
      <c r="AC684" s="6">
        <f>$M$684*$W$684</f>
        <v>157753.481184</v>
      </c>
      <c r="AD684" s="6">
        <f>$O$684*$X$684</f>
        <v>25973.850489599998</v>
      </c>
      <c r="AE684" s="6">
        <f>$K$684*$Y$684</f>
        <v>0</v>
      </c>
      <c r="AF684" s="6">
        <f ca="1">$M$684*$Z$684</f>
        <v>186479.09111753476</v>
      </c>
      <c r="AG684" s="6">
        <f>$O$684*$AA$684</f>
        <v>28376.654449780945</v>
      </c>
    </row>
    <row r="685" spans="1:33" ht="11.25" customHeight="1" x14ac:dyDescent="0.25">
      <c r="A685" s="4" t="s">
        <v>21</v>
      </c>
      <c r="B685" s="4" t="s">
        <v>35</v>
      </c>
      <c r="C685" s="4" t="s">
        <v>39</v>
      </c>
      <c r="D685" s="4" t="s">
        <v>42</v>
      </c>
      <c r="E685" s="4" t="s">
        <v>25</v>
      </c>
      <c r="F685" s="4" t="s">
        <v>25</v>
      </c>
      <c r="G685" s="4" t="s">
        <v>25</v>
      </c>
      <c r="H685" s="4" t="s">
        <v>37</v>
      </c>
      <c r="I685" s="5">
        <v>44409</v>
      </c>
      <c r="J685" s="6">
        <v>0</v>
      </c>
      <c r="K685" s="75">
        <v>0</v>
      </c>
      <c r="L685" s="6">
        <v>155.256</v>
      </c>
      <c r="M685" s="75">
        <v>155.256</v>
      </c>
      <c r="N685" s="6">
        <v>155.256</v>
      </c>
      <c r="O685" s="75">
        <v>155.256</v>
      </c>
      <c r="P685" s="6">
        <v>0</v>
      </c>
      <c r="Q685" s="4" t="s">
        <v>26</v>
      </c>
      <c r="R685" s="4">
        <v>0</v>
      </c>
      <c r="S685" s="6">
        <v>0</v>
      </c>
      <c r="T685" s="6">
        <v>12</v>
      </c>
      <c r="U685" s="6">
        <v>66</v>
      </c>
      <c r="V685" s="75">
        <f>IF(ISERROR(VLOOKUP($S$685,'TAR FIN'!$A$1:$O$93,15,0)),0,VLOOKUP($S$685,'TAR FIN'!$A$1:$O$93,15,0))</f>
        <v>0</v>
      </c>
      <c r="W685" s="75">
        <f>IF(ISERROR(VLOOKUP($T$685,'TAR FIN'!$A$1:$O$93,15,0)),0,VLOOKUP($T$685,'TAR FIN'!$A$1:$O$93,15,0))*(1-0.04)</f>
        <v>1079.712</v>
      </c>
      <c r="X685" s="75">
        <f>IF(ISERROR(VLOOKUP($U$685,'TAR FIN'!$A$1:$O$93,15,0)),0,VLOOKUP($U$685,'TAR FIN'!$A$1:$O$93,15,0))*(1-0.04)</f>
        <v>177.77279999999999</v>
      </c>
      <c r="Y685" s="75"/>
      <c r="Z685" s="75">
        <f ca="1">('TUSD BE'!$AM$15+'TUSD BF'!$AM$15+'TUSD CVA'!$AM$15)*1*(1-0.02)</f>
        <v>1276.3186645234982</v>
      </c>
      <c r="AA685" s="75">
        <f>('TE BE'!$AB$7+'TE BF'!$AB$7+'TE CVA'!$AB$7)*1*(1-0.02)</f>
        <v>194.21830884065065</v>
      </c>
      <c r="AB685" s="6">
        <f>$K$685*$V$685</f>
        <v>0</v>
      </c>
      <c r="AC685" s="6">
        <f>$M$685*$W$685</f>
        <v>167631.76627200001</v>
      </c>
      <c r="AD685" s="6">
        <f>$O$685*$X$685</f>
        <v>27600.2938368</v>
      </c>
      <c r="AE685" s="6">
        <f>$K$685*$Y$685</f>
        <v>0</v>
      </c>
      <c r="AF685" s="6">
        <f ca="1">$M$685*$Z$685</f>
        <v>198156.13057926024</v>
      </c>
      <c r="AG685" s="6">
        <f>$O$685*$AA$685</f>
        <v>30153.557757364058</v>
      </c>
    </row>
    <row r="686" spans="1:33" ht="11.25" customHeight="1" x14ac:dyDescent="0.25">
      <c r="A686" s="4" t="s">
        <v>28</v>
      </c>
      <c r="B686" s="4" t="s">
        <v>35</v>
      </c>
      <c r="C686" s="4" t="s">
        <v>39</v>
      </c>
      <c r="D686" s="4" t="s">
        <v>42</v>
      </c>
      <c r="E686" s="4" t="s">
        <v>25</v>
      </c>
      <c r="F686" s="4" t="s">
        <v>25</v>
      </c>
      <c r="G686" s="4" t="s">
        <v>25</v>
      </c>
      <c r="H686" s="4" t="s">
        <v>37</v>
      </c>
      <c r="I686" s="5">
        <v>44409</v>
      </c>
      <c r="J686" s="6">
        <v>0</v>
      </c>
      <c r="K686" s="75">
        <v>0</v>
      </c>
      <c r="L686" s="6">
        <v>3.5670000000000002</v>
      </c>
      <c r="M686" s="75">
        <v>3.5670000000000002</v>
      </c>
      <c r="N686" s="6">
        <v>3.5670000000000002</v>
      </c>
      <c r="O686" s="75">
        <v>3.5670000000000002</v>
      </c>
      <c r="P686" s="6">
        <v>0</v>
      </c>
      <c r="Q686" s="4" t="s">
        <v>26</v>
      </c>
      <c r="R686" s="4">
        <v>0</v>
      </c>
      <c r="S686" s="6">
        <v>0</v>
      </c>
      <c r="T686" s="6">
        <v>12</v>
      </c>
      <c r="U686" s="6">
        <v>66</v>
      </c>
      <c r="V686" s="75">
        <f>IF(ISERROR(VLOOKUP($S$686,'TAR FIN'!$A$1:$O$93,15,0)),0,VLOOKUP($S$686,'TAR FIN'!$A$1:$O$93,15,0))</f>
        <v>0</v>
      </c>
      <c r="W686" s="75">
        <f>IF(ISERROR(VLOOKUP($T$686,'TAR FIN'!$A$1:$O$93,15,0)),0,VLOOKUP($T$686,'TAR FIN'!$A$1:$O$93,15,0))*(1-0.04)</f>
        <v>1079.712</v>
      </c>
      <c r="X686" s="75">
        <f>IF(ISERROR(VLOOKUP($U$686,'TAR FIN'!$A$1:$O$93,15,0)),0,VLOOKUP($U$686,'TAR FIN'!$A$1:$O$93,15,0))*(1-0.04)</f>
        <v>177.77279999999999</v>
      </c>
      <c r="Y686" s="75"/>
      <c r="Z686" s="75">
        <f ca="1">('TUSD BE'!$AM$15+'TUSD BF'!$AM$15+'TUSD CVA'!$AM$15)*1*(1-0.02)</f>
        <v>1276.3186645234982</v>
      </c>
      <c r="AA686" s="75">
        <f>('TE BE'!$AB$7+'TE BF'!$AB$7+'TE CVA'!$AB$7)*1*(1-0.02)</f>
        <v>194.21830884065065</v>
      </c>
      <c r="AB686" s="6">
        <f>$K$686*$V$686</f>
        <v>0</v>
      </c>
      <c r="AC686" s="6">
        <f>$M$686*$W$686</f>
        <v>3851.3327039999999</v>
      </c>
      <c r="AD686" s="6">
        <f>$O$686*$X$686</f>
        <v>634.11557759999994</v>
      </c>
      <c r="AE686" s="6">
        <f>$K$686*$Y$686</f>
        <v>0</v>
      </c>
      <c r="AF686" s="6">
        <f ca="1">$M$686*$Z$686</f>
        <v>4552.628676355318</v>
      </c>
      <c r="AG686" s="6">
        <f>$O$686*$AA$686</f>
        <v>692.77670763460094</v>
      </c>
    </row>
    <row r="687" spans="1:33" ht="11.25" customHeight="1" x14ac:dyDescent="0.25">
      <c r="A687" s="4" t="s">
        <v>28</v>
      </c>
      <c r="B687" s="4" t="s">
        <v>35</v>
      </c>
      <c r="C687" s="4" t="s">
        <v>39</v>
      </c>
      <c r="D687" s="4" t="s">
        <v>42</v>
      </c>
      <c r="E687" s="4" t="s">
        <v>25</v>
      </c>
      <c r="F687" s="4" t="s">
        <v>25</v>
      </c>
      <c r="G687" s="4" t="s">
        <v>25</v>
      </c>
      <c r="H687" s="4" t="s">
        <v>37</v>
      </c>
      <c r="I687" s="5">
        <v>44409</v>
      </c>
      <c r="J687" s="6">
        <v>0</v>
      </c>
      <c r="K687" s="75">
        <v>0</v>
      </c>
      <c r="L687" s="6">
        <v>-0.67200000000000004</v>
      </c>
      <c r="M687" s="75">
        <v>-0.67200000000000004</v>
      </c>
      <c r="N687" s="6">
        <v>-0.67200000000000004</v>
      </c>
      <c r="O687" s="75">
        <v>-0.67200000000000004</v>
      </c>
      <c r="P687" s="6">
        <v>0</v>
      </c>
      <c r="Q687" s="4" t="s">
        <v>26</v>
      </c>
      <c r="R687" s="4">
        <v>0</v>
      </c>
      <c r="S687" s="6">
        <v>0</v>
      </c>
      <c r="T687" s="6">
        <v>12</v>
      </c>
      <c r="U687" s="6">
        <v>66</v>
      </c>
      <c r="V687" s="75">
        <f>IF(ISERROR(VLOOKUP($S$687,'TAR FIN'!$A$1:$O$93,15,0)),0,VLOOKUP($S$687,'TAR FIN'!$A$1:$O$93,15,0))</f>
        <v>0</v>
      </c>
      <c r="W687" s="75">
        <f>IF(ISERROR(VLOOKUP($T$687,'TAR FIN'!$A$1:$O$93,15,0)),0,VLOOKUP($T$687,'TAR FIN'!$A$1:$O$93,15,0))*(1-0.04)</f>
        <v>1079.712</v>
      </c>
      <c r="X687" s="75">
        <f>IF(ISERROR(VLOOKUP($U$687,'TAR FIN'!$A$1:$O$93,15,0)),0,VLOOKUP($U$687,'TAR FIN'!$A$1:$O$93,15,0))*(1-0.04)</f>
        <v>177.77279999999999</v>
      </c>
      <c r="Y687" s="75"/>
      <c r="Z687" s="75">
        <f ca="1">('TUSD BE'!$AM$15+'TUSD BF'!$AM$15+'TUSD CVA'!$AM$15)*1*(1-0.02)</f>
        <v>1276.3186645234982</v>
      </c>
      <c r="AA687" s="75">
        <f>('TE BE'!$AB$7+'TE BF'!$AB$7+'TE CVA'!$AB$7)*1*(1-0.02)</f>
        <v>194.21830884065065</v>
      </c>
      <c r="AB687" s="6">
        <f>$K$687*$V$687</f>
        <v>0</v>
      </c>
      <c r="AC687" s="6">
        <f>$M$687*$W$687</f>
        <v>-725.566464</v>
      </c>
      <c r="AD687" s="6">
        <f>$O$687*$X$687</f>
        <v>-119.4633216</v>
      </c>
      <c r="AE687" s="6">
        <f>$K$687*$Y$687</f>
        <v>0</v>
      </c>
      <c r="AF687" s="6">
        <f ca="1">$M$687*$Z$687</f>
        <v>-857.68614255979082</v>
      </c>
      <c r="AG687" s="6">
        <f>$O$687*$AA$687</f>
        <v>-130.51470354091725</v>
      </c>
    </row>
    <row r="688" spans="1:33" ht="11.25" customHeight="1" x14ac:dyDescent="0.25">
      <c r="A688" s="4" t="s">
        <v>21</v>
      </c>
      <c r="B688" s="4" t="s">
        <v>35</v>
      </c>
      <c r="C688" s="4" t="s">
        <v>39</v>
      </c>
      <c r="D688" s="4" t="s">
        <v>42</v>
      </c>
      <c r="E688" s="4" t="s">
        <v>25</v>
      </c>
      <c r="F688" s="4" t="s">
        <v>25</v>
      </c>
      <c r="G688" s="4" t="s">
        <v>25</v>
      </c>
      <c r="H688" s="4" t="s">
        <v>37</v>
      </c>
      <c r="I688" s="5">
        <v>44440</v>
      </c>
      <c r="J688" s="6">
        <v>0</v>
      </c>
      <c r="K688" s="75">
        <v>0</v>
      </c>
      <c r="L688" s="6">
        <v>136.102</v>
      </c>
      <c r="M688" s="75">
        <v>136.102</v>
      </c>
      <c r="N688" s="6">
        <v>136.102</v>
      </c>
      <c r="O688" s="75">
        <v>136.102</v>
      </c>
      <c r="P688" s="6">
        <v>0</v>
      </c>
      <c r="Q688" s="4" t="s">
        <v>26</v>
      </c>
      <c r="R688" s="4">
        <v>0</v>
      </c>
      <c r="S688" s="6">
        <v>0</v>
      </c>
      <c r="T688" s="6">
        <v>12</v>
      </c>
      <c r="U688" s="6">
        <v>66</v>
      </c>
      <c r="V688" s="75">
        <f>IF(ISERROR(VLOOKUP($S$688,'TAR FIN'!$A$1:$O$93,15,0)),0,VLOOKUP($S$688,'TAR FIN'!$A$1:$O$93,15,0))</f>
        <v>0</v>
      </c>
      <c r="W688" s="75">
        <f>IF(ISERROR(VLOOKUP($T$688,'TAR FIN'!$A$1:$O$93,15,0)),0,VLOOKUP($T$688,'TAR FIN'!$A$1:$O$93,15,0))*(1-0.04)</f>
        <v>1079.712</v>
      </c>
      <c r="X688" s="75">
        <f>IF(ISERROR(VLOOKUP($U$688,'TAR FIN'!$A$1:$O$93,15,0)),0,VLOOKUP($U$688,'TAR FIN'!$A$1:$O$93,15,0))*(1-0.04)</f>
        <v>177.77279999999999</v>
      </c>
      <c r="Y688" s="75"/>
      <c r="Z688" s="75">
        <f ca="1">('TUSD BE'!$AM$15+'TUSD BF'!$AM$15+'TUSD CVA'!$AM$15)*1*(1-0.02)</f>
        <v>1276.3186645234982</v>
      </c>
      <c r="AA688" s="75">
        <f>('TE BE'!$AB$7+'TE BF'!$AB$7+'TE CVA'!$AB$7)*1*(1-0.02)</f>
        <v>194.21830884065065</v>
      </c>
      <c r="AB688" s="6">
        <f>$K$688*$V$688</f>
        <v>0</v>
      </c>
      <c r="AC688" s="6">
        <f>$M$688*$W$688</f>
        <v>146950.96262400001</v>
      </c>
      <c r="AD688" s="6">
        <f>$O$688*$X$688</f>
        <v>24195.233625599998</v>
      </c>
      <c r="AE688" s="6">
        <f>$K$688*$Y$688</f>
        <v>0</v>
      </c>
      <c r="AF688" s="6">
        <f ca="1">$M$688*$Z$688</f>
        <v>173709.52287897715</v>
      </c>
      <c r="AG688" s="6">
        <f>$O$688*$AA$688</f>
        <v>26433.500269830234</v>
      </c>
    </row>
    <row r="689" spans="1:33" ht="11.25" customHeight="1" x14ac:dyDescent="0.25">
      <c r="A689" s="4" t="s">
        <v>28</v>
      </c>
      <c r="B689" s="4" t="s">
        <v>35</v>
      </c>
      <c r="C689" s="4" t="s">
        <v>39</v>
      </c>
      <c r="D689" s="4" t="s">
        <v>42</v>
      </c>
      <c r="E689" s="4" t="s">
        <v>25</v>
      </c>
      <c r="F689" s="4" t="s">
        <v>25</v>
      </c>
      <c r="G689" s="4" t="s">
        <v>25</v>
      </c>
      <c r="H689" s="4" t="s">
        <v>37</v>
      </c>
      <c r="I689" s="5">
        <v>44440</v>
      </c>
      <c r="J689" s="6">
        <v>0</v>
      </c>
      <c r="K689" s="75">
        <v>0</v>
      </c>
      <c r="L689" s="6">
        <v>2.2999999999999998</v>
      </c>
      <c r="M689" s="75">
        <v>2.2999999999999998</v>
      </c>
      <c r="N689" s="6">
        <v>2.2999999999999998</v>
      </c>
      <c r="O689" s="75">
        <v>2.2999999999999998</v>
      </c>
      <c r="P689" s="6">
        <v>0</v>
      </c>
      <c r="Q689" s="4" t="s">
        <v>26</v>
      </c>
      <c r="R689" s="4">
        <v>0</v>
      </c>
      <c r="S689" s="6">
        <v>0</v>
      </c>
      <c r="T689" s="6">
        <v>12</v>
      </c>
      <c r="U689" s="6">
        <v>66</v>
      </c>
      <c r="V689" s="75">
        <f>IF(ISERROR(VLOOKUP($S$689,'TAR FIN'!$A$1:$O$93,15,0)),0,VLOOKUP($S$689,'TAR FIN'!$A$1:$O$93,15,0))</f>
        <v>0</v>
      </c>
      <c r="W689" s="75">
        <f>IF(ISERROR(VLOOKUP($T$689,'TAR FIN'!$A$1:$O$93,15,0)),0,VLOOKUP($T$689,'TAR FIN'!$A$1:$O$93,15,0))*(1-0.04)</f>
        <v>1079.712</v>
      </c>
      <c r="X689" s="75">
        <f>IF(ISERROR(VLOOKUP($U$689,'TAR FIN'!$A$1:$O$93,15,0)),0,VLOOKUP($U$689,'TAR FIN'!$A$1:$O$93,15,0))*(1-0.04)</f>
        <v>177.77279999999999</v>
      </c>
      <c r="Y689" s="75"/>
      <c r="Z689" s="75">
        <f ca="1">('TUSD BE'!$AM$15+'TUSD BF'!$AM$15+'TUSD CVA'!$AM$15)*1*(1-0.02)</f>
        <v>1276.3186645234982</v>
      </c>
      <c r="AA689" s="75">
        <f>('TE BE'!$AB$7+'TE BF'!$AB$7+'TE CVA'!$AB$7)*1*(1-0.02)</f>
        <v>194.21830884065065</v>
      </c>
      <c r="AB689" s="6">
        <f>$K$689*$V$689</f>
        <v>0</v>
      </c>
      <c r="AC689" s="6">
        <f>$M$689*$W$689</f>
        <v>2483.3375999999998</v>
      </c>
      <c r="AD689" s="6">
        <f>$O$689*$X$689</f>
        <v>408.87743999999992</v>
      </c>
      <c r="AE689" s="6">
        <f>$K$689*$Y$689</f>
        <v>0</v>
      </c>
      <c r="AF689" s="6">
        <f ca="1">$M$689*$Z$689</f>
        <v>2935.5329284040458</v>
      </c>
      <c r="AG689" s="6">
        <f>$O$689*$AA$689</f>
        <v>446.70211033349648</v>
      </c>
    </row>
    <row r="690" spans="1:33" ht="11.25" customHeight="1" x14ac:dyDescent="0.25">
      <c r="A690" s="4" t="s">
        <v>21</v>
      </c>
      <c r="B690" s="4" t="s">
        <v>35</v>
      </c>
      <c r="C690" s="4" t="s">
        <v>39</v>
      </c>
      <c r="D690" s="4" t="s">
        <v>42</v>
      </c>
      <c r="E690" s="4" t="s">
        <v>25</v>
      </c>
      <c r="F690" s="4" t="s">
        <v>25</v>
      </c>
      <c r="G690" s="4" t="s">
        <v>25</v>
      </c>
      <c r="H690" s="4" t="s">
        <v>37</v>
      </c>
      <c r="I690" s="5">
        <v>44470</v>
      </c>
      <c r="J690" s="6">
        <v>0</v>
      </c>
      <c r="K690" s="75">
        <v>0</v>
      </c>
      <c r="L690" s="6">
        <v>120.999</v>
      </c>
      <c r="M690" s="75">
        <v>120.999</v>
      </c>
      <c r="N690" s="6">
        <v>120.999</v>
      </c>
      <c r="O690" s="75">
        <v>120.999</v>
      </c>
      <c r="P690" s="6">
        <v>0</v>
      </c>
      <c r="Q690" s="4" t="s">
        <v>26</v>
      </c>
      <c r="R690" s="4">
        <v>0</v>
      </c>
      <c r="S690" s="6">
        <v>0</v>
      </c>
      <c r="T690" s="6">
        <v>12</v>
      </c>
      <c r="U690" s="6">
        <v>66</v>
      </c>
      <c r="V690" s="75">
        <f>IF(ISERROR(VLOOKUP($S$690,'TAR FIN'!$A$1:$O$93,15,0)),0,VLOOKUP($S$690,'TAR FIN'!$A$1:$O$93,15,0))</f>
        <v>0</v>
      </c>
      <c r="W690" s="75">
        <f>IF(ISERROR(VLOOKUP($T$690,'TAR FIN'!$A$1:$O$93,15,0)),0,VLOOKUP($T$690,'TAR FIN'!$A$1:$O$93,15,0))*(1-0.04)</f>
        <v>1079.712</v>
      </c>
      <c r="X690" s="75">
        <f>IF(ISERROR(VLOOKUP($U$690,'TAR FIN'!$A$1:$O$93,15,0)),0,VLOOKUP($U$690,'TAR FIN'!$A$1:$O$93,15,0))*(1-0.04)</f>
        <v>177.77279999999999</v>
      </c>
      <c r="Y690" s="75"/>
      <c r="Z690" s="75">
        <f ca="1">('TUSD BE'!$AM$15+'TUSD BF'!$AM$15+'TUSD CVA'!$AM$15)*1*(1-0.02)</f>
        <v>1276.3186645234982</v>
      </c>
      <c r="AA690" s="75">
        <f>('TE BE'!$AB$7+'TE BF'!$AB$7+'TE CVA'!$AB$7)*1*(1-0.02)</f>
        <v>194.21830884065065</v>
      </c>
      <c r="AB690" s="6">
        <f>$K$690*$V$690</f>
        <v>0</v>
      </c>
      <c r="AC690" s="6">
        <f>$M$690*$W$690</f>
        <v>130644.072288</v>
      </c>
      <c r="AD690" s="6">
        <f>$O$690*$X$690</f>
        <v>21510.331027199998</v>
      </c>
      <c r="AE690" s="6">
        <f>$K$690*$Y$690</f>
        <v>0</v>
      </c>
      <c r="AF690" s="6">
        <f ca="1">$M$690*$Z$690</f>
        <v>154433.28208867877</v>
      </c>
      <c r="AG690" s="6">
        <f>$O$690*$AA$690</f>
        <v>23500.221151409885</v>
      </c>
    </row>
    <row r="691" spans="1:33" ht="11.25" customHeight="1" x14ac:dyDescent="0.25">
      <c r="A691" s="4" t="s">
        <v>28</v>
      </c>
      <c r="B691" s="4" t="s">
        <v>35</v>
      </c>
      <c r="C691" s="4" t="s">
        <v>39</v>
      </c>
      <c r="D691" s="4" t="s">
        <v>42</v>
      </c>
      <c r="E691" s="4" t="s">
        <v>25</v>
      </c>
      <c r="F691" s="4" t="s">
        <v>25</v>
      </c>
      <c r="G691" s="4" t="s">
        <v>25</v>
      </c>
      <c r="H691" s="4" t="s">
        <v>37</v>
      </c>
      <c r="I691" s="5">
        <v>44470</v>
      </c>
      <c r="J691" s="6">
        <v>0</v>
      </c>
      <c r="K691" s="75">
        <v>0</v>
      </c>
      <c r="L691" s="6">
        <v>2.38</v>
      </c>
      <c r="M691" s="75">
        <v>2.38</v>
      </c>
      <c r="N691" s="6">
        <v>2.38</v>
      </c>
      <c r="O691" s="75">
        <v>2.38</v>
      </c>
      <c r="P691" s="6">
        <v>0</v>
      </c>
      <c r="Q691" s="4" t="s">
        <v>26</v>
      </c>
      <c r="R691" s="4">
        <v>0</v>
      </c>
      <c r="S691" s="6">
        <v>0</v>
      </c>
      <c r="T691" s="6">
        <v>12</v>
      </c>
      <c r="U691" s="6">
        <v>66</v>
      </c>
      <c r="V691" s="75">
        <f>IF(ISERROR(VLOOKUP($S$691,'TAR FIN'!$A$1:$O$93,15,0)),0,VLOOKUP($S$691,'TAR FIN'!$A$1:$O$93,15,0))</f>
        <v>0</v>
      </c>
      <c r="W691" s="75">
        <f>IF(ISERROR(VLOOKUP($T$691,'TAR FIN'!$A$1:$O$93,15,0)),0,VLOOKUP($T$691,'TAR FIN'!$A$1:$O$93,15,0))*(1-0.04)</f>
        <v>1079.712</v>
      </c>
      <c r="X691" s="75">
        <f>IF(ISERROR(VLOOKUP($U$691,'TAR FIN'!$A$1:$O$93,15,0)),0,VLOOKUP($U$691,'TAR FIN'!$A$1:$O$93,15,0))*(1-0.04)</f>
        <v>177.77279999999999</v>
      </c>
      <c r="Y691" s="75"/>
      <c r="Z691" s="75">
        <f ca="1">('TUSD BE'!$AM$15+'TUSD BF'!$AM$15+'TUSD CVA'!$AM$15)*1*(1-0.02)</f>
        <v>1276.3186645234982</v>
      </c>
      <c r="AA691" s="75">
        <f>('TE BE'!$AB$7+'TE BF'!$AB$7+'TE CVA'!$AB$7)*1*(1-0.02)</f>
        <v>194.21830884065065</v>
      </c>
      <c r="AB691" s="6">
        <f>$K$691*$V$691</f>
        <v>0</v>
      </c>
      <c r="AC691" s="6">
        <f>$M$691*$W$691</f>
        <v>2569.7145599999999</v>
      </c>
      <c r="AD691" s="6">
        <f>$O$691*$X$691</f>
        <v>423.09926399999995</v>
      </c>
      <c r="AE691" s="6">
        <f>$K$691*$Y$691</f>
        <v>0</v>
      </c>
      <c r="AF691" s="6">
        <f ca="1">$M$691*$Z$691</f>
        <v>3037.6384215659255</v>
      </c>
      <c r="AG691" s="6">
        <f>$O$691*$AA$691</f>
        <v>462.23957504074855</v>
      </c>
    </row>
    <row r="692" spans="1:33" ht="11.25" customHeight="1" x14ac:dyDescent="0.25">
      <c r="A692" s="4" t="s">
        <v>21</v>
      </c>
      <c r="B692" s="4" t="s">
        <v>35</v>
      </c>
      <c r="C692" s="4" t="s">
        <v>39</v>
      </c>
      <c r="D692" s="4" t="s">
        <v>42</v>
      </c>
      <c r="E692" s="4" t="s">
        <v>25</v>
      </c>
      <c r="F692" s="4" t="s">
        <v>25</v>
      </c>
      <c r="G692" s="4" t="s">
        <v>25</v>
      </c>
      <c r="H692" s="4" t="s">
        <v>37</v>
      </c>
      <c r="I692" s="5">
        <v>44501</v>
      </c>
      <c r="J692" s="6">
        <v>0</v>
      </c>
      <c r="K692" s="75">
        <v>0</v>
      </c>
      <c r="L692" s="6">
        <v>132.96199999999999</v>
      </c>
      <c r="M692" s="75">
        <v>132.96199999999999</v>
      </c>
      <c r="N692" s="6">
        <v>132.96199999999999</v>
      </c>
      <c r="O692" s="75">
        <v>132.96199999999999</v>
      </c>
      <c r="P692" s="6">
        <v>0</v>
      </c>
      <c r="Q692" s="4" t="s">
        <v>26</v>
      </c>
      <c r="R692" s="4">
        <v>0</v>
      </c>
      <c r="S692" s="6">
        <v>0</v>
      </c>
      <c r="T692" s="6">
        <v>12</v>
      </c>
      <c r="U692" s="6">
        <v>66</v>
      </c>
      <c r="V692" s="75">
        <f>IF(ISERROR(VLOOKUP($S$692,'TAR FIN'!$A$1:$O$93,15,0)),0,VLOOKUP($S$692,'TAR FIN'!$A$1:$O$93,15,0))</f>
        <v>0</v>
      </c>
      <c r="W692" s="75">
        <f>IF(ISERROR(VLOOKUP($T$692,'TAR FIN'!$A$1:$O$93,15,0)),0,VLOOKUP($T$692,'TAR FIN'!$A$1:$O$93,15,0))*(1-0.04)</f>
        <v>1079.712</v>
      </c>
      <c r="X692" s="75">
        <f>IF(ISERROR(VLOOKUP($U$692,'TAR FIN'!$A$1:$O$93,15,0)),0,VLOOKUP($U$692,'TAR FIN'!$A$1:$O$93,15,0))*(1-0.04)</f>
        <v>177.77279999999999</v>
      </c>
      <c r="Y692" s="75"/>
      <c r="Z692" s="75">
        <f ca="1">('TUSD BE'!$AM$15+'TUSD BF'!$AM$15+'TUSD CVA'!$AM$15)*1*(1-0.02)</f>
        <v>1276.3186645234982</v>
      </c>
      <c r="AA692" s="75">
        <f>('TE BE'!$AB$7+'TE BF'!$AB$7+'TE CVA'!$AB$7)*1*(1-0.02)</f>
        <v>194.21830884065065</v>
      </c>
      <c r="AB692" s="6">
        <f>$K$692*$V$692</f>
        <v>0</v>
      </c>
      <c r="AC692" s="6">
        <f>$M$692*$W$692</f>
        <v>143560.666944</v>
      </c>
      <c r="AD692" s="6">
        <f>$O$692*$X$692</f>
        <v>23637.027033599996</v>
      </c>
      <c r="AE692" s="6">
        <f>$K$692*$Y$692</f>
        <v>0</v>
      </c>
      <c r="AF692" s="6">
        <f ca="1">$M$692*$Z$692</f>
        <v>169701.88227237336</v>
      </c>
      <c r="AG692" s="6">
        <f>$O$692*$AA$692</f>
        <v>25823.654780070588</v>
      </c>
    </row>
    <row r="693" spans="1:33" ht="11.25" customHeight="1" x14ac:dyDescent="0.25">
      <c r="A693" s="4" t="s">
        <v>28</v>
      </c>
      <c r="B693" s="4" t="s">
        <v>35</v>
      </c>
      <c r="C693" s="4" t="s">
        <v>39</v>
      </c>
      <c r="D693" s="4" t="s">
        <v>42</v>
      </c>
      <c r="E693" s="4" t="s">
        <v>25</v>
      </c>
      <c r="F693" s="4" t="s">
        <v>25</v>
      </c>
      <c r="G693" s="4" t="s">
        <v>25</v>
      </c>
      <c r="H693" s="4" t="s">
        <v>37</v>
      </c>
      <c r="I693" s="5">
        <v>44501</v>
      </c>
      <c r="J693" s="6">
        <v>0</v>
      </c>
      <c r="K693" s="75">
        <v>0</v>
      </c>
      <c r="L693" s="6">
        <v>1.77</v>
      </c>
      <c r="M693" s="75">
        <v>1.77</v>
      </c>
      <c r="N693" s="6">
        <v>1.77</v>
      </c>
      <c r="O693" s="75">
        <v>1.77</v>
      </c>
      <c r="P693" s="6">
        <v>0</v>
      </c>
      <c r="Q693" s="4" t="s">
        <v>26</v>
      </c>
      <c r="R693" s="4">
        <v>0</v>
      </c>
      <c r="S693" s="6">
        <v>0</v>
      </c>
      <c r="T693" s="6">
        <v>12</v>
      </c>
      <c r="U693" s="6">
        <v>66</v>
      </c>
      <c r="V693" s="75">
        <f>IF(ISERROR(VLOOKUP($S$693,'TAR FIN'!$A$1:$O$93,15,0)),0,VLOOKUP($S$693,'TAR FIN'!$A$1:$O$93,15,0))</f>
        <v>0</v>
      </c>
      <c r="W693" s="75">
        <f>IF(ISERROR(VLOOKUP($T$693,'TAR FIN'!$A$1:$O$93,15,0)),0,VLOOKUP($T$693,'TAR FIN'!$A$1:$O$93,15,0))*(1-0.04)</f>
        <v>1079.712</v>
      </c>
      <c r="X693" s="75">
        <f>IF(ISERROR(VLOOKUP($U$693,'TAR FIN'!$A$1:$O$93,15,0)),0,VLOOKUP($U$693,'TAR FIN'!$A$1:$O$93,15,0))*(1-0.04)</f>
        <v>177.77279999999999</v>
      </c>
      <c r="Y693" s="75"/>
      <c r="Z693" s="75">
        <f ca="1">('TUSD BE'!$AM$15+'TUSD BF'!$AM$15+'TUSD CVA'!$AM$15)*1*(1-0.02)</f>
        <v>1276.3186645234982</v>
      </c>
      <c r="AA693" s="75">
        <f>('TE BE'!$AB$7+'TE BF'!$AB$7+'TE CVA'!$AB$7)*1*(1-0.02)</f>
        <v>194.21830884065065</v>
      </c>
      <c r="AB693" s="6">
        <f>$K$693*$V$693</f>
        <v>0</v>
      </c>
      <c r="AC693" s="6">
        <f>$M$693*$W$693</f>
        <v>1911.09024</v>
      </c>
      <c r="AD693" s="6">
        <f>$O$693*$X$693</f>
        <v>314.65785599999998</v>
      </c>
      <c r="AE693" s="6">
        <f>$K$693*$Y$693</f>
        <v>0</v>
      </c>
      <c r="AF693" s="6">
        <f ca="1">$M$693*$Z$693</f>
        <v>2259.0840362065919</v>
      </c>
      <c r="AG693" s="6">
        <f>$O$693*$AA$693</f>
        <v>343.76640664795167</v>
      </c>
    </row>
    <row r="694" spans="1:33" ht="11.25" customHeight="1" x14ac:dyDescent="0.25">
      <c r="A694" s="4" t="s">
        <v>21</v>
      </c>
      <c r="B694" s="4" t="s">
        <v>35</v>
      </c>
      <c r="C694" s="4" t="s">
        <v>39</v>
      </c>
      <c r="D694" s="4" t="s">
        <v>42</v>
      </c>
      <c r="E694" s="4" t="s">
        <v>25</v>
      </c>
      <c r="F694" s="4" t="s">
        <v>25</v>
      </c>
      <c r="G694" s="4" t="s">
        <v>25</v>
      </c>
      <c r="H694" s="4" t="s">
        <v>37</v>
      </c>
      <c r="I694" s="5">
        <v>44531</v>
      </c>
      <c r="J694" s="6">
        <v>0</v>
      </c>
      <c r="K694" s="75">
        <v>0</v>
      </c>
      <c r="L694" s="6">
        <v>180.17500000000001</v>
      </c>
      <c r="M694" s="75">
        <v>180.17500000000001</v>
      </c>
      <c r="N694" s="6">
        <v>180.17500000000001</v>
      </c>
      <c r="O694" s="75">
        <v>180.17500000000001</v>
      </c>
      <c r="P694" s="6">
        <v>0</v>
      </c>
      <c r="Q694" s="4" t="s">
        <v>26</v>
      </c>
      <c r="R694" s="4">
        <v>0</v>
      </c>
      <c r="S694" s="6">
        <v>0</v>
      </c>
      <c r="T694" s="6">
        <v>12</v>
      </c>
      <c r="U694" s="6">
        <v>66</v>
      </c>
      <c r="V694" s="75">
        <f>IF(ISERROR(VLOOKUP($S$694,'TAR FIN'!$A$1:$O$93,15,0)),0,VLOOKUP($S$694,'TAR FIN'!$A$1:$O$93,15,0))</f>
        <v>0</v>
      </c>
      <c r="W694" s="75">
        <f>IF(ISERROR(VLOOKUP($T$694,'TAR FIN'!$A$1:$O$93,15,0)),0,VLOOKUP($T$694,'TAR FIN'!$A$1:$O$93,15,0))*(1-0.04)</f>
        <v>1079.712</v>
      </c>
      <c r="X694" s="75">
        <f>IF(ISERROR(VLOOKUP($U$694,'TAR FIN'!$A$1:$O$93,15,0)),0,VLOOKUP($U$694,'TAR FIN'!$A$1:$O$93,15,0))*(1-0.04)</f>
        <v>177.77279999999999</v>
      </c>
      <c r="Y694" s="75"/>
      <c r="Z694" s="75">
        <f ca="1">('TUSD BE'!$AM$15+'TUSD BF'!$AM$15+'TUSD CVA'!$AM$15)*1*(1-0.02)</f>
        <v>1276.3186645234982</v>
      </c>
      <c r="AA694" s="75">
        <f>('TE BE'!$AB$7+'TE BF'!$AB$7+'TE CVA'!$AB$7)*1*(1-0.02)</f>
        <v>194.21830884065065</v>
      </c>
      <c r="AB694" s="6">
        <f>$K$694*$V$694</f>
        <v>0</v>
      </c>
      <c r="AC694" s="6">
        <f>$M$694*$W$694</f>
        <v>194537.1096</v>
      </c>
      <c r="AD694" s="6">
        <f>$O$694*$X$694</f>
        <v>32030.214240000001</v>
      </c>
      <c r="AE694" s="6">
        <f>$K$694*$Y$694</f>
        <v>0</v>
      </c>
      <c r="AF694" s="6">
        <f ca="1">$M$694*$Z$694</f>
        <v>229960.71538052132</v>
      </c>
      <c r="AG694" s="6">
        <f>$O$694*$AA$694</f>
        <v>34993.28379536423</v>
      </c>
    </row>
    <row r="695" spans="1:33" ht="11.25" customHeight="1" x14ac:dyDescent="0.25">
      <c r="A695" s="4" t="s">
        <v>21</v>
      </c>
      <c r="B695" s="4" t="s">
        <v>35</v>
      </c>
      <c r="C695" s="4" t="s">
        <v>39</v>
      </c>
      <c r="D695" s="4" t="s">
        <v>42</v>
      </c>
      <c r="E695" s="4" t="s">
        <v>25</v>
      </c>
      <c r="F695" s="4" t="s">
        <v>25</v>
      </c>
      <c r="G695" s="4" t="s">
        <v>25</v>
      </c>
      <c r="H695" s="4" t="s">
        <v>37</v>
      </c>
      <c r="I695" s="5">
        <v>44562</v>
      </c>
      <c r="J695" s="6">
        <v>0</v>
      </c>
      <c r="K695" s="75">
        <v>0</v>
      </c>
      <c r="L695" s="6">
        <v>152.501</v>
      </c>
      <c r="M695" s="75">
        <v>152.501</v>
      </c>
      <c r="N695" s="6">
        <v>152.501</v>
      </c>
      <c r="O695" s="75">
        <v>152.501</v>
      </c>
      <c r="P695" s="6">
        <v>0</v>
      </c>
      <c r="Q695" s="4" t="s">
        <v>26</v>
      </c>
      <c r="R695" s="4">
        <v>0</v>
      </c>
      <c r="S695" s="6">
        <v>0</v>
      </c>
      <c r="T695" s="6">
        <v>12</v>
      </c>
      <c r="U695" s="6">
        <v>66</v>
      </c>
      <c r="V695" s="75">
        <f>IF(ISERROR(VLOOKUP($S$695,'TAR FIN'!$A$1:$O$93,15,0)),0,VLOOKUP($S$695,'TAR FIN'!$A$1:$O$93,15,0))</f>
        <v>0</v>
      </c>
      <c r="W695" s="75">
        <f>IF(ISERROR(VLOOKUP($T$695,'TAR FIN'!$A$1:$O$93,15,0)),0,VLOOKUP($T$695,'TAR FIN'!$A$1:$O$93,15,0))*(1-0.04)</f>
        <v>1079.712</v>
      </c>
      <c r="X695" s="75">
        <f>IF(ISERROR(VLOOKUP($U$695,'TAR FIN'!$A$1:$O$93,15,0)),0,VLOOKUP($U$695,'TAR FIN'!$A$1:$O$93,15,0))*(1-0.04)</f>
        <v>177.77279999999999</v>
      </c>
      <c r="Y695" s="75"/>
      <c r="Z695" s="75">
        <f ca="1">('TUSD BE'!$AM$15+'TUSD BF'!$AM$15+'TUSD CVA'!$AM$15)*1*(1-0.02)</f>
        <v>1276.3186645234982</v>
      </c>
      <c r="AA695" s="75">
        <f>('TE BE'!$AB$7+'TE BF'!$AB$7+'TE CVA'!$AB$7)*1*(1-0.02)</f>
        <v>194.21830884065065</v>
      </c>
      <c r="AB695" s="6">
        <f>$K$695*$V$695</f>
        <v>0</v>
      </c>
      <c r="AC695" s="6">
        <f>$M$695*$W$695</f>
        <v>164657.15971199999</v>
      </c>
      <c r="AD695" s="6">
        <f>$O$695*$X$695</f>
        <v>27110.529772800001</v>
      </c>
      <c r="AE695" s="6">
        <f>$K$695*$Y$695</f>
        <v>0</v>
      </c>
      <c r="AF695" s="6">
        <f ca="1">$M$695*$Z$695</f>
        <v>194639.872658498</v>
      </c>
      <c r="AG695" s="6">
        <f>$O$695*$AA$695</f>
        <v>29618.486316508064</v>
      </c>
    </row>
    <row r="696" spans="1:33" ht="11.25" customHeight="1" x14ac:dyDescent="0.25">
      <c r="A696" s="4" t="s">
        <v>27</v>
      </c>
      <c r="B696" s="4" t="s">
        <v>35</v>
      </c>
      <c r="C696" s="4" t="s">
        <v>39</v>
      </c>
      <c r="D696" s="4" t="s">
        <v>42</v>
      </c>
      <c r="E696" s="4" t="s">
        <v>25</v>
      </c>
      <c r="F696" s="4" t="s">
        <v>25</v>
      </c>
      <c r="G696" s="4" t="s">
        <v>25</v>
      </c>
      <c r="H696" s="4" t="s">
        <v>37</v>
      </c>
      <c r="I696" s="5">
        <v>44562</v>
      </c>
      <c r="J696" s="6">
        <v>0</v>
      </c>
      <c r="K696" s="75">
        <v>0</v>
      </c>
      <c r="L696" s="6">
        <v>-6.407</v>
      </c>
      <c r="M696" s="75">
        <v>-6.407</v>
      </c>
      <c r="N696" s="6">
        <v>-6.407</v>
      </c>
      <c r="O696" s="75">
        <v>-6.407</v>
      </c>
      <c r="P696" s="6">
        <v>0</v>
      </c>
      <c r="Q696" s="4" t="s">
        <v>26</v>
      </c>
      <c r="R696" s="4">
        <v>0</v>
      </c>
      <c r="S696" s="6">
        <v>0</v>
      </c>
      <c r="T696" s="6">
        <v>12</v>
      </c>
      <c r="U696" s="6">
        <v>66</v>
      </c>
      <c r="V696" s="75">
        <f>IF(ISERROR(VLOOKUP($S$696,'TAR FIN'!$A$1:$O$93,15,0)),0,VLOOKUP($S$696,'TAR FIN'!$A$1:$O$93,15,0))</f>
        <v>0</v>
      </c>
      <c r="W696" s="75">
        <f>IF(ISERROR(VLOOKUP($T$696,'TAR FIN'!$A$1:$O$93,15,0)),0,VLOOKUP($T$696,'TAR FIN'!$A$1:$O$93,15,0))*(1-0.04)</f>
        <v>1079.712</v>
      </c>
      <c r="X696" s="75">
        <f>IF(ISERROR(VLOOKUP($U$696,'TAR FIN'!$A$1:$O$93,15,0)),0,VLOOKUP($U$696,'TAR FIN'!$A$1:$O$93,15,0))*(1-0.04)</f>
        <v>177.77279999999999</v>
      </c>
      <c r="Y696" s="75"/>
      <c r="Z696" s="75">
        <f ca="1">('TUSD BE'!$AM$15+'TUSD BF'!$AM$15+'TUSD CVA'!$AM$15)*1*(1-0.02)</f>
        <v>1276.3186645234982</v>
      </c>
      <c r="AA696" s="75">
        <f>('TE BE'!$AB$7+'TE BF'!$AB$7+'TE CVA'!$AB$7)*1*(1-0.02)</f>
        <v>194.21830884065065</v>
      </c>
      <c r="AB696" s="6">
        <f>$K$696*$V$696</f>
        <v>0</v>
      </c>
      <c r="AC696" s="6">
        <f>$M$696*$W$696</f>
        <v>-6917.7147839999998</v>
      </c>
      <c r="AD696" s="6">
        <f>$O$696*$X$696</f>
        <v>-1138.9903296</v>
      </c>
      <c r="AE696" s="6">
        <f>$K$696*$Y$696</f>
        <v>0</v>
      </c>
      <c r="AF696" s="6">
        <f ca="1">$M$696*$Z$696</f>
        <v>-8177.3736836020535</v>
      </c>
      <c r="AG696" s="6">
        <f>$O$696*$AA$696</f>
        <v>-1244.3567047420488</v>
      </c>
    </row>
    <row r="697" spans="1:33" ht="11.25" customHeight="1" x14ac:dyDescent="0.25">
      <c r="A697" s="4" t="s">
        <v>28</v>
      </c>
      <c r="B697" s="4" t="s">
        <v>35</v>
      </c>
      <c r="C697" s="4" t="s">
        <v>39</v>
      </c>
      <c r="D697" s="4" t="s">
        <v>42</v>
      </c>
      <c r="E697" s="4" t="s">
        <v>25</v>
      </c>
      <c r="F697" s="4" t="s">
        <v>25</v>
      </c>
      <c r="G697" s="4" t="s">
        <v>25</v>
      </c>
      <c r="H697" s="4" t="s">
        <v>37</v>
      </c>
      <c r="I697" s="5">
        <v>44562</v>
      </c>
      <c r="J697" s="6">
        <v>0</v>
      </c>
      <c r="K697" s="75">
        <v>0</v>
      </c>
      <c r="L697" s="6">
        <v>1.26</v>
      </c>
      <c r="M697" s="75">
        <v>1.26</v>
      </c>
      <c r="N697" s="6">
        <v>1.26</v>
      </c>
      <c r="O697" s="75">
        <v>1.26</v>
      </c>
      <c r="P697" s="6">
        <v>0</v>
      </c>
      <c r="Q697" s="4" t="s">
        <v>26</v>
      </c>
      <c r="R697" s="4">
        <v>0</v>
      </c>
      <c r="S697" s="6">
        <v>0</v>
      </c>
      <c r="T697" s="6">
        <v>12</v>
      </c>
      <c r="U697" s="6">
        <v>66</v>
      </c>
      <c r="V697" s="75">
        <f>IF(ISERROR(VLOOKUP($S$697,'TAR FIN'!$A$1:$O$93,15,0)),0,VLOOKUP($S$697,'TAR FIN'!$A$1:$O$93,15,0))</f>
        <v>0</v>
      </c>
      <c r="W697" s="75">
        <f>IF(ISERROR(VLOOKUP($T$697,'TAR FIN'!$A$1:$O$93,15,0)),0,VLOOKUP($T$697,'TAR FIN'!$A$1:$O$93,15,0))*(1-0.04)</f>
        <v>1079.712</v>
      </c>
      <c r="X697" s="75">
        <f>IF(ISERROR(VLOOKUP($U$697,'TAR FIN'!$A$1:$O$93,15,0)),0,VLOOKUP($U$697,'TAR FIN'!$A$1:$O$93,15,0))*(1-0.04)</f>
        <v>177.77279999999999</v>
      </c>
      <c r="Y697" s="75"/>
      <c r="Z697" s="75">
        <f ca="1">('TUSD BE'!$AM$15+'TUSD BF'!$AM$15+'TUSD CVA'!$AM$15)*1*(1-0.02)</f>
        <v>1276.3186645234982</v>
      </c>
      <c r="AA697" s="75">
        <f>('TE BE'!$AB$7+'TE BF'!$AB$7+'TE CVA'!$AB$7)*1*(1-0.02)</f>
        <v>194.21830884065065</v>
      </c>
      <c r="AB697" s="6">
        <f>$K$697*$V$697</f>
        <v>0</v>
      </c>
      <c r="AC697" s="6">
        <f>$M$697*$W$697</f>
        <v>1360.43712</v>
      </c>
      <c r="AD697" s="6">
        <f>$O$697*$X$697</f>
        <v>223.99372799999998</v>
      </c>
      <c r="AE697" s="6">
        <f>$K$697*$Y$697</f>
        <v>0</v>
      </c>
      <c r="AF697" s="6">
        <f ca="1">$M$697*$Z$697</f>
        <v>1608.1615172996078</v>
      </c>
      <c r="AG697" s="6">
        <f>$O$697*$AA$697</f>
        <v>244.71506913921982</v>
      </c>
    </row>
    <row r="698" spans="1:33" ht="11.25" customHeight="1" x14ac:dyDescent="0.25">
      <c r="A698" s="4" t="s">
        <v>21</v>
      </c>
      <c r="B698" s="4" t="s">
        <v>35</v>
      </c>
      <c r="C698" s="4" t="s">
        <v>39</v>
      </c>
      <c r="D698" s="4" t="s">
        <v>42</v>
      </c>
      <c r="E698" s="4" t="s">
        <v>25</v>
      </c>
      <c r="F698" s="4" t="s">
        <v>25</v>
      </c>
      <c r="G698" s="4" t="s">
        <v>25</v>
      </c>
      <c r="H698" s="4" t="s">
        <v>37</v>
      </c>
      <c r="I698" s="5">
        <v>44593</v>
      </c>
      <c r="J698" s="6">
        <v>0</v>
      </c>
      <c r="K698" s="75">
        <v>0</v>
      </c>
      <c r="L698" s="6">
        <v>221.345</v>
      </c>
      <c r="M698" s="75">
        <v>221.345</v>
      </c>
      <c r="N698" s="6">
        <v>221.345</v>
      </c>
      <c r="O698" s="75">
        <v>221.345</v>
      </c>
      <c r="P698" s="6">
        <v>0</v>
      </c>
      <c r="Q698" s="4" t="s">
        <v>26</v>
      </c>
      <c r="R698" s="4">
        <v>0</v>
      </c>
      <c r="S698" s="6">
        <v>0</v>
      </c>
      <c r="T698" s="6">
        <v>12</v>
      </c>
      <c r="U698" s="6">
        <v>66</v>
      </c>
      <c r="V698" s="75">
        <f>IF(ISERROR(VLOOKUP($S$698,'TAR FIN'!$A$1:$O$93,15,0)),0,VLOOKUP($S$698,'TAR FIN'!$A$1:$O$93,15,0))</f>
        <v>0</v>
      </c>
      <c r="W698" s="75">
        <f>IF(ISERROR(VLOOKUP($T$698,'TAR FIN'!$A$1:$O$93,15,0)),0,VLOOKUP($T$698,'TAR FIN'!$A$1:$O$93,15,0))*(1-0.04)</f>
        <v>1079.712</v>
      </c>
      <c r="X698" s="75">
        <f>IF(ISERROR(VLOOKUP($U$698,'TAR FIN'!$A$1:$O$93,15,0)),0,VLOOKUP($U$698,'TAR FIN'!$A$1:$O$93,15,0))*(1-0.04)</f>
        <v>177.77279999999999</v>
      </c>
      <c r="Y698" s="75"/>
      <c r="Z698" s="75">
        <f ca="1">('TUSD BE'!$AM$15+'TUSD BF'!$AM$15+'TUSD CVA'!$AM$15)*1*(1-0.02)</f>
        <v>1276.3186645234982</v>
      </c>
      <c r="AA698" s="75">
        <f>('TE BE'!$AB$7+'TE BF'!$AB$7+'TE CVA'!$AB$7)*1*(1-0.02)</f>
        <v>194.21830884065065</v>
      </c>
      <c r="AB698" s="6">
        <f>$K$698*$V$698</f>
        <v>0</v>
      </c>
      <c r="AC698" s="6">
        <f>$M$698*$W$698</f>
        <v>238988.85264</v>
      </c>
      <c r="AD698" s="6">
        <f>$O$698*$X$698</f>
        <v>39349.120415999998</v>
      </c>
      <c r="AE698" s="6">
        <f>$K$698*$Y$698</f>
        <v>0</v>
      </c>
      <c r="AF698" s="6">
        <f ca="1">$M$698*$Z$698</f>
        <v>282506.75479895371</v>
      </c>
      <c r="AG698" s="6">
        <f>$O$698*$AA$698</f>
        <v>42989.251570333821</v>
      </c>
    </row>
    <row r="699" spans="1:33" ht="11.25" customHeight="1" x14ac:dyDescent="0.25">
      <c r="A699" s="4" t="s">
        <v>27</v>
      </c>
      <c r="B699" s="4" t="s">
        <v>35</v>
      </c>
      <c r="C699" s="4" t="s">
        <v>39</v>
      </c>
      <c r="D699" s="4" t="s">
        <v>42</v>
      </c>
      <c r="E699" s="4" t="s">
        <v>25</v>
      </c>
      <c r="F699" s="4" t="s">
        <v>25</v>
      </c>
      <c r="G699" s="4" t="s">
        <v>25</v>
      </c>
      <c r="H699" s="4" t="s">
        <v>37</v>
      </c>
      <c r="I699" s="5">
        <v>44593</v>
      </c>
      <c r="J699" s="6">
        <v>0</v>
      </c>
      <c r="K699" s="75">
        <v>0</v>
      </c>
      <c r="L699" s="6">
        <v>-11.286</v>
      </c>
      <c r="M699" s="75">
        <v>-11.286</v>
      </c>
      <c r="N699" s="6">
        <v>-11.286</v>
      </c>
      <c r="O699" s="75">
        <v>-11.286</v>
      </c>
      <c r="P699" s="6">
        <v>0</v>
      </c>
      <c r="Q699" s="4" t="s">
        <v>26</v>
      </c>
      <c r="R699" s="4">
        <v>0</v>
      </c>
      <c r="S699" s="6">
        <v>0</v>
      </c>
      <c r="T699" s="6">
        <v>12</v>
      </c>
      <c r="U699" s="6">
        <v>66</v>
      </c>
      <c r="V699" s="75">
        <f>IF(ISERROR(VLOOKUP($S$699,'TAR FIN'!$A$1:$O$93,15,0)),0,VLOOKUP($S$699,'TAR FIN'!$A$1:$O$93,15,0))</f>
        <v>0</v>
      </c>
      <c r="W699" s="75">
        <f>IF(ISERROR(VLOOKUP($T$699,'TAR FIN'!$A$1:$O$93,15,0)),0,VLOOKUP($T$699,'TAR FIN'!$A$1:$O$93,15,0))*(1-0.04)</f>
        <v>1079.712</v>
      </c>
      <c r="X699" s="75">
        <f>IF(ISERROR(VLOOKUP($U$699,'TAR FIN'!$A$1:$O$93,15,0)),0,VLOOKUP($U$699,'TAR FIN'!$A$1:$O$93,15,0))*(1-0.04)</f>
        <v>177.77279999999999</v>
      </c>
      <c r="Y699" s="75"/>
      <c r="Z699" s="75">
        <f ca="1">('TUSD BE'!$AM$15+'TUSD BF'!$AM$15+'TUSD CVA'!$AM$15)*1*(1-0.02)</f>
        <v>1276.3186645234982</v>
      </c>
      <c r="AA699" s="75">
        <f>('TE BE'!$AB$7+'TE BF'!$AB$7+'TE CVA'!$AB$7)*1*(1-0.02)</f>
        <v>194.21830884065065</v>
      </c>
      <c r="AB699" s="6">
        <f>$K$699*$V$699</f>
        <v>0</v>
      </c>
      <c r="AC699" s="6">
        <f>$M$699*$W$699</f>
        <v>-12185.629632</v>
      </c>
      <c r="AD699" s="6">
        <f>$O$699*$X$699</f>
        <v>-2006.3438207999998</v>
      </c>
      <c r="AE699" s="6">
        <f>$K$699*$Y$699</f>
        <v>0</v>
      </c>
      <c r="AF699" s="6">
        <f ca="1">$M$699*$Z$699</f>
        <v>-14404.5324478122</v>
      </c>
      <c r="AG699" s="6">
        <f>$O$699*$AA$699</f>
        <v>-2191.947833575583</v>
      </c>
    </row>
    <row r="700" spans="1:33" ht="11.25" customHeight="1" x14ac:dyDescent="0.25">
      <c r="A700" s="4" t="s">
        <v>28</v>
      </c>
      <c r="B700" s="4" t="s">
        <v>35</v>
      </c>
      <c r="C700" s="4" t="s">
        <v>39</v>
      </c>
      <c r="D700" s="4" t="s">
        <v>42</v>
      </c>
      <c r="E700" s="4" t="s">
        <v>25</v>
      </c>
      <c r="F700" s="4" t="s">
        <v>25</v>
      </c>
      <c r="G700" s="4" t="s">
        <v>25</v>
      </c>
      <c r="H700" s="4" t="s">
        <v>37</v>
      </c>
      <c r="I700" s="5">
        <v>44593</v>
      </c>
      <c r="J700" s="6">
        <v>0</v>
      </c>
      <c r="K700" s="75">
        <v>0</v>
      </c>
      <c r="L700" s="6">
        <v>3.6779999999999999</v>
      </c>
      <c r="M700" s="75">
        <v>3.6779999999999999</v>
      </c>
      <c r="N700" s="6">
        <v>3.6779999999999999</v>
      </c>
      <c r="O700" s="75">
        <v>3.6779999999999999</v>
      </c>
      <c r="P700" s="6">
        <v>0</v>
      </c>
      <c r="Q700" s="4" t="s">
        <v>26</v>
      </c>
      <c r="R700" s="4">
        <v>0</v>
      </c>
      <c r="S700" s="6">
        <v>0</v>
      </c>
      <c r="T700" s="6">
        <v>12</v>
      </c>
      <c r="U700" s="6">
        <v>66</v>
      </c>
      <c r="V700" s="75">
        <f>IF(ISERROR(VLOOKUP($S$700,'TAR FIN'!$A$1:$O$93,15,0)),0,VLOOKUP($S$700,'TAR FIN'!$A$1:$O$93,15,0))</f>
        <v>0</v>
      </c>
      <c r="W700" s="75">
        <f>IF(ISERROR(VLOOKUP($T$700,'TAR FIN'!$A$1:$O$93,15,0)),0,VLOOKUP($T$700,'TAR FIN'!$A$1:$O$93,15,0))*(1-0.04)</f>
        <v>1079.712</v>
      </c>
      <c r="X700" s="75">
        <f>IF(ISERROR(VLOOKUP($U$700,'TAR FIN'!$A$1:$O$93,15,0)),0,VLOOKUP($U$700,'TAR FIN'!$A$1:$O$93,15,0))*(1-0.04)</f>
        <v>177.77279999999999</v>
      </c>
      <c r="Y700" s="75"/>
      <c r="Z700" s="75">
        <f ca="1">('TUSD BE'!$AM$15+'TUSD BF'!$AM$15+'TUSD CVA'!$AM$15)*1*(1-0.02)</f>
        <v>1276.3186645234982</v>
      </c>
      <c r="AA700" s="75">
        <f>('TE BE'!$AB$7+'TE BF'!$AB$7+'TE CVA'!$AB$7)*1*(1-0.02)</f>
        <v>194.21830884065065</v>
      </c>
      <c r="AB700" s="6">
        <f>$K$700*$V$700</f>
        <v>0</v>
      </c>
      <c r="AC700" s="6">
        <f>$M$700*$W$700</f>
        <v>3971.1807359999998</v>
      </c>
      <c r="AD700" s="6">
        <f>$O$700*$X$700</f>
        <v>653.84835839999994</v>
      </c>
      <c r="AE700" s="6">
        <f>$K$700*$Y$700</f>
        <v>0</v>
      </c>
      <c r="AF700" s="6">
        <f ca="1">$M$700*$Z$700</f>
        <v>4694.3000481174267</v>
      </c>
      <c r="AG700" s="6">
        <f>$O$700*$AA$700</f>
        <v>714.33493991591308</v>
      </c>
    </row>
    <row r="701" spans="1:33" ht="11.25" customHeight="1" x14ac:dyDescent="0.25">
      <c r="A701" s="4" t="s">
        <v>21</v>
      </c>
      <c r="B701" s="4" t="s">
        <v>35</v>
      </c>
      <c r="C701" s="4" t="s">
        <v>39</v>
      </c>
      <c r="D701" s="4" t="s">
        <v>42</v>
      </c>
      <c r="E701" s="4" t="s">
        <v>25</v>
      </c>
      <c r="F701" s="4" t="s">
        <v>25</v>
      </c>
      <c r="G701" s="4" t="s">
        <v>25</v>
      </c>
      <c r="H701" s="4" t="s">
        <v>37</v>
      </c>
      <c r="I701" s="5">
        <v>44621</v>
      </c>
      <c r="J701" s="6">
        <v>0</v>
      </c>
      <c r="K701" s="75">
        <v>0</v>
      </c>
      <c r="L701" s="6">
        <v>175.97300000000001</v>
      </c>
      <c r="M701" s="75">
        <v>175.97300000000001</v>
      </c>
      <c r="N701" s="6">
        <v>175.97300000000001</v>
      </c>
      <c r="O701" s="75">
        <v>175.97300000000001</v>
      </c>
      <c r="P701" s="6">
        <v>0</v>
      </c>
      <c r="Q701" s="4" t="s">
        <v>26</v>
      </c>
      <c r="R701" s="4">
        <v>0</v>
      </c>
      <c r="S701" s="6">
        <v>0</v>
      </c>
      <c r="T701" s="6">
        <v>12</v>
      </c>
      <c r="U701" s="6">
        <v>66</v>
      </c>
      <c r="V701" s="75">
        <f>IF(ISERROR(VLOOKUP($S$701,'TAR FIN'!$A$1:$O$93,15,0)),0,VLOOKUP($S$701,'TAR FIN'!$A$1:$O$93,15,0))</f>
        <v>0</v>
      </c>
      <c r="W701" s="75">
        <f>IF(ISERROR(VLOOKUP($T$701,'TAR FIN'!$A$1:$O$93,15,0)),0,VLOOKUP($T$701,'TAR FIN'!$A$1:$O$93,15,0))*(1-0.04)</f>
        <v>1079.712</v>
      </c>
      <c r="X701" s="75">
        <f>IF(ISERROR(VLOOKUP($U$701,'TAR FIN'!$A$1:$O$93,15,0)),0,VLOOKUP($U$701,'TAR FIN'!$A$1:$O$93,15,0))*(1-0.04)</f>
        <v>177.77279999999999</v>
      </c>
      <c r="Y701" s="75"/>
      <c r="Z701" s="75">
        <f ca="1">('TUSD BE'!$AM$15+'TUSD BF'!$AM$15+'TUSD CVA'!$AM$15)*1*(1-0.02)</f>
        <v>1276.3186645234982</v>
      </c>
      <c r="AA701" s="75">
        <f>('TE BE'!$AB$7+'TE BF'!$AB$7+'TE CVA'!$AB$7)*1*(1-0.02)</f>
        <v>194.21830884065065</v>
      </c>
      <c r="AB701" s="6">
        <f>$K$701*$V$701</f>
        <v>0</v>
      </c>
      <c r="AC701" s="6">
        <f>$M$701*$W$701</f>
        <v>190000.15977600001</v>
      </c>
      <c r="AD701" s="6">
        <f>$O$701*$X$701</f>
        <v>31283.212934400002</v>
      </c>
      <c r="AE701" s="6">
        <f>$K$701*$Y$701</f>
        <v>0</v>
      </c>
      <c r="AF701" s="6">
        <f ca="1">$M$701*$Z$701</f>
        <v>224597.62435219358</v>
      </c>
      <c r="AG701" s="6">
        <f>$O$701*$AA$701</f>
        <v>34177.178461615818</v>
      </c>
    </row>
    <row r="702" spans="1:33" ht="11.25" customHeight="1" x14ac:dyDescent="0.25">
      <c r="A702" s="4" t="s">
        <v>27</v>
      </c>
      <c r="B702" s="4" t="s">
        <v>35</v>
      </c>
      <c r="C702" s="4" t="s">
        <v>39</v>
      </c>
      <c r="D702" s="4" t="s">
        <v>42</v>
      </c>
      <c r="E702" s="4" t="s">
        <v>25</v>
      </c>
      <c r="F702" s="4" t="s">
        <v>25</v>
      </c>
      <c r="G702" s="4" t="s">
        <v>25</v>
      </c>
      <c r="H702" s="4" t="s">
        <v>37</v>
      </c>
      <c r="I702" s="5">
        <v>44621</v>
      </c>
      <c r="J702" s="6">
        <v>0</v>
      </c>
      <c r="K702" s="75">
        <v>0</v>
      </c>
      <c r="L702" s="6">
        <v>-5.3170000000000002</v>
      </c>
      <c r="M702" s="75">
        <v>-5.3170000000000002</v>
      </c>
      <c r="N702" s="6">
        <v>-5.3170000000000002</v>
      </c>
      <c r="O702" s="75">
        <v>-5.3170000000000002</v>
      </c>
      <c r="P702" s="6">
        <v>0</v>
      </c>
      <c r="Q702" s="4" t="s">
        <v>26</v>
      </c>
      <c r="R702" s="4">
        <v>0</v>
      </c>
      <c r="S702" s="6">
        <v>0</v>
      </c>
      <c r="T702" s="6">
        <v>12</v>
      </c>
      <c r="U702" s="6">
        <v>66</v>
      </c>
      <c r="V702" s="75">
        <f>IF(ISERROR(VLOOKUP($S$702,'TAR FIN'!$A$1:$O$93,15,0)),0,VLOOKUP($S$702,'TAR FIN'!$A$1:$O$93,15,0))</f>
        <v>0</v>
      </c>
      <c r="W702" s="75">
        <f>IF(ISERROR(VLOOKUP($T$702,'TAR FIN'!$A$1:$O$93,15,0)),0,VLOOKUP($T$702,'TAR FIN'!$A$1:$O$93,15,0))*(1-0.04)</f>
        <v>1079.712</v>
      </c>
      <c r="X702" s="75">
        <f>IF(ISERROR(VLOOKUP($U$702,'TAR FIN'!$A$1:$O$93,15,0)),0,VLOOKUP($U$702,'TAR FIN'!$A$1:$O$93,15,0))*(1-0.04)</f>
        <v>177.77279999999999</v>
      </c>
      <c r="Y702" s="75"/>
      <c r="Z702" s="75">
        <f ca="1">('TUSD BE'!$AM$15+'TUSD BF'!$AM$15+'TUSD CVA'!$AM$15)*1*(1-0.02)</f>
        <v>1276.3186645234982</v>
      </c>
      <c r="AA702" s="75">
        <f>('TE BE'!$AB$7+'TE BF'!$AB$7+'TE CVA'!$AB$7)*1*(1-0.02)</f>
        <v>194.21830884065065</v>
      </c>
      <c r="AB702" s="6">
        <f>$K$702*$V$702</f>
        <v>0</v>
      </c>
      <c r="AC702" s="6">
        <f>$M$702*$W$702</f>
        <v>-5740.8287040000005</v>
      </c>
      <c r="AD702" s="6">
        <f>$O$702*$X$702</f>
        <v>-945.21797759999993</v>
      </c>
      <c r="AE702" s="6">
        <f>$K$702*$Y$702</f>
        <v>0</v>
      </c>
      <c r="AF702" s="6">
        <f ca="1">$M$702*$Z$702</f>
        <v>-6786.1863392714404</v>
      </c>
      <c r="AG702" s="6">
        <f>$O$702*$AA$702</f>
        <v>-1032.6587481057395</v>
      </c>
    </row>
    <row r="703" spans="1:33" ht="11.25" customHeight="1" x14ac:dyDescent="0.25">
      <c r="A703" s="4" t="s">
        <v>28</v>
      </c>
      <c r="B703" s="4" t="s">
        <v>35</v>
      </c>
      <c r="C703" s="4" t="s">
        <v>39</v>
      </c>
      <c r="D703" s="4" t="s">
        <v>42</v>
      </c>
      <c r="E703" s="4" t="s">
        <v>25</v>
      </c>
      <c r="F703" s="4" t="s">
        <v>25</v>
      </c>
      <c r="G703" s="4" t="s">
        <v>25</v>
      </c>
      <c r="H703" s="4" t="s">
        <v>37</v>
      </c>
      <c r="I703" s="5">
        <v>44621</v>
      </c>
      <c r="J703" s="6">
        <v>0</v>
      </c>
      <c r="K703" s="75">
        <v>0</v>
      </c>
      <c r="L703" s="6">
        <v>13.201000000000001</v>
      </c>
      <c r="M703" s="75">
        <v>13.201000000000001</v>
      </c>
      <c r="N703" s="6">
        <v>13.201000000000001</v>
      </c>
      <c r="O703" s="75">
        <v>13.201000000000001</v>
      </c>
      <c r="P703" s="6">
        <v>0</v>
      </c>
      <c r="Q703" s="4" t="s">
        <v>26</v>
      </c>
      <c r="R703" s="4">
        <v>0</v>
      </c>
      <c r="S703" s="6">
        <v>0</v>
      </c>
      <c r="T703" s="6">
        <v>12</v>
      </c>
      <c r="U703" s="6">
        <v>66</v>
      </c>
      <c r="V703" s="75">
        <f>IF(ISERROR(VLOOKUP($S$703,'TAR FIN'!$A$1:$O$93,15,0)),0,VLOOKUP($S$703,'TAR FIN'!$A$1:$O$93,15,0))</f>
        <v>0</v>
      </c>
      <c r="W703" s="75">
        <f>IF(ISERROR(VLOOKUP($T$703,'TAR FIN'!$A$1:$O$93,15,0)),0,VLOOKUP($T$703,'TAR FIN'!$A$1:$O$93,15,0))*(1-0.04)</f>
        <v>1079.712</v>
      </c>
      <c r="X703" s="75">
        <f>IF(ISERROR(VLOOKUP($U$703,'TAR FIN'!$A$1:$O$93,15,0)),0,VLOOKUP($U$703,'TAR FIN'!$A$1:$O$93,15,0))*(1-0.04)</f>
        <v>177.77279999999999</v>
      </c>
      <c r="Y703" s="75"/>
      <c r="Z703" s="75">
        <f ca="1">('TUSD BE'!$AM$15+'TUSD BF'!$AM$15+'TUSD CVA'!$AM$15)*1*(1-0.02)</f>
        <v>1276.3186645234982</v>
      </c>
      <c r="AA703" s="75">
        <f>('TE BE'!$AB$7+'TE BF'!$AB$7+'TE CVA'!$AB$7)*1*(1-0.02)</f>
        <v>194.21830884065065</v>
      </c>
      <c r="AB703" s="6">
        <f>$K$703*$V$703</f>
        <v>0</v>
      </c>
      <c r="AC703" s="6">
        <f>$M$703*$W$703</f>
        <v>14253.278112</v>
      </c>
      <c r="AD703" s="6">
        <f>$O$703*$X$703</f>
        <v>2346.7787327999999</v>
      </c>
      <c r="AE703" s="6">
        <f>$K$703*$Y$703</f>
        <v>0</v>
      </c>
      <c r="AF703" s="6">
        <f ca="1">$M$703*$Z$703</f>
        <v>16848.682690374702</v>
      </c>
      <c r="AG703" s="6">
        <f>$O$703*$AA$703</f>
        <v>2563.8758950054294</v>
      </c>
    </row>
    <row r="704" spans="1:33" ht="11.25" customHeight="1" x14ac:dyDescent="0.25">
      <c r="A704" s="4" t="s">
        <v>21</v>
      </c>
      <c r="B704" s="4" t="s">
        <v>35</v>
      </c>
      <c r="C704" s="4" t="s">
        <v>39</v>
      </c>
      <c r="D704" s="4" t="s">
        <v>42</v>
      </c>
      <c r="E704" s="4" t="s">
        <v>25</v>
      </c>
      <c r="F704" s="4" t="s">
        <v>25</v>
      </c>
      <c r="G704" s="4" t="s">
        <v>25</v>
      </c>
      <c r="H704" s="4" t="s">
        <v>37</v>
      </c>
      <c r="I704" s="5">
        <v>44652</v>
      </c>
      <c r="J704" s="6">
        <v>0</v>
      </c>
      <c r="K704" s="75">
        <v>0</v>
      </c>
      <c r="L704" s="6">
        <v>176.60400000000001</v>
      </c>
      <c r="M704" s="75">
        <v>176.60400000000001</v>
      </c>
      <c r="N704" s="6">
        <v>176.60400000000001</v>
      </c>
      <c r="O704" s="75">
        <v>176.60400000000001</v>
      </c>
      <c r="P704" s="6">
        <v>0</v>
      </c>
      <c r="Q704" s="4" t="s">
        <v>26</v>
      </c>
      <c r="R704" s="4">
        <v>0</v>
      </c>
      <c r="S704" s="6">
        <v>0</v>
      </c>
      <c r="T704" s="6">
        <v>12</v>
      </c>
      <c r="U704" s="6">
        <v>66</v>
      </c>
      <c r="V704" s="75">
        <f>IF(ISERROR(VLOOKUP($S$704,'TAR FIN'!$A$1:$O$93,15,0)),0,VLOOKUP($S$704,'TAR FIN'!$A$1:$O$93,15,0))</f>
        <v>0</v>
      </c>
      <c r="W704" s="75">
        <f>IF(ISERROR(VLOOKUP($T$704,'TAR FIN'!$A$1:$O$93,15,0)),0,VLOOKUP($T$704,'TAR FIN'!$A$1:$O$93,15,0))*(1-0.04)</f>
        <v>1079.712</v>
      </c>
      <c r="X704" s="75">
        <f>IF(ISERROR(VLOOKUP($U$704,'TAR FIN'!$A$1:$O$93,15,0)),0,VLOOKUP($U$704,'TAR FIN'!$A$1:$O$93,15,0))*(1-0.04)</f>
        <v>177.77279999999999</v>
      </c>
      <c r="Y704" s="75"/>
      <c r="Z704" s="75">
        <f ca="1">('TUSD BE'!$AM$15+'TUSD BF'!$AM$15+'TUSD CVA'!$AM$15)*1*(1-0.02)</f>
        <v>1276.3186645234982</v>
      </c>
      <c r="AA704" s="75">
        <f>('TE BE'!$AB$7+'TE BF'!$AB$7+'TE CVA'!$AB$7)*1*(1-0.02)</f>
        <v>194.21830884065065</v>
      </c>
      <c r="AB704" s="6">
        <f>$K$704*$V$704</f>
        <v>0</v>
      </c>
      <c r="AC704" s="6">
        <f>$M$704*$W$704</f>
        <v>190681.458048</v>
      </c>
      <c r="AD704" s="6">
        <f>$O$704*$X$704</f>
        <v>31395.387571200001</v>
      </c>
      <c r="AE704" s="6">
        <f>$K$704*$Y$704</f>
        <v>0</v>
      </c>
      <c r="AF704" s="6">
        <f ca="1">$M$704*$Z$704</f>
        <v>225402.9814295079</v>
      </c>
      <c r="AG704" s="6">
        <f>$O$704*$AA$704</f>
        <v>34299.730214494273</v>
      </c>
    </row>
    <row r="705" spans="1:33" ht="11.25" customHeight="1" x14ac:dyDescent="0.25">
      <c r="A705" s="4" t="s">
        <v>28</v>
      </c>
      <c r="B705" s="4" t="s">
        <v>35</v>
      </c>
      <c r="C705" s="4" t="s">
        <v>39</v>
      </c>
      <c r="D705" s="4" t="s">
        <v>42</v>
      </c>
      <c r="E705" s="4" t="s">
        <v>25</v>
      </c>
      <c r="F705" s="4" t="s">
        <v>25</v>
      </c>
      <c r="G705" s="4" t="s">
        <v>25</v>
      </c>
      <c r="H705" s="4" t="s">
        <v>37</v>
      </c>
      <c r="I705" s="5">
        <v>44652</v>
      </c>
      <c r="J705" s="6">
        <v>0</v>
      </c>
      <c r="K705" s="75">
        <v>0</v>
      </c>
      <c r="L705" s="6">
        <v>11.069000000000001</v>
      </c>
      <c r="M705" s="75">
        <v>11.069000000000001</v>
      </c>
      <c r="N705" s="6">
        <v>11.069000000000001</v>
      </c>
      <c r="O705" s="75">
        <v>11.069000000000001</v>
      </c>
      <c r="P705" s="6">
        <v>0</v>
      </c>
      <c r="Q705" s="4" t="s">
        <v>26</v>
      </c>
      <c r="R705" s="4">
        <v>0</v>
      </c>
      <c r="S705" s="6">
        <v>0</v>
      </c>
      <c r="T705" s="6">
        <v>12</v>
      </c>
      <c r="U705" s="6">
        <v>66</v>
      </c>
      <c r="V705" s="75">
        <f>IF(ISERROR(VLOOKUP($S$705,'TAR FIN'!$A$1:$O$93,15,0)),0,VLOOKUP($S$705,'TAR FIN'!$A$1:$O$93,15,0))</f>
        <v>0</v>
      </c>
      <c r="W705" s="75">
        <f>IF(ISERROR(VLOOKUP($T$705,'TAR FIN'!$A$1:$O$93,15,0)),0,VLOOKUP($T$705,'TAR FIN'!$A$1:$O$93,15,0))*(1-0.04)</f>
        <v>1079.712</v>
      </c>
      <c r="X705" s="75">
        <f>IF(ISERROR(VLOOKUP($U$705,'TAR FIN'!$A$1:$O$93,15,0)),0,VLOOKUP($U$705,'TAR FIN'!$A$1:$O$93,15,0))*(1-0.04)</f>
        <v>177.77279999999999</v>
      </c>
      <c r="Y705" s="75"/>
      <c r="Z705" s="75">
        <f ca="1">('TUSD BE'!$AM$15+'TUSD BF'!$AM$15+'TUSD CVA'!$AM$15)*1*(1-0.02)</f>
        <v>1276.3186645234982</v>
      </c>
      <c r="AA705" s="75">
        <f>('TE BE'!$AB$7+'TE BF'!$AB$7+'TE CVA'!$AB$7)*1*(1-0.02)</f>
        <v>194.21830884065065</v>
      </c>
      <c r="AB705" s="6">
        <f>$K$705*$V$705</f>
        <v>0</v>
      </c>
      <c r="AC705" s="6">
        <f>$M$705*$W$705</f>
        <v>11951.332128</v>
      </c>
      <c r="AD705" s="6">
        <f>$O$705*$X$705</f>
        <v>1967.7671232</v>
      </c>
      <c r="AE705" s="6">
        <f>$K$705*$Y$705</f>
        <v>0</v>
      </c>
      <c r="AF705" s="6">
        <f ca="1">$M$705*$Z$705</f>
        <v>14127.571297610602</v>
      </c>
      <c r="AG705" s="6">
        <f>$O$705*$AA$705</f>
        <v>2149.8024605571622</v>
      </c>
    </row>
    <row r="706" spans="1:33" ht="11.25" customHeight="1" x14ac:dyDescent="0.25">
      <c r="A706" s="4" t="s">
        <v>21</v>
      </c>
      <c r="B706" s="4" t="s">
        <v>35</v>
      </c>
      <c r="C706" s="4" t="s">
        <v>39</v>
      </c>
      <c r="D706" s="4" t="s">
        <v>42</v>
      </c>
      <c r="E706" s="4" t="s">
        <v>25</v>
      </c>
      <c r="F706" s="4" t="s">
        <v>25</v>
      </c>
      <c r="G706" s="4" t="s">
        <v>25</v>
      </c>
      <c r="H706" s="4" t="s">
        <v>37</v>
      </c>
      <c r="I706" s="5">
        <v>44682</v>
      </c>
      <c r="J706" s="6">
        <v>0</v>
      </c>
      <c r="K706" s="75">
        <v>0</v>
      </c>
      <c r="L706" s="6">
        <v>168.136</v>
      </c>
      <c r="M706" s="75">
        <v>168.136</v>
      </c>
      <c r="N706" s="6">
        <v>168.136</v>
      </c>
      <c r="O706" s="75">
        <v>168.136</v>
      </c>
      <c r="P706" s="6">
        <v>0</v>
      </c>
      <c r="Q706" s="4" t="s">
        <v>26</v>
      </c>
      <c r="R706" s="4">
        <v>0</v>
      </c>
      <c r="S706" s="6">
        <v>0</v>
      </c>
      <c r="T706" s="6">
        <v>12</v>
      </c>
      <c r="U706" s="6">
        <v>66</v>
      </c>
      <c r="V706" s="75">
        <f>IF(ISERROR(VLOOKUP($S$706,'TAR FIN'!$A$1:$O$93,15,0)),0,VLOOKUP($S$706,'TAR FIN'!$A$1:$O$93,15,0))</f>
        <v>0</v>
      </c>
      <c r="W706" s="75">
        <f>IF(ISERROR(VLOOKUP($T$706,'TAR FIN'!$A$1:$O$93,15,0)),0,VLOOKUP($T$706,'TAR FIN'!$A$1:$O$93,15,0))*(1-0.04)</f>
        <v>1079.712</v>
      </c>
      <c r="X706" s="75">
        <f>IF(ISERROR(VLOOKUP($U$706,'TAR FIN'!$A$1:$O$93,15,0)),0,VLOOKUP($U$706,'TAR FIN'!$A$1:$O$93,15,0))*(1-0.04)</f>
        <v>177.77279999999999</v>
      </c>
      <c r="Y706" s="75"/>
      <c r="Z706" s="75">
        <f ca="1">('TUSD BE'!$AM$15+'TUSD BF'!$AM$15+'TUSD CVA'!$AM$15)*1*(1-0.02)</f>
        <v>1276.3186645234982</v>
      </c>
      <c r="AA706" s="75">
        <f>('TE BE'!$AB$7+'TE BF'!$AB$7+'TE CVA'!$AB$7)*1*(1-0.02)</f>
        <v>194.21830884065065</v>
      </c>
      <c r="AB706" s="6">
        <f>$K$706*$V$706</f>
        <v>0</v>
      </c>
      <c r="AC706" s="6">
        <f>$M$706*$W$706</f>
        <v>181538.456832</v>
      </c>
      <c r="AD706" s="6">
        <f>$O$706*$X$706</f>
        <v>29890.007500799999</v>
      </c>
      <c r="AE706" s="6">
        <f>$K$706*$Y$706</f>
        <v>0</v>
      </c>
      <c r="AF706" s="6">
        <f ca="1">$M$706*$Z$706</f>
        <v>214595.1149783229</v>
      </c>
      <c r="AG706" s="6">
        <f>$O$706*$AA$706</f>
        <v>32655.089575231636</v>
      </c>
    </row>
    <row r="707" spans="1:33" ht="11.25" customHeight="1" x14ac:dyDescent="0.25">
      <c r="A707" s="4" t="s">
        <v>27</v>
      </c>
      <c r="B707" s="4" t="s">
        <v>35</v>
      </c>
      <c r="C707" s="4" t="s">
        <v>39</v>
      </c>
      <c r="D707" s="4" t="s">
        <v>42</v>
      </c>
      <c r="E707" s="4" t="s">
        <v>25</v>
      </c>
      <c r="F707" s="4" t="s">
        <v>25</v>
      </c>
      <c r="G707" s="4" t="s">
        <v>25</v>
      </c>
      <c r="H707" s="4" t="s">
        <v>37</v>
      </c>
      <c r="I707" s="5">
        <v>44682</v>
      </c>
      <c r="J707" s="6">
        <v>0</v>
      </c>
      <c r="K707" s="75">
        <v>0</v>
      </c>
      <c r="L707" s="6">
        <v>-3.754</v>
      </c>
      <c r="M707" s="75">
        <v>-3.754</v>
      </c>
      <c r="N707" s="6">
        <v>-3.754</v>
      </c>
      <c r="O707" s="75">
        <v>-3.754</v>
      </c>
      <c r="P707" s="6">
        <v>0</v>
      </c>
      <c r="Q707" s="4" t="s">
        <v>26</v>
      </c>
      <c r="R707" s="4">
        <v>0</v>
      </c>
      <c r="S707" s="6">
        <v>0</v>
      </c>
      <c r="T707" s="6">
        <v>12</v>
      </c>
      <c r="U707" s="6">
        <v>66</v>
      </c>
      <c r="V707" s="75">
        <f>IF(ISERROR(VLOOKUP($S$707,'TAR FIN'!$A$1:$O$93,15,0)),0,VLOOKUP($S$707,'TAR FIN'!$A$1:$O$93,15,0))</f>
        <v>0</v>
      </c>
      <c r="W707" s="75">
        <f>IF(ISERROR(VLOOKUP($T$707,'TAR FIN'!$A$1:$O$93,15,0)),0,VLOOKUP($T$707,'TAR FIN'!$A$1:$O$93,15,0))*(1-0.04)</f>
        <v>1079.712</v>
      </c>
      <c r="X707" s="75">
        <f>IF(ISERROR(VLOOKUP($U$707,'TAR FIN'!$A$1:$O$93,15,0)),0,VLOOKUP($U$707,'TAR FIN'!$A$1:$O$93,15,0))*(1-0.04)</f>
        <v>177.77279999999999</v>
      </c>
      <c r="Y707" s="75"/>
      <c r="Z707" s="75">
        <f ca="1">('TUSD BE'!$AM$15+'TUSD BF'!$AM$15+'TUSD CVA'!$AM$15)*1*(1-0.02)</f>
        <v>1276.3186645234982</v>
      </c>
      <c r="AA707" s="75">
        <f>('TE BE'!$AB$7+'TE BF'!$AB$7+'TE CVA'!$AB$7)*1*(1-0.02)</f>
        <v>194.21830884065065</v>
      </c>
      <c r="AB707" s="6">
        <f>$K$707*$V$707</f>
        <v>0</v>
      </c>
      <c r="AC707" s="6">
        <f>$M$707*$W$707</f>
        <v>-4053.238848</v>
      </c>
      <c r="AD707" s="6">
        <f>$O$707*$X$707</f>
        <v>-667.35909119999997</v>
      </c>
      <c r="AE707" s="6">
        <f>$K$707*$Y$707</f>
        <v>0</v>
      </c>
      <c r="AF707" s="6">
        <f ca="1">$M$707*$Z$707</f>
        <v>-4791.3002666212124</v>
      </c>
      <c r="AG707" s="6">
        <f>$O$707*$AA$707</f>
        <v>-729.09553138780257</v>
      </c>
    </row>
    <row r="708" spans="1:33" ht="11.25" customHeight="1" x14ac:dyDescent="0.25">
      <c r="A708" s="4" t="s">
        <v>28</v>
      </c>
      <c r="B708" s="4" t="s">
        <v>35</v>
      </c>
      <c r="C708" s="4" t="s">
        <v>39</v>
      </c>
      <c r="D708" s="4" t="s">
        <v>42</v>
      </c>
      <c r="E708" s="4" t="s">
        <v>25</v>
      </c>
      <c r="F708" s="4" t="s">
        <v>25</v>
      </c>
      <c r="G708" s="4" t="s">
        <v>25</v>
      </c>
      <c r="H708" s="4" t="s">
        <v>37</v>
      </c>
      <c r="I708" s="5">
        <v>44682</v>
      </c>
      <c r="J708" s="6">
        <v>0</v>
      </c>
      <c r="K708" s="75">
        <v>0</v>
      </c>
      <c r="L708" s="6">
        <v>14.712</v>
      </c>
      <c r="M708" s="75">
        <v>14.712</v>
      </c>
      <c r="N708" s="6">
        <v>14.712</v>
      </c>
      <c r="O708" s="75">
        <v>14.712</v>
      </c>
      <c r="P708" s="6">
        <v>0</v>
      </c>
      <c r="Q708" s="4" t="s">
        <v>26</v>
      </c>
      <c r="R708" s="4">
        <v>0</v>
      </c>
      <c r="S708" s="6">
        <v>0</v>
      </c>
      <c r="T708" s="6">
        <v>12</v>
      </c>
      <c r="U708" s="6">
        <v>66</v>
      </c>
      <c r="V708" s="75">
        <f>IF(ISERROR(VLOOKUP($S$708,'TAR FIN'!$A$1:$O$93,15,0)),0,VLOOKUP($S$708,'TAR FIN'!$A$1:$O$93,15,0))</f>
        <v>0</v>
      </c>
      <c r="W708" s="75">
        <f>IF(ISERROR(VLOOKUP($T$708,'TAR FIN'!$A$1:$O$93,15,0)),0,VLOOKUP($T$708,'TAR FIN'!$A$1:$O$93,15,0))*(1-0.04)</f>
        <v>1079.712</v>
      </c>
      <c r="X708" s="75">
        <f>IF(ISERROR(VLOOKUP($U$708,'TAR FIN'!$A$1:$O$93,15,0)),0,VLOOKUP($U$708,'TAR FIN'!$A$1:$O$93,15,0))*(1-0.04)</f>
        <v>177.77279999999999</v>
      </c>
      <c r="Y708" s="75"/>
      <c r="Z708" s="75">
        <f ca="1">('TUSD BE'!$AM$15+'TUSD BF'!$AM$15+'TUSD CVA'!$AM$15)*1*(1-0.02)</f>
        <v>1276.3186645234982</v>
      </c>
      <c r="AA708" s="75">
        <f>('TE BE'!$AB$7+'TE BF'!$AB$7+'TE CVA'!$AB$7)*1*(1-0.02)</f>
        <v>194.21830884065065</v>
      </c>
      <c r="AB708" s="6">
        <f>$K$708*$V$708</f>
        <v>0</v>
      </c>
      <c r="AC708" s="6">
        <f>$M$708*$W$708</f>
        <v>15884.722943999999</v>
      </c>
      <c r="AD708" s="6">
        <f>$O$708*$X$708</f>
        <v>2615.3934335999998</v>
      </c>
      <c r="AE708" s="6">
        <f>$K$708*$Y$708</f>
        <v>0</v>
      </c>
      <c r="AF708" s="6">
        <f ca="1">$M$708*$Z$708</f>
        <v>18777.200192469707</v>
      </c>
      <c r="AG708" s="6">
        <f>$O$708*$AA$708</f>
        <v>2857.3397596636523</v>
      </c>
    </row>
    <row r="709" spans="1:33" ht="11.25" customHeight="1" x14ac:dyDescent="0.25">
      <c r="A709" s="4" t="s">
        <v>28</v>
      </c>
      <c r="B709" s="4" t="s">
        <v>35</v>
      </c>
      <c r="C709" s="4" t="s">
        <v>39</v>
      </c>
      <c r="D709" s="4" t="s">
        <v>42</v>
      </c>
      <c r="E709" s="4" t="s">
        <v>25</v>
      </c>
      <c r="F709" s="4" t="s">
        <v>25</v>
      </c>
      <c r="G709" s="4" t="s">
        <v>25</v>
      </c>
      <c r="H709" s="4" t="s">
        <v>37</v>
      </c>
      <c r="I709" s="5">
        <v>44682</v>
      </c>
      <c r="J709" s="6">
        <v>0</v>
      </c>
      <c r="K709" s="75">
        <v>0</v>
      </c>
      <c r="L709" s="6">
        <v>-1.67</v>
      </c>
      <c r="M709" s="75">
        <v>-1.67</v>
      </c>
      <c r="N709" s="6">
        <v>-1.67</v>
      </c>
      <c r="O709" s="75">
        <v>-1.67</v>
      </c>
      <c r="P709" s="6">
        <v>0</v>
      </c>
      <c r="Q709" s="4" t="s">
        <v>26</v>
      </c>
      <c r="R709" s="4">
        <v>0</v>
      </c>
      <c r="S709" s="6">
        <v>0</v>
      </c>
      <c r="T709" s="6">
        <v>12</v>
      </c>
      <c r="U709" s="6">
        <v>66</v>
      </c>
      <c r="V709" s="75">
        <f>IF(ISERROR(VLOOKUP($S$709,'TAR FIN'!$A$1:$O$93,15,0)),0,VLOOKUP($S$709,'TAR FIN'!$A$1:$O$93,15,0))</f>
        <v>0</v>
      </c>
      <c r="W709" s="75">
        <f>IF(ISERROR(VLOOKUP($T$709,'TAR FIN'!$A$1:$O$93,15,0)),0,VLOOKUP($T$709,'TAR FIN'!$A$1:$O$93,15,0))*(1-0.04)</f>
        <v>1079.712</v>
      </c>
      <c r="X709" s="75">
        <f>IF(ISERROR(VLOOKUP($U$709,'TAR FIN'!$A$1:$O$93,15,0)),0,VLOOKUP($U$709,'TAR FIN'!$A$1:$O$93,15,0))*(1-0.04)</f>
        <v>177.77279999999999</v>
      </c>
      <c r="Y709" s="75"/>
      <c r="Z709" s="75">
        <f ca="1">('TUSD BE'!$AM$15+'TUSD BF'!$AM$15+'TUSD CVA'!$AM$15)*1*(1-0.02)</f>
        <v>1276.3186645234982</v>
      </c>
      <c r="AA709" s="75">
        <f>('TE BE'!$AB$7+'TE BF'!$AB$7+'TE CVA'!$AB$7)*1*(1-0.02)</f>
        <v>194.21830884065065</v>
      </c>
      <c r="AB709" s="6">
        <f>$K$709*$V$709</f>
        <v>0</v>
      </c>
      <c r="AC709" s="6">
        <f>$M$709*$W$709</f>
        <v>-1803.1190399999998</v>
      </c>
      <c r="AD709" s="6">
        <f>$O$709*$X$709</f>
        <v>-296.88057599999996</v>
      </c>
      <c r="AE709" s="6">
        <f>$K$709*$Y$709</f>
        <v>0</v>
      </c>
      <c r="AF709" s="6">
        <f ca="1">$M$709*$Z$709</f>
        <v>-2131.4521697542418</v>
      </c>
      <c r="AG709" s="6">
        <f>$O$709*$AA$709</f>
        <v>-324.34457576388655</v>
      </c>
    </row>
    <row r="710" spans="1:33" ht="11.25" customHeight="1" x14ac:dyDescent="0.25">
      <c r="A710" s="4" t="s">
        <v>21</v>
      </c>
      <c r="B710" s="4" t="s">
        <v>35</v>
      </c>
      <c r="C710" s="4" t="s">
        <v>39</v>
      </c>
      <c r="D710" s="4" t="s">
        <v>42</v>
      </c>
      <c r="E710" s="4" t="s">
        <v>25</v>
      </c>
      <c r="F710" s="4" t="s">
        <v>25</v>
      </c>
      <c r="G710" s="4" t="s">
        <v>25</v>
      </c>
      <c r="H710" s="4" t="s">
        <v>37</v>
      </c>
      <c r="I710" s="5">
        <v>44713</v>
      </c>
      <c r="J710" s="6">
        <v>0</v>
      </c>
      <c r="K710" s="75">
        <v>0</v>
      </c>
      <c r="L710" s="6">
        <v>177.12200000000001</v>
      </c>
      <c r="M710" s="75">
        <v>177.12200000000001</v>
      </c>
      <c r="N710" s="6">
        <v>177.12200000000001</v>
      </c>
      <c r="O710" s="75">
        <v>177.12200000000001</v>
      </c>
      <c r="P710" s="6">
        <v>0</v>
      </c>
      <c r="Q710" s="4" t="s">
        <v>26</v>
      </c>
      <c r="R710" s="4">
        <v>0</v>
      </c>
      <c r="S710" s="6">
        <v>0</v>
      </c>
      <c r="T710" s="6">
        <v>12</v>
      </c>
      <c r="U710" s="6">
        <v>66</v>
      </c>
      <c r="V710" s="75">
        <f>IF(ISERROR(VLOOKUP($S$710,'TAR FIN'!$A$1:$O$93,15,0)),0,VLOOKUP($S$710,'TAR FIN'!$A$1:$O$93,15,0))</f>
        <v>0</v>
      </c>
      <c r="W710" s="75">
        <f>IF(ISERROR(VLOOKUP($T$710,'TAR FIN'!$A$1:$O$93,15,0)),0,VLOOKUP($T$710,'TAR FIN'!$A$1:$O$93,15,0))*(1-0.04)</f>
        <v>1079.712</v>
      </c>
      <c r="X710" s="75">
        <f>IF(ISERROR(VLOOKUP($U$710,'TAR FIN'!$A$1:$O$93,15,0)),0,VLOOKUP($U$710,'TAR FIN'!$A$1:$O$93,15,0))*(1-0.04)</f>
        <v>177.77279999999999</v>
      </c>
      <c r="Y710" s="75"/>
      <c r="Z710" s="75">
        <f ca="1">('TUSD BE'!$AM$15+'TUSD BF'!$AM$15+'TUSD CVA'!$AM$15)*1*(1-0.02)</f>
        <v>1276.3186645234982</v>
      </c>
      <c r="AA710" s="75">
        <f>('TE BE'!$AB$7+'TE BF'!$AB$7+'TE CVA'!$AB$7)*1*(1-0.02)</f>
        <v>194.21830884065065</v>
      </c>
      <c r="AB710" s="6">
        <f>$K$710*$V$710</f>
        <v>0</v>
      </c>
      <c r="AC710" s="6">
        <f>$M$710*$W$710</f>
        <v>191240.74886400002</v>
      </c>
      <c r="AD710" s="6">
        <f>$O$710*$X$710</f>
        <v>31487.473881599999</v>
      </c>
      <c r="AE710" s="6">
        <f>$K$710*$Y$710</f>
        <v>0</v>
      </c>
      <c r="AF710" s="6">
        <f ca="1">$M$710*$Z$710</f>
        <v>226064.11449773106</v>
      </c>
      <c r="AG710" s="6">
        <f>$O$710*$AA$710</f>
        <v>34400.335298473728</v>
      </c>
    </row>
    <row r="711" spans="1:33" ht="11.25" customHeight="1" x14ac:dyDescent="0.25">
      <c r="A711" s="4" t="s">
        <v>27</v>
      </c>
      <c r="B711" s="4" t="s">
        <v>35</v>
      </c>
      <c r="C711" s="4" t="s">
        <v>39</v>
      </c>
      <c r="D711" s="4" t="s">
        <v>42</v>
      </c>
      <c r="E711" s="4" t="s">
        <v>25</v>
      </c>
      <c r="F711" s="4" t="s">
        <v>25</v>
      </c>
      <c r="G711" s="4" t="s">
        <v>25</v>
      </c>
      <c r="H711" s="4" t="s">
        <v>37</v>
      </c>
      <c r="I711" s="5">
        <v>44713</v>
      </c>
      <c r="J711" s="6">
        <v>0</v>
      </c>
      <c r="K711" s="75">
        <v>0</v>
      </c>
      <c r="L711" s="6">
        <v>-1.8089999999999999</v>
      </c>
      <c r="M711" s="75">
        <v>-1.8089999999999999</v>
      </c>
      <c r="N711" s="6">
        <v>-1.8089999999999999</v>
      </c>
      <c r="O711" s="75">
        <v>-1.8089999999999999</v>
      </c>
      <c r="P711" s="6">
        <v>0</v>
      </c>
      <c r="Q711" s="4" t="s">
        <v>26</v>
      </c>
      <c r="R711" s="4">
        <v>0</v>
      </c>
      <c r="S711" s="6">
        <v>0</v>
      </c>
      <c r="T711" s="6">
        <v>12</v>
      </c>
      <c r="U711" s="6">
        <v>66</v>
      </c>
      <c r="V711" s="75">
        <f>IF(ISERROR(VLOOKUP($S$711,'TAR FIN'!$A$1:$O$93,15,0)),0,VLOOKUP($S$711,'TAR FIN'!$A$1:$O$93,15,0))</f>
        <v>0</v>
      </c>
      <c r="W711" s="75">
        <f>IF(ISERROR(VLOOKUP($T$711,'TAR FIN'!$A$1:$O$93,15,0)),0,VLOOKUP($T$711,'TAR FIN'!$A$1:$O$93,15,0))*(1-0.04)</f>
        <v>1079.712</v>
      </c>
      <c r="X711" s="75">
        <f>IF(ISERROR(VLOOKUP($U$711,'TAR FIN'!$A$1:$O$93,15,0)),0,VLOOKUP($U$711,'TAR FIN'!$A$1:$O$93,15,0))*(1-0.04)</f>
        <v>177.77279999999999</v>
      </c>
      <c r="Y711" s="75"/>
      <c r="Z711" s="75">
        <f ca="1">('TUSD BE'!$AM$15+'TUSD BF'!$AM$15+'TUSD CVA'!$AM$15)*1*(1-0.02)</f>
        <v>1276.3186645234982</v>
      </c>
      <c r="AA711" s="75">
        <f>('TE BE'!$AB$7+'TE BF'!$AB$7+'TE CVA'!$AB$7)*1*(1-0.02)</f>
        <v>194.21830884065065</v>
      </c>
      <c r="AB711" s="6">
        <f>$K$711*$V$711</f>
        <v>0</v>
      </c>
      <c r="AC711" s="6">
        <f>$M$711*$W$711</f>
        <v>-1953.1990079999998</v>
      </c>
      <c r="AD711" s="6">
        <f>$O$711*$X$711</f>
        <v>-321.59099519999995</v>
      </c>
      <c r="AE711" s="6">
        <f>$K$711*$Y$711</f>
        <v>0</v>
      </c>
      <c r="AF711" s="6">
        <f ca="1">$M$711*$Z$711</f>
        <v>-2308.8604641230081</v>
      </c>
      <c r="AG711" s="6">
        <f>$O$711*$AA$711</f>
        <v>-351.34092069273703</v>
      </c>
    </row>
    <row r="712" spans="1:33" ht="11.25" customHeight="1" x14ac:dyDescent="0.25">
      <c r="A712" s="4" t="s">
        <v>28</v>
      </c>
      <c r="B712" s="4" t="s">
        <v>35</v>
      </c>
      <c r="C712" s="4" t="s">
        <v>39</v>
      </c>
      <c r="D712" s="4" t="s">
        <v>42</v>
      </c>
      <c r="E712" s="4" t="s">
        <v>25</v>
      </c>
      <c r="F712" s="4" t="s">
        <v>25</v>
      </c>
      <c r="G712" s="4" t="s">
        <v>25</v>
      </c>
      <c r="H712" s="4" t="s">
        <v>37</v>
      </c>
      <c r="I712" s="5">
        <v>44713</v>
      </c>
      <c r="J712" s="6">
        <v>0</v>
      </c>
      <c r="K712" s="75">
        <v>0</v>
      </c>
      <c r="L712" s="6">
        <v>25.818999999999999</v>
      </c>
      <c r="M712" s="75">
        <v>25.818999999999999</v>
      </c>
      <c r="N712" s="6">
        <v>25.818999999999999</v>
      </c>
      <c r="O712" s="75">
        <v>25.818999999999999</v>
      </c>
      <c r="P712" s="6">
        <v>0</v>
      </c>
      <c r="Q712" s="4" t="s">
        <v>26</v>
      </c>
      <c r="R712" s="4">
        <v>0</v>
      </c>
      <c r="S712" s="6">
        <v>0</v>
      </c>
      <c r="T712" s="6">
        <v>12</v>
      </c>
      <c r="U712" s="6">
        <v>66</v>
      </c>
      <c r="V712" s="75">
        <f>IF(ISERROR(VLOOKUP($S$712,'TAR FIN'!$A$1:$O$93,15,0)),0,VLOOKUP($S$712,'TAR FIN'!$A$1:$O$93,15,0))</f>
        <v>0</v>
      </c>
      <c r="W712" s="75">
        <f>IF(ISERROR(VLOOKUP($T$712,'TAR FIN'!$A$1:$O$93,15,0)),0,VLOOKUP($T$712,'TAR FIN'!$A$1:$O$93,15,0))*(1-0.04)</f>
        <v>1079.712</v>
      </c>
      <c r="X712" s="75">
        <f>IF(ISERROR(VLOOKUP($U$712,'TAR FIN'!$A$1:$O$93,15,0)),0,VLOOKUP($U$712,'TAR FIN'!$A$1:$O$93,15,0))*(1-0.04)</f>
        <v>177.77279999999999</v>
      </c>
      <c r="Y712" s="75"/>
      <c r="Z712" s="75">
        <f ca="1">('TUSD BE'!$AM$15+'TUSD BF'!$AM$15+'TUSD CVA'!$AM$15)*1*(1-0.02)</f>
        <v>1276.3186645234982</v>
      </c>
      <c r="AA712" s="75">
        <f>('TE BE'!$AB$7+'TE BF'!$AB$7+'TE CVA'!$AB$7)*1*(1-0.02)</f>
        <v>194.21830884065065</v>
      </c>
      <c r="AB712" s="6">
        <f>$K$712*$V$712</f>
        <v>0</v>
      </c>
      <c r="AC712" s="6">
        <f>$M$712*$W$712</f>
        <v>27877.084127999999</v>
      </c>
      <c r="AD712" s="6">
        <f>$O$712*$X$712</f>
        <v>4589.9159231999993</v>
      </c>
      <c r="AE712" s="6">
        <f>$K$712*$Y$712</f>
        <v>0</v>
      </c>
      <c r="AF712" s="6">
        <f ca="1">$M$712*$Z$712</f>
        <v>32953.271599332198</v>
      </c>
      <c r="AG712" s="6">
        <f>$O$712*$AA$712</f>
        <v>5014.522515956759</v>
      </c>
    </row>
    <row r="713" spans="1:33" ht="11.25" customHeight="1" x14ac:dyDescent="0.25">
      <c r="A713" s="4" t="s">
        <v>21</v>
      </c>
      <c r="B713" s="4" t="s">
        <v>35</v>
      </c>
      <c r="C713" s="4" t="s">
        <v>39</v>
      </c>
      <c r="D713" s="4" t="s">
        <v>47</v>
      </c>
      <c r="E713" s="4" t="s">
        <v>48</v>
      </c>
      <c r="F713" s="4" t="s">
        <v>25</v>
      </c>
      <c r="G713" s="4" t="s">
        <v>25</v>
      </c>
      <c r="H713" s="4" t="s">
        <v>38</v>
      </c>
      <c r="I713" s="5">
        <v>44378</v>
      </c>
      <c r="J713" s="6">
        <v>0</v>
      </c>
      <c r="K713" s="75">
        <v>0</v>
      </c>
      <c r="L713" s="6">
        <v>80.804000000000002</v>
      </c>
      <c r="M713" s="75">
        <v>80.804000000000002</v>
      </c>
      <c r="N713" s="6">
        <v>80.804000000000002</v>
      </c>
      <c r="O713" s="75">
        <v>80.804000000000002</v>
      </c>
      <c r="P713" s="6">
        <v>0</v>
      </c>
      <c r="Q713" s="4" t="s">
        <v>26</v>
      </c>
      <c r="R713" s="4">
        <v>0</v>
      </c>
      <c r="S713" s="6">
        <v>0</v>
      </c>
      <c r="T713" s="6">
        <v>25</v>
      </c>
      <c r="U713" s="6">
        <v>59</v>
      </c>
      <c r="V713" s="75">
        <f>IF(ISERROR(VLOOKUP($S$713,'TAR FIN'!$A$1:$O$93,15,0)),0,VLOOKUP($S$713,'TAR FIN'!$A$1:$O$93,15,0))</f>
        <v>0</v>
      </c>
      <c r="W713" s="75">
        <f>IF(ISERROR(VLOOKUP($T$713,'TAR FIN'!$A$1:$O$93,15,0)),0,VLOOKUP($T$713,'TAR FIN'!$A$1:$O$93,15,0))*(1-0.06)</f>
        <v>65.320599999999985</v>
      </c>
      <c r="X713" s="75">
        <f>IF(ISERROR(VLOOKUP($U$713,'TAR FIN'!$A$1:$O$93,15,0)),0,VLOOKUP($U$713,'TAR FIN'!$A$1:$O$93,15,0))*(1-0.06)</f>
        <v>174.0692</v>
      </c>
      <c r="Y713" s="75"/>
      <c r="Z713" s="75">
        <f ca="1">('TUSD BE'!$AM$16+'TUSD BF'!$AM$16+'TUSD CVA'!$AM$16)*1*(1-0.03)</f>
        <v>89.72964966605349</v>
      </c>
      <c r="AA713" s="75">
        <f>('TE BE'!$AB$8+'TE BF'!$AB$8+'TE CVA'!$AB$8)*1*(1-0.03)</f>
        <v>192.23648936268484</v>
      </c>
      <c r="AB713" s="6">
        <f>$K$713*$V$713</f>
        <v>0</v>
      </c>
      <c r="AC713" s="6">
        <f>$M$713*$W$713</f>
        <v>5278.165762399999</v>
      </c>
      <c r="AD713" s="6">
        <f>$O$713*$X$713</f>
        <v>14065.4876368</v>
      </c>
      <c r="AE713" s="6">
        <f>$K$713*$Y$713</f>
        <v>0</v>
      </c>
      <c r="AF713" s="6">
        <f ca="1">$M$713*$Z$713</f>
        <v>7250.5146116157866</v>
      </c>
      <c r="AG713" s="6">
        <f>$O$713*$AA$713</f>
        <v>15533.477286462386</v>
      </c>
    </row>
    <row r="714" spans="1:33" ht="11.25" customHeight="1" x14ac:dyDescent="0.25">
      <c r="A714" s="4" t="s">
        <v>27</v>
      </c>
      <c r="B714" s="4" t="s">
        <v>35</v>
      </c>
      <c r="C714" s="4" t="s">
        <v>39</v>
      </c>
      <c r="D714" s="4" t="s">
        <v>47</v>
      </c>
      <c r="E714" s="4" t="s">
        <v>48</v>
      </c>
      <c r="F714" s="4" t="s">
        <v>25</v>
      </c>
      <c r="G714" s="4" t="s">
        <v>25</v>
      </c>
      <c r="H714" s="4" t="s">
        <v>38</v>
      </c>
      <c r="I714" s="5">
        <v>44378</v>
      </c>
      <c r="J714" s="6">
        <v>0</v>
      </c>
      <c r="K714" s="75">
        <v>0</v>
      </c>
      <c r="L714" s="6">
        <v>-28.206</v>
      </c>
      <c r="M714" s="75">
        <v>-28.206</v>
      </c>
      <c r="N714" s="6">
        <v>-28.206</v>
      </c>
      <c r="O714" s="75">
        <v>-28.206</v>
      </c>
      <c r="P714" s="6">
        <v>0</v>
      </c>
      <c r="Q714" s="4" t="s">
        <v>26</v>
      </c>
      <c r="R714" s="4">
        <v>0</v>
      </c>
      <c r="S714" s="6">
        <v>0</v>
      </c>
      <c r="T714" s="6">
        <v>25</v>
      </c>
      <c r="U714" s="6">
        <v>59</v>
      </c>
      <c r="V714" s="75">
        <f>IF(ISERROR(VLOOKUP($S$714,'TAR FIN'!$A$1:$O$93,15,0)),0,VLOOKUP($S$714,'TAR FIN'!$A$1:$O$93,15,0))</f>
        <v>0</v>
      </c>
      <c r="W714" s="75">
        <f>IF(ISERROR(VLOOKUP($T$714,'TAR FIN'!$A$1:$O$93,15,0)),0,VLOOKUP($T$714,'TAR FIN'!$A$1:$O$93,15,0))*(1-0.06)</f>
        <v>65.320599999999985</v>
      </c>
      <c r="X714" s="75">
        <f>IF(ISERROR(VLOOKUP($U$714,'TAR FIN'!$A$1:$O$93,15,0)),0,VLOOKUP($U$714,'TAR FIN'!$A$1:$O$93,15,0))*(1-0.06)</f>
        <v>174.0692</v>
      </c>
      <c r="Y714" s="75"/>
      <c r="Z714" s="75">
        <f ca="1">('TUSD BE'!$AM$16+'TUSD BF'!$AM$16+'TUSD CVA'!$AM$16)*1*(1-0.03)</f>
        <v>89.72964966605349</v>
      </c>
      <c r="AA714" s="75">
        <f>('TE BE'!$AB$8+'TE BF'!$AB$8+'TE CVA'!$AB$8)*1*(1-0.03)</f>
        <v>192.23648936268484</v>
      </c>
      <c r="AB714" s="6">
        <f>$K$714*$V$714</f>
        <v>0</v>
      </c>
      <c r="AC714" s="6">
        <f>$M$714*$W$714</f>
        <v>-1842.4328435999996</v>
      </c>
      <c r="AD714" s="6">
        <f>$O$714*$X$714</f>
        <v>-4909.7958552</v>
      </c>
      <c r="AE714" s="6">
        <f>$K$714*$Y$714</f>
        <v>0</v>
      </c>
      <c r="AF714" s="6">
        <f ca="1">$M$714*$Z$714</f>
        <v>-2530.9144984807049</v>
      </c>
      <c r="AG714" s="6">
        <f>$O$714*$AA$714</f>
        <v>-5422.2224189638882</v>
      </c>
    </row>
    <row r="715" spans="1:33" ht="11.25" customHeight="1" x14ac:dyDescent="0.25">
      <c r="A715" s="4" t="s">
        <v>21</v>
      </c>
      <c r="B715" s="4" t="s">
        <v>35</v>
      </c>
      <c r="C715" s="4" t="s">
        <v>39</v>
      </c>
      <c r="D715" s="4" t="s">
        <v>47</v>
      </c>
      <c r="E715" s="4" t="s">
        <v>48</v>
      </c>
      <c r="F715" s="4" t="s">
        <v>25</v>
      </c>
      <c r="G715" s="4" t="s">
        <v>25</v>
      </c>
      <c r="H715" s="4" t="s">
        <v>38</v>
      </c>
      <c r="I715" s="5">
        <v>44409</v>
      </c>
      <c r="J715" s="6">
        <v>0</v>
      </c>
      <c r="K715" s="75">
        <v>0</v>
      </c>
      <c r="L715" s="6">
        <v>59.392000000000003</v>
      </c>
      <c r="M715" s="75">
        <v>59.392000000000003</v>
      </c>
      <c r="N715" s="6">
        <v>59.392000000000003</v>
      </c>
      <c r="O715" s="75">
        <v>59.392000000000003</v>
      </c>
      <c r="P715" s="6">
        <v>0</v>
      </c>
      <c r="Q715" s="4" t="s">
        <v>26</v>
      </c>
      <c r="R715" s="4">
        <v>0</v>
      </c>
      <c r="S715" s="6">
        <v>0</v>
      </c>
      <c r="T715" s="6">
        <v>25</v>
      </c>
      <c r="U715" s="6">
        <v>59</v>
      </c>
      <c r="V715" s="75">
        <f>IF(ISERROR(VLOOKUP($S$715,'TAR FIN'!$A$1:$O$93,15,0)),0,VLOOKUP($S$715,'TAR FIN'!$A$1:$O$93,15,0))</f>
        <v>0</v>
      </c>
      <c r="W715" s="75">
        <f>IF(ISERROR(VLOOKUP($T$715,'TAR FIN'!$A$1:$O$93,15,0)),0,VLOOKUP($T$715,'TAR FIN'!$A$1:$O$93,15,0))*(1-0.06)</f>
        <v>65.320599999999985</v>
      </c>
      <c r="X715" s="75">
        <f>IF(ISERROR(VLOOKUP($U$715,'TAR FIN'!$A$1:$O$93,15,0)),0,VLOOKUP($U$715,'TAR FIN'!$A$1:$O$93,15,0))*(1-0.06)</f>
        <v>174.0692</v>
      </c>
      <c r="Y715" s="75"/>
      <c r="Z715" s="75">
        <f ca="1">('TUSD BE'!$AM$16+'TUSD BF'!$AM$16+'TUSD CVA'!$AM$16)*1*(1-0.03)</f>
        <v>89.72964966605349</v>
      </c>
      <c r="AA715" s="75">
        <f>('TE BE'!$AB$8+'TE BF'!$AB$8+'TE CVA'!$AB$8)*1*(1-0.03)</f>
        <v>192.23648936268484</v>
      </c>
      <c r="AB715" s="6">
        <f>$K$715*$V$715</f>
        <v>0</v>
      </c>
      <c r="AC715" s="6">
        <f>$M$715*$W$715</f>
        <v>3879.5210751999994</v>
      </c>
      <c r="AD715" s="6">
        <f>$O$715*$X$715</f>
        <v>10338.317926400001</v>
      </c>
      <c r="AE715" s="6">
        <f>$K$715*$Y$715</f>
        <v>0</v>
      </c>
      <c r="AF715" s="6">
        <f ca="1">$M$715*$Z$715</f>
        <v>5329.223352966249</v>
      </c>
      <c r="AG715" s="6">
        <f>$O$715*$AA$715</f>
        <v>11417.309576228577</v>
      </c>
    </row>
    <row r="716" spans="1:33" ht="11.25" customHeight="1" x14ac:dyDescent="0.25">
      <c r="A716" s="4" t="s">
        <v>21</v>
      </c>
      <c r="B716" s="4" t="s">
        <v>35</v>
      </c>
      <c r="C716" s="4" t="s">
        <v>39</v>
      </c>
      <c r="D716" s="4" t="s">
        <v>47</v>
      </c>
      <c r="E716" s="4" t="s">
        <v>48</v>
      </c>
      <c r="F716" s="4" t="s">
        <v>25</v>
      </c>
      <c r="G716" s="4" t="s">
        <v>25</v>
      </c>
      <c r="H716" s="4" t="s">
        <v>38</v>
      </c>
      <c r="I716" s="5">
        <v>44440</v>
      </c>
      <c r="J716" s="6">
        <v>0</v>
      </c>
      <c r="K716" s="75">
        <v>0</v>
      </c>
      <c r="L716" s="6">
        <v>66.370999999999995</v>
      </c>
      <c r="M716" s="75">
        <v>66.370999999999995</v>
      </c>
      <c r="N716" s="6">
        <v>66.370999999999995</v>
      </c>
      <c r="O716" s="75">
        <v>66.370999999999995</v>
      </c>
      <c r="P716" s="6">
        <v>0</v>
      </c>
      <c r="Q716" s="4" t="s">
        <v>26</v>
      </c>
      <c r="R716" s="4">
        <v>0</v>
      </c>
      <c r="S716" s="6">
        <v>0</v>
      </c>
      <c r="T716" s="6">
        <v>25</v>
      </c>
      <c r="U716" s="6">
        <v>59</v>
      </c>
      <c r="V716" s="75">
        <f>IF(ISERROR(VLOOKUP($S$716,'TAR FIN'!$A$1:$O$93,15,0)),0,VLOOKUP($S$716,'TAR FIN'!$A$1:$O$93,15,0))</f>
        <v>0</v>
      </c>
      <c r="W716" s="75">
        <f>IF(ISERROR(VLOOKUP($T$716,'TAR FIN'!$A$1:$O$93,15,0)),0,VLOOKUP($T$716,'TAR FIN'!$A$1:$O$93,15,0))*(1-0.06)</f>
        <v>65.320599999999985</v>
      </c>
      <c r="X716" s="75">
        <f>IF(ISERROR(VLOOKUP($U$716,'TAR FIN'!$A$1:$O$93,15,0)),0,VLOOKUP($U$716,'TAR FIN'!$A$1:$O$93,15,0))*(1-0.06)</f>
        <v>174.0692</v>
      </c>
      <c r="Y716" s="75"/>
      <c r="Z716" s="75">
        <f ca="1">('TUSD BE'!$AM$16+'TUSD BF'!$AM$16+'TUSD CVA'!$AM$16)*1*(1-0.03)</f>
        <v>89.72964966605349</v>
      </c>
      <c r="AA716" s="75">
        <f>('TE BE'!$AB$8+'TE BF'!$AB$8+'TE CVA'!$AB$8)*1*(1-0.03)</f>
        <v>192.23648936268484</v>
      </c>
      <c r="AB716" s="6">
        <f>$K$716*$V$716</f>
        <v>0</v>
      </c>
      <c r="AC716" s="6">
        <f>$M$716*$W$716</f>
        <v>4335.3935425999989</v>
      </c>
      <c r="AD716" s="6">
        <f>$O$716*$X$716</f>
        <v>11553.146873199999</v>
      </c>
      <c r="AE716" s="6">
        <f>$K$716*$Y$716</f>
        <v>0</v>
      </c>
      <c r="AF716" s="6">
        <f ca="1">$M$716*$Z$716</f>
        <v>5955.4465779856355</v>
      </c>
      <c r="AG716" s="6">
        <f>$O$716*$AA$716</f>
        <v>12758.928035490755</v>
      </c>
    </row>
    <row r="717" spans="1:33" ht="11.25" customHeight="1" x14ac:dyDescent="0.25">
      <c r="A717" s="4" t="s">
        <v>21</v>
      </c>
      <c r="B717" s="4" t="s">
        <v>35</v>
      </c>
      <c r="C717" s="4" t="s">
        <v>39</v>
      </c>
      <c r="D717" s="4" t="s">
        <v>47</v>
      </c>
      <c r="E717" s="4" t="s">
        <v>48</v>
      </c>
      <c r="F717" s="4" t="s">
        <v>25</v>
      </c>
      <c r="G717" s="4" t="s">
        <v>25</v>
      </c>
      <c r="H717" s="4" t="s">
        <v>38</v>
      </c>
      <c r="I717" s="5">
        <v>44470</v>
      </c>
      <c r="J717" s="6">
        <v>0</v>
      </c>
      <c r="K717" s="75">
        <v>0</v>
      </c>
      <c r="L717" s="6">
        <v>66.837999999999994</v>
      </c>
      <c r="M717" s="75">
        <v>66.837999999999994</v>
      </c>
      <c r="N717" s="6">
        <v>66.837999999999994</v>
      </c>
      <c r="O717" s="75">
        <v>66.837999999999994</v>
      </c>
      <c r="P717" s="6">
        <v>0</v>
      </c>
      <c r="Q717" s="4" t="s">
        <v>26</v>
      </c>
      <c r="R717" s="4">
        <v>0</v>
      </c>
      <c r="S717" s="6">
        <v>0</v>
      </c>
      <c r="T717" s="6">
        <v>25</v>
      </c>
      <c r="U717" s="6">
        <v>59</v>
      </c>
      <c r="V717" s="75">
        <f>IF(ISERROR(VLOOKUP($S$717,'TAR FIN'!$A$1:$O$93,15,0)),0,VLOOKUP($S$717,'TAR FIN'!$A$1:$O$93,15,0))</f>
        <v>0</v>
      </c>
      <c r="W717" s="75">
        <f>IF(ISERROR(VLOOKUP($T$717,'TAR FIN'!$A$1:$O$93,15,0)),0,VLOOKUP($T$717,'TAR FIN'!$A$1:$O$93,15,0))*(1-0.06)</f>
        <v>65.320599999999985</v>
      </c>
      <c r="X717" s="75">
        <f>IF(ISERROR(VLOOKUP($U$717,'TAR FIN'!$A$1:$O$93,15,0)),0,VLOOKUP($U$717,'TAR FIN'!$A$1:$O$93,15,0))*(1-0.06)</f>
        <v>174.0692</v>
      </c>
      <c r="Y717" s="75"/>
      <c r="Z717" s="75">
        <f ca="1">('TUSD BE'!$AM$16+'TUSD BF'!$AM$16+'TUSD CVA'!$AM$16)*1*(1-0.03)</f>
        <v>89.72964966605349</v>
      </c>
      <c r="AA717" s="75">
        <f>('TE BE'!$AB$8+'TE BF'!$AB$8+'TE CVA'!$AB$8)*1*(1-0.03)</f>
        <v>192.23648936268484</v>
      </c>
      <c r="AB717" s="6">
        <f>$K$717*$V$717</f>
        <v>0</v>
      </c>
      <c r="AC717" s="6">
        <f>$M$717*$W$717</f>
        <v>4365.8982627999985</v>
      </c>
      <c r="AD717" s="6">
        <f>$O$717*$X$717</f>
        <v>11634.437189599999</v>
      </c>
      <c r="AE717" s="6">
        <f>$K$717*$Y$717</f>
        <v>0</v>
      </c>
      <c r="AF717" s="6">
        <f ca="1">$M$717*$Z$717</f>
        <v>5997.3503243796822</v>
      </c>
      <c r="AG717" s="6">
        <f>$O$717*$AA$717</f>
        <v>12848.702476023127</v>
      </c>
    </row>
    <row r="718" spans="1:33" ht="11.25" customHeight="1" x14ac:dyDescent="0.25">
      <c r="A718" s="4" t="s">
        <v>21</v>
      </c>
      <c r="B718" s="4" t="s">
        <v>35</v>
      </c>
      <c r="C718" s="4" t="s">
        <v>39</v>
      </c>
      <c r="D718" s="4" t="s">
        <v>47</v>
      </c>
      <c r="E718" s="4" t="s">
        <v>48</v>
      </c>
      <c r="F718" s="4" t="s">
        <v>25</v>
      </c>
      <c r="G718" s="4" t="s">
        <v>25</v>
      </c>
      <c r="H718" s="4" t="s">
        <v>38</v>
      </c>
      <c r="I718" s="5">
        <v>44501</v>
      </c>
      <c r="J718" s="6">
        <v>0</v>
      </c>
      <c r="K718" s="75">
        <v>0</v>
      </c>
      <c r="L718" s="6">
        <v>70.613</v>
      </c>
      <c r="M718" s="75">
        <v>70.613</v>
      </c>
      <c r="N718" s="6">
        <v>70.613</v>
      </c>
      <c r="O718" s="75">
        <v>70.613</v>
      </c>
      <c r="P718" s="6">
        <v>0</v>
      </c>
      <c r="Q718" s="4" t="s">
        <v>26</v>
      </c>
      <c r="R718" s="4">
        <v>0</v>
      </c>
      <c r="S718" s="6">
        <v>0</v>
      </c>
      <c r="T718" s="6">
        <v>25</v>
      </c>
      <c r="U718" s="6">
        <v>59</v>
      </c>
      <c r="V718" s="75">
        <f>IF(ISERROR(VLOOKUP($S$718,'TAR FIN'!$A$1:$O$93,15,0)),0,VLOOKUP($S$718,'TAR FIN'!$A$1:$O$93,15,0))</f>
        <v>0</v>
      </c>
      <c r="W718" s="75">
        <f>IF(ISERROR(VLOOKUP($T$718,'TAR FIN'!$A$1:$O$93,15,0)),0,VLOOKUP($T$718,'TAR FIN'!$A$1:$O$93,15,0))*(1-0.06)</f>
        <v>65.320599999999985</v>
      </c>
      <c r="X718" s="75">
        <f>IF(ISERROR(VLOOKUP($U$718,'TAR FIN'!$A$1:$O$93,15,0)),0,VLOOKUP($U$718,'TAR FIN'!$A$1:$O$93,15,0))*(1-0.06)</f>
        <v>174.0692</v>
      </c>
      <c r="Y718" s="75"/>
      <c r="Z718" s="75">
        <f ca="1">('TUSD BE'!$AM$16+'TUSD BF'!$AM$16+'TUSD CVA'!$AM$16)*1*(1-0.03)</f>
        <v>89.72964966605349</v>
      </c>
      <c r="AA718" s="75">
        <f>('TE BE'!$AB$8+'TE BF'!$AB$8+'TE CVA'!$AB$8)*1*(1-0.03)</f>
        <v>192.23648936268484</v>
      </c>
      <c r="AB718" s="6">
        <f>$K$718*$V$718</f>
        <v>0</v>
      </c>
      <c r="AC718" s="6">
        <f>$M$718*$W$718</f>
        <v>4612.4835277999991</v>
      </c>
      <c r="AD718" s="6">
        <f>$O$718*$X$718</f>
        <v>12291.5484196</v>
      </c>
      <c r="AE718" s="6">
        <f>$K$718*$Y$718</f>
        <v>0</v>
      </c>
      <c r="AF718" s="6">
        <f ca="1">$M$718*$Z$718</f>
        <v>6336.0797518690351</v>
      </c>
      <c r="AG718" s="6">
        <f>$O$718*$AA$718</f>
        <v>13574.395223367264</v>
      </c>
    </row>
    <row r="719" spans="1:33" ht="11.25" customHeight="1" x14ac:dyDescent="0.25">
      <c r="A719" s="4" t="s">
        <v>21</v>
      </c>
      <c r="B719" s="4" t="s">
        <v>35</v>
      </c>
      <c r="C719" s="4" t="s">
        <v>39</v>
      </c>
      <c r="D719" s="4" t="s">
        <v>47</v>
      </c>
      <c r="E719" s="4" t="s">
        <v>48</v>
      </c>
      <c r="F719" s="4" t="s">
        <v>25</v>
      </c>
      <c r="G719" s="4" t="s">
        <v>25</v>
      </c>
      <c r="H719" s="4" t="s">
        <v>38</v>
      </c>
      <c r="I719" s="5">
        <v>44531</v>
      </c>
      <c r="J719" s="6">
        <v>0</v>
      </c>
      <c r="K719" s="75">
        <v>0</v>
      </c>
      <c r="L719" s="6">
        <v>64.915000000000006</v>
      </c>
      <c r="M719" s="75">
        <v>64.915000000000006</v>
      </c>
      <c r="N719" s="6">
        <v>64.915000000000006</v>
      </c>
      <c r="O719" s="75">
        <v>64.915000000000006</v>
      </c>
      <c r="P719" s="6">
        <v>0</v>
      </c>
      <c r="Q719" s="4" t="s">
        <v>26</v>
      </c>
      <c r="R719" s="4">
        <v>0</v>
      </c>
      <c r="S719" s="6">
        <v>0</v>
      </c>
      <c r="T719" s="6">
        <v>25</v>
      </c>
      <c r="U719" s="6">
        <v>59</v>
      </c>
      <c r="V719" s="75">
        <f>IF(ISERROR(VLOOKUP($S$719,'TAR FIN'!$A$1:$O$93,15,0)),0,VLOOKUP($S$719,'TAR FIN'!$A$1:$O$93,15,0))</f>
        <v>0</v>
      </c>
      <c r="W719" s="75">
        <f>IF(ISERROR(VLOOKUP($T$719,'TAR FIN'!$A$1:$O$93,15,0)),0,VLOOKUP($T$719,'TAR FIN'!$A$1:$O$93,15,0))*(1-0.06)</f>
        <v>65.320599999999985</v>
      </c>
      <c r="X719" s="75">
        <f>IF(ISERROR(VLOOKUP($U$719,'TAR FIN'!$A$1:$O$93,15,0)),0,VLOOKUP($U$719,'TAR FIN'!$A$1:$O$93,15,0))*(1-0.06)</f>
        <v>174.0692</v>
      </c>
      <c r="Y719" s="75"/>
      <c r="Z719" s="75">
        <f ca="1">('TUSD BE'!$AM$16+'TUSD BF'!$AM$16+'TUSD CVA'!$AM$16)*1*(1-0.03)</f>
        <v>89.72964966605349</v>
      </c>
      <c r="AA719" s="75">
        <f>('TE BE'!$AB$8+'TE BF'!$AB$8+'TE CVA'!$AB$8)*1*(1-0.03)</f>
        <v>192.23648936268484</v>
      </c>
      <c r="AB719" s="6">
        <f>$K$719*$V$719</f>
        <v>0</v>
      </c>
      <c r="AC719" s="6">
        <f>$M$719*$W$719</f>
        <v>4240.286748999999</v>
      </c>
      <c r="AD719" s="6">
        <f>$O$719*$X$719</f>
        <v>11299.702118000001</v>
      </c>
      <c r="AE719" s="6">
        <f>$K$719*$Y$719</f>
        <v>0</v>
      </c>
      <c r="AF719" s="6">
        <f ca="1">$M$719*$Z$719</f>
        <v>5824.8002080718625</v>
      </c>
      <c r="AG719" s="6">
        <f>$O$719*$AA$719</f>
        <v>12479.031706978687</v>
      </c>
    </row>
    <row r="720" spans="1:33" ht="11.25" customHeight="1" x14ac:dyDescent="0.25">
      <c r="A720" s="4" t="s">
        <v>21</v>
      </c>
      <c r="B720" s="4" t="s">
        <v>35</v>
      </c>
      <c r="C720" s="4" t="s">
        <v>39</v>
      </c>
      <c r="D720" s="4" t="s">
        <v>47</v>
      </c>
      <c r="E720" s="4" t="s">
        <v>48</v>
      </c>
      <c r="F720" s="4" t="s">
        <v>25</v>
      </c>
      <c r="G720" s="4" t="s">
        <v>25</v>
      </c>
      <c r="H720" s="4" t="s">
        <v>38</v>
      </c>
      <c r="I720" s="5">
        <v>44562</v>
      </c>
      <c r="J720" s="6">
        <v>0</v>
      </c>
      <c r="K720" s="75">
        <v>0</v>
      </c>
      <c r="L720" s="6">
        <v>72.984999999999999</v>
      </c>
      <c r="M720" s="75">
        <v>72.984999999999999</v>
      </c>
      <c r="N720" s="6">
        <v>72.984999999999999</v>
      </c>
      <c r="O720" s="75">
        <v>72.984999999999999</v>
      </c>
      <c r="P720" s="6">
        <v>0</v>
      </c>
      <c r="Q720" s="4" t="s">
        <v>26</v>
      </c>
      <c r="R720" s="4">
        <v>0</v>
      </c>
      <c r="S720" s="6">
        <v>0</v>
      </c>
      <c r="T720" s="6">
        <v>25</v>
      </c>
      <c r="U720" s="6">
        <v>59</v>
      </c>
      <c r="V720" s="75">
        <f>IF(ISERROR(VLOOKUP($S$720,'TAR FIN'!$A$1:$O$93,15,0)),0,VLOOKUP($S$720,'TAR FIN'!$A$1:$O$93,15,0))</f>
        <v>0</v>
      </c>
      <c r="W720" s="75">
        <f>IF(ISERROR(VLOOKUP($T$720,'TAR FIN'!$A$1:$O$93,15,0)),0,VLOOKUP($T$720,'TAR FIN'!$A$1:$O$93,15,0))*(1-0.06)</f>
        <v>65.320599999999985</v>
      </c>
      <c r="X720" s="75">
        <f>IF(ISERROR(VLOOKUP($U$720,'TAR FIN'!$A$1:$O$93,15,0)),0,VLOOKUP($U$720,'TAR FIN'!$A$1:$O$93,15,0))*(1-0.06)</f>
        <v>174.0692</v>
      </c>
      <c r="Y720" s="75"/>
      <c r="Z720" s="75">
        <f ca="1">('TUSD BE'!$AM$16+'TUSD BF'!$AM$16+'TUSD CVA'!$AM$16)*1*(1-0.03)</f>
        <v>89.72964966605349</v>
      </c>
      <c r="AA720" s="75">
        <f>('TE BE'!$AB$8+'TE BF'!$AB$8+'TE CVA'!$AB$8)*1*(1-0.03)</f>
        <v>192.23648936268484</v>
      </c>
      <c r="AB720" s="6">
        <f>$K$720*$V$720</f>
        <v>0</v>
      </c>
      <c r="AC720" s="6">
        <f>$M$720*$W$720</f>
        <v>4767.4239909999988</v>
      </c>
      <c r="AD720" s="6">
        <f>$O$720*$X$720</f>
        <v>12704.440562</v>
      </c>
      <c r="AE720" s="6">
        <f>$K$720*$Y$720</f>
        <v>0</v>
      </c>
      <c r="AF720" s="6">
        <f ca="1">$M$720*$Z$720</f>
        <v>6548.9184808769141</v>
      </c>
      <c r="AG720" s="6">
        <f>$O$720*$AA$720</f>
        <v>14030.380176135553</v>
      </c>
    </row>
    <row r="721" spans="1:33" ht="11.25" customHeight="1" x14ac:dyDescent="0.25">
      <c r="A721" s="4" t="s">
        <v>21</v>
      </c>
      <c r="B721" s="4" t="s">
        <v>35</v>
      </c>
      <c r="C721" s="4" t="s">
        <v>39</v>
      </c>
      <c r="D721" s="4" t="s">
        <v>47</v>
      </c>
      <c r="E721" s="4" t="s">
        <v>48</v>
      </c>
      <c r="F721" s="4" t="s">
        <v>25</v>
      </c>
      <c r="G721" s="4" t="s">
        <v>25</v>
      </c>
      <c r="H721" s="4" t="s">
        <v>38</v>
      </c>
      <c r="I721" s="5">
        <v>44593</v>
      </c>
      <c r="J721" s="6">
        <v>0</v>
      </c>
      <c r="K721" s="75">
        <v>0</v>
      </c>
      <c r="L721" s="6">
        <v>64.531999999999996</v>
      </c>
      <c r="M721" s="75">
        <v>64.531999999999996</v>
      </c>
      <c r="N721" s="6">
        <v>64.531999999999996</v>
      </c>
      <c r="O721" s="75">
        <v>64.531999999999996</v>
      </c>
      <c r="P721" s="6">
        <v>0</v>
      </c>
      <c r="Q721" s="4" t="s">
        <v>26</v>
      </c>
      <c r="R721" s="4">
        <v>0</v>
      </c>
      <c r="S721" s="6">
        <v>0</v>
      </c>
      <c r="T721" s="6">
        <v>25</v>
      </c>
      <c r="U721" s="6">
        <v>59</v>
      </c>
      <c r="V721" s="75">
        <f>IF(ISERROR(VLOOKUP($S$721,'TAR FIN'!$A$1:$O$93,15,0)),0,VLOOKUP($S$721,'TAR FIN'!$A$1:$O$93,15,0))</f>
        <v>0</v>
      </c>
      <c r="W721" s="75">
        <f>IF(ISERROR(VLOOKUP($T$721,'TAR FIN'!$A$1:$O$93,15,0)),0,VLOOKUP($T$721,'TAR FIN'!$A$1:$O$93,15,0))*(1-0.06)</f>
        <v>65.320599999999985</v>
      </c>
      <c r="X721" s="75">
        <f>IF(ISERROR(VLOOKUP($U$721,'TAR FIN'!$A$1:$O$93,15,0)),0,VLOOKUP($U$721,'TAR FIN'!$A$1:$O$93,15,0))*(1-0.06)</f>
        <v>174.0692</v>
      </c>
      <c r="Y721" s="75"/>
      <c r="Z721" s="75">
        <f ca="1">('TUSD BE'!$AM$16+'TUSD BF'!$AM$16+'TUSD CVA'!$AM$16)*1*(1-0.03)</f>
        <v>89.72964966605349</v>
      </c>
      <c r="AA721" s="75">
        <f>('TE BE'!$AB$8+'TE BF'!$AB$8+'TE CVA'!$AB$8)*1*(1-0.03)</f>
        <v>192.23648936268484</v>
      </c>
      <c r="AB721" s="6">
        <f>$K$721*$V$721</f>
        <v>0</v>
      </c>
      <c r="AC721" s="6">
        <f>$M$721*$W$721</f>
        <v>4215.2689591999988</v>
      </c>
      <c r="AD721" s="6">
        <f>$O$721*$X$721</f>
        <v>11233.033614399999</v>
      </c>
      <c r="AE721" s="6">
        <f>$K$721*$Y$721</f>
        <v>0</v>
      </c>
      <c r="AF721" s="6">
        <f ca="1">$M$721*$Z$721</f>
        <v>5790.4337522497635</v>
      </c>
      <c r="AG721" s="6">
        <f>$O$721*$AA$721</f>
        <v>12405.405131552778</v>
      </c>
    </row>
    <row r="722" spans="1:33" ht="11.25" customHeight="1" x14ac:dyDescent="0.25">
      <c r="A722" s="4" t="s">
        <v>21</v>
      </c>
      <c r="B722" s="4" t="s">
        <v>35</v>
      </c>
      <c r="C722" s="4" t="s">
        <v>39</v>
      </c>
      <c r="D722" s="4" t="s">
        <v>47</v>
      </c>
      <c r="E722" s="4" t="s">
        <v>48</v>
      </c>
      <c r="F722" s="4" t="s">
        <v>25</v>
      </c>
      <c r="G722" s="4" t="s">
        <v>25</v>
      </c>
      <c r="H722" s="4" t="s">
        <v>38</v>
      </c>
      <c r="I722" s="5">
        <v>44621</v>
      </c>
      <c r="J722" s="6">
        <v>0</v>
      </c>
      <c r="K722" s="75">
        <v>0</v>
      </c>
      <c r="L722" s="6">
        <v>54.575000000000003</v>
      </c>
      <c r="M722" s="75">
        <v>54.575000000000003</v>
      </c>
      <c r="N722" s="6">
        <v>54.575000000000003</v>
      </c>
      <c r="O722" s="75">
        <v>54.575000000000003</v>
      </c>
      <c r="P722" s="6">
        <v>0</v>
      </c>
      <c r="Q722" s="4" t="s">
        <v>26</v>
      </c>
      <c r="R722" s="4">
        <v>0</v>
      </c>
      <c r="S722" s="6">
        <v>0</v>
      </c>
      <c r="T722" s="6">
        <v>25</v>
      </c>
      <c r="U722" s="6">
        <v>59</v>
      </c>
      <c r="V722" s="75">
        <f>IF(ISERROR(VLOOKUP($S$722,'TAR FIN'!$A$1:$O$93,15,0)),0,VLOOKUP($S$722,'TAR FIN'!$A$1:$O$93,15,0))</f>
        <v>0</v>
      </c>
      <c r="W722" s="75">
        <f>IF(ISERROR(VLOOKUP($T$722,'TAR FIN'!$A$1:$O$93,15,0)),0,VLOOKUP($T$722,'TAR FIN'!$A$1:$O$93,15,0))*(1-0.06)</f>
        <v>65.320599999999985</v>
      </c>
      <c r="X722" s="75">
        <f>IF(ISERROR(VLOOKUP($U$722,'TAR FIN'!$A$1:$O$93,15,0)),0,VLOOKUP($U$722,'TAR FIN'!$A$1:$O$93,15,0))*(1-0.06)</f>
        <v>174.0692</v>
      </c>
      <c r="Y722" s="75"/>
      <c r="Z722" s="75">
        <f ca="1">('TUSD BE'!$AM$16+'TUSD BF'!$AM$16+'TUSD CVA'!$AM$16)*1*(1-0.03)</f>
        <v>89.72964966605349</v>
      </c>
      <c r="AA722" s="75">
        <f>('TE BE'!$AB$8+'TE BF'!$AB$8+'TE CVA'!$AB$8)*1*(1-0.03)</f>
        <v>192.23648936268484</v>
      </c>
      <c r="AB722" s="6">
        <f>$K$722*$V$722</f>
        <v>0</v>
      </c>
      <c r="AC722" s="6">
        <f>$M$722*$W$722</f>
        <v>3564.8717449999995</v>
      </c>
      <c r="AD722" s="6">
        <f>$O$722*$X$722</f>
        <v>9499.8265900000006</v>
      </c>
      <c r="AE722" s="6">
        <f>$K$722*$Y$722</f>
        <v>0</v>
      </c>
      <c r="AF722" s="6">
        <f ca="1">$M$722*$Z$722</f>
        <v>4896.9956305248697</v>
      </c>
      <c r="AG722" s="6">
        <f>$O$722*$AA$722</f>
        <v>10491.306406968526</v>
      </c>
    </row>
    <row r="723" spans="1:33" ht="11.25" customHeight="1" x14ac:dyDescent="0.25">
      <c r="A723" s="4" t="s">
        <v>21</v>
      </c>
      <c r="B723" s="4" t="s">
        <v>35</v>
      </c>
      <c r="C723" s="4" t="s">
        <v>39</v>
      </c>
      <c r="D723" s="4" t="s">
        <v>47</v>
      </c>
      <c r="E723" s="4" t="s">
        <v>48</v>
      </c>
      <c r="F723" s="4" t="s">
        <v>25</v>
      </c>
      <c r="G723" s="4" t="s">
        <v>25</v>
      </c>
      <c r="H723" s="4" t="s">
        <v>38</v>
      </c>
      <c r="I723" s="5">
        <v>44652</v>
      </c>
      <c r="J723" s="6">
        <v>0</v>
      </c>
      <c r="K723" s="75">
        <v>0</v>
      </c>
      <c r="L723" s="6">
        <v>62.256</v>
      </c>
      <c r="M723" s="75">
        <v>62.256</v>
      </c>
      <c r="N723" s="6">
        <v>62.256</v>
      </c>
      <c r="O723" s="75">
        <v>62.256</v>
      </c>
      <c r="P723" s="6">
        <v>0</v>
      </c>
      <c r="Q723" s="4" t="s">
        <v>26</v>
      </c>
      <c r="R723" s="4">
        <v>0</v>
      </c>
      <c r="S723" s="6">
        <v>0</v>
      </c>
      <c r="T723" s="6">
        <v>25</v>
      </c>
      <c r="U723" s="6">
        <v>59</v>
      </c>
      <c r="V723" s="75">
        <f>IF(ISERROR(VLOOKUP($S$723,'TAR FIN'!$A$1:$O$93,15,0)),0,VLOOKUP($S$723,'TAR FIN'!$A$1:$O$93,15,0))</f>
        <v>0</v>
      </c>
      <c r="W723" s="75">
        <f>IF(ISERROR(VLOOKUP($T$723,'TAR FIN'!$A$1:$O$93,15,0)),0,VLOOKUP($T$723,'TAR FIN'!$A$1:$O$93,15,0))*(1-0.06)</f>
        <v>65.320599999999985</v>
      </c>
      <c r="X723" s="75">
        <f>IF(ISERROR(VLOOKUP($U$723,'TAR FIN'!$A$1:$O$93,15,0)),0,VLOOKUP($U$723,'TAR FIN'!$A$1:$O$93,15,0))*(1-0.06)</f>
        <v>174.0692</v>
      </c>
      <c r="Y723" s="75"/>
      <c r="Z723" s="75">
        <f ca="1">('TUSD BE'!$AM$16+'TUSD BF'!$AM$16+'TUSD CVA'!$AM$16)*1*(1-0.03)</f>
        <v>89.72964966605349</v>
      </c>
      <c r="AA723" s="75">
        <f>('TE BE'!$AB$8+'TE BF'!$AB$8+'TE CVA'!$AB$8)*1*(1-0.03)</f>
        <v>192.23648936268484</v>
      </c>
      <c r="AB723" s="6">
        <f>$K$723*$V$723</f>
        <v>0</v>
      </c>
      <c r="AC723" s="6">
        <f>$M$723*$W$723</f>
        <v>4066.5992735999989</v>
      </c>
      <c r="AD723" s="6">
        <f>$O$723*$X$723</f>
        <v>10836.852115199999</v>
      </c>
      <c r="AE723" s="6">
        <f>$K$723*$Y$723</f>
        <v>0</v>
      </c>
      <c r="AF723" s="6">
        <f ca="1">$M$723*$Z$723</f>
        <v>5586.2090696098257</v>
      </c>
      <c r="AG723" s="6">
        <f>$O$723*$AA$723</f>
        <v>11967.874881763308</v>
      </c>
    </row>
    <row r="724" spans="1:33" ht="11.25" customHeight="1" x14ac:dyDescent="0.25">
      <c r="A724" s="4" t="s">
        <v>21</v>
      </c>
      <c r="B724" s="4" t="s">
        <v>35</v>
      </c>
      <c r="C724" s="4" t="s">
        <v>39</v>
      </c>
      <c r="D724" s="4" t="s">
        <v>47</v>
      </c>
      <c r="E724" s="4" t="s">
        <v>48</v>
      </c>
      <c r="F724" s="4" t="s">
        <v>25</v>
      </c>
      <c r="G724" s="4" t="s">
        <v>25</v>
      </c>
      <c r="H724" s="4" t="s">
        <v>38</v>
      </c>
      <c r="I724" s="5">
        <v>44682</v>
      </c>
      <c r="J724" s="6">
        <v>0</v>
      </c>
      <c r="K724" s="75">
        <v>0</v>
      </c>
      <c r="L724" s="6">
        <v>57.121000000000002</v>
      </c>
      <c r="M724" s="75">
        <v>57.121000000000002</v>
      </c>
      <c r="N724" s="6">
        <v>57.121000000000002</v>
      </c>
      <c r="O724" s="75">
        <v>57.121000000000002</v>
      </c>
      <c r="P724" s="6">
        <v>0</v>
      </c>
      <c r="Q724" s="4" t="s">
        <v>26</v>
      </c>
      <c r="R724" s="4">
        <v>0</v>
      </c>
      <c r="S724" s="6">
        <v>0</v>
      </c>
      <c r="T724" s="6">
        <v>25</v>
      </c>
      <c r="U724" s="6">
        <v>59</v>
      </c>
      <c r="V724" s="75">
        <f>IF(ISERROR(VLOOKUP($S$724,'TAR FIN'!$A$1:$O$93,15,0)),0,VLOOKUP($S$724,'TAR FIN'!$A$1:$O$93,15,0))</f>
        <v>0</v>
      </c>
      <c r="W724" s="75">
        <f>IF(ISERROR(VLOOKUP($T$724,'TAR FIN'!$A$1:$O$93,15,0)),0,VLOOKUP($T$724,'TAR FIN'!$A$1:$O$93,15,0))*(1-0.06)</f>
        <v>65.320599999999985</v>
      </c>
      <c r="X724" s="75">
        <f>IF(ISERROR(VLOOKUP($U$724,'TAR FIN'!$A$1:$O$93,15,0)),0,VLOOKUP($U$724,'TAR FIN'!$A$1:$O$93,15,0))*(1-0.06)</f>
        <v>174.0692</v>
      </c>
      <c r="Y724" s="75"/>
      <c r="Z724" s="75">
        <f ca="1">('TUSD BE'!$AM$16+'TUSD BF'!$AM$16+'TUSD CVA'!$AM$16)*1*(1-0.03)</f>
        <v>89.72964966605349</v>
      </c>
      <c r="AA724" s="75">
        <f>('TE BE'!$AB$8+'TE BF'!$AB$8+'TE CVA'!$AB$8)*1*(1-0.03)</f>
        <v>192.23648936268484</v>
      </c>
      <c r="AB724" s="6">
        <f>$K$724*$V$724</f>
        <v>0</v>
      </c>
      <c r="AC724" s="6">
        <f>$M$724*$W$724</f>
        <v>3731.1779925999995</v>
      </c>
      <c r="AD724" s="6">
        <f>$O$724*$X$724</f>
        <v>9943.0067732000007</v>
      </c>
      <c r="AE724" s="6">
        <f>$K$724*$Y$724</f>
        <v>0</v>
      </c>
      <c r="AF724" s="6">
        <f ca="1">$M$724*$Z$724</f>
        <v>5125.4473185746419</v>
      </c>
      <c r="AG724" s="6">
        <f>$O$724*$AA$724</f>
        <v>10980.740508885921</v>
      </c>
    </row>
    <row r="725" spans="1:33" ht="11.25" customHeight="1" x14ac:dyDescent="0.25">
      <c r="A725" s="4" t="s">
        <v>21</v>
      </c>
      <c r="B725" s="4" t="s">
        <v>35</v>
      </c>
      <c r="C725" s="4" t="s">
        <v>39</v>
      </c>
      <c r="D725" s="4" t="s">
        <v>47</v>
      </c>
      <c r="E725" s="4" t="s">
        <v>48</v>
      </c>
      <c r="F725" s="4" t="s">
        <v>25</v>
      </c>
      <c r="G725" s="4" t="s">
        <v>25</v>
      </c>
      <c r="H725" s="4" t="s">
        <v>38</v>
      </c>
      <c r="I725" s="5">
        <v>44713</v>
      </c>
      <c r="J725" s="6">
        <v>0</v>
      </c>
      <c r="K725" s="75">
        <v>0</v>
      </c>
      <c r="L725" s="6">
        <v>62.706000000000003</v>
      </c>
      <c r="M725" s="75">
        <v>62.706000000000003</v>
      </c>
      <c r="N725" s="6">
        <v>62.706000000000003</v>
      </c>
      <c r="O725" s="75">
        <v>62.706000000000003</v>
      </c>
      <c r="P725" s="6">
        <v>0</v>
      </c>
      <c r="Q725" s="4" t="s">
        <v>26</v>
      </c>
      <c r="R725" s="4">
        <v>0</v>
      </c>
      <c r="S725" s="6">
        <v>0</v>
      </c>
      <c r="T725" s="6">
        <v>25</v>
      </c>
      <c r="U725" s="6">
        <v>59</v>
      </c>
      <c r="V725" s="75">
        <f>IF(ISERROR(VLOOKUP($S$725,'TAR FIN'!$A$1:$O$93,15,0)),0,VLOOKUP($S$725,'TAR FIN'!$A$1:$O$93,15,0))</f>
        <v>0</v>
      </c>
      <c r="W725" s="75">
        <f>IF(ISERROR(VLOOKUP($T$725,'TAR FIN'!$A$1:$O$93,15,0)),0,VLOOKUP($T$725,'TAR FIN'!$A$1:$O$93,15,0))*(1-0.06)</f>
        <v>65.320599999999985</v>
      </c>
      <c r="X725" s="75">
        <f>IF(ISERROR(VLOOKUP($U$725,'TAR FIN'!$A$1:$O$93,15,0)),0,VLOOKUP($U$725,'TAR FIN'!$A$1:$O$93,15,0))*(1-0.06)</f>
        <v>174.0692</v>
      </c>
      <c r="Y725" s="75"/>
      <c r="Z725" s="75">
        <f ca="1">('TUSD BE'!$AM$16+'TUSD BF'!$AM$16+'TUSD CVA'!$AM$16)*1*(1-0.03)</f>
        <v>89.72964966605349</v>
      </c>
      <c r="AA725" s="75">
        <f>('TE BE'!$AB$8+'TE BF'!$AB$8+'TE CVA'!$AB$8)*1*(1-0.03)</f>
        <v>192.23648936268484</v>
      </c>
      <c r="AB725" s="6">
        <f>$K$725*$V$725</f>
        <v>0</v>
      </c>
      <c r="AC725" s="6">
        <f>$M$725*$W$725</f>
        <v>4095.9935435999992</v>
      </c>
      <c r="AD725" s="6">
        <f>$O$725*$X$725</f>
        <v>10915.1832552</v>
      </c>
      <c r="AE725" s="6">
        <f>$K$725*$Y$725</f>
        <v>0</v>
      </c>
      <c r="AF725" s="6">
        <f ca="1">$M$725*$Z$725</f>
        <v>5626.5874119595501</v>
      </c>
      <c r="AG725" s="6">
        <f>$O$725*$AA$725</f>
        <v>12054.381301976517</v>
      </c>
    </row>
    <row r="726" spans="1:33" ht="11.25" customHeight="1" x14ac:dyDescent="0.25">
      <c r="A726" s="4" t="s">
        <v>21</v>
      </c>
      <c r="B726" s="4" t="s">
        <v>35</v>
      </c>
      <c r="C726" s="4" t="s">
        <v>39</v>
      </c>
      <c r="D726" s="4" t="s">
        <v>47</v>
      </c>
      <c r="E726" s="4" t="s">
        <v>48</v>
      </c>
      <c r="F726" s="4" t="s">
        <v>25</v>
      </c>
      <c r="G726" s="4" t="s">
        <v>25</v>
      </c>
      <c r="H726" s="4" t="s">
        <v>25</v>
      </c>
      <c r="I726" s="5">
        <v>44378</v>
      </c>
      <c r="J726" s="6">
        <v>494</v>
      </c>
      <c r="K726" s="76">
        <v>494</v>
      </c>
      <c r="L726" s="6">
        <v>0</v>
      </c>
      <c r="M726" s="75">
        <v>0</v>
      </c>
      <c r="N726" s="6">
        <v>0</v>
      </c>
      <c r="O726" s="75">
        <v>0</v>
      </c>
      <c r="P726" s="6">
        <v>3</v>
      </c>
      <c r="Q726" s="4" t="s">
        <v>26</v>
      </c>
      <c r="R726" s="4">
        <v>0</v>
      </c>
      <c r="S726" s="6">
        <v>18</v>
      </c>
      <c r="T726" s="6">
        <v>0</v>
      </c>
      <c r="U726" s="6">
        <v>0</v>
      </c>
      <c r="V726" s="75">
        <f>IF(ISERROR(VLOOKUP($S$726,'TAR FIN'!$A$1:$O$93,15,0)),0,VLOOKUP($S$726,'TAR FIN'!$A$1:$O$93,15,0))*(1-0.06)</f>
        <v>24.599800000000002</v>
      </c>
      <c r="W726" s="75">
        <f>IF(ISERROR(VLOOKUP($T$726,'TAR FIN'!$A$1:$O$93,15,0)),0,VLOOKUP($T$726,'TAR FIN'!$A$1:$O$93,15,0))</f>
        <v>0</v>
      </c>
      <c r="X726" s="75">
        <f>IF(ISERROR(VLOOKUP($U$726,'TAR FIN'!$A$1:$O$93,15,0)),0,VLOOKUP($U$726,'TAR FIN'!$A$1:$O$93,15,0))</f>
        <v>0</v>
      </c>
      <c r="Y726" s="75">
        <f ca="1">('TUSD BE'!$AM$14+'TUSD BF'!$AM$14+'TUSD CVA'!$AM$14)*1*(1-0.03)</f>
        <v>29.539877894373404</v>
      </c>
      <c r="Z726" s="75"/>
      <c r="AA726" s="75"/>
      <c r="AB726" s="6">
        <f>$K$726*$V$726</f>
        <v>12152.301200000002</v>
      </c>
      <c r="AC726" s="6">
        <f>$M$726*$W$726</f>
        <v>0</v>
      </c>
      <c r="AD726" s="6">
        <f>$O$726*$X$726</f>
        <v>0</v>
      </c>
      <c r="AE726" s="6">
        <f ca="1">$K$726*$Y$726</f>
        <v>14592.699679820462</v>
      </c>
      <c r="AF726" s="6">
        <f>$M$726*$Z$726</f>
        <v>0</v>
      </c>
      <c r="AG726" s="6">
        <f>$O$726*$AA$726</f>
        <v>0</v>
      </c>
    </row>
    <row r="727" spans="1:33" ht="11.25" customHeight="1" x14ac:dyDescent="0.25">
      <c r="A727" s="4" t="s">
        <v>27</v>
      </c>
      <c r="B727" s="4" t="s">
        <v>35</v>
      </c>
      <c r="C727" s="4" t="s">
        <v>39</v>
      </c>
      <c r="D727" s="4" t="s">
        <v>47</v>
      </c>
      <c r="E727" s="4" t="s">
        <v>48</v>
      </c>
      <c r="F727" s="4" t="s">
        <v>25</v>
      </c>
      <c r="G727" s="4" t="s">
        <v>25</v>
      </c>
      <c r="H727" s="4" t="s">
        <v>25</v>
      </c>
      <c r="I727" s="5">
        <v>44378</v>
      </c>
      <c r="J727" s="6">
        <v>-190</v>
      </c>
      <c r="K727" s="76">
        <v>-190</v>
      </c>
      <c r="L727" s="6">
        <v>0</v>
      </c>
      <c r="M727" s="75">
        <v>0</v>
      </c>
      <c r="N727" s="6">
        <v>0</v>
      </c>
      <c r="O727" s="75">
        <v>0</v>
      </c>
      <c r="P727" s="6">
        <v>0</v>
      </c>
      <c r="Q727" s="4" t="s">
        <v>26</v>
      </c>
      <c r="R727" s="4">
        <v>0</v>
      </c>
      <c r="S727" s="6">
        <v>18</v>
      </c>
      <c r="T727" s="6">
        <v>0</v>
      </c>
      <c r="U727" s="6">
        <v>0</v>
      </c>
      <c r="V727" s="75">
        <f>IF(ISERROR(VLOOKUP($S$727,'TAR FIN'!$A$1:$O$93,15,0)),0,VLOOKUP($S$727,'TAR FIN'!$A$1:$O$93,15,0))*(1-0.06)</f>
        <v>24.599800000000002</v>
      </c>
      <c r="W727" s="75">
        <f>IF(ISERROR(VLOOKUP($T$727,'TAR FIN'!$A$1:$O$93,15,0)),0,VLOOKUP($T$727,'TAR FIN'!$A$1:$O$93,15,0))</f>
        <v>0</v>
      </c>
      <c r="X727" s="75">
        <f>IF(ISERROR(VLOOKUP($U$727,'TAR FIN'!$A$1:$O$93,15,0)),0,VLOOKUP($U$727,'TAR FIN'!$A$1:$O$93,15,0))</f>
        <v>0</v>
      </c>
      <c r="Y727" s="75">
        <f ca="1">('TUSD BE'!$AM$14+'TUSD BF'!$AM$14+'TUSD CVA'!$AM$14)*1*(1-0.03)</f>
        <v>29.539877894373404</v>
      </c>
      <c r="Z727" s="75"/>
      <c r="AA727" s="75"/>
      <c r="AB727" s="6">
        <f>$K$727*$V$727</f>
        <v>-4673.9620000000004</v>
      </c>
      <c r="AC727" s="6">
        <f>$M$727*$W$727</f>
        <v>0</v>
      </c>
      <c r="AD727" s="6">
        <f>$O$727*$X$727</f>
        <v>0</v>
      </c>
      <c r="AE727" s="6">
        <f ca="1">$K$727*$Y$727</f>
        <v>-5612.5767999309464</v>
      </c>
      <c r="AF727" s="6">
        <f>$M$727*$Z$727</f>
        <v>0</v>
      </c>
      <c r="AG727" s="6">
        <f>$O$727*$AA$727</f>
        <v>0</v>
      </c>
    </row>
    <row r="728" spans="1:33" ht="11.25" customHeight="1" x14ac:dyDescent="0.25">
      <c r="A728" s="4" t="s">
        <v>21</v>
      </c>
      <c r="B728" s="4" t="s">
        <v>35</v>
      </c>
      <c r="C728" s="4" t="s">
        <v>39</v>
      </c>
      <c r="D728" s="4" t="s">
        <v>47</v>
      </c>
      <c r="E728" s="4" t="s">
        <v>48</v>
      </c>
      <c r="F728" s="4" t="s">
        <v>25</v>
      </c>
      <c r="G728" s="4" t="s">
        <v>25</v>
      </c>
      <c r="H728" s="4" t="s">
        <v>25</v>
      </c>
      <c r="I728" s="5">
        <v>44409</v>
      </c>
      <c r="J728" s="6">
        <v>307</v>
      </c>
      <c r="K728" s="76">
        <v>307</v>
      </c>
      <c r="L728" s="6">
        <v>0</v>
      </c>
      <c r="M728" s="75">
        <v>0</v>
      </c>
      <c r="N728" s="6">
        <v>0</v>
      </c>
      <c r="O728" s="75">
        <v>0</v>
      </c>
      <c r="P728" s="6">
        <v>3</v>
      </c>
      <c r="Q728" s="4" t="s">
        <v>26</v>
      </c>
      <c r="R728" s="4">
        <v>0</v>
      </c>
      <c r="S728" s="6">
        <v>18</v>
      </c>
      <c r="T728" s="6">
        <v>0</v>
      </c>
      <c r="U728" s="6">
        <v>0</v>
      </c>
      <c r="V728" s="75">
        <f>IF(ISERROR(VLOOKUP($S$728,'TAR FIN'!$A$1:$O$93,15,0)),0,VLOOKUP($S$728,'TAR FIN'!$A$1:$O$93,15,0))*(1-0.06)</f>
        <v>24.599800000000002</v>
      </c>
      <c r="W728" s="75">
        <f>IF(ISERROR(VLOOKUP($T$728,'TAR FIN'!$A$1:$O$93,15,0)),0,VLOOKUP($T$728,'TAR FIN'!$A$1:$O$93,15,0))</f>
        <v>0</v>
      </c>
      <c r="X728" s="75">
        <f>IF(ISERROR(VLOOKUP($U$728,'TAR FIN'!$A$1:$O$93,15,0)),0,VLOOKUP($U$728,'TAR FIN'!$A$1:$O$93,15,0))</f>
        <v>0</v>
      </c>
      <c r="Y728" s="75">
        <f ca="1">('TUSD BE'!$AM$14+'TUSD BF'!$AM$14+'TUSD CVA'!$AM$14)*1*(1-0.03)</f>
        <v>29.539877894373404</v>
      </c>
      <c r="Z728" s="75"/>
      <c r="AA728" s="75"/>
      <c r="AB728" s="6">
        <f>$K$728*$V$728</f>
        <v>7552.1386000000002</v>
      </c>
      <c r="AC728" s="6">
        <f>$M$728*$W$728</f>
        <v>0</v>
      </c>
      <c r="AD728" s="6">
        <f>$O$728*$X$728</f>
        <v>0</v>
      </c>
      <c r="AE728" s="6">
        <f ca="1">$K$728*$Y$728</f>
        <v>9068.7425135726353</v>
      </c>
      <c r="AF728" s="6">
        <f>$M$728*$Z$728</f>
        <v>0</v>
      </c>
      <c r="AG728" s="6">
        <f>$O$728*$AA$728</f>
        <v>0</v>
      </c>
    </row>
    <row r="729" spans="1:33" ht="11.25" customHeight="1" x14ac:dyDescent="0.25">
      <c r="A729" s="4" t="s">
        <v>21</v>
      </c>
      <c r="B729" s="4" t="s">
        <v>35</v>
      </c>
      <c r="C729" s="4" t="s">
        <v>39</v>
      </c>
      <c r="D729" s="4" t="s">
        <v>47</v>
      </c>
      <c r="E729" s="4" t="s">
        <v>48</v>
      </c>
      <c r="F729" s="4" t="s">
        <v>25</v>
      </c>
      <c r="G729" s="4" t="s">
        <v>25</v>
      </c>
      <c r="H729" s="4" t="s">
        <v>25</v>
      </c>
      <c r="I729" s="5">
        <v>44440</v>
      </c>
      <c r="J729" s="6">
        <v>320</v>
      </c>
      <c r="K729" s="76">
        <v>320</v>
      </c>
      <c r="L729" s="6">
        <v>0</v>
      </c>
      <c r="M729" s="75">
        <v>0</v>
      </c>
      <c r="N729" s="6">
        <v>0</v>
      </c>
      <c r="O729" s="75">
        <v>0</v>
      </c>
      <c r="P729" s="6">
        <v>3</v>
      </c>
      <c r="Q729" s="4" t="s">
        <v>26</v>
      </c>
      <c r="R729" s="4">
        <v>0</v>
      </c>
      <c r="S729" s="6">
        <v>18</v>
      </c>
      <c r="T729" s="6">
        <v>0</v>
      </c>
      <c r="U729" s="6">
        <v>0</v>
      </c>
      <c r="V729" s="75">
        <f>IF(ISERROR(VLOOKUP($S$729,'TAR FIN'!$A$1:$O$93,15,0)),0,VLOOKUP($S$729,'TAR FIN'!$A$1:$O$93,15,0))*(1-0.06)</f>
        <v>24.599800000000002</v>
      </c>
      <c r="W729" s="75">
        <f>IF(ISERROR(VLOOKUP($T$729,'TAR FIN'!$A$1:$O$93,15,0)),0,VLOOKUP($T$729,'TAR FIN'!$A$1:$O$93,15,0))</f>
        <v>0</v>
      </c>
      <c r="X729" s="75">
        <f>IF(ISERROR(VLOOKUP($U$729,'TAR FIN'!$A$1:$O$93,15,0)),0,VLOOKUP($U$729,'TAR FIN'!$A$1:$O$93,15,0))</f>
        <v>0</v>
      </c>
      <c r="Y729" s="75">
        <f ca="1">('TUSD BE'!$AM$14+'TUSD BF'!$AM$14+'TUSD CVA'!$AM$14)*1*(1-0.03)</f>
        <v>29.539877894373404</v>
      </c>
      <c r="Z729" s="75"/>
      <c r="AA729" s="75"/>
      <c r="AB729" s="6">
        <f>$K$729*$V$729</f>
        <v>7871.9360000000006</v>
      </c>
      <c r="AC729" s="6">
        <f>$M$729*$W$729</f>
        <v>0</v>
      </c>
      <c r="AD729" s="6">
        <f>$O$729*$X$729</f>
        <v>0</v>
      </c>
      <c r="AE729" s="6">
        <f ca="1">$K$729*$Y$729</f>
        <v>9452.7609261994894</v>
      </c>
      <c r="AF729" s="6">
        <f>$M$729*$Z$729</f>
        <v>0</v>
      </c>
      <c r="AG729" s="6">
        <f>$O$729*$AA$729</f>
        <v>0</v>
      </c>
    </row>
    <row r="730" spans="1:33" ht="11.25" customHeight="1" x14ac:dyDescent="0.25">
      <c r="A730" s="4" t="s">
        <v>21</v>
      </c>
      <c r="B730" s="4" t="s">
        <v>35</v>
      </c>
      <c r="C730" s="4" t="s">
        <v>39</v>
      </c>
      <c r="D730" s="4" t="s">
        <v>47</v>
      </c>
      <c r="E730" s="4" t="s">
        <v>48</v>
      </c>
      <c r="F730" s="4" t="s">
        <v>25</v>
      </c>
      <c r="G730" s="4" t="s">
        <v>25</v>
      </c>
      <c r="H730" s="4" t="s">
        <v>25</v>
      </c>
      <c r="I730" s="5">
        <v>44470</v>
      </c>
      <c r="J730" s="6">
        <v>316</v>
      </c>
      <c r="K730" s="76">
        <v>316</v>
      </c>
      <c r="L730" s="6">
        <v>0</v>
      </c>
      <c r="M730" s="75">
        <v>0</v>
      </c>
      <c r="N730" s="6">
        <v>0</v>
      </c>
      <c r="O730" s="75">
        <v>0</v>
      </c>
      <c r="P730" s="6">
        <v>3</v>
      </c>
      <c r="Q730" s="4" t="s">
        <v>26</v>
      </c>
      <c r="R730" s="4">
        <v>0</v>
      </c>
      <c r="S730" s="6">
        <v>18</v>
      </c>
      <c r="T730" s="6">
        <v>0</v>
      </c>
      <c r="U730" s="6">
        <v>0</v>
      </c>
      <c r="V730" s="75">
        <f>IF(ISERROR(VLOOKUP($S$730,'TAR FIN'!$A$1:$O$93,15,0)),0,VLOOKUP($S$730,'TAR FIN'!$A$1:$O$93,15,0))*(1-0.06)</f>
        <v>24.599800000000002</v>
      </c>
      <c r="W730" s="75">
        <f>IF(ISERROR(VLOOKUP($T$730,'TAR FIN'!$A$1:$O$93,15,0)),0,VLOOKUP($T$730,'TAR FIN'!$A$1:$O$93,15,0))</f>
        <v>0</v>
      </c>
      <c r="X730" s="75">
        <f>IF(ISERROR(VLOOKUP($U$730,'TAR FIN'!$A$1:$O$93,15,0)),0,VLOOKUP($U$730,'TAR FIN'!$A$1:$O$93,15,0))</f>
        <v>0</v>
      </c>
      <c r="Y730" s="75">
        <f ca="1">('TUSD BE'!$AM$14+'TUSD BF'!$AM$14+'TUSD CVA'!$AM$14)*1*(1-0.03)</f>
        <v>29.539877894373404</v>
      </c>
      <c r="Z730" s="75"/>
      <c r="AA730" s="75"/>
      <c r="AB730" s="6">
        <f>$K$730*$V$730</f>
        <v>7773.5368000000008</v>
      </c>
      <c r="AC730" s="6">
        <f>$M$730*$W$730</f>
        <v>0</v>
      </c>
      <c r="AD730" s="6">
        <f>$O$730*$X$730</f>
        <v>0</v>
      </c>
      <c r="AE730" s="6">
        <f ca="1">$K$730*$Y$730</f>
        <v>9334.601414621995</v>
      </c>
      <c r="AF730" s="6">
        <f>$M$730*$Z$730</f>
        <v>0</v>
      </c>
      <c r="AG730" s="6">
        <f>$O$730*$AA$730</f>
        <v>0</v>
      </c>
    </row>
    <row r="731" spans="1:33" ht="11.25" customHeight="1" x14ac:dyDescent="0.25">
      <c r="A731" s="4" t="s">
        <v>21</v>
      </c>
      <c r="B731" s="4" t="s">
        <v>35</v>
      </c>
      <c r="C731" s="4" t="s">
        <v>39</v>
      </c>
      <c r="D731" s="4" t="s">
        <v>47</v>
      </c>
      <c r="E731" s="4" t="s">
        <v>48</v>
      </c>
      <c r="F731" s="4" t="s">
        <v>25</v>
      </c>
      <c r="G731" s="4" t="s">
        <v>25</v>
      </c>
      <c r="H731" s="4" t="s">
        <v>25</v>
      </c>
      <c r="I731" s="5">
        <v>44501</v>
      </c>
      <c r="J731" s="6">
        <v>319</v>
      </c>
      <c r="K731" s="76">
        <v>319</v>
      </c>
      <c r="L731" s="6">
        <v>0</v>
      </c>
      <c r="M731" s="75">
        <v>0</v>
      </c>
      <c r="N731" s="6">
        <v>0</v>
      </c>
      <c r="O731" s="75">
        <v>0</v>
      </c>
      <c r="P731" s="6">
        <v>3</v>
      </c>
      <c r="Q731" s="4" t="s">
        <v>26</v>
      </c>
      <c r="R731" s="4">
        <v>0</v>
      </c>
      <c r="S731" s="6">
        <v>18</v>
      </c>
      <c r="T731" s="6">
        <v>0</v>
      </c>
      <c r="U731" s="6">
        <v>0</v>
      </c>
      <c r="V731" s="75">
        <f>IF(ISERROR(VLOOKUP($S$731,'TAR FIN'!$A$1:$O$93,15,0)),0,VLOOKUP($S$731,'TAR FIN'!$A$1:$O$93,15,0))*(1-0.06)</f>
        <v>24.599800000000002</v>
      </c>
      <c r="W731" s="75">
        <f>IF(ISERROR(VLOOKUP($T$731,'TAR FIN'!$A$1:$O$93,15,0)),0,VLOOKUP($T$731,'TAR FIN'!$A$1:$O$93,15,0))</f>
        <v>0</v>
      </c>
      <c r="X731" s="75">
        <f>IF(ISERROR(VLOOKUP($U$731,'TAR FIN'!$A$1:$O$93,15,0)),0,VLOOKUP($U$731,'TAR FIN'!$A$1:$O$93,15,0))</f>
        <v>0</v>
      </c>
      <c r="Y731" s="75">
        <f ca="1">('TUSD BE'!$AM$14+'TUSD BF'!$AM$14+'TUSD CVA'!$AM$14)*1*(1-0.03)</f>
        <v>29.539877894373404</v>
      </c>
      <c r="Z731" s="75"/>
      <c r="AA731" s="75"/>
      <c r="AB731" s="6">
        <f>$K$731*$V$731</f>
        <v>7847.3362000000006</v>
      </c>
      <c r="AC731" s="6">
        <f>$M$731*$W$731</f>
        <v>0</v>
      </c>
      <c r="AD731" s="6">
        <f>$O$731*$X$731</f>
        <v>0</v>
      </c>
      <c r="AE731" s="6">
        <f ca="1">$K$731*$Y$731</f>
        <v>9423.2210483051167</v>
      </c>
      <c r="AF731" s="6">
        <f>$M$731*$Z$731</f>
        <v>0</v>
      </c>
      <c r="AG731" s="6">
        <f>$O$731*$AA$731</f>
        <v>0</v>
      </c>
    </row>
    <row r="732" spans="1:33" ht="11.25" customHeight="1" x14ac:dyDescent="0.25">
      <c r="A732" s="4" t="s">
        <v>21</v>
      </c>
      <c r="B732" s="4" t="s">
        <v>35</v>
      </c>
      <c r="C732" s="4" t="s">
        <v>39</v>
      </c>
      <c r="D732" s="4" t="s">
        <v>47</v>
      </c>
      <c r="E732" s="4" t="s">
        <v>48</v>
      </c>
      <c r="F732" s="4" t="s">
        <v>25</v>
      </c>
      <c r="G732" s="4" t="s">
        <v>25</v>
      </c>
      <c r="H732" s="4" t="s">
        <v>25</v>
      </c>
      <c r="I732" s="5">
        <v>44531</v>
      </c>
      <c r="J732" s="6">
        <v>312</v>
      </c>
      <c r="K732" s="76">
        <v>312</v>
      </c>
      <c r="L732" s="6">
        <v>0</v>
      </c>
      <c r="M732" s="75">
        <v>0</v>
      </c>
      <c r="N732" s="6">
        <v>0</v>
      </c>
      <c r="O732" s="75">
        <v>0</v>
      </c>
      <c r="P732" s="6">
        <v>3</v>
      </c>
      <c r="Q732" s="4" t="s">
        <v>26</v>
      </c>
      <c r="R732" s="4">
        <v>0</v>
      </c>
      <c r="S732" s="6">
        <v>18</v>
      </c>
      <c r="T732" s="6">
        <v>0</v>
      </c>
      <c r="U732" s="6">
        <v>0</v>
      </c>
      <c r="V732" s="75">
        <f>IF(ISERROR(VLOOKUP($S$732,'TAR FIN'!$A$1:$O$93,15,0)),0,VLOOKUP($S$732,'TAR FIN'!$A$1:$O$93,15,0))*(1-0.06)</f>
        <v>24.599800000000002</v>
      </c>
      <c r="W732" s="75">
        <f>IF(ISERROR(VLOOKUP($T$732,'TAR FIN'!$A$1:$O$93,15,0)),0,VLOOKUP($T$732,'TAR FIN'!$A$1:$O$93,15,0))</f>
        <v>0</v>
      </c>
      <c r="X732" s="75">
        <f>IF(ISERROR(VLOOKUP($U$732,'TAR FIN'!$A$1:$O$93,15,0)),0,VLOOKUP($U$732,'TAR FIN'!$A$1:$O$93,15,0))</f>
        <v>0</v>
      </c>
      <c r="Y732" s="75">
        <f ca="1">('TUSD BE'!$AM$14+'TUSD BF'!$AM$14+'TUSD CVA'!$AM$14)*1*(1-0.03)</f>
        <v>29.539877894373404</v>
      </c>
      <c r="Z732" s="75"/>
      <c r="AA732" s="75"/>
      <c r="AB732" s="6">
        <f>$K$732*$V$732</f>
        <v>7675.1376000000009</v>
      </c>
      <c r="AC732" s="6">
        <f>$M$732*$W$732</f>
        <v>0</v>
      </c>
      <c r="AD732" s="6">
        <f>$O$732*$X$732</f>
        <v>0</v>
      </c>
      <c r="AE732" s="6">
        <f ca="1">$K$732*$Y$732</f>
        <v>9216.4419030445024</v>
      </c>
      <c r="AF732" s="6">
        <f>$M$732*$Z$732</f>
        <v>0</v>
      </c>
      <c r="AG732" s="6">
        <f>$O$732*$AA$732</f>
        <v>0</v>
      </c>
    </row>
    <row r="733" spans="1:33" ht="11.25" customHeight="1" x14ac:dyDescent="0.25">
      <c r="A733" s="4" t="s">
        <v>21</v>
      </c>
      <c r="B733" s="4" t="s">
        <v>35</v>
      </c>
      <c r="C733" s="4" t="s">
        <v>39</v>
      </c>
      <c r="D733" s="4" t="s">
        <v>47</v>
      </c>
      <c r="E733" s="4" t="s">
        <v>48</v>
      </c>
      <c r="F733" s="4" t="s">
        <v>25</v>
      </c>
      <c r="G733" s="4" t="s">
        <v>25</v>
      </c>
      <c r="H733" s="4" t="s">
        <v>25</v>
      </c>
      <c r="I733" s="5">
        <v>44562</v>
      </c>
      <c r="J733" s="6">
        <v>305</v>
      </c>
      <c r="K733" s="76">
        <v>305</v>
      </c>
      <c r="L733" s="6">
        <v>0</v>
      </c>
      <c r="M733" s="75">
        <v>0</v>
      </c>
      <c r="N733" s="6">
        <v>0</v>
      </c>
      <c r="O733" s="75">
        <v>0</v>
      </c>
      <c r="P733" s="6">
        <v>3</v>
      </c>
      <c r="Q733" s="4" t="s">
        <v>26</v>
      </c>
      <c r="R733" s="4">
        <v>0</v>
      </c>
      <c r="S733" s="6">
        <v>18</v>
      </c>
      <c r="T733" s="6">
        <v>0</v>
      </c>
      <c r="U733" s="6">
        <v>0</v>
      </c>
      <c r="V733" s="75">
        <f>IF(ISERROR(VLOOKUP($S$733,'TAR FIN'!$A$1:$O$93,15,0)),0,VLOOKUP($S$733,'TAR FIN'!$A$1:$O$93,15,0))*(1-0.06)</f>
        <v>24.599800000000002</v>
      </c>
      <c r="W733" s="75">
        <f>IF(ISERROR(VLOOKUP($T$733,'TAR FIN'!$A$1:$O$93,15,0)),0,VLOOKUP($T$733,'TAR FIN'!$A$1:$O$93,15,0))</f>
        <v>0</v>
      </c>
      <c r="X733" s="75">
        <f>IF(ISERROR(VLOOKUP($U$733,'TAR FIN'!$A$1:$O$93,15,0)),0,VLOOKUP($U$733,'TAR FIN'!$A$1:$O$93,15,0))</f>
        <v>0</v>
      </c>
      <c r="Y733" s="75">
        <f ca="1">('TUSD BE'!$AM$14+'TUSD BF'!$AM$14+'TUSD CVA'!$AM$14)*1*(1-0.03)</f>
        <v>29.539877894373404</v>
      </c>
      <c r="Z733" s="75"/>
      <c r="AA733" s="75"/>
      <c r="AB733" s="6">
        <f>$K$733*$V$733</f>
        <v>7502.9390000000003</v>
      </c>
      <c r="AC733" s="6">
        <f>$M$733*$W$733</f>
        <v>0</v>
      </c>
      <c r="AD733" s="6">
        <f>$O$733*$X$733</f>
        <v>0</v>
      </c>
      <c r="AE733" s="6">
        <f ca="1">$K$733*$Y$733</f>
        <v>9009.6627577838881</v>
      </c>
      <c r="AF733" s="6">
        <f>$M$733*$Z$733</f>
        <v>0</v>
      </c>
      <c r="AG733" s="6">
        <f>$O$733*$AA$733</f>
        <v>0</v>
      </c>
    </row>
    <row r="734" spans="1:33" ht="11.25" customHeight="1" x14ac:dyDescent="0.25">
      <c r="A734" s="4" t="s">
        <v>21</v>
      </c>
      <c r="B734" s="4" t="s">
        <v>35</v>
      </c>
      <c r="C734" s="4" t="s">
        <v>39</v>
      </c>
      <c r="D734" s="4" t="s">
        <v>47</v>
      </c>
      <c r="E734" s="4" t="s">
        <v>48</v>
      </c>
      <c r="F734" s="4" t="s">
        <v>25</v>
      </c>
      <c r="G734" s="4" t="s">
        <v>25</v>
      </c>
      <c r="H734" s="4" t="s">
        <v>25</v>
      </c>
      <c r="I734" s="5">
        <v>44593</v>
      </c>
      <c r="J734" s="6">
        <v>314</v>
      </c>
      <c r="K734" s="76">
        <v>314</v>
      </c>
      <c r="L734" s="6">
        <v>0</v>
      </c>
      <c r="M734" s="75">
        <v>0</v>
      </c>
      <c r="N734" s="6">
        <v>0</v>
      </c>
      <c r="O734" s="75">
        <v>0</v>
      </c>
      <c r="P734" s="6">
        <v>3</v>
      </c>
      <c r="Q734" s="4" t="s">
        <v>26</v>
      </c>
      <c r="R734" s="4">
        <v>0</v>
      </c>
      <c r="S734" s="6">
        <v>18</v>
      </c>
      <c r="T734" s="6">
        <v>0</v>
      </c>
      <c r="U734" s="6">
        <v>0</v>
      </c>
      <c r="V734" s="75">
        <f>IF(ISERROR(VLOOKUP($S$734,'TAR FIN'!$A$1:$O$93,15,0)),0,VLOOKUP($S$734,'TAR FIN'!$A$1:$O$93,15,0))*(1-0.06)</f>
        <v>24.599800000000002</v>
      </c>
      <c r="W734" s="75">
        <f>IF(ISERROR(VLOOKUP($T$734,'TAR FIN'!$A$1:$O$93,15,0)),0,VLOOKUP($T$734,'TAR FIN'!$A$1:$O$93,15,0))</f>
        <v>0</v>
      </c>
      <c r="X734" s="75">
        <f>IF(ISERROR(VLOOKUP($U$734,'TAR FIN'!$A$1:$O$93,15,0)),0,VLOOKUP($U$734,'TAR FIN'!$A$1:$O$93,15,0))</f>
        <v>0</v>
      </c>
      <c r="Y734" s="75">
        <f ca="1">('TUSD BE'!$AM$14+'TUSD BF'!$AM$14+'TUSD CVA'!$AM$14)*1*(1-0.03)</f>
        <v>29.539877894373404</v>
      </c>
      <c r="Z734" s="75"/>
      <c r="AA734" s="75"/>
      <c r="AB734" s="6">
        <f>$K$734*$V$734</f>
        <v>7724.3372000000008</v>
      </c>
      <c r="AC734" s="6">
        <f>$M$734*$W$734</f>
        <v>0</v>
      </c>
      <c r="AD734" s="6">
        <f>$O$734*$X$734</f>
        <v>0</v>
      </c>
      <c r="AE734" s="6">
        <f ca="1">$K$734*$Y$734</f>
        <v>9275.5216588332496</v>
      </c>
      <c r="AF734" s="6">
        <f>$M$734*$Z$734</f>
        <v>0</v>
      </c>
      <c r="AG734" s="6">
        <f>$O$734*$AA$734</f>
        <v>0</v>
      </c>
    </row>
    <row r="735" spans="1:33" ht="11.25" customHeight="1" x14ac:dyDescent="0.25">
      <c r="A735" s="4" t="s">
        <v>21</v>
      </c>
      <c r="B735" s="4" t="s">
        <v>35</v>
      </c>
      <c r="C735" s="4" t="s">
        <v>39</v>
      </c>
      <c r="D735" s="4" t="s">
        <v>47</v>
      </c>
      <c r="E735" s="4" t="s">
        <v>48</v>
      </c>
      <c r="F735" s="4" t="s">
        <v>25</v>
      </c>
      <c r="G735" s="4" t="s">
        <v>25</v>
      </c>
      <c r="H735" s="4" t="s">
        <v>25</v>
      </c>
      <c r="I735" s="5">
        <v>44621</v>
      </c>
      <c r="J735" s="6">
        <v>311</v>
      </c>
      <c r="K735" s="76">
        <v>311</v>
      </c>
      <c r="L735" s="6">
        <v>0</v>
      </c>
      <c r="M735" s="75">
        <v>0</v>
      </c>
      <c r="N735" s="6">
        <v>0</v>
      </c>
      <c r="O735" s="75">
        <v>0</v>
      </c>
      <c r="P735" s="6">
        <v>3</v>
      </c>
      <c r="Q735" s="4" t="s">
        <v>26</v>
      </c>
      <c r="R735" s="4">
        <v>0</v>
      </c>
      <c r="S735" s="6">
        <v>18</v>
      </c>
      <c r="T735" s="6">
        <v>0</v>
      </c>
      <c r="U735" s="6">
        <v>0</v>
      </c>
      <c r="V735" s="75">
        <f>IF(ISERROR(VLOOKUP($S$735,'TAR FIN'!$A$1:$O$93,15,0)),0,VLOOKUP($S$735,'TAR FIN'!$A$1:$O$93,15,0))*(1-0.06)</f>
        <v>24.599800000000002</v>
      </c>
      <c r="W735" s="75">
        <f>IF(ISERROR(VLOOKUP($T$735,'TAR FIN'!$A$1:$O$93,15,0)),0,VLOOKUP($T$735,'TAR FIN'!$A$1:$O$93,15,0))</f>
        <v>0</v>
      </c>
      <c r="X735" s="75">
        <f>IF(ISERROR(VLOOKUP($U$735,'TAR FIN'!$A$1:$O$93,15,0)),0,VLOOKUP($U$735,'TAR FIN'!$A$1:$O$93,15,0))</f>
        <v>0</v>
      </c>
      <c r="Y735" s="75">
        <f ca="1">('TUSD BE'!$AM$14+'TUSD BF'!$AM$14+'TUSD CVA'!$AM$14)*1*(1-0.03)</f>
        <v>29.539877894373404</v>
      </c>
      <c r="Z735" s="75"/>
      <c r="AA735" s="75"/>
      <c r="AB735" s="6">
        <f>$K$735*$V$735</f>
        <v>7650.537800000001</v>
      </c>
      <c r="AC735" s="6">
        <f>$M$735*$W$735</f>
        <v>0</v>
      </c>
      <c r="AD735" s="6">
        <f>$O$735*$X$735</f>
        <v>0</v>
      </c>
      <c r="AE735" s="6">
        <f ca="1">$K$735*$Y$735</f>
        <v>9186.9020251501279</v>
      </c>
      <c r="AF735" s="6">
        <f>$M$735*$Z$735</f>
        <v>0</v>
      </c>
      <c r="AG735" s="6">
        <f>$O$735*$AA$735</f>
        <v>0</v>
      </c>
    </row>
    <row r="736" spans="1:33" ht="11.25" customHeight="1" x14ac:dyDescent="0.25">
      <c r="A736" s="4" t="s">
        <v>21</v>
      </c>
      <c r="B736" s="4" t="s">
        <v>35</v>
      </c>
      <c r="C736" s="4" t="s">
        <v>39</v>
      </c>
      <c r="D736" s="4" t="s">
        <v>47</v>
      </c>
      <c r="E736" s="4" t="s">
        <v>48</v>
      </c>
      <c r="F736" s="4" t="s">
        <v>25</v>
      </c>
      <c r="G736" s="4" t="s">
        <v>25</v>
      </c>
      <c r="H736" s="4" t="s">
        <v>25</v>
      </c>
      <c r="I736" s="5">
        <v>44652</v>
      </c>
      <c r="J736" s="6">
        <v>315</v>
      </c>
      <c r="K736" s="76">
        <v>315</v>
      </c>
      <c r="L736" s="6">
        <v>0</v>
      </c>
      <c r="M736" s="75">
        <v>0</v>
      </c>
      <c r="N736" s="6">
        <v>0</v>
      </c>
      <c r="O736" s="75">
        <v>0</v>
      </c>
      <c r="P736" s="6">
        <v>3</v>
      </c>
      <c r="Q736" s="4" t="s">
        <v>26</v>
      </c>
      <c r="R736" s="4">
        <v>0</v>
      </c>
      <c r="S736" s="6">
        <v>18</v>
      </c>
      <c r="T736" s="6">
        <v>0</v>
      </c>
      <c r="U736" s="6">
        <v>0</v>
      </c>
      <c r="V736" s="75">
        <f>IF(ISERROR(VLOOKUP($S$736,'TAR FIN'!$A$1:$O$93,15,0)),0,VLOOKUP($S$736,'TAR FIN'!$A$1:$O$93,15,0))*(1-0.06)</f>
        <v>24.599800000000002</v>
      </c>
      <c r="W736" s="75">
        <f>IF(ISERROR(VLOOKUP($T$736,'TAR FIN'!$A$1:$O$93,15,0)),0,VLOOKUP($T$736,'TAR FIN'!$A$1:$O$93,15,0))</f>
        <v>0</v>
      </c>
      <c r="X736" s="75">
        <f>IF(ISERROR(VLOOKUP($U$736,'TAR FIN'!$A$1:$O$93,15,0)),0,VLOOKUP($U$736,'TAR FIN'!$A$1:$O$93,15,0))</f>
        <v>0</v>
      </c>
      <c r="Y736" s="75">
        <f ca="1">('TUSD BE'!$AM$14+'TUSD BF'!$AM$14+'TUSD CVA'!$AM$14)*1*(1-0.03)</f>
        <v>29.539877894373404</v>
      </c>
      <c r="Z736" s="75"/>
      <c r="AA736" s="75"/>
      <c r="AB736" s="6">
        <f>$K$736*$V$736</f>
        <v>7748.9370000000008</v>
      </c>
      <c r="AC736" s="6">
        <f>$M$736*$W$736</f>
        <v>0</v>
      </c>
      <c r="AD736" s="6">
        <f>$O$736*$X$736</f>
        <v>0</v>
      </c>
      <c r="AE736" s="6">
        <f ca="1">$K$736*$Y$736</f>
        <v>9305.0615367276223</v>
      </c>
      <c r="AF736" s="6">
        <f>$M$736*$Z$736</f>
        <v>0</v>
      </c>
      <c r="AG736" s="6">
        <f>$O$736*$AA$736</f>
        <v>0</v>
      </c>
    </row>
    <row r="737" spans="1:33" ht="11.25" customHeight="1" x14ac:dyDescent="0.25">
      <c r="A737" s="4" t="s">
        <v>21</v>
      </c>
      <c r="B737" s="4" t="s">
        <v>35</v>
      </c>
      <c r="C737" s="4" t="s">
        <v>39</v>
      </c>
      <c r="D737" s="4" t="s">
        <v>47</v>
      </c>
      <c r="E737" s="4" t="s">
        <v>48</v>
      </c>
      <c r="F737" s="4" t="s">
        <v>25</v>
      </c>
      <c r="G737" s="4" t="s">
        <v>25</v>
      </c>
      <c r="H737" s="4" t="s">
        <v>25</v>
      </c>
      <c r="I737" s="5">
        <v>44682</v>
      </c>
      <c r="J737" s="6">
        <v>319</v>
      </c>
      <c r="K737" s="76">
        <v>319</v>
      </c>
      <c r="L737" s="6">
        <v>0</v>
      </c>
      <c r="M737" s="75">
        <v>0</v>
      </c>
      <c r="N737" s="6">
        <v>0</v>
      </c>
      <c r="O737" s="75">
        <v>0</v>
      </c>
      <c r="P737" s="6">
        <v>3</v>
      </c>
      <c r="Q737" s="4" t="s">
        <v>26</v>
      </c>
      <c r="R737" s="4">
        <v>0</v>
      </c>
      <c r="S737" s="6">
        <v>18</v>
      </c>
      <c r="T737" s="6">
        <v>0</v>
      </c>
      <c r="U737" s="6">
        <v>0</v>
      </c>
      <c r="V737" s="75">
        <f>IF(ISERROR(VLOOKUP($S$737,'TAR FIN'!$A$1:$O$93,15,0)),0,VLOOKUP($S$737,'TAR FIN'!$A$1:$O$93,15,0))*(1-0.06)</f>
        <v>24.599800000000002</v>
      </c>
      <c r="W737" s="75">
        <f>IF(ISERROR(VLOOKUP($T$737,'TAR FIN'!$A$1:$O$93,15,0)),0,VLOOKUP($T$737,'TAR FIN'!$A$1:$O$93,15,0))</f>
        <v>0</v>
      </c>
      <c r="X737" s="75">
        <f>IF(ISERROR(VLOOKUP($U$737,'TAR FIN'!$A$1:$O$93,15,0)),0,VLOOKUP($U$737,'TAR FIN'!$A$1:$O$93,15,0))</f>
        <v>0</v>
      </c>
      <c r="Y737" s="75">
        <f ca="1">('TUSD BE'!$AM$14+'TUSD BF'!$AM$14+'TUSD CVA'!$AM$14)*1*(1-0.03)</f>
        <v>29.539877894373404</v>
      </c>
      <c r="Z737" s="75"/>
      <c r="AA737" s="75"/>
      <c r="AB737" s="6">
        <f>$K$737*$V$737</f>
        <v>7847.3362000000006</v>
      </c>
      <c r="AC737" s="6">
        <f>$M$737*$W$737</f>
        <v>0</v>
      </c>
      <c r="AD737" s="6">
        <f>$O$737*$X$737</f>
        <v>0</v>
      </c>
      <c r="AE737" s="6">
        <f ca="1">$K$737*$Y$737</f>
        <v>9423.2210483051167</v>
      </c>
      <c r="AF737" s="6">
        <f>$M$737*$Z$737</f>
        <v>0</v>
      </c>
      <c r="AG737" s="6">
        <f>$O$737*$AA$737</f>
        <v>0</v>
      </c>
    </row>
    <row r="738" spans="1:33" ht="11.25" customHeight="1" x14ac:dyDescent="0.25">
      <c r="A738" s="4" t="s">
        <v>21</v>
      </c>
      <c r="B738" s="4" t="s">
        <v>35</v>
      </c>
      <c r="C738" s="4" t="s">
        <v>39</v>
      </c>
      <c r="D738" s="4" t="s">
        <v>47</v>
      </c>
      <c r="E738" s="4" t="s">
        <v>48</v>
      </c>
      <c r="F738" s="4" t="s">
        <v>25</v>
      </c>
      <c r="G738" s="4" t="s">
        <v>25</v>
      </c>
      <c r="H738" s="4" t="s">
        <v>25</v>
      </c>
      <c r="I738" s="5">
        <v>44713</v>
      </c>
      <c r="J738" s="6">
        <v>310</v>
      </c>
      <c r="K738" s="76">
        <v>310</v>
      </c>
      <c r="L738" s="6">
        <v>0</v>
      </c>
      <c r="M738" s="75">
        <v>0</v>
      </c>
      <c r="N738" s="6">
        <v>0</v>
      </c>
      <c r="O738" s="75">
        <v>0</v>
      </c>
      <c r="P738" s="6">
        <v>3</v>
      </c>
      <c r="Q738" s="4" t="s">
        <v>26</v>
      </c>
      <c r="R738" s="4">
        <v>0</v>
      </c>
      <c r="S738" s="6">
        <v>18</v>
      </c>
      <c r="T738" s="6">
        <v>0</v>
      </c>
      <c r="U738" s="6">
        <v>0</v>
      </c>
      <c r="V738" s="75">
        <f>IF(ISERROR(VLOOKUP($S$738,'TAR FIN'!$A$1:$O$93,15,0)),0,VLOOKUP($S$738,'TAR FIN'!$A$1:$O$93,15,0))*(1-0.06)</f>
        <v>24.599800000000002</v>
      </c>
      <c r="W738" s="75">
        <f>IF(ISERROR(VLOOKUP($T$738,'TAR FIN'!$A$1:$O$93,15,0)),0,VLOOKUP($T$738,'TAR FIN'!$A$1:$O$93,15,0))</f>
        <v>0</v>
      </c>
      <c r="X738" s="75">
        <f>IF(ISERROR(VLOOKUP($U$738,'TAR FIN'!$A$1:$O$93,15,0)),0,VLOOKUP($U$738,'TAR FIN'!$A$1:$O$93,15,0))</f>
        <v>0</v>
      </c>
      <c r="Y738" s="75">
        <f ca="1">('TUSD BE'!$AM$14+'TUSD BF'!$AM$14+'TUSD CVA'!$AM$14)*1*(1-0.03)</f>
        <v>29.539877894373404</v>
      </c>
      <c r="Z738" s="75"/>
      <c r="AA738" s="75"/>
      <c r="AB738" s="6">
        <f>$K$738*$V$738</f>
        <v>7625.938000000001</v>
      </c>
      <c r="AC738" s="6">
        <f>$M$738*$W$738</f>
        <v>0</v>
      </c>
      <c r="AD738" s="6">
        <f>$O$738*$X$738</f>
        <v>0</v>
      </c>
      <c r="AE738" s="6">
        <f ca="1">$K$738*$Y$738</f>
        <v>9157.3621472557552</v>
      </c>
      <c r="AF738" s="6">
        <f>$M$738*$Z$738</f>
        <v>0</v>
      </c>
      <c r="AG738" s="6">
        <f>$O$738*$AA$738</f>
        <v>0</v>
      </c>
    </row>
    <row r="739" spans="1:33" ht="11.25" customHeight="1" x14ac:dyDescent="0.25">
      <c r="A739" s="4" t="s">
        <v>21</v>
      </c>
      <c r="B739" s="4" t="s">
        <v>35</v>
      </c>
      <c r="C739" s="4" t="s">
        <v>39</v>
      </c>
      <c r="D739" s="4" t="s">
        <v>47</v>
      </c>
      <c r="E739" s="4" t="s">
        <v>48</v>
      </c>
      <c r="F739" s="4" t="s">
        <v>25</v>
      </c>
      <c r="G739" s="4" t="s">
        <v>25</v>
      </c>
      <c r="H739" s="4" t="s">
        <v>37</v>
      </c>
      <c r="I739" s="5">
        <v>44378</v>
      </c>
      <c r="J739" s="6">
        <v>0</v>
      </c>
      <c r="K739" s="75">
        <v>0</v>
      </c>
      <c r="L739" s="6">
        <v>1.9890000000000001</v>
      </c>
      <c r="M739" s="75">
        <v>1.9890000000000001</v>
      </c>
      <c r="N739" s="6">
        <v>1.9890000000000001</v>
      </c>
      <c r="O739" s="75">
        <v>1.9890000000000001</v>
      </c>
      <c r="P739" s="6">
        <v>0</v>
      </c>
      <c r="Q739" s="4" t="s">
        <v>26</v>
      </c>
      <c r="R739" s="4">
        <v>0</v>
      </c>
      <c r="S739" s="6">
        <v>0</v>
      </c>
      <c r="T739" s="6">
        <v>12</v>
      </c>
      <c r="U739" s="6">
        <v>66</v>
      </c>
      <c r="V739" s="75">
        <f>IF(ISERROR(VLOOKUP($S$739,'TAR FIN'!$A$1:$O$93,15,0)),0,VLOOKUP($S$739,'TAR FIN'!$A$1:$O$93,15,0))</f>
        <v>0</v>
      </c>
      <c r="W739" s="75">
        <f>IF(ISERROR(VLOOKUP($T$739,'TAR FIN'!$A$1:$O$93,15,0)),0,VLOOKUP($T$739,'TAR FIN'!$A$1:$O$93,15,0))*(1-0.06)</f>
        <v>1057.2180000000001</v>
      </c>
      <c r="X739" s="75">
        <f>IF(ISERROR(VLOOKUP($U$739,'TAR FIN'!$A$1:$O$93,15,0)),0,VLOOKUP($U$739,'TAR FIN'!$A$1:$O$93,15,0))*(1-0.06)</f>
        <v>174.0692</v>
      </c>
      <c r="Y739" s="75"/>
      <c r="Z739" s="75">
        <f ca="1">('TUSD BE'!$AM$15+'TUSD BF'!$AM$15+'TUSD CVA'!$AM$15)*1*(1-0.03)</f>
        <v>1263.2950046814217</v>
      </c>
      <c r="AA739" s="75">
        <f>('TE BE'!$AB$7+'TE BF'!$AB$7+'TE CVA'!$AB$7)*1*(1-0.03)</f>
        <v>192.23648936268484</v>
      </c>
      <c r="AB739" s="6">
        <f>$K$739*$V$739</f>
        <v>0</v>
      </c>
      <c r="AC739" s="6">
        <f>$M$739*$W$739</f>
        <v>2102.8066020000001</v>
      </c>
      <c r="AD739" s="6">
        <f>$O$739*$X$739</f>
        <v>346.2236388</v>
      </c>
      <c r="AE739" s="6">
        <f>$K$739*$Y$739</f>
        <v>0</v>
      </c>
      <c r="AF739" s="6">
        <f ca="1">$M$739*$Z$739</f>
        <v>2512.6937643113479</v>
      </c>
      <c r="AG739" s="6">
        <f>$O$739*$AA$739</f>
        <v>382.35837734238015</v>
      </c>
    </row>
    <row r="740" spans="1:33" ht="11.25" customHeight="1" x14ac:dyDescent="0.25">
      <c r="A740" s="4" t="s">
        <v>27</v>
      </c>
      <c r="B740" s="4" t="s">
        <v>35</v>
      </c>
      <c r="C740" s="4" t="s">
        <v>39</v>
      </c>
      <c r="D740" s="4" t="s">
        <v>47</v>
      </c>
      <c r="E740" s="4" t="s">
        <v>48</v>
      </c>
      <c r="F740" s="4" t="s">
        <v>25</v>
      </c>
      <c r="G740" s="4" t="s">
        <v>25</v>
      </c>
      <c r="H740" s="4" t="s">
        <v>37</v>
      </c>
      <c r="I740" s="5">
        <v>44378</v>
      </c>
      <c r="J740" s="6">
        <v>0</v>
      </c>
      <c r="K740" s="75">
        <v>0</v>
      </c>
      <c r="L740" s="6">
        <v>-1.4870000000000001</v>
      </c>
      <c r="M740" s="75">
        <v>-1.4870000000000001</v>
      </c>
      <c r="N740" s="6">
        <v>-1.4870000000000001</v>
      </c>
      <c r="O740" s="75">
        <v>-1.4870000000000001</v>
      </c>
      <c r="P740" s="6">
        <v>0</v>
      </c>
      <c r="Q740" s="4" t="s">
        <v>26</v>
      </c>
      <c r="R740" s="4">
        <v>0</v>
      </c>
      <c r="S740" s="6">
        <v>0</v>
      </c>
      <c r="T740" s="6">
        <v>12</v>
      </c>
      <c r="U740" s="6">
        <v>66</v>
      </c>
      <c r="V740" s="75">
        <f>IF(ISERROR(VLOOKUP($S$740,'TAR FIN'!$A$1:$O$93,15,0)),0,VLOOKUP($S$740,'TAR FIN'!$A$1:$O$93,15,0))</f>
        <v>0</v>
      </c>
      <c r="W740" s="75">
        <f>IF(ISERROR(VLOOKUP($T$740,'TAR FIN'!$A$1:$O$93,15,0)),0,VLOOKUP($T$740,'TAR FIN'!$A$1:$O$93,15,0))*(1-0.06)</f>
        <v>1057.2180000000001</v>
      </c>
      <c r="X740" s="75">
        <f>IF(ISERROR(VLOOKUP($U$740,'TAR FIN'!$A$1:$O$93,15,0)),0,VLOOKUP($U$740,'TAR FIN'!$A$1:$O$93,15,0))*(1-0.06)</f>
        <v>174.0692</v>
      </c>
      <c r="Y740" s="75"/>
      <c r="Z740" s="75">
        <f ca="1">('TUSD BE'!$AM$15+'TUSD BF'!$AM$15+'TUSD CVA'!$AM$15)*1*(1-0.03)</f>
        <v>1263.2950046814217</v>
      </c>
      <c r="AA740" s="75">
        <f>('TE BE'!$AB$7+'TE BF'!$AB$7+'TE CVA'!$AB$7)*1*(1-0.03)</f>
        <v>192.23648936268484</v>
      </c>
      <c r="AB740" s="6">
        <f>$K$740*$V$740</f>
        <v>0</v>
      </c>
      <c r="AC740" s="6">
        <f>$M$740*$W$740</f>
        <v>-1572.0831660000001</v>
      </c>
      <c r="AD740" s="6">
        <f>$O$740*$X$740</f>
        <v>-258.84090040000001</v>
      </c>
      <c r="AE740" s="6">
        <f>$K$740*$Y$740</f>
        <v>0</v>
      </c>
      <c r="AF740" s="6">
        <f ca="1">$M$740*$Z$740</f>
        <v>-1878.5196719612741</v>
      </c>
      <c r="AG740" s="6">
        <f>$O$740*$AA$740</f>
        <v>-285.85565968231236</v>
      </c>
    </row>
    <row r="741" spans="1:33" ht="11.25" customHeight="1" x14ac:dyDescent="0.25">
      <c r="A741" s="4" t="s">
        <v>21</v>
      </c>
      <c r="B741" s="4" t="s">
        <v>35</v>
      </c>
      <c r="C741" s="4" t="s">
        <v>39</v>
      </c>
      <c r="D741" s="4" t="s">
        <v>47</v>
      </c>
      <c r="E741" s="4" t="s">
        <v>48</v>
      </c>
      <c r="F741" s="4" t="s">
        <v>25</v>
      </c>
      <c r="G741" s="4" t="s">
        <v>25</v>
      </c>
      <c r="H741" s="4" t="s">
        <v>37</v>
      </c>
      <c r="I741" s="5">
        <v>44409</v>
      </c>
      <c r="J741" s="6">
        <v>0</v>
      </c>
      <c r="K741" s="75">
        <v>0</v>
      </c>
      <c r="L741" s="6">
        <v>0.79400000000000004</v>
      </c>
      <c r="M741" s="75">
        <v>0.79400000000000004</v>
      </c>
      <c r="N741" s="6">
        <v>0.79400000000000004</v>
      </c>
      <c r="O741" s="75">
        <v>0.79400000000000004</v>
      </c>
      <c r="P741" s="6">
        <v>0</v>
      </c>
      <c r="Q741" s="4" t="s">
        <v>26</v>
      </c>
      <c r="R741" s="4">
        <v>0</v>
      </c>
      <c r="S741" s="6">
        <v>0</v>
      </c>
      <c r="T741" s="6">
        <v>12</v>
      </c>
      <c r="U741" s="6">
        <v>66</v>
      </c>
      <c r="V741" s="75">
        <f>IF(ISERROR(VLOOKUP($S$741,'TAR FIN'!$A$1:$O$93,15,0)),0,VLOOKUP($S$741,'TAR FIN'!$A$1:$O$93,15,0))</f>
        <v>0</v>
      </c>
      <c r="W741" s="75">
        <f>IF(ISERROR(VLOOKUP($T$741,'TAR FIN'!$A$1:$O$93,15,0)),0,VLOOKUP($T$741,'TAR FIN'!$A$1:$O$93,15,0))*(1-0.06)</f>
        <v>1057.2180000000001</v>
      </c>
      <c r="X741" s="75">
        <f>IF(ISERROR(VLOOKUP($U$741,'TAR FIN'!$A$1:$O$93,15,0)),0,VLOOKUP($U$741,'TAR FIN'!$A$1:$O$93,15,0))*(1-0.06)</f>
        <v>174.0692</v>
      </c>
      <c r="Y741" s="75"/>
      <c r="Z741" s="75">
        <f ca="1">('TUSD BE'!$AM$15+'TUSD BF'!$AM$15+'TUSD CVA'!$AM$15)*1*(1-0.03)</f>
        <v>1263.2950046814217</v>
      </c>
      <c r="AA741" s="75">
        <f>('TE BE'!$AB$7+'TE BF'!$AB$7+'TE CVA'!$AB$7)*1*(1-0.03)</f>
        <v>192.23648936268484</v>
      </c>
      <c r="AB741" s="6">
        <f>$K$741*$V$741</f>
        <v>0</v>
      </c>
      <c r="AC741" s="6">
        <f>$M$741*$W$741</f>
        <v>839.43109200000015</v>
      </c>
      <c r="AD741" s="6">
        <f>$O$741*$X$741</f>
        <v>138.21094479999999</v>
      </c>
      <c r="AE741" s="6">
        <f>$K$741*$Y$741</f>
        <v>0</v>
      </c>
      <c r="AF741" s="6">
        <f ca="1">$M$741*$Z$741</f>
        <v>1003.0562337170488</v>
      </c>
      <c r="AG741" s="6">
        <f>$O$741*$AA$741</f>
        <v>152.63577255397178</v>
      </c>
    </row>
    <row r="742" spans="1:33" ht="11.25" customHeight="1" x14ac:dyDescent="0.25">
      <c r="A742" s="4" t="s">
        <v>21</v>
      </c>
      <c r="B742" s="4" t="s">
        <v>35</v>
      </c>
      <c r="C742" s="4" t="s">
        <v>39</v>
      </c>
      <c r="D742" s="4" t="s">
        <v>47</v>
      </c>
      <c r="E742" s="4" t="s">
        <v>48</v>
      </c>
      <c r="F742" s="4" t="s">
        <v>25</v>
      </c>
      <c r="G742" s="4" t="s">
        <v>25</v>
      </c>
      <c r="H742" s="4" t="s">
        <v>37</v>
      </c>
      <c r="I742" s="5">
        <v>44440</v>
      </c>
      <c r="J742" s="6">
        <v>0</v>
      </c>
      <c r="K742" s="75">
        <v>0</v>
      </c>
      <c r="L742" s="6">
        <v>2.4329999999999998</v>
      </c>
      <c r="M742" s="75">
        <v>2.4329999999999998</v>
      </c>
      <c r="N742" s="6">
        <v>2.4329999999999998</v>
      </c>
      <c r="O742" s="75">
        <v>2.4329999999999998</v>
      </c>
      <c r="P742" s="6">
        <v>0</v>
      </c>
      <c r="Q742" s="4" t="s">
        <v>26</v>
      </c>
      <c r="R742" s="4">
        <v>0</v>
      </c>
      <c r="S742" s="6">
        <v>0</v>
      </c>
      <c r="T742" s="6">
        <v>12</v>
      </c>
      <c r="U742" s="6">
        <v>66</v>
      </c>
      <c r="V742" s="75">
        <f>IF(ISERROR(VLOOKUP($S$742,'TAR FIN'!$A$1:$O$93,15,0)),0,VLOOKUP($S$742,'TAR FIN'!$A$1:$O$93,15,0))</f>
        <v>0</v>
      </c>
      <c r="W742" s="75">
        <f>IF(ISERROR(VLOOKUP($T$742,'TAR FIN'!$A$1:$O$93,15,0)),0,VLOOKUP($T$742,'TAR FIN'!$A$1:$O$93,15,0))*(1-0.06)</f>
        <v>1057.2180000000001</v>
      </c>
      <c r="X742" s="75">
        <f>IF(ISERROR(VLOOKUP($U$742,'TAR FIN'!$A$1:$O$93,15,0)),0,VLOOKUP($U$742,'TAR FIN'!$A$1:$O$93,15,0))*(1-0.06)</f>
        <v>174.0692</v>
      </c>
      <c r="Y742" s="75"/>
      <c r="Z742" s="75">
        <f ca="1">('TUSD BE'!$AM$15+'TUSD BF'!$AM$15+'TUSD CVA'!$AM$15)*1*(1-0.03)</f>
        <v>1263.2950046814217</v>
      </c>
      <c r="AA742" s="75">
        <f>('TE BE'!$AB$7+'TE BF'!$AB$7+'TE CVA'!$AB$7)*1*(1-0.03)</f>
        <v>192.23648936268484</v>
      </c>
      <c r="AB742" s="6">
        <f>$K$742*$V$742</f>
        <v>0</v>
      </c>
      <c r="AC742" s="6">
        <f>$M$742*$W$742</f>
        <v>2572.2113939999999</v>
      </c>
      <c r="AD742" s="6">
        <f>$O$742*$X$742</f>
        <v>423.51036359999995</v>
      </c>
      <c r="AE742" s="6">
        <f>$K$742*$Y$742</f>
        <v>0</v>
      </c>
      <c r="AF742" s="6">
        <f ca="1">$M$742*$Z$742</f>
        <v>3073.5967463898987</v>
      </c>
      <c r="AG742" s="6">
        <f>$O$742*$AA$742</f>
        <v>467.71137861941219</v>
      </c>
    </row>
    <row r="743" spans="1:33" ht="11.25" customHeight="1" x14ac:dyDescent="0.25">
      <c r="A743" s="4" t="s">
        <v>21</v>
      </c>
      <c r="B743" s="4" t="s">
        <v>35</v>
      </c>
      <c r="C743" s="4" t="s">
        <v>39</v>
      </c>
      <c r="D743" s="4" t="s">
        <v>47</v>
      </c>
      <c r="E743" s="4" t="s">
        <v>48</v>
      </c>
      <c r="F743" s="4" t="s">
        <v>25</v>
      </c>
      <c r="G743" s="4" t="s">
        <v>25</v>
      </c>
      <c r="H743" s="4" t="s">
        <v>37</v>
      </c>
      <c r="I743" s="5">
        <v>44470</v>
      </c>
      <c r="J743" s="6">
        <v>0</v>
      </c>
      <c r="K743" s="75">
        <v>0</v>
      </c>
      <c r="L743" s="6">
        <v>4.9050000000000002</v>
      </c>
      <c r="M743" s="75">
        <v>4.9050000000000002</v>
      </c>
      <c r="N743" s="6">
        <v>4.9050000000000002</v>
      </c>
      <c r="O743" s="75">
        <v>4.9050000000000002</v>
      </c>
      <c r="P743" s="6">
        <v>0</v>
      </c>
      <c r="Q743" s="4" t="s">
        <v>26</v>
      </c>
      <c r="R743" s="4">
        <v>0</v>
      </c>
      <c r="S743" s="6">
        <v>0</v>
      </c>
      <c r="T743" s="6">
        <v>12</v>
      </c>
      <c r="U743" s="6">
        <v>66</v>
      </c>
      <c r="V743" s="75">
        <f>IF(ISERROR(VLOOKUP($S$743,'TAR FIN'!$A$1:$O$93,15,0)),0,VLOOKUP($S$743,'TAR FIN'!$A$1:$O$93,15,0))</f>
        <v>0</v>
      </c>
      <c r="W743" s="75">
        <f>IF(ISERROR(VLOOKUP($T$743,'TAR FIN'!$A$1:$O$93,15,0)),0,VLOOKUP($T$743,'TAR FIN'!$A$1:$O$93,15,0))*(1-0.06)</f>
        <v>1057.2180000000001</v>
      </c>
      <c r="X743" s="75">
        <f>IF(ISERROR(VLOOKUP($U$743,'TAR FIN'!$A$1:$O$93,15,0)),0,VLOOKUP($U$743,'TAR FIN'!$A$1:$O$93,15,0))*(1-0.06)</f>
        <v>174.0692</v>
      </c>
      <c r="Y743" s="75"/>
      <c r="Z743" s="75">
        <f ca="1">('TUSD BE'!$AM$15+'TUSD BF'!$AM$15+'TUSD CVA'!$AM$15)*1*(1-0.03)</f>
        <v>1263.2950046814217</v>
      </c>
      <c r="AA743" s="75">
        <f>('TE BE'!$AB$7+'TE BF'!$AB$7+'TE CVA'!$AB$7)*1*(1-0.03)</f>
        <v>192.23648936268484</v>
      </c>
      <c r="AB743" s="6">
        <f>$K$743*$V$743</f>
        <v>0</v>
      </c>
      <c r="AC743" s="6">
        <f>$M$743*$W$743</f>
        <v>5185.6542900000004</v>
      </c>
      <c r="AD743" s="6">
        <f>$O$743*$X$743</f>
        <v>853.80942600000003</v>
      </c>
      <c r="AE743" s="6">
        <f>$K$743*$Y$743</f>
        <v>0</v>
      </c>
      <c r="AF743" s="6">
        <f ca="1">$M$743*$Z$743</f>
        <v>6196.461997962374</v>
      </c>
      <c r="AG743" s="6">
        <f>$O$743*$AA$743</f>
        <v>942.91998032396918</v>
      </c>
    </row>
    <row r="744" spans="1:33" ht="11.25" customHeight="1" x14ac:dyDescent="0.25">
      <c r="A744" s="4" t="s">
        <v>21</v>
      </c>
      <c r="B744" s="4" t="s">
        <v>35</v>
      </c>
      <c r="C744" s="4" t="s">
        <v>39</v>
      </c>
      <c r="D744" s="4" t="s">
        <v>47</v>
      </c>
      <c r="E744" s="4" t="s">
        <v>48</v>
      </c>
      <c r="F744" s="4" t="s">
        <v>25</v>
      </c>
      <c r="G744" s="4" t="s">
        <v>25</v>
      </c>
      <c r="H744" s="4" t="s">
        <v>37</v>
      </c>
      <c r="I744" s="5">
        <v>44501</v>
      </c>
      <c r="J744" s="6">
        <v>0</v>
      </c>
      <c r="K744" s="75">
        <v>0</v>
      </c>
      <c r="L744" s="6">
        <v>5.0819999999999999</v>
      </c>
      <c r="M744" s="75">
        <v>5.0819999999999999</v>
      </c>
      <c r="N744" s="6">
        <v>5.0819999999999999</v>
      </c>
      <c r="O744" s="75">
        <v>5.0819999999999999</v>
      </c>
      <c r="P744" s="6">
        <v>0</v>
      </c>
      <c r="Q744" s="4" t="s">
        <v>26</v>
      </c>
      <c r="R744" s="4">
        <v>0</v>
      </c>
      <c r="S744" s="6">
        <v>0</v>
      </c>
      <c r="T744" s="6">
        <v>12</v>
      </c>
      <c r="U744" s="6">
        <v>66</v>
      </c>
      <c r="V744" s="75">
        <f>IF(ISERROR(VLOOKUP($S$744,'TAR FIN'!$A$1:$O$93,15,0)),0,VLOOKUP($S$744,'TAR FIN'!$A$1:$O$93,15,0))</f>
        <v>0</v>
      </c>
      <c r="W744" s="75">
        <f>IF(ISERROR(VLOOKUP($T$744,'TAR FIN'!$A$1:$O$93,15,0)),0,VLOOKUP($T$744,'TAR FIN'!$A$1:$O$93,15,0))*(1-0.06)</f>
        <v>1057.2180000000001</v>
      </c>
      <c r="X744" s="75">
        <f>IF(ISERROR(VLOOKUP($U$744,'TAR FIN'!$A$1:$O$93,15,0)),0,VLOOKUP($U$744,'TAR FIN'!$A$1:$O$93,15,0))*(1-0.06)</f>
        <v>174.0692</v>
      </c>
      <c r="Y744" s="75"/>
      <c r="Z744" s="75">
        <f ca="1">('TUSD BE'!$AM$15+'TUSD BF'!$AM$15+'TUSD CVA'!$AM$15)*1*(1-0.03)</f>
        <v>1263.2950046814217</v>
      </c>
      <c r="AA744" s="75">
        <f>('TE BE'!$AB$7+'TE BF'!$AB$7+'TE CVA'!$AB$7)*1*(1-0.03)</f>
        <v>192.23648936268484</v>
      </c>
      <c r="AB744" s="6">
        <f>$K$744*$V$744</f>
        <v>0</v>
      </c>
      <c r="AC744" s="6">
        <f>$M$744*$W$744</f>
        <v>5372.781876</v>
      </c>
      <c r="AD744" s="6">
        <f>$O$744*$X$744</f>
        <v>884.61967439999989</v>
      </c>
      <c r="AE744" s="6">
        <f>$K$744*$Y$744</f>
        <v>0</v>
      </c>
      <c r="AF744" s="6">
        <f ca="1">$M$744*$Z$744</f>
        <v>6420.0652137909847</v>
      </c>
      <c r="AG744" s="6">
        <f>$O$744*$AA$744</f>
        <v>976.94583894116431</v>
      </c>
    </row>
    <row r="745" spans="1:33" ht="11.25" customHeight="1" x14ac:dyDescent="0.25">
      <c r="A745" s="4" t="s">
        <v>21</v>
      </c>
      <c r="B745" s="4" t="s">
        <v>35</v>
      </c>
      <c r="C745" s="4" t="s">
        <v>39</v>
      </c>
      <c r="D745" s="4" t="s">
        <v>47</v>
      </c>
      <c r="E745" s="4" t="s">
        <v>48</v>
      </c>
      <c r="F745" s="4" t="s">
        <v>25</v>
      </c>
      <c r="G745" s="4" t="s">
        <v>25</v>
      </c>
      <c r="H745" s="4" t="s">
        <v>37</v>
      </c>
      <c r="I745" s="5">
        <v>44531</v>
      </c>
      <c r="J745" s="6">
        <v>0</v>
      </c>
      <c r="K745" s="75">
        <v>0</v>
      </c>
      <c r="L745" s="6">
        <v>5.3470000000000004</v>
      </c>
      <c r="M745" s="75">
        <v>5.3470000000000004</v>
      </c>
      <c r="N745" s="6">
        <v>5.3470000000000004</v>
      </c>
      <c r="O745" s="75">
        <v>5.3470000000000004</v>
      </c>
      <c r="P745" s="6">
        <v>0</v>
      </c>
      <c r="Q745" s="4" t="s">
        <v>26</v>
      </c>
      <c r="R745" s="4">
        <v>0</v>
      </c>
      <c r="S745" s="6">
        <v>0</v>
      </c>
      <c r="T745" s="6">
        <v>12</v>
      </c>
      <c r="U745" s="6">
        <v>66</v>
      </c>
      <c r="V745" s="75">
        <f>IF(ISERROR(VLOOKUP($S$745,'TAR FIN'!$A$1:$O$93,15,0)),0,VLOOKUP($S$745,'TAR FIN'!$A$1:$O$93,15,0))</f>
        <v>0</v>
      </c>
      <c r="W745" s="75">
        <f>IF(ISERROR(VLOOKUP($T$745,'TAR FIN'!$A$1:$O$93,15,0)),0,VLOOKUP($T$745,'TAR FIN'!$A$1:$O$93,15,0))*(1-0.06)</f>
        <v>1057.2180000000001</v>
      </c>
      <c r="X745" s="75">
        <f>IF(ISERROR(VLOOKUP($U$745,'TAR FIN'!$A$1:$O$93,15,0)),0,VLOOKUP($U$745,'TAR FIN'!$A$1:$O$93,15,0))*(1-0.06)</f>
        <v>174.0692</v>
      </c>
      <c r="Y745" s="75"/>
      <c r="Z745" s="75">
        <f ca="1">('TUSD BE'!$AM$15+'TUSD BF'!$AM$15+'TUSD CVA'!$AM$15)*1*(1-0.03)</f>
        <v>1263.2950046814217</v>
      </c>
      <c r="AA745" s="75">
        <f>('TE BE'!$AB$7+'TE BF'!$AB$7+'TE CVA'!$AB$7)*1*(1-0.03)</f>
        <v>192.23648936268484</v>
      </c>
      <c r="AB745" s="6">
        <f>$K$745*$V$745</f>
        <v>0</v>
      </c>
      <c r="AC745" s="6">
        <f>$M$745*$W$745</f>
        <v>5652.9446460000008</v>
      </c>
      <c r="AD745" s="6">
        <f>$O$745*$X$745</f>
        <v>930.74801239999999</v>
      </c>
      <c r="AE745" s="6">
        <f>$K$745*$Y$745</f>
        <v>0</v>
      </c>
      <c r="AF745" s="6">
        <f ca="1">$M$745*$Z$745</f>
        <v>6754.8383900315621</v>
      </c>
      <c r="AG745" s="6">
        <f>$O$745*$AA$745</f>
        <v>1027.8885086222758</v>
      </c>
    </row>
    <row r="746" spans="1:33" ht="11.25" customHeight="1" x14ac:dyDescent="0.25">
      <c r="A746" s="4" t="s">
        <v>21</v>
      </c>
      <c r="B746" s="4" t="s">
        <v>35</v>
      </c>
      <c r="C746" s="4" t="s">
        <v>39</v>
      </c>
      <c r="D746" s="4" t="s">
        <v>47</v>
      </c>
      <c r="E746" s="4" t="s">
        <v>48</v>
      </c>
      <c r="F746" s="4" t="s">
        <v>25</v>
      </c>
      <c r="G746" s="4" t="s">
        <v>25</v>
      </c>
      <c r="H746" s="4" t="s">
        <v>37</v>
      </c>
      <c r="I746" s="5">
        <v>44562</v>
      </c>
      <c r="J746" s="6">
        <v>0</v>
      </c>
      <c r="K746" s="75">
        <v>0</v>
      </c>
      <c r="L746" s="6">
        <v>5.4029999999999996</v>
      </c>
      <c r="M746" s="75">
        <v>5.4029999999999996</v>
      </c>
      <c r="N746" s="6">
        <v>5.4029999999999996</v>
      </c>
      <c r="O746" s="75">
        <v>5.4029999999999996</v>
      </c>
      <c r="P746" s="6">
        <v>0</v>
      </c>
      <c r="Q746" s="4" t="s">
        <v>26</v>
      </c>
      <c r="R746" s="4">
        <v>0</v>
      </c>
      <c r="S746" s="6">
        <v>0</v>
      </c>
      <c r="T746" s="6">
        <v>12</v>
      </c>
      <c r="U746" s="6">
        <v>66</v>
      </c>
      <c r="V746" s="75">
        <f>IF(ISERROR(VLOOKUP($S$746,'TAR FIN'!$A$1:$O$93,15,0)),0,VLOOKUP($S$746,'TAR FIN'!$A$1:$O$93,15,0))</f>
        <v>0</v>
      </c>
      <c r="W746" s="75">
        <f>IF(ISERROR(VLOOKUP($T$746,'TAR FIN'!$A$1:$O$93,15,0)),0,VLOOKUP($T$746,'TAR FIN'!$A$1:$O$93,15,0))*(1-0.06)</f>
        <v>1057.2180000000001</v>
      </c>
      <c r="X746" s="75">
        <f>IF(ISERROR(VLOOKUP($U$746,'TAR FIN'!$A$1:$O$93,15,0)),0,VLOOKUP($U$746,'TAR FIN'!$A$1:$O$93,15,0))*(1-0.06)</f>
        <v>174.0692</v>
      </c>
      <c r="Y746" s="75"/>
      <c r="Z746" s="75">
        <f ca="1">('TUSD BE'!$AM$15+'TUSD BF'!$AM$15+'TUSD CVA'!$AM$15)*1*(1-0.03)</f>
        <v>1263.2950046814217</v>
      </c>
      <c r="AA746" s="75">
        <f>('TE BE'!$AB$7+'TE BF'!$AB$7+'TE CVA'!$AB$7)*1*(1-0.03)</f>
        <v>192.23648936268484</v>
      </c>
      <c r="AB746" s="6">
        <f>$K$746*$V$746</f>
        <v>0</v>
      </c>
      <c r="AC746" s="6">
        <f>$M$746*$W$746</f>
        <v>5712.148854</v>
      </c>
      <c r="AD746" s="6">
        <f>$O$746*$X$746</f>
        <v>940.49588759999995</v>
      </c>
      <c r="AE746" s="6">
        <f>$K$746*$Y$746</f>
        <v>0</v>
      </c>
      <c r="AF746" s="6">
        <f ca="1">$M$746*$Z$746</f>
        <v>6825.5829102937205</v>
      </c>
      <c r="AG746" s="6">
        <f>$O$746*$AA$746</f>
        <v>1038.6537520265861</v>
      </c>
    </row>
    <row r="747" spans="1:33" ht="11.25" customHeight="1" x14ac:dyDescent="0.25">
      <c r="A747" s="4" t="s">
        <v>21</v>
      </c>
      <c r="B747" s="4" t="s">
        <v>35</v>
      </c>
      <c r="C747" s="4" t="s">
        <v>39</v>
      </c>
      <c r="D747" s="4" t="s">
        <v>47</v>
      </c>
      <c r="E747" s="4" t="s">
        <v>48</v>
      </c>
      <c r="F747" s="4" t="s">
        <v>25</v>
      </c>
      <c r="G747" s="4" t="s">
        <v>25</v>
      </c>
      <c r="H747" s="4" t="s">
        <v>37</v>
      </c>
      <c r="I747" s="5">
        <v>44593</v>
      </c>
      <c r="J747" s="6">
        <v>0</v>
      </c>
      <c r="K747" s="75">
        <v>0</v>
      </c>
      <c r="L747" s="6">
        <v>1.93</v>
      </c>
      <c r="M747" s="75">
        <v>1.93</v>
      </c>
      <c r="N747" s="6">
        <v>1.93</v>
      </c>
      <c r="O747" s="75">
        <v>1.93</v>
      </c>
      <c r="P747" s="6">
        <v>0</v>
      </c>
      <c r="Q747" s="4" t="s">
        <v>26</v>
      </c>
      <c r="R747" s="4">
        <v>0</v>
      </c>
      <c r="S747" s="6">
        <v>0</v>
      </c>
      <c r="T747" s="6">
        <v>12</v>
      </c>
      <c r="U747" s="6">
        <v>66</v>
      </c>
      <c r="V747" s="75">
        <f>IF(ISERROR(VLOOKUP($S$747,'TAR FIN'!$A$1:$O$93,15,0)),0,VLOOKUP($S$747,'TAR FIN'!$A$1:$O$93,15,0))</f>
        <v>0</v>
      </c>
      <c r="W747" s="75">
        <f>IF(ISERROR(VLOOKUP($T$747,'TAR FIN'!$A$1:$O$93,15,0)),0,VLOOKUP($T$747,'TAR FIN'!$A$1:$O$93,15,0))*(1-0.06)</f>
        <v>1057.2180000000001</v>
      </c>
      <c r="X747" s="75">
        <f>IF(ISERROR(VLOOKUP($U$747,'TAR FIN'!$A$1:$O$93,15,0)),0,VLOOKUP($U$747,'TAR FIN'!$A$1:$O$93,15,0))*(1-0.06)</f>
        <v>174.0692</v>
      </c>
      <c r="Y747" s="75"/>
      <c r="Z747" s="75">
        <f ca="1">('TUSD BE'!$AM$15+'TUSD BF'!$AM$15+'TUSD CVA'!$AM$15)*1*(1-0.03)</f>
        <v>1263.2950046814217</v>
      </c>
      <c r="AA747" s="75">
        <f>('TE BE'!$AB$7+'TE BF'!$AB$7+'TE CVA'!$AB$7)*1*(1-0.03)</f>
        <v>192.23648936268484</v>
      </c>
      <c r="AB747" s="6">
        <f>$K$747*$V$747</f>
        <v>0</v>
      </c>
      <c r="AC747" s="6">
        <f>$M$747*$W$747</f>
        <v>2040.43074</v>
      </c>
      <c r="AD747" s="6">
        <f>$O$747*$X$747</f>
        <v>335.95355599999999</v>
      </c>
      <c r="AE747" s="6">
        <f>$K$747*$Y$747</f>
        <v>0</v>
      </c>
      <c r="AF747" s="6">
        <f ca="1">$M$747*$Z$747</f>
        <v>2438.1593590351436</v>
      </c>
      <c r="AG747" s="6">
        <f>$O$747*$AA$747</f>
        <v>371.0164244699817</v>
      </c>
    </row>
    <row r="748" spans="1:33" ht="11.25" customHeight="1" x14ac:dyDescent="0.25">
      <c r="A748" s="4" t="s">
        <v>21</v>
      </c>
      <c r="B748" s="4" t="s">
        <v>35</v>
      </c>
      <c r="C748" s="4" t="s">
        <v>39</v>
      </c>
      <c r="D748" s="4" t="s">
        <v>47</v>
      </c>
      <c r="E748" s="4" t="s">
        <v>48</v>
      </c>
      <c r="F748" s="4" t="s">
        <v>25</v>
      </c>
      <c r="G748" s="4" t="s">
        <v>25</v>
      </c>
      <c r="H748" s="4" t="s">
        <v>37</v>
      </c>
      <c r="I748" s="5">
        <v>44621</v>
      </c>
      <c r="J748" s="6">
        <v>0</v>
      </c>
      <c r="K748" s="75">
        <v>0</v>
      </c>
      <c r="L748" s="6">
        <v>2.74</v>
      </c>
      <c r="M748" s="75">
        <v>2.74</v>
      </c>
      <c r="N748" s="6">
        <v>2.74</v>
      </c>
      <c r="O748" s="75">
        <v>2.74</v>
      </c>
      <c r="P748" s="6">
        <v>0</v>
      </c>
      <c r="Q748" s="4" t="s">
        <v>26</v>
      </c>
      <c r="R748" s="4">
        <v>0</v>
      </c>
      <c r="S748" s="6">
        <v>0</v>
      </c>
      <c r="T748" s="6">
        <v>12</v>
      </c>
      <c r="U748" s="6">
        <v>66</v>
      </c>
      <c r="V748" s="75">
        <f>IF(ISERROR(VLOOKUP($S$748,'TAR FIN'!$A$1:$O$93,15,0)),0,VLOOKUP($S$748,'TAR FIN'!$A$1:$O$93,15,0))</f>
        <v>0</v>
      </c>
      <c r="W748" s="75">
        <f>IF(ISERROR(VLOOKUP($T$748,'TAR FIN'!$A$1:$O$93,15,0)),0,VLOOKUP($T$748,'TAR FIN'!$A$1:$O$93,15,0))*(1-0.06)</f>
        <v>1057.2180000000001</v>
      </c>
      <c r="X748" s="75">
        <f>IF(ISERROR(VLOOKUP($U$748,'TAR FIN'!$A$1:$O$93,15,0)),0,VLOOKUP($U$748,'TAR FIN'!$A$1:$O$93,15,0))*(1-0.06)</f>
        <v>174.0692</v>
      </c>
      <c r="Y748" s="75"/>
      <c r="Z748" s="75">
        <f ca="1">('TUSD BE'!$AM$15+'TUSD BF'!$AM$15+'TUSD CVA'!$AM$15)*1*(1-0.03)</f>
        <v>1263.2950046814217</v>
      </c>
      <c r="AA748" s="75">
        <f>('TE BE'!$AB$7+'TE BF'!$AB$7+'TE CVA'!$AB$7)*1*(1-0.03)</f>
        <v>192.23648936268484</v>
      </c>
      <c r="AB748" s="6">
        <f>$K$748*$V$748</f>
        <v>0</v>
      </c>
      <c r="AC748" s="6">
        <f>$M$748*$W$748</f>
        <v>2896.7773200000006</v>
      </c>
      <c r="AD748" s="6">
        <f>$O$748*$X$748</f>
        <v>476.94960800000001</v>
      </c>
      <c r="AE748" s="6">
        <f>$K$748*$Y$748</f>
        <v>0</v>
      </c>
      <c r="AF748" s="6">
        <f ca="1">$M$748*$Z$748</f>
        <v>3461.4283128270959</v>
      </c>
      <c r="AG748" s="6">
        <f>$O$748*$AA$748</f>
        <v>526.72798085375643</v>
      </c>
    </row>
    <row r="749" spans="1:33" ht="11.25" customHeight="1" x14ac:dyDescent="0.25">
      <c r="A749" s="4" t="s">
        <v>21</v>
      </c>
      <c r="B749" s="4" t="s">
        <v>35</v>
      </c>
      <c r="C749" s="4" t="s">
        <v>39</v>
      </c>
      <c r="D749" s="4" t="s">
        <v>47</v>
      </c>
      <c r="E749" s="4" t="s">
        <v>48</v>
      </c>
      <c r="F749" s="4" t="s">
        <v>25</v>
      </c>
      <c r="G749" s="4" t="s">
        <v>25</v>
      </c>
      <c r="H749" s="4" t="s">
        <v>37</v>
      </c>
      <c r="I749" s="5">
        <v>44652</v>
      </c>
      <c r="J749" s="6">
        <v>0</v>
      </c>
      <c r="K749" s="75">
        <v>0</v>
      </c>
      <c r="L749" s="6">
        <v>1.5589999999999999</v>
      </c>
      <c r="M749" s="75">
        <v>1.5589999999999999</v>
      </c>
      <c r="N749" s="6">
        <v>1.5589999999999999</v>
      </c>
      <c r="O749" s="75">
        <v>1.5589999999999999</v>
      </c>
      <c r="P749" s="6">
        <v>0</v>
      </c>
      <c r="Q749" s="4" t="s">
        <v>26</v>
      </c>
      <c r="R749" s="4">
        <v>0</v>
      </c>
      <c r="S749" s="6">
        <v>0</v>
      </c>
      <c r="T749" s="6">
        <v>12</v>
      </c>
      <c r="U749" s="6">
        <v>66</v>
      </c>
      <c r="V749" s="75">
        <f>IF(ISERROR(VLOOKUP($S$749,'TAR FIN'!$A$1:$O$93,15,0)),0,VLOOKUP($S$749,'TAR FIN'!$A$1:$O$93,15,0))</f>
        <v>0</v>
      </c>
      <c r="W749" s="75">
        <f>IF(ISERROR(VLOOKUP($T$749,'TAR FIN'!$A$1:$O$93,15,0)),0,VLOOKUP($T$749,'TAR FIN'!$A$1:$O$93,15,0))*(1-0.06)</f>
        <v>1057.2180000000001</v>
      </c>
      <c r="X749" s="75">
        <f>IF(ISERROR(VLOOKUP($U$749,'TAR FIN'!$A$1:$O$93,15,0)),0,VLOOKUP($U$749,'TAR FIN'!$A$1:$O$93,15,0))*(1-0.06)</f>
        <v>174.0692</v>
      </c>
      <c r="Y749" s="75"/>
      <c r="Z749" s="75">
        <f ca="1">('TUSD BE'!$AM$15+'TUSD BF'!$AM$15+'TUSD CVA'!$AM$15)*1*(1-0.03)</f>
        <v>1263.2950046814217</v>
      </c>
      <c r="AA749" s="75">
        <f>('TE BE'!$AB$7+'TE BF'!$AB$7+'TE CVA'!$AB$7)*1*(1-0.03)</f>
        <v>192.23648936268484</v>
      </c>
      <c r="AB749" s="6">
        <f>$K$749*$V$749</f>
        <v>0</v>
      </c>
      <c r="AC749" s="6">
        <f>$M$749*$W$749</f>
        <v>1648.2028620000001</v>
      </c>
      <c r="AD749" s="6">
        <f>$O$749*$X$749</f>
        <v>271.37388279999999</v>
      </c>
      <c r="AE749" s="6">
        <f>$K$749*$Y$749</f>
        <v>0</v>
      </c>
      <c r="AF749" s="6">
        <f ca="1">$M$749*$Z$749</f>
        <v>1969.4769122983364</v>
      </c>
      <c r="AG749" s="6">
        <f>$O$749*$AA$749</f>
        <v>299.69668691642562</v>
      </c>
    </row>
    <row r="750" spans="1:33" ht="11.25" customHeight="1" x14ac:dyDescent="0.25">
      <c r="A750" s="4" t="s">
        <v>21</v>
      </c>
      <c r="B750" s="4" t="s">
        <v>35</v>
      </c>
      <c r="C750" s="4" t="s">
        <v>39</v>
      </c>
      <c r="D750" s="4" t="s">
        <v>47</v>
      </c>
      <c r="E750" s="4" t="s">
        <v>48</v>
      </c>
      <c r="F750" s="4" t="s">
        <v>25</v>
      </c>
      <c r="G750" s="4" t="s">
        <v>25</v>
      </c>
      <c r="H750" s="4" t="s">
        <v>37</v>
      </c>
      <c r="I750" s="5">
        <v>44682</v>
      </c>
      <c r="J750" s="6">
        <v>0</v>
      </c>
      <c r="K750" s="75">
        <v>0</v>
      </c>
      <c r="L750" s="6">
        <v>1.2789999999999999</v>
      </c>
      <c r="M750" s="75">
        <v>1.2789999999999999</v>
      </c>
      <c r="N750" s="6">
        <v>1.2789999999999999</v>
      </c>
      <c r="O750" s="75">
        <v>1.2789999999999999</v>
      </c>
      <c r="P750" s="6">
        <v>0</v>
      </c>
      <c r="Q750" s="4" t="s">
        <v>26</v>
      </c>
      <c r="R750" s="4">
        <v>0</v>
      </c>
      <c r="S750" s="6">
        <v>0</v>
      </c>
      <c r="T750" s="6">
        <v>12</v>
      </c>
      <c r="U750" s="6">
        <v>66</v>
      </c>
      <c r="V750" s="75">
        <f>IF(ISERROR(VLOOKUP($S$750,'TAR FIN'!$A$1:$O$93,15,0)),0,VLOOKUP($S$750,'TAR FIN'!$A$1:$O$93,15,0))</f>
        <v>0</v>
      </c>
      <c r="W750" s="75">
        <f>IF(ISERROR(VLOOKUP($T$750,'TAR FIN'!$A$1:$O$93,15,0)),0,VLOOKUP($T$750,'TAR FIN'!$A$1:$O$93,15,0))*(1-0.06)</f>
        <v>1057.2180000000001</v>
      </c>
      <c r="X750" s="75">
        <f>IF(ISERROR(VLOOKUP($U$750,'TAR FIN'!$A$1:$O$93,15,0)),0,VLOOKUP($U$750,'TAR FIN'!$A$1:$O$93,15,0))*(1-0.06)</f>
        <v>174.0692</v>
      </c>
      <c r="Y750" s="75"/>
      <c r="Z750" s="75">
        <f ca="1">('TUSD BE'!$AM$15+'TUSD BF'!$AM$15+'TUSD CVA'!$AM$15)*1*(1-0.03)</f>
        <v>1263.2950046814217</v>
      </c>
      <c r="AA750" s="75">
        <f>('TE BE'!$AB$7+'TE BF'!$AB$7+'TE CVA'!$AB$7)*1*(1-0.03)</f>
        <v>192.23648936268484</v>
      </c>
      <c r="AB750" s="6">
        <f>$K$750*$V$750</f>
        <v>0</v>
      </c>
      <c r="AC750" s="6">
        <f>$M$750*$W$750</f>
        <v>1352.181822</v>
      </c>
      <c r="AD750" s="6">
        <f>$O$750*$X$750</f>
        <v>222.63450679999997</v>
      </c>
      <c r="AE750" s="6">
        <f>$K$750*$Y$750</f>
        <v>0</v>
      </c>
      <c r="AF750" s="6">
        <f ca="1">$M$750*$Z$750</f>
        <v>1615.7543109875382</v>
      </c>
      <c r="AG750" s="6">
        <f>$O$750*$AA$750</f>
        <v>245.87046989487388</v>
      </c>
    </row>
    <row r="751" spans="1:33" ht="11.25" customHeight="1" x14ac:dyDescent="0.25">
      <c r="A751" s="4" t="s">
        <v>21</v>
      </c>
      <c r="B751" s="4" t="s">
        <v>35</v>
      </c>
      <c r="C751" s="4" t="s">
        <v>39</v>
      </c>
      <c r="D751" s="4" t="s">
        <v>47</v>
      </c>
      <c r="E751" s="4" t="s">
        <v>48</v>
      </c>
      <c r="F751" s="4" t="s">
        <v>25</v>
      </c>
      <c r="G751" s="4" t="s">
        <v>25</v>
      </c>
      <c r="H751" s="4" t="s">
        <v>37</v>
      </c>
      <c r="I751" s="5">
        <v>44713</v>
      </c>
      <c r="J751" s="6">
        <v>0</v>
      </c>
      <c r="K751" s="75">
        <v>0</v>
      </c>
      <c r="L751" s="6">
        <v>1.8779999999999999</v>
      </c>
      <c r="M751" s="75">
        <v>1.8779999999999999</v>
      </c>
      <c r="N751" s="6">
        <v>1.8779999999999999</v>
      </c>
      <c r="O751" s="75">
        <v>1.8779999999999999</v>
      </c>
      <c r="P751" s="6">
        <v>0</v>
      </c>
      <c r="Q751" s="4" t="s">
        <v>26</v>
      </c>
      <c r="R751" s="4">
        <v>0</v>
      </c>
      <c r="S751" s="6">
        <v>0</v>
      </c>
      <c r="T751" s="6">
        <v>12</v>
      </c>
      <c r="U751" s="6">
        <v>66</v>
      </c>
      <c r="V751" s="75">
        <f>IF(ISERROR(VLOOKUP($S$751,'TAR FIN'!$A$1:$O$93,15,0)),0,VLOOKUP($S$751,'TAR FIN'!$A$1:$O$93,15,0))</f>
        <v>0</v>
      </c>
      <c r="W751" s="75">
        <f>IF(ISERROR(VLOOKUP($T$751,'TAR FIN'!$A$1:$O$93,15,0)),0,VLOOKUP($T$751,'TAR FIN'!$A$1:$O$93,15,0))*(1-0.06)</f>
        <v>1057.2180000000001</v>
      </c>
      <c r="X751" s="75">
        <f>IF(ISERROR(VLOOKUP($U$751,'TAR FIN'!$A$1:$O$93,15,0)),0,VLOOKUP($U$751,'TAR FIN'!$A$1:$O$93,15,0))*(1-0.06)</f>
        <v>174.0692</v>
      </c>
      <c r="Y751" s="75"/>
      <c r="Z751" s="75">
        <f ca="1">('TUSD BE'!$AM$15+'TUSD BF'!$AM$15+'TUSD CVA'!$AM$15)*1*(1-0.03)</f>
        <v>1263.2950046814217</v>
      </c>
      <c r="AA751" s="75">
        <f>('TE BE'!$AB$7+'TE BF'!$AB$7+'TE CVA'!$AB$7)*1*(1-0.03)</f>
        <v>192.23648936268484</v>
      </c>
      <c r="AB751" s="6">
        <f>$K$751*$V$751</f>
        <v>0</v>
      </c>
      <c r="AC751" s="6">
        <f>$M$751*$W$751</f>
        <v>1985.455404</v>
      </c>
      <c r="AD751" s="6">
        <f>$O$751*$X$751</f>
        <v>326.90195759999995</v>
      </c>
      <c r="AE751" s="6">
        <f>$K$751*$Y$751</f>
        <v>0</v>
      </c>
      <c r="AF751" s="6">
        <f ca="1">$M$751*$Z$751</f>
        <v>2372.4680187917097</v>
      </c>
      <c r="AG751" s="6">
        <f>$O$751*$AA$751</f>
        <v>361.02012702312209</v>
      </c>
    </row>
    <row r="752" spans="1:33" ht="11.25" customHeight="1" x14ac:dyDescent="0.25">
      <c r="A752" s="4" t="s">
        <v>21</v>
      </c>
      <c r="B752" s="4" t="s">
        <v>22</v>
      </c>
      <c r="C752" s="4" t="s">
        <v>23</v>
      </c>
      <c r="D752" s="4" t="s">
        <v>24</v>
      </c>
      <c r="E752" s="4" t="s">
        <v>24</v>
      </c>
      <c r="F752" s="4" t="s">
        <v>25</v>
      </c>
      <c r="G752" s="4" t="s">
        <v>25</v>
      </c>
      <c r="H752" s="4" t="s">
        <v>25</v>
      </c>
      <c r="I752" s="5">
        <v>44378</v>
      </c>
      <c r="J752" s="6">
        <v>0</v>
      </c>
      <c r="K752" s="6">
        <v>0</v>
      </c>
      <c r="L752" s="6">
        <v>1945.799</v>
      </c>
      <c r="M752" s="6">
        <v>1945.799</v>
      </c>
      <c r="N752" s="6">
        <v>1945.799</v>
      </c>
      <c r="O752" s="6">
        <v>1945.799</v>
      </c>
      <c r="P752" s="6">
        <v>11707</v>
      </c>
      <c r="Q752" s="4" t="s">
        <v>26</v>
      </c>
      <c r="R752" s="4">
        <v>0</v>
      </c>
      <c r="S752" s="6">
        <v>0</v>
      </c>
      <c r="T752" s="6">
        <v>11</v>
      </c>
      <c r="U752" s="6">
        <v>46</v>
      </c>
      <c r="V752" s="6">
        <f>IF(ISERROR(VLOOKUP($S$752,'TAR FIN'!$A$1:$O$93,15,0)),0,VLOOKUP($S$752,'TAR FIN'!$A$1:$O$93,15,0))</f>
        <v>0</v>
      </c>
      <c r="W752" s="6">
        <f>IF(ISERROR(VLOOKUP($T$752,'TAR FIN'!$A$1:$O$93,15,0)),0,VLOOKUP($T$752,'TAR FIN'!$A$1:$O$93,15,0))</f>
        <v>272.91000000000003</v>
      </c>
      <c r="X752" s="6">
        <f>IF(ISERROR(VLOOKUP($U$752,'TAR FIN'!$A$1:$O$93,15,0)),0,VLOOKUP($U$752,'TAR FIN'!$A$1:$O$93,15,0))</f>
        <v>185.18</v>
      </c>
      <c r="Y752" s="6"/>
      <c r="Z752" s="6">
        <f ca="1">('TUSD BE'!$AM$24+'TUSD BF'!$AM$24+'TUSD CVA'!$AM$24)*1</f>
        <v>292.16655209139662</v>
      </c>
      <c r="AA752" s="6">
        <f>('TE BE'!$AB$13+'TE BF'!$AB$13+'TE CVA'!$AB$13)*1</f>
        <v>198.18194779658231</v>
      </c>
      <c r="AB752" s="6">
        <f>$K$752*$V$752</f>
        <v>0</v>
      </c>
      <c r="AC752" s="6">
        <f>$M$752*$W$752</f>
        <v>531028.00508999999</v>
      </c>
      <c r="AD752" s="6">
        <f>$O$752*$X$752</f>
        <v>360323.05882000003</v>
      </c>
      <c r="AE752" s="6">
        <f>$K$752*$Y$752</f>
        <v>0</v>
      </c>
      <c r="AF752" s="6">
        <f ca="1">$M$752*$Z$752</f>
        <v>568497.38489288744</v>
      </c>
      <c r="AG752" s="6">
        <f>$O$752*$AA$752</f>
        <v>385622.23584064207</v>
      </c>
    </row>
    <row r="753" spans="1:33" ht="11.25" customHeight="1" x14ac:dyDescent="0.25">
      <c r="A753" s="4" t="s">
        <v>27</v>
      </c>
      <c r="B753" s="4" t="s">
        <v>22</v>
      </c>
      <c r="C753" s="4" t="s">
        <v>23</v>
      </c>
      <c r="D753" s="4" t="s">
        <v>24</v>
      </c>
      <c r="E753" s="4" t="s">
        <v>24</v>
      </c>
      <c r="F753" s="4" t="s">
        <v>25</v>
      </c>
      <c r="G753" s="4" t="s">
        <v>25</v>
      </c>
      <c r="H753" s="4" t="s">
        <v>25</v>
      </c>
      <c r="I753" s="5">
        <v>44378</v>
      </c>
      <c r="J753" s="6">
        <v>0</v>
      </c>
      <c r="K753" s="6">
        <v>0</v>
      </c>
      <c r="L753" s="6">
        <v>-20.111000000000001</v>
      </c>
      <c r="M753" s="6">
        <v>-20.111000000000001</v>
      </c>
      <c r="N753" s="6">
        <v>-20.111000000000001</v>
      </c>
      <c r="O753" s="6">
        <v>-20.111000000000001</v>
      </c>
      <c r="P753" s="6">
        <v>-22</v>
      </c>
      <c r="Q753" s="4" t="s">
        <v>26</v>
      </c>
      <c r="R753" s="4">
        <v>0</v>
      </c>
      <c r="S753" s="6">
        <v>0</v>
      </c>
      <c r="T753" s="6">
        <v>11</v>
      </c>
      <c r="U753" s="6">
        <v>46</v>
      </c>
      <c r="V753" s="6">
        <f>IF(ISERROR(VLOOKUP($S$753,'TAR FIN'!$A$1:$O$93,15,0)),0,VLOOKUP($S$753,'TAR FIN'!$A$1:$O$93,15,0))</f>
        <v>0</v>
      </c>
      <c r="W753" s="6">
        <f>IF(ISERROR(VLOOKUP($T$753,'TAR FIN'!$A$1:$O$93,15,0)),0,VLOOKUP($T$753,'TAR FIN'!$A$1:$O$93,15,0))</f>
        <v>272.91000000000003</v>
      </c>
      <c r="X753" s="6">
        <f>IF(ISERROR(VLOOKUP($U$753,'TAR FIN'!$A$1:$O$93,15,0)),0,VLOOKUP($U$753,'TAR FIN'!$A$1:$O$93,15,0))</f>
        <v>185.18</v>
      </c>
      <c r="Y753" s="6"/>
      <c r="Z753" s="6">
        <f ca="1">('TUSD BE'!$AM$24+'TUSD BF'!$AM$24+'TUSD CVA'!$AM$24)*1</f>
        <v>292.16655209139662</v>
      </c>
      <c r="AA753" s="6">
        <f>('TE BE'!$AB$13+'TE BF'!$AB$13+'TE CVA'!$AB$13)*1</f>
        <v>198.18194779658231</v>
      </c>
      <c r="AB753" s="6">
        <f>$K$753*$V$753</f>
        <v>0</v>
      </c>
      <c r="AC753" s="6">
        <f>$M$753*$W$753</f>
        <v>-5488.493010000001</v>
      </c>
      <c r="AD753" s="6">
        <f>$O$753*$X$753</f>
        <v>-3724.1549800000003</v>
      </c>
      <c r="AE753" s="6">
        <f>$K$753*$Y$753</f>
        <v>0</v>
      </c>
      <c r="AF753" s="6">
        <f ca="1">$M$753*$Z$753</f>
        <v>-5875.7615291100774</v>
      </c>
      <c r="AG753" s="6">
        <f>$O$753*$AA$753</f>
        <v>-3985.637152137067</v>
      </c>
    </row>
    <row r="754" spans="1:33" ht="11.25" customHeight="1" x14ac:dyDescent="0.25">
      <c r="A754" s="4" t="s">
        <v>28</v>
      </c>
      <c r="B754" s="4" t="s">
        <v>22</v>
      </c>
      <c r="C754" s="4" t="s">
        <v>23</v>
      </c>
      <c r="D754" s="4" t="s">
        <v>24</v>
      </c>
      <c r="E754" s="4" t="s">
        <v>24</v>
      </c>
      <c r="F754" s="4" t="s">
        <v>25</v>
      </c>
      <c r="G754" s="4" t="s">
        <v>25</v>
      </c>
      <c r="H754" s="4" t="s">
        <v>25</v>
      </c>
      <c r="I754" s="5">
        <v>44378</v>
      </c>
      <c r="J754" s="6">
        <v>0</v>
      </c>
      <c r="K754" s="6">
        <v>0</v>
      </c>
      <c r="L754" s="6">
        <v>40.484000000000002</v>
      </c>
      <c r="M754" s="6">
        <v>40.484000000000002</v>
      </c>
      <c r="N754" s="6">
        <v>40.484000000000002</v>
      </c>
      <c r="O754" s="6">
        <v>40.484000000000002</v>
      </c>
      <c r="P754" s="6">
        <v>219</v>
      </c>
      <c r="Q754" s="4" t="s">
        <v>26</v>
      </c>
      <c r="R754" s="4">
        <v>0</v>
      </c>
      <c r="S754" s="6">
        <v>0</v>
      </c>
      <c r="T754" s="6">
        <v>11</v>
      </c>
      <c r="U754" s="6">
        <v>46</v>
      </c>
      <c r="V754" s="6">
        <f>IF(ISERROR(VLOOKUP($S$754,'TAR FIN'!$A$1:$O$93,15,0)),0,VLOOKUP($S$754,'TAR FIN'!$A$1:$O$93,15,0))</f>
        <v>0</v>
      </c>
      <c r="W754" s="6">
        <f>IF(ISERROR(VLOOKUP($T$754,'TAR FIN'!$A$1:$O$93,15,0)),0,VLOOKUP($T$754,'TAR FIN'!$A$1:$O$93,15,0))</f>
        <v>272.91000000000003</v>
      </c>
      <c r="X754" s="6">
        <f>IF(ISERROR(VLOOKUP($U$754,'TAR FIN'!$A$1:$O$93,15,0)),0,VLOOKUP($U$754,'TAR FIN'!$A$1:$O$93,15,0))</f>
        <v>185.18</v>
      </c>
      <c r="Y754" s="6"/>
      <c r="Z754" s="6">
        <f ca="1">('TUSD BE'!$AM$24+'TUSD BF'!$AM$24+'TUSD CVA'!$AM$24)*1</f>
        <v>292.16655209139662</v>
      </c>
      <c r="AA754" s="6">
        <f>('TE BE'!$AB$13+'TE BF'!$AB$13+'TE CVA'!$AB$13)*1</f>
        <v>198.18194779658231</v>
      </c>
      <c r="AB754" s="6">
        <f>$K$754*$V$754</f>
        <v>0</v>
      </c>
      <c r="AC754" s="6">
        <f>$M$754*$W$754</f>
        <v>11048.488440000001</v>
      </c>
      <c r="AD754" s="6">
        <f>$O$754*$X$754</f>
        <v>7496.8271200000008</v>
      </c>
      <c r="AE754" s="6">
        <f>$K$754*$Y$754</f>
        <v>0</v>
      </c>
      <c r="AF754" s="6">
        <f ca="1">$M$754*$Z$754</f>
        <v>11828.070694868102</v>
      </c>
      <c r="AG754" s="6">
        <f>$O$754*$AA$754</f>
        <v>8023.1979745968383</v>
      </c>
    </row>
    <row r="755" spans="1:33" ht="11.25" customHeight="1" x14ac:dyDescent="0.25">
      <c r="A755" s="4" t="s">
        <v>28</v>
      </c>
      <c r="B755" s="4" t="s">
        <v>22</v>
      </c>
      <c r="C755" s="4" t="s">
        <v>23</v>
      </c>
      <c r="D755" s="4" t="s">
        <v>24</v>
      </c>
      <c r="E755" s="4" t="s">
        <v>24</v>
      </c>
      <c r="F755" s="4" t="s">
        <v>25</v>
      </c>
      <c r="G755" s="4" t="s">
        <v>25</v>
      </c>
      <c r="H755" s="4" t="s">
        <v>25</v>
      </c>
      <c r="I755" s="5">
        <v>44378</v>
      </c>
      <c r="J755" s="6">
        <v>0</v>
      </c>
      <c r="K755" s="6">
        <v>0</v>
      </c>
      <c r="L755" s="6">
        <v>-1.849</v>
      </c>
      <c r="M755" s="6">
        <v>-1.849</v>
      </c>
      <c r="N755" s="6">
        <v>-1.849</v>
      </c>
      <c r="O755" s="6">
        <v>-1.849</v>
      </c>
      <c r="P755" s="6">
        <v>-3</v>
      </c>
      <c r="Q755" s="4" t="s">
        <v>26</v>
      </c>
      <c r="R755" s="4">
        <v>0</v>
      </c>
      <c r="S755" s="6">
        <v>0</v>
      </c>
      <c r="T755" s="6">
        <v>11</v>
      </c>
      <c r="U755" s="6">
        <v>46</v>
      </c>
      <c r="V755" s="6">
        <f>IF(ISERROR(VLOOKUP($S$755,'TAR FIN'!$A$1:$O$93,15,0)),0,VLOOKUP($S$755,'TAR FIN'!$A$1:$O$93,15,0))</f>
        <v>0</v>
      </c>
      <c r="W755" s="6">
        <f>IF(ISERROR(VLOOKUP($T$755,'TAR FIN'!$A$1:$O$93,15,0)),0,VLOOKUP($T$755,'TAR FIN'!$A$1:$O$93,15,0))</f>
        <v>272.91000000000003</v>
      </c>
      <c r="X755" s="6">
        <f>IF(ISERROR(VLOOKUP($U$755,'TAR FIN'!$A$1:$O$93,15,0)),0,VLOOKUP($U$755,'TAR FIN'!$A$1:$O$93,15,0))</f>
        <v>185.18</v>
      </c>
      <c r="Y755" s="6"/>
      <c r="Z755" s="6">
        <f ca="1">('TUSD BE'!$AM$24+'TUSD BF'!$AM$24+'TUSD CVA'!$AM$24)*1</f>
        <v>292.16655209139662</v>
      </c>
      <c r="AA755" s="6">
        <f>('TE BE'!$AB$13+'TE BF'!$AB$13+'TE CVA'!$AB$13)*1</f>
        <v>198.18194779658231</v>
      </c>
      <c r="AB755" s="6">
        <f>$K$755*$V$755</f>
        <v>0</v>
      </c>
      <c r="AC755" s="6">
        <f>$M$755*$W$755</f>
        <v>-504.61059000000006</v>
      </c>
      <c r="AD755" s="6">
        <f>$O$755*$X$755</f>
        <v>-342.39782000000002</v>
      </c>
      <c r="AE755" s="6">
        <f>$K$755*$Y$755</f>
        <v>0</v>
      </c>
      <c r="AF755" s="6">
        <f ca="1">$M$755*$Z$755</f>
        <v>-540.21595481699239</v>
      </c>
      <c r="AG755" s="6">
        <f>$O$755*$AA$755</f>
        <v>-366.43842147588066</v>
      </c>
    </row>
    <row r="756" spans="1:33" ht="11.25" customHeight="1" x14ac:dyDescent="0.25">
      <c r="A756" s="4" t="s">
        <v>21</v>
      </c>
      <c r="B756" s="4" t="s">
        <v>22</v>
      </c>
      <c r="C756" s="4" t="s">
        <v>23</v>
      </c>
      <c r="D756" s="4" t="s">
        <v>24</v>
      </c>
      <c r="E756" s="4" t="s">
        <v>24</v>
      </c>
      <c r="F756" s="4" t="s">
        <v>25</v>
      </c>
      <c r="G756" s="4" t="s">
        <v>25</v>
      </c>
      <c r="H756" s="4" t="s">
        <v>25</v>
      </c>
      <c r="I756" s="5">
        <v>44409</v>
      </c>
      <c r="J756" s="6">
        <v>0</v>
      </c>
      <c r="K756" s="6">
        <v>0</v>
      </c>
      <c r="L756" s="6">
        <v>2008.0830000000001</v>
      </c>
      <c r="M756" s="6">
        <v>2008.0830000000001</v>
      </c>
      <c r="N756" s="6">
        <v>2008.0830000000001</v>
      </c>
      <c r="O756" s="6">
        <v>2008.0830000000001</v>
      </c>
      <c r="P756" s="6">
        <v>11759</v>
      </c>
      <c r="Q756" s="4" t="s">
        <v>26</v>
      </c>
      <c r="R756" s="4">
        <v>0</v>
      </c>
      <c r="S756" s="6">
        <v>0</v>
      </c>
      <c r="T756" s="6">
        <v>11</v>
      </c>
      <c r="U756" s="6">
        <v>46</v>
      </c>
      <c r="V756" s="6">
        <f>IF(ISERROR(VLOOKUP($S$756,'TAR FIN'!$A$1:$O$93,15,0)),0,VLOOKUP($S$756,'TAR FIN'!$A$1:$O$93,15,0))</f>
        <v>0</v>
      </c>
      <c r="W756" s="6">
        <f>IF(ISERROR(VLOOKUP($T$756,'TAR FIN'!$A$1:$O$93,15,0)),0,VLOOKUP($T$756,'TAR FIN'!$A$1:$O$93,15,0))</f>
        <v>272.91000000000003</v>
      </c>
      <c r="X756" s="6">
        <f>IF(ISERROR(VLOOKUP($U$756,'TAR FIN'!$A$1:$O$93,15,0)),0,VLOOKUP($U$756,'TAR FIN'!$A$1:$O$93,15,0))</f>
        <v>185.18</v>
      </c>
      <c r="Y756" s="6"/>
      <c r="Z756" s="6">
        <f ca="1">('TUSD BE'!$AM$24+'TUSD BF'!$AM$24+'TUSD CVA'!$AM$24)*1</f>
        <v>292.16655209139662</v>
      </c>
      <c r="AA756" s="6">
        <f>('TE BE'!$AB$13+'TE BF'!$AB$13+'TE CVA'!$AB$13)*1</f>
        <v>198.18194779658231</v>
      </c>
      <c r="AB756" s="6">
        <f>$K$756*$V$756</f>
        <v>0</v>
      </c>
      <c r="AC756" s="6">
        <f>$M$756*$W$756</f>
        <v>548025.93153000006</v>
      </c>
      <c r="AD756" s="6">
        <f>$O$756*$X$756</f>
        <v>371856.80994000001</v>
      </c>
      <c r="AE756" s="6">
        <f>$K$756*$Y$756</f>
        <v>0</v>
      </c>
      <c r="AF756" s="6">
        <f ca="1">$M$756*$Z$756</f>
        <v>586694.68642334803</v>
      </c>
      <c r="AG756" s="6">
        <f>$O$756*$AA$756</f>
        <v>397965.80027720443</v>
      </c>
    </row>
    <row r="757" spans="1:33" ht="11.25" customHeight="1" x14ac:dyDescent="0.25">
      <c r="A757" s="4" t="s">
        <v>27</v>
      </c>
      <c r="B757" s="4" t="s">
        <v>22</v>
      </c>
      <c r="C757" s="4" t="s">
        <v>23</v>
      </c>
      <c r="D757" s="4" t="s">
        <v>24</v>
      </c>
      <c r="E757" s="4" t="s">
        <v>24</v>
      </c>
      <c r="F757" s="4" t="s">
        <v>25</v>
      </c>
      <c r="G757" s="4" t="s">
        <v>25</v>
      </c>
      <c r="H757" s="4" t="s">
        <v>25</v>
      </c>
      <c r="I757" s="5">
        <v>44409</v>
      </c>
      <c r="J757" s="6">
        <v>0</v>
      </c>
      <c r="K757" s="6">
        <v>0</v>
      </c>
      <c r="L757" s="6">
        <v>-2.7269999999999999</v>
      </c>
      <c r="M757" s="6">
        <v>-2.7269999999999999</v>
      </c>
      <c r="N757" s="6">
        <v>-2.7269999999999999</v>
      </c>
      <c r="O757" s="6">
        <v>-2.7269999999999999</v>
      </c>
      <c r="P757" s="6">
        <v>-23</v>
      </c>
      <c r="Q757" s="4" t="s">
        <v>26</v>
      </c>
      <c r="R757" s="4">
        <v>0</v>
      </c>
      <c r="S757" s="6">
        <v>0</v>
      </c>
      <c r="T757" s="6">
        <v>11</v>
      </c>
      <c r="U757" s="6">
        <v>46</v>
      </c>
      <c r="V757" s="6">
        <f>IF(ISERROR(VLOOKUP($S$757,'TAR FIN'!$A$1:$O$93,15,0)),0,VLOOKUP($S$757,'TAR FIN'!$A$1:$O$93,15,0))</f>
        <v>0</v>
      </c>
      <c r="W757" s="6">
        <f>IF(ISERROR(VLOOKUP($T$757,'TAR FIN'!$A$1:$O$93,15,0)),0,VLOOKUP($T$757,'TAR FIN'!$A$1:$O$93,15,0))</f>
        <v>272.91000000000003</v>
      </c>
      <c r="X757" s="6">
        <f>IF(ISERROR(VLOOKUP($U$757,'TAR FIN'!$A$1:$O$93,15,0)),0,VLOOKUP($U$757,'TAR FIN'!$A$1:$O$93,15,0))</f>
        <v>185.18</v>
      </c>
      <c r="Y757" s="6"/>
      <c r="Z757" s="6">
        <f ca="1">('TUSD BE'!$AM$24+'TUSD BF'!$AM$24+'TUSD CVA'!$AM$24)*1</f>
        <v>292.16655209139662</v>
      </c>
      <c r="AA757" s="6">
        <f>('TE BE'!$AB$13+'TE BF'!$AB$13+'TE CVA'!$AB$13)*1</f>
        <v>198.18194779658231</v>
      </c>
      <c r="AB757" s="6">
        <f>$K$757*$V$757</f>
        <v>0</v>
      </c>
      <c r="AC757" s="6">
        <f>$M$757*$W$757</f>
        <v>-744.22557000000006</v>
      </c>
      <c r="AD757" s="6">
        <f>$O$757*$X$757</f>
        <v>-504.98586</v>
      </c>
      <c r="AE757" s="6">
        <f>$K$757*$Y$757</f>
        <v>0</v>
      </c>
      <c r="AF757" s="6">
        <f ca="1">$M$757*$Z$757</f>
        <v>-796.7381875532385</v>
      </c>
      <c r="AG757" s="6">
        <f>$O$757*$AA$757</f>
        <v>-540.44217164127997</v>
      </c>
    </row>
    <row r="758" spans="1:33" ht="11.25" customHeight="1" x14ac:dyDescent="0.25">
      <c r="A758" s="4" t="s">
        <v>28</v>
      </c>
      <c r="B758" s="4" t="s">
        <v>22</v>
      </c>
      <c r="C758" s="4" t="s">
        <v>23</v>
      </c>
      <c r="D758" s="4" t="s">
        <v>24</v>
      </c>
      <c r="E758" s="4" t="s">
        <v>24</v>
      </c>
      <c r="F758" s="4" t="s">
        <v>25</v>
      </c>
      <c r="G758" s="4" t="s">
        <v>25</v>
      </c>
      <c r="H758" s="4" t="s">
        <v>25</v>
      </c>
      <c r="I758" s="5">
        <v>44409</v>
      </c>
      <c r="J758" s="6">
        <v>0</v>
      </c>
      <c r="K758" s="6">
        <v>0</v>
      </c>
      <c r="L758" s="6">
        <v>32.497</v>
      </c>
      <c r="M758" s="6">
        <v>32.497</v>
      </c>
      <c r="N758" s="6">
        <v>32.497</v>
      </c>
      <c r="O758" s="6">
        <v>32.497</v>
      </c>
      <c r="P758" s="6">
        <v>223</v>
      </c>
      <c r="Q758" s="4" t="s">
        <v>26</v>
      </c>
      <c r="R758" s="4">
        <v>0</v>
      </c>
      <c r="S758" s="6">
        <v>0</v>
      </c>
      <c r="T758" s="6">
        <v>11</v>
      </c>
      <c r="U758" s="6">
        <v>46</v>
      </c>
      <c r="V758" s="6">
        <f>IF(ISERROR(VLOOKUP($S$758,'TAR FIN'!$A$1:$O$93,15,0)),0,VLOOKUP($S$758,'TAR FIN'!$A$1:$O$93,15,0))</f>
        <v>0</v>
      </c>
      <c r="W758" s="6">
        <f>IF(ISERROR(VLOOKUP($T$758,'TAR FIN'!$A$1:$O$93,15,0)),0,VLOOKUP($T$758,'TAR FIN'!$A$1:$O$93,15,0))</f>
        <v>272.91000000000003</v>
      </c>
      <c r="X758" s="6">
        <f>IF(ISERROR(VLOOKUP($U$758,'TAR FIN'!$A$1:$O$93,15,0)),0,VLOOKUP($U$758,'TAR FIN'!$A$1:$O$93,15,0))</f>
        <v>185.18</v>
      </c>
      <c r="Y758" s="6"/>
      <c r="Z758" s="6">
        <f ca="1">('TUSD BE'!$AM$24+'TUSD BF'!$AM$24+'TUSD CVA'!$AM$24)*1</f>
        <v>292.16655209139662</v>
      </c>
      <c r="AA758" s="6">
        <f>('TE BE'!$AB$13+'TE BF'!$AB$13+'TE CVA'!$AB$13)*1</f>
        <v>198.18194779658231</v>
      </c>
      <c r="AB758" s="6">
        <f>$K$758*$V$758</f>
        <v>0</v>
      </c>
      <c r="AC758" s="6">
        <f>$M$758*$W$758</f>
        <v>8868.7562700000017</v>
      </c>
      <c r="AD758" s="6">
        <f>$O$758*$X$758</f>
        <v>6017.7944600000001</v>
      </c>
      <c r="AE758" s="6">
        <f>$K$758*$Y$758</f>
        <v>0</v>
      </c>
      <c r="AF758" s="6">
        <f ca="1">$M$758*$Z$758</f>
        <v>9494.5364433141167</v>
      </c>
      <c r="AG758" s="6">
        <f>$O$758*$AA$758</f>
        <v>6440.3187575455349</v>
      </c>
    </row>
    <row r="759" spans="1:33" ht="11.25" customHeight="1" x14ac:dyDescent="0.25">
      <c r="A759" s="4" t="s">
        <v>28</v>
      </c>
      <c r="B759" s="4" t="s">
        <v>22</v>
      </c>
      <c r="C759" s="4" t="s">
        <v>23</v>
      </c>
      <c r="D759" s="4" t="s">
        <v>24</v>
      </c>
      <c r="E759" s="4" t="s">
        <v>24</v>
      </c>
      <c r="F759" s="4" t="s">
        <v>25</v>
      </c>
      <c r="G759" s="4" t="s">
        <v>25</v>
      </c>
      <c r="H759" s="4" t="s">
        <v>25</v>
      </c>
      <c r="I759" s="5">
        <v>44409</v>
      </c>
      <c r="J759" s="6">
        <v>0</v>
      </c>
      <c r="K759" s="6">
        <v>0</v>
      </c>
      <c r="L759" s="6">
        <v>-0.54500000000000004</v>
      </c>
      <c r="M759" s="6">
        <v>-0.54500000000000004</v>
      </c>
      <c r="N759" s="6">
        <v>-0.54500000000000004</v>
      </c>
      <c r="O759" s="6">
        <v>-0.54500000000000004</v>
      </c>
      <c r="P759" s="6">
        <v>-1</v>
      </c>
      <c r="Q759" s="4" t="s">
        <v>26</v>
      </c>
      <c r="R759" s="4">
        <v>0</v>
      </c>
      <c r="S759" s="6">
        <v>0</v>
      </c>
      <c r="T759" s="6">
        <v>11</v>
      </c>
      <c r="U759" s="6">
        <v>46</v>
      </c>
      <c r="V759" s="6">
        <f>IF(ISERROR(VLOOKUP($S$759,'TAR FIN'!$A$1:$O$93,15,0)),0,VLOOKUP($S$759,'TAR FIN'!$A$1:$O$93,15,0))</f>
        <v>0</v>
      </c>
      <c r="W759" s="6">
        <f>IF(ISERROR(VLOOKUP($T$759,'TAR FIN'!$A$1:$O$93,15,0)),0,VLOOKUP($T$759,'TAR FIN'!$A$1:$O$93,15,0))</f>
        <v>272.91000000000003</v>
      </c>
      <c r="X759" s="6">
        <f>IF(ISERROR(VLOOKUP($U$759,'TAR FIN'!$A$1:$O$93,15,0)),0,VLOOKUP($U$759,'TAR FIN'!$A$1:$O$93,15,0))</f>
        <v>185.18</v>
      </c>
      <c r="Y759" s="6"/>
      <c r="Z759" s="6">
        <f ca="1">('TUSD BE'!$AM$24+'TUSD BF'!$AM$24+'TUSD CVA'!$AM$24)*1</f>
        <v>292.16655209139662</v>
      </c>
      <c r="AA759" s="6">
        <f>('TE BE'!$AB$13+'TE BF'!$AB$13+'TE CVA'!$AB$13)*1</f>
        <v>198.18194779658231</v>
      </c>
      <c r="AB759" s="6">
        <f>$K$759*$V$759</f>
        <v>0</v>
      </c>
      <c r="AC759" s="6">
        <f>$M$759*$W$759</f>
        <v>-148.73595000000003</v>
      </c>
      <c r="AD759" s="6">
        <f>$O$759*$X$759</f>
        <v>-100.92310000000001</v>
      </c>
      <c r="AE759" s="6">
        <f>$K$759*$Y$759</f>
        <v>0</v>
      </c>
      <c r="AF759" s="6">
        <f ca="1">$M$759*$Z$759</f>
        <v>-159.23077088981117</v>
      </c>
      <c r="AG759" s="6">
        <f>$O$759*$AA$759</f>
        <v>-108.00916154913736</v>
      </c>
    </row>
    <row r="760" spans="1:33" ht="11.25" customHeight="1" x14ac:dyDescent="0.25">
      <c r="A760" s="4" t="s">
        <v>21</v>
      </c>
      <c r="B760" s="4" t="s">
        <v>22</v>
      </c>
      <c r="C760" s="4" t="s">
        <v>23</v>
      </c>
      <c r="D760" s="4" t="s">
        <v>24</v>
      </c>
      <c r="E760" s="4" t="s">
        <v>24</v>
      </c>
      <c r="F760" s="4" t="s">
        <v>25</v>
      </c>
      <c r="G760" s="4" t="s">
        <v>25</v>
      </c>
      <c r="H760" s="4" t="s">
        <v>25</v>
      </c>
      <c r="I760" s="5">
        <v>44440</v>
      </c>
      <c r="J760" s="6">
        <v>0</v>
      </c>
      <c r="K760" s="6">
        <v>0</v>
      </c>
      <c r="L760" s="6">
        <v>1948.9069999999999</v>
      </c>
      <c r="M760" s="6">
        <v>1948.9069999999999</v>
      </c>
      <c r="N760" s="6">
        <v>1948.9069999999999</v>
      </c>
      <c r="O760" s="6">
        <v>1948.9069999999999</v>
      </c>
      <c r="P760" s="6">
        <v>11789</v>
      </c>
      <c r="Q760" s="4" t="s">
        <v>26</v>
      </c>
      <c r="R760" s="4">
        <v>0</v>
      </c>
      <c r="S760" s="6">
        <v>0</v>
      </c>
      <c r="T760" s="6">
        <v>11</v>
      </c>
      <c r="U760" s="6">
        <v>46</v>
      </c>
      <c r="V760" s="6">
        <f>IF(ISERROR(VLOOKUP($S$760,'TAR FIN'!$A$1:$O$93,15,0)),0,VLOOKUP($S$760,'TAR FIN'!$A$1:$O$93,15,0))</f>
        <v>0</v>
      </c>
      <c r="W760" s="6">
        <f>IF(ISERROR(VLOOKUP($T$760,'TAR FIN'!$A$1:$O$93,15,0)),0,VLOOKUP($T$760,'TAR FIN'!$A$1:$O$93,15,0))</f>
        <v>272.91000000000003</v>
      </c>
      <c r="X760" s="6">
        <f>IF(ISERROR(VLOOKUP($U$760,'TAR FIN'!$A$1:$O$93,15,0)),0,VLOOKUP($U$760,'TAR FIN'!$A$1:$O$93,15,0))</f>
        <v>185.18</v>
      </c>
      <c r="Y760" s="6"/>
      <c r="Z760" s="6">
        <f ca="1">('TUSD BE'!$AM$24+'TUSD BF'!$AM$24+'TUSD CVA'!$AM$24)*1</f>
        <v>292.16655209139662</v>
      </c>
      <c r="AA760" s="6">
        <f>('TE BE'!$AB$13+'TE BF'!$AB$13+'TE CVA'!$AB$13)*1</f>
        <v>198.18194779658231</v>
      </c>
      <c r="AB760" s="6">
        <f>$K$760*$V$760</f>
        <v>0</v>
      </c>
      <c r="AC760" s="6">
        <f>$M$760*$W$760</f>
        <v>531876.20937000006</v>
      </c>
      <c r="AD760" s="6">
        <f>$O$760*$X$760</f>
        <v>360898.59826</v>
      </c>
      <c r="AE760" s="6">
        <f>$K$760*$Y$760</f>
        <v>0</v>
      </c>
      <c r="AF760" s="6">
        <f ca="1">$M$760*$Z$760</f>
        <v>569405.43853678752</v>
      </c>
      <c r="AG760" s="6">
        <f>$O$760*$AA$760</f>
        <v>386238.18533439381</v>
      </c>
    </row>
    <row r="761" spans="1:33" ht="11.25" customHeight="1" x14ac:dyDescent="0.25">
      <c r="A761" s="4" t="s">
        <v>27</v>
      </c>
      <c r="B761" s="4" t="s">
        <v>22</v>
      </c>
      <c r="C761" s="4" t="s">
        <v>23</v>
      </c>
      <c r="D761" s="4" t="s">
        <v>24</v>
      </c>
      <c r="E761" s="4" t="s">
        <v>24</v>
      </c>
      <c r="F761" s="4" t="s">
        <v>25</v>
      </c>
      <c r="G761" s="4" t="s">
        <v>25</v>
      </c>
      <c r="H761" s="4" t="s">
        <v>25</v>
      </c>
      <c r="I761" s="5">
        <v>44440</v>
      </c>
      <c r="J761" s="6">
        <v>0</v>
      </c>
      <c r="K761" s="6">
        <v>0</v>
      </c>
      <c r="L761" s="6">
        <v>-3.3140000000000001</v>
      </c>
      <c r="M761" s="6">
        <v>-3.3140000000000001</v>
      </c>
      <c r="N761" s="6">
        <v>-3.3140000000000001</v>
      </c>
      <c r="O761" s="6">
        <v>-3.3140000000000001</v>
      </c>
      <c r="P761" s="6">
        <v>-16</v>
      </c>
      <c r="Q761" s="4" t="s">
        <v>26</v>
      </c>
      <c r="R761" s="4">
        <v>0</v>
      </c>
      <c r="S761" s="6">
        <v>0</v>
      </c>
      <c r="T761" s="6">
        <v>11</v>
      </c>
      <c r="U761" s="6">
        <v>46</v>
      </c>
      <c r="V761" s="6">
        <f>IF(ISERROR(VLOOKUP($S$761,'TAR FIN'!$A$1:$O$93,15,0)),0,VLOOKUP($S$761,'TAR FIN'!$A$1:$O$93,15,0))</f>
        <v>0</v>
      </c>
      <c r="W761" s="6">
        <f>IF(ISERROR(VLOOKUP($T$761,'TAR FIN'!$A$1:$O$93,15,0)),0,VLOOKUP($T$761,'TAR FIN'!$A$1:$O$93,15,0))</f>
        <v>272.91000000000003</v>
      </c>
      <c r="X761" s="6">
        <f>IF(ISERROR(VLOOKUP($U$761,'TAR FIN'!$A$1:$O$93,15,0)),0,VLOOKUP($U$761,'TAR FIN'!$A$1:$O$93,15,0))</f>
        <v>185.18</v>
      </c>
      <c r="Y761" s="6"/>
      <c r="Z761" s="6">
        <f ca="1">('TUSD BE'!$AM$24+'TUSD BF'!$AM$24+'TUSD CVA'!$AM$24)*1</f>
        <v>292.16655209139662</v>
      </c>
      <c r="AA761" s="6">
        <f>('TE BE'!$AB$13+'TE BF'!$AB$13+'TE CVA'!$AB$13)*1</f>
        <v>198.18194779658231</v>
      </c>
      <c r="AB761" s="6">
        <f>$K$761*$V$761</f>
        <v>0</v>
      </c>
      <c r="AC761" s="6">
        <f>$M$761*$W$761</f>
        <v>-904.42374000000007</v>
      </c>
      <c r="AD761" s="6">
        <f>$O$761*$X$761</f>
        <v>-613.68652000000009</v>
      </c>
      <c r="AE761" s="6">
        <f>$K$761*$Y$761</f>
        <v>0</v>
      </c>
      <c r="AF761" s="6">
        <f ca="1">$M$761*$Z$761</f>
        <v>-968.23995363088841</v>
      </c>
      <c r="AG761" s="6">
        <f>$O$761*$AA$761</f>
        <v>-656.77497499787376</v>
      </c>
    </row>
    <row r="762" spans="1:33" ht="11.25" customHeight="1" x14ac:dyDescent="0.25">
      <c r="A762" s="4" t="s">
        <v>28</v>
      </c>
      <c r="B762" s="4" t="s">
        <v>22</v>
      </c>
      <c r="C762" s="4" t="s">
        <v>23</v>
      </c>
      <c r="D762" s="4" t="s">
        <v>24</v>
      </c>
      <c r="E762" s="4" t="s">
        <v>24</v>
      </c>
      <c r="F762" s="4" t="s">
        <v>25</v>
      </c>
      <c r="G762" s="4" t="s">
        <v>25</v>
      </c>
      <c r="H762" s="4" t="s">
        <v>25</v>
      </c>
      <c r="I762" s="5">
        <v>44440</v>
      </c>
      <c r="J762" s="6">
        <v>0</v>
      </c>
      <c r="K762" s="6">
        <v>0</v>
      </c>
      <c r="L762" s="6">
        <v>27.757999999999999</v>
      </c>
      <c r="M762" s="6">
        <v>27.757999999999999</v>
      </c>
      <c r="N762" s="6">
        <v>27.757999999999999</v>
      </c>
      <c r="O762" s="6">
        <v>27.757999999999999</v>
      </c>
      <c r="P762" s="6">
        <v>239</v>
      </c>
      <c r="Q762" s="4" t="s">
        <v>26</v>
      </c>
      <c r="R762" s="4">
        <v>0</v>
      </c>
      <c r="S762" s="6">
        <v>0</v>
      </c>
      <c r="T762" s="6">
        <v>11</v>
      </c>
      <c r="U762" s="6">
        <v>46</v>
      </c>
      <c r="V762" s="6">
        <f>IF(ISERROR(VLOOKUP($S$762,'TAR FIN'!$A$1:$O$93,15,0)),0,VLOOKUP($S$762,'TAR FIN'!$A$1:$O$93,15,0))</f>
        <v>0</v>
      </c>
      <c r="W762" s="6">
        <f>IF(ISERROR(VLOOKUP($T$762,'TAR FIN'!$A$1:$O$93,15,0)),0,VLOOKUP($T$762,'TAR FIN'!$A$1:$O$93,15,0))</f>
        <v>272.91000000000003</v>
      </c>
      <c r="X762" s="6">
        <f>IF(ISERROR(VLOOKUP($U$762,'TAR FIN'!$A$1:$O$93,15,0)),0,VLOOKUP($U$762,'TAR FIN'!$A$1:$O$93,15,0))</f>
        <v>185.18</v>
      </c>
      <c r="Y762" s="6"/>
      <c r="Z762" s="6">
        <f ca="1">('TUSD BE'!$AM$24+'TUSD BF'!$AM$24+'TUSD CVA'!$AM$24)*1</f>
        <v>292.16655209139662</v>
      </c>
      <c r="AA762" s="6">
        <f>('TE BE'!$AB$13+'TE BF'!$AB$13+'TE CVA'!$AB$13)*1</f>
        <v>198.18194779658231</v>
      </c>
      <c r="AB762" s="6">
        <f>$K$762*$V$762</f>
        <v>0</v>
      </c>
      <c r="AC762" s="6">
        <f>$M$762*$W$762</f>
        <v>7575.4357800000007</v>
      </c>
      <c r="AD762" s="6">
        <f>$O$762*$X$762</f>
        <v>5140.2264400000004</v>
      </c>
      <c r="AE762" s="6">
        <f>$K$762*$Y$762</f>
        <v>0</v>
      </c>
      <c r="AF762" s="6">
        <f ca="1">$M$762*$Z$762</f>
        <v>8109.9591529529871</v>
      </c>
      <c r="AG762" s="6">
        <f>$O$762*$AA$762</f>
        <v>5501.1345069375311</v>
      </c>
    </row>
    <row r="763" spans="1:33" ht="11.25" customHeight="1" x14ac:dyDescent="0.25">
      <c r="A763" s="4" t="s">
        <v>28</v>
      </c>
      <c r="B763" s="4" t="s">
        <v>22</v>
      </c>
      <c r="C763" s="4" t="s">
        <v>23</v>
      </c>
      <c r="D763" s="4" t="s">
        <v>24</v>
      </c>
      <c r="E763" s="4" t="s">
        <v>24</v>
      </c>
      <c r="F763" s="4" t="s">
        <v>25</v>
      </c>
      <c r="G763" s="4" t="s">
        <v>25</v>
      </c>
      <c r="H763" s="4" t="s">
        <v>25</v>
      </c>
      <c r="I763" s="5">
        <v>44440</v>
      </c>
      <c r="J763" s="6">
        <v>0</v>
      </c>
      <c r="K763" s="6">
        <v>0</v>
      </c>
      <c r="L763" s="6">
        <v>-6.7779999999999996</v>
      </c>
      <c r="M763" s="6">
        <v>-6.7779999999999996</v>
      </c>
      <c r="N763" s="6">
        <v>-6.7779999999999996</v>
      </c>
      <c r="O763" s="6">
        <v>-6.7779999999999996</v>
      </c>
      <c r="P763" s="6">
        <v>0</v>
      </c>
      <c r="Q763" s="4" t="s">
        <v>26</v>
      </c>
      <c r="R763" s="4">
        <v>0</v>
      </c>
      <c r="S763" s="6">
        <v>0</v>
      </c>
      <c r="T763" s="6">
        <v>11</v>
      </c>
      <c r="U763" s="6">
        <v>46</v>
      </c>
      <c r="V763" s="6">
        <f>IF(ISERROR(VLOOKUP($S$763,'TAR FIN'!$A$1:$O$93,15,0)),0,VLOOKUP($S$763,'TAR FIN'!$A$1:$O$93,15,0))</f>
        <v>0</v>
      </c>
      <c r="W763" s="6">
        <f>IF(ISERROR(VLOOKUP($T$763,'TAR FIN'!$A$1:$O$93,15,0)),0,VLOOKUP($T$763,'TAR FIN'!$A$1:$O$93,15,0))</f>
        <v>272.91000000000003</v>
      </c>
      <c r="X763" s="6">
        <f>IF(ISERROR(VLOOKUP($U$763,'TAR FIN'!$A$1:$O$93,15,0)),0,VLOOKUP($U$763,'TAR FIN'!$A$1:$O$93,15,0))</f>
        <v>185.18</v>
      </c>
      <c r="Y763" s="6"/>
      <c r="Z763" s="6">
        <f ca="1">('TUSD BE'!$AM$24+'TUSD BF'!$AM$24+'TUSD CVA'!$AM$24)*1</f>
        <v>292.16655209139662</v>
      </c>
      <c r="AA763" s="6">
        <f>('TE BE'!$AB$13+'TE BF'!$AB$13+'TE CVA'!$AB$13)*1</f>
        <v>198.18194779658231</v>
      </c>
      <c r="AB763" s="6">
        <f>$K$763*$V$763</f>
        <v>0</v>
      </c>
      <c r="AC763" s="6">
        <f>$M$763*$W$763</f>
        <v>-1849.7839800000002</v>
      </c>
      <c r="AD763" s="6">
        <f>$O$763*$X$763</f>
        <v>-1255.15004</v>
      </c>
      <c r="AE763" s="6">
        <f>$K$763*$Y$763</f>
        <v>0</v>
      </c>
      <c r="AF763" s="6">
        <f ca="1">$M$763*$Z$763</f>
        <v>-1980.3048900754861</v>
      </c>
      <c r="AG763" s="6">
        <f>$O$763*$AA$763</f>
        <v>-1343.2772421652348</v>
      </c>
    </row>
    <row r="764" spans="1:33" ht="11.25" customHeight="1" x14ac:dyDescent="0.25">
      <c r="A764" s="4" t="s">
        <v>21</v>
      </c>
      <c r="B764" s="4" t="s">
        <v>22</v>
      </c>
      <c r="C764" s="4" t="s">
        <v>23</v>
      </c>
      <c r="D764" s="4" t="s">
        <v>24</v>
      </c>
      <c r="E764" s="4" t="s">
        <v>24</v>
      </c>
      <c r="F764" s="4" t="s">
        <v>25</v>
      </c>
      <c r="G764" s="4" t="s">
        <v>25</v>
      </c>
      <c r="H764" s="4" t="s">
        <v>25</v>
      </c>
      <c r="I764" s="5">
        <v>44470</v>
      </c>
      <c r="J764" s="6">
        <v>0</v>
      </c>
      <c r="K764" s="6">
        <v>0</v>
      </c>
      <c r="L764" s="6">
        <v>1869.463</v>
      </c>
      <c r="M764" s="6">
        <v>1869.463</v>
      </c>
      <c r="N764" s="6">
        <v>1869.463</v>
      </c>
      <c r="O764" s="6">
        <v>1869.463</v>
      </c>
      <c r="P764" s="6">
        <v>11866</v>
      </c>
      <c r="Q764" s="4" t="s">
        <v>26</v>
      </c>
      <c r="R764" s="4">
        <v>0</v>
      </c>
      <c r="S764" s="6">
        <v>0</v>
      </c>
      <c r="T764" s="6">
        <v>11</v>
      </c>
      <c r="U764" s="6">
        <v>46</v>
      </c>
      <c r="V764" s="6">
        <f>IF(ISERROR(VLOOKUP($S$764,'TAR FIN'!$A$1:$O$93,15,0)),0,VLOOKUP($S$764,'TAR FIN'!$A$1:$O$93,15,0))</f>
        <v>0</v>
      </c>
      <c r="W764" s="6">
        <f>IF(ISERROR(VLOOKUP($T$764,'TAR FIN'!$A$1:$O$93,15,0)),0,VLOOKUP($T$764,'TAR FIN'!$A$1:$O$93,15,0))</f>
        <v>272.91000000000003</v>
      </c>
      <c r="X764" s="6">
        <f>IF(ISERROR(VLOOKUP($U$764,'TAR FIN'!$A$1:$O$93,15,0)),0,VLOOKUP($U$764,'TAR FIN'!$A$1:$O$93,15,0))</f>
        <v>185.18</v>
      </c>
      <c r="Y764" s="6"/>
      <c r="Z764" s="6">
        <f ca="1">('TUSD BE'!$AM$24+'TUSD BF'!$AM$24+'TUSD CVA'!$AM$24)*1</f>
        <v>292.16655209139662</v>
      </c>
      <c r="AA764" s="6">
        <f>('TE BE'!$AB$13+'TE BF'!$AB$13+'TE CVA'!$AB$13)*1</f>
        <v>198.18194779658231</v>
      </c>
      <c r="AB764" s="6">
        <f>$K$764*$V$764</f>
        <v>0</v>
      </c>
      <c r="AC764" s="6">
        <f>$M$764*$W$764</f>
        <v>510195.14733000007</v>
      </c>
      <c r="AD764" s="6">
        <f>$O$764*$X$764</f>
        <v>346187.15834000002</v>
      </c>
      <c r="AE764" s="6">
        <f>$K$764*$Y$764</f>
        <v>0</v>
      </c>
      <c r="AF764" s="6">
        <f ca="1">$M$764*$Z$764</f>
        <v>546194.55897243856</v>
      </c>
      <c r="AG764" s="6">
        <f>$O$764*$AA$764</f>
        <v>370493.81867364212</v>
      </c>
    </row>
    <row r="765" spans="1:33" ht="11.25" customHeight="1" x14ac:dyDescent="0.25">
      <c r="A765" s="4" t="s">
        <v>27</v>
      </c>
      <c r="B765" s="4" t="s">
        <v>22</v>
      </c>
      <c r="C765" s="4" t="s">
        <v>23</v>
      </c>
      <c r="D765" s="4" t="s">
        <v>24</v>
      </c>
      <c r="E765" s="4" t="s">
        <v>24</v>
      </c>
      <c r="F765" s="4" t="s">
        <v>25</v>
      </c>
      <c r="G765" s="4" t="s">
        <v>25</v>
      </c>
      <c r="H765" s="4" t="s">
        <v>25</v>
      </c>
      <c r="I765" s="5">
        <v>44470</v>
      </c>
      <c r="J765" s="6">
        <v>0</v>
      </c>
      <c r="K765" s="6">
        <v>0</v>
      </c>
      <c r="L765" s="6">
        <v>-5.8220000000000001</v>
      </c>
      <c r="M765" s="6">
        <v>-5.8220000000000001</v>
      </c>
      <c r="N765" s="6">
        <v>-5.8220000000000001</v>
      </c>
      <c r="O765" s="6">
        <v>-5.8220000000000001</v>
      </c>
      <c r="P765" s="6">
        <v>-24</v>
      </c>
      <c r="Q765" s="4" t="s">
        <v>26</v>
      </c>
      <c r="R765" s="4">
        <v>0</v>
      </c>
      <c r="S765" s="6">
        <v>0</v>
      </c>
      <c r="T765" s="6">
        <v>11</v>
      </c>
      <c r="U765" s="6">
        <v>46</v>
      </c>
      <c r="V765" s="6">
        <f>IF(ISERROR(VLOOKUP($S$765,'TAR FIN'!$A$1:$O$93,15,0)),0,VLOOKUP($S$765,'TAR FIN'!$A$1:$O$93,15,0))</f>
        <v>0</v>
      </c>
      <c r="W765" s="6">
        <f>IF(ISERROR(VLOOKUP($T$765,'TAR FIN'!$A$1:$O$93,15,0)),0,VLOOKUP($T$765,'TAR FIN'!$A$1:$O$93,15,0))</f>
        <v>272.91000000000003</v>
      </c>
      <c r="X765" s="6">
        <f>IF(ISERROR(VLOOKUP($U$765,'TAR FIN'!$A$1:$O$93,15,0)),0,VLOOKUP($U$765,'TAR FIN'!$A$1:$O$93,15,0))</f>
        <v>185.18</v>
      </c>
      <c r="Y765" s="6"/>
      <c r="Z765" s="6">
        <f ca="1">('TUSD BE'!$AM$24+'TUSD BF'!$AM$24+'TUSD CVA'!$AM$24)*1</f>
        <v>292.16655209139662</v>
      </c>
      <c r="AA765" s="6">
        <f>('TE BE'!$AB$13+'TE BF'!$AB$13+'TE CVA'!$AB$13)*1</f>
        <v>198.18194779658231</v>
      </c>
      <c r="AB765" s="6">
        <f>$K$765*$V$765</f>
        <v>0</v>
      </c>
      <c r="AC765" s="6">
        <f>$M$765*$W$765</f>
        <v>-1588.8820200000002</v>
      </c>
      <c r="AD765" s="6">
        <f>$O$765*$X$765</f>
        <v>-1078.11796</v>
      </c>
      <c r="AE765" s="6">
        <f>$K$765*$Y$765</f>
        <v>0</v>
      </c>
      <c r="AF765" s="6">
        <f ca="1">$M$765*$Z$765</f>
        <v>-1700.9936662761111</v>
      </c>
      <c r="AG765" s="6">
        <f>$O$765*$AA$765</f>
        <v>-1153.8153000717023</v>
      </c>
    </row>
    <row r="766" spans="1:33" ht="11.25" customHeight="1" x14ac:dyDescent="0.25">
      <c r="A766" s="4" t="s">
        <v>28</v>
      </c>
      <c r="B766" s="4" t="s">
        <v>22</v>
      </c>
      <c r="C766" s="4" t="s">
        <v>23</v>
      </c>
      <c r="D766" s="4" t="s">
        <v>24</v>
      </c>
      <c r="E766" s="4" t="s">
        <v>24</v>
      </c>
      <c r="F766" s="4" t="s">
        <v>25</v>
      </c>
      <c r="G766" s="4" t="s">
        <v>25</v>
      </c>
      <c r="H766" s="4" t="s">
        <v>25</v>
      </c>
      <c r="I766" s="5">
        <v>44470</v>
      </c>
      <c r="J766" s="6">
        <v>0</v>
      </c>
      <c r="K766" s="6">
        <v>0</v>
      </c>
      <c r="L766" s="6">
        <v>26.66</v>
      </c>
      <c r="M766" s="6">
        <v>26.66</v>
      </c>
      <c r="N766" s="6">
        <v>26.66</v>
      </c>
      <c r="O766" s="6">
        <v>26.66</v>
      </c>
      <c r="P766" s="6">
        <v>253</v>
      </c>
      <c r="Q766" s="4" t="s">
        <v>26</v>
      </c>
      <c r="R766" s="4">
        <v>0</v>
      </c>
      <c r="S766" s="6">
        <v>0</v>
      </c>
      <c r="T766" s="6">
        <v>11</v>
      </c>
      <c r="U766" s="6">
        <v>46</v>
      </c>
      <c r="V766" s="6">
        <f>IF(ISERROR(VLOOKUP($S$766,'TAR FIN'!$A$1:$O$93,15,0)),0,VLOOKUP($S$766,'TAR FIN'!$A$1:$O$93,15,0))</f>
        <v>0</v>
      </c>
      <c r="W766" s="6">
        <f>IF(ISERROR(VLOOKUP($T$766,'TAR FIN'!$A$1:$O$93,15,0)),0,VLOOKUP($T$766,'TAR FIN'!$A$1:$O$93,15,0))</f>
        <v>272.91000000000003</v>
      </c>
      <c r="X766" s="6">
        <f>IF(ISERROR(VLOOKUP($U$766,'TAR FIN'!$A$1:$O$93,15,0)),0,VLOOKUP($U$766,'TAR FIN'!$A$1:$O$93,15,0))</f>
        <v>185.18</v>
      </c>
      <c r="Y766" s="6"/>
      <c r="Z766" s="6">
        <f ca="1">('TUSD BE'!$AM$24+'TUSD BF'!$AM$24+'TUSD CVA'!$AM$24)*1</f>
        <v>292.16655209139662</v>
      </c>
      <c r="AA766" s="6">
        <f>('TE BE'!$AB$13+'TE BF'!$AB$13+'TE CVA'!$AB$13)*1</f>
        <v>198.18194779658231</v>
      </c>
      <c r="AB766" s="6">
        <f>$K$766*$V$766</f>
        <v>0</v>
      </c>
      <c r="AC766" s="6">
        <f>$M$766*$W$766</f>
        <v>7275.780600000001</v>
      </c>
      <c r="AD766" s="6">
        <f>$O$766*$X$766</f>
        <v>4936.8987999999999</v>
      </c>
      <c r="AE766" s="6">
        <f>$K$766*$Y$766</f>
        <v>0</v>
      </c>
      <c r="AF766" s="6">
        <f ca="1">$M$766*$Z$766</f>
        <v>7789.1602787566344</v>
      </c>
      <c r="AG766" s="6">
        <f>$O$766*$AA$766</f>
        <v>5283.5307282568847</v>
      </c>
    </row>
    <row r="767" spans="1:33" ht="11.25" customHeight="1" x14ac:dyDescent="0.25">
      <c r="A767" s="4" t="s">
        <v>28</v>
      </c>
      <c r="B767" s="4" t="s">
        <v>22</v>
      </c>
      <c r="C767" s="4" t="s">
        <v>23</v>
      </c>
      <c r="D767" s="4" t="s">
        <v>24</v>
      </c>
      <c r="E767" s="4" t="s">
        <v>24</v>
      </c>
      <c r="F767" s="4" t="s">
        <v>25</v>
      </c>
      <c r="G767" s="4" t="s">
        <v>25</v>
      </c>
      <c r="H767" s="4" t="s">
        <v>25</v>
      </c>
      <c r="I767" s="5">
        <v>44470</v>
      </c>
      <c r="J767" s="6">
        <v>0</v>
      </c>
      <c r="K767" s="6">
        <v>0</v>
      </c>
      <c r="L767" s="6">
        <v>-1.484</v>
      </c>
      <c r="M767" s="6">
        <v>-1.484</v>
      </c>
      <c r="N767" s="6">
        <v>-1.484</v>
      </c>
      <c r="O767" s="6">
        <v>-1.484</v>
      </c>
      <c r="P767" s="6">
        <v>-1</v>
      </c>
      <c r="Q767" s="4" t="s">
        <v>26</v>
      </c>
      <c r="R767" s="4">
        <v>0</v>
      </c>
      <c r="S767" s="6">
        <v>0</v>
      </c>
      <c r="T767" s="6">
        <v>11</v>
      </c>
      <c r="U767" s="6">
        <v>46</v>
      </c>
      <c r="V767" s="6">
        <f>IF(ISERROR(VLOOKUP($S$767,'TAR FIN'!$A$1:$O$93,15,0)),0,VLOOKUP($S$767,'TAR FIN'!$A$1:$O$93,15,0))</f>
        <v>0</v>
      </c>
      <c r="W767" s="6">
        <f>IF(ISERROR(VLOOKUP($T$767,'TAR FIN'!$A$1:$O$93,15,0)),0,VLOOKUP($T$767,'TAR FIN'!$A$1:$O$93,15,0))</f>
        <v>272.91000000000003</v>
      </c>
      <c r="X767" s="6">
        <f>IF(ISERROR(VLOOKUP($U$767,'TAR FIN'!$A$1:$O$93,15,0)),0,VLOOKUP($U$767,'TAR FIN'!$A$1:$O$93,15,0))</f>
        <v>185.18</v>
      </c>
      <c r="Y767" s="6"/>
      <c r="Z767" s="6">
        <f ca="1">('TUSD BE'!$AM$24+'TUSD BF'!$AM$24+'TUSD CVA'!$AM$24)*1</f>
        <v>292.16655209139662</v>
      </c>
      <c r="AA767" s="6">
        <f>('TE BE'!$AB$13+'TE BF'!$AB$13+'TE CVA'!$AB$13)*1</f>
        <v>198.18194779658231</v>
      </c>
      <c r="AB767" s="6">
        <f>$K$767*$V$767</f>
        <v>0</v>
      </c>
      <c r="AC767" s="6">
        <f>$M$767*$W$767</f>
        <v>-404.99844000000002</v>
      </c>
      <c r="AD767" s="6">
        <f>$O$767*$X$767</f>
        <v>-274.80712</v>
      </c>
      <c r="AE767" s="6">
        <f>$K$767*$Y$767</f>
        <v>0</v>
      </c>
      <c r="AF767" s="6">
        <f ca="1">$M$767*$Z$767</f>
        <v>-433.57516330363256</v>
      </c>
      <c r="AG767" s="6">
        <f>$O$767*$AA$767</f>
        <v>-294.10201053012815</v>
      </c>
    </row>
    <row r="768" spans="1:33" ht="11.25" customHeight="1" x14ac:dyDescent="0.25">
      <c r="A768" s="4" t="s">
        <v>21</v>
      </c>
      <c r="B768" s="4" t="s">
        <v>22</v>
      </c>
      <c r="C768" s="4" t="s">
        <v>23</v>
      </c>
      <c r="D768" s="4" t="s">
        <v>24</v>
      </c>
      <c r="E768" s="4" t="s">
        <v>24</v>
      </c>
      <c r="F768" s="4" t="s">
        <v>25</v>
      </c>
      <c r="G768" s="4" t="s">
        <v>25</v>
      </c>
      <c r="H768" s="4" t="s">
        <v>25</v>
      </c>
      <c r="I768" s="5">
        <v>44501</v>
      </c>
      <c r="J768" s="6">
        <v>0</v>
      </c>
      <c r="K768" s="6">
        <v>0</v>
      </c>
      <c r="L768" s="6">
        <v>2025.742</v>
      </c>
      <c r="M768" s="6">
        <v>2025.742</v>
      </c>
      <c r="N768" s="6">
        <v>2025.742</v>
      </c>
      <c r="O768" s="6">
        <v>2025.742</v>
      </c>
      <c r="P768" s="6">
        <v>11922</v>
      </c>
      <c r="Q768" s="4" t="s">
        <v>26</v>
      </c>
      <c r="R768" s="4">
        <v>0</v>
      </c>
      <c r="S768" s="6">
        <v>0</v>
      </c>
      <c r="T768" s="6">
        <v>11</v>
      </c>
      <c r="U768" s="6">
        <v>46</v>
      </c>
      <c r="V768" s="6">
        <f>IF(ISERROR(VLOOKUP($S$768,'TAR FIN'!$A$1:$O$93,15,0)),0,VLOOKUP($S$768,'TAR FIN'!$A$1:$O$93,15,0))</f>
        <v>0</v>
      </c>
      <c r="W768" s="6">
        <f>IF(ISERROR(VLOOKUP($T$768,'TAR FIN'!$A$1:$O$93,15,0)),0,VLOOKUP($T$768,'TAR FIN'!$A$1:$O$93,15,0))</f>
        <v>272.91000000000003</v>
      </c>
      <c r="X768" s="6">
        <f>IF(ISERROR(VLOOKUP($U$768,'TAR FIN'!$A$1:$O$93,15,0)),0,VLOOKUP($U$768,'TAR FIN'!$A$1:$O$93,15,0))</f>
        <v>185.18</v>
      </c>
      <c r="Y768" s="6"/>
      <c r="Z768" s="6">
        <f ca="1">('TUSD BE'!$AM$24+'TUSD BF'!$AM$24+'TUSD CVA'!$AM$24)*1</f>
        <v>292.16655209139662</v>
      </c>
      <c r="AA768" s="6">
        <f>('TE BE'!$AB$13+'TE BF'!$AB$13+'TE CVA'!$AB$13)*1</f>
        <v>198.18194779658231</v>
      </c>
      <c r="AB768" s="6">
        <f>$K$768*$V$768</f>
        <v>0</v>
      </c>
      <c r="AC768" s="6">
        <f>$M$768*$W$768</f>
        <v>552845.24922</v>
      </c>
      <c r="AD768" s="6">
        <f>$O$768*$X$768</f>
        <v>375126.90356000001</v>
      </c>
      <c r="AE768" s="6">
        <f>$K$768*$Y$768</f>
        <v>0</v>
      </c>
      <c r="AF768" s="6">
        <f ca="1">$M$768*$Z$768</f>
        <v>591854.05556672998</v>
      </c>
      <c r="AG768" s="6">
        <f>$O$768*$AA$768</f>
        <v>401465.49529334425</v>
      </c>
    </row>
    <row r="769" spans="1:33" ht="11.25" customHeight="1" x14ac:dyDescent="0.25">
      <c r="A769" s="4" t="s">
        <v>27</v>
      </c>
      <c r="B769" s="4" t="s">
        <v>22</v>
      </c>
      <c r="C769" s="4" t="s">
        <v>23</v>
      </c>
      <c r="D769" s="4" t="s">
        <v>24</v>
      </c>
      <c r="E769" s="4" t="s">
        <v>24</v>
      </c>
      <c r="F769" s="4" t="s">
        <v>25</v>
      </c>
      <c r="G769" s="4" t="s">
        <v>25</v>
      </c>
      <c r="H769" s="4" t="s">
        <v>25</v>
      </c>
      <c r="I769" s="5">
        <v>44501</v>
      </c>
      <c r="J769" s="6">
        <v>0</v>
      </c>
      <c r="K769" s="6">
        <v>0</v>
      </c>
      <c r="L769" s="6">
        <v>-6.27</v>
      </c>
      <c r="M769" s="6">
        <v>-6.27</v>
      </c>
      <c r="N769" s="6">
        <v>-6.27</v>
      </c>
      <c r="O769" s="6">
        <v>-6.27</v>
      </c>
      <c r="P769" s="6">
        <v>-29</v>
      </c>
      <c r="Q769" s="4" t="s">
        <v>26</v>
      </c>
      <c r="R769" s="4">
        <v>0</v>
      </c>
      <c r="S769" s="6">
        <v>0</v>
      </c>
      <c r="T769" s="6">
        <v>11</v>
      </c>
      <c r="U769" s="6">
        <v>46</v>
      </c>
      <c r="V769" s="6">
        <f>IF(ISERROR(VLOOKUP($S$769,'TAR FIN'!$A$1:$O$93,15,0)),0,VLOOKUP($S$769,'TAR FIN'!$A$1:$O$93,15,0))</f>
        <v>0</v>
      </c>
      <c r="W769" s="6">
        <f>IF(ISERROR(VLOOKUP($T$769,'TAR FIN'!$A$1:$O$93,15,0)),0,VLOOKUP($T$769,'TAR FIN'!$A$1:$O$93,15,0))</f>
        <v>272.91000000000003</v>
      </c>
      <c r="X769" s="6">
        <f>IF(ISERROR(VLOOKUP($U$769,'TAR FIN'!$A$1:$O$93,15,0)),0,VLOOKUP($U$769,'TAR FIN'!$A$1:$O$93,15,0))</f>
        <v>185.18</v>
      </c>
      <c r="Y769" s="6"/>
      <c r="Z769" s="6">
        <f ca="1">('TUSD BE'!$AM$24+'TUSD BF'!$AM$24+'TUSD CVA'!$AM$24)*1</f>
        <v>292.16655209139662</v>
      </c>
      <c r="AA769" s="6">
        <f>('TE BE'!$AB$13+'TE BF'!$AB$13+'TE CVA'!$AB$13)*1</f>
        <v>198.18194779658231</v>
      </c>
      <c r="AB769" s="6">
        <f>$K$769*$V$769</f>
        <v>0</v>
      </c>
      <c r="AC769" s="6">
        <f>$M$769*$W$769</f>
        <v>-1711.1457</v>
      </c>
      <c r="AD769" s="6">
        <f>$O$769*$X$769</f>
        <v>-1161.0786000000001</v>
      </c>
      <c r="AE769" s="6">
        <f>$K$769*$Y$769</f>
        <v>0</v>
      </c>
      <c r="AF769" s="6">
        <f ca="1">$M$769*$Z$769</f>
        <v>-1831.8842816130566</v>
      </c>
      <c r="AG769" s="6">
        <f>$O$769*$AA$769</f>
        <v>-1242.6008126845709</v>
      </c>
    </row>
    <row r="770" spans="1:33" ht="11.25" customHeight="1" x14ac:dyDescent="0.25">
      <c r="A770" s="4" t="s">
        <v>28</v>
      </c>
      <c r="B770" s="4" t="s">
        <v>22</v>
      </c>
      <c r="C770" s="4" t="s">
        <v>23</v>
      </c>
      <c r="D770" s="4" t="s">
        <v>24</v>
      </c>
      <c r="E770" s="4" t="s">
        <v>24</v>
      </c>
      <c r="F770" s="4" t="s">
        <v>25</v>
      </c>
      <c r="G770" s="4" t="s">
        <v>25</v>
      </c>
      <c r="H770" s="4" t="s">
        <v>25</v>
      </c>
      <c r="I770" s="5">
        <v>44501</v>
      </c>
      <c r="J770" s="6">
        <v>0</v>
      </c>
      <c r="K770" s="6">
        <v>0</v>
      </c>
      <c r="L770" s="6">
        <v>21.283000000000001</v>
      </c>
      <c r="M770" s="6">
        <v>21.283000000000001</v>
      </c>
      <c r="N770" s="6">
        <v>21.283000000000001</v>
      </c>
      <c r="O770" s="6">
        <v>21.283000000000001</v>
      </c>
      <c r="P770" s="6">
        <v>265</v>
      </c>
      <c r="Q770" s="4" t="s">
        <v>26</v>
      </c>
      <c r="R770" s="4">
        <v>0</v>
      </c>
      <c r="S770" s="6">
        <v>0</v>
      </c>
      <c r="T770" s="6">
        <v>11</v>
      </c>
      <c r="U770" s="6">
        <v>46</v>
      </c>
      <c r="V770" s="6">
        <f>IF(ISERROR(VLOOKUP($S$770,'TAR FIN'!$A$1:$O$93,15,0)),0,VLOOKUP($S$770,'TAR FIN'!$A$1:$O$93,15,0))</f>
        <v>0</v>
      </c>
      <c r="W770" s="6">
        <f>IF(ISERROR(VLOOKUP($T$770,'TAR FIN'!$A$1:$O$93,15,0)),0,VLOOKUP($T$770,'TAR FIN'!$A$1:$O$93,15,0))</f>
        <v>272.91000000000003</v>
      </c>
      <c r="X770" s="6">
        <f>IF(ISERROR(VLOOKUP($U$770,'TAR FIN'!$A$1:$O$93,15,0)),0,VLOOKUP($U$770,'TAR FIN'!$A$1:$O$93,15,0))</f>
        <v>185.18</v>
      </c>
      <c r="Y770" s="6"/>
      <c r="Z770" s="6">
        <f ca="1">('TUSD BE'!$AM$24+'TUSD BF'!$AM$24+'TUSD CVA'!$AM$24)*1</f>
        <v>292.16655209139662</v>
      </c>
      <c r="AA770" s="6">
        <f>('TE BE'!$AB$13+'TE BF'!$AB$13+'TE CVA'!$AB$13)*1</f>
        <v>198.18194779658231</v>
      </c>
      <c r="AB770" s="6">
        <f>$K$770*$V$770</f>
        <v>0</v>
      </c>
      <c r="AC770" s="6">
        <f>$M$770*$W$770</f>
        <v>5808.343530000001</v>
      </c>
      <c r="AD770" s="6">
        <f>$O$770*$X$770</f>
        <v>3941.1859400000003</v>
      </c>
      <c r="AE770" s="6">
        <f>$K$770*$Y$770</f>
        <v>0</v>
      </c>
      <c r="AF770" s="6">
        <f ca="1">$M$770*$Z$770</f>
        <v>6218.1807281611946</v>
      </c>
      <c r="AG770" s="6">
        <f>$O$770*$AA$770</f>
        <v>4217.9063949546617</v>
      </c>
    </row>
    <row r="771" spans="1:33" ht="11.25" customHeight="1" x14ac:dyDescent="0.25">
      <c r="A771" s="4" t="s">
        <v>21</v>
      </c>
      <c r="B771" s="4" t="s">
        <v>22</v>
      </c>
      <c r="C771" s="4" t="s">
        <v>23</v>
      </c>
      <c r="D771" s="4" t="s">
        <v>24</v>
      </c>
      <c r="E771" s="4" t="s">
        <v>24</v>
      </c>
      <c r="F771" s="4" t="s">
        <v>25</v>
      </c>
      <c r="G771" s="4" t="s">
        <v>25</v>
      </c>
      <c r="H771" s="4" t="s">
        <v>25</v>
      </c>
      <c r="I771" s="5">
        <v>44531</v>
      </c>
      <c r="J771" s="6">
        <v>0</v>
      </c>
      <c r="K771" s="6">
        <v>0</v>
      </c>
      <c r="L771" s="6">
        <v>1872.143</v>
      </c>
      <c r="M771" s="6">
        <v>1872.143</v>
      </c>
      <c r="N771" s="6">
        <v>1872.143</v>
      </c>
      <c r="O771" s="6">
        <v>1872.143</v>
      </c>
      <c r="P771" s="6">
        <v>11970</v>
      </c>
      <c r="Q771" s="4" t="s">
        <v>26</v>
      </c>
      <c r="R771" s="4">
        <v>0</v>
      </c>
      <c r="S771" s="6">
        <v>0</v>
      </c>
      <c r="T771" s="6">
        <v>11</v>
      </c>
      <c r="U771" s="6">
        <v>46</v>
      </c>
      <c r="V771" s="6">
        <f>IF(ISERROR(VLOOKUP($S$771,'TAR FIN'!$A$1:$O$93,15,0)),0,VLOOKUP($S$771,'TAR FIN'!$A$1:$O$93,15,0))</f>
        <v>0</v>
      </c>
      <c r="W771" s="6">
        <f>IF(ISERROR(VLOOKUP($T$771,'TAR FIN'!$A$1:$O$93,15,0)),0,VLOOKUP($T$771,'TAR FIN'!$A$1:$O$93,15,0))</f>
        <v>272.91000000000003</v>
      </c>
      <c r="X771" s="6">
        <f>IF(ISERROR(VLOOKUP($U$771,'TAR FIN'!$A$1:$O$93,15,0)),0,VLOOKUP($U$771,'TAR FIN'!$A$1:$O$93,15,0))</f>
        <v>185.18</v>
      </c>
      <c r="Y771" s="6"/>
      <c r="Z771" s="6">
        <f ca="1">('TUSD BE'!$AM$24+'TUSD BF'!$AM$24+'TUSD CVA'!$AM$24)*1</f>
        <v>292.16655209139662</v>
      </c>
      <c r="AA771" s="6">
        <f>('TE BE'!$AB$13+'TE BF'!$AB$13+'TE CVA'!$AB$13)*1</f>
        <v>198.18194779658231</v>
      </c>
      <c r="AB771" s="6">
        <f>$K$771*$V$771</f>
        <v>0</v>
      </c>
      <c r="AC771" s="6">
        <f>$M$771*$W$771</f>
        <v>510926.54613000003</v>
      </c>
      <c r="AD771" s="6">
        <f>$O$771*$X$771</f>
        <v>346683.44073999999</v>
      </c>
      <c r="AE771" s="6">
        <f>$K$771*$Y$771</f>
        <v>0</v>
      </c>
      <c r="AF771" s="6">
        <f ca="1">$M$771*$Z$771</f>
        <v>546977.56533204357</v>
      </c>
      <c r="AG771" s="6">
        <f>$O$771*$AA$771</f>
        <v>371024.94629373698</v>
      </c>
    </row>
    <row r="772" spans="1:33" ht="11.25" customHeight="1" x14ac:dyDescent="0.25">
      <c r="A772" s="4" t="s">
        <v>27</v>
      </c>
      <c r="B772" s="4" t="s">
        <v>22</v>
      </c>
      <c r="C772" s="4" t="s">
        <v>23</v>
      </c>
      <c r="D772" s="4" t="s">
        <v>24</v>
      </c>
      <c r="E772" s="4" t="s">
        <v>24</v>
      </c>
      <c r="F772" s="4" t="s">
        <v>25</v>
      </c>
      <c r="G772" s="4" t="s">
        <v>25</v>
      </c>
      <c r="H772" s="4" t="s">
        <v>25</v>
      </c>
      <c r="I772" s="5">
        <v>44531</v>
      </c>
      <c r="J772" s="6">
        <v>0</v>
      </c>
      <c r="K772" s="6">
        <v>0</v>
      </c>
      <c r="L772" s="6">
        <v>-11.680999999999999</v>
      </c>
      <c r="M772" s="6">
        <v>-11.680999999999999</v>
      </c>
      <c r="N772" s="6">
        <v>-11.680999999999999</v>
      </c>
      <c r="O772" s="6">
        <v>-11.680999999999999</v>
      </c>
      <c r="P772" s="6">
        <v>-30</v>
      </c>
      <c r="Q772" s="4" t="s">
        <v>26</v>
      </c>
      <c r="R772" s="4">
        <v>0</v>
      </c>
      <c r="S772" s="6">
        <v>0</v>
      </c>
      <c r="T772" s="6">
        <v>11</v>
      </c>
      <c r="U772" s="6">
        <v>46</v>
      </c>
      <c r="V772" s="6">
        <f>IF(ISERROR(VLOOKUP($S$772,'TAR FIN'!$A$1:$O$93,15,0)),0,VLOOKUP($S$772,'TAR FIN'!$A$1:$O$93,15,0))</f>
        <v>0</v>
      </c>
      <c r="W772" s="6">
        <f>IF(ISERROR(VLOOKUP($T$772,'TAR FIN'!$A$1:$O$93,15,0)),0,VLOOKUP($T$772,'TAR FIN'!$A$1:$O$93,15,0))</f>
        <v>272.91000000000003</v>
      </c>
      <c r="X772" s="6">
        <f>IF(ISERROR(VLOOKUP($U$772,'TAR FIN'!$A$1:$O$93,15,0)),0,VLOOKUP($U$772,'TAR FIN'!$A$1:$O$93,15,0))</f>
        <v>185.18</v>
      </c>
      <c r="Y772" s="6"/>
      <c r="Z772" s="6">
        <f ca="1">('TUSD BE'!$AM$24+'TUSD BF'!$AM$24+'TUSD CVA'!$AM$24)*1</f>
        <v>292.16655209139662</v>
      </c>
      <c r="AA772" s="6">
        <f>('TE BE'!$AB$13+'TE BF'!$AB$13+'TE CVA'!$AB$13)*1</f>
        <v>198.18194779658231</v>
      </c>
      <c r="AB772" s="6">
        <f>$K$772*$V$772</f>
        <v>0</v>
      </c>
      <c r="AC772" s="6">
        <f>$M$772*$W$772</f>
        <v>-3187.8617100000001</v>
      </c>
      <c r="AD772" s="6">
        <f>$O$772*$X$772</f>
        <v>-2163.0875799999999</v>
      </c>
      <c r="AE772" s="6">
        <f>$K$772*$Y$772</f>
        <v>0</v>
      </c>
      <c r="AF772" s="6">
        <f ca="1">$M$772*$Z$772</f>
        <v>-3412.7974949796039</v>
      </c>
      <c r="AG772" s="6">
        <f>$O$772*$AA$772</f>
        <v>-2314.963332211878</v>
      </c>
    </row>
    <row r="773" spans="1:33" ht="11.25" customHeight="1" x14ac:dyDescent="0.25">
      <c r="A773" s="4" t="s">
        <v>21</v>
      </c>
      <c r="B773" s="4" t="s">
        <v>22</v>
      </c>
      <c r="C773" s="4" t="s">
        <v>23</v>
      </c>
      <c r="D773" s="4" t="s">
        <v>24</v>
      </c>
      <c r="E773" s="4" t="s">
        <v>24</v>
      </c>
      <c r="F773" s="4" t="s">
        <v>25</v>
      </c>
      <c r="G773" s="4" t="s">
        <v>25</v>
      </c>
      <c r="H773" s="4" t="s">
        <v>25</v>
      </c>
      <c r="I773" s="5">
        <v>44562</v>
      </c>
      <c r="J773" s="6">
        <v>0</v>
      </c>
      <c r="K773" s="6">
        <v>0</v>
      </c>
      <c r="L773" s="6">
        <v>2508.9960000000001</v>
      </c>
      <c r="M773" s="6">
        <v>2508.9960000000001</v>
      </c>
      <c r="N773" s="6">
        <v>2508.9960000000001</v>
      </c>
      <c r="O773" s="6">
        <v>2508.9960000000001</v>
      </c>
      <c r="P773" s="6">
        <v>11964</v>
      </c>
      <c r="Q773" s="4" t="s">
        <v>26</v>
      </c>
      <c r="R773" s="4">
        <v>0</v>
      </c>
      <c r="S773" s="6">
        <v>0</v>
      </c>
      <c r="T773" s="6">
        <v>11</v>
      </c>
      <c r="U773" s="6">
        <v>46</v>
      </c>
      <c r="V773" s="6">
        <f>IF(ISERROR(VLOOKUP($S$773,'TAR FIN'!$A$1:$O$93,15,0)),0,VLOOKUP($S$773,'TAR FIN'!$A$1:$O$93,15,0))</f>
        <v>0</v>
      </c>
      <c r="W773" s="6">
        <f>IF(ISERROR(VLOOKUP($T$773,'TAR FIN'!$A$1:$O$93,15,0)),0,VLOOKUP($T$773,'TAR FIN'!$A$1:$O$93,15,0))</f>
        <v>272.91000000000003</v>
      </c>
      <c r="X773" s="6">
        <f>IF(ISERROR(VLOOKUP($U$773,'TAR FIN'!$A$1:$O$93,15,0)),0,VLOOKUP($U$773,'TAR FIN'!$A$1:$O$93,15,0))</f>
        <v>185.18</v>
      </c>
      <c r="Y773" s="6"/>
      <c r="Z773" s="6">
        <f ca="1">('TUSD BE'!$AM$24+'TUSD BF'!$AM$24+'TUSD CVA'!$AM$24)*1</f>
        <v>292.16655209139662</v>
      </c>
      <c r="AA773" s="6">
        <f>('TE BE'!$AB$13+'TE BF'!$AB$13+'TE CVA'!$AB$13)*1</f>
        <v>198.18194779658231</v>
      </c>
      <c r="AB773" s="6">
        <f>$K$773*$V$773</f>
        <v>0</v>
      </c>
      <c r="AC773" s="6">
        <f>$M$773*$W$773</f>
        <v>684730.09836000006</v>
      </c>
      <c r="AD773" s="6">
        <f>$O$773*$X$773</f>
        <v>464615.87928000005</v>
      </c>
      <c r="AE773" s="6">
        <f>$K$773*$Y$773</f>
        <v>0</v>
      </c>
      <c r="AF773" s="6">
        <f ca="1">$M$773*$Z$773</f>
        <v>733044.71053110575</v>
      </c>
      <c r="AG773" s="6">
        <f>$O$773*$AA$773</f>
        <v>497237.71429383382</v>
      </c>
    </row>
    <row r="774" spans="1:33" ht="11.25" customHeight="1" x14ac:dyDescent="0.25">
      <c r="A774" s="4" t="s">
        <v>27</v>
      </c>
      <c r="B774" s="4" t="s">
        <v>22</v>
      </c>
      <c r="C774" s="4" t="s">
        <v>23</v>
      </c>
      <c r="D774" s="4" t="s">
        <v>24</v>
      </c>
      <c r="E774" s="4" t="s">
        <v>24</v>
      </c>
      <c r="F774" s="4" t="s">
        <v>25</v>
      </c>
      <c r="G774" s="4" t="s">
        <v>25</v>
      </c>
      <c r="H774" s="4" t="s">
        <v>25</v>
      </c>
      <c r="I774" s="5">
        <v>44562</v>
      </c>
      <c r="J774" s="6">
        <v>0</v>
      </c>
      <c r="K774" s="6">
        <v>0</v>
      </c>
      <c r="L774" s="6">
        <v>-6.5570000000000004</v>
      </c>
      <c r="M774" s="6">
        <v>-6.5570000000000004</v>
      </c>
      <c r="N774" s="6">
        <v>-6.5570000000000004</v>
      </c>
      <c r="O774" s="6">
        <v>-6.5570000000000004</v>
      </c>
      <c r="P774" s="6">
        <v>-19</v>
      </c>
      <c r="Q774" s="4" t="s">
        <v>26</v>
      </c>
      <c r="R774" s="4">
        <v>0</v>
      </c>
      <c r="S774" s="6">
        <v>0</v>
      </c>
      <c r="T774" s="6">
        <v>11</v>
      </c>
      <c r="U774" s="6">
        <v>46</v>
      </c>
      <c r="V774" s="6">
        <f>IF(ISERROR(VLOOKUP($S$774,'TAR FIN'!$A$1:$O$93,15,0)),0,VLOOKUP($S$774,'TAR FIN'!$A$1:$O$93,15,0))</f>
        <v>0</v>
      </c>
      <c r="W774" s="6">
        <f>IF(ISERROR(VLOOKUP($T$774,'TAR FIN'!$A$1:$O$93,15,0)),0,VLOOKUP($T$774,'TAR FIN'!$A$1:$O$93,15,0))</f>
        <v>272.91000000000003</v>
      </c>
      <c r="X774" s="6">
        <f>IF(ISERROR(VLOOKUP($U$774,'TAR FIN'!$A$1:$O$93,15,0)),0,VLOOKUP($U$774,'TAR FIN'!$A$1:$O$93,15,0))</f>
        <v>185.18</v>
      </c>
      <c r="Y774" s="6"/>
      <c r="Z774" s="6">
        <f ca="1">('TUSD BE'!$AM$24+'TUSD BF'!$AM$24+'TUSD CVA'!$AM$24)*1</f>
        <v>292.16655209139662</v>
      </c>
      <c r="AA774" s="6">
        <f>('TE BE'!$AB$13+'TE BF'!$AB$13+'TE CVA'!$AB$13)*1</f>
        <v>198.18194779658231</v>
      </c>
      <c r="AB774" s="6">
        <f>$K$774*$V$774</f>
        <v>0</v>
      </c>
      <c r="AC774" s="6">
        <f>$M$774*$W$774</f>
        <v>-1789.4708700000003</v>
      </c>
      <c r="AD774" s="6">
        <f>$O$774*$X$774</f>
        <v>-1214.2252600000002</v>
      </c>
      <c r="AE774" s="6">
        <f>$K$774*$Y$774</f>
        <v>0</v>
      </c>
      <c r="AF774" s="6">
        <f ca="1">$M$774*$Z$774</f>
        <v>-1915.7360820632878</v>
      </c>
      <c r="AG774" s="6">
        <f>$O$774*$AA$774</f>
        <v>-1299.4790317021902</v>
      </c>
    </row>
    <row r="775" spans="1:33" ht="11.25" customHeight="1" x14ac:dyDescent="0.25">
      <c r="A775" s="4" t="s">
        <v>28</v>
      </c>
      <c r="B775" s="4" t="s">
        <v>22</v>
      </c>
      <c r="C775" s="4" t="s">
        <v>23</v>
      </c>
      <c r="D775" s="4" t="s">
        <v>24</v>
      </c>
      <c r="E775" s="4" t="s">
        <v>24</v>
      </c>
      <c r="F775" s="4" t="s">
        <v>25</v>
      </c>
      <c r="G775" s="4" t="s">
        <v>25</v>
      </c>
      <c r="H775" s="4" t="s">
        <v>25</v>
      </c>
      <c r="I775" s="5">
        <v>44562</v>
      </c>
      <c r="J775" s="6">
        <v>0</v>
      </c>
      <c r="K775" s="6">
        <v>0</v>
      </c>
      <c r="L775" s="6">
        <v>39.972999999999999</v>
      </c>
      <c r="M775" s="6">
        <v>39.972999999999999</v>
      </c>
      <c r="N775" s="6">
        <v>39.972999999999999</v>
      </c>
      <c r="O775" s="6">
        <v>39.972999999999999</v>
      </c>
      <c r="P775" s="6">
        <v>313</v>
      </c>
      <c r="Q775" s="4" t="s">
        <v>26</v>
      </c>
      <c r="R775" s="4">
        <v>0</v>
      </c>
      <c r="S775" s="6">
        <v>0</v>
      </c>
      <c r="T775" s="6">
        <v>11</v>
      </c>
      <c r="U775" s="6">
        <v>46</v>
      </c>
      <c r="V775" s="6">
        <f>IF(ISERROR(VLOOKUP($S$775,'TAR FIN'!$A$1:$O$93,15,0)),0,VLOOKUP($S$775,'TAR FIN'!$A$1:$O$93,15,0))</f>
        <v>0</v>
      </c>
      <c r="W775" s="6">
        <f>IF(ISERROR(VLOOKUP($T$775,'TAR FIN'!$A$1:$O$93,15,0)),0,VLOOKUP($T$775,'TAR FIN'!$A$1:$O$93,15,0))</f>
        <v>272.91000000000003</v>
      </c>
      <c r="X775" s="6">
        <f>IF(ISERROR(VLOOKUP($U$775,'TAR FIN'!$A$1:$O$93,15,0)),0,VLOOKUP($U$775,'TAR FIN'!$A$1:$O$93,15,0))</f>
        <v>185.18</v>
      </c>
      <c r="Y775" s="6"/>
      <c r="Z775" s="6">
        <f ca="1">('TUSD BE'!$AM$24+'TUSD BF'!$AM$24+'TUSD CVA'!$AM$24)*1</f>
        <v>292.16655209139662</v>
      </c>
      <c r="AA775" s="6">
        <f>('TE BE'!$AB$13+'TE BF'!$AB$13+'TE CVA'!$AB$13)*1</f>
        <v>198.18194779658231</v>
      </c>
      <c r="AB775" s="6">
        <f>$K$775*$V$775</f>
        <v>0</v>
      </c>
      <c r="AC775" s="6">
        <f>$M$775*$W$775</f>
        <v>10909.031430000001</v>
      </c>
      <c r="AD775" s="6">
        <f>$O$775*$X$775</f>
        <v>7402.2001399999999</v>
      </c>
      <c r="AE775" s="6">
        <f>$K$775*$Y$775</f>
        <v>0</v>
      </c>
      <c r="AF775" s="6">
        <f ca="1">$M$775*$Z$775</f>
        <v>11678.773586749398</v>
      </c>
      <c r="AG775" s="6">
        <f>$O$775*$AA$775</f>
        <v>7921.9269992727841</v>
      </c>
    </row>
    <row r="776" spans="1:33" ht="11.25" customHeight="1" x14ac:dyDescent="0.25">
      <c r="A776" s="4" t="s">
        <v>28</v>
      </c>
      <c r="B776" s="4" t="s">
        <v>22</v>
      </c>
      <c r="C776" s="4" t="s">
        <v>23</v>
      </c>
      <c r="D776" s="4" t="s">
        <v>24</v>
      </c>
      <c r="E776" s="4" t="s">
        <v>24</v>
      </c>
      <c r="F776" s="4" t="s">
        <v>25</v>
      </c>
      <c r="G776" s="4" t="s">
        <v>25</v>
      </c>
      <c r="H776" s="4" t="s">
        <v>25</v>
      </c>
      <c r="I776" s="5">
        <v>44562</v>
      </c>
      <c r="J776" s="6">
        <v>0</v>
      </c>
      <c r="K776" s="6">
        <v>0</v>
      </c>
      <c r="L776" s="6">
        <v>-3.0430000000000001</v>
      </c>
      <c r="M776" s="6">
        <v>-3.0430000000000001</v>
      </c>
      <c r="N776" s="6">
        <v>-3.0430000000000001</v>
      </c>
      <c r="O776" s="6">
        <v>-3.0430000000000001</v>
      </c>
      <c r="P776" s="6">
        <v>-1</v>
      </c>
      <c r="Q776" s="4" t="s">
        <v>26</v>
      </c>
      <c r="R776" s="4">
        <v>0</v>
      </c>
      <c r="S776" s="6">
        <v>0</v>
      </c>
      <c r="T776" s="6">
        <v>11</v>
      </c>
      <c r="U776" s="6">
        <v>46</v>
      </c>
      <c r="V776" s="6">
        <f>IF(ISERROR(VLOOKUP($S$776,'TAR FIN'!$A$1:$O$93,15,0)),0,VLOOKUP($S$776,'TAR FIN'!$A$1:$O$93,15,0))</f>
        <v>0</v>
      </c>
      <c r="W776" s="6">
        <f>IF(ISERROR(VLOOKUP($T$776,'TAR FIN'!$A$1:$O$93,15,0)),0,VLOOKUP($T$776,'TAR FIN'!$A$1:$O$93,15,0))</f>
        <v>272.91000000000003</v>
      </c>
      <c r="X776" s="6">
        <f>IF(ISERROR(VLOOKUP($U$776,'TAR FIN'!$A$1:$O$93,15,0)),0,VLOOKUP($U$776,'TAR FIN'!$A$1:$O$93,15,0))</f>
        <v>185.18</v>
      </c>
      <c r="Y776" s="6"/>
      <c r="Z776" s="6">
        <f ca="1">('TUSD BE'!$AM$24+'TUSD BF'!$AM$24+'TUSD CVA'!$AM$24)*1</f>
        <v>292.16655209139662</v>
      </c>
      <c r="AA776" s="6">
        <f>('TE BE'!$AB$13+'TE BF'!$AB$13+'TE CVA'!$AB$13)*1</f>
        <v>198.18194779658231</v>
      </c>
      <c r="AB776" s="6">
        <f>$K$776*$V$776</f>
        <v>0</v>
      </c>
      <c r="AC776" s="6">
        <f>$M$776*$W$776</f>
        <v>-830.46513000000016</v>
      </c>
      <c r="AD776" s="6">
        <f>$O$776*$X$776</f>
        <v>-563.50274000000002</v>
      </c>
      <c r="AE776" s="6">
        <f>$K$776*$Y$776</f>
        <v>0</v>
      </c>
      <c r="AF776" s="6">
        <f ca="1">$M$776*$Z$776</f>
        <v>-889.06281801412001</v>
      </c>
      <c r="AG776" s="6">
        <f>$O$776*$AA$776</f>
        <v>-603.06766714499997</v>
      </c>
    </row>
    <row r="777" spans="1:33" ht="11.25" customHeight="1" x14ac:dyDescent="0.25">
      <c r="A777" s="4" t="s">
        <v>21</v>
      </c>
      <c r="B777" s="4" t="s">
        <v>22</v>
      </c>
      <c r="C777" s="4" t="s">
        <v>23</v>
      </c>
      <c r="D777" s="4" t="s">
        <v>24</v>
      </c>
      <c r="E777" s="4" t="s">
        <v>24</v>
      </c>
      <c r="F777" s="4" t="s">
        <v>25</v>
      </c>
      <c r="G777" s="4" t="s">
        <v>25</v>
      </c>
      <c r="H777" s="4" t="s">
        <v>25</v>
      </c>
      <c r="I777" s="5">
        <v>44593</v>
      </c>
      <c r="J777" s="6">
        <v>0</v>
      </c>
      <c r="K777" s="6">
        <v>0</v>
      </c>
      <c r="L777" s="6">
        <v>2423.3310000000001</v>
      </c>
      <c r="M777" s="6">
        <v>2423.3310000000001</v>
      </c>
      <c r="N777" s="6">
        <v>2423.3310000000001</v>
      </c>
      <c r="O777" s="6">
        <v>2423.3310000000001</v>
      </c>
      <c r="P777" s="6">
        <v>11813</v>
      </c>
      <c r="Q777" s="4" t="s">
        <v>26</v>
      </c>
      <c r="R777" s="4">
        <v>0</v>
      </c>
      <c r="S777" s="6">
        <v>0</v>
      </c>
      <c r="T777" s="6">
        <v>11</v>
      </c>
      <c r="U777" s="6">
        <v>46</v>
      </c>
      <c r="V777" s="6">
        <f>IF(ISERROR(VLOOKUP($S$777,'TAR FIN'!$A$1:$O$93,15,0)),0,VLOOKUP($S$777,'TAR FIN'!$A$1:$O$93,15,0))</f>
        <v>0</v>
      </c>
      <c r="W777" s="6">
        <f>IF(ISERROR(VLOOKUP($T$777,'TAR FIN'!$A$1:$O$93,15,0)),0,VLOOKUP($T$777,'TAR FIN'!$A$1:$O$93,15,0))</f>
        <v>272.91000000000003</v>
      </c>
      <c r="X777" s="6">
        <f>IF(ISERROR(VLOOKUP($U$777,'TAR FIN'!$A$1:$O$93,15,0)),0,VLOOKUP($U$777,'TAR FIN'!$A$1:$O$93,15,0))</f>
        <v>185.18</v>
      </c>
      <c r="Y777" s="6"/>
      <c r="Z777" s="6">
        <f ca="1">('TUSD BE'!$AM$24+'TUSD BF'!$AM$24+'TUSD CVA'!$AM$24)*1</f>
        <v>292.16655209139662</v>
      </c>
      <c r="AA777" s="6">
        <f>('TE BE'!$AB$13+'TE BF'!$AB$13+'TE CVA'!$AB$13)*1</f>
        <v>198.18194779658231</v>
      </c>
      <c r="AB777" s="6">
        <f>$K$777*$V$777</f>
        <v>0</v>
      </c>
      <c r="AC777" s="6">
        <f>$M$777*$W$777</f>
        <v>661351.26321000012</v>
      </c>
      <c r="AD777" s="6">
        <f>$O$777*$X$777</f>
        <v>448752.43458000006</v>
      </c>
      <c r="AE777" s="6">
        <f>$K$777*$Y$777</f>
        <v>0</v>
      </c>
      <c r="AF777" s="6">
        <f ca="1">$M$777*$Z$777</f>
        <v>708016.2628461963</v>
      </c>
      <c r="AG777" s="6">
        <f>$O$777*$AA$777</f>
        <v>480260.45773583965</v>
      </c>
    </row>
    <row r="778" spans="1:33" ht="11.25" customHeight="1" x14ac:dyDescent="0.25">
      <c r="A778" s="4" t="s">
        <v>27</v>
      </c>
      <c r="B778" s="4" t="s">
        <v>22</v>
      </c>
      <c r="C778" s="4" t="s">
        <v>23</v>
      </c>
      <c r="D778" s="4" t="s">
        <v>24</v>
      </c>
      <c r="E778" s="4" t="s">
        <v>24</v>
      </c>
      <c r="F778" s="4" t="s">
        <v>25</v>
      </c>
      <c r="G778" s="4" t="s">
        <v>25</v>
      </c>
      <c r="H778" s="4" t="s">
        <v>25</v>
      </c>
      <c r="I778" s="5">
        <v>44593</v>
      </c>
      <c r="J778" s="6">
        <v>0</v>
      </c>
      <c r="K778" s="6">
        <v>0</v>
      </c>
      <c r="L778" s="6">
        <v>-1.8859999999999999</v>
      </c>
      <c r="M778" s="6">
        <v>-1.8859999999999999</v>
      </c>
      <c r="N778" s="6">
        <v>-1.8859999999999999</v>
      </c>
      <c r="O778" s="6">
        <v>-1.8859999999999999</v>
      </c>
      <c r="P778" s="6">
        <v>-18</v>
      </c>
      <c r="Q778" s="4" t="s">
        <v>26</v>
      </c>
      <c r="R778" s="4">
        <v>0</v>
      </c>
      <c r="S778" s="6">
        <v>0</v>
      </c>
      <c r="T778" s="6">
        <v>11</v>
      </c>
      <c r="U778" s="6">
        <v>46</v>
      </c>
      <c r="V778" s="6">
        <f>IF(ISERROR(VLOOKUP($S$778,'TAR FIN'!$A$1:$O$93,15,0)),0,VLOOKUP($S$778,'TAR FIN'!$A$1:$O$93,15,0))</f>
        <v>0</v>
      </c>
      <c r="W778" s="6">
        <f>IF(ISERROR(VLOOKUP($T$778,'TAR FIN'!$A$1:$O$93,15,0)),0,VLOOKUP($T$778,'TAR FIN'!$A$1:$O$93,15,0))</f>
        <v>272.91000000000003</v>
      </c>
      <c r="X778" s="6">
        <f>IF(ISERROR(VLOOKUP($U$778,'TAR FIN'!$A$1:$O$93,15,0)),0,VLOOKUP($U$778,'TAR FIN'!$A$1:$O$93,15,0))</f>
        <v>185.18</v>
      </c>
      <c r="Y778" s="6"/>
      <c r="Z778" s="6">
        <f ca="1">('TUSD BE'!$AM$24+'TUSD BF'!$AM$24+'TUSD CVA'!$AM$24)*1</f>
        <v>292.16655209139662</v>
      </c>
      <c r="AA778" s="6">
        <f>('TE BE'!$AB$13+'TE BF'!$AB$13+'TE CVA'!$AB$13)*1</f>
        <v>198.18194779658231</v>
      </c>
      <c r="AB778" s="6">
        <f>$K$778*$V$778</f>
        <v>0</v>
      </c>
      <c r="AC778" s="6">
        <f>$M$778*$W$778</f>
        <v>-514.70826</v>
      </c>
      <c r="AD778" s="6">
        <f>$O$778*$X$778</f>
        <v>-349.24948000000001</v>
      </c>
      <c r="AE778" s="6">
        <f>$K$778*$Y$778</f>
        <v>0</v>
      </c>
      <c r="AF778" s="6">
        <f ca="1">$M$778*$Z$778</f>
        <v>-551.02611724437395</v>
      </c>
      <c r="AG778" s="6">
        <f>$O$778*$AA$778</f>
        <v>-373.77115354435421</v>
      </c>
    </row>
    <row r="779" spans="1:33" ht="11.25" customHeight="1" x14ac:dyDescent="0.25">
      <c r="A779" s="4" t="s">
        <v>28</v>
      </c>
      <c r="B779" s="4" t="s">
        <v>22</v>
      </c>
      <c r="C779" s="4" t="s">
        <v>23</v>
      </c>
      <c r="D779" s="4" t="s">
        <v>24</v>
      </c>
      <c r="E779" s="4" t="s">
        <v>24</v>
      </c>
      <c r="F779" s="4" t="s">
        <v>25</v>
      </c>
      <c r="G779" s="4" t="s">
        <v>25</v>
      </c>
      <c r="H779" s="4" t="s">
        <v>25</v>
      </c>
      <c r="I779" s="5">
        <v>44593</v>
      </c>
      <c r="J779" s="6">
        <v>0</v>
      </c>
      <c r="K779" s="6">
        <v>0</v>
      </c>
      <c r="L779" s="6">
        <v>47.473999999999997</v>
      </c>
      <c r="M779" s="6">
        <v>47.473999999999997</v>
      </c>
      <c r="N779" s="6">
        <v>47.473999999999997</v>
      </c>
      <c r="O779" s="6">
        <v>47.473999999999997</v>
      </c>
      <c r="P779" s="6">
        <v>330</v>
      </c>
      <c r="Q779" s="4" t="s">
        <v>26</v>
      </c>
      <c r="R779" s="4">
        <v>0</v>
      </c>
      <c r="S779" s="6">
        <v>0</v>
      </c>
      <c r="T779" s="6">
        <v>11</v>
      </c>
      <c r="U779" s="6">
        <v>46</v>
      </c>
      <c r="V779" s="6">
        <f>IF(ISERROR(VLOOKUP($S$779,'TAR FIN'!$A$1:$O$93,15,0)),0,VLOOKUP($S$779,'TAR FIN'!$A$1:$O$93,15,0))</f>
        <v>0</v>
      </c>
      <c r="W779" s="6">
        <f>IF(ISERROR(VLOOKUP($T$779,'TAR FIN'!$A$1:$O$93,15,0)),0,VLOOKUP($T$779,'TAR FIN'!$A$1:$O$93,15,0))</f>
        <v>272.91000000000003</v>
      </c>
      <c r="X779" s="6">
        <f>IF(ISERROR(VLOOKUP($U$779,'TAR FIN'!$A$1:$O$93,15,0)),0,VLOOKUP($U$779,'TAR FIN'!$A$1:$O$93,15,0))</f>
        <v>185.18</v>
      </c>
      <c r="Y779" s="6"/>
      <c r="Z779" s="6">
        <f ca="1">('TUSD BE'!$AM$24+'TUSD BF'!$AM$24+'TUSD CVA'!$AM$24)*1</f>
        <v>292.16655209139662</v>
      </c>
      <c r="AA779" s="6">
        <f>('TE BE'!$AB$13+'TE BF'!$AB$13+'TE CVA'!$AB$13)*1</f>
        <v>198.18194779658231</v>
      </c>
      <c r="AB779" s="6">
        <f>$K$779*$V$779</f>
        <v>0</v>
      </c>
      <c r="AC779" s="6">
        <f>$M$779*$W$779</f>
        <v>12956.12934</v>
      </c>
      <c r="AD779" s="6">
        <f>$O$779*$X$779</f>
        <v>8791.2353199999998</v>
      </c>
      <c r="AE779" s="6">
        <f>$K$779*$Y$779</f>
        <v>0</v>
      </c>
      <c r="AF779" s="6">
        <f ca="1">$M$779*$Z$779</f>
        <v>13870.314893986962</v>
      </c>
      <c r="AG779" s="6">
        <f>$O$779*$AA$779</f>
        <v>9408.4897896949478</v>
      </c>
    </row>
    <row r="780" spans="1:33" ht="11.25" customHeight="1" x14ac:dyDescent="0.25">
      <c r="A780" s="4" t="s">
        <v>21</v>
      </c>
      <c r="B780" s="4" t="s">
        <v>22</v>
      </c>
      <c r="C780" s="4" t="s">
        <v>23</v>
      </c>
      <c r="D780" s="4" t="s">
        <v>24</v>
      </c>
      <c r="E780" s="4" t="s">
        <v>24</v>
      </c>
      <c r="F780" s="4" t="s">
        <v>25</v>
      </c>
      <c r="G780" s="4" t="s">
        <v>25</v>
      </c>
      <c r="H780" s="4" t="s">
        <v>25</v>
      </c>
      <c r="I780" s="5">
        <v>44621</v>
      </c>
      <c r="J780" s="6">
        <v>0</v>
      </c>
      <c r="K780" s="6">
        <v>0</v>
      </c>
      <c r="L780" s="6">
        <v>2159.6990000000001</v>
      </c>
      <c r="M780" s="6">
        <v>2159.6990000000001</v>
      </c>
      <c r="N780" s="6">
        <v>2159.6990000000001</v>
      </c>
      <c r="O780" s="6">
        <v>2159.6990000000001</v>
      </c>
      <c r="P780" s="6">
        <v>11765</v>
      </c>
      <c r="Q780" s="4" t="s">
        <v>26</v>
      </c>
      <c r="R780" s="4">
        <v>0</v>
      </c>
      <c r="S780" s="6">
        <v>0</v>
      </c>
      <c r="T780" s="6">
        <v>11</v>
      </c>
      <c r="U780" s="6">
        <v>46</v>
      </c>
      <c r="V780" s="6">
        <f>IF(ISERROR(VLOOKUP($S$780,'TAR FIN'!$A$1:$O$93,15,0)),0,VLOOKUP($S$780,'TAR FIN'!$A$1:$O$93,15,0))</f>
        <v>0</v>
      </c>
      <c r="W780" s="6">
        <f>IF(ISERROR(VLOOKUP($T$780,'TAR FIN'!$A$1:$O$93,15,0)),0,VLOOKUP($T$780,'TAR FIN'!$A$1:$O$93,15,0))</f>
        <v>272.91000000000003</v>
      </c>
      <c r="X780" s="6">
        <f>IF(ISERROR(VLOOKUP($U$780,'TAR FIN'!$A$1:$O$93,15,0)),0,VLOOKUP($U$780,'TAR FIN'!$A$1:$O$93,15,0))</f>
        <v>185.18</v>
      </c>
      <c r="Y780" s="6"/>
      <c r="Z780" s="6">
        <f ca="1">('TUSD BE'!$AM$24+'TUSD BF'!$AM$24+'TUSD CVA'!$AM$24)*1</f>
        <v>292.16655209139662</v>
      </c>
      <c r="AA780" s="6">
        <f>('TE BE'!$AB$13+'TE BF'!$AB$13+'TE CVA'!$AB$13)*1</f>
        <v>198.18194779658231</v>
      </c>
      <c r="AB780" s="6">
        <f>$K$780*$V$780</f>
        <v>0</v>
      </c>
      <c r="AC780" s="6">
        <f>$M$780*$W$780</f>
        <v>589403.45409000013</v>
      </c>
      <c r="AD780" s="6">
        <f>$O$780*$X$780</f>
        <v>399933.06082000001</v>
      </c>
      <c r="AE780" s="6">
        <f>$K$780*$Y$780</f>
        <v>0</v>
      </c>
      <c r="AF780" s="6">
        <f ca="1">$M$780*$Z$780</f>
        <v>630991.81038523722</v>
      </c>
      <c r="AG780" s="6">
        <f>$O$780*$AA$780</f>
        <v>428013.35447433102</v>
      </c>
    </row>
    <row r="781" spans="1:33" ht="11.25" customHeight="1" x14ac:dyDescent="0.25">
      <c r="A781" s="4" t="s">
        <v>27</v>
      </c>
      <c r="B781" s="4" t="s">
        <v>22</v>
      </c>
      <c r="C781" s="4" t="s">
        <v>23</v>
      </c>
      <c r="D781" s="4" t="s">
        <v>24</v>
      </c>
      <c r="E781" s="4" t="s">
        <v>24</v>
      </c>
      <c r="F781" s="4" t="s">
        <v>25</v>
      </c>
      <c r="G781" s="4" t="s">
        <v>25</v>
      </c>
      <c r="H781" s="4" t="s">
        <v>25</v>
      </c>
      <c r="I781" s="5">
        <v>44621</v>
      </c>
      <c r="J781" s="6">
        <v>0</v>
      </c>
      <c r="K781" s="6">
        <v>0</v>
      </c>
      <c r="L781" s="6">
        <v>-2.4089999999999998</v>
      </c>
      <c r="M781" s="6">
        <v>-2.4089999999999998</v>
      </c>
      <c r="N781" s="6">
        <v>-2.4089999999999998</v>
      </c>
      <c r="O781" s="6">
        <v>-2.4089999999999998</v>
      </c>
      <c r="P781" s="6">
        <v>-17</v>
      </c>
      <c r="Q781" s="4" t="s">
        <v>26</v>
      </c>
      <c r="R781" s="4">
        <v>0</v>
      </c>
      <c r="S781" s="6">
        <v>0</v>
      </c>
      <c r="T781" s="6">
        <v>11</v>
      </c>
      <c r="U781" s="6">
        <v>46</v>
      </c>
      <c r="V781" s="6">
        <f>IF(ISERROR(VLOOKUP($S$781,'TAR FIN'!$A$1:$O$93,15,0)),0,VLOOKUP($S$781,'TAR FIN'!$A$1:$O$93,15,0))</f>
        <v>0</v>
      </c>
      <c r="W781" s="6">
        <f>IF(ISERROR(VLOOKUP($T$781,'TAR FIN'!$A$1:$O$93,15,0)),0,VLOOKUP($T$781,'TAR FIN'!$A$1:$O$93,15,0))</f>
        <v>272.91000000000003</v>
      </c>
      <c r="X781" s="6">
        <f>IF(ISERROR(VLOOKUP($U$781,'TAR FIN'!$A$1:$O$93,15,0)),0,VLOOKUP($U$781,'TAR FIN'!$A$1:$O$93,15,0))</f>
        <v>185.18</v>
      </c>
      <c r="Y781" s="6"/>
      <c r="Z781" s="6">
        <f ca="1">('TUSD BE'!$AM$24+'TUSD BF'!$AM$24+'TUSD CVA'!$AM$24)*1</f>
        <v>292.16655209139662</v>
      </c>
      <c r="AA781" s="6">
        <f>('TE BE'!$AB$13+'TE BF'!$AB$13+'TE CVA'!$AB$13)*1</f>
        <v>198.18194779658231</v>
      </c>
      <c r="AB781" s="6">
        <f>$K$781*$V$781</f>
        <v>0</v>
      </c>
      <c r="AC781" s="6">
        <f>$M$781*$W$781</f>
        <v>-657.44019000000003</v>
      </c>
      <c r="AD781" s="6">
        <f>$O$781*$X$781</f>
        <v>-446.09861999999998</v>
      </c>
      <c r="AE781" s="6">
        <f>$K$781*$Y$781</f>
        <v>0</v>
      </c>
      <c r="AF781" s="6">
        <f ca="1">$M$781*$Z$781</f>
        <v>-703.82922398817436</v>
      </c>
      <c r="AG781" s="6">
        <f>$O$781*$AA$781</f>
        <v>-477.42031224196671</v>
      </c>
    </row>
    <row r="782" spans="1:33" ht="11.25" customHeight="1" x14ac:dyDescent="0.25">
      <c r="A782" s="4" t="s">
        <v>28</v>
      </c>
      <c r="B782" s="4" t="s">
        <v>22</v>
      </c>
      <c r="C782" s="4" t="s">
        <v>23</v>
      </c>
      <c r="D782" s="4" t="s">
        <v>24</v>
      </c>
      <c r="E782" s="4" t="s">
        <v>24</v>
      </c>
      <c r="F782" s="4" t="s">
        <v>25</v>
      </c>
      <c r="G782" s="4" t="s">
        <v>25</v>
      </c>
      <c r="H782" s="4" t="s">
        <v>25</v>
      </c>
      <c r="I782" s="5">
        <v>44621</v>
      </c>
      <c r="J782" s="6">
        <v>0</v>
      </c>
      <c r="K782" s="6">
        <v>0</v>
      </c>
      <c r="L782" s="6">
        <v>48.741999999999997</v>
      </c>
      <c r="M782" s="6">
        <v>48.741999999999997</v>
      </c>
      <c r="N782" s="6">
        <v>48.741999999999997</v>
      </c>
      <c r="O782" s="6">
        <v>48.741999999999997</v>
      </c>
      <c r="P782" s="6">
        <v>362</v>
      </c>
      <c r="Q782" s="4" t="s">
        <v>26</v>
      </c>
      <c r="R782" s="4">
        <v>0</v>
      </c>
      <c r="S782" s="6">
        <v>0</v>
      </c>
      <c r="T782" s="6">
        <v>11</v>
      </c>
      <c r="U782" s="6">
        <v>46</v>
      </c>
      <c r="V782" s="6">
        <f>IF(ISERROR(VLOOKUP($S$782,'TAR FIN'!$A$1:$O$93,15,0)),0,VLOOKUP($S$782,'TAR FIN'!$A$1:$O$93,15,0))</f>
        <v>0</v>
      </c>
      <c r="W782" s="6">
        <f>IF(ISERROR(VLOOKUP($T$782,'TAR FIN'!$A$1:$O$93,15,0)),0,VLOOKUP($T$782,'TAR FIN'!$A$1:$O$93,15,0))</f>
        <v>272.91000000000003</v>
      </c>
      <c r="X782" s="6">
        <f>IF(ISERROR(VLOOKUP($U$782,'TAR FIN'!$A$1:$O$93,15,0)),0,VLOOKUP($U$782,'TAR FIN'!$A$1:$O$93,15,0))</f>
        <v>185.18</v>
      </c>
      <c r="Y782" s="6"/>
      <c r="Z782" s="6">
        <f ca="1">('TUSD BE'!$AM$24+'TUSD BF'!$AM$24+'TUSD CVA'!$AM$24)*1</f>
        <v>292.16655209139662</v>
      </c>
      <c r="AA782" s="6">
        <f>('TE BE'!$AB$13+'TE BF'!$AB$13+'TE CVA'!$AB$13)*1</f>
        <v>198.18194779658231</v>
      </c>
      <c r="AB782" s="6">
        <f>$K$782*$V$782</f>
        <v>0</v>
      </c>
      <c r="AC782" s="6">
        <f>$M$782*$W$782</f>
        <v>13302.17922</v>
      </c>
      <c r="AD782" s="6">
        <f>$O$782*$X$782</f>
        <v>9026.0435600000001</v>
      </c>
      <c r="AE782" s="6">
        <f>$K$782*$Y$782</f>
        <v>0</v>
      </c>
      <c r="AF782" s="6">
        <f ca="1">$M$782*$Z$782</f>
        <v>14240.782082038853</v>
      </c>
      <c r="AG782" s="6">
        <f>$O$782*$AA$782</f>
        <v>9659.7844995010146</v>
      </c>
    </row>
    <row r="783" spans="1:33" ht="11.25" customHeight="1" x14ac:dyDescent="0.25">
      <c r="A783" s="4" t="s">
        <v>28</v>
      </c>
      <c r="B783" s="4" t="s">
        <v>22</v>
      </c>
      <c r="C783" s="4" t="s">
        <v>23</v>
      </c>
      <c r="D783" s="4" t="s">
        <v>24</v>
      </c>
      <c r="E783" s="4" t="s">
        <v>24</v>
      </c>
      <c r="F783" s="4" t="s">
        <v>25</v>
      </c>
      <c r="G783" s="4" t="s">
        <v>25</v>
      </c>
      <c r="H783" s="4" t="s">
        <v>25</v>
      </c>
      <c r="I783" s="5">
        <v>44621</v>
      </c>
      <c r="J783" s="6">
        <v>0</v>
      </c>
      <c r="K783" s="6">
        <v>0</v>
      </c>
      <c r="L783" s="6">
        <v>-1.952</v>
      </c>
      <c r="M783" s="6">
        <v>-1.952</v>
      </c>
      <c r="N783" s="6">
        <v>-1.952</v>
      </c>
      <c r="O783" s="6">
        <v>-1.952</v>
      </c>
      <c r="P783" s="6">
        <v>-1</v>
      </c>
      <c r="Q783" s="4" t="s">
        <v>26</v>
      </c>
      <c r="R783" s="4">
        <v>0</v>
      </c>
      <c r="S783" s="6">
        <v>0</v>
      </c>
      <c r="T783" s="6">
        <v>11</v>
      </c>
      <c r="U783" s="6">
        <v>46</v>
      </c>
      <c r="V783" s="6">
        <f>IF(ISERROR(VLOOKUP($S$783,'TAR FIN'!$A$1:$O$93,15,0)),0,VLOOKUP($S$783,'TAR FIN'!$A$1:$O$93,15,0))</f>
        <v>0</v>
      </c>
      <c r="W783" s="6">
        <f>IF(ISERROR(VLOOKUP($T$783,'TAR FIN'!$A$1:$O$93,15,0)),0,VLOOKUP($T$783,'TAR FIN'!$A$1:$O$93,15,0))</f>
        <v>272.91000000000003</v>
      </c>
      <c r="X783" s="6">
        <f>IF(ISERROR(VLOOKUP($U$783,'TAR FIN'!$A$1:$O$93,15,0)),0,VLOOKUP($U$783,'TAR FIN'!$A$1:$O$93,15,0))</f>
        <v>185.18</v>
      </c>
      <c r="Y783" s="6"/>
      <c r="Z783" s="6">
        <f ca="1">('TUSD BE'!$AM$24+'TUSD BF'!$AM$24+'TUSD CVA'!$AM$24)*1</f>
        <v>292.16655209139662</v>
      </c>
      <c r="AA783" s="6">
        <f>('TE BE'!$AB$13+'TE BF'!$AB$13+'TE CVA'!$AB$13)*1</f>
        <v>198.18194779658231</v>
      </c>
      <c r="AB783" s="6">
        <f>$K$783*$V$783</f>
        <v>0</v>
      </c>
      <c r="AC783" s="6">
        <f>$M$783*$W$783</f>
        <v>-532.72032000000002</v>
      </c>
      <c r="AD783" s="6">
        <f>$O$783*$X$783</f>
        <v>-361.47136</v>
      </c>
      <c r="AE783" s="6">
        <f>$K$783*$Y$783</f>
        <v>0</v>
      </c>
      <c r="AF783" s="6">
        <f ca="1">$M$783*$Z$783</f>
        <v>-570.30910968240619</v>
      </c>
      <c r="AG783" s="6">
        <f>$O$783*$AA$783</f>
        <v>-386.85116209892868</v>
      </c>
    </row>
    <row r="784" spans="1:33" ht="11.25" customHeight="1" x14ac:dyDescent="0.25">
      <c r="A784" s="4" t="s">
        <v>21</v>
      </c>
      <c r="B784" s="4" t="s">
        <v>22</v>
      </c>
      <c r="C784" s="4" t="s">
        <v>23</v>
      </c>
      <c r="D784" s="4" t="s">
        <v>24</v>
      </c>
      <c r="E784" s="4" t="s">
        <v>24</v>
      </c>
      <c r="F784" s="4" t="s">
        <v>25</v>
      </c>
      <c r="G784" s="4" t="s">
        <v>25</v>
      </c>
      <c r="H784" s="4" t="s">
        <v>25</v>
      </c>
      <c r="I784" s="5">
        <v>44652</v>
      </c>
      <c r="J784" s="6">
        <v>0</v>
      </c>
      <c r="K784" s="6">
        <v>0</v>
      </c>
      <c r="L784" s="6">
        <v>1869.0219999999999</v>
      </c>
      <c r="M784" s="6">
        <v>1869.0219999999999</v>
      </c>
      <c r="N784" s="6">
        <v>1869.0219999999999</v>
      </c>
      <c r="O784" s="6">
        <v>1869.0219999999999</v>
      </c>
      <c r="P784" s="6">
        <v>11387</v>
      </c>
      <c r="Q784" s="4" t="s">
        <v>26</v>
      </c>
      <c r="R784" s="4">
        <v>0</v>
      </c>
      <c r="S784" s="6">
        <v>0</v>
      </c>
      <c r="T784" s="6">
        <v>11</v>
      </c>
      <c r="U784" s="6">
        <v>46</v>
      </c>
      <c r="V784" s="6">
        <f>IF(ISERROR(VLOOKUP($S$784,'TAR FIN'!$A$1:$O$93,15,0)),0,VLOOKUP($S$784,'TAR FIN'!$A$1:$O$93,15,0))</f>
        <v>0</v>
      </c>
      <c r="W784" s="6">
        <f>IF(ISERROR(VLOOKUP($T$784,'TAR FIN'!$A$1:$O$93,15,0)),0,VLOOKUP($T$784,'TAR FIN'!$A$1:$O$93,15,0))</f>
        <v>272.91000000000003</v>
      </c>
      <c r="X784" s="6">
        <f>IF(ISERROR(VLOOKUP($U$784,'TAR FIN'!$A$1:$O$93,15,0)),0,VLOOKUP($U$784,'TAR FIN'!$A$1:$O$93,15,0))</f>
        <v>185.18</v>
      </c>
      <c r="Y784" s="6"/>
      <c r="Z784" s="6">
        <f ca="1">('TUSD BE'!$AM$24+'TUSD BF'!$AM$24+'TUSD CVA'!$AM$24)*1</f>
        <v>292.16655209139662</v>
      </c>
      <c r="AA784" s="6">
        <f>('TE BE'!$AB$13+'TE BF'!$AB$13+'TE CVA'!$AB$13)*1</f>
        <v>198.18194779658231</v>
      </c>
      <c r="AB784" s="6">
        <f>$K$784*$V$784</f>
        <v>0</v>
      </c>
      <c r="AC784" s="6">
        <f>$M$784*$W$784</f>
        <v>510074.79402000003</v>
      </c>
      <c r="AD784" s="6">
        <f>$O$784*$X$784</f>
        <v>346105.49395999999</v>
      </c>
      <c r="AE784" s="6">
        <f>$K$784*$Y$784</f>
        <v>0</v>
      </c>
      <c r="AF784" s="6">
        <f ca="1">$M$784*$Z$784</f>
        <v>546065.71352296625</v>
      </c>
      <c r="AG784" s="6">
        <f>$O$784*$AA$784</f>
        <v>370406.42043466383</v>
      </c>
    </row>
    <row r="785" spans="1:33" ht="11.25" customHeight="1" x14ac:dyDescent="0.25">
      <c r="A785" s="4" t="s">
        <v>27</v>
      </c>
      <c r="B785" s="4" t="s">
        <v>22</v>
      </c>
      <c r="C785" s="4" t="s">
        <v>23</v>
      </c>
      <c r="D785" s="4" t="s">
        <v>24</v>
      </c>
      <c r="E785" s="4" t="s">
        <v>24</v>
      </c>
      <c r="F785" s="4" t="s">
        <v>25</v>
      </c>
      <c r="G785" s="4" t="s">
        <v>25</v>
      </c>
      <c r="H785" s="4" t="s">
        <v>25</v>
      </c>
      <c r="I785" s="5">
        <v>44652</v>
      </c>
      <c r="J785" s="6">
        <v>0</v>
      </c>
      <c r="K785" s="6">
        <v>0</v>
      </c>
      <c r="L785" s="6">
        <v>-5.2</v>
      </c>
      <c r="M785" s="6">
        <v>-5.2</v>
      </c>
      <c r="N785" s="6">
        <v>-5.2</v>
      </c>
      <c r="O785" s="6">
        <v>-5.2</v>
      </c>
      <c r="P785" s="6">
        <v>-36</v>
      </c>
      <c r="Q785" s="4" t="s">
        <v>26</v>
      </c>
      <c r="R785" s="4">
        <v>0</v>
      </c>
      <c r="S785" s="6">
        <v>0</v>
      </c>
      <c r="T785" s="6">
        <v>11</v>
      </c>
      <c r="U785" s="6">
        <v>46</v>
      </c>
      <c r="V785" s="6">
        <f>IF(ISERROR(VLOOKUP($S$785,'TAR FIN'!$A$1:$O$93,15,0)),0,VLOOKUP($S$785,'TAR FIN'!$A$1:$O$93,15,0))</f>
        <v>0</v>
      </c>
      <c r="W785" s="6">
        <f>IF(ISERROR(VLOOKUP($T$785,'TAR FIN'!$A$1:$O$93,15,0)),0,VLOOKUP($T$785,'TAR FIN'!$A$1:$O$93,15,0))</f>
        <v>272.91000000000003</v>
      </c>
      <c r="X785" s="6">
        <f>IF(ISERROR(VLOOKUP($U$785,'TAR FIN'!$A$1:$O$93,15,0)),0,VLOOKUP($U$785,'TAR FIN'!$A$1:$O$93,15,0))</f>
        <v>185.18</v>
      </c>
      <c r="Y785" s="6"/>
      <c r="Z785" s="6">
        <f ca="1">('TUSD BE'!$AM$24+'TUSD BF'!$AM$24+'TUSD CVA'!$AM$24)*1</f>
        <v>292.16655209139662</v>
      </c>
      <c r="AA785" s="6">
        <f>('TE BE'!$AB$13+'TE BF'!$AB$13+'TE CVA'!$AB$13)*1</f>
        <v>198.18194779658231</v>
      </c>
      <c r="AB785" s="6">
        <f>$K$785*$V$785</f>
        <v>0</v>
      </c>
      <c r="AC785" s="6">
        <f>$M$785*$W$785</f>
        <v>-1419.1320000000003</v>
      </c>
      <c r="AD785" s="6">
        <f>$O$785*$X$785</f>
        <v>-962.93600000000004</v>
      </c>
      <c r="AE785" s="6">
        <f>$K$785*$Y$785</f>
        <v>0</v>
      </c>
      <c r="AF785" s="6">
        <f ca="1">$M$785*$Z$785</f>
        <v>-1519.2660708752626</v>
      </c>
      <c r="AG785" s="6">
        <f>$O$785*$AA$785</f>
        <v>-1030.546128542228</v>
      </c>
    </row>
    <row r="786" spans="1:33" ht="11.25" customHeight="1" x14ac:dyDescent="0.25">
      <c r="A786" s="4" t="s">
        <v>28</v>
      </c>
      <c r="B786" s="4" t="s">
        <v>22</v>
      </c>
      <c r="C786" s="4" t="s">
        <v>23</v>
      </c>
      <c r="D786" s="4" t="s">
        <v>24</v>
      </c>
      <c r="E786" s="4" t="s">
        <v>24</v>
      </c>
      <c r="F786" s="4" t="s">
        <v>25</v>
      </c>
      <c r="G786" s="4" t="s">
        <v>25</v>
      </c>
      <c r="H786" s="4" t="s">
        <v>25</v>
      </c>
      <c r="I786" s="5">
        <v>44652</v>
      </c>
      <c r="J786" s="6">
        <v>0</v>
      </c>
      <c r="K786" s="6">
        <v>0</v>
      </c>
      <c r="L786" s="6">
        <v>74.456999999999994</v>
      </c>
      <c r="M786" s="6">
        <v>74.456999999999994</v>
      </c>
      <c r="N786" s="6">
        <v>74.456999999999994</v>
      </c>
      <c r="O786" s="6">
        <v>74.456999999999994</v>
      </c>
      <c r="P786" s="6">
        <v>390</v>
      </c>
      <c r="Q786" s="4" t="s">
        <v>26</v>
      </c>
      <c r="R786" s="4">
        <v>0</v>
      </c>
      <c r="S786" s="6">
        <v>0</v>
      </c>
      <c r="T786" s="6">
        <v>11</v>
      </c>
      <c r="U786" s="6">
        <v>46</v>
      </c>
      <c r="V786" s="6">
        <f>IF(ISERROR(VLOOKUP($S$786,'TAR FIN'!$A$1:$O$93,15,0)),0,VLOOKUP($S$786,'TAR FIN'!$A$1:$O$93,15,0))</f>
        <v>0</v>
      </c>
      <c r="W786" s="6">
        <f>IF(ISERROR(VLOOKUP($T$786,'TAR FIN'!$A$1:$O$93,15,0)),0,VLOOKUP($T$786,'TAR FIN'!$A$1:$O$93,15,0))</f>
        <v>272.91000000000003</v>
      </c>
      <c r="X786" s="6">
        <f>IF(ISERROR(VLOOKUP($U$786,'TAR FIN'!$A$1:$O$93,15,0)),0,VLOOKUP($U$786,'TAR FIN'!$A$1:$O$93,15,0))</f>
        <v>185.18</v>
      </c>
      <c r="Y786" s="6"/>
      <c r="Z786" s="6">
        <f ca="1">('TUSD BE'!$AM$24+'TUSD BF'!$AM$24+'TUSD CVA'!$AM$24)*1</f>
        <v>292.16655209139662</v>
      </c>
      <c r="AA786" s="6">
        <f>('TE BE'!$AB$13+'TE BF'!$AB$13+'TE CVA'!$AB$13)*1</f>
        <v>198.18194779658231</v>
      </c>
      <c r="AB786" s="6">
        <f>$K$786*$V$786</f>
        <v>0</v>
      </c>
      <c r="AC786" s="6">
        <f>$M$786*$W$786</f>
        <v>20320.059870000001</v>
      </c>
      <c r="AD786" s="6">
        <f>$O$786*$X$786</f>
        <v>13787.947259999999</v>
      </c>
      <c r="AE786" s="6">
        <f>$K$786*$Y$786</f>
        <v>0</v>
      </c>
      <c r="AF786" s="6">
        <f ca="1">$M$786*$Z$786</f>
        <v>21753.844969069116</v>
      </c>
      <c r="AG786" s="6">
        <f>$O$786*$AA$786</f>
        <v>14756.033287090127</v>
      </c>
    </row>
    <row r="787" spans="1:33" ht="11.25" customHeight="1" x14ac:dyDescent="0.25">
      <c r="A787" s="4" t="s">
        <v>28</v>
      </c>
      <c r="B787" s="4" t="s">
        <v>22</v>
      </c>
      <c r="C787" s="4" t="s">
        <v>23</v>
      </c>
      <c r="D787" s="4" t="s">
        <v>24</v>
      </c>
      <c r="E787" s="4" t="s">
        <v>24</v>
      </c>
      <c r="F787" s="4" t="s">
        <v>25</v>
      </c>
      <c r="G787" s="4" t="s">
        <v>25</v>
      </c>
      <c r="H787" s="4" t="s">
        <v>25</v>
      </c>
      <c r="I787" s="5">
        <v>44652</v>
      </c>
      <c r="J787" s="6">
        <v>0</v>
      </c>
      <c r="K787" s="6">
        <v>0</v>
      </c>
      <c r="L787" s="6">
        <v>-3.3929999999999998</v>
      </c>
      <c r="M787" s="6">
        <v>-3.3929999999999998</v>
      </c>
      <c r="N787" s="6">
        <v>-3.3929999999999998</v>
      </c>
      <c r="O787" s="6">
        <v>-3.3929999999999998</v>
      </c>
      <c r="P787" s="6">
        <v>-1</v>
      </c>
      <c r="Q787" s="4" t="s">
        <v>26</v>
      </c>
      <c r="R787" s="4">
        <v>0</v>
      </c>
      <c r="S787" s="6">
        <v>0</v>
      </c>
      <c r="T787" s="6">
        <v>11</v>
      </c>
      <c r="U787" s="6">
        <v>46</v>
      </c>
      <c r="V787" s="6">
        <f>IF(ISERROR(VLOOKUP($S$787,'TAR FIN'!$A$1:$O$93,15,0)),0,VLOOKUP($S$787,'TAR FIN'!$A$1:$O$93,15,0))</f>
        <v>0</v>
      </c>
      <c r="W787" s="6">
        <f>IF(ISERROR(VLOOKUP($T$787,'TAR FIN'!$A$1:$O$93,15,0)),0,VLOOKUP($T$787,'TAR FIN'!$A$1:$O$93,15,0))</f>
        <v>272.91000000000003</v>
      </c>
      <c r="X787" s="6">
        <f>IF(ISERROR(VLOOKUP($U$787,'TAR FIN'!$A$1:$O$93,15,0)),0,VLOOKUP($U$787,'TAR FIN'!$A$1:$O$93,15,0))</f>
        <v>185.18</v>
      </c>
      <c r="Y787" s="6"/>
      <c r="Z787" s="6">
        <f ca="1">('TUSD BE'!$AM$24+'TUSD BF'!$AM$24+'TUSD CVA'!$AM$24)*1</f>
        <v>292.16655209139662</v>
      </c>
      <c r="AA787" s="6">
        <f>('TE BE'!$AB$13+'TE BF'!$AB$13+'TE CVA'!$AB$13)*1</f>
        <v>198.18194779658231</v>
      </c>
      <c r="AB787" s="6">
        <f>$K$787*$V$787</f>
        <v>0</v>
      </c>
      <c r="AC787" s="6">
        <f>$M$787*$W$787</f>
        <v>-925.98363000000006</v>
      </c>
      <c r="AD787" s="6">
        <f>$O$787*$X$787</f>
        <v>-628.31574000000001</v>
      </c>
      <c r="AE787" s="6">
        <f>$K$787*$Y$787</f>
        <v>0</v>
      </c>
      <c r="AF787" s="6">
        <f ca="1">$M$787*$Z$787</f>
        <v>-991.32111124610867</v>
      </c>
      <c r="AG787" s="6">
        <f>$O$787*$AA$787</f>
        <v>-672.4313488738037</v>
      </c>
    </row>
    <row r="788" spans="1:33" ht="11.25" customHeight="1" x14ac:dyDescent="0.25">
      <c r="A788" s="4" t="s">
        <v>21</v>
      </c>
      <c r="B788" s="4" t="s">
        <v>22</v>
      </c>
      <c r="C788" s="4" t="s">
        <v>23</v>
      </c>
      <c r="D788" s="4" t="s">
        <v>24</v>
      </c>
      <c r="E788" s="4" t="s">
        <v>24</v>
      </c>
      <c r="F788" s="4" t="s">
        <v>25</v>
      </c>
      <c r="G788" s="4" t="s">
        <v>25</v>
      </c>
      <c r="H788" s="4" t="s">
        <v>25</v>
      </c>
      <c r="I788" s="5">
        <v>44682</v>
      </c>
      <c r="J788" s="6">
        <v>0</v>
      </c>
      <c r="K788" s="6">
        <v>0</v>
      </c>
      <c r="L788" s="6">
        <v>1699.2270000000001</v>
      </c>
      <c r="M788" s="6">
        <v>1699.2270000000001</v>
      </c>
      <c r="N788" s="6">
        <v>1699.2270000000001</v>
      </c>
      <c r="O788" s="6">
        <v>1699.2270000000001</v>
      </c>
      <c r="P788" s="6">
        <v>38136</v>
      </c>
      <c r="Q788" s="4" t="s">
        <v>26</v>
      </c>
      <c r="R788" s="4">
        <v>0</v>
      </c>
      <c r="S788" s="6">
        <v>0</v>
      </c>
      <c r="T788" s="6">
        <v>11</v>
      </c>
      <c r="U788" s="6">
        <v>46</v>
      </c>
      <c r="V788" s="6">
        <f>IF(ISERROR(VLOOKUP($S$788,'TAR FIN'!$A$1:$O$93,15,0)),0,VLOOKUP($S$788,'TAR FIN'!$A$1:$O$93,15,0))</f>
        <v>0</v>
      </c>
      <c r="W788" s="6">
        <f>IF(ISERROR(VLOOKUP($T$788,'TAR FIN'!$A$1:$O$93,15,0)),0,VLOOKUP($T$788,'TAR FIN'!$A$1:$O$93,15,0))</f>
        <v>272.91000000000003</v>
      </c>
      <c r="X788" s="6">
        <f>IF(ISERROR(VLOOKUP($U$788,'TAR FIN'!$A$1:$O$93,15,0)),0,VLOOKUP($U$788,'TAR FIN'!$A$1:$O$93,15,0))</f>
        <v>185.18</v>
      </c>
      <c r="Y788" s="6"/>
      <c r="Z788" s="6">
        <f ca="1">('TUSD BE'!$AM$24+'TUSD BF'!$AM$24+'TUSD CVA'!$AM$24)*1</f>
        <v>292.16655209139662</v>
      </c>
      <c r="AA788" s="6">
        <f>('TE BE'!$AB$13+'TE BF'!$AB$13+'TE CVA'!$AB$13)*1</f>
        <v>198.18194779658231</v>
      </c>
      <c r="AB788" s="6">
        <f>$K$788*$V$788</f>
        <v>0</v>
      </c>
      <c r="AC788" s="6">
        <f>$M$788*$W$788</f>
        <v>463736.04057000007</v>
      </c>
      <c r="AD788" s="6">
        <f>$O$788*$X$788</f>
        <v>314662.85586000001</v>
      </c>
      <c r="AE788" s="6">
        <f>$K$788*$Y$788</f>
        <v>0</v>
      </c>
      <c r="AF788" s="6">
        <f ca="1">$M$788*$Z$788</f>
        <v>496457.29381060763</v>
      </c>
      <c r="AG788" s="6">
        <f>$O$788*$AA$788</f>
        <v>336756.11660854321</v>
      </c>
    </row>
    <row r="789" spans="1:33" ht="11.25" customHeight="1" x14ac:dyDescent="0.25">
      <c r="A789" s="4" t="s">
        <v>27</v>
      </c>
      <c r="B789" s="4" t="s">
        <v>22</v>
      </c>
      <c r="C789" s="4" t="s">
        <v>23</v>
      </c>
      <c r="D789" s="4" t="s">
        <v>24</v>
      </c>
      <c r="E789" s="4" t="s">
        <v>24</v>
      </c>
      <c r="F789" s="4" t="s">
        <v>25</v>
      </c>
      <c r="G789" s="4" t="s">
        <v>25</v>
      </c>
      <c r="H789" s="4" t="s">
        <v>25</v>
      </c>
      <c r="I789" s="5">
        <v>44682</v>
      </c>
      <c r="J789" s="6">
        <v>0</v>
      </c>
      <c r="K789" s="6">
        <v>0</v>
      </c>
      <c r="L789" s="6">
        <v>-5.6769999999999996</v>
      </c>
      <c r="M789" s="6">
        <v>-5.6769999999999996</v>
      </c>
      <c r="N789" s="6">
        <v>-5.6769999999999996</v>
      </c>
      <c r="O789" s="6">
        <v>-5.6769999999999996</v>
      </c>
      <c r="P789" s="6">
        <v>-26832</v>
      </c>
      <c r="Q789" s="4" t="s">
        <v>26</v>
      </c>
      <c r="R789" s="4">
        <v>0</v>
      </c>
      <c r="S789" s="6">
        <v>0</v>
      </c>
      <c r="T789" s="6">
        <v>11</v>
      </c>
      <c r="U789" s="6">
        <v>46</v>
      </c>
      <c r="V789" s="6">
        <f>IF(ISERROR(VLOOKUP($S$789,'TAR FIN'!$A$1:$O$93,15,0)),0,VLOOKUP($S$789,'TAR FIN'!$A$1:$O$93,15,0))</f>
        <v>0</v>
      </c>
      <c r="W789" s="6">
        <f>IF(ISERROR(VLOOKUP($T$789,'TAR FIN'!$A$1:$O$93,15,0)),0,VLOOKUP($T$789,'TAR FIN'!$A$1:$O$93,15,0))</f>
        <v>272.91000000000003</v>
      </c>
      <c r="X789" s="6">
        <f>IF(ISERROR(VLOOKUP($U$789,'TAR FIN'!$A$1:$O$93,15,0)),0,VLOOKUP($U$789,'TAR FIN'!$A$1:$O$93,15,0))</f>
        <v>185.18</v>
      </c>
      <c r="Y789" s="6"/>
      <c r="Z789" s="6">
        <f ca="1">('TUSD BE'!$AM$24+'TUSD BF'!$AM$24+'TUSD CVA'!$AM$24)*1</f>
        <v>292.16655209139662</v>
      </c>
      <c r="AA789" s="6">
        <f>('TE BE'!$AB$13+'TE BF'!$AB$13+'TE CVA'!$AB$13)*1</f>
        <v>198.18194779658231</v>
      </c>
      <c r="AB789" s="6">
        <f>$K$789*$V$789</f>
        <v>0</v>
      </c>
      <c r="AC789" s="6">
        <f>$M$789*$W$789</f>
        <v>-1549.31007</v>
      </c>
      <c r="AD789" s="6">
        <f>$O$789*$X$789</f>
        <v>-1051.26686</v>
      </c>
      <c r="AE789" s="6">
        <f>$K$789*$Y$789</f>
        <v>0</v>
      </c>
      <c r="AF789" s="6">
        <f ca="1">$M$789*$Z$789</f>
        <v>-1658.6295162228585</v>
      </c>
      <c r="AG789" s="6">
        <f>$O$789*$AA$789</f>
        <v>-1125.0789176411977</v>
      </c>
    </row>
    <row r="790" spans="1:33" ht="11.25" customHeight="1" x14ac:dyDescent="0.25">
      <c r="A790" s="4" t="s">
        <v>28</v>
      </c>
      <c r="B790" s="4" t="s">
        <v>22</v>
      </c>
      <c r="C790" s="4" t="s">
        <v>23</v>
      </c>
      <c r="D790" s="4" t="s">
        <v>24</v>
      </c>
      <c r="E790" s="4" t="s">
        <v>24</v>
      </c>
      <c r="F790" s="4" t="s">
        <v>25</v>
      </c>
      <c r="G790" s="4" t="s">
        <v>25</v>
      </c>
      <c r="H790" s="4" t="s">
        <v>25</v>
      </c>
      <c r="I790" s="5">
        <v>44682</v>
      </c>
      <c r="J790" s="6">
        <v>0</v>
      </c>
      <c r="K790" s="6">
        <v>0</v>
      </c>
      <c r="L790" s="6">
        <v>53.591999999999999</v>
      </c>
      <c r="M790" s="6">
        <v>53.591999999999999</v>
      </c>
      <c r="N790" s="6">
        <v>53.591999999999999</v>
      </c>
      <c r="O790" s="6">
        <v>53.591999999999999</v>
      </c>
      <c r="P790" s="6">
        <v>407</v>
      </c>
      <c r="Q790" s="4" t="s">
        <v>26</v>
      </c>
      <c r="R790" s="4">
        <v>0</v>
      </c>
      <c r="S790" s="6">
        <v>0</v>
      </c>
      <c r="T790" s="6">
        <v>11</v>
      </c>
      <c r="U790" s="6">
        <v>46</v>
      </c>
      <c r="V790" s="6">
        <f>IF(ISERROR(VLOOKUP($S$790,'TAR FIN'!$A$1:$O$93,15,0)),0,VLOOKUP($S$790,'TAR FIN'!$A$1:$O$93,15,0))</f>
        <v>0</v>
      </c>
      <c r="W790" s="6">
        <f>IF(ISERROR(VLOOKUP($T$790,'TAR FIN'!$A$1:$O$93,15,0)),0,VLOOKUP($T$790,'TAR FIN'!$A$1:$O$93,15,0))</f>
        <v>272.91000000000003</v>
      </c>
      <c r="X790" s="6">
        <f>IF(ISERROR(VLOOKUP($U$790,'TAR FIN'!$A$1:$O$93,15,0)),0,VLOOKUP($U$790,'TAR FIN'!$A$1:$O$93,15,0))</f>
        <v>185.18</v>
      </c>
      <c r="Y790" s="6"/>
      <c r="Z790" s="6">
        <f ca="1">('TUSD BE'!$AM$24+'TUSD BF'!$AM$24+'TUSD CVA'!$AM$24)*1</f>
        <v>292.16655209139662</v>
      </c>
      <c r="AA790" s="6">
        <f>('TE BE'!$AB$13+'TE BF'!$AB$13+'TE CVA'!$AB$13)*1</f>
        <v>198.18194779658231</v>
      </c>
      <c r="AB790" s="6">
        <f>$K$790*$V$790</f>
        <v>0</v>
      </c>
      <c r="AC790" s="6">
        <f>$M$790*$W$790</f>
        <v>14625.792720000001</v>
      </c>
      <c r="AD790" s="6">
        <f>$O$790*$X$790</f>
        <v>9924.1665599999997</v>
      </c>
      <c r="AE790" s="6">
        <f>$K$790*$Y$790</f>
        <v>0</v>
      </c>
      <c r="AF790" s="6">
        <f ca="1">$M$790*$Z$790</f>
        <v>15657.789859682127</v>
      </c>
      <c r="AG790" s="6">
        <f>$O$790*$AA$790</f>
        <v>10620.966946314438</v>
      </c>
    </row>
    <row r="791" spans="1:33" ht="11.25" customHeight="1" x14ac:dyDescent="0.25">
      <c r="A791" s="4" t="s">
        <v>28</v>
      </c>
      <c r="B791" s="4" t="s">
        <v>22</v>
      </c>
      <c r="C791" s="4" t="s">
        <v>23</v>
      </c>
      <c r="D791" s="4" t="s">
        <v>24</v>
      </c>
      <c r="E791" s="4" t="s">
        <v>24</v>
      </c>
      <c r="F791" s="4" t="s">
        <v>25</v>
      </c>
      <c r="G791" s="4" t="s">
        <v>25</v>
      </c>
      <c r="H791" s="4" t="s">
        <v>25</v>
      </c>
      <c r="I791" s="5">
        <v>44682</v>
      </c>
      <c r="J791" s="6">
        <v>0</v>
      </c>
      <c r="K791" s="6">
        <v>0</v>
      </c>
      <c r="L791" s="6">
        <v>-35.850999999999999</v>
      </c>
      <c r="M791" s="6">
        <v>-35.850999999999999</v>
      </c>
      <c r="N791" s="6">
        <v>-35.850999999999999</v>
      </c>
      <c r="O791" s="6">
        <v>-35.850999999999999</v>
      </c>
      <c r="P791" s="6">
        <v>-2</v>
      </c>
      <c r="Q791" s="4" t="s">
        <v>26</v>
      </c>
      <c r="R791" s="4">
        <v>0</v>
      </c>
      <c r="S791" s="6">
        <v>0</v>
      </c>
      <c r="T791" s="6">
        <v>11</v>
      </c>
      <c r="U791" s="6">
        <v>46</v>
      </c>
      <c r="V791" s="6">
        <f>IF(ISERROR(VLOOKUP($S$791,'TAR FIN'!$A$1:$O$93,15,0)),0,VLOOKUP($S$791,'TAR FIN'!$A$1:$O$93,15,0))</f>
        <v>0</v>
      </c>
      <c r="W791" s="6">
        <f>IF(ISERROR(VLOOKUP($T$791,'TAR FIN'!$A$1:$O$93,15,0)),0,VLOOKUP($T$791,'TAR FIN'!$A$1:$O$93,15,0))</f>
        <v>272.91000000000003</v>
      </c>
      <c r="X791" s="6">
        <f>IF(ISERROR(VLOOKUP($U$791,'TAR FIN'!$A$1:$O$93,15,0)),0,VLOOKUP($U$791,'TAR FIN'!$A$1:$O$93,15,0))</f>
        <v>185.18</v>
      </c>
      <c r="Y791" s="6"/>
      <c r="Z791" s="6">
        <f ca="1">('TUSD BE'!$AM$24+'TUSD BF'!$AM$24+'TUSD CVA'!$AM$24)*1</f>
        <v>292.16655209139662</v>
      </c>
      <c r="AA791" s="6">
        <f>('TE BE'!$AB$13+'TE BF'!$AB$13+'TE CVA'!$AB$13)*1</f>
        <v>198.18194779658231</v>
      </c>
      <c r="AB791" s="6">
        <f>$K$791*$V$791</f>
        <v>0</v>
      </c>
      <c r="AC791" s="6">
        <f>$M$791*$W$791</f>
        <v>-9784.0964100000001</v>
      </c>
      <c r="AD791" s="6">
        <f>$O$791*$X$791</f>
        <v>-6638.8881799999999</v>
      </c>
      <c r="AE791" s="6">
        <f>$K$791*$Y$791</f>
        <v>0</v>
      </c>
      <c r="AF791" s="6">
        <f ca="1">$M$791*$Z$791</f>
        <v>-10474.46305902866</v>
      </c>
      <c r="AG791" s="6">
        <f>$O$791*$AA$791</f>
        <v>-7105.0210104552725</v>
      </c>
    </row>
    <row r="792" spans="1:33" ht="11.25" customHeight="1" x14ac:dyDescent="0.25">
      <c r="A792" s="4" t="s">
        <v>21</v>
      </c>
      <c r="B792" s="4" t="s">
        <v>22</v>
      </c>
      <c r="C792" s="4" t="s">
        <v>23</v>
      </c>
      <c r="D792" s="4" t="s">
        <v>24</v>
      </c>
      <c r="E792" s="4" t="s">
        <v>24</v>
      </c>
      <c r="F792" s="4" t="s">
        <v>25</v>
      </c>
      <c r="G792" s="4" t="s">
        <v>25</v>
      </c>
      <c r="H792" s="4" t="s">
        <v>25</v>
      </c>
      <c r="I792" s="5">
        <v>44713</v>
      </c>
      <c r="J792" s="6">
        <v>0</v>
      </c>
      <c r="K792" s="6">
        <v>0</v>
      </c>
      <c r="L792" s="6">
        <v>1891.549</v>
      </c>
      <c r="M792" s="6">
        <v>1891.549</v>
      </c>
      <c r="N792" s="6">
        <v>1891.549</v>
      </c>
      <c r="O792" s="6">
        <v>1891.549</v>
      </c>
      <c r="P792" s="6">
        <v>11356</v>
      </c>
      <c r="Q792" s="4" t="s">
        <v>26</v>
      </c>
      <c r="R792" s="4">
        <v>0</v>
      </c>
      <c r="S792" s="6">
        <v>0</v>
      </c>
      <c r="T792" s="6">
        <v>11</v>
      </c>
      <c r="U792" s="6">
        <v>46</v>
      </c>
      <c r="V792" s="6">
        <f>IF(ISERROR(VLOOKUP($S$792,'TAR FIN'!$A$1:$O$93,15,0)),0,VLOOKUP($S$792,'TAR FIN'!$A$1:$O$93,15,0))</f>
        <v>0</v>
      </c>
      <c r="W792" s="6">
        <f>IF(ISERROR(VLOOKUP($T$792,'TAR FIN'!$A$1:$O$93,15,0)),0,VLOOKUP($T$792,'TAR FIN'!$A$1:$O$93,15,0))</f>
        <v>272.91000000000003</v>
      </c>
      <c r="X792" s="6">
        <f>IF(ISERROR(VLOOKUP($U$792,'TAR FIN'!$A$1:$O$93,15,0)),0,VLOOKUP($U$792,'TAR FIN'!$A$1:$O$93,15,0))</f>
        <v>185.18</v>
      </c>
      <c r="Y792" s="6"/>
      <c r="Z792" s="6">
        <f ca="1">('TUSD BE'!$AM$24+'TUSD BF'!$AM$24+'TUSD CVA'!$AM$24)*1</f>
        <v>292.16655209139662</v>
      </c>
      <c r="AA792" s="6">
        <f>('TE BE'!$AB$13+'TE BF'!$AB$13+'TE CVA'!$AB$13)*1</f>
        <v>198.18194779658231</v>
      </c>
      <c r="AB792" s="6">
        <f>$K$792*$V$792</f>
        <v>0</v>
      </c>
      <c r="AC792" s="6">
        <f>$M$792*$W$792</f>
        <v>516222.63759000006</v>
      </c>
      <c r="AD792" s="6">
        <f>$O$792*$X$792</f>
        <v>350277.04382000002</v>
      </c>
      <c r="AE792" s="6">
        <f>$K$792*$Y$792</f>
        <v>0</v>
      </c>
      <c r="AF792" s="6">
        <f ca="1">$M$792*$Z$792</f>
        <v>552647.34944192914</v>
      </c>
      <c r="AG792" s="6">
        <f>$O$792*$AA$792</f>
        <v>374870.86517267744</v>
      </c>
    </row>
    <row r="793" spans="1:33" ht="11.25" customHeight="1" x14ac:dyDescent="0.25">
      <c r="A793" s="4" t="s">
        <v>27</v>
      </c>
      <c r="B793" s="4" t="s">
        <v>22</v>
      </c>
      <c r="C793" s="4" t="s">
        <v>23</v>
      </c>
      <c r="D793" s="4" t="s">
        <v>24</v>
      </c>
      <c r="E793" s="4" t="s">
        <v>24</v>
      </c>
      <c r="F793" s="4" t="s">
        <v>25</v>
      </c>
      <c r="G793" s="4" t="s">
        <v>25</v>
      </c>
      <c r="H793" s="4" t="s">
        <v>25</v>
      </c>
      <c r="I793" s="5">
        <v>44713</v>
      </c>
      <c r="J793" s="6">
        <v>0</v>
      </c>
      <c r="K793" s="6">
        <v>0</v>
      </c>
      <c r="L793" s="6">
        <v>-10.9</v>
      </c>
      <c r="M793" s="6">
        <v>-10.9</v>
      </c>
      <c r="N793" s="6">
        <v>-10.9</v>
      </c>
      <c r="O793" s="6">
        <v>-10.9</v>
      </c>
      <c r="P793" s="6">
        <v>-42</v>
      </c>
      <c r="Q793" s="4" t="s">
        <v>26</v>
      </c>
      <c r="R793" s="4">
        <v>0</v>
      </c>
      <c r="S793" s="6">
        <v>0</v>
      </c>
      <c r="T793" s="6">
        <v>11</v>
      </c>
      <c r="U793" s="6">
        <v>46</v>
      </c>
      <c r="V793" s="6">
        <f>IF(ISERROR(VLOOKUP($S$793,'TAR FIN'!$A$1:$O$93,15,0)),0,VLOOKUP($S$793,'TAR FIN'!$A$1:$O$93,15,0))</f>
        <v>0</v>
      </c>
      <c r="W793" s="6">
        <f>IF(ISERROR(VLOOKUP($T$793,'TAR FIN'!$A$1:$O$93,15,0)),0,VLOOKUP($T$793,'TAR FIN'!$A$1:$O$93,15,0))</f>
        <v>272.91000000000003</v>
      </c>
      <c r="X793" s="6">
        <f>IF(ISERROR(VLOOKUP($U$793,'TAR FIN'!$A$1:$O$93,15,0)),0,VLOOKUP($U$793,'TAR FIN'!$A$1:$O$93,15,0))</f>
        <v>185.18</v>
      </c>
      <c r="Y793" s="6"/>
      <c r="Z793" s="6">
        <f ca="1">('TUSD BE'!$AM$24+'TUSD BF'!$AM$24+'TUSD CVA'!$AM$24)*1</f>
        <v>292.16655209139662</v>
      </c>
      <c r="AA793" s="6">
        <f>('TE BE'!$AB$13+'TE BF'!$AB$13+'TE CVA'!$AB$13)*1</f>
        <v>198.18194779658231</v>
      </c>
      <c r="AB793" s="6">
        <f>$K$793*$V$793</f>
        <v>0</v>
      </c>
      <c r="AC793" s="6">
        <f>$M$793*$W$793</f>
        <v>-2974.7190000000005</v>
      </c>
      <c r="AD793" s="6">
        <f>$O$793*$X$793</f>
        <v>-2018.4620000000002</v>
      </c>
      <c r="AE793" s="6">
        <f>$K$793*$Y$793</f>
        <v>0</v>
      </c>
      <c r="AF793" s="6">
        <f ca="1">$M$793*$Z$793</f>
        <v>-3184.6154177962235</v>
      </c>
      <c r="AG793" s="6">
        <f>$O$793*$AA$793</f>
        <v>-2160.1832309827473</v>
      </c>
    </row>
    <row r="794" spans="1:33" ht="11.25" customHeight="1" x14ac:dyDescent="0.25">
      <c r="A794" s="4" t="s">
        <v>28</v>
      </c>
      <c r="B794" s="4" t="s">
        <v>22</v>
      </c>
      <c r="C794" s="4" t="s">
        <v>23</v>
      </c>
      <c r="D794" s="4" t="s">
        <v>24</v>
      </c>
      <c r="E794" s="4" t="s">
        <v>24</v>
      </c>
      <c r="F794" s="4" t="s">
        <v>25</v>
      </c>
      <c r="G794" s="4" t="s">
        <v>25</v>
      </c>
      <c r="H794" s="4" t="s">
        <v>25</v>
      </c>
      <c r="I794" s="5">
        <v>44713</v>
      </c>
      <c r="J794" s="6">
        <v>0</v>
      </c>
      <c r="K794" s="6">
        <v>0</v>
      </c>
      <c r="L794" s="6">
        <v>77.406000000000006</v>
      </c>
      <c r="M794" s="6">
        <v>77.406000000000006</v>
      </c>
      <c r="N794" s="6">
        <v>77.406000000000006</v>
      </c>
      <c r="O794" s="6">
        <v>77.406000000000006</v>
      </c>
      <c r="P794" s="6">
        <v>450</v>
      </c>
      <c r="Q794" s="4" t="s">
        <v>26</v>
      </c>
      <c r="R794" s="4">
        <v>0</v>
      </c>
      <c r="S794" s="6">
        <v>0</v>
      </c>
      <c r="T794" s="6">
        <v>11</v>
      </c>
      <c r="U794" s="6">
        <v>46</v>
      </c>
      <c r="V794" s="6">
        <f>IF(ISERROR(VLOOKUP($S$794,'TAR FIN'!$A$1:$O$93,15,0)),0,VLOOKUP($S$794,'TAR FIN'!$A$1:$O$93,15,0))</f>
        <v>0</v>
      </c>
      <c r="W794" s="6">
        <f>IF(ISERROR(VLOOKUP($T$794,'TAR FIN'!$A$1:$O$93,15,0)),0,VLOOKUP($T$794,'TAR FIN'!$A$1:$O$93,15,0))</f>
        <v>272.91000000000003</v>
      </c>
      <c r="X794" s="6">
        <f>IF(ISERROR(VLOOKUP($U$794,'TAR FIN'!$A$1:$O$93,15,0)),0,VLOOKUP($U$794,'TAR FIN'!$A$1:$O$93,15,0))</f>
        <v>185.18</v>
      </c>
      <c r="Y794" s="6"/>
      <c r="Z794" s="6">
        <f ca="1">('TUSD BE'!$AM$24+'TUSD BF'!$AM$24+'TUSD CVA'!$AM$24)*1</f>
        <v>292.16655209139662</v>
      </c>
      <c r="AA794" s="6">
        <f>('TE BE'!$AB$13+'TE BF'!$AB$13+'TE CVA'!$AB$13)*1</f>
        <v>198.18194779658231</v>
      </c>
      <c r="AB794" s="6">
        <f>$K$794*$V$794</f>
        <v>0</v>
      </c>
      <c r="AC794" s="6">
        <f>$M$794*$W$794</f>
        <v>21124.871460000002</v>
      </c>
      <c r="AD794" s="6">
        <f>$O$794*$X$794</f>
        <v>14334.043080000001</v>
      </c>
      <c r="AE794" s="6">
        <f>$K$794*$Y$794</f>
        <v>0</v>
      </c>
      <c r="AF794" s="6">
        <f ca="1">$M$794*$Z$794</f>
        <v>22615.44413118665</v>
      </c>
      <c r="AG794" s="6">
        <f>$O$794*$AA$794</f>
        <v>15340.471851142251</v>
      </c>
    </row>
    <row r="795" spans="1:33" ht="11.25" customHeight="1" x14ac:dyDescent="0.25">
      <c r="A795" s="4" t="s">
        <v>28</v>
      </c>
      <c r="B795" s="4" t="s">
        <v>22</v>
      </c>
      <c r="C795" s="4" t="s">
        <v>23</v>
      </c>
      <c r="D795" s="4" t="s">
        <v>24</v>
      </c>
      <c r="E795" s="4" t="s">
        <v>24</v>
      </c>
      <c r="F795" s="4" t="s">
        <v>25</v>
      </c>
      <c r="G795" s="4" t="s">
        <v>25</v>
      </c>
      <c r="H795" s="4" t="s">
        <v>25</v>
      </c>
      <c r="I795" s="5">
        <v>44713</v>
      </c>
      <c r="J795" s="6">
        <v>0</v>
      </c>
      <c r="K795" s="6">
        <v>0</v>
      </c>
      <c r="L795" s="6">
        <v>-1.7909999999999999</v>
      </c>
      <c r="M795" s="6">
        <v>-1.7909999999999999</v>
      </c>
      <c r="N795" s="6">
        <v>-1.7909999999999999</v>
      </c>
      <c r="O795" s="6">
        <v>-1.7909999999999999</v>
      </c>
      <c r="P795" s="6">
        <v>-2</v>
      </c>
      <c r="Q795" s="4" t="s">
        <v>26</v>
      </c>
      <c r="R795" s="4">
        <v>0</v>
      </c>
      <c r="S795" s="6">
        <v>0</v>
      </c>
      <c r="T795" s="6">
        <v>11</v>
      </c>
      <c r="U795" s="6">
        <v>46</v>
      </c>
      <c r="V795" s="6">
        <f>IF(ISERROR(VLOOKUP($S$795,'TAR FIN'!$A$1:$O$93,15,0)),0,VLOOKUP($S$795,'TAR FIN'!$A$1:$O$93,15,0))</f>
        <v>0</v>
      </c>
      <c r="W795" s="6">
        <f>IF(ISERROR(VLOOKUP($T$795,'TAR FIN'!$A$1:$O$93,15,0)),0,VLOOKUP($T$795,'TAR FIN'!$A$1:$O$93,15,0))</f>
        <v>272.91000000000003</v>
      </c>
      <c r="X795" s="6">
        <f>IF(ISERROR(VLOOKUP($U$795,'TAR FIN'!$A$1:$O$93,15,0)),0,VLOOKUP($U$795,'TAR FIN'!$A$1:$O$93,15,0))</f>
        <v>185.18</v>
      </c>
      <c r="Y795" s="6"/>
      <c r="Z795" s="6">
        <f ca="1">('TUSD BE'!$AM$24+'TUSD BF'!$AM$24+'TUSD CVA'!$AM$24)*1</f>
        <v>292.16655209139662</v>
      </c>
      <c r="AA795" s="6">
        <f>('TE BE'!$AB$13+'TE BF'!$AB$13+'TE CVA'!$AB$13)*1</f>
        <v>198.18194779658231</v>
      </c>
      <c r="AB795" s="6">
        <f>$K$795*$V$795</f>
        <v>0</v>
      </c>
      <c r="AC795" s="6">
        <f>$M$795*$W$795</f>
        <v>-488.78181000000001</v>
      </c>
      <c r="AD795" s="6">
        <f>$O$795*$X$795</f>
        <v>-331.65737999999999</v>
      </c>
      <c r="AE795" s="6">
        <f>$K$795*$Y$795</f>
        <v>0</v>
      </c>
      <c r="AF795" s="6">
        <f ca="1">$M$795*$Z$795</f>
        <v>-523.27029479569137</v>
      </c>
      <c r="AG795" s="6">
        <f>$O$795*$AA$795</f>
        <v>-354.94386850367891</v>
      </c>
    </row>
    <row r="796" spans="1:33" ht="11.25" customHeight="1" x14ac:dyDescent="0.25">
      <c r="A796" s="4" t="s">
        <v>21</v>
      </c>
      <c r="B796" s="4" t="s">
        <v>22</v>
      </c>
      <c r="C796" s="4" t="s">
        <v>23</v>
      </c>
      <c r="D796" s="4" t="s">
        <v>24</v>
      </c>
      <c r="E796" s="4" t="s">
        <v>29</v>
      </c>
      <c r="F796" s="4" t="s">
        <v>25</v>
      </c>
      <c r="G796" s="4" t="s">
        <v>25</v>
      </c>
      <c r="H796" s="4" t="s">
        <v>25</v>
      </c>
      <c r="I796" s="5">
        <v>44378</v>
      </c>
      <c r="J796" s="6">
        <v>0</v>
      </c>
      <c r="K796" s="6">
        <v>0</v>
      </c>
      <c r="L796" s="6">
        <v>7.14</v>
      </c>
      <c r="M796" s="6">
        <v>7.14</v>
      </c>
      <c r="N796" s="6">
        <v>7.14</v>
      </c>
      <c r="O796" s="6">
        <v>7.14</v>
      </c>
      <c r="P796" s="6">
        <v>12</v>
      </c>
      <c r="Q796" s="4" t="s">
        <v>26</v>
      </c>
      <c r="R796" s="4">
        <v>0</v>
      </c>
      <c r="S796" s="6">
        <v>0</v>
      </c>
      <c r="T796" s="6">
        <v>10</v>
      </c>
      <c r="U796" s="6">
        <v>57</v>
      </c>
      <c r="V796" s="6">
        <f>IF(ISERROR(VLOOKUP($S$796,'TAR FIN'!$A$1:$O$93,15,0)),0,VLOOKUP($S$796,'TAR FIN'!$A$1:$O$93,15,0))</f>
        <v>0</v>
      </c>
      <c r="W796" s="6">
        <f>IF(ISERROR(VLOOKUP($T$796,'TAR FIN'!$A$1:$O$93,15,0)),0,VLOOKUP($T$796,'TAR FIN'!$A$1:$O$93,15,0))</f>
        <v>71.83</v>
      </c>
      <c r="X796" s="6">
        <f>IF(ISERROR(VLOOKUP($U$796,'TAR FIN'!$A$1:$O$93,15,0)),0,VLOOKUP($U$796,'TAR FIN'!$A$1:$O$93,15,0))</f>
        <v>64.81</v>
      </c>
      <c r="Y796" s="6"/>
      <c r="Z796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796" s="6">
        <f>('TE BE'!$AB$14+'TE BF'!$AB$14+'TE CVA'!$AB$14)*(1-CUSTOS!$M$34)</f>
        <v>69.363681728803797</v>
      </c>
      <c r="AB796" s="6">
        <f>$K$796*$V$796</f>
        <v>0</v>
      </c>
      <c r="AC796" s="6">
        <f>$M$796*$W$796</f>
        <v>512.86619999999994</v>
      </c>
      <c r="AD796" s="6">
        <f>$O$796*$X$796</f>
        <v>462.74340000000001</v>
      </c>
      <c r="AE796" s="6">
        <f>$K$796*$Y$796</f>
        <v>0</v>
      </c>
      <c r="AF796" s="6">
        <f ca="1">$M$796*$Z$796</f>
        <v>487.09956592306753</v>
      </c>
      <c r="AG796" s="6">
        <f>$O$796*$AA$796</f>
        <v>495.2566875436591</v>
      </c>
    </row>
    <row r="797" spans="1:33" ht="11.25" customHeight="1" x14ac:dyDescent="0.25">
      <c r="A797" s="4" t="s">
        <v>21</v>
      </c>
      <c r="B797" s="4" t="s">
        <v>22</v>
      </c>
      <c r="C797" s="4" t="s">
        <v>23</v>
      </c>
      <c r="D797" s="4" t="s">
        <v>24</v>
      </c>
      <c r="E797" s="4" t="s">
        <v>29</v>
      </c>
      <c r="F797" s="4" t="s">
        <v>25</v>
      </c>
      <c r="G797" s="4" t="s">
        <v>25</v>
      </c>
      <c r="H797" s="4" t="s">
        <v>25</v>
      </c>
      <c r="I797" s="5">
        <v>44409</v>
      </c>
      <c r="J797" s="6">
        <v>0</v>
      </c>
      <c r="K797" s="6">
        <v>0</v>
      </c>
      <c r="L797" s="6">
        <v>7.2</v>
      </c>
      <c r="M797" s="6">
        <v>7.2</v>
      </c>
      <c r="N797" s="6">
        <v>7.2</v>
      </c>
      <c r="O797" s="6">
        <v>7.2</v>
      </c>
      <c r="P797" s="6">
        <v>8</v>
      </c>
      <c r="Q797" s="4" t="s">
        <v>26</v>
      </c>
      <c r="R797" s="4">
        <v>0</v>
      </c>
      <c r="S797" s="6">
        <v>0</v>
      </c>
      <c r="T797" s="6">
        <v>10</v>
      </c>
      <c r="U797" s="6">
        <v>57</v>
      </c>
      <c r="V797" s="6">
        <f>IF(ISERROR(VLOOKUP($S$797,'TAR FIN'!$A$1:$O$93,15,0)),0,VLOOKUP($S$797,'TAR FIN'!$A$1:$O$93,15,0))</f>
        <v>0</v>
      </c>
      <c r="W797" s="6">
        <f>IF(ISERROR(VLOOKUP($T$797,'TAR FIN'!$A$1:$O$93,15,0)),0,VLOOKUP($T$797,'TAR FIN'!$A$1:$O$93,15,0))</f>
        <v>71.83</v>
      </c>
      <c r="X797" s="6">
        <f>IF(ISERROR(VLOOKUP($U$797,'TAR FIN'!$A$1:$O$93,15,0)),0,VLOOKUP($U$797,'TAR FIN'!$A$1:$O$93,15,0))</f>
        <v>64.81</v>
      </c>
      <c r="Y797" s="6"/>
      <c r="Z797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797" s="6">
        <f>('TE BE'!$AB$14+'TE BF'!$AB$14+'TE CVA'!$AB$14)*(1-CUSTOS!$M$34)</f>
        <v>69.363681728803797</v>
      </c>
      <c r="AB797" s="6">
        <f>$K$797*$V$797</f>
        <v>0</v>
      </c>
      <c r="AC797" s="6">
        <f>$M$797*$W$797</f>
        <v>517.17600000000004</v>
      </c>
      <c r="AD797" s="6">
        <f>$O$797*$X$797</f>
        <v>466.63200000000001</v>
      </c>
      <c r="AE797" s="6">
        <f>$K$797*$Y$797</f>
        <v>0</v>
      </c>
      <c r="AF797" s="6">
        <f ca="1">$M$797*$Z$797</f>
        <v>491.19283958628665</v>
      </c>
      <c r="AG797" s="6">
        <f>$O$797*$AA$797</f>
        <v>499.41850844738735</v>
      </c>
    </row>
    <row r="798" spans="1:33" ht="11.25" customHeight="1" x14ac:dyDescent="0.25">
      <c r="A798" s="4" t="s">
        <v>21</v>
      </c>
      <c r="B798" s="4" t="s">
        <v>22</v>
      </c>
      <c r="C798" s="4" t="s">
        <v>23</v>
      </c>
      <c r="D798" s="4" t="s">
        <v>24</v>
      </c>
      <c r="E798" s="4" t="s">
        <v>29</v>
      </c>
      <c r="F798" s="4" t="s">
        <v>25</v>
      </c>
      <c r="G798" s="4" t="s">
        <v>25</v>
      </c>
      <c r="H798" s="4" t="s">
        <v>25</v>
      </c>
      <c r="I798" s="5">
        <v>44440</v>
      </c>
      <c r="J798" s="6">
        <v>0</v>
      </c>
      <c r="K798" s="6">
        <v>0</v>
      </c>
      <c r="L798" s="6">
        <v>7.29</v>
      </c>
      <c r="M798" s="6">
        <v>7.29</v>
      </c>
      <c r="N798" s="6">
        <v>7.29</v>
      </c>
      <c r="O798" s="6">
        <v>7.29</v>
      </c>
      <c r="P798" s="6">
        <v>9</v>
      </c>
      <c r="Q798" s="4" t="s">
        <v>26</v>
      </c>
      <c r="R798" s="4">
        <v>0</v>
      </c>
      <c r="S798" s="6">
        <v>0</v>
      </c>
      <c r="T798" s="6">
        <v>10</v>
      </c>
      <c r="U798" s="6">
        <v>57</v>
      </c>
      <c r="V798" s="6">
        <f>IF(ISERROR(VLOOKUP($S$798,'TAR FIN'!$A$1:$O$93,15,0)),0,VLOOKUP($S$798,'TAR FIN'!$A$1:$O$93,15,0))</f>
        <v>0</v>
      </c>
      <c r="W798" s="6">
        <f>IF(ISERROR(VLOOKUP($T$798,'TAR FIN'!$A$1:$O$93,15,0)),0,VLOOKUP($T$798,'TAR FIN'!$A$1:$O$93,15,0))</f>
        <v>71.83</v>
      </c>
      <c r="X798" s="6">
        <f>IF(ISERROR(VLOOKUP($U$798,'TAR FIN'!$A$1:$O$93,15,0)),0,VLOOKUP($U$798,'TAR FIN'!$A$1:$O$93,15,0))</f>
        <v>64.81</v>
      </c>
      <c r="Y798" s="6"/>
      <c r="Z798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798" s="6">
        <f>('TE BE'!$AB$14+'TE BF'!$AB$14+'TE CVA'!$AB$14)*(1-CUSTOS!$M$34)</f>
        <v>69.363681728803797</v>
      </c>
      <c r="AB798" s="6">
        <f>$K$798*$V$798</f>
        <v>0</v>
      </c>
      <c r="AC798" s="6">
        <f>$M$798*$W$798</f>
        <v>523.64070000000004</v>
      </c>
      <c r="AD798" s="6">
        <f>$O$798*$X$798</f>
        <v>472.4649</v>
      </c>
      <c r="AE798" s="6">
        <f>$K$798*$Y$798</f>
        <v>0</v>
      </c>
      <c r="AF798" s="6">
        <f ca="1">$M$798*$Z$798</f>
        <v>497.33275008111519</v>
      </c>
      <c r="AG798" s="6">
        <f>$O$798*$AA$798</f>
        <v>505.66123980297971</v>
      </c>
    </row>
    <row r="799" spans="1:33" ht="11.25" customHeight="1" x14ac:dyDescent="0.25">
      <c r="A799" s="4" t="s">
        <v>21</v>
      </c>
      <c r="B799" s="4" t="s">
        <v>22</v>
      </c>
      <c r="C799" s="4" t="s">
        <v>23</v>
      </c>
      <c r="D799" s="4" t="s">
        <v>24</v>
      </c>
      <c r="E799" s="4" t="s">
        <v>29</v>
      </c>
      <c r="F799" s="4" t="s">
        <v>25</v>
      </c>
      <c r="G799" s="4" t="s">
        <v>25</v>
      </c>
      <c r="H799" s="4" t="s">
        <v>25</v>
      </c>
      <c r="I799" s="5">
        <v>44470</v>
      </c>
      <c r="J799" s="6">
        <v>0</v>
      </c>
      <c r="K799" s="6">
        <v>0</v>
      </c>
      <c r="L799" s="6">
        <v>7.38</v>
      </c>
      <c r="M799" s="6">
        <v>7.38</v>
      </c>
      <c r="N799" s="6">
        <v>7.38</v>
      </c>
      <c r="O799" s="6">
        <v>7.38</v>
      </c>
      <c r="P799" s="6">
        <v>10</v>
      </c>
      <c r="Q799" s="4" t="s">
        <v>26</v>
      </c>
      <c r="R799" s="4">
        <v>0</v>
      </c>
      <c r="S799" s="6">
        <v>0</v>
      </c>
      <c r="T799" s="6">
        <v>10</v>
      </c>
      <c r="U799" s="6">
        <v>57</v>
      </c>
      <c r="V799" s="6">
        <f>IF(ISERROR(VLOOKUP($S$799,'TAR FIN'!$A$1:$O$93,15,0)),0,VLOOKUP($S$799,'TAR FIN'!$A$1:$O$93,15,0))</f>
        <v>0</v>
      </c>
      <c r="W799" s="6">
        <f>IF(ISERROR(VLOOKUP($T$799,'TAR FIN'!$A$1:$O$93,15,0)),0,VLOOKUP($T$799,'TAR FIN'!$A$1:$O$93,15,0))</f>
        <v>71.83</v>
      </c>
      <c r="X799" s="6">
        <f>IF(ISERROR(VLOOKUP($U$799,'TAR FIN'!$A$1:$O$93,15,0)),0,VLOOKUP($U$799,'TAR FIN'!$A$1:$O$93,15,0))</f>
        <v>64.81</v>
      </c>
      <c r="Y799" s="6"/>
      <c r="Z799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799" s="6">
        <f>('TE BE'!$AB$14+'TE BF'!$AB$14+'TE CVA'!$AB$14)*(1-CUSTOS!$M$34)</f>
        <v>69.363681728803797</v>
      </c>
      <c r="AB799" s="6">
        <f>$K$799*$V$799</f>
        <v>0</v>
      </c>
      <c r="AC799" s="6">
        <f>$M$799*$W$799</f>
        <v>530.10540000000003</v>
      </c>
      <c r="AD799" s="6">
        <f>$O$799*$X$799</f>
        <v>478.2978</v>
      </c>
      <c r="AE799" s="6">
        <f>$K$799*$Y$799</f>
        <v>0</v>
      </c>
      <c r="AF799" s="6">
        <f ca="1">$M$799*$Z$799</f>
        <v>503.47266057594379</v>
      </c>
      <c r="AG799" s="6">
        <f>$O$799*$AA$799</f>
        <v>511.90397115857201</v>
      </c>
    </row>
    <row r="800" spans="1:33" ht="11.25" customHeight="1" x14ac:dyDescent="0.25">
      <c r="A800" s="4" t="s">
        <v>21</v>
      </c>
      <c r="B800" s="4" t="s">
        <v>22</v>
      </c>
      <c r="C800" s="4" t="s">
        <v>23</v>
      </c>
      <c r="D800" s="4" t="s">
        <v>24</v>
      </c>
      <c r="E800" s="4" t="s">
        <v>29</v>
      </c>
      <c r="F800" s="4" t="s">
        <v>25</v>
      </c>
      <c r="G800" s="4" t="s">
        <v>25</v>
      </c>
      <c r="H800" s="4" t="s">
        <v>25</v>
      </c>
      <c r="I800" s="5">
        <v>44501</v>
      </c>
      <c r="J800" s="6">
        <v>0</v>
      </c>
      <c r="K800" s="6">
        <v>0</v>
      </c>
      <c r="L800" s="6">
        <v>7.98</v>
      </c>
      <c r="M800" s="6">
        <v>7.98</v>
      </c>
      <c r="N800" s="6">
        <v>7.98</v>
      </c>
      <c r="O800" s="6">
        <v>7.98</v>
      </c>
      <c r="P800" s="6">
        <v>14</v>
      </c>
      <c r="Q800" s="4" t="s">
        <v>26</v>
      </c>
      <c r="R800" s="4">
        <v>0</v>
      </c>
      <c r="S800" s="6">
        <v>0</v>
      </c>
      <c r="T800" s="6">
        <v>10</v>
      </c>
      <c r="U800" s="6">
        <v>57</v>
      </c>
      <c r="V800" s="6">
        <f>IF(ISERROR(VLOOKUP($S$800,'TAR FIN'!$A$1:$O$93,15,0)),0,VLOOKUP($S$800,'TAR FIN'!$A$1:$O$93,15,0))</f>
        <v>0</v>
      </c>
      <c r="W800" s="6">
        <f>IF(ISERROR(VLOOKUP($T$800,'TAR FIN'!$A$1:$O$93,15,0)),0,VLOOKUP($T$800,'TAR FIN'!$A$1:$O$93,15,0))</f>
        <v>71.83</v>
      </c>
      <c r="X800" s="6">
        <f>IF(ISERROR(VLOOKUP($U$800,'TAR FIN'!$A$1:$O$93,15,0)),0,VLOOKUP($U$800,'TAR FIN'!$A$1:$O$93,15,0))</f>
        <v>64.81</v>
      </c>
      <c r="Y800" s="6"/>
      <c r="Z800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800" s="6">
        <f>('TE BE'!$AB$14+'TE BF'!$AB$14+'TE CVA'!$AB$14)*(1-CUSTOS!$M$34)</f>
        <v>69.363681728803797</v>
      </c>
      <c r="AB800" s="6">
        <f>$K$800*$V$800</f>
        <v>0</v>
      </c>
      <c r="AC800" s="6">
        <f>$M$800*$W$800</f>
        <v>573.20339999999999</v>
      </c>
      <c r="AD800" s="6">
        <f>$O$800*$X$800</f>
        <v>517.18380000000002</v>
      </c>
      <c r="AE800" s="6">
        <f>$K$800*$Y$800</f>
        <v>0</v>
      </c>
      <c r="AF800" s="6">
        <f ca="1">$M$800*$Z$800</f>
        <v>544.40539720813433</v>
      </c>
      <c r="AG800" s="6">
        <f>$O$800*$AA$800</f>
        <v>553.52218019585439</v>
      </c>
    </row>
    <row r="801" spans="1:33" ht="11.25" customHeight="1" x14ac:dyDescent="0.25">
      <c r="A801" s="4" t="s">
        <v>27</v>
      </c>
      <c r="B801" s="4" t="s">
        <v>22</v>
      </c>
      <c r="C801" s="4" t="s">
        <v>23</v>
      </c>
      <c r="D801" s="4" t="s">
        <v>24</v>
      </c>
      <c r="E801" s="4" t="s">
        <v>29</v>
      </c>
      <c r="F801" s="4" t="s">
        <v>25</v>
      </c>
      <c r="G801" s="4" t="s">
        <v>25</v>
      </c>
      <c r="H801" s="4" t="s">
        <v>25</v>
      </c>
      <c r="I801" s="5">
        <v>44501</v>
      </c>
      <c r="J801" s="6">
        <v>0</v>
      </c>
      <c r="K801" s="6">
        <v>0</v>
      </c>
      <c r="L801" s="6">
        <v>-0.21</v>
      </c>
      <c r="M801" s="6">
        <v>-0.21</v>
      </c>
      <c r="N801" s="6">
        <v>-0.21</v>
      </c>
      <c r="O801" s="6">
        <v>-0.21</v>
      </c>
      <c r="P801" s="6">
        <v>-1</v>
      </c>
      <c r="Q801" s="4" t="s">
        <v>26</v>
      </c>
      <c r="R801" s="4">
        <v>0</v>
      </c>
      <c r="S801" s="6">
        <v>0</v>
      </c>
      <c r="T801" s="6">
        <v>10</v>
      </c>
      <c r="U801" s="6">
        <v>57</v>
      </c>
      <c r="V801" s="6">
        <f>IF(ISERROR(VLOOKUP($S$801,'TAR FIN'!$A$1:$O$93,15,0)),0,VLOOKUP($S$801,'TAR FIN'!$A$1:$O$93,15,0))</f>
        <v>0</v>
      </c>
      <c r="W801" s="6">
        <f>IF(ISERROR(VLOOKUP($T$801,'TAR FIN'!$A$1:$O$93,15,0)),0,VLOOKUP($T$801,'TAR FIN'!$A$1:$O$93,15,0))</f>
        <v>71.83</v>
      </c>
      <c r="X801" s="6">
        <f>IF(ISERROR(VLOOKUP($U$801,'TAR FIN'!$A$1:$O$93,15,0)),0,VLOOKUP($U$801,'TAR FIN'!$A$1:$O$93,15,0))</f>
        <v>64.81</v>
      </c>
      <c r="Y801" s="6"/>
      <c r="Z801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801" s="6">
        <f>('TE BE'!$AB$14+'TE BF'!$AB$14+'TE CVA'!$AB$14)*(1-CUSTOS!$M$34)</f>
        <v>69.363681728803797</v>
      </c>
      <c r="AB801" s="6">
        <f>$K$801*$V$801</f>
        <v>0</v>
      </c>
      <c r="AC801" s="6">
        <f>$M$801*$W$801</f>
        <v>-15.084299999999999</v>
      </c>
      <c r="AD801" s="6">
        <f>$O$801*$X$801</f>
        <v>-13.610099999999999</v>
      </c>
      <c r="AE801" s="6">
        <f>$K$801*$Y$801</f>
        <v>0</v>
      </c>
      <c r="AF801" s="6">
        <f ca="1">$M$801*$Z$801</f>
        <v>-14.326457821266693</v>
      </c>
      <c r="AG801" s="6">
        <f>$O$801*$AA$801</f>
        <v>-14.566373163048796</v>
      </c>
    </row>
    <row r="802" spans="1:33" ht="11.25" customHeight="1" x14ac:dyDescent="0.25">
      <c r="A802" s="4" t="s">
        <v>21</v>
      </c>
      <c r="B802" s="4" t="s">
        <v>22</v>
      </c>
      <c r="C802" s="4" t="s">
        <v>23</v>
      </c>
      <c r="D802" s="4" t="s">
        <v>24</v>
      </c>
      <c r="E802" s="4" t="s">
        <v>29</v>
      </c>
      <c r="F802" s="4" t="s">
        <v>25</v>
      </c>
      <c r="G802" s="4" t="s">
        <v>25</v>
      </c>
      <c r="H802" s="4" t="s">
        <v>25</v>
      </c>
      <c r="I802" s="5">
        <v>44531</v>
      </c>
      <c r="J802" s="6">
        <v>0</v>
      </c>
      <c r="K802" s="6">
        <v>0</v>
      </c>
      <c r="L802" s="6">
        <v>7.83</v>
      </c>
      <c r="M802" s="6">
        <v>7.83</v>
      </c>
      <c r="N802" s="6">
        <v>7.83</v>
      </c>
      <c r="O802" s="6">
        <v>7.83</v>
      </c>
      <c r="P802" s="6">
        <v>9</v>
      </c>
      <c r="Q802" s="4" t="s">
        <v>26</v>
      </c>
      <c r="R802" s="4">
        <v>0</v>
      </c>
      <c r="S802" s="6">
        <v>0</v>
      </c>
      <c r="T802" s="6">
        <v>10</v>
      </c>
      <c r="U802" s="6">
        <v>57</v>
      </c>
      <c r="V802" s="6">
        <f>IF(ISERROR(VLOOKUP($S$802,'TAR FIN'!$A$1:$O$93,15,0)),0,VLOOKUP($S$802,'TAR FIN'!$A$1:$O$93,15,0))</f>
        <v>0</v>
      </c>
      <c r="W802" s="6">
        <f>IF(ISERROR(VLOOKUP($T$802,'TAR FIN'!$A$1:$O$93,15,0)),0,VLOOKUP($T$802,'TAR FIN'!$A$1:$O$93,15,0))</f>
        <v>71.83</v>
      </c>
      <c r="X802" s="6">
        <f>IF(ISERROR(VLOOKUP($U$802,'TAR FIN'!$A$1:$O$93,15,0)),0,VLOOKUP($U$802,'TAR FIN'!$A$1:$O$93,15,0))</f>
        <v>64.81</v>
      </c>
      <c r="Y802" s="6"/>
      <c r="Z802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802" s="6">
        <f>('TE BE'!$AB$14+'TE BF'!$AB$14+'TE CVA'!$AB$14)*(1-CUSTOS!$M$34)</f>
        <v>69.363681728803797</v>
      </c>
      <c r="AB802" s="6">
        <f>$K$802*$V$802</f>
        <v>0</v>
      </c>
      <c r="AC802" s="6">
        <f>$M$802*$W$802</f>
        <v>562.4289</v>
      </c>
      <c r="AD802" s="6">
        <f>$O$802*$X$802</f>
        <v>507.46230000000003</v>
      </c>
      <c r="AE802" s="6">
        <f>$K$802*$Y$802</f>
        <v>0</v>
      </c>
      <c r="AF802" s="6">
        <f ca="1">$M$802*$Z$802</f>
        <v>534.17221305008673</v>
      </c>
      <c r="AG802" s="6">
        <f>$O$802*$AA$802</f>
        <v>543.11762793653372</v>
      </c>
    </row>
    <row r="803" spans="1:33" ht="11.25" customHeight="1" x14ac:dyDescent="0.25">
      <c r="A803" s="4" t="s">
        <v>21</v>
      </c>
      <c r="B803" s="4" t="s">
        <v>22</v>
      </c>
      <c r="C803" s="4" t="s">
        <v>23</v>
      </c>
      <c r="D803" s="4" t="s">
        <v>24</v>
      </c>
      <c r="E803" s="4" t="s">
        <v>29</v>
      </c>
      <c r="F803" s="4" t="s">
        <v>25</v>
      </c>
      <c r="G803" s="4" t="s">
        <v>25</v>
      </c>
      <c r="H803" s="4" t="s">
        <v>25</v>
      </c>
      <c r="I803" s="5">
        <v>44562</v>
      </c>
      <c r="J803" s="6">
        <v>0</v>
      </c>
      <c r="K803" s="6">
        <v>0</v>
      </c>
      <c r="L803" s="6">
        <v>7.95</v>
      </c>
      <c r="M803" s="6">
        <v>7.95</v>
      </c>
      <c r="N803" s="6">
        <v>7.95</v>
      </c>
      <c r="O803" s="6">
        <v>7.95</v>
      </c>
      <c r="P803" s="6">
        <v>8</v>
      </c>
      <c r="Q803" s="4" t="s">
        <v>26</v>
      </c>
      <c r="R803" s="4">
        <v>0</v>
      </c>
      <c r="S803" s="6">
        <v>0</v>
      </c>
      <c r="T803" s="6">
        <v>10</v>
      </c>
      <c r="U803" s="6">
        <v>57</v>
      </c>
      <c r="V803" s="6">
        <f>IF(ISERROR(VLOOKUP($S$803,'TAR FIN'!$A$1:$O$93,15,0)),0,VLOOKUP($S$803,'TAR FIN'!$A$1:$O$93,15,0))</f>
        <v>0</v>
      </c>
      <c r="W803" s="6">
        <f>IF(ISERROR(VLOOKUP($T$803,'TAR FIN'!$A$1:$O$93,15,0)),0,VLOOKUP($T$803,'TAR FIN'!$A$1:$O$93,15,0))</f>
        <v>71.83</v>
      </c>
      <c r="X803" s="6">
        <f>IF(ISERROR(VLOOKUP($U$803,'TAR FIN'!$A$1:$O$93,15,0)),0,VLOOKUP($U$803,'TAR FIN'!$A$1:$O$93,15,0))</f>
        <v>64.81</v>
      </c>
      <c r="Y803" s="6"/>
      <c r="Z803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803" s="6">
        <f>('TE BE'!$AB$14+'TE BF'!$AB$14+'TE CVA'!$AB$14)*(1-CUSTOS!$M$34)</f>
        <v>69.363681728803797</v>
      </c>
      <c r="AB803" s="6">
        <f>$K$803*$V$803</f>
        <v>0</v>
      </c>
      <c r="AC803" s="6">
        <f>$M$803*$W$803</f>
        <v>571.04849999999999</v>
      </c>
      <c r="AD803" s="6">
        <f>$O$803*$X$803</f>
        <v>515.23950000000002</v>
      </c>
      <c r="AE803" s="6">
        <f>$K$803*$Y$803</f>
        <v>0</v>
      </c>
      <c r="AF803" s="6">
        <f ca="1">$M$803*$Z$803</f>
        <v>542.35876037652486</v>
      </c>
      <c r="AG803" s="6">
        <f>$O$803*$AA$803</f>
        <v>551.44126974399023</v>
      </c>
    </row>
    <row r="804" spans="1:33" ht="11.25" customHeight="1" x14ac:dyDescent="0.25">
      <c r="A804" s="4" t="s">
        <v>21</v>
      </c>
      <c r="B804" s="4" t="s">
        <v>22</v>
      </c>
      <c r="C804" s="4" t="s">
        <v>23</v>
      </c>
      <c r="D804" s="4" t="s">
        <v>24</v>
      </c>
      <c r="E804" s="4" t="s">
        <v>29</v>
      </c>
      <c r="F804" s="4" t="s">
        <v>25</v>
      </c>
      <c r="G804" s="4" t="s">
        <v>25</v>
      </c>
      <c r="H804" s="4" t="s">
        <v>25</v>
      </c>
      <c r="I804" s="5">
        <v>44593</v>
      </c>
      <c r="J804" s="6">
        <v>0</v>
      </c>
      <c r="K804" s="6">
        <v>0</v>
      </c>
      <c r="L804" s="6">
        <v>13.92</v>
      </c>
      <c r="M804" s="6">
        <v>13.92</v>
      </c>
      <c r="N804" s="6">
        <v>13.92</v>
      </c>
      <c r="O804" s="6">
        <v>13.92</v>
      </c>
      <c r="P804" s="6">
        <v>36</v>
      </c>
      <c r="Q804" s="4" t="s">
        <v>26</v>
      </c>
      <c r="R804" s="4">
        <v>0</v>
      </c>
      <c r="S804" s="6">
        <v>0</v>
      </c>
      <c r="T804" s="6">
        <v>10</v>
      </c>
      <c r="U804" s="6">
        <v>57</v>
      </c>
      <c r="V804" s="6">
        <f>IF(ISERROR(VLOOKUP($S$804,'TAR FIN'!$A$1:$O$93,15,0)),0,VLOOKUP($S$804,'TAR FIN'!$A$1:$O$93,15,0))</f>
        <v>0</v>
      </c>
      <c r="W804" s="6">
        <f>IF(ISERROR(VLOOKUP($T$804,'TAR FIN'!$A$1:$O$93,15,0)),0,VLOOKUP($T$804,'TAR FIN'!$A$1:$O$93,15,0))</f>
        <v>71.83</v>
      </c>
      <c r="X804" s="6">
        <f>IF(ISERROR(VLOOKUP($U$804,'TAR FIN'!$A$1:$O$93,15,0)),0,VLOOKUP($U$804,'TAR FIN'!$A$1:$O$93,15,0))</f>
        <v>64.81</v>
      </c>
      <c r="Y804" s="6"/>
      <c r="Z804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804" s="6">
        <f>('TE BE'!$AB$14+'TE BF'!$AB$14+'TE CVA'!$AB$14)*(1-CUSTOS!$M$34)</f>
        <v>69.363681728803797</v>
      </c>
      <c r="AB804" s="6">
        <f>$K$804*$V$804</f>
        <v>0</v>
      </c>
      <c r="AC804" s="6">
        <f>$M$804*$W$804</f>
        <v>999.87360000000001</v>
      </c>
      <c r="AD804" s="6">
        <f>$O$804*$X$804</f>
        <v>902.15520000000004</v>
      </c>
      <c r="AE804" s="6">
        <f>$K$804*$Y$804</f>
        <v>0</v>
      </c>
      <c r="AF804" s="6">
        <f ca="1">$M$804*$Z$804</f>
        <v>949.63948986682078</v>
      </c>
      <c r="AG804" s="6">
        <f>$O$804*$AA$804</f>
        <v>965.54244966494889</v>
      </c>
    </row>
    <row r="805" spans="1:33" ht="11.25" customHeight="1" x14ac:dyDescent="0.25">
      <c r="A805" s="4" t="s">
        <v>21</v>
      </c>
      <c r="B805" s="4" t="s">
        <v>22</v>
      </c>
      <c r="C805" s="4" t="s">
        <v>23</v>
      </c>
      <c r="D805" s="4" t="s">
        <v>24</v>
      </c>
      <c r="E805" s="4" t="s">
        <v>29</v>
      </c>
      <c r="F805" s="4" t="s">
        <v>25</v>
      </c>
      <c r="G805" s="4" t="s">
        <v>25</v>
      </c>
      <c r="H805" s="4" t="s">
        <v>25</v>
      </c>
      <c r="I805" s="5">
        <v>44621</v>
      </c>
      <c r="J805" s="6">
        <v>0</v>
      </c>
      <c r="K805" s="6">
        <v>0</v>
      </c>
      <c r="L805" s="6">
        <v>17.373000000000001</v>
      </c>
      <c r="M805" s="6">
        <v>17.373000000000001</v>
      </c>
      <c r="N805" s="6">
        <v>17.373000000000001</v>
      </c>
      <c r="O805" s="6">
        <v>17.373000000000001</v>
      </c>
      <c r="P805" s="6">
        <v>43</v>
      </c>
      <c r="Q805" s="4" t="s">
        <v>26</v>
      </c>
      <c r="R805" s="4">
        <v>0</v>
      </c>
      <c r="S805" s="6">
        <v>0</v>
      </c>
      <c r="T805" s="6">
        <v>10</v>
      </c>
      <c r="U805" s="6">
        <v>57</v>
      </c>
      <c r="V805" s="6">
        <f>IF(ISERROR(VLOOKUP($S$805,'TAR FIN'!$A$1:$O$93,15,0)),0,VLOOKUP($S$805,'TAR FIN'!$A$1:$O$93,15,0))</f>
        <v>0</v>
      </c>
      <c r="W805" s="6">
        <f>IF(ISERROR(VLOOKUP($T$805,'TAR FIN'!$A$1:$O$93,15,0)),0,VLOOKUP($T$805,'TAR FIN'!$A$1:$O$93,15,0))</f>
        <v>71.83</v>
      </c>
      <c r="X805" s="6">
        <f>IF(ISERROR(VLOOKUP($U$805,'TAR FIN'!$A$1:$O$93,15,0)),0,VLOOKUP($U$805,'TAR FIN'!$A$1:$O$93,15,0))</f>
        <v>64.81</v>
      </c>
      <c r="Y805" s="6"/>
      <c r="Z805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805" s="6">
        <f>('TE BE'!$AB$14+'TE BF'!$AB$14+'TE CVA'!$AB$14)*(1-CUSTOS!$M$34)</f>
        <v>69.363681728803797</v>
      </c>
      <c r="AB805" s="6">
        <f>$K$805*$V$805</f>
        <v>0</v>
      </c>
      <c r="AC805" s="6">
        <f>$M$805*$W$805</f>
        <v>1247.9025900000001</v>
      </c>
      <c r="AD805" s="6">
        <f>$O$805*$X$805</f>
        <v>1125.9441300000001</v>
      </c>
      <c r="AE805" s="6">
        <f>$K$805*$Y$805</f>
        <v>0</v>
      </c>
      <c r="AF805" s="6">
        <f ca="1">$M$805*$Z$805</f>
        <v>1185.2073891850775</v>
      </c>
      <c r="AG805" s="6">
        <f>$O$805*$AA$805</f>
        <v>1205.0552426745085</v>
      </c>
    </row>
    <row r="806" spans="1:33" ht="11.25" customHeight="1" x14ac:dyDescent="0.25">
      <c r="A806" s="4" t="s">
        <v>27</v>
      </c>
      <c r="B806" s="4" t="s">
        <v>22</v>
      </c>
      <c r="C806" s="4" t="s">
        <v>23</v>
      </c>
      <c r="D806" s="4" t="s">
        <v>24</v>
      </c>
      <c r="E806" s="4" t="s">
        <v>29</v>
      </c>
      <c r="F806" s="4" t="s">
        <v>25</v>
      </c>
      <c r="G806" s="4" t="s">
        <v>25</v>
      </c>
      <c r="H806" s="4" t="s">
        <v>25</v>
      </c>
      <c r="I806" s="5">
        <v>44621</v>
      </c>
      <c r="J806" s="6">
        <v>0</v>
      </c>
      <c r="K806" s="6">
        <v>0</v>
      </c>
      <c r="L806" s="6">
        <v>-0.03</v>
      </c>
      <c r="M806" s="6">
        <v>-0.03</v>
      </c>
      <c r="N806" s="6">
        <v>-0.03</v>
      </c>
      <c r="O806" s="6">
        <v>-0.03</v>
      </c>
      <c r="P806" s="6">
        <v>0</v>
      </c>
      <c r="Q806" s="4" t="s">
        <v>26</v>
      </c>
      <c r="R806" s="4">
        <v>0</v>
      </c>
      <c r="S806" s="6">
        <v>0</v>
      </c>
      <c r="T806" s="6">
        <v>10</v>
      </c>
      <c r="U806" s="6">
        <v>57</v>
      </c>
      <c r="V806" s="6">
        <f>IF(ISERROR(VLOOKUP($S$806,'TAR FIN'!$A$1:$O$93,15,0)),0,VLOOKUP($S$806,'TAR FIN'!$A$1:$O$93,15,0))</f>
        <v>0</v>
      </c>
      <c r="W806" s="6">
        <f>IF(ISERROR(VLOOKUP($T$806,'TAR FIN'!$A$1:$O$93,15,0)),0,VLOOKUP($T$806,'TAR FIN'!$A$1:$O$93,15,0))</f>
        <v>71.83</v>
      </c>
      <c r="X806" s="6">
        <f>IF(ISERROR(VLOOKUP($U$806,'TAR FIN'!$A$1:$O$93,15,0)),0,VLOOKUP($U$806,'TAR FIN'!$A$1:$O$93,15,0))</f>
        <v>64.81</v>
      </c>
      <c r="Y806" s="6"/>
      <c r="Z806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806" s="6">
        <f>('TE BE'!$AB$14+'TE BF'!$AB$14+'TE CVA'!$AB$14)*(1-CUSTOS!$M$34)</f>
        <v>69.363681728803797</v>
      </c>
      <c r="AB806" s="6">
        <f>$K$806*$V$806</f>
        <v>0</v>
      </c>
      <c r="AC806" s="6">
        <f>$M$806*$W$806</f>
        <v>-2.1549</v>
      </c>
      <c r="AD806" s="6">
        <f>$O$806*$X$806</f>
        <v>-1.9442999999999999</v>
      </c>
      <c r="AE806" s="6">
        <f>$K$806*$Y$806</f>
        <v>0</v>
      </c>
      <c r="AF806" s="6">
        <f ca="1">$M$806*$Z$806</f>
        <v>-2.0466368316095274</v>
      </c>
      <c r="AG806" s="6">
        <f>$O$806*$AA$806</f>
        <v>-2.0809104518641139</v>
      </c>
    </row>
    <row r="807" spans="1:33" ht="11.25" customHeight="1" x14ac:dyDescent="0.25">
      <c r="A807" s="4" t="s">
        <v>21</v>
      </c>
      <c r="B807" s="4" t="s">
        <v>22</v>
      </c>
      <c r="C807" s="4" t="s">
        <v>23</v>
      </c>
      <c r="D807" s="4" t="s">
        <v>24</v>
      </c>
      <c r="E807" s="4" t="s">
        <v>29</v>
      </c>
      <c r="F807" s="4" t="s">
        <v>25</v>
      </c>
      <c r="G807" s="4" t="s">
        <v>25</v>
      </c>
      <c r="H807" s="4" t="s">
        <v>25</v>
      </c>
      <c r="I807" s="5">
        <v>44652</v>
      </c>
      <c r="J807" s="6">
        <v>0</v>
      </c>
      <c r="K807" s="6">
        <v>0</v>
      </c>
      <c r="L807" s="6">
        <v>29.131</v>
      </c>
      <c r="M807" s="6">
        <v>29.131</v>
      </c>
      <c r="N807" s="6">
        <v>29.131</v>
      </c>
      <c r="O807" s="6">
        <v>29.131</v>
      </c>
      <c r="P807" s="6">
        <v>73</v>
      </c>
      <c r="Q807" s="4" t="s">
        <v>26</v>
      </c>
      <c r="R807" s="4">
        <v>0</v>
      </c>
      <c r="S807" s="6">
        <v>0</v>
      </c>
      <c r="T807" s="6">
        <v>10</v>
      </c>
      <c r="U807" s="6">
        <v>57</v>
      </c>
      <c r="V807" s="6">
        <f>IF(ISERROR(VLOOKUP($S$807,'TAR FIN'!$A$1:$O$93,15,0)),0,VLOOKUP($S$807,'TAR FIN'!$A$1:$O$93,15,0))</f>
        <v>0</v>
      </c>
      <c r="W807" s="6">
        <f>IF(ISERROR(VLOOKUP($T$807,'TAR FIN'!$A$1:$O$93,15,0)),0,VLOOKUP($T$807,'TAR FIN'!$A$1:$O$93,15,0))</f>
        <v>71.83</v>
      </c>
      <c r="X807" s="6">
        <f>IF(ISERROR(VLOOKUP($U$807,'TAR FIN'!$A$1:$O$93,15,0)),0,VLOOKUP($U$807,'TAR FIN'!$A$1:$O$93,15,0))</f>
        <v>64.81</v>
      </c>
      <c r="Y807" s="6"/>
      <c r="Z807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807" s="6">
        <f>('TE BE'!$AB$14+'TE BF'!$AB$14+'TE CVA'!$AB$14)*(1-CUSTOS!$M$34)</f>
        <v>69.363681728803797</v>
      </c>
      <c r="AB807" s="6">
        <f>$K$807*$V$807</f>
        <v>0</v>
      </c>
      <c r="AC807" s="6">
        <f>$M$807*$W$807</f>
        <v>2092.47973</v>
      </c>
      <c r="AD807" s="6">
        <f>$O$807*$X$807</f>
        <v>1887.98011</v>
      </c>
      <c r="AE807" s="6">
        <f>$K$807*$Y$807</f>
        <v>0</v>
      </c>
      <c r="AF807" s="6">
        <f ca="1">$M$807*$Z$807</f>
        <v>1987.3525847205717</v>
      </c>
      <c r="AG807" s="6">
        <f>$O$807*$AA$807</f>
        <v>2020.6334124417835</v>
      </c>
    </row>
    <row r="808" spans="1:33" ht="11.25" customHeight="1" x14ac:dyDescent="0.25">
      <c r="A808" s="4" t="s">
        <v>21</v>
      </c>
      <c r="B808" s="4" t="s">
        <v>22</v>
      </c>
      <c r="C808" s="4" t="s">
        <v>23</v>
      </c>
      <c r="D808" s="4" t="s">
        <v>24</v>
      </c>
      <c r="E808" s="4" t="s">
        <v>29</v>
      </c>
      <c r="F808" s="4" t="s">
        <v>25</v>
      </c>
      <c r="G808" s="4" t="s">
        <v>25</v>
      </c>
      <c r="H808" s="4" t="s">
        <v>25</v>
      </c>
      <c r="I808" s="5">
        <v>44682</v>
      </c>
      <c r="J808" s="6">
        <v>0</v>
      </c>
      <c r="K808" s="6">
        <v>0</v>
      </c>
      <c r="L808" s="6">
        <v>31.393000000000001</v>
      </c>
      <c r="M808" s="6">
        <v>31.393000000000001</v>
      </c>
      <c r="N808" s="6">
        <v>31.393000000000001</v>
      </c>
      <c r="O808" s="6">
        <v>31.393000000000001</v>
      </c>
      <c r="P808" s="6">
        <v>84</v>
      </c>
      <c r="Q808" s="4" t="s">
        <v>26</v>
      </c>
      <c r="R808" s="4">
        <v>0</v>
      </c>
      <c r="S808" s="6">
        <v>0</v>
      </c>
      <c r="T808" s="6">
        <v>10</v>
      </c>
      <c r="U808" s="6">
        <v>57</v>
      </c>
      <c r="V808" s="6">
        <f>IF(ISERROR(VLOOKUP($S$808,'TAR FIN'!$A$1:$O$93,15,0)),0,VLOOKUP($S$808,'TAR FIN'!$A$1:$O$93,15,0))</f>
        <v>0</v>
      </c>
      <c r="W808" s="6">
        <f>IF(ISERROR(VLOOKUP($T$808,'TAR FIN'!$A$1:$O$93,15,0)),0,VLOOKUP($T$808,'TAR FIN'!$A$1:$O$93,15,0))</f>
        <v>71.83</v>
      </c>
      <c r="X808" s="6">
        <f>IF(ISERROR(VLOOKUP($U$808,'TAR FIN'!$A$1:$O$93,15,0)),0,VLOOKUP($U$808,'TAR FIN'!$A$1:$O$93,15,0))</f>
        <v>64.81</v>
      </c>
      <c r="Y808" s="6"/>
      <c r="Z808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808" s="6">
        <f>('TE BE'!$AB$14+'TE BF'!$AB$14+'TE CVA'!$AB$14)*(1-CUSTOS!$M$34)</f>
        <v>69.363681728803797</v>
      </c>
      <c r="AB808" s="6">
        <f>$K$808*$V$808</f>
        <v>0</v>
      </c>
      <c r="AC808" s="6">
        <f>$M$808*$W$808</f>
        <v>2254.95919</v>
      </c>
      <c r="AD808" s="6">
        <f>$O$808*$X$808</f>
        <v>2034.58033</v>
      </c>
      <c r="AE808" s="6">
        <f>$K$808*$Y$808</f>
        <v>0</v>
      </c>
      <c r="AF808" s="6">
        <f ca="1">$M$808*$Z$808</f>
        <v>2141.6690018239301</v>
      </c>
      <c r="AG808" s="6">
        <f>$O$808*$AA$808</f>
        <v>2177.5340605123379</v>
      </c>
    </row>
    <row r="809" spans="1:33" ht="11.25" customHeight="1" x14ac:dyDescent="0.25">
      <c r="A809" s="4" t="s">
        <v>21</v>
      </c>
      <c r="B809" s="4" t="s">
        <v>22</v>
      </c>
      <c r="C809" s="4" t="s">
        <v>23</v>
      </c>
      <c r="D809" s="4" t="s">
        <v>24</v>
      </c>
      <c r="E809" s="4" t="s">
        <v>29</v>
      </c>
      <c r="F809" s="4" t="s">
        <v>25</v>
      </c>
      <c r="G809" s="4" t="s">
        <v>25</v>
      </c>
      <c r="H809" s="4" t="s">
        <v>25</v>
      </c>
      <c r="I809" s="5">
        <v>44713</v>
      </c>
      <c r="J809" s="6">
        <v>0</v>
      </c>
      <c r="K809" s="6">
        <v>0</v>
      </c>
      <c r="L809" s="6">
        <v>31.45</v>
      </c>
      <c r="M809" s="6">
        <v>31.45</v>
      </c>
      <c r="N809" s="6">
        <v>31.45</v>
      </c>
      <c r="O809" s="6">
        <v>31.45</v>
      </c>
      <c r="P809" s="6">
        <v>103</v>
      </c>
      <c r="Q809" s="4" t="s">
        <v>26</v>
      </c>
      <c r="R809" s="4">
        <v>0</v>
      </c>
      <c r="S809" s="6">
        <v>0</v>
      </c>
      <c r="T809" s="6">
        <v>10</v>
      </c>
      <c r="U809" s="6">
        <v>57</v>
      </c>
      <c r="V809" s="6">
        <f>IF(ISERROR(VLOOKUP($S$809,'TAR FIN'!$A$1:$O$93,15,0)),0,VLOOKUP($S$809,'TAR FIN'!$A$1:$O$93,15,0))</f>
        <v>0</v>
      </c>
      <c r="W809" s="6">
        <f>IF(ISERROR(VLOOKUP($T$809,'TAR FIN'!$A$1:$O$93,15,0)),0,VLOOKUP($T$809,'TAR FIN'!$A$1:$O$93,15,0))</f>
        <v>71.83</v>
      </c>
      <c r="X809" s="6">
        <f>IF(ISERROR(VLOOKUP($U$809,'TAR FIN'!$A$1:$O$93,15,0)),0,VLOOKUP($U$809,'TAR FIN'!$A$1:$O$93,15,0))</f>
        <v>64.81</v>
      </c>
      <c r="Y809" s="6"/>
      <c r="Z809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809" s="6">
        <f>('TE BE'!$AB$14+'TE BF'!$AB$14+'TE CVA'!$AB$14)*(1-CUSTOS!$M$34)</f>
        <v>69.363681728803797</v>
      </c>
      <c r="AB809" s="6">
        <f>$K$809*$V$809</f>
        <v>0</v>
      </c>
      <c r="AC809" s="6">
        <f>$M$809*$W$809</f>
        <v>2259.0535</v>
      </c>
      <c r="AD809" s="6">
        <f>$O$809*$X$809</f>
        <v>2038.2745</v>
      </c>
      <c r="AE809" s="6">
        <f>$K$809*$Y$809</f>
        <v>0</v>
      </c>
      <c r="AF809" s="6">
        <f ca="1">$M$809*$Z$809</f>
        <v>2145.557611803988</v>
      </c>
      <c r="AG809" s="6">
        <f>$O$809*$AA$809</f>
        <v>2181.4877903708793</v>
      </c>
    </row>
    <row r="810" spans="1:33" ht="11.25" customHeight="1" x14ac:dyDescent="0.25">
      <c r="A810" s="4" t="s">
        <v>27</v>
      </c>
      <c r="B810" s="4" t="s">
        <v>22</v>
      </c>
      <c r="C810" s="4" t="s">
        <v>23</v>
      </c>
      <c r="D810" s="4" t="s">
        <v>24</v>
      </c>
      <c r="E810" s="4" t="s">
        <v>29</v>
      </c>
      <c r="F810" s="4" t="s">
        <v>25</v>
      </c>
      <c r="G810" s="4" t="s">
        <v>25</v>
      </c>
      <c r="H810" s="4" t="s">
        <v>25</v>
      </c>
      <c r="I810" s="5">
        <v>44713</v>
      </c>
      <c r="J810" s="6">
        <v>0</v>
      </c>
      <c r="K810" s="6">
        <v>0</v>
      </c>
      <c r="L810" s="6">
        <v>-0.06</v>
      </c>
      <c r="M810" s="6">
        <v>-0.06</v>
      </c>
      <c r="N810" s="6">
        <v>-0.06</v>
      </c>
      <c r="O810" s="6">
        <v>-0.06</v>
      </c>
      <c r="P810" s="6">
        <v>-2</v>
      </c>
      <c r="Q810" s="4" t="s">
        <v>26</v>
      </c>
      <c r="R810" s="4">
        <v>0</v>
      </c>
      <c r="S810" s="6">
        <v>0</v>
      </c>
      <c r="T810" s="6">
        <v>10</v>
      </c>
      <c r="U810" s="6">
        <v>57</v>
      </c>
      <c r="V810" s="6">
        <f>IF(ISERROR(VLOOKUP($S$810,'TAR FIN'!$A$1:$O$93,15,0)),0,VLOOKUP($S$810,'TAR FIN'!$A$1:$O$93,15,0))</f>
        <v>0</v>
      </c>
      <c r="W810" s="6">
        <f>IF(ISERROR(VLOOKUP($T$810,'TAR FIN'!$A$1:$O$93,15,0)),0,VLOOKUP($T$810,'TAR FIN'!$A$1:$O$93,15,0))</f>
        <v>71.83</v>
      </c>
      <c r="X810" s="6">
        <f>IF(ISERROR(VLOOKUP($U$810,'TAR FIN'!$A$1:$O$93,15,0)),0,VLOOKUP($U$810,'TAR FIN'!$A$1:$O$93,15,0))</f>
        <v>64.81</v>
      </c>
      <c r="Y810" s="6"/>
      <c r="Z810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810" s="6">
        <f>('TE BE'!$AB$14+'TE BF'!$AB$14+'TE CVA'!$AB$14)*(1-CUSTOS!$M$34)</f>
        <v>69.363681728803797</v>
      </c>
      <c r="AB810" s="6">
        <f>$K$810*$V$810</f>
        <v>0</v>
      </c>
      <c r="AC810" s="6">
        <f>$M$810*$W$810</f>
        <v>-4.3098000000000001</v>
      </c>
      <c r="AD810" s="6">
        <f>$O$810*$X$810</f>
        <v>-3.8885999999999998</v>
      </c>
      <c r="AE810" s="6">
        <f>$K$810*$Y$810</f>
        <v>0</v>
      </c>
      <c r="AF810" s="6">
        <f ca="1">$M$810*$Z$810</f>
        <v>-4.0932736632190547</v>
      </c>
      <c r="AG810" s="6">
        <f>$O$810*$AA$810</f>
        <v>-4.1618209037282279</v>
      </c>
    </row>
    <row r="811" spans="1:33" ht="11.25" customHeight="1" x14ac:dyDescent="0.25">
      <c r="A811" s="4" t="s">
        <v>21</v>
      </c>
      <c r="B811" s="4" t="s">
        <v>22</v>
      </c>
      <c r="C811" s="4" t="s">
        <v>23</v>
      </c>
      <c r="D811" s="4" t="s">
        <v>24</v>
      </c>
      <c r="E811" s="4" t="s">
        <v>30</v>
      </c>
      <c r="F811" s="4" t="s">
        <v>25</v>
      </c>
      <c r="G811" s="4" t="s">
        <v>25</v>
      </c>
      <c r="H811" s="4" t="s">
        <v>25</v>
      </c>
      <c r="I811" s="5">
        <v>44378</v>
      </c>
      <c r="J811" s="6">
        <v>0</v>
      </c>
      <c r="K811" s="6">
        <v>0</v>
      </c>
      <c r="L811" s="6">
        <v>1.8169999999999999</v>
      </c>
      <c r="M811" s="6">
        <v>1.8169999999999999</v>
      </c>
      <c r="N811" s="6">
        <v>1.8169999999999999</v>
      </c>
      <c r="O811" s="6">
        <v>1.8169999999999999</v>
      </c>
      <c r="P811" s="6">
        <v>43</v>
      </c>
      <c r="Q811" s="4" t="s">
        <v>26</v>
      </c>
      <c r="R811" s="4">
        <v>0</v>
      </c>
      <c r="S811" s="6">
        <v>0</v>
      </c>
      <c r="T811" s="6">
        <v>6</v>
      </c>
      <c r="U811" s="6">
        <v>55</v>
      </c>
      <c r="V811" s="6">
        <f>IF(ISERROR(VLOOKUP($S$811,'TAR FIN'!$A$1:$O$93,15,0)),0,VLOOKUP($S$811,'TAR FIN'!$A$1:$O$93,15,0))</f>
        <v>0</v>
      </c>
      <c r="W811" s="6">
        <f>IF(ISERROR(VLOOKUP($T$811,'TAR FIN'!$A$1:$O$93,15,0)),0,VLOOKUP($T$811,'TAR FIN'!$A$1:$O$93,15,0))</f>
        <v>123.13</v>
      </c>
      <c r="X811" s="6">
        <f>IF(ISERROR(VLOOKUP($U$811,'TAR FIN'!$A$1:$O$93,15,0)),0,VLOOKUP($U$811,'TAR FIN'!$A$1:$O$93,15,0))</f>
        <v>111.11</v>
      </c>
      <c r="Y811" s="6"/>
      <c r="Z811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811" s="6">
        <f>('TE BE'!$AB$15+'TE BF'!$AB$15+'TE CVA'!$AB$15)*(1-CUSTOS!$M$35)</f>
        <v>118.90916867794938</v>
      </c>
      <c r="AB811" s="6">
        <f>$K$811*$V$811</f>
        <v>0</v>
      </c>
      <c r="AC811" s="6">
        <f>$M$811*$W$811</f>
        <v>223.72720999999999</v>
      </c>
      <c r="AD811" s="6">
        <f>$O$811*$X$811</f>
        <v>201.88686999999999</v>
      </c>
      <c r="AE811" s="6">
        <f>$K$811*$Y$811</f>
        <v>0</v>
      </c>
      <c r="AF811" s="6">
        <f ca="1">$M$811*$Z$811</f>
        <v>212.49937845911495</v>
      </c>
      <c r="AG811" s="6">
        <f>$O$811*$AA$811</f>
        <v>216.05795948783401</v>
      </c>
    </row>
    <row r="812" spans="1:33" ht="11.25" customHeight="1" x14ac:dyDescent="0.25">
      <c r="A812" s="4" t="s">
        <v>21</v>
      </c>
      <c r="B812" s="4" t="s">
        <v>22</v>
      </c>
      <c r="C812" s="4" t="s">
        <v>23</v>
      </c>
      <c r="D812" s="4" t="s">
        <v>24</v>
      </c>
      <c r="E812" s="4" t="s">
        <v>30</v>
      </c>
      <c r="F812" s="4" t="s">
        <v>25</v>
      </c>
      <c r="G812" s="4" t="s">
        <v>25</v>
      </c>
      <c r="H812" s="4" t="s">
        <v>25</v>
      </c>
      <c r="I812" s="5">
        <v>44409</v>
      </c>
      <c r="J812" s="6">
        <v>0</v>
      </c>
      <c r="K812" s="6">
        <v>0</v>
      </c>
      <c r="L812" s="6">
        <v>1.9450000000000001</v>
      </c>
      <c r="M812" s="6">
        <v>1.9450000000000001</v>
      </c>
      <c r="N812" s="6">
        <v>1.9450000000000001</v>
      </c>
      <c r="O812" s="6">
        <v>1.9450000000000001</v>
      </c>
      <c r="P812" s="6">
        <v>43</v>
      </c>
      <c r="Q812" s="4" t="s">
        <v>26</v>
      </c>
      <c r="R812" s="4">
        <v>0</v>
      </c>
      <c r="S812" s="6">
        <v>0</v>
      </c>
      <c r="T812" s="6">
        <v>6</v>
      </c>
      <c r="U812" s="6">
        <v>55</v>
      </c>
      <c r="V812" s="6">
        <f>IF(ISERROR(VLOOKUP($S$812,'TAR FIN'!$A$1:$O$93,15,0)),0,VLOOKUP($S$812,'TAR FIN'!$A$1:$O$93,15,0))</f>
        <v>0</v>
      </c>
      <c r="W812" s="6">
        <f>IF(ISERROR(VLOOKUP($T$812,'TAR FIN'!$A$1:$O$93,15,0)),0,VLOOKUP($T$812,'TAR FIN'!$A$1:$O$93,15,0))</f>
        <v>123.13</v>
      </c>
      <c r="X812" s="6">
        <f>IF(ISERROR(VLOOKUP($U$812,'TAR FIN'!$A$1:$O$93,15,0)),0,VLOOKUP($U$812,'TAR FIN'!$A$1:$O$93,15,0))</f>
        <v>111.11</v>
      </c>
      <c r="Y812" s="6"/>
      <c r="Z812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812" s="6">
        <f>('TE BE'!$AB$15+'TE BF'!$AB$15+'TE CVA'!$AB$15)*(1-CUSTOS!$M$35)</f>
        <v>118.90916867794938</v>
      </c>
      <c r="AB812" s="6">
        <f>$K$812*$V$812</f>
        <v>0</v>
      </c>
      <c r="AC812" s="6">
        <f>$M$812*$W$812</f>
        <v>239.48785000000001</v>
      </c>
      <c r="AD812" s="6">
        <f>$O$812*$X$812</f>
        <v>216.10894999999999</v>
      </c>
      <c r="AE812" s="6">
        <f>$K$812*$Y$812</f>
        <v>0</v>
      </c>
      <c r="AF812" s="6">
        <f ca="1">$M$812*$Z$812</f>
        <v>227.46906499888752</v>
      </c>
      <c r="AG812" s="6">
        <f>$O$812*$AA$812</f>
        <v>231.27833307861155</v>
      </c>
    </row>
    <row r="813" spans="1:33" ht="11.25" customHeight="1" x14ac:dyDescent="0.25">
      <c r="A813" s="4" t="s">
        <v>21</v>
      </c>
      <c r="B813" s="4" t="s">
        <v>22</v>
      </c>
      <c r="C813" s="4" t="s">
        <v>23</v>
      </c>
      <c r="D813" s="4" t="s">
        <v>24</v>
      </c>
      <c r="E813" s="4" t="s">
        <v>30</v>
      </c>
      <c r="F813" s="4" t="s">
        <v>25</v>
      </c>
      <c r="G813" s="4" t="s">
        <v>25</v>
      </c>
      <c r="H813" s="4" t="s">
        <v>25</v>
      </c>
      <c r="I813" s="5">
        <v>44440</v>
      </c>
      <c r="J813" s="6">
        <v>0</v>
      </c>
      <c r="K813" s="6">
        <v>0</v>
      </c>
      <c r="L813" s="6">
        <v>1.7030000000000001</v>
      </c>
      <c r="M813" s="6">
        <v>1.7030000000000001</v>
      </c>
      <c r="N813" s="6">
        <v>1.7030000000000001</v>
      </c>
      <c r="O813" s="6">
        <v>1.7030000000000001</v>
      </c>
      <c r="P813" s="6">
        <v>32</v>
      </c>
      <c r="Q813" s="4" t="s">
        <v>26</v>
      </c>
      <c r="R813" s="4">
        <v>0</v>
      </c>
      <c r="S813" s="6">
        <v>0</v>
      </c>
      <c r="T813" s="6">
        <v>6</v>
      </c>
      <c r="U813" s="6">
        <v>55</v>
      </c>
      <c r="V813" s="6">
        <f>IF(ISERROR(VLOOKUP($S$813,'TAR FIN'!$A$1:$O$93,15,0)),0,VLOOKUP($S$813,'TAR FIN'!$A$1:$O$93,15,0))</f>
        <v>0</v>
      </c>
      <c r="W813" s="6">
        <f>IF(ISERROR(VLOOKUP($T$813,'TAR FIN'!$A$1:$O$93,15,0)),0,VLOOKUP($T$813,'TAR FIN'!$A$1:$O$93,15,0))</f>
        <v>123.13</v>
      </c>
      <c r="X813" s="6">
        <f>IF(ISERROR(VLOOKUP($U$813,'TAR FIN'!$A$1:$O$93,15,0)),0,VLOOKUP($U$813,'TAR FIN'!$A$1:$O$93,15,0))</f>
        <v>111.11</v>
      </c>
      <c r="Y813" s="6"/>
      <c r="Z813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813" s="6">
        <f>('TE BE'!$AB$15+'TE BF'!$AB$15+'TE CVA'!$AB$15)*(1-CUSTOS!$M$35)</f>
        <v>118.90916867794938</v>
      </c>
      <c r="AB813" s="6">
        <f>$K$813*$V$813</f>
        <v>0</v>
      </c>
      <c r="AC813" s="6">
        <f>$M$813*$W$813</f>
        <v>209.69039000000001</v>
      </c>
      <c r="AD813" s="6">
        <f>$O$813*$X$813</f>
        <v>189.22033000000002</v>
      </c>
      <c r="AE813" s="6">
        <f>$K$813*$Y$813</f>
        <v>0</v>
      </c>
      <c r="AF813" s="6">
        <f ca="1">$M$813*$Z$813</f>
        <v>199.16700138463005</v>
      </c>
      <c r="AG813" s="6">
        <f>$O$813*$AA$813</f>
        <v>202.50231425854781</v>
      </c>
    </row>
    <row r="814" spans="1:33" ht="11.25" customHeight="1" x14ac:dyDescent="0.25">
      <c r="A814" s="4" t="s">
        <v>21</v>
      </c>
      <c r="B814" s="4" t="s">
        <v>22</v>
      </c>
      <c r="C814" s="4" t="s">
        <v>23</v>
      </c>
      <c r="D814" s="4" t="s">
        <v>24</v>
      </c>
      <c r="E814" s="4" t="s">
        <v>30</v>
      </c>
      <c r="F814" s="4" t="s">
        <v>25</v>
      </c>
      <c r="G814" s="4" t="s">
        <v>25</v>
      </c>
      <c r="H814" s="4" t="s">
        <v>25</v>
      </c>
      <c r="I814" s="5">
        <v>44470</v>
      </c>
      <c r="J814" s="6">
        <v>0</v>
      </c>
      <c r="K814" s="6">
        <v>0</v>
      </c>
      <c r="L814" s="6">
        <v>1.8560000000000001</v>
      </c>
      <c r="M814" s="6">
        <v>1.8560000000000001</v>
      </c>
      <c r="N814" s="6">
        <v>1.8560000000000001</v>
      </c>
      <c r="O814" s="6">
        <v>1.8560000000000001</v>
      </c>
      <c r="P814" s="6">
        <v>41</v>
      </c>
      <c r="Q814" s="4" t="s">
        <v>26</v>
      </c>
      <c r="R814" s="4">
        <v>0</v>
      </c>
      <c r="S814" s="6">
        <v>0</v>
      </c>
      <c r="T814" s="6">
        <v>6</v>
      </c>
      <c r="U814" s="6">
        <v>55</v>
      </c>
      <c r="V814" s="6">
        <f>IF(ISERROR(VLOOKUP($S$814,'TAR FIN'!$A$1:$O$93,15,0)),0,VLOOKUP($S$814,'TAR FIN'!$A$1:$O$93,15,0))</f>
        <v>0</v>
      </c>
      <c r="W814" s="6">
        <f>IF(ISERROR(VLOOKUP($T$814,'TAR FIN'!$A$1:$O$93,15,0)),0,VLOOKUP($T$814,'TAR FIN'!$A$1:$O$93,15,0))</f>
        <v>123.13</v>
      </c>
      <c r="X814" s="6">
        <f>IF(ISERROR(VLOOKUP($U$814,'TAR FIN'!$A$1:$O$93,15,0)),0,VLOOKUP($U$814,'TAR FIN'!$A$1:$O$93,15,0))</f>
        <v>111.11</v>
      </c>
      <c r="Y814" s="6"/>
      <c r="Z814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814" s="6">
        <f>('TE BE'!$AB$15+'TE BF'!$AB$15+'TE CVA'!$AB$15)*(1-CUSTOS!$M$35)</f>
        <v>118.90916867794938</v>
      </c>
      <c r="AB814" s="6">
        <f>$K$814*$V$814</f>
        <v>0</v>
      </c>
      <c r="AC814" s="6">
        <f>$M$814*$W$814</f>
        <v>228.52928</v>
      </c>
      <c r="AD814" s="6">
        <f>$O$814*$X$814</f>
        <v>206.22016000000002</v>
      </c>
      <c r="AE814" s="6">
        <f>$K$814*$Y$814</f>
        <v>0</v>
      </c>
      <c r="AF814" s="6">
        <f ca="1">$M$814*$Z$814</f>
        <v>217.06045482670191</v>
      </c>
      <c r="AG814" s="6">
        <f>$O$814*$AA$814</f>
        <v>220.69541706627408</v>
      </c>
    </row>
    <row r="815" spans="1:33" ht="11.25" customHeight="1" x14ac:dyDescent="0.25">
      <c r="A815" s="4" t="s">
        <v>21</v>
      </c>
      <c r="B815" s="4" t="s">
        <v>22</v>
      </c>
      <c r="C815" s="4" t="s">
        <v>23</v>
      </c>
      <c r="D815" s="4" t="s">
        <v>24</v>
      </c>
      <c r="E815" s="4" t="s">
        <v>30</v>
      </c>
      <c r="F815" s="4" t="s">
        <v>25</v>
      </c>
      <c r="G815" s="4" t="s">
        <v>25</v>
      </c>
      <c r="H815" s="4" t="s">
        <v>25</v>
      </c>
      <c r="I815" s="5">
        <v>44501</v>
      </c>
      <c r="J815" s="6">
        <v>0</v>
      </c>
      <c r="K815" s="6">
        <v>0</v>
      </c>
      <c r="L815" s="6">
        <v>1.742</v>
      </c>
      <c r="M815" s="6">
        <v>1.742</v>
      </c>
      <c r="N815" s="6">
        <v>1.742</v>
      </c>
      <c r="O815" s="6">
        <v>1.742</v>
      </c>
      <c r="P815" s="6">
        <v>35</v>
      </c>
      <c r="Q815" s="4" t="s">
        <v>26</v>
      </c>
      <c r="R815" s="4">
        <v>0</v>
      </c>
      <c r="S815" s="6">
        <v>0</v>
      </c>
      <c r="T815" s="6">
        <v>6</v>
      </c>
      <c r="U815" s="6">
        <v>55</v>
      </c>
      <c r="V815" s="6">
        <f>IF(ISERROR(VLOOKUP($S$815,'TAR FIN'!$A$1:$O$93,15,0)),0,VLOOKUP($S$815,'TAR FIN'!$A$1:$O$93,15,0))</f>
        <v>0</v>
      </c>
      <c r="W815" s="6">
        <f>IF(ISERROR(VLOOKUP($T$815,'TAR FIN'!$A$1:$O$93,15,0)),0,VLOOKUP($T$815,'TAR FIN'!$A$1:$O$93,15,0))</f>
        <v>123.13</v>
      </c>
      <c r="X815" s="6">
        <f>IF(ISERROR(VLOOKUP($U$815,'TAR FIN'!$A$1:$O$93,15,0)),0,VLOOKUP($U$815,'TAR FIN'!$A$1:$O$93,15,0))</f>
        <v>111.11</v>
      </c>
      <c r="Y815" s="6"/>
      <c r="Z815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815" s="6">
        <f>('TE BE'!$AB$15+'TE BF'!$AB$15+'TE CVA'!$AB$15)*(1-CUSTOS!$M$35)</f>
        <v>118.90916867794938</v>
      </c>
      <c r="AB815" s="6">
        <f>$K$815*$V$815</f>
        <v>0</v>
      </c>
      <c r="AC815" s="6">
        <f>$M$815*$W$815</f>
        <v>214.49245999999999</v>
      </c>
      <c r="AD815" s="6">
        <f>$O$815*$X$815</f>
        <v>193.55362</v>
      </c>
      <c r="AE815" s="6">
        <f>$K$815*$Y$815</f>
        <v>0</v>
      </c>
      <c r="AF815" s="6">
        <f ca="1">$M$815*$Z$815</f>
        <v>203.72807775221699</v>
      </c>
      <c r="AG815" s="6">
        <f>$O$815*$AA$815</f>
        <v>207.13977183698782</v>
      </c>
    </row>
    <row r="816" spans="1:33" ht="11.25" customHeight="1" x14ac:dyDescent="0.25">
      <c r="A816" s="4" t="s">
        <v>27</v>
      </c>
      <c r="B816" s="4" t="s">
        <v>22</v>
      </c>
      <c r="C816" s="4" t="s">
        <v>23</v>
      </c>
      <c r="D816" s="4" t="s">
        <v>24</v>
      </c>
      <c r="E816" s="4" t="s">
        <v>30</v>
      </c>
      <c r="F816" s="4" t="s">
        <v>25</v>
      </c>
      <c r="G816" s="4" t="s">
        <v>25</v>
      </c>
      <c r="H816" s="4" t="s">
        <v>25</v>
      </c>
      <c r="I816" s="5">
        <v>44501</v>
      </c>
      <c r="J816" s="6">
        <v>0</v>
      </c>
      <c r="K816" s="6">
        <v>0</v>
      </c>
      <c r="L816" s="6">
        <v>-0.16600000000000001</v>
      </c>
      <c r="M816" s="6">
        <v>-0.16600000000000001</v>
      </c>
      <c r="N816" s="6">
        <v>-0.16600000000000001</v>
      </c>
      <c r="O816" s="6">
        <v>-0.16600000000000001</v>
      </c>
      <c r="P816" s="6">
        <v>-1</v>
      </c>
      <c r="Q816" s="4" t="s">
        <v>26</v>
      </c>
      <c r="R816" s="4">
        <v>0</v>
      </c>
      <c r="S816" s="6">
        <v>0</v>
      </c>
      <c r="T816" s="6">
        <v>6</v>
      </c>
      <c r="U816" s="6">
        <v>55</v>
      </c>
      <c r="V816" s="6">
        <f>IF(ISERROR(VLOOKUP($S$816,'TAR FIN'!$A$1:$O$93,15,0)),0,VLOOKUP($S$816,'TAR FIN'!$A$1:$O$93,15,0))</f>
        <v>0</v>
      </c>
      <c r="W816" s="6">
        <f>IF(ISERROR(VLOOKUP($T$816,'TAR FIN'!$A$1:$O$93,15,0)),0,VLOOKUP($T$816,'TAR FIN'!$A$1:$O$93,15,0))</f>
        <v>123.13</v>
      </c>
      <c r="X816" s="6">
        <f>IF(ISERROR(VLOOKUP($U$816,'TAR FIN'!$A$1:$O$93,15,0)),0,VLOOKUP($U$816,'TAR FIN'!$A$1:$O$93,15,0))</f>
        <v>111.11</v>
      </c>
      <c r="Y816" s="6"/>
      <c r="Z816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816" s="6">
        <f>('TE BE'!$AB$15+'TE BF'!$AB$15+'TE CVA'!$AB$15)*(1-CUSTOS!$M$35)</f>
        <v>118.90916867794938</v>
      </c>
      <c r="AB816" s="6">
        <f>$K$816*$V$816</f>
        <v>0</v>
      </c>
      <c r="AC816" s="6">
        <f>$M$816*$W$816</f>
        <v>-20.439579999999999</v>
      </c>
      <c r="AD816" s="6">
        <f>$O$816*$X$816</f>
        <v>-18.44426</v>
      </c>
      <c r="AE816" s="6">
        <f>$K$816*$Y$816</f>
        <v>0</v>
      </c>
      <c r="AF816" s="6">
        <f ca="1">$M$816*$Z$816</f>
        <v>-19.413812231267521</v>
      </c>
      <c r="AG816" s="6">
        <f>$O$816*$AA$816</f>
        <v>-19.738922000539599</v>
      </c>
    </row>
    <row r="817" spans="1:33" ht="11.25" customHeight="1" x14ac:dyDescent="0.25">
      <c r="A817" s="4" t="s">
        <v>21</v>
      </c>
      <c r="B817" s="4" t="s">
        <v>22</v>
      </c>
      <c r="C817" s="4" t="s">
        <v>23</v>
      </c>
      <c r="D817" s="4" t="s">
        <v>24</v>
      </c>
      <c r="E817" s="4" t="s">
        <v>30</v>
      </c>
      <c r="F817" s="4" t="s">
        <v>25</v>
      </c>
      <c r="G817" s="4" t="s">
        <v>25</v>
      </c>
      <c r="H817" s="4" t="s">
        <v>25</v>
      </c>
      <c r="I817" s="5">
        <v>44531</v>
      </c>
      <c r="J817" s="6">
        <v>0</v>
      </c>
      <c r="K817" s="6">
        <v>0</v>
      </c>
      <c r="L817" s="6">
        <v>2.04</v>
      </c>
      <c r="M817" s="6">
        <v>2.04</v>
      </c>
      <c r="N817" s="6">
        <v>2.04</v>
      </c>
      <c r="O817" s="6">
        <v>2.04</v>
      </c>
      <c r="P817" s="6">
        <v>43</v>
      </c>
      <c r="Q817" s="4" t="s">
        <v>26</v>
      </c>
      <c r="R817" s="4">
        <v>0</v>
      </c>
      <c r="S817" s="6">
        <v>0</v>
      </c>
      <c r="T817" s="6">
        <v>6</v>
      </c>
      <c r="U817" s="6">
        <v>55</v>
      </c>
      <c r="V817" s="6">
        <f>IF(ISERROR(VLOOKUP($S$817,'TAR FIN'!$A$1:$O$93,15,0)),0,VLOOKUP($S$817,'TAR FIN'!$A$1:$O$93,15,0))</f>
        <v>0</v>
      </c>
      <c r="W817" s="6">
        <f>IF(ISERROR(VLOOKUP($T$817,'TAR FIN'!$A$1:$O$93,15,0)),0,VLOOKUP($T$817,'TAR FIN'!$A$1:$O$93,15,0))</f>
        <v>123.13</v>
      </c>
      <c r="X817" s="6">
        <f>IF(ISERROR(VLOOKUP($U$817,'TAR FIN'!$A$1:$O$93,15,0)),0,VLOOKUP($U$817,'TAR FIN'!$A$1:$O$93,15,0))</f>
        <v>111.11</v>
      </c>
      <c r="Y817" s="6"/>
      <c r="Z817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817" s="6">
        <f>('TE BE'!$AB$15+'TE BF'!$AB$15+'TE CVA'!$AB$15)*(1-CUSTOS!$M$35)</f>
        <v>118.90916867794938</v>
      </c>
      <c r="AB817" s="6">
        <f>$K$817*$V$817</f>
        <v>0</v>
      </c>
      <c r="AC817" s="6">
        <f>$M$817*$W$817</f>
        <v>251.18520000000001</v>
      </c>
      <c r="AD817" s="6">
        <f>$O$817*$X$817</f>
        <v>226.6644</v>
      </c>
      <c r="AE817" s="6">
        <f>$K$817*$Y$817</f>
        <v>0</v>
      </c>
      <c r="AF817" s="6">
        <f ca="1">$M$817*$Z$817</f>
        <v>238.57937922762494</v>
      </c>
      <c r="AG817" s="6">
        <f>$O$817*$AA$817</f>
        <v>242.57470410301673</v>
      </c>
    </row>
    <row r="818" spans="1:33" ht="11.25" customHeight="1" x14ac:dyDescent="0.25">
      <c r="A818" s="4" t="s">
        <v>21</v>
      </c>
      <c r="B818" s="4" t="s">
        <v>22</v>
      </c>
      <c r="C818" s="4" t="s">
        <v>23</v>
      </c>
      <c r="D818" s="4" t="s">
        <v>24</v>
      </c>
      <c r="E818" s="4" t="s">
        <v>30</v>
      </c>
      <c r="F818" s="4" t="s">
        <v>25</v>
      </c>
      <c r="G818" s="4" t="s">
        <v>25</v>
      </c>
      <c r="H818" s="4" t="s">
        <v>25</v>
      </c>
      <c r="I818" s="5">
        <v>44562</v>
      </c>
      <c r="J818" s="6">
        <v>0</v>
      </c>
      <c r="K818" s="6">
        <v>0</v>
      </c>
      <c r="L818" s="6">
        <v>11.269</v>
      </c>
      <c r="M818" s="6">
        <v>11.269</v>
      </c>
      <c r="N818" s="6">
        <v>11.269</v>
      </c>
      <c r="O818" s="6">
        <v>11.269</v>
      </c>
      <c r="P818" s="6">
        <v>28</v>
      </c>
      <c r="Q818" s="4" t="s">
        <v>26</v>
      </c>
      <c r="R818" s="4">
        <v>0</v>
      </c>
      <c r="S818" s="6">
        <v>0</v>
      </c>
      <c r="T818" s="6">
        <v>6</v>
      </c>
      <c r="U818" s="6">
        <v>55</v>
      </c>
      <c r="V818" s="6">
        <f>IF(ISERROR(VLOOKUP($S$818,'TAR FIN'!$A$1:$O$93,15,0)),0,VLOOKUP($S$818,'TAR FIN'!$A$1:$O$93,15,0))</f>
        <v>0</v>
      </c>
      <c r="W818" s="6">
        <f>IF(ISERROR(VLOOKUP($T$818,'TAR FIN'!$A$1:$O$93,15,0)),0,VLOOKUP($T$818,'TAR FIN'!$A$1:$O$93,15,0))</f>
        <v>123.13</v>
      </c>
      <c r="X818" s="6">
        <f>IF(ISERROR(VLOOKUP($U$818,'TAR FIN'!$A$1:$O$93,15,0)),0,VLOOKUP($U$818,'TAR FIN'!$A$1:$O$93,15,0))</f>
        <v>111.11</v>
      </c>
      <c r="Y818" s="6"/>
      <c r="Z818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818" s="6">
        <f>('TE BE'!$AB$15+'TE BF'!$AB$15+'TE CVA'!$AB$15)*(1-CUSTOS!$M$35)</f>
        <v>118.90916867794938</v>
      </c>
      <c r="AB818" s="6">
        <f>$K$818*$V$818</f>
        <v>0</v>
      </c>
      <c r="AC818" s="6">
        <f>$M$818*$W$818</f>
        <v>1387.55197</v>
      </c>
      <c r="AD818" s="6">
        <f>$O$818*$X$818</f>
        <v>1252.0985900000001</v>
      </c>
      <c r="AE818" s="6">
        <f>$K$818*$Y$818</f>
        <v>0</v>
      </c>
      <c r="AF818" s="6">
        <f ca="1">$M$818*$Z$818</f>
        <v>1317.9171688804438</v>
      </c>
      <c r="AG818" s="6">
        <f>$O$818*$AA$818</f>
        <v>1339.9874218318116</v>
      </c>
    </row>
    <row r="819" spans="1:33" ht="11.25" customHeight="1" x14ac:dyDescent="0.25">
      <c r="A819" s="4" t="s">
        <v>21</v>
      </c>
      <c r="B819" s="4" t="s">
        <v>22</v>
      </c>
      <c r="C819" s="4" t="s">
        <v>23</v>
      </c>
      <c r="D819" s="4" t="s">
        <v>24</v>
      </c>
      <c r="E819" s="4" t="s">
        <v>30</v>
      </c>
      <c r="F819" s="4" t="s">
        <v>25</v>
      </c>
      <c r="G819" s="4" t="s">
        <v>25</v>
      </c>
      <c r="H819" s="4" t="s">
        <v>25</v>
      </c>
      <c r="I819" s="5">
        <v>44593</v>
      </c>
      <c r="J819" s="6">
        <v>0</v>
      </c>
      <c r="K819" s="6">
        <v>0</v>
      </c>
      <c r="L819" s="6">
        <v>3.0270000000000001</v>
      </c>
      <c r="M819" s="6">
        <v>3.0270000000000001</v>
      </c>
      <c r="N819" s="6">
        <v>3.0270000000000001</v>
      </c>
      <c r="O819" s="6">
        <v>3.0270000000000001</v>
      </c>
      <c r="P819" s="6">
        <v>69</v>
      </c>
      <c r="Q819" s="4" t="s">
        <v>26</v>
      </c>
      <c r="R819" s="4">
        <v>0</v>
      </c>
      <c r="S819" s="6">
        <v>0</v>
      </c>
      <c r="T819" s="6">
        <v>6</v>
      </c>
      <c r="U819" s="6">
        <v>55</v>
      </c>
      <c r="V819" s="6">
        <f>IF(ISERROR(VLOOKUP($S$819,'TAR FIN'!$A$1:$O$93,15,0)),0,VLOOKUP($S$819,'TAR FIN'!$A$1:$O$93,15,0))</f>
        <v>0</v>
      </c>
      <c r="W819" s="6">
        <f>IF(ISERROR(VLOOKUP($T$819,'TAR FIN'!$A$1:$O$93,15,0)),0,VLOOKUP($T$819,'TAR FIN'!$A$1:$O$93,15,0))</f>
        <v>123.13</v>
      </c>
      <c r="X819" s="6">
        <f>IF(ISERROR(VLOOKUP($U$819,'TAR FIN'!$A$1:$O$93,15,0)),0,VLOOKUP($U$819,'TAR FIN'!$A$1:$O$93,15,0))</f>
        <v>111.11</v>
      </c>
      <c r="Y819" s="6"/>
      <c r="Z819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819" s="6">
        <f>('TE BE'!$AB$15+'TE BF'!$AB$15+'TE CVA'!$AB$15)*(1-CUSTOS!$M$35)</f>
        <v>118.90916867794938</v>
      </c>
      <c r="AB819" s="6">
        <f>$K$819*$V$819</f>
        <v>0</v>
      </c>
      <c r="AC819" s="6">
        <f>$M$819*$W$819</f>
        <v>372.71451000000002</v>
      </c>
      <c r="AD819" s="6">
        <f>$O$819*$X$819</f>
        <v>336.32997</v>
      </c>
      <c r="AE819" s="6">
        <f>$K$819*$Y$819</f>
        <v>0</v>
      </c>
      <c r="AF819" s="6">
        <f ca="1">$M$819*$Z$819</f>
        <v>354.00969653040232</v>
      </c>
      <c r="AG819" s="6">
        <f>$O$819*$AA$819</f>
        <v>359.9380535881528</v>
      </c>
    </row>
    <row r="820" spans="1:33" ht="11.25" customHeight="1" x14ac:dyDescent="0.25">
      <c r="A820" s="4" t="s">
        <v>21</v>
      </c>
      <c r="B820" s="4" t="s">
        <v>22</v>
      </c>
      <c r="C820" s="4" t="s">
        <v>23</v>
      </c>
      <c r="D820" s="4" t="s">
        <v>24</v>
      </c>
      <c r="E820" s="4" t="s">
        <v>30</v>
      </c>
      <c r="F820" s="4" t="s">
        <v>25</v>
      </c>
      <c r="G820" s="4" t="s">
        <v>25</v>
      </c>
      <c r="H820" s="4" t="s">
        <v>25</v>
      </c>
      <c r="I820" s="5">
        <v>44621</v>
      </c>
      <c r="J820" s="6">
        <v>0</v>
      </c>
      <c r="K820" s="6">
        <v>0</v>
      </c>
      <c r="L820" s="6">
        <v>4.7270000000000003</v>
      </c>
      <c r="M820" s="6">
        <v>4.7270000000000003</v>
      </c>
      <c r="N820" s="6">
        <v>4.7270000000000003</v>
      </c>
      <c r="O820" s="6">
        <v>4.7270000000000003</v>
      </c>
      <c r="P820" s="6">
        <v>112</v>
      </c>
      <c r="Q820" s="4" t="s">
        <v>26</v>
      </c>
      <c r="R820" s="4">
        <v>0</v>
      </c>
      <c r="S820" s="6">
        <v>0</v>
      </c>
      <c r="T820" s="6">
        <v>6</v>
      </c>
      <c r="U820" s="6">
        <v>55</v>
      </c>
      <c r="V820" s="6">
        <f>IF(ISERROR(VLOOKUP($S$820,'TAR FIN'!$A$1:$O$93,15,0)),0,VLOOKUP($S$820,'TAR FIN'!$A$1:$O$93,15,0))</f>
        <v>0</v>
      </c>
      <c r="W820" s="6">
        <f>IF(ISERROR(VLOOKUP($T$820,'TAR FIN'!$A$1:$O$93,15,0)),0,VLOOKUP($T$820,'TAR FIN'!$A$1:$O$93,15,0))</f>
        <v>123.13</v>
      </c>
      <c r="X820" s="6">
        <f>IF(ISERROR(VLOOKUP($U$820,'TAR FIN'!$A$1:$O$93,15,0)),0,VLOOKUP($U$820,'TAR FIN'!$A$1:$O$93,15,0))</f>
        <v>111.11</v>
      </c>
      <c r="Y820" s="6"/>
      <c r="Z820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820" s="6">
        <f>('TE BE'!$AB$15+'TE BF'!$AB$15+'TE CVA'!$AB$15)*(1-CUSTOS!$M$35)</f>
        <v>118.90916867794938</v>
      </c>
      <c r="AB820" s="6">
        <f>$K$820*$V$820</f>
        <v>0</v>
      </c>
      <c r="AC820" s="6">
        <f>$M$820*$W$820</f>
        <v>582.03551000000004</v>
      </c>
      <c r="AD820" s="6">
        <f>$O$820*$X$820</f>
        <v>525.21697000000006</v>
      </c>
      <c r="AE820" s="6">
        <f>$K$820*$Y$820</f>
        <v>0</v>
      </c>
      <c r="AF820" s="6">
        <f ca="1">$M$820*$Z$820</f>
        <v>552.8258458867565</v>
      </c>
      <c r="AG820" s="6">
        <f>$O$820*$AA$820</f>
        <v>562.08364034066676</v>
      </c>
    </row>
    <row r="821" spans="1:33" ht="11.25" customHeight="1" x14ac:dyDescent="0.25">
      <c r="A821" s="4" t="s">
        <v>28</v>
      </c>
      <c r="B821" s="4" t="s">
        <v>22</v>
      </c>
      <c r="C821" s="4" t="s">
        <v>23</v>
      </c>
      <c r="D821" s="4" t="s">
        <v>24</v>
      </c>
      <c r="E821" s="4" t="s">
        <v>30</v>
      </c>
      <c r="F821" s="4" t="s">
        <v>25</v>
      </c>
      <c r="G821" s="4" t="s">
        <v>25</v>
      </c>
      <c r="H821" s="4" t="s">
        <v>25</v>
      </c>
      <c r="I821" s="5">
        <v>44621</v>
      </c>
      <c r="J821" s="6">
        <v>0</v>
      </c>
      <c r="K821" s="6">
        <v>0</v>
      </c>
      <c r="L821" s="6">
        <v>0.03</v>
      </c>
      <c r="M821" s="6">
        <v>0.03</v>
      </c>
      <c r="N821" s="6">
        <v>0.03</v>
      </c>
      <c r="O821" s="6">
        <v>0.03</v>
      </c>
      <c r="P821" s="6">
        <v>1</v>
      </c>
      <c r="Q821" s="4" t="s">
        <v>26</v>
      </c>
      <c r="R821" s="4">
        <v>0</v>
      </c>
      <c r="S821" s="6">
        <v>0</v>
      </c>
      <c r="T821" s="6">
        <v>6</v>
      </c>
      <c r="U821" s="6">
        <v>55</v>
      </c>
      <c r="V821" s="6">
        <f>IF(ISERROR(VLOOKUP($S$821,'TAR FIN'!$A$1:$O$93,15,0)),0,VLOOKUP($S$821,'TAR FIN'!$A$1:$O$93,15,0))</f>
        <v>0</v>
      </c>
      <c r="W821" s="6">
        <f>IF(ISERROR(VLOOKUP($T$821,'TAR FIN'!$A$1:$O$93,15,0)),0,VLOOKUP($T$821,'TAR FIN'!$A$1:$O$93,15,0))</f>
        <v>123.13</v>
      </c>
      <c r="X821" s="6">
        <f>IF(ISERROR(VLOOKUP($U$821,'TAR FIN'!$A$1:$O$93,15,0)),0,VLOOKUP($U$821,'TAR FIN'!$A$1:$O$93,15,0))</f>
        <v>111.11</v>
      </c>
      <c r="Y821" s="6"/>
      <c r="Z821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821" s="6">
        <f>('TE BE'!$AB$15+'TE BF'!$AB$15+'TE CVA'!$AB$15)*(1-CUSTOS!$M$35)</f>
        <v>118.90916867794938</v>
      </c>
      <c r="AB821" s="6">
        <f>$K$821*$V$821</f>
        <v>0</v>
      </c>
      <c r="AC821" s="6">
        <f>$M$821*$W$821</f>
        <v>3.6938999999999997</v>
      </c>
      <c r="AD821" s="6">
        <f>$O$821*$X$821</f>
        <v>3.3332999999999999</v>
      </c>
      <c r="AE821" s="6">
        <f>$K$821*$Y$821</f>
        <v>0</v>
      </c>
      <c r="AF821" s="6">
        <f ca="1">$M$821*$Z$821</f>
        <v>3.5085202827591901</v>
      </c>
      <c r="AG821" s="6">
        <f>$O$821*$AA$821</f>
        <v>3.5672750603384813</v>
      </c>
    </row>
    <row r="822" spans="1:33" ht="11.25" customHeight="1" x14ac:dyDescent="0.25">
      <c r="A822" s="4" t="s">
        <v>21</v>
      </c>
      <c r="B822" s="4" t="s">
        <v>22</v>
      </c>
      <c r="C822" s="4" t="s">
        <v>23</v>
      </c>
      <c r="D822" s="4" t="s">
        <v>24</v>
      </c>
      <c r="E822" s="4" t="s">
        <v>30</v>
      </c>
      <c r="F822" s="4" t="s">
        <v>25</v>
      </c>
      <c r="G822" s="4" t="s">
        <v>25</v>
      </c>
      <c r="H822" s="4" t="s">
        <v>25</v>
      </c>
      <c r="I822" s="5">
        <v>44652</v>
      </c>
      <c r="J822" s="6">
        <v>0</v>
      </c>
      <c r="K822" s="6">
        <v>0</v>
      </c>
      <c r="L822" s="6">
        <v>9.3559999999999999</v>
      </c>
      <c r="M822" s="6">
        <v>9.3559999999999999</v>
      </c>
      <c r="N822" s="6">
        <v>9.3559999999999999</v>
      </c>
      <c r="O822" s="6">
        <v>9.3559999999999999</v>
      </c>
      <c r="P822" s="6">
        <v>216</v>
      </c>
      <c r="Q822" s="4" t="s">
        <v>26</v>
      </c>
      <c r="R822" s="4">
        <v>0</v>
      </c>
      <c r="S822" s="6">
        <v>0</v>
      </c>
      <c r="T822" s="6">
        <v>6</v>
      </c>
      <c r="U822" s="6">
        <v>55</v>
      </c>
      <c r="V822" s="6">
        <f>IF(ISERROR(VLOOKUP($S$822,'TAR FIN'!$A$1:$O$93,15,0)),0,VLOOKUP($S$822,'TAR FIN'!$A$1:$O$93,15,0))</f>
        <v>0</v>
      </c>
      <c r="W822" s="6">
        <f>IF(ISERROR(VLOOKUP($T$822,'TAR FIN'!$A$1:$O$93,15,0)),0,VLOOKUP($T$822,'TAR FIN'!$A$1:$O$93,15,0))</f>
        <v>123.13</v>
      </c>
      <c r="X822" s="6">
        <f>IF(ISERROR(VLOOKUP($U$822,'TAR FIN'!$A$1:$O$93,15,0)),0,VLOOKUP($U$822,'TAR FIN'!$A$1:$O$93,15,0))</f>
        <v>111.11</v>
      </c>
      <c r="Y822" s="6"/>
      <c r="Z822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822" s="6">
        <f>('TE BE'!$AB$15+'TE BF'!$AB$15+'TE CVA'!$AB$15)*(1-CUSTOS!$M$35)</f>
        <v>118.90916867794938</v>
      </c>
      <c r="AB822" s="6">
        <f>$K$822*$V$822</f>
        <v>0</v>
      </c>
      <c r="AC822" s="6">
        <f>$M$822*$W$822</f>
        <v>1152.0042799999999</v>
      </c>
      <c r="AD822" s="6">
        <f>$O$822*$X$822</f>
        <v>1039.5451599999999</v>
      </c>
      <c r="AE822" s="6">
        <f>$K$822*$Y$822</f>
        <v>0</v>
      </c>
      <c r="AF822" s="6">
        <f ca="1">$M$822*$Z$822</f>
        <v>1094.1905255164995</v>
      </c>
      <c r="AG822" s="6">
        <f>$O$822*$AA$822</f>
        <v>1112.5141821508944</v>
      </c>
    </row>
    <row r="823" spans="1:33" ht="11.25" customHeight="1" x14ac:dyDescent="0.25">
      <c r="A823" s="4" t="s">
        <v>21</v>
      </c>
      <c r="B823" s="4" t="s">
        <v>22</v>
      </c>
      <c r="C823" s="4" t="s">
        <v>23</v>
      </c>
      <c r="D823" s="4" t="s">
        <v>24</v>
      </c>
      <c r="E823" s="4" t="s">
        <v>30</v>
      </c>
      <c r="F823" s="4" t="s">
        <v>25</v>
      </c>
      <c r="G823" s="4" t="s">
        <v>25</v>
      </c>
      <c r="H823" s="4" t="s">
        <v>25</v>
      </c>
      <c r="I823" s="5">
        <v>44682</v>
      </c>
      <c r="J823" s="6">
        <v>0</v>
      </c>
      <c r="K823" s="6">
        <v>0</v>
      </c>
      <c r="L823" s="6">
        <v>10.936</v>
      </c>
      <c r="M823" s="6">
        <v>10.936</v>
      </c>
      <c r="N823" s="6">
        <v>10.936</v>
      </c>
      <c r="O823" s="6">
        <v>10.936</v>
      </c>
      <c r="P823" s="6">
        <v>266</v>
      </c>
      <c r="Q823" s="4" t="s">
        <v>26</v>
      </c>
      <c r="R823" s="4">
        <v>0</v>
      </c>
      <c r="S823" s="6">
        <v>0</v>
      </c>
      <c r="T823" s="6">
        <v>6</v>
      </c>
      <c r="U823" s="6">
        <v>55</v>
      </c>
      <c r="V823" s="6">
        <f>IF(ISERROR(VLOOKUP($S$823,'TAR FIN'!$A$1:$O$93,15,0)),0,VLOOKUP($S$823,'TAR FIN'!$A$1:$O$93,15,0))</f>
        <v>0</v>
      </c>
      <c r="W823" s="6">
        <f>IF(ISERROR(VLOOKUP($T$823,'TAR FIN'!$A$1:$O$93,15,0)),0,VLOOKUP($T$823,'TAR FIN'!$A$1:$O$93,15,0))</f>
        <v>123.13</v>
      </c>
      <c r="X823" s="6">
        <f>IF(ISERROR(VLOOKUP($U$823,'TAR FIN'!$A$1:$O$93,15,0)),0,VLOOKUP($U$823,'TAR FIN'!$A$1:$O$93,15,0))</f>
        <v>111.11</v>
      </c>
      <c r="Y823" s="6"/>
      <c r="Z823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823" s="6">
        <f>('TE BE'!$AB$15+'TE BF'!$AB$15+'TE CVA'!$AB$15)*(1-CUSTOS!$M$35)</f>
        <v>118.90916867794938</v>
      </c>
      <c r="AB823" s="6">
        <f>$K$823*$V$823</f>
        <v>0</v>
      </c>
      <c r="AC823" s="6">
        <f>$M$823*$W$823</f>
        <v>1346.5496799999999</v>
      </c>
      <c r="AD823" s="6">
        <f>$O$823*$X$823</f>
        <v>1215.09896</v>
      </c>
      <c r="AE823" s="6">
        <f>$K$823*$Y$823</f>
        <v>0</v>
      </c>
      <c r="AF823" s="6">
        <f ca="1">$M$823*$Z$823</f>
        <v>1278.9725937418168</v>
      </c>
      <c r="AG823" s="6">
        <f>$O$823*$AA$823</f>
        <v>1300.3906686620544</v>
      </c>
    </row>
    <row r="824" spans="1:33" ht="11.25" customHeight="1" x14ac:dyDescent="0.25">
      <c r="A824" s="4" t="s">
        <v>21</v>
      </c>
      <c r="B824" s="4" t="s">
        <v>22</v>
      </c>
      <c r="C824" s="4" t="s">
        <v>23</v>
      </c>
      <c r="D824" s="4" t="s">
        <v>24</v>
      </c>
      <c r="E824" s="4" t="s">
        <v>30</v>
      </c>
      <c r="F824" s="4" t="s">
        <v>25</v>
      </c>
      <c r="G824" s="4" t="s">
        <v>25</v>
      </c>
      <c r="H824" s="4" t="s">
        <v>25</v>
      </c>
      <c r="I824" s="5">
        <v>44713</v>
      </c>
      <c r="J824" s="6">
        <v>0</v>
      </c>
      <c r="K824" s="6">
        <v>0</v>
      </c>
      <c r="L824" s="6">
        <v>9.8409999999999993</v>
      </c>
      <c r="M824" s="6">
        <v>9.8409999999999993</v>
      </c>
      <c r="N824" s="6">
        <v>9.8409999999999993</v>
      </c>
      <c r="O824" s="6">
        <v>9.8409999999999993</v>
      </c>
      <c r="P824" s="6">
        <v>229</v>
      </c>
      <c r="Q824" s="4" t="s">
        <v>26</v>
      </c>
      <c r="R824" s="4">
        <v>0</v>
      </c>
      <c r="S824" s="6">
        <v>0</v>
      </c>
      <c r="T824" s="6">
        <v>6</v>
      </c>
      <c r="U824" s="6">
        <v>55</v>
      </c>
      <c r="V824" s="6">
        <f>IF(ISERROR(VLOOKUP($S$824,'TAR FIN'!$A$1:$O$93,15,0)),0,VLOOKUP($S$824,'TAR FIN'!$A$1:$O$93,15,0))</f>
        <v>0</v>
      </c>
      <c r="W824" s="6">
        <f>IF(ISERROR(VLOOKUP($T$824,'TAR FIN'!$A$1:$O$93,15,0)),0,VLOOKUP($T$824,'TAR FIN'!$A$1:$O$93,15,0))</f>
        <v>123.13</v>
      </c>
      <c r="X824" s="6">
        <f>IF(ISERROR(VLOOKUP($U$824,'TAR FIN'!$A$1:$O$93,15,0)),0,VLOOKUP($U$824,'TAR FIN'!$A$1:$O$93,15,0))</f>
        <v>111.11</v>
      </c>
      <c r="Y824" s="6"/>
      <c r="Z824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824" s="6">
        <f>('TE BE'!$AB$15+'TE BF'!$AB$15+'TE CVA'!$AB$15)*(1-CUSTOS!$M$35)</f>
        <v>118.90916867794938</v>
      </c>
      <c r="AB824" s="6">
        <f>$K$824*$V$824</f>
        <v>0</v>
      </c>
      <c r="AC824" s="6">
        <f>$M$824*$W$824</f>
        <v>1211.7223299999998</v>
      </c>
      <c r="AD824" s="6">
        <f>$O$824*$X$824</f>
        <v>1093.4335099999998</v>
      </c>
      <c r="AE824" s="6">
        <f>$K$824*$Y$824</f>
        <v>0</v>
      </c>
      <c r="AF824" s="6">
        <f ca="1">$M$824*$Z$824</f>
        <v>1150.9116034211063</v>
      </c>
      <c r="AG824" s="6">
        <f>$O$824*$AA$824</f>
        <v>1170.1851289596998</v>
      </c>
    </row>
    <row r="825" spans="1:33" ht="11.25" customHeight="1" x14ac:dyDescent="0.25">
      <c r="A825" s="4" t="s">
        <v>21</v>
      </c>
      <c r="B825" s="4" t="s">
        <v>22</v>
      </c>
      <c r="C825" s="4" t="s">
        <v>23</v>
      </c>
      <c r="D825" s="4" t="s">
        <v>24</v>
      </c>
      <c r="E825" s="4" t="s">
        <v>31</v>
      </c>
      <c r="F825" s="4" t="s">
        <v>25</v>
      </c>
      <c r="G825" s="4" t="s">
        <v>25</v>
      </c>
      <c r="H825" s="4" t="s">
        <v>25</v>
      </c>
      <c r="I825" s="5">
        <v>44378</v>
      </c>
      <c r="J825" s="6">
        <v>0</v>
      </c>
      <c r="K825" s="6">
        <v>0</v>
      </c>
      <c r="L825" s="6">
        <v>20.117999999999999</v>
      </c>
      <c r="M825" s="6">
        <v>20.117999999999999</v>
      </c>
      <c r="N825" s="6">
        <v>20.117999999999999</v>
      </c>
      <c r="O825" s="6">
        <v>20.117999999999999</v>
      </c>
      <c r="P825" s="6">
        <v>130</v>
      </c>
      <c r="Q825" s="4" t="s">
        <v>26</v>
      </c>
      <c r="R825" s="4">
        <v>0</v>
      </c>
      <c r="S825" s="6">
        <v>0</v>
      </c>
      <c r="T825" s="6">
        <v>15</v>
      </c>
      <c r="U825" s="6">
        <v>86</v>
      </c>
      <c r="V825" s="6">
        <f>IF(ISERROR(VLOOKUP($S$825,'TAR FIN'!$A$1:$O$93,15,0)),0,VLOOKUP($S$825,'TAR FIN'!$A$1:$O$93,15,0))</f>
        <v>0</v>
      </c>
      <c r="W825" s="6">
        <f>IF(ISERROR(VLOOKUP($T$825,'TAR FIN'!$A$1:$O$93,15,0)),0,VLOOKUP($T$825,'TAR FIN'!$A$1:$O$93,15,0))</f>
        <v>184.7</v>
      </c>
      <c r="X825" s="6">
        <f>IF(ISERROR(VLOOKUP($U$825,'TAR FIN'!$A$1:$O$93,15,0)),0,VLOOKUP($U$825,'TAR FIN'!$A$1:$O$93,15,0))</f>
        <v>166.66</v>
      </c>
      <c r="Y825" s="6"/>
      <c r="Z825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25" s="6">
        <f>('TE BE'!$AB$16+'TE BF'!$AB$16+'TE CVA'!$AB$16)*(1-CUSTOS!$M$36)</f>
        <v>178.36375301692408</v>
      </c>
      <c r="AB825" s="6">
        <f>$K$825*$V$825</f>
        <v>0</v>
      </c>
      <c r="AC825" s="6">
        <f>$M$825*$W$825</f>
        <v>3715.7945999999997</v>
      </c>
      <c r="AD825" s="6">
        <f>$O$825*$X$825</f>
        <v>3352.8658799999998</v>
      </c>
      <c r="AE825" s="6">
        <f>$K$825*$Y$825</f>
        <v>0</v>
      </c>
      <c r="AF825" s="6">
        <f ca="1">$M$825*$Z$825</f>
        <v>3529.2205524274696</v>
      </c>
      <c r="AG825" s="6">
        <f>$O$825*$AA$825</f>
        <v>3588.3219831944784</v>
      </c>
    </row>
    <row r="826" spans="1:33" ht="11.25" customHeight="1" x14ac:dyDescent="0.25">
      <c r="A826" s="4" t="s">
        <v>21</v>
      </c>
      <c r="B826" s="4" t="s">
        <v>22</v>
      </c>
      <c r="C826" s="4" t="s">
        <v>23</v>
      </c>
      <c r="D826" s="4" t="s">
        <v>24</v>
      </c>
      <c r="E826" s="4" t="s">
        <v>31</v>
      </c>
      <c r="F826" s="4" t="s">
        <v>25</v>
      </c>
      <c r="G826" s="4" t="s">
        <v>25</v>
      </c>
      <c r="H826" s="4" t="s">
        <v>25</v>
      </c>
      <c r="I826" s="5">
        <v>44409</v>
      </c>
      <c r="J826" s="6">
        <v>0</v>
      </c>
      <c r="K826" s="6">
        <v>0</v>
      </c>
      <c r="L826" s="6">
        <v>21.292999999999999</v>
      </c>
      <c r="M826" s="6">
        <v>21.292999999999999</v>
      </c>
      <c r="N826" s="6">
        <v>21.292999999999999</v>
      </c>
      <c r="O826" s="6">
        <v>21.292999999999999</v>
      </c>
      <c r="P826" s="6">
        <v>132</v>
      </c>
      <c r="Q826" s="4" t="s">
        <v>26</v>
      </c>
      <c r="R826" s="4">
        <v>0</v>
      </c>
      <c r="S826" s="6">
        <v>0</v>
      </c>
      <c r="T826" s="6">
        <v>15</v>
      </c>
      <c r="U826" s="6">
        <v>86</v>
      </c>
      <c r="V826" s="6">
        <f>IF(ISERROR(VLOOKUP($S$826,'TAR FIN'!$A$1:$O$93,15,0)),0,VLOOKUP($S$826,'TAR FIN'!$A$1:$O$93,15,0))</f>
        <v>0</v>
      </c>
      <c r="W826" s="6">
        <f>IF(ISERROR(VLOOKUP($T$826,'TAR FIN'!$A$1:$O$93,15,0)),0,VLOOKUP($T$826,'TAR FIN'!$A$1:$O$93,15,0))</f>
        <v>184.7</v>
      </c>
      <c r="X826" s="6">
        <f>IF(ISERROR(VLOOKUP($U$826,'TAR FIN'!$A$1:$O$93,15,0)),0,VLOOKUP($U$826,'TAR FIN'!$A$1:$O$93,15,0))</f>
        <v>166.66</v>
      </c>
      <c r="Y826" s="6"/>
      <c r="Z826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26" s="6">
        <f>('TE BE'!$AB$16+'TE BF'!$AB$16+'TE CVA'!$AB$16)*(1-CUSTOS!$M$36)</f>
        <v>178.36375301692408</v>
      </c>
      <c r="AB826" s="6">
        <f>$K$826*$V$826</f>
        <v>0</v>
      </c>
      <c r="AC826" s="6">
        <f>$M$826*$W$826</f>
        <v>3932.8170999999998</v>
      </c>
      <c r="AD826" s="6">
        <f>$O$826*$X$826</f>
        <v>3548.6913799999998</v>
      </c>
      <c r="AE826" s="6">
        <f>$K$826*$Y$826</f>
        <v>0</v>
      </c>
      <c r="AF826" s="6">
        <f ca="1">$M$826*$Z$826</f>
        <v>3735.3461190395719</v>
      </c>
      <c r="AG826" s="6">
        <f>$O$826*$AA$826</f>
        <v>3797.8993929893641</v>
      </c>
    </row>
    <row r="827" spans="1:33" ht="11.25" customHeight="1" x14ac:dyDescent="0.25">
      <c r="A827" s="4" t="s">
        <v>21</v>
      </c>
      <c r="B827" s="4" t="s">
        <v>22</v>
      </c>
      <c r="C827" s="4" t="s">
        <v>23</v>
      </c>
      <c r="D827" s="4" t="s">
        <v>24</v>
      </c>
      <c r="E827" s="4" t="s">
        <v>31</v>
      </c>
      <c r="F827" s="4" t="s">
        <v>25</v>
      </c>
      <c r="G827" s="4" t="s">
        <v>25</v>
      </c>
      <c r="H827" s="4" t="s">
        <v>25</v>
      </c>
      <c r="I827" s="5">
        <v>44440</v>
      </c>
      <c r="J827" s="6">
        <v>0</v>
      </c>
      <c r="K827" s="6">
        <v>0</v>
      </c>
      <c r="L827" s="6">
        <v>22.510999999999999</v>
      </c>
      <c r="M827" s="6">
        <v>22.510999999999999</v>
      </c>
      <c r="N827" s="6">
        <v>22.510999999999999</v>
      </c>
      <c r="O827" s="6">
        <v>22.510999999999999</v>
      </c>
      <c r="P827" s="6">
        <v>141</v>
      </c>
      <c r="Q827" s="4" t="s">
        <v>26</v>
      </c>
      <c r="R827" s="4">
        <v>0</v>
      </c>
      <c r="S827" s="6">
        <v>0</v>
      </c>
      <c r="T827" s="6">
        <v>15</v>
      </c>
      <c r="U827" s="6">
        <v>86</v>
      </c>
      <c r="V827" s="6">
        <f>IF(ISERROR(VLOOKUP($S$827,'TAR FIN'!$A$1:$O$93,15,0)),0,VLOOKUP($S$827,'TAR FIN'!$A$1:$O$93,15,0))</f>
        <v>0</v>
      </c>
      <c r="W827" s="6">
        <f>IF(ISERROR(VLOOKUP($T$827,'TAR FIN'!$A$1:$O$93,15,0)),0,VLOOKUP($T$827,'TAR FIN'!$A$1:$O$93,15,0))</f>
        <v>184.7</v>
      </c>
      <c r="X827" s="6">
        <f>IF(ISERROR(VLOOKUP($U$827,'TAR FIN'!$A$1:$O$93,15,0)),0,VLOOKUP($U$827,'TAR FIN'!$A$1:$O$93,15,0))</f>
        <v>166.66</v>
      </c>
      <c r="Y827" s="6"/>
      <c r="Z827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27" s="6">
        <f>('TE BE'!$AB$16+'TE BF'!$AB$16+'TE CVA'!$AB$16)*(1-CUSTOS!$M$36)</f>
        <v>178.36375301692408</v>
      </c>
      <c r="AB827" s="6">
        <f>$K$827*$V$827</f>
        <v>0</v>
      </c>
      <c r="AC827" s="6">
        <f>$M$827*$W$827</f>
        <v>4157.7816999999995</v>
      </c>
      <c r="AD827" s="6">
        <f>$O$827*$X$827</f>
        <v>3751.6832599999998</v>
      </c>
      <c r="AE827" s="6">
        <f>$K$827*$Y$827</f>
        <v>0</v>
      </c>
      <c r="AF827" s="6">
        <f ca="1">$M$827*$Z$827</f>
        <v>3949.0150042596069</v>
      </c>
      <c r="AG827" s="6">
        <f>$O$827*$AA$827</f>
        <v>4015.1464441639778</v>
      </c>
    </row>
    <row r="828" spans="1:33" ht="11.25" customHeight="1" x14ac:dyDescent="0.25">
      <c r="A828" s="4" t="s">
        <v>21</v>
      </c>
      <c r="B828" s="4" t="s">
        <v>22</v>
      </c>
      <c r="C828" s="4" t="s">
        <v>23</v>
      </c>
      <c r="D828" s="4" t="s">
        <v>24</v>
      </c>
      <c r="E828" s="4" t="s">
        <v>31</v>
      </c>
      <c r="F828" s="4" t="s">
        <v>25</v>
      </c>
      <c r="G828" s="4" t="s">
        <v>25</v>
      </c>
      <c r="H828" s="4" t="s">
        <v>25</v>
      </c>
      <c r="I828" s="5">
        <v>44470</v>
      </c>
      <c r="J828" s="6">
        <v>0</v>
      </c>
      <c r="K828" s="6">
        <v>0</v>
      </c>
      <c r="L828" s="6">
        <v>22.129000000000001</v>
      </c>
      <c r="M828" s="6">
        <v>22.129000000000001</v>
      </c>
      <c r="N828" s="6">
        <v>22.129000000000001</v>
      </c>
      <c r="O828" s="6">
        <v>22.129000000000001</v>
      </c>
      <c r="P828" s="6">
        <v>143</v>
      </c>
      <c r="Q828" s="4" t="s">
        <v>26</v>
      </c>
      <c r="R828" s="4">
        <v>0</v>
      </c>
      <c r="S828" s="6">
        <v>0</v>
      </c>
      <c r="T828" s="6">
        <v>15</v>
      </c>
      <c r="U828" s="6">
        <v>86</v>
      </c>
      <c r="V828" s="6">
        <f>IF(ISERROR(VLOOKUP($S$828,'TAR FIN'!$A$1:$O$93,15,0)),0,VLOOKUP($S$828,'TAR FIN'!$A$1:$O$93,15,0))</f>
        <v>0</v>
      </c>
      <c r="W828" s="6">
        <f>IF(ISERROR(VLOOKUP($T$828,'TAR FIN'!$A$1:$O$93,15,0)),0,VLOOKUP($T$828,'TAR FIN'!$A$1:$O$93,15,0))</f>
        <v>184.7</v>
      </c>
      <c r="X828" s="6">
        <f>IF(ISERROR(VLOOKUP($U$828,'TAR FIN'!$A$1:$O$93,15,0)),0,VLOOKUP($U$828,'TAR FIN'!$A$1:$O$93,15,0))</f>
        <v>166.66</v>
      </c>
      <c r="Y828" s="6"/>
      <c r="Z828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28" s="6">
        <f>('TE BE'!$AB$16+'TE BF'!$AB$16+'TE CVA'!$AB$16)*(1-CUSTOS!$M$36)</f>
        <v>178.36375301692408</v>
      </c>
      <c r="AB828" s="6">
        <f>$K$828*$V$828</f>
        <v>0</v>
      </c>
      <c r="AC828" s="6">
        <f>$M$828*$W$828</f>
        <v>4087.2262999999998</v>
      </c>
      <c r="AD828" s="6">
        <f>$O$828*$X$828</f>
        <v>3688.0191400000003</v>
      </c>
      <c r="AE828" s="6">
        <f>$K$828*$Y$828</f>
        <v>0</v>
      </c>
      <c r="AF828" s="6">
        <f ca="1">$M$828*$Z$828</f>
        <v>3882.0022668589068</v>
      </c>
      <c r="AG828" s="6">
        <f>$O$828*$AA$828</f>
        <v>3947.0114905115133</v>
      </c>
    </row>
    <row r="829" spans="1:33" ht="11.25" customHeight="1" x14ac:dyDescent="0.25">
      <c r="A829" s="4" t="s">
        <v>21</v>
      </c>
      <c r="B829" s="4" t="s">
        <v>22</v>
      </c>
      <c r="C829" s="4" t="s">
        <v>23</v>
      </c>
      <c r="D829" s="4" t="s">
        <v>24</v>
      </c>
      <c r="E829" s="4" t="s">
        <v>31</v>
      </c>
      <c r="F829" s="4" t="s">
        <v>25</v>
      </c>
      <c r="G829" s="4" t="s">
        <v>25</v>
      </c>
      <c r="H829" s="4" t="s">
        <v>25</v>
      </c>
      <c r="I829" s="5">
        <v>44501</v>
      </c>
      <c r="J829" s="6">
        <v>0</v>
      </c>
      <c r="K829" s="6">
        <v>0</v>
      </c>
      <c r="L829" s="6">
        <v>23.164999999999999</v>
      </c>
      <c r="M829" s="6">
        <v>23.164999999999999</v>
      </c>
      <c r="N829" s="6">
        <v>23.164999999999999</v>
      </c>
      <c r="O829" s="6">
        <v>23.164999999999999</v>
      </c>
      <c r="P829" s="6">
        <v>142</v>
      </c>
      <c r="Q829" s="4" t="s">
        <v>26</v>
      </c>
      <c r="R829" s="4">
        <v>0</v>
      </c>
      <c r="S829" s="6">
        <v>0</v>
      </c>
      <c r="T829" s="6">
        <v>15</v>
      </c>
      <c r="U829" s="6">
        <v>86</v>
      </c>
      <c r="V829" s="6">
        <f>IF(ISERROR(VLOOKUP($S$829,'TAR FIN'!$A$1:$O$93,15,0)),0,VLOOKUP($S$829,'TAR FIN'!$A$1:$O$93,15,0))</f>
        <v>0</v>
      </c>
      <c r="W829" s="6">
        <f>IF(ISERROR(VLOOKUP($T$829,'TAR FIN'!$A$1:$O$93,15,0)),0,VLOOKUP($T$829,'TAR FIN'!$A$1:$O$93,15,0))</f>
        <v>184.7</v>
      </c>
      <c r="X829" s="6">
        <f>IF(ISERROR(VLOOKUP($U$829,'TAR FIN'!$A$1:$O$93,15,0)),0,VLOOKUP($U$829,'TAR FIN'!$A$1:$O$93,15,0))</f>
        <v>166.66</v>
      </c>
      <c r="Y829" s="6"/>
      <c r="Z829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29" s="6">
        <f>('TE BE'!$AB$16+'TE BF'!$AB$16+'TE CVA'!$AB$16)*(1-CUSTOS!$M$36)</f>
        <v>178.36375301692408</v>
      </c>
      <c r="AB829" s="6">
        <f>$K$829*$V$829</f>
        <v>0</v>
      </c>
      <c r="AC829" s="6">
        <f>$M$829*$W$829</f>
        <v>4278.5754999999999</v>
      </c>
      <c r="AD829" s="6">
        <f>$O$829*$X$829</f>
        <v>3860.6788999999999</v>
      </c>
      <c r="AE829" s="6">
        <f>$K$829*$Y$829</f>
        <v>0</v>
      </c>
      <c r="AF829" s="6">
        <f ca="1">$M$829*$Z$829</f>
        <v>4063.7436175058324</v>
      </c>
      <c r="AG829" s="6">
        <f>$O$829*$AA$829</f>
        <v>4131.7963386370466</v>
      </c>
    </row>
    <row r="830" spans="1:33" ht="11.25" customHeight="1" x14ac:dyDescent="0.25">
      <c r="A830" s="4" t="s">
        <v>27</v>
      </c>
      <c r="B830" s="4" t="s">
        <v>22</v>
      </c>
      <c r="C830" s="4" t="s">
        <v>23</v>
      </c>
      <c r="D830" s="4" t="s">
        <v>24</v>
      </c>
      <c r="E830" s="4" t="s">
        <v>31</v>
      </c>
      <c r="F830" s="4" t="s">
        <v>25</v>
      </c>
      <c r="G830" s="4" t="s">
        <v>25</v>
      </c>
      <c r="H830" s="4" t="s">
        <v>25</v>
      </c>
      <c r="I830" s="5">
        <v>44501</v>
      </c>
      <c r="J830" s="6">
        <v>0</v>
      </c>
      <c r="K830" s="6">
        <v>0</v>
      </c>
      <c r="L830" s="6">
        <v>-0.68700000000000006</v>
      </c>
      <c r="M830" s="6">
        <v>-0.68700000000000006</v>
      </c>
      <c r="N830" s="6">
        <v>-0.68700000000000006</v>
      </c>
      <c r="O830" s="6">
        <v>-0.68700000000000006</v>
      </c>
      <c r="P830" s="6">
        <v>-6</v>
      </c>
      <c r="Q830" s="4" t="s">
        <v>26</v>
      </c>
      <c r="R830" s="4">
        <v>0</v>
      </c>
      <c r="S830" s="6">
        <v>0</v>
      </c>
      <c r="T830" s="6">
        <v>15</v>
      </c>
      <c r="U830" s="6">
        <v>86</v>
      </c>
      <c r="V830" s="6">
        <f>IF(ISERROR(VLOOKUP($S$830,'TAR FIN'!$A$1:$O$93,15,0)),0,VLOOKUP($S$830,'TAR FIN'!$A$1:$O$93,15,0))</f>
        <v>0</v>
      </c>
      <c r="W830" s="6">
        <f>IF(ISERROR(VLOOKUP($T$830,'TAR FIN'!$A$1:$O$93,15,0)),0,VLOOKUP($T$830,'TAR FIN'!$A$1:$O$93,15,0))</f>
        <v>184.7</v>
      </c>
      <c r="X830" s="6">
        <f>IF(ISERROR(VLOOKUP($U$830,'TAR FIN'!$A$1:$O$93,15,0)),0,VLOOKUP($U$830,'TAR FIN'!$A$1:$O$93,15,0))</f>
        <v>166.66</v>
      </c>
      <c r="Y830" s="6"/>
      <c r="Z830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30" s="6">
        <f>('TE BE'!$AB$16+'TE BF'!$AB$16+'TE CVA'!$AB$16)*(1-CUSTOS!$M$36)</f>
        <v>178.36375301692408</v>
      </c>
      <c r="AB830" s="6">
        <f>$K$830*$V$830</f>
        <v>0</v>
      </c>
      <c r="AC830" s="6">
        <f>$M$830*$W$830</f>
        <v>-126.88890000000001</v>
      </c>
      <c r="AD830" s="6">
        <f>$O$830*$X$830</f>
        <v>-114.49542000000001</v>
      </c>
      <c r="AE830" s="6">
        <f>$K$830*$Y$830</f>
        <v>0</v>
      </c>
      <c r="AF830" s="6">
        <f ca="1">$M$830*$Z$830</f>
        <v>-120.51767171277821</v>
      </c>
      <c r="AG830" s="6">
        <f>$O$830*$AA$830</f>
        <v>-122.53589832262685</v>
      </c>
    </row>
    <row r="831" spans="1:33" ht="11.25" customHeight="1" x14ac:dyDescent="0.25">
      <c r="A831" s="4" t="s">
        <v>28</v>
      </c>
      <c r="B831" s="4" t="s">
        <v>22</v>
      </c>
      <c r="C831" s="4" t="s">
        <v>23</v>
      </c>
      <c r="D831" s="4" t="s">
        <v>24</v>
      </c>
      <c r="E831" s="4" t="s">
        <v>31</v>
      </c>
      <c r="F831" s="4" t="s">
        <v>25</v>
      </c>
      <c r="G831" s="4" t="s">
        <v>25</v>
      </c>
      <c r="H831" s="4" t="s">
        <v>25</v>
      </c>
      <c r="I831" s="5">
        <v>44501</v>
      </c>
      <c r="J831" s="6">
        <v>0</v>
      </c>
      <c r="K831" s="6">
        <v>0</v>
      </c>
      <c r="L831" s="6">
        <v>0.03</v>
      </c>
      <c r="M831" s="6">
        <v>0.03</v>
      </c>
      <c r="N831" s="6">
        <v>0.03</v>
      </c>
      <c r="O831" s="6">
        <v>0.03</v>
      </c>
      <c r="P831" s="6">
        <v>1</v>
      </c>
      <c r="Q831" s="4" t="s">
        <v>26</v>
      </c>
      <c r="R831" s="4">
        <v>0</v>
      </c>
      <c r="S831" s="6">
        <v>0</v>
      </c>
      <c r="T831" s="6">
        <v>15</v>
      </c>
      <c r="U831" s="6">
        <v>86</v>
      </c>
      <c r="V831" s="6">
        <f>IF(ISERROR(VLOOKUP($S$831,'TAR FIN'!$A$1:$O$93,15,0)),0,VLOOKUP($S$831,'TAR FIN'!$A$1:$O$93,15,0))</f>
        <v>0</v>
      </c>
      <c r="W831" s="6">
        <f>IF(ISERROR(VLOOKUP($T$831,'TAR FIN'!$A$1:$O$93,15,0)),0,VLOOKUP($T$831,'TAR FIN'!$A$1:$O$93,15,0))</f>
        <v>184.7</v>
      </c>
      <c r="X831" s="6">
        <f>IF(ISERROR(VLOOKUP($U$831,'TAR FIN'!$A$1:$O$93,15,0)),0,VLOOKUP($U$831,'TAR FIN'!$A$1:$O$93,15,0))</f>
        <v>166.66</v>
      </c>
      <c r="Y831" s="6"/>
      <c r="Z831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31" s="6">
        <f>('TE BE'!$AB$16+'TE BF'!$AB$16+'TE CVA'!$AB$16)*(1-CUSTOS!$M$36)</f>
        <v>178.36375301692408</v>
      </c>
      <c r="AB831" s="6">
        <f>$K$831*$V$831</f>
        <v>0</v>
      </c>
      <c r="AC831" s="6">
        <f>$M$831*$W$831</f>
        <v>5.5409999999999995</v>
      </c>
      <c r="AD831" s="6">
        <f>$O$831*$X$831</f>
        <v>4.9997999999999996</v>
      </c>
      <c r="AE831" s="6">
        <f>$K$831*$Y$831</f>
        <v>0</v>
      </c>
      <c r="AF831" s="6">
        <f ca="1">$M$831*$Z$831</f>
        <v>5.2627804241387857</v>
      </c>
      <c r="AG831" s="6">
        <f>$O$831*$AA$831</f>
        <v>5.3509125905077219</v>
      </c>
    </row>
    <row r="832" spans="1:33" ht="11.25" customHeight="1" x14ac:dyDescent="0.25">
      <c r="A832" s="4" t="s">
        <v>21</v>
      </c>
      <c r="B832" s="4" t="s">
        <v>22</v>
      </c>
      <c r="C832" s="4" t="s">
        <v>23</v>
      </c>
      <c r="D832" s="4" t="s">
        <v>24</v>
      </c>
      <c r="E832" s="4" t="s">
        <v>31</v>
      </c>
      <c r="F832" s="4" t="s">
        <v>25</v>
      </c>
      <c r="G832" s="4" t="s">
        <v>25</v>
      </c>
      <c r="H832" s="4" t="s">
        <v>25</v>
      </c>
      <c r="I832" s="5">
        <v>44531</v>
      </c>
      <c r="J832" s="6">
        <v>0</v>
      </c>
      <c r="K832" s="6">
        <v>0</v>
      </c>
      <c r="L832" s="6">
        <v>22.89</v>
      </c>
      <c r="M832" s="6">
        <v>22.89</v>
      </c>
      <c r="N832" s="6">
        <v>22.89</v>
      </c>
      <c r="O832" s="6">
        <v>22.89</v>
      </c>
      <c r="P832" s="6">
        <v>144</v>
      </c>
      <c r="Q832" s="4" t="s">
        <v>26</v>
      </c>
      <c r="R832" s="4">
        <v>0</v>
      </c>
      <c r="S832" s="6">
        <v>0</v>
      </c>
      <c r="T832" s="6">
        <v>15</v>
      </c>
      <c r="U832" s="6">
        <v>86</v>
      </c>
      <c r="V832" s="6">
        <f>IF(ISERROR(VLOOKUP($S$832,'TAR FIN'!$A$1:$O$93,15,0)),0,VLOOKUP($S$832,'TAR FIN'!$A$1:$O$93,15,0))</f>
        <v>0</v>
      </c>
      <c r="W832" s="6">
        <f>IF(ISERROR(VLOOKUP($T$832,'TAR FIN'!$A$1:$O$93,15,0)),0,VLOOKUP($T$832,'TAR FIN'!$A$1:$O$93,15,0))</f>
        <v>184.7</v>
      </c>
      <c r="X832" s="6">
        <f>IF(ISERROR(VLOOKUP($U$832,'TAR FIN'!$A$1:$O$93,15,0)),0,VLOOKUP($U$832,'TAR FIN'!$A$1:$O$93,15,0))</f>
        <v>166.66</v>
      </c>
      <c r="Y832" s="6"/>
      <c r="Z832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32" s="6">
        <f>('TE BE'!$AB$16+'TE BF'!$AB$16+'TE CVA'!$AB$16)*(1-CUSTOS!$M$36)</f>
        <v>178.36375301692408</v>
      </c>
      <c r="AB832" s="6">
        <f>$K$832*$V$832</f>
        <v>0</v>
      </c>
      <c r="AC832" s="6">
        <f>$M$832*$W$832</f>
        <v>4227.7829999999994</v>
      </c>
      <c r="AD832" s="6">
        <f>$O$832*$X$832</f>
        <v>3814.8474000000001</v>
      </c>
      <c r="AE832" s="6">
        <f>$K$832*$Y$832</f>
        <v>0</v>
      </c>
      <c r="AF832" s="6">
        <f ca="1">$M$832*$Z$832</f>
        <v>4015.5014636178935</v>
      </c>
      <c r="AG832" s="6">
        <f>$O$832*$AA$832</f>
        <v>4082.7463065573925</v>
      </c>
    </row>
    <row r="833" spans="1:33" ht="11.25" customHeight="1" x14ac:dyDescent="0.25">
      <c r="A833" s="4" t="s">
        <v>21</v>
      </c>
      <c r="B833" s="4" t="s">
        <v>22</v>
      </c>
      <c r="C833" s="4" t="s">
        <v>23</v>
      </c>
      <c r="D833" s="4" t="s">
        <v>24</v>
      </c>
      <c r="E833" s="4" t="s">
        <v>31</v>
      </c>
      <c r="F833" s="4" t="s">
        <v>25</v>
      </c>
      <c r="G833" s="4" t="s">
        <v>25</v>
      </c>
      <c r="H833" s="4" t="s">
        <v>25</v>
      </c>
      <c r="I833" s="5">
        <v>44562</v>
      </c>
      <c r="J833" s="6">
        <v>0</v>
      </c>
      <c r="K833" s="6">
        <v>0</v>
      </c>
      <c r="L833" s="6">
        <v>21.231999999999999</v>
      </c>
      <c r="M833" s="6">
        <v>21.231999999999999</v>
      </c>
      <c r="N833" s="6">
        <v>21.231999999999999</v>
      </c>
      <c r="O833" s="6">
        <v>21.231999999999999</v>
      </c>
      <c r="P833" s="6">
        <v>123</v>
      </c>
      <c r="Q833" s="4" t="s">
        <v>26</v>
      </c>
      <c r="R833" s="4">
        <v>0</v>
      </c>
      <c r="S833" s="6">
        <v>0</v>
      </c>
      <c r="T833" s="6">
        <v>15</v>
      </c>
      <c r="U833" s="6">
        <v>86</v>
      </c>
      <c r="V833" s="6">
        <f>IF(ISERROR(VLOOKUP($S$833,'TAR FIN'!$A$1:$O$93,15,0)),0,VLOOKUP($S$833,'TAR FIN'!$A$1:$O$93,15,0))</f>
        <v>0</v>
      </c>
      <c r="W833" s="6">
        <f>IF(ISERROR(VLOOKUP($T$833,'TAR FIN'!$A$1:$O$93,15,0)),0,VLOOKUP($T$833,'TAR FIN'!$A$1:$O$93,15,0))</f>
        <v>184.7</v>
      </c>
      <c r="X833" s="6">
        <f>IF(ISERROR(VLOOKUP($U$833,'TAR FIN'!$A$1:$O$93,15,0)),0,VLOOKUP($U$833,'TAR FIN'!$A$1:$O$93,15,0))</f>
        <v>166.66</v>
      </c>
      <c r="Y833" s="6"/>
      <c r="Z833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33" s="6">
        <f>('TE BE'!$AB$16+'TE BF'!$AB$16+'TE CVA'!$AB$16)*(1-CUSTOS!$M$36)</f>
        <v>178.36375301692408</v>
      </c>
      <c r="AB833" s="6">
        <f>$K$833*$V$833</f>
        <v>0</v>
      </c>
      <c r="AC833" s="6">
        <f>$M$833*$W$833</f>
        <v>3921.5503999999996</v>
      </c>
      <c r="AD833" s="6">
        <f>$O$833*$X$833</f>
        <v>3538.5251199999998</v>
      </c>
      <c r="AE833" s="6">
        <f>$K$833*$Y$833</f>
        <v>0</v>
      </c>
      <c r="AF833" s="6">
        <f ca="1">$M$833*$Z$833</f>
        <v>3724.6451321771565</v>
      </c>
      <c r="AG833" s="6">
        <f>$O$833*$AA$833</f>
        <v>3787.019204055332</v>
      </c>
    </row>
    <row r="834" spans="1:33" ht="11.25" customHeight="1" x14ac:dyDescent="0.25">
      <c r="A834" s="4" t="s">
        <v>28</v>
      </c>
      <c r="B834" s="4" t="s">
        <v>22</v>
      </c>
      <c r="C834" s="4" t="s">
        <v>23</v>
      </c>
      <c r="D834" s="4" t="s">
        <v>24</v>
      </c>
      <c r="E834" s="4" t="s">
        <v>31</v>
      </c>
      <c r="F834" s="4" t="s">
        <v>25</v>
      </c>
      <c r="G834" s="4" t="s">
        <v>25</v>
      </c>
      <c r="H834" s="4" t="s">
        <v>25</v>
      </c>
      <c r="I834" s="5">
        <v>44562</v>
      </c>
      <c r="J834" s="6">
        <v>0</v>
      </c>
      <c r="K834" s="6">
        <v>0</v>
      </c>
      <c r="L834" s="6">
        <v>0.03</v>
      </c>
      <c r="M834" s="6">
        <v>0.03</v>
      </c>
      <c r="N834" s="6">
        <v>0.03</v>
      </c>
      <c r="O834" s="6">
        <v>0.03</v>
      </c>
      <c r="P834" s="6">
        <v>1</v>
      </c>
      <c r="Q834" s="4" t="s">
        <v>26</v>
      </c>
      <c r="R834" s="4">
        <v>0</v>
      </c>
      <c r="S834" s="6">
        <v>0</v>
      </c>
      <c r="T834" s="6">
        <v>15</v>
      </c>
      <c r="U834" s="6">
        <v>86</v>
      </c>
      <c r="V834" s="6">
        <f>IF(ISERROR(VLOOKUP($S$834,'TAR FIN'!$A$1:$O$93,15,0)),0,VLOOKUP($S$834,'TAR FIN'!$A$1:$O$93,15,0))</f>
        <v>0</v>
      </c>
      <c r="W834" s="6">
        <f>IF(ISERROR(VLOOKUP($T$834,'TAR FIN'!$A$1:$O$93,15,0)),0,VLOOKUP($T$834,'TAR FIN'!$A$1:$O$93,15,0))</f>
        <v>184.7</v>
      </c>
      <c r="X834" s="6">
        <f>IF(ISERROR(VLOOKUP($U$834,'TAR FIN'!$A$1:$O$93,15,0)),0,VLOOKUP($U$834,'TAR FIN'!$A$1:$O$93,15,0))</f>
        <v>166.66</v>
      </c>
      <c r="Y834" s="6"/>
      <c r="Z834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34" s="6">
        <f>('TE BE'!$AB$16+'TE BF'!$AB$16+'TE CVA'!$AB$16)*(1-CUSTOS!$M$36)</f>
        <v>178.36375301692408</v>
      </c>
      <c r="AB834" s="6">
        <f>$K$834*$V$834</f>
        <v>0</v>
      </c>
      <c r="AC834" s="6">
        <f>$M$834*$W$834</f>
        <v>5.5409999999999995</v>
      </c>
      <c r="AD834" s="6">
        <f>$O$834*$X$834</f>
        <v>4.9997999999999996</v>
      </c>
      <c r="AE834" s="6">
        <f>$K$834*$Y$834</f>
        <v>0</v>
      </c>
      <c r="AF834" s="6">
        <f ca="1">$M$834*$Z$834</f>
        <v>5.2627804241387857</v>
      </c>
      <c r="AG834" s="6">
        <f>$O$834*$AA$834</f>
        <v>5.3509125905077219</v>
      </c>
    </row>
    <row r="835" spans="1:33" ht="11.25" customHeight="1" x14ac:dyDescent="0.25">
      <c r="A835" s="4" t="s">
        <v>21</v>
      </c>
      <c r="B835" s="4" t="s">
        <v>22</v>
      </c>
      <c r="C835" s="4" t="s">
        <v>23</v>
      </c>
      <c r="D835" s="4" t="s">
        <v>24</v>
      </c>
      <c r="E835" s="4" t="s">
        <v>31</v>
      </c>
      <c r="F835" s="4" t="s">
        <v>25</v>
      </c>
      <c r="G835" s="4" t="s">
        <v>25</v>
      </c>
      <c r="H835" s="4" t="s">
        <v>25</v>
      </c>
      <c r="I835" s="5">
        <v>44593</v>
      </c>
      <c r="J835" s="6">
        <v>0</v>
      </c>
      <c r="K835" s="6">
        <v>0</v>
      </c>
      <c r="L835" s="6">
        <v>37.284999999999997</v>
      </c>
      <c r="M835" s="6">
        <v>37.284999999999997</v>
      </c>
      <c r="N835" s="6">
        <v>37.284999999999997</v>
      </c>
      <c r="O835" s="6">
        <v>37.284999999999997</v>
      </c>
      <c r="P835" s="6">
        <v>213</v>
      </c>
      <c r="Q835" s="4" t="s">
        <v>26</v>
      </c>
      <c r="R835" s="4">
        <v>0</v>
      </c>
      <c r="S835" s="6">
        <v>0</v>
      </c>
      <c r="T835" s="6">
        <v>15</v>
      </c>
      <c r="U835" s="6">
        <v>86</v>
      </c>
      <c r="V835" s="6">
        <f>IF(ISERROR(VLOOKUP($S$835,'TAR FIN'!$A$1:$O$93,15,0)),0,VLOOKUP($S$835,'TAR FIN'!$A$1:$O$93,15,0))</f>
        <v>0</v>
      </c>
      <c r="W835" s="6">
        <f>IF(ISERROR(VLOOKUP($T$835,'TAR FIN'!$A$1:$O$93,15,0)),0,VLOOKUP($T$835,'TAR FIN'!$A$1:$O$93,15,0))</f>
        <v>184.7</v>
      </c>
      <c r="X835" s="6">
        <f>IF(ISERROR(VLOOKUP($U$835,'TAR FIN'!$A$1:$O$93,15,0)),0,VLOOKUP($U$835,'TAR FIN'!$A$1:$O$93,15,0))</f>
        <v>166.66</v>
      </c>
      <c r="Y835" s="6"/>
      <c r="Z835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35" s="6">
        <f>('TE BE'!$AB$16+'TE BF'!$AB$16+'TE CVA'!$AB$16)*(1-CUSTOS!$M$36)</f>
        <v>178.36375301692408</v>
      </c>
      <c r="AB835" s="6">
        <f>$K$835*$V$835</f>
        <v>0</v>
      </c>
      <c r="AC835" s="6">
        <f>$M$835*$W$835</f>
        <v>6886.539499999999</v>
      </c>
      <c r="AD835" s="6">
        <f>$O$835*$X$835</f>
        <v>6213.918099999999</v>
      </c>
      <c r="AE835" s="6">
        <f>$K$835*$Y$835</f>
        <v>0</v>
      </c>
      <c r="AF835" s="6">
        <f ca="1">$M$835*$Z$835</f>
        <v>6540.7589371338199</v>
      </c>
      <c r="AG835" s="6">
        <f>$O$835*$AA$835</f>
        <v>6650.2925312360139</v>
      </c>
    </row>
    <row r="836" spans="1:33" ht="11.25" customHeight="1" x14ac:dyDescent="0.25">
      <c r="A836" s="4" t="s">
        <v>28</v>
      </c>
      <c r="B836" s="4" t="s">
        <v>22</v>
      </c>
      <c r="C836" s="4" t="s">
        <v>23</v>
      </c>
      <c r="D836" s="4" t="s">
        <v>24</v>
      </c>
      <c r="E836" s="4" t="s">
        <v>31</v>
      </c>
      <c r="F836" s="4" t="s">
        <v>25</v>
      </c>
      <c r="G836" s="4" t="s">
        <v>25</v>
      </c>
      <c r="H836" s="4" t="s">
        <v>25</v>
      </c>
      <c r="I836" s="5">
        <v>44593</v>
      </c>
      <c r="J836" s="6">
        <v>0</v>
      </c>
      <c r="K836" s="6">
        <v>0</v>
      </c>
      <c r="L836" s="6">
        <v>0.03</v>
      </c>
      <c r="M836" s="6">
        <v>0.03</v>
      </c>
      <c r="N836" s="6">
        <v>0.03</v>
      </c>
      <c r="O836" s="6">
        <v>0.03</v>
      </c>
      <c r="P836" s="6">
        <v>1</v>
      </c>
      <c r="Q836" s="4" t="s">
        <v>26</v>
      </c>
      <c r="R836" s="4">
        <v>0</v>
      </c>
      <c r="S836" s="6">
        <v>0</v>
      </c>
      <c r="T836" s="6">
        <v>15</v>
      </c>
      <c r="U836" s="6">
        <v>86</v>
      </c>
      <c r="V836" s="6">
        <f>IF(ISERROR(VLOOKUP($S$836,'TAR FIN'!$A$1:$O$93,15,0)),0,VLOOKUP($S$836,'TAR FIN'!$A$1:$O$93,15,0))</f>
        <v>0</v>
      </c>
      <c r="W836" s="6">
        <f>IF(ISERROR(VLOOKUP($T$836,'TAR FIN'!$A$1:$O$93,15,0)),0,VLOOKUP($T$836,'TAR FIN'!$A$1:$O$93,15,0))</f>
        <v>184.7</v>
      </c>
      <c r="X836" s="6">
        <f>IF(ISERROR(VLOOKUP($U$836,'TAR FIN'!$A$1:$O$93,15,0)),0,VLOOKUP($U$836,'TAR FIN'!$A$1:$O$93,15,0))</f>
        <v>166.66</v>
      </c>
      <c r="Y836" s="6"/>
      <c r="Z836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36" s="6">
        <f>('TE BE'!$AB$16+'TE BF'!$AB$16+'TE CVA'!$AB$16)*(1-CUSTOS!$M$36)</f>
        <v>178.36375301692408</v>
      </c>
      <c r="AB836" s="6">
        <f>$K$836*$V$836</f>
        <v>0</v>
      </c>
      <c r="AC836" s="6">
        <f>$M$836*$W$836</f>
        <v>5.5409999999999995</v>
      </c>
      <c r="AD836" s="6">
        <f>$O$836*$X$836</f>
        <v>4.9997999999999996</v>
      </c>
      <c r="AE836" s="6">
        <f>$K$836*$Y$836</f>
        <v>0</v>
      </c>
      <c r="AF836" s="6">
        <f ca="1">$M$836*$Z$836</f>
        <v>5.2627804241387857</v>
      </c>
      <c r="AG836" s="6">
        <f>$O$836*$AA$836</f>
        <v>5.3509125905077219</v>
      </c>
    </row>
    <row r="837" spans="1:33" ht="11.25" customHeight="1" x14ac:dyDescent="0.25">
      <c r="A837" s="4" t="s">
        <v>21</v>
      </c>
      <c r="B837" s="4" t="s">
        <v>22</v>
      </c>
      <c r="C837" s="4" t="s">
        <v>23</v>
      </c>
      <c r="D837" s="4" t="s">
        <v>24</v>
      </c>
      <c r="E837" s="4" t="s">
        <v>31</v>
      </c>
      <c r="F837" s="4" t="s">
        <v>25</v>
      </c>
      <c r="G837" s="4" t="s">
        <v>25</v>
      </c>
      <c r="H837" s="4" t="s">
        <v>25</v>
      </c>
      <c r="I837" s="5">
        <v>44621</v>
      </c>
      <c r="J837" s="6">
        <v>0</v>
      </c>
      <c r="K837" s="6">
        <v>0</v>
      </c>
      <c r="L837" s="6">
        <v>46.143000000000001</v>
      </c>
      <c r="M837" s="6">
        <v>46.143000000000001</v>
      </c>
      <c r="N837" s="6">
        <v>46.143000000000001</v>
      </c>
      <c r="O837" s="6">
        <v>46.143000000000001</v>
      </c>
      <c r="P837" s="6">
        <v>282</v>
      </c>
      <c r="Q837" s="4" t="s">
        <v>26</v>
      </c>
      <c r="R837" s="4">
        <v>0</v>
      </c>
      <c r="S837" s="6">
        <v>0</v>
      </c>
      <c r="T837" s="6">
        <v>15</v>
      </c>
      <c r="U837" s="6">
        <v>86</v>
      </c>
      <c r="V837" s="6">
        <f>IF(ISERROR(VLOOKUP($S$837,'TAR FIN'!$A$1:$O$93,15,0)),0,VLOOKUP($S$837,'TAR FIN'!$A$1:$O$93,15,0))</f>
        <v>0</v>
      </c>
      <c r="W837" s="6">
        <f>IF(ISERROR(VLOOKUP($T$837,'TAR FIN'!$A$1:$O$93,15,0)),0,VLOOKUP($T$837,'TAR FIN'!$A$1:$O$93,15,0))</f>
        <v>184.7</v>
      </c>
      <c r="X837" s="6">
        <f>IF(ISERROR(VLOOKUP($U$837,'TAR FIN'!$A$1:$O$93,15,0)),0,VLOOKUP($U$837,'TAR FIN'!$A$1:$O$93,15,0))</f>
        <v>166.66</v>
      </c>
      <c r="Y837" s="6"/>
      <c r="Z837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37" s="6">
        <f>('TE BE'!$AB$16+'TE BF'!$AB$16+'TE CVA'!$AB$16)*(1-CUSTOS!$M$36)</f>
        <v>178.36375301692408</v>
      </c>
      <c r="AB837" s="6">
        <f>$K$837*$V$837</f>
        <v>0</v>
      </c>
      <c r="AC837" s="6">
        <f>$M$837*$W$837</f>
        <v>8522.6121000000003</v>
      </c>
      <c r="AD837" s="6">
        <f>$O$837*$X$837</f>
        <v>7690.1923799999995</v>
      </c>
      <c r="AE837" s="6">
        <f>$K$837*$Y$837</f>
        <v>0</v>
      </c>
      <c r="AF837" s="6">
        <f ca="1">$M$837*$Z$837</f>
        <v>8094.6825703678669</v>
      </c>
      <c r="AG837" s="6">
        <f>$O$837*$AA$837</f>
        <v>8230.238655459927</v>
      </c>
    </row>
    <row r="838" spans="1:33" ht="11.25" customHeight="1" x14ac:dyDescent="0.25">
      <c r="A838" s="4" t="s">
        <v>27</v>
      </c>
      <c r="B838" s="4" t="s">
        <v>22</v>
      </c>
      <c r="C838" s="4" t="s">
        <v>23</v>
      </c>
      <c r="D838" s="4" t="s">
        <v>24</v>
      </c>
      <c r="E838" s="4" t="s">
        <v>31</v>
      </c>
      <c r="F838" s="4" t="s">
        <v>25</v>
      </c>
      <c r="G838" s="4" t="s">
        <v>25</v>
      </c>
      <c r="H838" s="4" t="s">
        <v>25</v>
      </c>
      <c r="I838" s="5">
        <v>44621</v>
      </c>
      <c r="J838" s="6">
        <v>0</v>
      </c>
      <c r="K838" s="6">
        <v>0</v>
      </c>
      <c r="L838" s="6">
        <v>-8.1000000000000003E-2</v>
      </c>
      <c r="M838" s="6">
        <v>-8.1000000000000003E-2</v>
      </c>
      <c r="N838" s="6">
        <v>-8.1000000000000003E-2</v>
      </c>
      <c r="O838" s="6">
        <v>-8.1000000000000003E-2</v>
      </c>
      <c r="P838" s="6">
        <v>-1</v>
      </c>
      <c r="Q838" s="4" t="s">
        <v>26</v>
      </c>
      <c r="R838" s="4">
        <v>0</v>
      </c>
      <c r="S838" s="6">
        <v>0</v>
      </c>
      <c r="T838" s="6">
        <v>15</v>
      </c>
      <c r="U838" s="6">
        <v>86</v>
      </c>
      <c r="V838" s="6">
        <f>IF(ISERROR(VLOOKUP($S$838,'TAR FIN'!$A$1:$O$93,15,0)),0,VLOOKUP($S$838,'TAR FIN'!$A$1:$O$93,15,0))</f>
        <v>0</v>
      </c>
      <c r="W838" s="6">
        <f>IF(ISERROR(VLOOKUP($T$838,'TAR FIN'!$A$1:$O$93,15,0)),0,VLOOKUP($T$838,'TAR FIN'!$A$1:$O$93,15,0))</f>
        <v>184.7</v>
      </c>
      <c r="X838" s="6">
        <f>IF(ISERROR(VLOOKUP($U$838,'TAR FIN'!$A$1:$O$93,15,0)),0,VLOOKUP($U$838,'TAR FIN'!$A$1:$O$93,15,0))</f>
        <v>166.66</v>
      </c>
      <c r="Y838" s="6"/>
      <c r="Z838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38" s="6">
        <f>('TE BE'!$AB$16+'TE BF'!$AB$16+'TE CVA'!$AB$16)*(1-CUSTOS!$M$36)</f>
        <v>178.36375301692408</v>
      </c>
      <c r="AB838" s="6">
        <f>$K$838*$V$838</f>
        <v>0</v>
      </c>
      <c r="AC838" s="6">
        <f>$M$838*$W$838</f>
        <v>-14.960699999999999</v>
      </c>
      <c r="AD838" s="6">
        <f>$O$838*$X$838</f>
        <v>-13.499460000000001</v>
      </c>
      <c r="AE838" s="6">
        <f>$K$838*$Y$838</f>
        <v>0</v>
      </c>
      <c r="AF838" s="6">
        <f ca="1">$M$838*$Z$838</f>
        <v>-14.209507145174722</v>
      </c>
      <c r="AG838" s="6">
        <f>$O$838*$AA$838</f>
        <v>-14.447463994370851</v>
      </c>
    </row>
    <row r="839" spans="1:33" ht="11.25" customHeight="1" x14ac:dyDescent="0.25">
      <c r="A839" s="4" t="s">
        <v>21</v>
      </c>
      <c r="B839" s="4" t="s">
        <v>22</v>
      </c>
      <c r="C839" s="4" t="s">
        <v>23</v>
      </c>
      <c r="D839" s="4" t="s">
        <v>24</v>
      </c>
      <c r="E839" s="4" t="s">
        <v>31</v>
      </c>
      <c r="F839" s="4" t="s">
        <v>25</v>
      </c>
      <c r="G839" s="4" t="s">
        <v>25</v>
      </c>
      <c r="H839" s="4" t="s">
        <v>25</v>
      </c>
      <c r="I839" s="5">
        <v>44652</v>
      </c>
      <c r="J839" s="6">
        <v>0</v>
      </c>
      <c r="K839" s="6">
        <v>0</v>
      </c>
      <c r="L839" s="6">
        <v>74.665999999999997</v>
      </c>
      <c r="M839" s="6">
        <v>74.665999999999997</v>
      </c>
      <c r="N839" s="6">
        <v>74.665999999999997</v>
      </c>
      <c r="O839" s="6">
        <v>74.665999999999997</v>
      </c>
      <c r="P839" s="6">
        <v>476</v>
      </c>
      <c r="Q839" s="4" t="s">
        <v>26</v>
      </c>
      <c r="R839" s="4">
        <v>0</v>
      </c>
      <c r="S839" s="6">
        <v>0</v>
      </c>
      <c r="T839" s="6">
        <v>15</v>
      </c>
      <c r="U839" s="6">
        <v>86</v>
      </c>
      <c r="V839" s="6">
        <f>IF(ISERROR(VLOOKUP($S$839,'TAR FIN'!$A$1:$O$93,15,0)),0,VLOOKUP($S$839,'TAR FIN'!$A$1:$O$93,15,0))</f>
        <v>0</v>
      </c>
      <c r="W839" s="6">
        <f>IF(ISERROR(VLOOKUP($T$839,'TAR FIN'!$A$1:$O$93,15,0)),0,VLOOKUP($T$839,'TAR FIN'!$A$1:$O$93,15,0))</f>
        <v>184.7</v>
      </c>
      <c r="X839" s="6">
        <f>IF(ISERROR(VLOOKUP($U$839,'TAR FIN'!$A$1:$O$93,15,0)),0,VLOOKUP($U$839,'TAR FIN'!$A$1:$O$93,15,0))</f>
        <v>166.66</v>
      </c>
      <c r="Y839" s="6"/>
      <c r="Z839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39" s="6">
        <f>('TE BE'!$AB$16+'TE BF'!$AB$16+'TE CVA'!$AB$16)*(1-CUSTOS!$M$36)</f>
        <v>178.36375301692408</v>
      </c>
      <c r="AB839" s="6">
        <f>$K$839*$V$839</f>
        <v>0</v>
      </c>
      <c r="AC839" s="6">
        <f>$M$839*$W$839</f>
        <v>13790.810199999998</v>
      </c>
      <c r="AD839" s="6">
        <f>$O$839*$X$839</f>
        <v>12443.83556</v>
      </c>
      <c r="AE839" s="6">
        <f>$K$839*$Y$839</f>
        <v>0</v>
      </c>
      <c r="AF839" s="6">
        <f ca="1">$M$839*$Z$839</f>
        <v>13098.358771624886</v>
      </c>
      <c r="AG839" s="6">
        <f>$O$839*$AA$839</f>
        <v>13317.707982761653</v>
      </c>
    </row>
    <row r="840" spans="1:33" ht="11.25" customHeight="1" x14ac:dyDescent="0.25">
      <c r="A840" s="4" t="s">
        <v>28</v>
      </c>
      <c r="B840" s="4" t="s">
        <v>22</v>
      </c>
      <c r="C840" s="4" t="s">
        <v>23</v>
      </c>
      <c r="D840" s="4" t="s">
        <v>24</v>
      </c>
      <c r="E840" s="4" t="s">
        <v>31</v>
      </c>
      <c r="F840" s="4" t="s">
        <v>25</v>
      </c>
      <c r="G840" s="4" t="s">
        <v>25</v>
      </c>
      <c r="H840" s="4" t="s">
        <v>25</v>
      </c>
      <c r="I840" s="5">
        <v>44652</v>
      </c>
      <c r="J840" s="6">
        <v>0</v>
      </c>
      <c r="K840" s="6">
        <v>0</v>
      </c>
      <c r="L840" s="6">
        <v>0.03</v>
      </c>
      <c r="M840" s="6">
        <v>0.03</v>
      </c>
      <c r="N840" s="6">
        <v>0.03</v>
      </c>
      <c r="O840" s="6">
        <v>0.03</v>
      </c>
      <c r="P840" s="6">
        <v>1</v>
      </c>
      <c r="Q840" s="4" t="s">
        <v>26</v>
      </c>
      <c r="R840" s="4">
        <v>0</v>
      </c>
      <c r="S840" s="6">
        <v>0</v>
      </c>
      <c r="T840" s="6">
        <v>15</v>
      </c>
      <c r="U840" s="6">
        <v>86</v>
      </c>
      <c r="V840" s="6">
        <f>IF(ISERROR(VLOOKUP($S$840,'TAR FIN'!$A$1:$O$93,15,0)),0,VLOOKUP($S$840,'TAR FIN'!$A$1:$O$93,15,0))</f>
        <v>0</v>
      </c>
      <c r="W840" s="6">
        <f>IF(ISERROR(VLOOKUP($T$840,'TAR FIN'!$A$1:$O$93,15,0)),0,VLOOKUP($T$840,'TAR FIN'!$A$1:$O$93,15,0))</f>
        <v>184.7</v>
      </c>
      <c r="X840" s="6">
        <f>IF(ISERROR(VLOOKUP($U$840,'TAR FIN'!$A$1:$O$93,15,0)),0,VLOOKUP($U$840,'TAR FIN'!$A$1:$O$93,15,0))</f>
        <v>166.66</v>
      </c>
      <c r="Y840" s="6"/>
      <c r="Z840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40" s="6">
        <f>('TE BE'!$AB$16+'TE BF'!$AB$16+'TE CVA'!$AB$16)*(1-CUSTOS!$M$36)</f>
        <v>178.36375301692408</v>
      </c>
      <c r="AB840" s="6">
        <f>$K$840*$V$840</f>
        <v>0</v>
      </c>
      <c r="AC840" s="6">
        <f>$M$840*$W$840</f>
        <v>5.5409999999999995</v>
      </c>
      <c r="AD840" s="6">
        <f>$O$840*$X$840</f>
        <v>4.9997999999999996</v>
      </c>
      <c r="AE840" s="6">
        <f>$K$840*$Y$840</f>
        <v>0</v>
      </c>
      <c r="AF840" s="6">
        <f ca="1">$M$840*$Z$840</f>
        <v>5.2627804241387857</v>
      </c>
      <c r="AG840" s="6">
        <f>$O$840*$AA$840</f>
        <v>5.3509125905077219</v>
      </c>
    </row>
    <row r="841" spans="1:33" ht="11.25" customHeight="1" x14ac:dyDescent="0.25">
      <c r="A841" s="4" t="s">
        <v>21</v>
      </c>
      <c r="B841" s="4" t="s">
        <v>22</v>
      </c>
      <c r="C841" s="4" t="s">
        <v>23</v>
      </c>
      <c r="D841" s="4" t="s">
        <v>24</v>
      </c>
      <c r="E841" s="4" t="s">
        <v>31</v>
      </c>
      <c r="F841" s="4" t="s">
        <v>25</v>
      </c>
      <c r="G841" s="4" t="s">
        <v>25</v>
      </c>
      <c r="H841" s="4" t="s">
        <v>25</v>
      </c>
      <c r="I841" s="5">
        <v>44682</v>
      </c>
      <c r="J841" s="6">
        <v>0</v>
      </c>
      <c r="K841" s="6">
        <v>0</v>
      </c>
      <c r="L841" s="6">
        <v>76.320999999999998</v>
      </c>
      <c r="M841" s="6">
        <v>76.320999999999998</v>
      </c>
      <c r="N841" s="6">
        <v>76.320999999999998</v>
      </c>
      <c r="O841" s="6">
        <v>76.320999999999998</v>
      </c>
      <c r="P841" s="6">
        <v>514</v>
      </c>
      <c r="Q841" s="4" t="s">
        <v>26</v>
      </c>
      <c r="R841" s="4">
        <v>0</v>
      </c>
      <c r="S841" s="6">
        <v>0</v>
      </c>
      <c r="T841" s="6">
        <v>15</v>
      </c>
      <c r="U841" s="6">
        <v>86</v>
      </c>
      <c r="V841" s="6">
        <f>IF(ISERROR(VLOOKUP($S$841,'TAR FIN'!$A$1:$O$93,15,0)),0,VLOOKUP($S$841,'TAR FIN'!$A$1:$O$93,15,0))</f>
        <v>0</v>
      </c>
      <c r="W841" s="6">
        <f>IF(ISERROR(VLOOKUP($T$841,'TAR FIN'!$A$1:$O$93,15,0)),0,VLOOKUP($T$841,'TAR FIN'!$A$1:$O$93,15,0))</f>
        <v>184.7</v>
      </c>
      <c r="X841" s="6">
        <f>IF(ISERROR(VLOOKUP($U$841,'TAR FIN'!$A$1:$O$93,15,0)),0,VLOOKUP($U$841,'TAR FIN'!$A$1:$O$93,15,0))</f>
        <v>166.66</v>
      </c>
      <c r="Y841" s="6"/>
      <c r="Z841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41" s="6">
        <f>('TE BE'!$AB$16+'TE BF'!$AB$16+'TE CVA'!$AB$16)*(1-CUSTOS!$M$36)</f>
        <v>178.36375301692408</v>
      </c>
      <c r="AB841" s="6">
        <f>$K$841*$V$841</f>
        <v>0</v>
      </c>
      <c r="AC841" s="6">
        <f>$M$841*$W$841</f>
        <v>14096.488699999998</v>
      </c>
      <c r="AD841" s="6">
        <f>$O$841*$X$841</f>
        <v>12719.657859999999</v>
      </c>
      <c r="AE841" s="6">
        <f>$K$841*$Y$841</f>
        <v>0</v>
      </c>
      <c r="AF841" s="6">
        <f ca="1">$M$841*$Z$841</f>
        <v>13388.68882502321</v>
      </c>
      <c r="AG841" s="6">
        <f>$O$841*$AA$841</f>
        <v>13612.899994004661</v>
      </c>
    </row>
    <row r="842" spans="1:33" ht="11.25" customHeight="1" x14ac:dyDescent="0.25">
      <c r="A842" s="4" t="s">
        <v>28</v>
      </c>
      <c r="B842" s="4" t="s">
        <v>22</v>
      </c>
      <c r="C842" s="4" t="s">
        <v>23</v>
      </c>
      <c r="D842" s="4" t="s">
        <v>24</v>
      </c>
      <c r="E842" s="4" t="s">
        <v>31</v>
      </c>
      <c r="F842" s="4" t="s">
        <v>25</v>
      </c>
      <c r="G842" s="4" t="s">
        <v>25</v>
      </c>
      <c r="H842" s="4" t="s">
        <v>25</v>
      </c>
      <c r="I842" s="5">
        <v>44682</v>
      </c>
      <c r="J842" s="6">
        <v>0</v>
      </c>
      <c r="K842" s="6">
        <v>0</v>
      </c>
      <c r="L842" s="6">
        <v>0.03</v>
      </c>
      <c r="M842" s="6">
        <v>0.03</v>
      </c>
      <c r="N842" s="6">
        <v>0.03</v>
      </c>
      <c r="O842" s="6">
        <v>0.03</v>
      </c>
      <c r="P842" s="6">
        <v>1</v>
      </c>
      <c r="Q842" s="4" t="s">
        <v>26</v>
      </c>
      <c r="R842" s="4">
        <v>0</v>
      </c>
      <c r="S842" s="6">
        <v>0</v>
      </c>
      <c r="T842" s="6">
        <v>15</v>
      </c>
      <c r="U842" s="6">
        <v>86</v>
      </c>
      <c r="V842" s="6">
        <f>IF(ISERROR(VLOOKUP($S$842,'TAR FIN'!$A$1:$O$93,15,0)),0,VLOOKUP($S$842,'TAR FIN'!$A$1:$O$93,15,0))</f>
        <v>0</v>
      </c>
      <c r="W842" s="6">
        <f>IF(ISERROR(VLOOKUP($T$842,'TAR FIN'!$A$1:$O$93,15,0)),0,VLOOKUP($T$842,'TAR FIN'!$A$1:$O$93,15,0))</f>
        <v>184.7</v>
      </c>
      <c r="X842" s="6">
        <f>IF(ISERROR(VLOOKUP($U$842,'TAR FIN'!$A$1:$O$93,15,0)),0,VLOOKUP($U$842,'TAR FIN'!$A$1:$O$93,15,0))</f>
        <v>166.66</v>
      </c>
      <c r="Y842" s="6"/>
      <c r="Z842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42" s="6">
        <f>('TE BE'!$AB$16+'TE BF'!$AB$16+'TE CVA'!$AB$16)*(1-CUSTOS!$M$36)</f>
        <v>178.36375301692408</v>
      </c>
      <c r="AB842" s="6">
        <f>$K$842*$V$842</f>
        <v>0</v>
      </c>
      <c r="AC842" s="6">
        <f>$M$842*$W$842</f>
        <v>5.5409999999999995</v>
      </c>
      <c r="AD842" s="6">
        <f>$O$842*$X$842</f>
        <v>4.9997999999999996</v>
      </c>
      <c r="AE842" s="6">
        <f>$K$842*$Y$842</f>
        <v>0</v>
      </c>
      <c r="AF842" s="6">
        <f ca="1">$M$842*$Z$842</f>
        <v>5.2627804241387857</v>
      </c>
      <c r="AG842" s="6">
        <f>$O$842*$AA$842</f>
        <v>5.3509125905077219</v>
      </c>
    </row>
    <row r="843" spans="1:33" ht="11.25" customHeight="1" x14ac:dyDescent="0.25">
      <c r="A843" s="4" t="s">
        <v>21</v>
      </c>
      <c r="B843" s="4" t="s">
        <v>22</v>
      </c>
      <c r="C843" s="4" t="s">
        <v>23</v>
      </c>
      <c r="D843" s="4" t="s">
        <v>24</v>
      </c>
      <c r="E843" s="4" t="s">
        <v>31</v>
      </c>
      <c r="F843" s="4" t="s">
        <v>25</v>
      </c>
      <c r="G843" s="4" t="s">
        <v>25</v>
      </c>
      <c r="H843" s="4" t="s">
        <v>25</v>
      </c>
      <c r="I843" s="5">
        <v>44713</v>
      </c>
      <c r="J843" s="6">
        <v>0</v>
      </c>
      <c r="K843" s="6">
        <v>0</v>
      </c>
      <c r="L843" s="6">
        <v>76.268000000000001</v>
      </c>
      <c r="M843" s="6">
        <v>76.268000000000001</v>
      </c>
      <c r="N843" s="6">
        <v>76.268000000000001</v>
      </c>
      <c r="O843" s="6">
        <v>76.268000000000001</v>
      </c>
      <c r="P843" s="6">
        <v>501</v>
      </c>
      <c r="Q843" s="4" t="s">
        <v>26</v>
      </c>
      <c r="R843" s="4">
        <v>0</v>
      </c>
      <c r="S843" s="6">
        <v>0</v>
      </c>
      <c r="T843" s="6">
        <v>15</v>
      </c>
      <c r="U843" s="6">
        <v>86</v>
      </c>
      <c r="V843" s="6">
        <f>IF(ISERROR(VLOOKUP($S$843,'TAR FIN'!$A$1:$O$93,15,0)),0,VLOOKUP($S$843,'TAR FIN'!$A$1:$O$93,15,0))</f>
        <v>0</v>
      </c>
      <c r="W843" s="6">
        <f>IF(ISERROR(VLOOKUP($T$843,'TAR FIN'!$A$1:$O$93,15,0)),0,VLOOKUP($T$843,'TAR FIN'!$A$1:$O$93,15,0))</f>
        <v>184.7</v>
      </c>
      <c r="X843" s="6">
        <f>IF(ISERROR(VLOOKUP($U$843,'TAR FIN'!$A$1:$O$93,15,0)),0,VLOOKUP($U$843,'TAR FIN'!$A$1:$O$93,15,0))</f>
        <v>166.66</v>
      </c>
      <c r="Y843" s="6"/>
      <c r="Z843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43" s="6">
        <f>('TE BE'!$AB$16+'TE BF'!$AB$16+'TE CVA'!$AB$16)*(1-CUSTOS!$M$36)</f>
        <v>178.36375301692408</v>
      </c>
      <c r="AB843" s="6">
        <f>$K$843*$V$843</f>
        <v>0</v>
      </c>
      <c r="AC843" s="6">
        <f>$M$843*$W$843</f>
        <v>14086.6996</v>
      </c>
      <c r="AD843" s="6">
        <f>$O$843*$X$843</f>
        <v>12710.82488</v>
      </c>
      <c r="AE843" s="6">
        <f>$K$843*$Y$843</f>
        <v>0</v>
      </c>
      <c r="AF843" s="6">
        <f ca="1">$M$843*$Z$843</f>
        <v>13379.391246273897</v>
      </c>
      <c r="AG843" s="6">
        <f>$O$843*$AA$843</f>
        <v>13603.446715094766</v>
      </c>
    </row>
    <row r="844" spans="1:33" ht="11.25" customHeight="1" x14ac:dyDescent="0.25">
      <c r="A844" s="4" t="s">
        <v>28</v>
      </c>
      <c r="B844" s="4" t="s">
        <v>22</v>
      </c>
      <c r="C844" s="4" t="s">
        <v>23</v>
      </c>
      <c r="D844" s="4" t="s">
        <v>24</v>
      </c>
      <c r="E844" s="4" t="s">
        <v>31</v>
      </c>
      <c r="F844" s="4" t="s">
        <v>25</v>
      </c>
      <c r="G844" s="4" t="s">
        <v>25</v>
      </c>
      <c r="H844" s="4" t="s">
        <v>25</v>
      </c>
      <c r="I844" s="5">
        <v>44713</v>
      </c>
      <c r="J844" s="6">
        <v>0</v>
      </c>
      <c r="K844" s="6">
        <v>0</v>
      </c>
      <c r="L844" s="6">
        <v>0.03</v>
      </c>
      <c r="M844" s="6">
        <v>0.03</v>
      </c>
      <c r="N844" s="6">
        <v>0.03</v>
      </c>
      <c r="O844" s="6">
        <v>0.03</v>
      </c>
      <c r="P844" s="6">
        <v>1</v>
      </c>
      <c r="Q844" s="4" t="s">
        <v>26</v>
      </c>
      <c r="R844" s="4">
        <v>0</v>
      </c>
      <c r="S844" s="6">
        <v>0</v>
      </c>
      <c r="T844" s="6">
        <v>15</v>
      </c>
      <c r="U844" s="6">
        <v>86</v>
      </c>
      <c r="V844" s="6">
        <f>IF(ISERROR(VLOOKUP($S$844,'TAR FIN'!$A$1:$O$93,15,0)),0,VLOOKUP($S$844,'TAR FIN'!$A$1:$O$93,15,0))</f>
        <v>0</v>
      </c>
      <c r="W844" s="6">
        <f>IF(ISERROR(VLOOKUP($T$844,'TAR FIN'!$A$1:$O$93,15,0)),0,VLOOKUP($T$844,'TAR FIN'!$A$1:$O$93,15,0))</f>
        <v>184.7</v>
      </c>
      <c r="X844" s="6">
        <f>IF(ISERROR(VLOOKUP($U$844,'TAR FIN'!$A$1:$O$93,15,0)),0,VLOOKUP($U$844,'TAR FIN'!$A$1:$O$93,15,0))</f>
        <v>166.66</v>
      </c>
      <c r="Y844" s="6"/>
      <c r="Z844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844" s="6">
        <f>('TE BE'!$AB$16+'TE BF'!$AB$16+'TE CVA'!$AB$16)*(1-CUSTOS!$M$36)</f>
        <v>178.36375301692408</v>
      </c>
      <c r="AB844" s="6">
        <f>$K$844*$V$844</f>
        <v>0</v>
      </c>
      <c r="AC844" s="6">
        <f>$M$844*$W$844</f>
        <v>5.5409999999999995</v>
      </c>
      <c r="AD844" s="6">
        <f>$O$844*$X$844</f>
        <v>4.9997999999999996</v>
      </c>
      <c r="AE844" s="6">
        <f>$K$844*$Y$844</f>
        <v>0</v>
      </c>
      <c r="AF844" s="6">
        <f ca="1">$M$844*$Z$844</f>
        <v>5.2627804241387857</v>
      </c>
      <c r="AG844" s="6">
        <f>$O$844*$AA$844</f>
        <v>5.3509125905077219</v>
      </c>
    </row>
    <row r="845" spans="1:33" ht="11.25" customHeight="1" x14ac:dyDescent="0.25">
      <c r="A845" s="4" t="s">
        <v>21</v>
      </c>
      <c r="B845" s="4" t="s">
        <v>22</v>
      </c>
      <c r="C845" s="4" t="s">
        <v>23</v>
      </c>
      <c r="D845" s="4" t="s">
        <v>24</v>
      </c>
      <c r="E845" s="4" t="s">
        <v>32</v>
      </c>
      <c r="F845" s="4" t="s">
        <v>25</v>
      </c>
      <c r="G845" s="4" t="s">
        <v>25</v>
      </c>
      <c r="H845" s="4" t="s">
        <v>25</v>
      </c>
      <c r="I845" s="5">
        <v>44378</v>
      </c>
      <c r="J845" s="6">
        <v>0</v>
      </c>
      <c r="K845" s="6">
        <v>0</v>
      </c>
      <c r="L845" s="6">
        <v>11.138</v>
      </c>
      <c r="M845" s="6">
        <v>11.138</v>
      </c>
      <c r="N845" s="6">
        <v>11.138</v>
      </c>
      <c r="O845" s="6">
        <v>11.138</v>
      </c>
      <c r="P845" s="6">
        <v>53</v>
      </c>
      <c r="Q845" s="4" t="s">
        <v>26</v>
      </c>
      <c r="R845" s="4">
        <v>0</v>
      </c>
      <c r="S845" s="6">
        <v>0</v>
      </c>
      <c r="T845" s="6">
        <v>13</v>
      </c>
      <c r="U845" s="6">
        <v>71</v>
      </c>
      <c r="V845" s="6">
        <f>IF(ISERROR(VLOOKUP($S$845,'TAR FIN'!$A$1:$O$93,15,0)),0,VLOOKUP($S$845,'TAR FIN'!$A$1:$O$93,15,0))</f>
        <v>0</v>
      </c>
      <c r="W845" s="6">
        <f>IF(ISERROR(VLOOKUP($T$845,'TAR FIN'!$A$1:$O$93,15,0)),0,VLOOKUP($T$845,'TAR FIN'!$A$1:$O$93,15,0))</f>
        <v>205.22</v>
      </c>
      <c r="X845" s="6">
        <f>IF(ISERROR(VLOOKUP($U$845,'TAR FIN'!$A$1:$O$93,15,0)),0,VLOOKUP($U$845,'TAR FIN'!$A$1:$O$93,15,0))</f>
        <v>185.18</v>
      </c>
      <c r="Y845" s="6"/>
      <c r="Z845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45" s="6">
        <f>('TE BE'!$AB$17+'TE BF'!$AB$17+'TE CVA'!$AB$17)*(1-CUSTOS!$M$37)</f>
        <v>198.18194779658231</v>
      </c>
      <c r="AB845" s="6">
        <f>$K$845*$V$845</f>
        <v>0</v>
      </c>
      <c r="AC845" s="6">
        <f>$M$845*$W$845</f>
        <v>2285.7403599999998</v>
      </c>
      <c r="AD845" s="6">
        <f>$O$845*$X$845</f>
        <v>2062.5348400000003</v>
      </c>
      <c r="AE845" s="6">
        <f>$K$845*$Y$845</f>
        <v>0</v>
      </c>
      <c r="AF845" s="6">
        <f ca="1">$M$845*$Z$845</f>
        <v>2170.9943838539925</v>
      </c>
      <c r="AG845" s="6">
        <f>$O$845*$AA$845</f>
        <v>2207.3505345583335</v>
      </c>
    </row>
    <row r="846" spans="1:33" ht="11.25" customHeight="1" x14ac:dyDescent="0.25">
      <c r="A846" s="4" t="s">
        <v>28</v>
      </c>
      <c r="B846" s="4" t="s">
        <v>22</v>
      </c>
      <c r="C846" s="4" t="s">
        <v>23</v>
      </c>
      <c r="D846" s="4" t="s">
        <v>24</v>
      </c>
      <c r="E846" s="4" t="s">
        <v>32</v>
      </c>
      <c r="F846" s="4" t="s">
        <v>25</v>
      </c>
      <c r="G846" s="4" t="s">
        <v>25</v>
      </c>
      <c r="H846" s="4" t="s">
        <v>25</v>
      </c>
      <c r="I846" s="5">
        <v>44378</v>
      </c>
      <c r="J846" s="6">
        <v>0</v>
      </c>
      <c r="K846" s="6">
        <v>0</v>
      </c>
      <c r="L846" s="6">
        <v>0.35099999999999998</v>
      </c>
      <c r="M846" s="6">
        <v>0.35099999999999998</v>
      </c>
      <c r="N846" s="6">
        <v>0.35099999999999998</v>
      </c>
      <c r="O846" s="6">
        <v>0.35099999999999998</v>
      </c>
      <c r="P846" s="6">
        <v>1</v>
      </c>
      <c r="Q846" s="4" t="s">
        <v>26</v>
      </c>
      <c r="R846" s="4">
        <v>0</v>
      </c>
      <c r="S846" s="6">
        <v>0</v>
      </c>
      <c r="T846" s="6">
        <v>13</v>
      </c>
      <c r="U846" s="6">
        <v>71</v>
      </c>
      <c r="V846" s="6">
        <f>IF(ISERROR(VLOOKUP($S$846,'TAR FIN'!$A$1:$O$93,15,0)),0,VLOOKUP($S$846,'TAR FIN'!$A$1:$O$93,15,0))</f>
        <v>0</v>
      </c>
      <c r="W846" s="6">
        <f>IF(ISERROR(VLOOKUP($T$846,'TAR FIN'!$A$1:$O$93,15,0)),0,VLOOKUP($T$846,'TAR FIN'!$A$1:$O$93,15,0))</f>
        <v>205.22</v>
      </c>
      <c r="X846" s="6">
        <f>IF(ISERROR(VLOOKUP($U$846,'TAR FIN'!$A$1:$O$93,15,0)),0,VLOOKUP($U$846,'TAR FIN'!$A$1:$O$93,15,0))</f>
        <v>185.18</v>
      </c>
      <c r="Y846" s="6"/>
      <c r="Z846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46" s="6">
        <f>('TE BE'!$AB$17+'TE BF'!$AB$17+'TE CVA'!$AB$17)*(1-CUSTOS!$M$37)</f>
        <v>198.18194779658231</v>
      </c>
      <c r="AB846" s="6">
        <f>$K$846*$V$846</f>
        <v>0</v>
      </c>
      <c r="AC846" s="6">
        <f>$M$846*$W$846</f>
        <v>72.032219999999995</v>
      </c>
      <c r="AD846" s="6">
        <f>$O$846*$X$846</f>
        <v>64.998180000000005</v>
      </c>
      <c r="AE846" s="6">
        <f>$K$846*$Y$846</f>
        <v>0</v>
      </c>
      <c r="AF846" s="6">
        <f ca="1">$M$846*$Z$846</f>
        <v>68.41614551380421</v>
      </c>
      <c r="AG846" s="6">
        <f>$O$846*$AA$846</f>
        <v>69.561863676600382</v>
      </c>
    </row>
    <row r="847" spans="1:33" ht="11.25" customHeight="1" x14ac:dyDescent="0.25">
      <c r="A847" s="4" t="s">
        <v>21</v>
      </c>
      <c r="B847" s="4" t="s">
        <v>22</v>
      </c>
      <c r="C847" s="4" t="s">
        <v>23</v>
      </c>
      <c r="D847" s="4" t="s">
        <v>24</v>
      </c>
      <c r="E847" s="4" t="s">
        <v>32</v>
      </c>
      <c r="F847" s="4" t="s">
        <v>25</v>
      </c>
      <c r="G847" s="4" t="s">
        <v>25</v>
      </c>
      <c r="H847" s="4" t="s">
        <v>25</v>
      </c>
      <c r="I847" s="5">
        <v>44409</v>
      </c>
      <c r="J847" s="6">
        <v>0</v>
      </c>
      <c r="K847" s="6">
        <v>0</v>
      </c>
      <c r="L847" s="6">
        <v>11.95</v>
      </c>
      <c r="M847" s="6">
        <v>11.95</v>
      </c>
      <c r="N847" s="6">
        <v>11.95</v>
      </c>
      <c r="O847" s="6">
        <v>11.95</v>
      </c>
      <c r="P847" s="6">
        <v>57</v>
      </c>
      <c r="Q847" s="4" t="s">
        <v>26</v>
      </c>
      <c r="R847" s="4">
        <v>0</v>
      </c>
      <c r="S847" s="6">
        <v>0</v>
      </c>
      <c r="T847" s="6">
        <v>13</v>
      </c>
      <c r="U847" s="6">
        <v>71</v>
      </c>
      <c r="V847" s="6">
        <f>IF(ISERROR(VLOOKUP($S$847,'TAR FIN'!$A$1:$O$93,15,0)),0,VLOOKUP($S$847,'TAR FIN'!$A$1:$O$93,15,0))</f>
        <v>0</v>
      </c>
      <c r="W847" s="6">
        <f>IF(ISERROR(VLOOKUP($T$847,'TAR FIN'!$A$1:$O$93,15,0)),0,VLOOKUP($T$847,'TAR FIN'!$A$1:$O$93,15,0))</f>
        <v>205.22</v>
      </c>
      <c r="X847" s="6">
        <f>IF(ISERROR(VLOOKUP($U$847,'TAR FIN'!$A$1:$O$93,15,0)),0,VLOOKUP($U$847,'TAR FIN'!$A$1:$O$93,15,0))</f>
        <v>185.18</v>
      </c>
      <c r="Y847" s="6"/>
      <c r="Z847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47" s="6">
        <f>('TE BE'!$AB$17+'TE BF'!$AB$17+'TE CVA'!$AB$17)*(1-CUSTOS!$M$37)</f>
        <v>198.18194779658231</v>
      </c>
      <c r="AB847" s="6">
        <f>$K$847*$V$847</f>
        <v>0</v>
      </c>
      <c r="AC847" s="6">
        <f>$M$847*$W$847</f>
        <v>2452.3789999999999</v>
      </c>
      <c r="AD847" s="6">
        <f>$O$847*$X$847</f>
        <v>2212.9009999999998</v>
      </c>
      <c r="AE847" s="6">
        <f>$K$847*$Y$847</f>
        <v>0</v>
      </c>
      <c r="AF847" s="6">
        <f ca="1">$M$847*$Z$847</f>
        <v>2329.2676321651293</v>
      </c>
      <c r="AG847" s="6">
        <f>$O$847*$AA$847</f>
        <v>2368.2742761691584</v>
      </c>
    </row>
    <row r="848" spans="1:33" ht="11.25" customHeight="1" x14ac:dyDescent="0.25">
      <c r="A848" s="4" t="s">
        <v>28</v>
      </c>
      <c r="B848" s="4" t="s">
        <v>22</v>
      </c>
      <c r="C848" s="4" t="s">
        <v>23</v>
      </c>
      <c r="D848" s="4" t="s">
        <v>24</v>
      </c>
      <c r="E848" s="4" t="s">
        <v>32</v>
      </c>
      <c r="F848" s="4" t="s">
        <v>25</v>
      </c>
      <c r="G848" s="4" t="s">
        <v>25</v>
      </c>
      <c r="H848" s="4" t="s">
        <v>25</v>
      </c>
      <c r="I848" s="5">
        <v>44409</v>
      </c>
      <c r="J848" s="6">
        <v>0</v>
      </c>
      <c r="K848" s="6">
        <v>0</v>
      </c>
      <c r="L848" s="6">
        <v>0.12</v>
      </c>
      <c r="M848" s="6">
        <v>0.12</v>
      </c>
      <c r="N848" s="6">
        <v>0.12</v>
      </c>
      <c r="O848" s="6">
        <v>0.12</v>
      </c>
      <c r="P848" s="6">
        <v>1</v>
      </c>
      <c r="Q848" s="4" t="s">
        <v>26</v>
      </c>
      <c r="R848" s="4">
        <v>0</v>
      </c>
      <c r="S848" s="6">
        <v>0</v>
      </c>
      <c r="T848" s="6">
        <v>13</v>
      </c>
      <c r="U848" s="6">
        <v>71</v>
      </c>
      <c r="V848" s="6">
        <f>IF(ISERROR(VLOOKUP($S$848,'TAR FIN'!$A$1:$O$93,15,0)),0,VLOOKUP($S$848,'TAR FIN'!$A$1:$O$93,15,0))</f>
        <v>0</v>
      </c>
      <c r="W848" s="6">
        <f>IF(ISERROR(VLOOKUP($T$848,'TAR FIN'!$A$1:$O$93,15,0)),0,VLOOKUP($T$848,'TAR FIN'!$A$1:$O$93,15,0))</f>
        <v>205.22</v>
      </c>
      <c r="X848" s="6">
        <f>IF(ISERROR(VLOOKUP($U$848,'TAR FIN'!$A$1:$O$93,15,0)),0,VLOOKUP($U$848,'TAR FIN'!$A$1:$O$93,15,0))</f>
        <v>185.18</v>
      </c>
      <c r="Y848" s="6"/>
      <c r="Z848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48" s="6">
        <f>('TE BE'!$AB$17+'TE BF'!$AB$17+'TE CVA'!$AB$17)*(1-CUSTOS!$M$37)</f>
        <v>198.18194779658231</v>
      </c>
      <c r="AB848" s="6">
        <f>$K$848*$V$848</f>
        <v>0</v>
      </c>
      <c r="AC848" s="6">
        <f>$M$848*$W$848</f>
        <v>24.6264</v>
      </c>
      <c r="AD848" s="6">
        <f>$O$848*$X$848</f>
        <v>22.221599999999999</v>
      </c>
      <c r="AE848" s="6">
        <f>$K$848*$Y$848</f>
        <v>0</v>
      </c>
      <c r="AF848" s="6">
        <f ca="1">$M$848*$Z$848</f>
        <v>23.390135218394601</v>
      </c>
      <c r="AG848" s="6">
        <f>$O$848*$AA$848</f>
        <v>23.781833735589878</v>
      </c>
    </row>
    <row r="849" spans="1:33" ht="11.25" customHeight="1" x14ac:dyDescent="0.25">
      <c r="A849" s="4" t="s">
        <v>21</v>
      </c>
      <c r="B849" s="4" t="s">
        <v>22</v>
      </c>
      <c r="C849" s="4" t="s">
        <v>23</v>
      </c>
      <c r="D849" s="4" t="s">
        <v>24</v>
      </c>
      <c r="E849" s="4" t="s">
        <v>32</v>
      </c>
      <c r="F849" s="4" t="s">
        <v>25</v>
      </c>
      <c r="G849" s="4" t="s">
        <v>25</v>
      </c>
      <c r="H849" s="4" t="s">
        <v>25</v>
      </c>
      <c r="I849" s="5">
        <v>44440</v>
      </c>
      <c r="J849" s="6">
        <v>0</v>
      </c>
      <c r="K849" s="6">
        <v>0</v>
      </c>
      <c r="L849" s="6">
        <v>12.823</v>
      </c>
      <c r="M849" s="6">
        <v>12.823</v>
      </c>
      <c r="N849" s="6">
        <v>12.823</v>
      </c>
      <c r="O849" s="6">
        <v>12.823</v>
      </c>
      <c r="P849" s="6">
        <v>62</v>
      </c>
      <c r="Q849" s="4" t="s">
        <v>26</v>
      </c>
      <c r="R849" s="4">
        <v>0</v>
      </c>
      <c r="S849" s="6">
        <v>0</v>
      </c>
      <c r="T849" s="6">
        <v>13</v>
      </c>
      <c r="U849" s="6">
        <v>71</v>
      </c>
      <c r="V849" s="6">
        <f>IF(ISERROR(VLOOKUP($S$849,'TAR FIN'!$A$1:$O$93,15,0)),0,VLOOKUP($S$849,'TAR FIN'!$A$1:$O$93,15,0))</f>
        <v>0</v>
      </c>
      <c r="W849" s="6">
        <f>IF(ISERROR(VLOOKUP($T$849,'TAR FIN'!$A$1:$O$93,15,0)),0,VLOOKUP($T$849,'TAR FIN'!$A$1:$O$93,15,0))</f>
        <v>205.22</v>
      </c>
      <c r="X849" s="6">
        <f>IF(ISERROR(VLOOKUP($U$849,'TAR FIN'!$A$1:$O$93,15,0)),0,VLOOKUP($U$849,'TAR FIN'!$A$1:$O$93,15,0))</f>
        <v>185.18</v>
      </c>
      <c r="Y849" s="6"/>
      <c r="Z849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49" s="6">
        <f>('TE BE'!$AB$17+'TE BF'!$AB$17+'TE CVA'!$AB$17)*(1-CUSTOS!$M$37)</f>
        <v>198.18194779658231</v>
      </c>
      <c r="AB849" s="6">
        <f>$K$849*$V$849</f>
        <v>0</v>
      </c>
      <c r="AC849" s="6">
        <f>$M$849*$W$849</f>
        <v>2631.5360599999999</v>
      </c>
      <c r="AD849" s="6">
        <f>$O$849*$X$849</f>
        <v>2374.5631400000002</v>
      </c>
      <c r="AE849" s="6">
        <f>$K$849*$Y$849</f>
        <v>0</v>
      </c>
      <c r="AF849" s="6">
        <f ca="1">$M$849*$Z$849</f>
        <v>2499.43086587895</v>
      </c>
      <c r="AG849" s="6">
        <f>$O$849*$AA$849</f>
        <v>2541.2871165955748</v>
      </c>
    </row>
    <row r="850" spans="1:33" ht="11.25" customHeight="1" x14ac:dyDescent="0.25">
      <c r="A850" s="4" t="s">
        <v>28</v>
      </c>
      <c r="B850" s="4" t="s">
        <v>22</v>
      </c>
      <c r="C850" s="4" t="s">
        <v>23</v>
      </c>
      <c r="D850" s="4" t="s">
        <v>24</v>
      </c>
      <c r="E850" s="4" t="s">
        <v>32</v>
      </c>
      <c r="F850" s="4" t="s">
        <v>25</v>
      </c>
      <c r="G850" s="4" t="s">
        <v>25</v>
      </c>
      <c r="H850" s="4" t="s">
        <v>25</v>
      </c>
      <c r="I850" s="5">
        <v>44440</v>
      </c>
      <c r="J850" s="6">
        <v>0</v>
      </c>
      <c r="K850" s="6">
        <v>0</v>
      </c>
      <c r="L850" s="6">
        <v>7.0999999999999994E-2</v>
      </c>
      <c r="M850" s="6">
        <v>7.0999999999999994E-2</v>
      </c>
      <c r="N850" s="6">
        <v>7.0999999999999994E-2</v>
      </c>
      <c r="O850" s="6">
        <v>7.0999999999999994E-2</v>
      </c>
      <c r="P850" s="6">
        <v>1</v>
      </c>
      <c r="Q850" s="4" t="s">
        <v>26</v>
      </c>
      <c r="R850" s="4">
        <v>0</v>
      </c>
      <c r="S850" s="6">
        <v>0</v>
      </c>
      <c r="T850" s="6">
        <v>13</v>
      </c>
      <c r="U850" s="6">
        <v>71</v>
      </c>
      <c r="V850" s="6">
        <f>IF(ISERROR(VLOOKUP($S$850,'TAR FIN'!$A$1:$O$93,15,0)),0,VLOOKUP($S$850,'TAR FIN'!$A$1:$O$93,15,0))</f>
        <v>0</v>
      </c>
      <c r="W850" s="6">
        <f>IF(ISERROR(VLOOKUP($T$850,'TAR FIN'!$A$1:$O$93,15,0)),0,VLOOKUP($T$850,'TAR FIN'!$A$1:$O$93,15,0))</f>
        <v>205.22</v>
      </c>
      <c r="X850" s="6">
        <f>IF(ISERROR(VLOOKUP($U$850,'TAR FIN'!$A$1:$O$93,15,0)),0,VLOOKUP($U$850,'TAR FIN'!$A$1:$O$93,15,0))</f>
        <v>185.18</v>
      </c>
      <c r="Y850" s="6"/>
      <c r="Z850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50" s="6">
        <f>('TE BE'!$AB$17+'TE BF'!$AB$17+'TE CVA'!$AB$17)*(1-CUSTOS!$M$37)</f>
        <v>198.18194779658231</v>
      </c>
      <c r="AB850" s="6">
        <f>$K$850*$V$850</f>
        <v>0</v>
      </c>
      <c r="AC850" s="6">
        <f>$M$850*$W$850</f>
        <v>14.570619999999998</v>
      </c>
      <c r="AD850" s="6">
        <f>$O$850*$X$850</f>
        <v>13.147779999999999</v>
      </c>
      <c r="AE850" s="6">
        <f>$K$850*$Y$850</f>
        <v>0</v>
      </c>
      <c r="AF850" s="6">
        <f ca="1">$M$850*$Z$850</f>
        <v>13.839163337550138</v>
      </c>
      <c r="AG850" s="6">
        <f>$O$850*$AA$850</f>
        <v>14.070918293557343</v>
      </c>
    </row>
    <row r="851" spans="1:33" ht="11.25" customHeight="1" x14ac:dyDescent="0.25">
      <c r="A851" s="4" t="s">
        <v>21</v>
      </c>
      <c r="B851" s="4" t="s">
        <v>22</v>
      </c>
      <c r="C851" s="4" t="s">
        <v>23</v>
      </c>
      <c r="D851" s="4" t="s">
        <v>24</v>
      </c>
      <c r="E851" s="4" t="s">
        <v>32</v>
      </c>
      <c r="F851" s="4" t="s">
        <v>25</v>
      </c>
      <c r="G851" s="4" t="s">
        <v>25</v>
      </c>
      <c r="H851" s="4" t="s">
        <v>25</v>
      </c>
      <c r="I851" s="5">
        <v>44470</v>
      </c>
      <c r="J851" s="6">
        <v>0</v>
      </c>
      <c r="K851" s="6">
        <v>0</v>
      </c>
      <c r="L851" s="6">
        <v>11.367000000000001</v>
      </c>
      <c r="M851" s="6">
        <v>11.367000000000001</v>
      </c>
      <c r="N851" s="6">
        <v>11.367000000000001</v>
      </c>
      <c r="O851" s="6">
        <v>11.367000000000001</v>
      </c>
      <c r="P851" s="6">
        <v>52</v>
      </c>
      <c r="Q851" s="4" t="s">
        <v>26</v>
      </c>
      <c r="R851" s="4">
        <v>0</v>
      </c>
      <c r="S851" s="6">
        <v>0</v>
      </c>
      <c r="T851" s="6">
        <v>13</v>
      </c>
      <c r="U851" s="6">
        <v>71</v>
      </c>
      <c r="V851" s="6">
        <f>IF(ISERROR(VLOOKUP($S$851,'TAR FIN'!$A$1:$O$93,15,0)),0,VLOOKUP($S$851,'TAR FIN'!$A$1:$O$93,15,0))</f>
        <v>0</v>
      </c>
      <c r="W851" s="6">
        <f>IF(ISERROR(VLOOKUP($T$851,'TAR FIN'!$A$1:$O$93,15,0)),0,VLOOKUP($T$851,'TAR FIN'!$A$1:$O$93,15,0))</f>
        <v>205.22</v>
      </c>
      <c r="X851" s="6">
        <f>IF(ISERROR(VLOOKUP($U$851,'TAR FIN'!$A$1:$O$93,15,0)),0,VLOOKUP($U$851,'TAR FIN'!$A$1:$O$93,15,0))</f>
        <v>185.18</v>
      </c>
      <c r="Y851" s="6"/>
      <c r="Z851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51" s="6">
        <f>('TE BE'!$AB$17+'TE BF'!$AB$17+'TE CVA'!$AB$17)*(1-CUSTOS!$M$37)</f>
        <v>198.18194779658231</v>
      </c>
      <c r="AB851" s="6">
        <f>$K$851*$V$851</f>
        <v>0</v>
      </c>
      <c r="AC851" s="6">
        <f>$M$851*$W$851</f>
        <v>2332.7357400000001</v>
      </c>
      <c r="AD851" s="6">
        <f>$O$851*$X$851</f>
        <v>2104.9410600000001</v>
      </c>
      <c r="AE851" s="6">
        <f>$K$851*$Y$851</f>
        <v>0</v>
      </c>
      <c r="AF851" s="6">
        <f ca="1">$M$851*$Z$851</f>
        <v>2215.6305585624291</v>
      </c>
      <c r="AG851" s="6">
        <f>$O$851*$AA$851</f>
        <v>2252.7342006037511</v>
      </c>
    </row>
    <row r="852" spans="1:33" ht="11.25" customHeight="1" x14ac:dyDescent="0.25">
      <c r="A852" s="4" t="s">
        <v>28</v>
      </c>
      <c r="B852" s="4" t="s">
        <v>22</v>
      </c>
      <c r="C852" s="4" t="s">
        <v>23</v>
      </c>
      <c r="D852" s="4" t="s">
        <v>24</v>
      </c>
      <c r="E852" s="4" t="s">
        <v>32</v>
      </c>
      <c r="F852" s="4" t="s">
        <v>25</v>
      </c>
      <c r="G852" s="4" t="s">
        <v>25</v>
      </c>
      <c r="H852" s="4" t="s">
        <v>25</v>
      </c>
      <c r="I852" s="5">
        <v>44470</v>
      </c>
      <c r="J852" s="6">
        <v>0</v>
      </c>
      <c r="K852" s="6">
        <v>0</v>
      </c>
      <c r="L852" s="6">
        <v>0.03</v>
      </c>
      <c r="M852" s="6">
        <v>0.03</v>
      </c>
      <c r="N852" s="6">
        <v>0.03</v>
      </c>
      <c r="O852" s="6">
        <v>0.03</v>
      </c>
      <c r="P852" s="6">
        <v>1</v>
      </c>
      <c r="Q852" s="4" t="s">
        <v>26</v>
      </c>
      <c r="R852" s="4">
        <v>0</v>
      </c>
      <c r="S852" s="6">
        <v>0</v>
      </c>
      <c r="T852" s="6">
        <v>13</v>
      </c>
      <c r="U852" s="6">
        <v>71</v>
      </c>
      <c r="V852" s="6">
        <f>IF(ISERROR(VLOOKUP($S$852,'TAR FIN'!$A$1:$O$93,15,0)),0,VLOOKUP($S$852,'TAR FIN'!$A$1:$O$93,15,0))</f>
        <v>0</v>
      </c>
      <c r="W852" s="6">
        <f>IF(ISERROR(VLOOKUP($T$852,'TAR FIN'!$A$1:$O$93,15,0)),0,VLOOKUP($T$852,'TAR FIN'!$A$1:$O$93,15,0))</f>
        <v>205.22</v>
      </c>
      <c r="X852" s="6">
        <f>IF(ISERROR(VLOOKUP($U$852,'TAR FIN'!$A$1:$O$93,15,0)),0,VLOOKUP($U$852,'TAR FIN'!$A$1:$O$93,15,0))</f>
        <v>185.18</v>
      </c>
      <c r="Y852" s="6"/>
      <c r="Z852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52" s="6">
        <f>('TE BE'!$AB$17+'TE BF'!$AB$17+'TE CVA'!$AB$17)*(1-CUSTOS!$M$37)</f>
        <v>198.18194779658231</v>
      </c>
      <c r="AB852" s="6">
        <f>$K$852*$V$852</f>
        <v>0</v>
      </c>
      <c r="AC852" s="6">
        <f>$M$852*$W$852</f>
        <v>6.1566000000000001</v>
      </c>
      <c r="AD852" s="6">
        <f>$O$852*$X$852</f>
        <v>5.5553999999999997</v>
      </c>
      <c r="AE852" s="6">
        <f>$K$852*$Y$852</f>
        <v>0</v>
      </c>
      <c r="AF852" s="6">
        <f ca="1">$M$852*$Z$852</f>
        <v>5.8475338045986502</v>
      </c>
      <c r="AG852" s="6">
        <f>$O$852*$AA$852</f>
        <v>5.9454584338974694</v>
      </c>
    </row>
    <row r="853" spans="1:33" ht="11.25" customHeight="1" x14ac:dyDescent="0.25">
      <c r="A853" s="4" t="s">
        <v>21</v>
      </c>
      <c r="B853" s="4" t="s">
        <v>22</v>
      </c>
      <c r="C853" s="4" t="s">
        <v>23</v>
      </c>
      <c r="D853" s="4" t="s">
        <v>24</v>
      </c>
      <c r="E853" s="4" t="s">
        <v>32</v>
      </c>
      <c r="F853" s="4" t="s">
        <v>25</v>
      </c>
      <c r="G853" s="4" t="s">
        <v>25</v>
      </c>
      <c r="H853" s="4" t="s">
        <v>25</v>
      </c>
      <c r="I853" s="5">
        <v>44501</v>
      </c>
      <c r="J853" s="6">
        <v>0</v>
      </c>
      <c r="K853" s="6">
        <v>0</v>
      </c>
      <c r="L853" s="6">
        <v>16.094000000000001</v>
      </c>
      <c r="M853" s="6">
        <v>16.094000000000001</v>
      </c>
      <c r="N853" s="6">
        <v>16.094000000000001</v>
      </c>
      <c r="O853" s="6">
        <v>16.094000000000001</v>
      </c>
      <c r="P853" s="6">
        <v>70</v>
      </c>
      <c r="Q853" s="4" t="s">
        <v>26</v>
      </c>
      <c r="R853" s="4">
        <v>0</v>
      </c>
      <c r="S853" s="6">
        <v>0</v>
      </c>
      <c r="T853" s="6">
        <v>13</v>
      </c>
      <c r="U853" s="6">
        <v>71</v>
      </c>
      <c r="V853" s="6">
        <f>IF(ISERROR(VLOOKUP($S$853,'TAR FIN'!$A$1:$O$93,15,0)),0,VLOOKUP($S$853,'TAR FIN'!$A$1:$O$93,15,0))</f>
        <v>0</v>
      </c>
      <c r="W853" s="6">
        <f>IF(ISERROR(VLOOKUP($T$853,'TAR FIN'!$A$1:$O$93,15,0)),0,VLOOKUP($T$853,'TAR FIN'!$A$1:$O$93,15,0))</f>
        <v>205.22</v>
      </c>
      <c r="X853" s="6">
        <f>IF(ISERROR(VLOOKUP($U$853,'TAR FIN'!$A$1:$O$93,15,0)),0,VLOOKUP($U$853,'TAR FIN'!$A$1:$O$93,15,0))</f>
        <v>185.18</v>
      </c>
      <c r="Y853" s="6"/>
      <c r="Z853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53" s="6">
        <f>('TE BE'!$AB$17+'TE BF'!$AB$17+'TE CVA'!$AB$17)*(1-CUSTOS!$M$37)</f>
        <v>198.18194779658231</v>
      </c>
      <c r="AB853" s="6">
        <f>$K$853*$V$853</f>
        <v>0</v>
      </c>
      <c r="AC853" s="6">
        <f>$M$853*$W$853</f>
        <v>3302.81068</v>
      </c>
      <c r="AD853" s="6">
        <f>$O$853*$X$853</f>
        <v>2980.2869200000005</v>
      </c>
      <c r="AE853" s="6">
        <f>$K$853*$Y$853</f>
        <v>0</v>
      </c>
      <c r="AF853" s="6">
        <f ca="1">$M$853*$Z$853</f>
        <v>3137.0069683736897</v>
      </c>
      <c r="AG853" s="6">
        <f>$O$853*$AA$853</f>
        <v>3189.5402678381961</v>
      </c>
    </row>
    <row r="854" spans="1:33" ht="11.25" customHeight="1" x14ac:dyDescent="0.25">
      <c r="A854" s="4" t="s">
        <v>27</v>
      </c>
      <c r="B854" s="4" t="s">
        <v>22</v>
      </c>
      <c r="C854" s="4" t="s">
        <v>23</v>
      </c>
      <c r="D854" s="4" t="s">
        <v>24</v>
      </c>
      <c r="E854" s="4" t="s">
        <v>32</v>
      </c>
      <c r="F854" s="4" t="s">
        <v>25</v>
      </c>
      <c r="G854" s="4" t="s">
        <v>25</v>
      </c>
      <c r="H854" s="4" t="s">
        <v>25</v>
      </c>
      <c r="I854" s="5">
        <v>44501</v>
      </c>
      <c r="J854" s="6">
        <v>0</v>
      </c>
      <c r="K854" s="6">
        <v>0</v>
      </c>
      <c r="L854" s="6">
        <v>-1.292</v>
      </c>
      <c r="M854" s="6">
        <v>-1.292</v>
      </c>
      <c r="N854" s="6">
        <v>-1.292</v>
      </c>
      <c r="O854" s="6">
        <v>-1.292</v>
      </c>
      <c r="P854" s="6">
        <v>-1</v>
      </c>
      <c r="Q854" s="4" t="s">
        <v>26</v>
      </c>
      <c r="R854" s="4">
        <v>0</v>
      </c>
      <c r="S854" s="6">
        <v>0</v>
      </c>
      <c r="T854" s="6">
        <v>13</v>
      </c>
      <c r="U854" s="6">
        <v>71</v>
      </c>
      <c r="V854" s="6">
        <f>IF(ISERROR(VLOOKUP($S$854,'TAR FIN'!$A$1:$O$93,15,0)),0,VLOOKUP($S$854,'TAR FIN'!$A$1:$O$93,15,0))</f>
        <v>0</v>
      </c>
      <c r="W854" s="6">
        <f>IF(ISERROR(VLOOKUP($T$854,'TAR FIN'!$A$1:$O$93,15,0)),0,VLOOKUP($T$854,'TAR FIN'!$A$1:$O$93,15,0))</f>
        <v>205.22</v>
      </c>
      <c r="X854" s="6">
        <f>IF(ISERROR(VLOOKUP($U$854,'TAR FIN'!$A$1:$O$93,15,0)),0,VLOOKUP($U$854,'TAR FIN'!$A$1:$O$93,15,0))</f>
        <v>185.18</v>
      </c>
      <c r="Y854" s="6"/>
      <c r="Z854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54" s="6">
        <f>('TE BE'!$AB$17+'TE BF'!$AB$17+'TE CVA'!$AB$17)*(1-CUSTOS!$M$37)</f>
        <v>198.18194779658231</v>
      </c>
      <c r="AB854" s="6">
        <f>$K$854*$V$854</f>
        <v>0</v>
      </c>
      <c r="AC854" s="6">
        <f>$M$854*$W$854</f>
        <v>-265.14424000000002</v>
      </c>
      <c r="AD854" s="6">
        <f>$O$854*$X$854</f>
        <v>-239.25256000000002</v>
      </c>
      <c r="AE854" s="6">
        <f>$K$854*$Y$854</f>
        <v>0</v>
      </c>
      <c r="AF854" s="6">
        <f ca="1">$M$854*$Z$854</f>
        <v>-251.83378918471524</v>
      </c>
      <c r="AG854" s="6">
        <f>$O$854*$AA$854</f>
        <v>-256.05107655318437</v>
      </c>
    </row>
    <row r="855" spans="1:33" ht="11.25" customHeight="1" x14ac:dyDescent="0.25">
      <c r="A855" s="4" t="s">
        <v>21</v>
      </c>
      <c r="B855" s="4" t="s">
        <v>22</v>
      </c>
      <c r="C855" s="4" t="s">
        <v>23</v>
      </c>
      <c r="D855" s="4" t="s">
        <v>24</v>
      </c>
      <c r="E855" s="4" t="s">
        <v>32</v>
      </c>
      <c r="F855" s="4" t="s">
        <v>25</v>
      </c>
      <c r="G855" s="4" t="s">
        <v>25</v>
      </c>
      <c r="H855" s="4" t="s">
        <v>25</v>
      </c>
      <c r="I855" s="5">
        <v>44531</v>
      </c>
      <c r="J855" s="6">
        <v>0</v>
      </c>
      <c r="K855" s="6">
        <v>0</v>
      </c>
      <c r="L855" s="6">
        <v>13.026</v>
      </c>
      <c r="M855" s="6">
        <v>13.026</v>
      </c>
      <c r="N855" s="6">
        <v>13.026</v>
      </c>
      <c r="O855" s="6">
        <v>13.026</v>
      </c>
      <c r="P855" s="6">
        <v>65</v>
      </c>
      <c r="Q855" s="4" t="s">
        <v>26</v>
      </c>
      <c r="R855" s="4">
        <v>0</v>
      </c>
      <c r="S855" s="6">
        <v>0</v>
      </c>
      <c r="T855" s="6">
        <v>13</v>
      </c>
      <c r="U855" s="6">
        <v>71</v>
      </c>
      <c r="V855" s="6">
        <f>IF(ISERROR(VLOOKUP($S$855,'TAR FIN'!$A$1:$O$93,15,0)),0,VLOOKUP($S$855,'TAR FIN'!$A$1:$O$93,15,0))</f>
        <v>0</v>
      </c>
      <c r="W855" s="6">
        <f>IF(ISERROR(VLOOKUP($T$855,'TAR FIN'!$A$1:$O$93,15,0)),0,VLOOKUP($T$855,'TAR FIN'!$A$1:$O$93,15,0))</f>
        <v>205.22</v>
      </c>
      <c r="X855" s="6">
        <f>IF(ISERROR(VLOOKUP($U$855,'TAR FIN'!$A$1:$O$93,15,0)),0,VLOOKUP($U$855,'TAR FIN'!$A$1:$O$93,15,0))</f>
        <v>185.18</v>
      </c>
      <c r="Y855" s="6"/>
      <c r="Z855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55" s="6">
        <f>('TE BE'!$AB$17+'TE BF'!$AB$17+'TE CVA'!$AB$17)*(1-CUSTOS!$M$37)</f>
        <v>198.18194779658231</v>
      </c>
      <c r="AB855" s="6">
        <f>$K$855*$V$855</f>
        <v>0</v>
      </c>
      <c r="AC855" s="6">
        <f>$M$855*$W$855</f>
        <v>2673.1957200000002</v>
      </c>
      <c r="AD855" s="6">
        <f>$O$855*$X$855</f>
        <v>2412.1546800000001</v>
      </c>
      <c r="AE855" s="6">
        <f>$K$855*$Y$855</f>
        <v>0</v>
      </c>
      <c r="AF855" s="6">
        <f ca="1">$M$855*$Z$855</f>
        <v>2538.999177956734</v>
      </c>
      <c r="AG855" s="6">
        <f>$O$855*$AA$855</f>
        <v>2581.518051998281</v>
      </c>
    </row>
    <row r="856" spans="1:33" ht="11.25" customHeight="1" x14ac:dyDescent="0.25">
      <c r="A856" s="4" t="s">
        <v>21</v>
      </c>
      <c r="B856" s="4" t="s">
        <v>22</v>
      </c>
      <c r="C856" s="4" t="s">
        <v>23</v>
      </c>
      <c r="D856" s="4" t="s">
        <v>24</v>
      </c>
      <c r="E856" s="4" t="s">
        <v>32</v>
      </c>
      <c r="F856" s="4" t="s">
        <v>25</v>
      </c>
      <c r="G856" s="4" t="s">
        <v>25</v>
      </c>
      <c r="H856" s="4" t="s">
        <v>25</v>
      </c>
      <c r="I856" s="5">
        <v>44562</v>
      </c>
      <c r="J856" s="6">
        <v>0</v>
      </c>
      <c r="K856" s="6">
        <v>0</v>
      </c>
      <c r="L856" s="6">
        <v>15.836</v>
      </c>
      <c r="M856" s="6">
        <v>15.836</v>
      </c>
      <c r="N856" s="6">
        <v>15.836</v>
      </c>
      <c r="O856" s="6">
        <v>15.836</v>
      </c>
      <c r="P856" s="6">
        <v>106</v>
      </c>
      <c r="Q856" s="4" t="s">
        <v>26</v>
      </c>
      <c r="R856" s="4">
        <v>0</v>
      </c>
      <c r="S856" s="6">
        <v>0</v>
      </c>
      <c r="T856" s="6">
        <v>13</v>
      </c>
      <c r="U856" s="6">
        <v>71</v>
      </c>
      <c r="V856" s="6">
        <f>IF(ISERROR(VLOOKUP($S$856,'TAR FIN'!$A$1:$O$93,15,0)),0,VLOOKUP($S$856,'TAR FIN'!$A$1:$O$93,15,0))</f>
        <v>0</v>
      </c>
      <c r="W856" s="6">
        <f>IF(ISERROR(VLOOKUP($T$856,'TAR FIN'!$A$1:$O$93,15,0)),0,VLOOKUP($T$856,'TAR FIN'!$A$1:$O$93,15,0))</f>
        <v>205.22</v>
      </c>
      <c r="X856" s="6">
        <f>IF(ISERROR(VLOOKUP($U$856,'TAR FIN'!$A$1:$O$93,15,0)),0,VLOOKUP($U$856,'TAR FIN'!$A$1:$O$93,15,0))</f>
        <v>185.18</v>
      </c>
      <c r="Y856" s="6"/>
      <c r="Z856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56" s="6">
        <f>('TE BE'!$AB$17+'TE BF'!$AB$17+'TE CVA'!$AB$17)*(1-CUSTOS!$M$37)</f>
        <v>198.18194779658231</v>
      </c>
      <c r="AB856" s="6">
        <f>$K$856*$V$856</f>
        <v>0</v>
      </c>
      <c r="AC856" s="6">
        <f>$M$856*$W$856</f>
        <v>3249.8639200000002</v>
      </c>
      <c r="AD856" s="6">
        <f>$O$856*$X$856</f>
        <v>2932.5104800000004</v>
      </c>
      <c r="AE856" s="6">
        <f>$K$856*$Y$856</f>
        <v>0</v>
      </c>
      <c r="AF856" s="6">
        <f ca="1">$M$856*$Z$856</f>
        <v>3086.7181776541411</v>
      </c>
      <c r="AG856" s="6">
        <f>$O$856*$AA$856</f>
        <v>3138.4093253066776</v>
      </c>
    </row>
    <row r="857" spans="1:33" ht="11.25" customHeight="1" x14ac:dyDescent="0.25">
      <c r="A857" s="4" t="s">
        <v>21</v>
      </c>
      <c r="B857" s="4" t="s">
        <v>22</v>
      </c>
      <c r="C857" s="4" t="s">
        <v>23</v>
      </c>
      <c r="D857" s="4" t="s">
        <v>24</v>
      </c>
      <c r="E857" s="4" t="s">
        <v>32</v>
      </c>
      <c r="F857" s="4" t="s">
        <v>25</v>
      </c>
      <c r="G857" s="4" t="s">
        <v>25</v>
      </c>
      <c r="H857" s="4" t="s">
        <v>25</v>
      </c>
      <c r="I857" s="5">
        <v>44593</v>
      </c>
      <c r="J857" s="6">
        <v>0</v>
      </c>
      <c r="K857" s="6">
        <v>0</v>
      </c>
      <c r="L857" s="6">
        <v>39.064</v>
      </c>
      <c r="M857" s="6">
        <v>39.064</v>
      </c>
      <c r="N857" s="6">
        <v>39.064</v>
      </c>
      <c r="O857" s="6">
        <v>39.064</v>
      </c>
      <c r="P857" s="6">
        <v>147</v>
      </c>
      <c r="Q857" s="4" t="s">
        <v>26</v>
      </c>
      <c r="R857" s="4">
        <v>0</v>
      </c>
      <c r="S857" s="6">
        <v>0</v>
      </c>
      <c r="T857" s="6">
        <v>13</v>
      </c>
      <c r="U857" s="6">
        <v>71</v>
      </c>
      <c r="V857" s="6">
        <f>IF(ISERROR(VLOOKUP($S$857,'TAR FIN'!$A$1:$O$93,15,0)),0,VLOOKUP($S$857,'TAR FIN'!$A$1:$O$93,15,0))</f>
        <v>0</v>
      </c>
      <c r="W857" s="6">
        <f>IF(ISERROR(VLOOKUP($T$857,'TAR FIN'!$A$1:$O$93,15,0)),0,VLOOKUP($T$857,'TAR FIN'!$A$1:$O$93,15,0))</f>
        <v>205.22</v>
      </c>
      <c r="X857" s="6">
        <f>IF(ISERROR(VLOOKUP($U$857,'TAR FIN'!$A$1:$O$93,15,0)),0,VLOOKUP($U$857,'TAR FIN'!$A$1:$O$93,15,0))</f>
        <v>185.18</v>
      </c>
      <c r="Y857" s="6"/>
      <c r="Z857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57" s="6">
        <f>('TE BE'!$AB$17+'TE BF'!$AB$17+'TE CVA'!$AB$17)*(1-CUSTOS!$M$37)</f>
        <v>198.18194779658231</v>
      </c>
      <c r="AB857" s="6">
        <f>$K$857*$V$857</f>
        <v>0</v>
      </c>
      <c r="AC857" s="6">
        <f>$M$857*$W$857</f>
        <v>8016.7140799999997</v>
      </c>
      <c r="AD857" s="6">
        <f>$O$857*$X$857</f>
        <v>7233.8715200000006</v>
      </c>
      <c r="AE857" s="6">
        <f>$K$857*$Y$857</f>
        <v>0</v>
      </c>
      <c r="AF857" s="6">
        <f ca="1">$M$857*$Z$857</f>
        <v>7614.2686847613895</v>
      </c>
      <c r="AG857" s="6">
        <f>$O$857*$AA$857</f>
        <v>7741.7796087256911</v>
      </c>
    </row>
    <row r="858" spans="1:33" ht="11.25" customHeight="1" x14ac:dyDescent="0.25">
      <c r="A858" s="4" t="s">
        <v>21</v>
      </c>
      <c r="B858" s="4" t="s">
        <v>22</v>
      </c>
      <c r="C858" s="4" t="s">
        <v>23</v>
      </c>
      <c r="D858" s="4" t="s">
        <v>24</v>
      </c>
      <c r="E858" s="4" t="s">
        <v>32</v>
      </c>
      <c r="F858" s="4" t="s">
        <v>25</v>
      </c>
      <c r="G858" s="4" t="s">
        <v>25</v>
      </c>
      <c r="H858" s="4" t="s">
        <v>25</v>
      </c>
      <c r="I858" s="5">
        <v>44621</v>
      </c>
      <c r="J858" s="6">
        <v>0</v>
      </c>
      <c r="K858" s="6">
        <v>0</v>
      </c>
      <c r="L858" s="6">
        <v>35.491999999999997</v>
      </c>
      <c r="M858" s="6">
        <v>35.491999999999997</v>
      </c>
      <c r="N858" s="6">
        <v>35.491999999999997</v>
      </c>
      <c r="O858" s="6">
        <v>35.491999999999997</v>
      </c>
      <c r="P858" s="6">
        <v>144</v>
      </c>
      <c r="Q858" s="4" t="s">
        <v>26</v>
      </c>
      <c r="R858" s="4">
        <v>0</v>
      </c>
      <c r="S858" s="6">
        <v>0</v>
      </c>
      <c r="T858" s="6">
        <v>13</v>
      </c>
      <c r="U858" s="6">
        <v>71</v>
      </c>
      <c r="V858" s="6">
        <f>IF(ISERROR(VLOOKUP($S$858,'TAR FIN'!$A$1:$O$93,15,0)),0,VLOOKUP($S$858,'TAR FIN'!$A$1:$O$93,15,0))</f>
        <v>0</v>
      </c>
      <c r="W858" s="6">
        <f>IF(ISERROR(VLOOKUP($T$858,'TAR FIN'!$A$1:$O$93,15,0)),0,VLOOKUP($T$858,'TAR FIN'!$A$1:$O$93,15,0))</f>
        <v>205.22</v>
      </c>
      <c r="X858" s="6">
        <f>IF(ISERROR(VLOOKUP($U$858,'TAR FIN'!$A$1:$O$93,15,0)),0,VLOOKUP($U$858,'TAR FIN'!$A$1:$O$93,15,0))</f>
        <v>185.18</v>
      </c>
      <c r="Y858" s="6"/>
      <c r="Z858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58" s="6">
        <f>('TE BE'!$AB$17+'TE BF'!$AB$17+'TE CVA'!$AB$17)*(1-CUSTOS!$M$37)</f>
        <v>198.18194779658231</v>
      </c>
      <c r="AB858" s="6">
        <f>$K$858*$V$858</f>
        <v>0</v>
      </c>
      <c r="AC858" s="6">
        <f>$M$858*$W$858</f>
        <v>7283.6682399999991</v>
      </c>
      <c r="AD858" s="6">
        <f>$O$858*$X$858</f>
        <v>6572.4085599999999</v>
      </c>
      <c r="AE858" s="6">
        <f>$K$858*$Y$858</f>
        <v>0</v>
      </c>
      <c r="AF858" s="6">
        <f ca="1">$M$858*$Z$858</f>
        <v>6918.0223264271763</v>
      </c>
      <c r="AG858" s="6">
        <f>$O$858*$AA$858</f>
        <v>7033.8736911962988</v>
      </c>
    </row>
    <row r="859" spans="1:33" ht="11.25" customHeight="1" x14ac:dyDescent="0.25">
      <c r="A859" s="4" t="s">
        <v>21</v>
      </c>
      <c r="B859" s="4" t="s">
        <v>22</v>
      </c>
      <c r="C859" s="4" t="s">
        <v>23</v>
      </c>
      <c r="D859" s="4" t="s">
        <v>24</v>
      </c>
      <c r="E859" s="4" t="s">
        <v>32</v>
      </c>
      <c r="F859" s="4" t="s">
        <v>25</v>
      </c>
      <c r="G859" s="4" t="s">
        <v>25</v>
      </c>
      <c r="H859" s="4" t="s">
        <v>25</v>
      </c>
      <c r="I859" s="5">
        <v>44652</v>
      </c>
      <c r="J859" s="6">
        <v>0</v>
      </c>
      <c r="K859" s="6">
        <v>0</v>
      </c>
      <c r="L859" s="6">
        <v>45.762999999999998</v>
      </c>
      <c r="M859" s="6">
        <v>45.762999999999998</v>
      </c>
      <c r="N859" s="6">
        <v>45.762999999999998</v>
      </c>
      <c r="O859" s="6">
        <v>45.762999999999998</v>
      </c>
      <c r="P859" s="6">
        <v>207</v>
      </c>
      <c r="Q859" s="4" t="s">
        <v>26</v>
      </c>
      <c r="R859" s="4">
        <v>0</v>
      </c>
      <c r="S859" s="6">
        <v>0</v>
      </c>
      <c r="T859" s="6">
        <v>13</v>
      </c>
      <c r="U859" s="6">
        <v>71</v>
      </c>
      <c r="V859" s="6">
        <f>IF(ISERROR(VLOOKUP($S$859,'TAR FIN'!$A$1:$O$93,15,0)),0,VLOOKUP($S$859,'TAR FIN'!$A$1:$O$93,15,0))</f>
        <v>0</v>
      </c>
      <c r="W859" s="6">
        <f>IF(ISERROR(VLOOKUP($T$859,'TAR FIN'!$A$1:$O$93,15,0)),0,VLOOKUP($T$859,'TAR FIN'!$A$1:$O$93,15,0))</f>
        <v>205.22</v>
      </c>
      <c r="X859" s="6">
        <f>IF(ISERROR(VLOOKUP($U$859,'TAR FIN'!$A$1:$O$93,15,0)),0,VLOOKUP($U$859,'TAR FIN'!$A$1:$O$93,15,0))</f>
        <v>185.18</v>
      </c>
      <c r="Y859" s="6"/>
      <c r="Z859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59" s="6">
        <f>('TE BE'!$AB$17+'TE BF'!$AB$17+'TE CVA'!$AB$17)*(1-CUSTOS!$M$37)</f>
        <v>198.18194779658231</v>
      </c>
      <c r="AB859" s="6">
        <f>$K$859*$V$859</f>
        <v>0</v>
      </c>
      <c r="AC859" s="6">
        <f>$M$859*$W$859</f>
        <v>9391.4828600000001</v>
      </c>
      <c r="AD859" s="6">
        <f>$O$859*$X$859</f>
        <v>8474.3923400000003</v>
      </c>
      <c r="AE859" s="6">
        <f>$K$859*$Y$859</f>
        <v>0</v>
      </c>
      <c r="AF859" s="6">
        <f ca="1">$M$859*$Z$859</f>
        <v>8920.0229833282683</v>
      </c>
      <c r="AG859" s="6">
        <f>$O$859*$AA$859</f>
        <v>9069.400477014995</v>
      </c>
    </row>
    <row r="860" spans="1:33" ht="11.25" customHeight="1" x14ac:dyDescent="0.25">
      <c r="A860" s="4" t="s">
        <v>21</v>
      </c>
      <c r="B860" s="4" t="s">
        <v>22</v>
      </c>
      <c r="C860" s="4" t="s">
        <v>23</v>
      </c>
      <c r="D860" s="4" t="s">
        <v>24</v>
      </c>
      <c r="E860" s="4" t="s">
        <v>32</v>
      </c>
      <c r="F860" s="4" t="s">
        <v>25</v>
      </c>
      <c r="G860" s="4" t="s">
        <v>25</v>
      </c>
      <c r="H860" s="4" t="s">
        <v>25</v>
      </c>
      <c r="I860" s="5">
        <v>44682</v>
      </c>
      <c r="J860" s="6">
        <v>0</v>
      </c>
      <c r="K860" s="6">
        <v>0</v>
      </c>
      <c r="L860" s="6">
        <v>42.765999999999998</v>
      </c>
      <c r="M860" s="6">
        <v>42.765999999999998</v>
      </c>
      <c r="N860" s="6">
        <v>42.765999999999998</v>
      </c>
      <c r="O860" s="6">
        <v>42.765999999999998</v>
      </c>
      <c r="P860" s="6">
        <v>187</v>
      </c>
      <c r="Q860" s="4" t="s">
        <v>26</v>
      </c>
      <c r="R860" s="4">
        <v>0</v>
      </c>
      <c r="S860" s="6">
        <v>0</v>
      </c>
      <c r="T860" s="6">
        <v>13</v>
      </c>
      <c r="U860" s="6">
        <v>71</v>
      </c>
      <c r="V860" s="6">
        <f>IF(ISERROR(VLOOKUP($S$860,'TAR FIN'!$A$1:$O$93,15,0)),0,VLOOKUP($S$860,'TAR FIN'!$A$1:$O$93,15,0))</f>
        <v>0</v>
      </c>
      <c r="W860" s="6">
        <f>IF(ISERROR(VLOOKUP($T$860,'TAR FIN'!$A$1:$O$93,15,0)),0,VLOOKUP($T$860,'TAR FIN'!$A$1:$O$93,15,0))</f>
        <v>205.22</v>
      </c>
      <c r="X860" s="6">
        <f>IF(ISERROR(VLOOKUP($U$860,'TAR FIN'!$A$1:$O$93,15,0)),0,VLOOKUP($U$860,'TAR FIN'!$A$1:$O$93,15,0))</f>
        <v>185.18</v>
      </c>
      <c r="Y860" s="6"/>
      <c r="Z860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60" s="6">
        <f>('TE BE'!$AB$17+'TE BF'!$AB$17+'TE CVA'!$AB$17)*(1-CUSTOS!$M$37)</f>
        <v>198.18194779658231</v>
      </c>
      <c r="AB860" s="6">
        <f>$K$860*$V$860</f>
        <v>0</v>
      </c>
      <c r="AC860" s="6">
        <f>$M$860*$W$860</f>
        <v>8776.4385199999997</v>
      </c>
      <c r="AD860" s="6">
        <f>$O$860*$X$860</f>
        <v>7919.4078799999997</v>
      </c>
      <c r="AE860" s="6">
        <f>$K$860*$Y$860</f>
        <v>0</v>
      </c>
      <c r="AF860" s="6">
        <f ca="1">$M$860*$Z$860</f>
        <v>8335.854356248863</v>
      </c>
      <c r="AG860" s="6">
        <f>$O$860*$AA$860</f>
        <v>8475.4491794686382</v>
      </c>
    </row>
    <row r="861" spans="1:33" ht="11.25" customHeight="1" x14ac:dyDescent="0.25">
      <c r="A861" s="4" t="s">
        <v>28</v>
      </c>
      <c r="B861" s="4" t="s">
        <v>22</v>
      </c>
      <c r="C861" s="4" t="s">
        <v>23</v>
      </c>
      <c r="D861" s="4" t="s">
        <v>24</v>
      </c>
      <c r="E861" s="4" t="s">
        <v>32</v>
      </c>
      <c r="F861" s="4" t="s">
        <v>25</v>
      </c>
      <c r="G861" s="4" t="s">
        <v>25</v>
      </c>
      <c r="H861" s="4" t="s">
        <v>25</v>
      </c>
      <c r="I861" s="5">
        <v>44682</v>
      </c>
      <c r="J861" s="6">
        <v>0</v>
      </c>
      <c r="K861" s="6">
        <v>0</v>
      </c>
      <c r="L861" s="6">
        <v>0.05</v>
      </c>
      <c r="M861" s="6">
        <v>0.05</v>
      </c>
      <c r="N861" s="6">
        <v>0.05</v>
      </c>
      <c r="O861" s="6">
        <v>0.05</v>
      </c>
      <c r="P861" s="6">
        <v>1</v>
      </c>
      <c r="Q861" s="4" t="s">
        <v>26</v>
      </c>
      <c r="R861" s="4">
        <v>0</v>
      </c>
      <c r="S861" s="6">
        <v>0</v>
      </c>
      <c r="T861" s="6">
        <v>13</v>
      </c>
      <c r="U861" s="6">
        <v>71</v>
      </c>
      <c r="V861" s="6">
        <f>IF(ISERROR(VLOOKUP($S$861,'TAR FIN'!$A$1:$O$93,15,0)),0,VLOOKUP($S$861,'TAR FIN'!$A$1:$O$93,15,0))</f>
        <v>0</v>
      </c>
      <c r="W861" s="6">
        <f>IF(ISERROR(VLOOKUP($T$861,'TAR FIN'!$A$1:$O$93,15,0)),0,VLOOKUP($T$861,'TAR FIN'!$A$1:$O$93,15,0))</f>
        <v>205.22</v>
      </c>
      <c r="X861" s="6">
        <f>IF(ISERROR(VLOOKUP($U$861,'TAR FIN'!$A$1:$O$93,15,0)),0,VLOOKUP($U$861,'TAR FIN'!$A$1:$O$93,15,0))</f>
        <v>185.18</v>
      </c>
      <c r="Y861" s="6"/>
      <c r="Z861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61" s="6">
        <f>('TE BE'!$AB$17+'TE BF'!$AB$17+'TE CVA'!$AB$17)*(1-CUSTOS!$M$37)</f>
        <v>198.18194779658231</v>
      </c>
      <c r="AB861" s="6">
        <f>$K$861*$V$861</f>
        <v>0</v>
      </c>
      <c r="AC861" s="6">
        <f>$M$861*$W$861</f>
        <v>10.261000000000001</v>
      </c>
      <c r="AD861" s="6">
        <f>$O$861*$X$861</f>
        <v>9.2590000000000003</v>
      </c>
      <c r="AE861" s="6">
        <f>$K$861*$Y$861</f>
        <v>0</v>
      </c>
      <c r="AF861" s="6">
        <f ca="1">$M$861*$Z$861</f>
        <v>9.7458896743310852</v>
      </c>
      <c r="AG861" s="6">
        <f>$O$861*$AA$861</f>
        <v>9.9090973898291157</v>
      </c>
    </row>
    <row r="862" spans="1:33" ht="11.25" customHeight="1" x14ac:dyDescent="0.25">
      <c r="A862" s="4" t="s">
        <v>21</v>
      </c>
      <c r="B862" s="4" t="s">
        <v>22</v>
      </c>
      <c r="C862" s="4" t="s">
        <v>23</v>
      </c>
      <c r="D862" s="4" t="s">
        <v>24</v>
      </c>
      <c r="E862" s="4" t="s">
        <v>32</v>
      </c>
      <c r="F862" s="4" t="s">
        <v>25</v>
      </c>
      <c r="G862" s="4" t="s">
        <v>25</v>
      </c>
      <c r="H862" s="4" t="s">
        <v>25</v>
      </c>
      <c r="I862" s="5">
        <v>44713</v>
      </c>
      <c r="J862" s="6">
        <v>0</v>
      </c>
      <c r="K862" s="6">
        <v>0</v>
      </c>
      <c r="L862" s="6">
        <v>48.942</v>
      </c>
      <c r="M862" s="6">
        <v>48.942</v>
      </c>
      <c r="N862" s="6">
        <v>48.942</v>
      </c>
      <c r="O862" s="6">
        <v>48.942</v>
      </c>
      <c r="P862" s="6">
        <v>217</v>
      </c>
      <c r="Q862" s="4" t="s">
        <v>26</v>
      </c>
      <c r="R862" s="4">
        <v>0</v>
      </c>
      <c r="S862" s="6">
        <v>0</v>
      </c>
      <c r="T862" s="6">
        <v>13</v>
      </c>
      <c r="U862" s="6">
        <v>71</v>
      </c>
      <c r="V862" s="6">
        <f>IF(ISERROR(VLOOKUP($S$862,'TAR FIN'!$A$1:$O$93,15,0)),0,VLOOKUP($S$862,'TAR FIN'!$A$1:$O$93,15,0))</f>
        <v>0</v>
      </c>
      <c r="W862" s="6">
        <f>IF(ISERROR(VLOOKUP($T$862,'TAR FIN'!$A$1:$O$93,15,0)),0,VLOOKUP($T$862,'TAR FIN'!$A$1:$O$93,15,0))</f>
        <v>205.22</v>
      </c>
      <c r="X862" s="6">
        <f>IF(ISERROR(VLOOKUP($U$862,'TAR FIN'!$A$1:$O$93,15,0)),0,VLOOKUP($U$862,'TAR FIN'!$A$1:$O$93,15,0))</f>
        <v>185.18</v>
      </c>
      <c r="Y862" s="6"/>
      <c r="Z862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62" s="6">
        <f>('TE BE'!$AB$17+'TE BF'!$AB$17+'TE CVA'!$AB$17)*(1-CUSTOS!$M$37)</f>
        <v>198.18194779658231</v>
      </c>
      <c r="AB862" s="6">
        <f>$K$862*$V$862</f>
        <v>0</v>
      </c>
      <c r="AC862" s="6">
        <f>$M$862*$W$862</f>
        <v>10043.87724</v>
      </c>
      <c r="AD862" s="6">
        <f>$O$862*$X$862</f>
        <v>9063.0795600000001</v>
      </c>
      <c r="AE862" s="6">
        <f>$K$862*$Y$862</f>
        <v>0</v>
      </c>
      <c r="AF862" s="6">
        <f ca="1">$M$862*$Z$862</f>
        <v>9539.6666488222381</v>
      </c>
      <c r="AG862" s="6">
        <f>$O$862*$AA$862</f>
        <v>9699.4208890603313</v>
      </c>
    </row>
    <row r="863" spans="1:33" ht="11.25" customHeight="1" x14ac:dyDescent="0.25">
      <c r="A863" s="4" t="s">
        <v>28</v>
      </c>
      <c r="B863" s="4" t="s">
        <v>22</v>
      </c>
      <c r="C863" s="4" t="s">
        <v>23</v>
      </c>
      <c r="D863" s="4" t="s">
        <v>24</v>
      </c>
      <c r="E863" s="4" t="s">
        <v>32</v>
      </c>
      <c r="F863" s="4" t="s">
        <v>25</v>
      </c>
      <c r="G863" s="4" t="s">
        <v>25</v>
      </c>
      <c r="H863" s="4" t="s">
        <v>25</v>
      </c>
      <c r="I863" s="5">
        <v>44713</v>
      </c>
      <c r="J863" s="6">
        <v>0</v>
      </c>
      <c r="K863" s="6">
        <v>0</v>
      </c>
      <c r="L863" s="6">
        <v>0.05</v>
      </c>
      <c r="M863" s="6">
        <v>0.05</v>
      </c>
      <c r="N863" s="6">
        <v>0.05</v>
      </c>
      <c r="O863" s="6">
        <v>0.05</v>
      </c>
      <c r="P863" s="6">
        <v>1</v>
      </c>
      <c r="Q863" s="4" t="s">
        <v>26</v>
      </c>
      <c r="R863" s="4">
        <v>0</v>
      </c>
      <c r="S863" s="6">
        <v>0</v>
      </c>
      <c r="T863" s="6">
        <v>13</v>
      </c>
      <c r="U863" s="6">
        <v>71</v>
      </c>
      <c r="V863" s="6">
        <f>IF(ISERROR(VLOOKUP($S$863,'TAR FIN'!$A$1:$O$93,15,0)),0,VLOOKUP($S$863,'TAR FIN'!$A$1:$O$93,15,0))</f>
        <v>0</v>
      </c>
      <c r="W863" s="6">
        <f>IF(ISERROR(VLOOKUP($T$863,'TAR FIN'!$A$1:$O$93,15,0)),0,VLOOKUP($T$863,'TAR FIN'!$A$1:$O$93,15,0))</f>
        <v>205.22</v>
      </c>
      <c r="X863" s="6">
        <f>IF(ISERROR(VLOOKUP($U$863,'TAR FIN'!$A$1:$O$93,15,0)),0,VLOOKUP($U$863,'TAR FIN'!$A$1:$O$93,15,0))</f>
        <v>185.18</v>
      </c>
      <c r="Y863" s="6"/>
      <c r="Z863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863" s="6">
        <f>('TE BE'!$AB$17+'TE BF'!$AB$17+'TE CVA'!$AB$17)*(1-CUSTOS!$M$37)</f>
        <v>198.18194779658231</v>
      </c>
      <c r="AB863" s="6">
        <f>$K$863*$V$863</f>
        <v>0</v>
      </c>
      <c r="AC863" s="6">
        <f>$M$863*$W$863</f>
        <v>10.261000000000001</v>
      </c>
      <c r="AD863" s="6">
        <f>$O$863*$X$863</f>
        <v>9.2590000000000003</v>
      </c>
      <c r="AE863" s="6">
        <f>$K$863*$Y$863</f>
        <v>0</v>
      </c>
      <c r="AF863" s="6">
        <f ca="1">$M$863*$Z$863</f>
        <v>9.7458896743310852</v>
      </c>
      <c r="AG863" s="6">
        <f>$O$863*$AA$863</f>
        <v>9.9090973898291157</v>
      </c>
    </row>
    <row r="864" spans="1:33" ht="11.25" customHeight="1" x14ac:dyDescent="0.25">
      <c r="A864" s="4" t="s">
        <v>21</v>
      </c>
      <c r="B864" s="4" t="s">
        <v>41</v>
      </c>
      <c r="C864" s="4" t="s">
        <v>23</v>
      </c>
      <c r="D864" s="4" t="s">
        <v>42</v>
      </c>
      <c r="E864" s="4" t="s">
        <v>50</v>
      </c>
      <c r="F864" s="4" t="s">
        <v>51</v>
      </c>
      <c r="G864" s="4" t="s">
        <v>25</v>
      </c>
      <c r="H864" s="4" t="s">
        <v>25</v>
      </c>
      <c r="I864" s="5">
        <v>44378</v>
      </c>
      <c r="J864" s="6">
        <v>0</v>
      </c>
      <c r="K864" s="6">
        <v>0</v>
      </c>
      <c r="L864" s="6">
        <v>64.334999999999994</v>
      </c>
      <c r="M864" s="6">
        <v>25.734000000000002</v>
      </c>
      <c r="N864" s="6">
        <v>64.334999999999994</v>
      </c>
      <c r="O864" s="6">
        <v>25.734000000000002</v>
      </c>
      <c r="P864" s="6">
        <v>0</v>
      </c>
      <c r="Q864" s="4" t="s">
        <v>26</v>
      </c>
      <c r="R864" s="4">
        <v>0</v>
      </c>
      <c r="S864" s="6">
        <v>0</v>
      </c>
      <c r="T864" s="6">
        <v>40</v>
      </c>
      <c r="U864" s="6">
        <v>78</v>
      </c>
      <c r="V864" s="6">
        <f>IF(ISERROR(VLOOKUP($S$864,'TAR FIN'!$A$1:$O$93,15,0)),0,VLOOKUP($S$864,'TAR FIN'!$A$1:$O$93,15,0))</f>
        <v>0</v>
      </c>
      <c r="W864" s="6">
        <f>IF(ISERROR(VLOOKUP($T$864,'TAR FIN'!$A$1:$O$93,15,0)),0,VLOOKUP($T$864,'TAR FIN'!$A$1:$O$93,15,0))</f>
        <v>240.16</v>
      </c>
      <c r="X864" s="6">
        <f>IF(ISERROR(VLOOKUP($U$864,'TAR FIN'!$A$1:$O$93,15,0)),0,VLOOKUP($U$864,'TAR FIN'!$A$1:$O$93,15,0))</f>
        <v>162.96</v>
      </c>
      <c r="Y864" s="6"/>
      <c r="Z864" s="6">
        <f ca="1">('TUSD BE'!$AM$37+'TUSD BF'!$AM$37+'TUSD CVA'!$AM$37)*(1-CUSTOS!$M$38)</f>
        <v>274.6365589659128</v>
      </c>
      <c r="AA864" s="6">
        <f>('TE BE'!$AB$26+'TE BF'!$AB$26+'TE CVA'!$AB$26)*(1-CUSTOS!$M$38)</f>
        <v>186.29103092878736</v>
      </c>
      <c r="AB864" s="6">
        <f>$K$864*$V$864</f>
        <v>0</v>
      </c>
      <c r="AC864" s="6">
        <f>$M$864*$W$864</f>
        <v>6180.2774400000008</v>
      </c>
      <c r="AD864" s="6">
        <f>$O$864*$X$864</f>
        <v>4193.6126400000003</v>
      </c>
      <c r="AE864" s="6">
        <f>$K$864*$Y$864</f>
        <v>0</v>
      </c>
      <c r="AF864" s="6">
        <f ca="1">$M$864*$Z$864</f>
        <v>7067.4972084288001</v>
      </c>
      <c r="AG864" s="6">
        <f>$O$864*$AA$864</f>
        <v>4794.0133899214143</v>
      </c>
    </row>
    <row r="865" spans="1:33" ht="11.25" customHeight="1" x14ac:dyDescent="0.25">
      <c r="A865" s="4" t="s">
        <v>27</v>
      </c>
      <c r="B865" s="4" t="s">
        <v>41</v>
      </c>
      <c r="C865" s="4" t="s">
        <v>23</v>
      </c>
      <c r="D865" s="4" t="s">
        <v>42</v>
      </c>
      <c r="E865" s="4" t="s">
        <v>50</v>
      </c>
      <c r="F865" s="4" t="s">
        <v>51</v>
      </c>
      <c r="G865" s="4" t="s">
        <v>25</v>
      </c>
      <c r="H865" s="4" t="s">
        <v>25</v>
      </c>
      <c r="I865" s="5">
        <v>44378</v>
      </c>
      <c r="J865" s="6">
        <v>0</v>
      </c>
      <c r="K865" s="6">
        <v>0</v>
      </c>
      <c r="L865" s="6">
        <v>-1.1140000000000001</v>
      </c>
      <c r="M865" s="6">
        <v>-0.4456</v>
      </c>
      <c r="N865" s="6">
        <v>-1.1140000000000001</v>
      </c>
      <c r="O865" s="6">
        <v>-0.4456</v>
      </c>
      <c r="P865" s="6">
        <v>0</v>
      </c>
      <c r="Q865" s="4" t="s">
        <v>26</v>
      </c>
      <c r="R865" s="4">
        <v>0</v>
      </c>
      <c r="S865" s="6">
        <v>0</v>
      </c>
      <c r="T865" s="6">
        <v>40</v>
      </c>
      <c r="U865" s="6">
        <v>78</v>
      </c>
      <c r="V865" s="6">
        <f>IF(ISERROR(VLOOKUP($S$865,'TAR FIN'!$A$1:$O$93,15,0)),0,VLOOKUP($S$865,'TAR FIN'!$A$1:$O$93,15,0))</f>
        <v>0</v>
      </c>
      <c r="W865" s="6">
        <f>IF(ISERROR(VLOOKUP($T$865,'TAR FIN'!$A$1:$O$93,15,0)),0,VLOOKUP($T$865,'TAR FIN'!$A$1:$O$93,15,0))</f>
        <v>240.16</v>
      </c>
      <c r="X865" s="6">
        <f>IF(ISERROR(VLOOKUP($U$865,'TAR FIN'!$A$1:$O$93,15,0)),0,VLOOKUP($U$865,'TAR FIN'!$A$1:$O$93,15,0))</f>
        <v>162.96</v>
      </c>
      <c r="Y865" s="6"/>
      <c r="Z865" s="6">
        <f ca="1">('TUSD BE'!$AM$37+'TUSD BF'!$AM$37+'TUSD CVA'!$AM$37)*(1-CUSTOS!$M$38)</f>
        <v>274.6365589659128</v>
      </c>
      <c r="AA865" s="6">
        <f>('TE BE'!$AB$26+'TE BF'!$AB$26+'TE CVA'!$AB$26)*(1-CUSTOS!$M$38)</f>
        <v>186.29103092878736</v>
      </c>
      <c r="AB865" s="6">
        <f>$K$865*$V$865</f>
        <v>0</v>
      </c>
      <c r="AC865" s="6">
        <f>$M$865*$W$865</f>
        <v>-107.01529599999999</v>
      </c>
      <c r="AD865" s="6">
        <f>$O$865*$X$865</f>
        <v>-72.614975999999999</v>
      </c>
      <c r="AE865" s="6">
        <f>$K$865*$Y$865</f>
        <v>0</v>
      </c>
      <c r="AF865" s="6">
        <f ca="1">$M$865*$Z$865</f>
        <v>-122.37805067521074</v>
      </c>
      <c r="AG865" s="6">
        <f>$O$865*$AA$865</f>
        <v>-83.011283381867642</v>
      </c>
    </row>
    <row r="866" spans="1:33" ht="11.25" customHeight="1" x14ac:dyDescent="0.25">
      <c r="A866" s="4" t="s">
        <v>28</v>
      </c>
      <c r="B866" s="4" t="s">
        <v>41</v>
      </c>
      <c r="C866" s="4" t="s">
        <v>23</v>
      </c>
      <c r="D866" s="4" t="s">
        <v>42</v>
      </c>
      <c r="E866" s="4" t="s">
        <v>50</v>
      </c>
      <c r="F866" s="4" t="s">
        <v>51</v>
      </c>
      <c r="G866" s="4" t="s">
        <v>25</v>
      </c>
      <c r="H866" s="4" t="s">
        <v>25</v>
      </c>
      <c r="I866" s="5">
        <v>44378</v>
      </c>
      <c r="J866" s="6">
        <v>0</v>
      </c>
      <c r="K866" s="6">
        <v>0</v>
      </c>
      <c r="L866" s="6">
        <v>0.437</v>
      </c>
      <c r="M866" s="6">
        <v>0.17480000000000001</v>
      </c>
      <c r="N866" s="6">
        <v>0.437</v>
      </c>
      <c r="O866" s="6">
        <v>0.17480000000000001</v>
      </c>
      <c r="P866" s="6">
        <v>0</v>
      </c>
      <c r="Q866" s="4" t="s">
        <v>26</v>
      </c>
      <c r="R866" s="4">
        <v>0</v>
      </c>
      <c r="S866" s="6">
        <v>0</v>
      </c>
      <c r="T866" s="6">
        <v>40</v>
      </c>
      <c r="U866" s="6">
        <v>78</v>
      </c>
      <c r="V866" s="6">
        <f>IF(ISERROR(VLOOKUP($S$866,'TAR FIN'!$A$1:$O$93,15,0)),0,VLOOKUP($S$866,'TAR FIN'!$A$1:$O$93,15,0))</f>
        <v>0</v>
      </c>
      <c r="W866" s="6">
        <f>IF(ISERROR(VLOOKUP($T$866,'TAR FIN'!$A$1:$O$93,15,0)),0,VLOOKUP($T$866,'TAR FIN'!$A$1:$O$93,15,0))</f>
        <v>240.16</v>
      </c>
      <c r="X866" s="6">
        <f>IF(ISERROR(VLOOKUP($U$866,'TAR FIN'!$A$1:$O$93,15,0)),0,VLOOKUP($U$866,'TAR FIN'!$A$1:$O$93,15,0))</f>
        <v>162.96</v>
      </c>
      <c r="Y866" s="6"/>
      <c r="Z866" s="6">
        <f ca="1">('TUSD BE'!$AM$37+'TUSD BF'!$AM$37+'TUSD CVA'!$AM$37)*(1-CUSTOS!$M$38)</f>
        <v>274.6365589659128</v>
      </c>
      <c r="AA866" s="6">
        <f>('TE BE'!$AB$26+'TE BF'!$AB$26+'TE CVA'!$AB$26)*(1-CUSTOS!$M$38)</f>
        <v>186.29103092878736</v>
      </c>
      <c r="AB866" s="6">
        <f>$K$866*$V$866</f>
        <v>0</v>
      </c>
      <c r="AC866" s="6">
        <f>$M$866*$W$866</f>
        <v>41.979968</v>
      </c>
      <c r="AD866" s="6">
        <f>$O$866*$X$866</f>
        <v>28.485408000000003</v>
      </c>
      <c r="AE866" s="6">
        <f>$K$866*$Y$866</f>
        <v>0</v>
      </c>
      <c r="AF866" s="6">
        <f ca="1">$M$866*$Z$866</f>
        <v>48.006470507241559</v>
      </c>
      <c r="AG866" s="6">
        <f>$O$866*$AA$866</f>
        <v>32.563672206352031</v>
      </c>
    </row>
    <row r="867" spans="1:33" ht="11.25" customHeight="1" x14ac:dyDescent="0.25">
      <c r="A867" s="4" t="s">
        <v>21</v>
      </c>
      <c r="B867" s="4" t="s">
        <v>41</v>
      </c>
      <c r="C867" s="4" t="s">
        <v>23</v>
      </c>
      <c r="D867" s="4" t="s">
        <v>42</v>
      </c>
      <c r="E867" s="4" t="s">
        <v>50</v>
      </c>
      <c r="F867" s="4" t="s">
        <v>51</v>
      </c>
      <c r="G867" s="4" t="s">
        <v>25</v>
      </c>
      <c r="H867" s="4" t="s">
        <v>25</v>
      </c>
      <c r="I867" s="5">
        <v>44409</v>
      </c>
      <c r="J867" s="6">
        <v>0</v>
      </c>
      <c r="K867" s="6">
        <v>0</v>
      </c>
      <c r="L867" s="6">
        <v>89.831999999999994</v>
      </c>
      <c r="M867" s="6">
        <v>35.9328</v>
      </c>
      <c r="N867" s="6">
        <v>89.831999999999994</v>
      </c>
      <c r="O867" s="6">
        <v>35.9328</v>
      </c>
      <c r="P867" s="6">
        <v>0</v>
      </c>
      <c r="Q867" s="4" t="s">
        <v>26</v>
      </c>
      <c r="R867" s="4">
        <v>0</v>
      </c>
      <c r="S867" s="6">
        <v>0</v>
      </c>
      <c r="T867" s="6">
        <v>40</v>
      </c>
      <c r="U867" s="6">
        <v>78</v>
      </c>
      <c r="V867" s="6">
        <f>IF(ISERROR(VLOOKUP($S$867,'TAR FIN'!$A$1:$O$93,15,0)),0,VLOOKUP($S$867,'TAR FIN'!$A$1:$O$93,15,0))</f>
        <v>0</v>
      </c>
      <c r="W867" s="6">
        <f>IF(ISERROR(VLOOKUP($T$867,'TAR FIN'!$A$1:$O$93,15,0)),0,VLOOKUP($T$867,'TAR FIN'!$A$1:$O$93,15,0))</f>
        <v>240.16</v>
      </c>
      <c r="X867" s="6">
        <f>IF(ISERROR(VLOOKUP($U$867,'TAR FIN'!$A$1:$O$93,15,0)),0,VLOOKUP($U$867,'TAR FIN'!$A$1:$O$93,15,0))</f>
        <v>162.96</v>
      </c>
      <c r="Y867" s="6"/>
      <c r="Z867" s="6">
        <f ca="1">('TUSD BE'!$AM$37+'TUSD BF'!$AM$37+'TUSD CVA'!$AM$37)*(1-CUSTOS!$M$38)</f>
        <v>274.6365589659128</v>
      </c>
      <c r="AA867" s="6">
        <f>('TE BE'!$AB$26+'TE BF'!$AB$26+'TE CVA'!$AB$26)*(1-CUSTOS!$M$38)</f>
        <v>186.29103092878736</v>
      </c>
      <c r="AB867" s="6">
        <f>$K$867*$V$867</f>
        <v>0</v>
      </c>
      <c r="AC867" s="6">
        <f>$M$867*$W$867</f>
        <v>8629.6212479999995</v>
      </c>
      <c r="AD867" s="6">
        <f>$O$867*$X$867</f>
        <v>5855.6090880000002</v>
      </c>
      <c r="AE867" s="6">
        <f>$K$867*$Y$867</f>
        <v>0</v>
      </c>
      <c r="AF867" s="6">
        <f ca="1">$M$867*$Z$867</f>
        <v>9868.4605460103521</v>
      </c>
      <c r="AG867" s="6">
        <f>$O$867*$AA$867</f>
        <v>6693.9583561579302</v>
      </c>
    </row>
    <row r="868" spans="1:33" ht="11.25" customHeight="1" x14ac:dyDescent="0.25">
      <c r="A868" s="4" t="s">
        <v>27</v>
      </c>
      <c r="B868" s="4" t="s">
        <v>41</v>
      </c>
      <c r="C868" s="4" t="s">
        <v>23</v>
      </c>
      <c r="D868" s="4" t="s">
        <v>42</v>
      </c>
      <c r="E868" s="4" t="s">
        <v>50</v>
      </c>
      <c r="F868" s="4" t="s">
        <v>51</v>
      </c>
      <c r="G868" s="4" t="s">
        <v>25</v>
      </c>
      <c r="H868" s="4" t="s">
        <v>25</v>
      </c>
      <c r="I868" s="5">
        <v>44409</v>
      </c>
      <c r="J868" s="6">
        <v>0</v>
      </c>
      <c r="K868" s="6">
        <v>0</v>
      </c>
      <c r="L868" s="6">
        <v>-9.1999999999999998E-2</v>
      </c>
      <c r="M868" s="6">
        <v>-3.6799999999999999E-2</v>
      </c>
      <c r="N868" s="6">
        <v>-9.1999999999999998E-2</v>
      </c>
      <c r="O868" s="6">
        <v>-3.6799999999999999E-2</v>
      </c>
      <c r="P868" s="6">
        <v>0</v>
      </c>
      <c r="Q868" s="4" t="s">
        <v>26</v>
      </c>
      <c r="R868" s="4">
        <v>0</v>
      </c>
      <c r="S868" s="6">
        <v>0</v>
      </c>
      <c r="T868" s="6">
        <v>40</v>
      </c>
      <c r="U868" s="6">
        <v>78</v>
      </c>
      <c r="V868" s="6">
        <f>IF(ISERROR(VLOOKUP($S$868,'TAR FIN'!$A$1:$O$93,15,0)),0,VLOOKUP($S$868,'TAR FIN'!$A$1:$O$93,15,0))</f>
        <v>0</v>
      </c>
      <c r="W868" s="6">
        <f>IF(ISERROR(VLOOKUP($T$868,'TAR FIN'!$A$1:$O$93,15,0)),0,VLOOKUP($T$868,'TAR FIN'!$A$1:$O$93,15,0))</f>
        <v>240.16</v>
      </c>
      <c r="X868" s="6">
        <f>IF(ISERROR(VLOOKUP($U$868,'TAR FIN'!$A$1:$O$93,15,0)),0,VLOOKUP($U$868,'TAR FIN'!$A$1:$O$93,15,0))</f>
        <v>162.96</v>
      </c>
      <c r="Y868" s="6"/>
      <c r="Z868" s="6">
        <f ca="1">('TUSD BE'!$AM$37+'TUSD BF'!$AM$37+'TUSD CVA'!$AM$37)*(1-CUSTOS!$M$38)</f>
        <v>274.6365589659128</v>
      </c>
      <c r="AA868" s="6">
        <f>('TE BE'!$AB$26+'TE BF'!$AB$26+'TE CVA'!$AB$26)*(1-CUSTOS!$M$38)</f>
        <v>186.29103092878736</v>
      </c>
      <c r="AB868" s="6">
        <f>$K$868*$V$868</f>
        <v>0</v>
      </c>
      <c r="AC868" s="6">
        <f>$M$868*$W$868</f>
        <v>-8.8378879999999995</v>
      </c>
      <c r="AD868" s="6">
        <f>$O$868*$X$868</f>
        <v>-5.9969280000000005</v>
      </c>
      <c r="AE868" s="6">
        <f>$K$868*$Y$868</f>
        <v>0</v>
      </c>
      <c r="AF868" s="6">
        <f ca="1">$M$868*$Z$868</f>
        <v>-10.10662536994559</v>
      </c>
      <c r="AG868" s="6">
        <f>$O$868*$AA$868</f>
        <v>-6.8555099381793747</v>
      </c>
    </row>
    <row r="869" spans="1:33" ht="11.25" customHeight="1" x14ac:dyDescent="0.25">
      <c r="A869" s="4" t="s">
        <v>28</v>
      </c>
      <c r="B869" s="4" t="s">
        <v>41</v>
      </c>
      <c r="C869" s="4" t="s">
        <v>23</v>
      </c>
      <c r="D869" s="4" t="s">
        <v>42</v>
      </c>
      <c r="E869" s="4" t="s">
        <v>50</v>
      </c>
      <c r="F869" s="4" t="s">
        <v>51</v>
      </c>
      <c r="G869" s="4" t="s">
        <v>25</v>
      </c>
      <c r="H869" s="4" t="s">
        <v>25</v>
      </c>
      <c r="I869" s="5">
        <v>44409</v>
      </c>
      <c r="J869" s="6">
        <v>0</v>
      </c>
      <c r="K869" s="6">
        <v>0</v>
      </c>
      <c r="L869" s="6">
        <v>0.52100000000000002</v>
      </c>
      <c r="M869" s="6">
        <v>0.2084</v>
      </c>
      <c r="N869" s="6">
        <v>0.52100000000000002</v>
      </c>
      <c r="O869" s="6">
        <v>0.2084</v>
      </c>
      <c r="P869" s="6">
        <v>0</v>
      </c>
      <c r="Q869" s="4" t="s">
        <v>26</v>
      </c>
      <c r="R869" s="4">
        <v>0</v>
      </c>
      <c r="S869" s="6">
        <v>0</v>
      </c>
      <c r="T869" s="6">
        <v>40</v>
      </c>
      <c r="U869" s="6">
        <v>78</v>
      </c>
      <c r="V869" s="6">
        <f>IF(ISERROR(VLOOKUP($S$869,'TAR FIN'!$A$1:$O$93,15,0)),0,VLOOKUP($S$869,'TAR FIN'!$A$1:$O$93,15,0))</f>
        <v>0</v>
      </c>
      <c r="W869" s="6">
        <f>IF(ISERROR(VLOOKUP($T$869,'TAR FIN'!$A$1:$O$93,15,0)),0,VLOOKUP($T$869,'TAR FIN'!$A$1:$O$93,15,0))</f>
        <v>240.16</v>
      </c>
      <c r="X869" s="6">
        <f>IF(ISERROR(VLOOKUP($U$869,'TAR FIN'!$A$1:$O$93,15,0)),0,VLOOKUP($U$869,'TAR FIN'!$A$1:$O$93,15,0))</f>
        <v>162.96</v>
      </c>
      <c r="Y869" s="6"/>
      <c r="Z869" s="6">
        <f ca="1">('TUSD BE'!$AM$37+'TUSD BF'!$AM$37+'TUSD CVA'!$AM$37)*(1-CUSTOS!$M$38)</f>
        <v>274.6365589659128</v>
      </c>
      <c r="AA869" s="6">
        <f>('TE BE'!$AB$26+'TE BF'!$AB$26+'TE CVA'!$AB$26)*(1-CUSTOS!$M$38)</f>
        <v>186.29103092878736</v>
      </c>
      <c r="AB869" s="6">
        <f>$K$869*$V$869</f>
        <v>0</v>
      </c>
      <c r="AC869" s="6">
        <f>$M$869*$W$869</f>
        <v>50.049343999999998</v>
      </c>
      <c r="AD869" s="6">
        <f>$O$869*$X$869</f>
        <v>33.960864000000001</v>
      </c>
      <c r="AE869" s="6">
        <f>$K$869*$Y$869</f>
        <v>0</v>
      </c>
      <c r="AF869" s="6">
        <f ca="1">$M$869*$Z$869</f>
        <v>57.234258888496228</v>
      </c>
      <c r="AG869" s="6">
        <f>$O$869*$AA$869</f>
        <v>38.823050845559287</v>
      </c>
    </row>
    <row r="870" spans="1:33" ht="11.25" customHeight="1" x14ac:dyDescent="0.25">
      <c r="A870" s="4" t="s">
        <v>21</v>
      </c>
      <c r="B870" s="4" t="s">
        <v>41</v>
      </c>
      <c r="C870" s="4" t="s">
        <v>23</v>
      </c>
      <c r="D870" s="4" t="s">
        <v>42</v>
      </c>
      <c r="E870" s="4" t="s">
        <v>50</v>
      </c>
      <c r="F870" s="4" t="s">
        <v>51</v>
      </c>
      <c r="G870" s="4" t="s">
        <v>25</v>
      </c>
      <c r="H870" s="4" t="s">
        <v>25</v>
      </c>
      <c r="I870" s="5">
        <v>44440</v>
      </c>
      <c r="J870" s="6">
        <v>0</v>
      </c>
      <c r="K870" s="6">
        <v>0</v>
      </c>
      <c r="L870" s="6">
        <v>126.84</v>
      </c>
      <c r="M870" s="6">
        <v>50.735999999999997</v>
      </c>
      <c r="N870" s="6">
        <v>126.84</v>
      </c>
      <c r="O870" s="6">
        <v>50.735999999999997</v>
      </c>
      <c r="P870" s="6">
        <v>0</v>
      </c>
      <c r="Q870" s="4" t="s">
        <v>26</v>
      </c>
      <c r="R870" s="4">
        <v>0</v>
      </c>
      <c r="S870" s="6">
        <v>0</v>
      </c>
      <c r="T870" s="6">
        <v>40</v>
      </c>
      <c r="U870" s="6">
        <v>78</v>
      </c>
      <c r="V870" s="6">
        <f>IF(ISERROR(VLOOKUP($S$870,'TAR FIN'!$A$1:$O$93,15,0)),0,VLOOKUP($S$870,'TAR FIN'!$A$1:$O$93,15,0))</f>
        <v>0</v>
      </c>
      <c r="W870" s="6">
        <f>IF(ISERROR(VLOOKUP($T$870,'TAR FIN'!$A$1:$O$93,15,0)),0,VLOOKUP($T$870,'TAR FIN'!$A$1:$O$93,15,0))</f>
        <v>240.16</v>
      </c>
      <c r="X870" s="6">
        <f>IF(ISERROR(VLOOKUP($U$870,'TAR FIN'!$A$1:$O$93,15,0)),0,VLOOKUP($U$870,'TAR FIN'!$A$1:$O$93,15,0))</f>
        <v>162.96</v>
      </c>
      <c r="Y870" s="6"/>
      <c r="Z870" s="6">
        <f ca="1">('TUSD BE'!$AM$37+'TUSD BF'!$AM$37+'TUSD CVA'!$AM$37)*(1-CUSTOS!$M$38)</f>
        <v>274.6365589659128</v>
      </c>
      <c r="AA870" s="6">
        <f>('TE BE'!$AB$26+'TE BF'!$AB$26+'TE CVA'!$AB$26)*(1-CUSTOS!$M$38)</f>
        <v>186.29103092878736</v>
      </c>
      <c r="AB870" s="6">
        <f>$K$870*$V$870</f>
        <v>0</v>
      </c>
      <c r="AC870" s="6">
        <f>$M$870*$W$870</f>
        <v>12184.757759999999</v>
      </c>
      <c r="AD870" s="6">
        <f>$O$870*$X$870</f>
        <v>8267.9385600000005</v>
      </c>
      <c r="AE870" s="6">
        <f>$K$870*$Y$870</f>
        <v>0</v>
      </c>
      <c r="AF870" s="6">
        <f ca="1">$M$870*$Z$870</f>
        <v>13933.960455694551</v>
      </c>
      <c r="AG870" s="6">
        <f>$O$870*$AA$870</f>
        <v>9451.661745202955</v>
      </c>
    </row>
    <row r="871" spans="1:33" ht="11.25" customHeight="1" x14ac:dyDescent="0.25">
      <c r="A871" s="4" t="s">
        <v>27</v>
      </c>
      <c r="B871" s="4" t="s">
        <v>41</v>
      </c>
      <c r="C871" s="4" t="s">
        <v>23</v>
      </c>
      <c r="D871" s="4" t="s">
        <v>42</v>
      </c>
      <c r="E871" s="4" t="s">
        <v>50</v>
      </c>
      <c r="F871" s="4" t="s">
        <v>51</v>
      </c>
      <c r="G871" s="4" t="s">
        <v>25</v>
      </c>
      <c r="H871" s="4" t="s">
        <v>25</v>
      </c>
      <c r="I871" s="5">
        <v>44440</v>
      </c>
      <c r="J871" s="6">
        <v>0</v>
      </c>
      <c r="K871" s="6">
        <v>0</v>
      </c>
      <c r="L871" s="6">
        <v>-2.19</v>
      </c>
      <c r="M871" s="6">
        <v>-0.876</v>
      </c>
      <c r="N871" s="6">
        <v>-2.19</v>
      </c>
      <c r="O871" s="6">
        <v>-0.876</v>
      </c>
      <c r="P871" s="6">
        <v>0</v>
      </c>
      <c r="Q871" s="4" t="s">
        <v>26</v>
      </c>
      <c r="R871" s="4">
        <v>0</v>
      </c>
      <c r="S871" s="6">
        <v>0</v>
      </c>
      <c r="T871" s="6">
        <v>40</v>
      </c>
      <c r="U871" s="6">
        <v>78</v>
      </c>
      <c r="V871" s="6">
        <f>IF(ISERROR(VLOOKUP($S$871,'TAR FIN'!$A$1:$O$93,15,0)),0,VLOOKUP($S$871,'TAR FIN'!$A$1:$O$93,15,0))</f>
        <v>0</v>
      </c>
      <c r="W871" s="6">
        <f>IF(ISERROR(VLOOKUP($T$871,'TAR FIN'!$A$1:$O$93,15,0)),0,VLOOKUP($T$871,'TAR FIN'!$A$1:$O$93,15,0))</f>
        <v>240.16</v>
      </c>
      <c r="X871" s="6">
        <f>IF(ISERROR(VLOOKUP($U$871,'TAR FIN'!$A$1:$O$93,15,0)),0,VLOOKUP($U$871,'TAR FIN'!$A$1:$O$93,15,0))</f>
        <v>162.96</v>
      </c>
      <c r="Y871" s="6"/>
      <c r="Z871" s="6">
        <f ca="1">('TUSD BE'!$AM$37+'TUSD BF'!$AM$37+'TUSD CVA'!$AM$37)*(1-CUSTOS!$M$38)</f>
        <v>274.6365589659128</v>
      </c>
      <c r="AA871" s="6">
        <f>('TE BE'!$AB$26+'TE BF'!$AB$26+'TE CVA'!$AB$26)*(1-CUSTOS!$M$38)</f>
        <v>186.29103092878736</v>
      </c>
      <c r="AB871" s="6">
        <f>$K$871*$V$871</f>
        <v>0</v>
      </c>
      <c r="AC871" s="6">
        <f>$M$871*$W$871</f>
        <v>-210.38015999999999</v>
      </c>
      <c r="AD871" s="6">
        <f>$O$871*$X$871</f>
        <v>-142.75296</v>
      </c>
      <c r="AE871" s="6">
        <f>$K$871*$Y$871</f>
        <v>0</v>
      </c>
      <c r="AF871" s="6">
        <f ca="1">$M$871*$Z$871</f>
        <v>-240.5816256541396</v>
      </c>
      <c r="AG871" s="6">
        <f>$O$871*$AA$871</f>
        <v>-163.19094309361773</v>
      </c>
    </row>
    <row r="872" spans="1:33" ht="11.25" customHeight="1" x14ac:dyDescent="0.25">
      <c r="A872" s="4" t="s">
        <v>28</v>
      </c>
      <c r="B872" s="4" t="s">
        <v>41</v>
      </c>
      <c r="C872" s="4" t="s">
        <v>23</v>
      </c>
      <c r="D872" s="4" t="s">
        <v>42</v>
      </c>
      <c r="E872" s="4" t="s">
        <v>50</v>
      </c>
      <c r="F872" s="4" t="s">
        <v>51</v>
      </c>
      <c r="G872" s="4" t="s">
        <v>25</v>
      </c>
      <c r="H872" s="4" t="s">
        <v>25</v>
      </c>
      <c r="I872" s="5">
        <v>44440</v>
      </c>
      <c r="J872" s="6">
        <v>0</v>
      </c>
      <c r="K872" s="6">
        <v>0</v>
      </c>
      <c r="L872" s="6">
        <v>1.6890000000000001</v>
      </c>
      <c r="M872" s="6">
        <v>0.67559999999999998</v>
      </c>
      <c r="N872" s="6">
        <v>1.6890000000000001</v>
      </c>
      <c r="O872" s="6">
        <v>0.67559999999999998</v>
      </c>
      <c r="P872" s="6">
        <v>0</v>
      </c>
      <c r="Q872" s="4" t="s">
        <v>26</v>
      </c>
      <c r="R872" s="4">
        <v>0</v>
      </c>
      <c r="S872" s="6">
        <v>0</v>
      </c>
      <c r="T872" s="6">
        <v>40</v>
      </c>
      <c r="U872" s="6">
        <v>78</v>
      </c>
      <c r="V872" s="6">
        <f>IF(ISERROR(VLOOKUP($S$872,'TAR FIN'!$A$1:$O$93,15,0)),0,VLOOKUP($S$872,'TAR FIN'!$A$1:$O$93,15,0))</f>
        <v>0</v>
      </c>
      <c r="W872" s="6">
        <f>IF(ISERROR(VLOOKUP($T$872,'TAR FIN'!$A$1:$O$93,15,0)),0,VLOOKUP($T$872,'TAR FIN'!$A$1:$O$93,15,0))</f>
        <v>240.16</v>
      </c>
      <c r="X872" s="6">
        <f>IF(ISERROR(VLOOKUP($U$872,'TAR FIN'!$A$1:$O$93,15,0)),0,VLOOKUP($U$872,'TAR FIN'!$A$1:$O$93,15,0))</f>
        <v>162.96</v>
      </c>
      <c r="Y872" s="6"/>
      <c r="Z872" s="6">
        <f ca="1">('TUSD BE'!$AM$37+'TUSD BF'!$AM$37+'TUSD CVA'!$AM$37)*(1-CUSTOS!$M$38)</f>
        <v>274.6365589659128</v>
      </c>
      <c r="AA872" s="6">
        <f>('TE BE'!$AB$26+'TE BF'!$AB$26+'TE CVA'!$AB$26)*(1-CUSTOS!$M$38)</f>
        <v>186.29103092878736</v>
      </c>
      <c r="AB872" s="6">
        <f>$K$872*$V$872</f>
        <v>0</v>
      </c>
      <c r="AC872" s="6">
        <f>$M$872*$W$872</f>
        <v>162.25209599999999</v>
      </c>
      <c r="AD872" s="6">
        <f>$O$872*$X$872</f>
        <v>110.095776</v>
      </c>
      <c r="AE872" s="6">
        <f>$K$872*$Y$872</f>
        <v>0</v>
      </c>
      <c r="AF872" s="6">
        <f ca="1">$M$872*$Z$872</f>
        <v>185.54445923737069</v>
      </c>
      <c r="AG872" s="6">
        <f>$O$872*$AA$872</f>
        <v>125.85822049548874</v>
      </c>
    </row>
    <row r="873" spans="1:33" ht="11.25" customHeight="1" x14ac:dyDescent="0.25">
      <c r="A873" s="4" t="s">
        <v>21</v>
      </c>
      <c r="B873" s="4" t="s">
        <v>41</v>
      </c>
      <c r="C873" s="4" t="s">
        <v>23</v>
      </c>
      <c r="D873" s="4" t="s">
        <v>42</v>
      </c>
      <c r="E873" s="4" t="s">
        <v>50</v>
      </c>
      <c r="F873" s="4" t="s">
        <v>51</v>
      </c>
      <c r="G873" s="4" t="s">
        <v>25</v>
      </c>
      <c r="H873" s="4" t="s">
        <v>25</v>
      </c>
      <c r="I873" s="5">
        <v>44470</v>
      </c>
      <c r="J873" s="6">
        <v>0</v>
      </c>
      <c r="K873" s="6">
        <v>0</v>
      </c>
      <c r="L873" s="6">
        <v>84.653000000000006</v>
      </c>
      <c r="M873" s="6">
        <v>33.861199999999997</v>
      </c>
      <c r="N873" s="6">
        <v>84.653000000000006</v>
      </c>
      <c r="O873" s="6">
        <v>33.861199999999997</v>
      </c>
      <c r="P873" s="6">
        <v>0</v>
      </c>
      <c r="Q873" s="4" t="s">
        <v>26</v>
      </c>
      <c r="R873" s="4">
        <v>0</v>
      </c>
      <c r="S873" s="6">
        <v>0</v>
      </c>
      <c r="T873" s="6">
        <v>40</v>
      </c>
      <c r="U873" s="6">
        <v>78</v>
      </c>
      <c r="V873" s="6">
        <f>IF(ISERROR(VLOOKUP($S$873,'TAR FIN'!$A$1:$O$93,15,0)),0,VLOOKUP($S$873,'TAR FIN'!$A$1:$O$93,15,0))</f>
        <v>0</v>
      </c>
      <c r="W873" s="6">
        <f>IF(ISERROR(VLOOKUP($T$873,'TAR FIN'!$A$1:$O$93,15,0)),0,VLOOKUP($T$873,'TAR FIN'!$A$1:$O$93,15,0))</f>
        <v>240.16</v>
      </c>
      <c r="X873" s="6">
        <f>IF(ISERROR(VLOOKUP($U$873,'TAR FIN'!$A$1:$O$93,15,0)),0,VLOOKUP($U$873,'TAR FIN'!$A$1:$O$93,15,0))</f>
        <v>162.96</v>
      </c>
      <c r="Y873" s="6"/>
      <c r="Z873" s="6">
        <f ca="1">('TUSD BE'!$AM$37+'TUSD BF'!$AM$37+'TUSD CVA'!$AM$37)*(1-CUSTOS!$M$38)</f>
        <v>274.6365589659128</v>
      </c>
      <c r="AA873" s="6">
        <f>('TE BE'!$AB$26+'TE BF'!$AB$26+'TE CVA'!$AB$26)*(1-CUSTOS!$M$38)</f>
        <v>186.29103092878736</v>
      </c>
      <c r="AB873" s="6">
        <f>$K$873*$V$873</f>
        <v>0</v>
      </c>
      <c r="AC873" s="6">
        <f>$M$873*$W$873</f>
        <v>8132.1057919999994</v>
      </c>
      <c r="AD873" s="6">
        <f>$O$873*$X$873</f>
        <v>5518.0211519999993</v>
      </c>
      <c r="AE873" s="6">
        <f>$K$873*$Y$873</f>
        <v>0</v>
      </c>
      <c r="AF873" s="6">
        <f ca="1">$M$873*$Z$873</f>
        <v>9299.5234504565651</v>
      </c>
      <c r="AG873" s="6">
        <f>$O$873*$AA$873</f>
        <v>6308.0378564858538</v>
      </c>
    </row>
    <row r="874" spans="1:33" ht="11.25" customHeight="1" x14ac:dyDescent="0.25">
      <c r="A874" s="4" t="s">
        <v>27</v>
      </c>
      <c r="B874" s="4" t="s">
        <v>41</v>
      </c>
      <c r="C874" s="4" t="s">
        <v>23</v>
      </c>
      <c r="D874" s="4" t="s">
        <v>42</v>
      </c>
      <c r="E874" s="4" t="s">
        <v>50</v>
      </c>
      <c r="F874" s="4" t="s">
        <v>51</v>
      </c>
      <c r="G874" s="4" t="s">
        <v>25</v>
      </c>
      <c r="H874" s="4" t="s">
        <v>25</v>
      </c>
      <c r="I874" s="5">
        <v>44470</v>
      </c>
      <c r="J874" s="6">
        <v>0</v>
      </c>
      <c r="K874" s="6">
        <v>0</v>
      </c>
      <c r="L874" s="6">
        <v>-5.9939999999999998</v>
      </c>
      <c r="M874" s="6">
        <v>-2.3976000000000002</v>
      </c>
      <c r="N874" s="6">
        <v>-5.9939999999999998</v>
      </c>
      <c r="O874" s="6">
        <v>-2.3976000000000002</v>
      </c>
      <c r="P874" s="6">
        <v>0</v>
      </c>
      <c r="Q874" s="4" t="s">
        <v>26</v>
      </c>
      <c r="R874" s="4">
        <v>0</v>
      </c>
      <c r="S874" s="6">
        <v>0</v>
      </c>
      <c r="T874" s="6">
        <v>40</v>
      </c>
      <c r="U874" s="6">
        <v>78</v>
      </c>
      <c r="V874" s="6">
        <f>IF(ISERROR(VLOOKUP($S$874,'TAR FIN'!$A$1:$O$93,15,0)),0,VLOOKUP($S$874,'TAR FIN'!$A$1:$O$93,15,0))</f>
        <v>0</v>
      </c>
      <c r="W874" s="6">
        <f>IF(ISERROR(VLOOKUP($T$874,'TAR FIN'!$A$1:$O$93,15,0)),0,VLOOKUP($T$874,'TAR FIN'!$A$1:$O$93,15,0))</f>
        <v>240.16</v>
      </c>
      <c r="X874" s="6">
        <f>IF(ISERROR(VLOOKUP($U$874,'TAR FIN'!$A$1:$O$93,15,0)),0,VLOOKUP($U$874,'TAR FIN'!$A$1:$O$93,15,0))</f>
        <v>162.96</v>
      </c>
      <c r="Y874" s="6"/>
      <c r="Z874" s="6">
        <f ca="1">('TUSD BE'!$AM$37+'TUSD BF'!$AM$37+'TUSD CVA'!$AM$37)*(1-CUSTOS!$M$38)</f>
        <v>274.6365589659128</v>
      </c>
      <c r="AA874" s="6">
        <f>('TE BE'!$AB$26+'TE BF'!$AB$26+'TE CVA'!$AB$26)*(1-CUSTOS!$M$38)</f>
        <v>186.29103092878736</v>
      </c>
      <c r="AB874" s="6">
        <f>$K$874*$V$874</f>
        <v>0</v>
      </c>
      <c r="AC874" s="6">
        <f>$M$874*$W$874</f>
        <v>-575.80761600000005</v>
      </c>
      <c r="AD874" s="6">
        <f>$O$874*$X$874</f>
        <v>-390.71289600000006</v>
      </c>
      <c r="AE874" s="6">
        <f>$K$874*$Y$874</f>
        <v>0</v>
      </c>
      <c r="AF874" s="6">
        <f ca="1">$M$874*$Z$874</f>
        <v>-658.46861377667256</v>
      </c>
      <c r="AG874" s="6">
        <f>$O$874*$AA$874</f>
        <v>-446.65137575486062</v>
      </c>
    </row>
    <row r="875" spans="1:33" ht="11.25" customHeight="1" x14ac:dyDescent="0.25">
      <c r="A875" s="4" t="s">
        <v>28</v>
      </c>
      <c r="B875" s="4" t="s">
        <v>41</v>
      </c>
      <c r="C875" s="4" t="s">
        <v>23</v>
      </c>
      <c r="D875" s="4" t="s">
        <v>42</v>
      </c>
      <c r="E875" s="4" t="s">
        <v>50</v>
      </c>
      <c r="F875" s="4" t="s">
        <v>51</v>
      </c>
      <c r="G875" s="4" t="s">
        <v>25</v>
      </c>
      <c r="H875" s="4" t="s">
        <v>25</v>
      </c>
      <c r="I875" s="5">
        <v>44470</v>
      </c>
      <c r="J875" s="6">
        <v>0</v>
      </c>
      <c r="K875" s="6">
        <v>0</v>
      </c>
      <c r="L875" s="6">
        <v>4.5019999999999998</v>
      </c>
      <c r="M875" s="6">
        <v>1.8008</v>
      </c>
      <c r="N875" s="6">
        <v>4.5019999999999998</v>
      </c>
      <c r="O875" s="6">
        <v>1.8008</v>
      </c>
      <c r="P875" s="6">
        <v>0</v>
      </c>
      <c r="Q875" s="4" t="s">
        <v>26</v>
      </c>
      <c r="R875" s="4">
        <v>0</v>
      </c>
      <c r="S875" s="6">
        <v>0</v>
      </c>
      <c r="T875" s="6">
        <v>40</v>
      </c>
      <c r="U875" s="6">
        <v>78</v>
      </c>
      <c r="V875" s="6">
        <f>IF(ISERROR(VLOOKUP($S$875,'TAR FIN'!$A$1:$O$93,15,0)),0,VLOOKUP($S$875,'TAR FIN'!$A$1:$O$93,15,0))</f>
        <v>0</v>
      </c>
      <c r="W875" s="6">
        <f>IF(ISERROR(VLOOKUP($T$875,'TAR FIN'!$A$1:$O$93,15,0)),0,VLOOKUP($T$875,'TAR FIN'!$A$1:$O$93,15,0))</f>
        <v>240.16</v>
      </c>
      <c r="X875" s="6">
        <f>IF(ISERROR(VLOOKUP($U$875,'TAR FIN'!$A$1:$O$93,15,0)),0,VLOOKUP($U$875,'TAR FIN'!$A$1:$O$93,15,0))</f>
        <v>162.96</v>
      </c>
      <c r="Y875" s="6"/>
      <c r="Z875" s="6">
        <f ca="1">('TUSD BE'!$AM$37+'TUSD BF'!$AM$37+'TUSD CVA'!$AM$37)*(1-CUSTOS!$M$38)</f>
        <v>274.6365589659128</v>
      </c>
      <c r="AA875" s="6">
        <f>('TE BE'!$AB$26+'TE BF'!$AB$26+'TE CVA'!$AB$26)*(1-CUSTOS!$M$38)</f>
        <v>186.29103092878736</v>
      </c>
      <c r="AB875" s="6">
        <f>$K$875*$V$875</f>
        <v>0</v>
      </c>
      <c r="AC875" s="6">
        <f>$M$875*$W$875</f>
        <v>432.48012799999998</v>
      </c>
      <c r="AD875" s="6">
        <f>$O$875*$X$875</f>
        <v>293.45836800000001</v>
      </c>
      <c r="AE875" s="6">
        <f>$K$875*$Y$875</f>
        <v>0</v>
      </c>
      <c r="AF875" s="6">
        <f ca="1">$M$875*$Z$875</f>
        <v>494.56551538581573</v>
      </c>
      <c r="AG875" s="6">
        <f>$O$875*$AA$875</f>
        <v>335.4728884965603</v>
      </c>
    </row>
    <row r="876" spans="1:33" ht="11.25" customHeight="1" x14ac:dyDescent="0.25">
      <c r="A876" s="4" t="s">
        <v>21</v>
      </c>
      <c r="B876" s="4" t="s">
        <v>41</v>
      </c>
      <c r="C876" s="4" t="s">
        <v>23</v>
      </c>
      <c r="D876" s="4" t="s">
        <v>42</v>
      </c>
      <c r="E876" s="4" t="s">
        <v>50</v>
      </c>
      <c r="F876" s="4" t="s">
        <v>51</v>
      </c>
      <c r="G876" s="4" t="s">
        <v>25</v>
      </c>
      <c r="H876" s="4" t="s">
        <v>25</v>
      </c>
      <c r="I876" s="5">
        <v>44501</v>
      </c>
      <c r="J876" s="6">
        <v>0</v>
      </c>
      <c r="K876" s="6">
        <v>0</v>
      </c>
      <c r="L876" s="6">
        <v>183.863</v>
      </c>
      <c r="M876" s="6">
        <v>73.545199999999994</v>
      </c>
      <c r="N876" s="6">
        <v>183.863</v>
      </c>
      <c r="O876" s="6">
        <v>73.545199999999994</v>
      </c>
      <c r="P876" s="6">
        <v>0</v>
      </c>
      <c r="Q876" s="4" t="s">
        <v>26</v>
      </c>
      <c r="R876" s="4">
        <v>0</v>
      </c>
      <c r="S876" s="6">
        <v>0</v>
      </c>
      <c r="T876" s="6">
        <v>40</v>
      </c>
      <c r="U876" s="6">
        <v>78</v>
      </c>
      <c r="V876" s="6">
        <f>IF(ISERROR(VLOOKUP($S$876,'TAR FIN'!$A$1:$O$93,15,0)),0,VLOOKUP($S$876,'TAR FIN'!$A$1:$O$93,15,0))</f>
        <v>0</v>
      </c>
      <c r="W876" s="6">
        <f>IF(ISERROR(VLOOKUP($T$876,'TAR FIN'!$A$1:$O$93,15,0)),0,VLOOKUP($T$876,'TAR FIN'!$A$1:$O$93,15,0))</f>
        <v>240.16</v>
      </c>
      <c r="X876" s="6">
        <f>IF(ISERROR(VLOOKUP($U$876,'TAR FIN'!$A$1:$O$93,15,0)),0,VLOOKUP($U$876,'TAR FIN'!$A$1:$O$93,15,0))</f>
        <v>162.96</v>
      </c>
      <c r="Y876" s="6"/>
      <c r="Z876" s="6">
        <f ca="1">('TUSD BE'!$AM$37+'TUSD BF'!$AM$37+'TUSD CVA'!$AM$37)*(1-CUSTOS!$M$38)</f>
        <v>274.6365589659128</v>
      </c>
      <c r="AA876" s="6">
        <f>('TE BE'!$AB$26+'TE BF'!$AB$26+'TE CVA'!$AB$26)*(1-CUSTOS!$M$38)</f>
        <v>186.29103092878736</v>
      </c>
      <c r="AB876" s="6">
        <f>$K$876*$V$876</f>
        <v>0</v>
      </c>
      <c r="AC876" s="6">
        <f>$M$876*$W$876</f>
        <v>17662.615232</v>
      </c>
      <c r="AD876" s="6">
        <f>$O$876*$X$876</f>
        <v>11984.925792</v>
      </c>
      <c r="AE876" s="6">
        <f>$K$876*$Y$876</f>
        <v>0</v>
      </c>
      <c r="AF876" s="6">
        <f ca="1">$M$876*$Z$876</f>
        <v>20198.200656459849</v>
      </c>
      <c r="AG876" s="6">
        <f>$O$876*$AA$876</f>
        <v>13700.811127863852</v>
      </c>
    </row>
    <row r="877" spans="1:33" ht="11.25" customHeight="1" x14ac:dyDescent="0.25">
      <c r="A877" s="4" t="s">
        <v>28</v>
      </c>
      <c r="B877" s="4" t="s">
        <v>41</v>
      </c>
      <c r="C877" s="4" t="s">
        <v>23</v>
      </c>
      <c r="D877" s="4" t="s">
        <v>42</v>
      </c>
      <c r="E877" s="4" t="s">
        <v>50</v>
      </c>
      <c r="F877" s="4" t="s">
        <v>51</v>
      </c>
      <c r="G877" s="4" t="s">
        <v>25</v>
      </c>
      <c r="H877" s="4" t="s">
        <v>25</v>
      </c>
      <c r="I877" s="5">
        <v>44501</v>
      </c>
      <c r="J877" s="6">
        <v>0</v>
      </c>
      <c r="K877" s="6">
        <v>0</v>
      </c>
      <c r="L877" s="6">
        <v>4.9530000000000003</v>
      </c>
      <c r="M877" s="6">
        <v>1.9812000000000001</v>
      </c>
      <c r="N877" s="6">
        <v>4.9530000000000003</v>
      </c>
      <c r="O877" s="6">
        <v>1.9812000000000001</v>
      </c>
      <c r="P877" s="6">
        <v>0</v>
      </c>
      <c r="Q877" s="4" t="s">
        <v>26</v>
      </c>
      <c r="R877" s="4">
        <v>0</v>
      </c>
      <c r="S877" s="6">
        <v>0</v>
      </c>
      <c r="T877" s="6">
        <v>40</v>
      </c>
      <c r="U877" s="6">
        <v>78</v>
      </c>
      <c r="V877" s="6">
        <f>IF(ISERROR(VLOOKUP($S$877,'TAR FIN'!$A$1:$O$93,15,0)),0,VLOOKUP($S$877,'TAR FIN'!$A$1:$O$93,15,0))</f>
        <v>0</v>
      </c>
      <c r="W877" s="6">
        <f>IF(ISERROR(VLOOKUP($T$877,'TAR FIN'!$A$1:$O$93,15,0)),0,VLOOKUP($T$877,'TAR FIN'!$A$1:$O$93,15,0))</f>
        <v>240.16</v>
      </c>
      <c r="X877" s="6">
        <f>IF(ISERROR(VLOOKUP($U$877,'TAR FIN'!$A$1:$O$93,15,0)),0,VLOOKUP($U$877,'TAR FIN'!$A$1:$O$93,15,0))</f>
        <v>162.96</v>
      </c>
      <c r="Y877" s="6"/>
      <c r="Z877" s="6">
        <f ca="1">('TUSD BE'!$AM$37+'TUSD BF'!$AM$37+'TUSD CVA'!$AM$37)*(1-CUSTOS!$M$38)</f>
        <v>274.6365589659128</v>
      </c>
      <c r="AA877" s="6">
        <f>('TE BE'!$AB$26+'TE BF'!$AB$26+'TE CVA'!$AB$26)*(1-CUSTOS!$M$38)</f>
        <v>186.29103092878736</v>
      </c>
      <c r="AB877" s="6">
        <f>$K$877*$V$877</f>
        <v>0</v>
      </c>
      <c r="AC877" s="6">
        <f>$M$877*$W$877</f>
        <v>475.80499200000003</v>
      </c>
      <c r="AD877" s="6">
        <f>$O$877*$X$877</f>
        <v>322.85635200000002</v>
      </c>
      <c r="AE877" s="6">
        <f>$K$877*$Y$877</f>
        <v>0</v>
      </c>
      <c r="AF877" s="6">
        <f ca="1">$M$877*$Z$877</f>
        <v>544.1099506232664</v>
      </c>
      <c r="AG877" s="6">
        <f>$O$877*$AA$877</f>
        <v>369.07979047611354</v>
      </c>
    </row>
    <row r="878" spans="1:33" ht="11.25" customHeight="1" x14ac:dyDescent="0.25">
      <c r="A878" s="4" t="s">
        <v>21</v>
      </c>
      <c r="B878" s="4" t="s">
        <v>41</v>
      </c>
      <c r="C878" s="4" t="s">
        <v>23</v>
      </c>
      <c r="D878" s="4" t="s">
        <v>42</v>
      </c>
      <c r="E878" s="4" t="s">
        <v>50</v>
      </c>
      <c r="F878" s="4" t="s">
        <v>51</v>
      </c>
      <c r="G878" s="4" t="s">
        <v>25</v>
      </c>
      <c r="H878" s="4" t="s">
        <v>25</v>
      </c>
      <c r="I878" s="5">
        <v>44531</v>
      </c>
      <c r="J878" s="6">
        <v>0</v>
      </c>
      <c r="K878" s="6">
        <v>0</v>
      </c>
      <c r="L878" s="6">
        <v>957.06500000000005</v>
      </c>
      <c r="M878" s="6">
        <v>382.82600000000002</v>
      </c>
      <c r="N878" s="6">
        <v>957.06500000000005</v>
      </c>
      <c r="O878" s="6">
        <v>382.82600000000002</v>
      </c>
      <c r="P878" s="6">
        <v>0</v>
      </c>
      <c r="Q878" s="4" t="s">
        <v>26</v>
      </c>
      <c r="R878" s="4">
        <v>0</v>
      </c>
      <c r="S878" s="6">
        <v>0</v>
      </c>
      <c r="T878" s="6">
        <v>40</v>
      </c>
      <c r="U878" s="6">
        <v>78</v>
      </c>
      <c r="V878" s="6">
        <f>IF(ISERROR(VLOOKUP($S$878,'TAR FIN'!$A$1:$O$93,15,0)),0,VLOOKUP($S$878,'TAR FIN'!$A$1:$O$93,15,0))</f>
        <v>0</v>
      </c>
      <c r="W878" s="6">
        <f>IF(ISERROR(VLOOKUP($T$878,'TAR FIN'!$A$1:$O$93,15,0)),0,VLOOKUP($T$878,'TAR FIN'!$A$1:$O$93,15,0))</f>
        <v>240.16</v>
      </c>
      <c r="X878" s="6">
        <f>IF(ISERROR(VLOOKUP($U$878,'TAR FIN'!$A$1:$O$93,15,0)),0,VLOOKUP($U$878,'TAR FIN'!$A$1:$O$93,15,0))</f>
        <v>162.96</v>
      </c>
      <c r="Y878" s="6"/>
      <c r="Z878" s="6">
        <f ca="1">('TUSD BE'!$AM$37+'TUSD BF'!$AM$37+'TUSD CVA'!$AM$37)*(1-CUSTOS!$M$38)</f>
        <v>274.6365589659128</v>
      </c>
      <c r="AA878" s="6">
        <f>('TE BE'!$AB$26+'TE BF'!$AB$26+'TE CVA'!$AB$26)*(1-CUSTOS!$M$38)</f>
        <v>186.29103092878736</v>
      </c>
      <c r="AB878" s="6">
        <f>$K$878*$V$878</f>
        <v>0</v>
      </c>
      <c r="AC878" s="6">
        <f>$M$878*$W$878</f>
        <v>91939.492160000009</v>
      </c>
      <c r="AD878" s="6">
        <f>$O$878*$X$878</f>
        <v>62385.324960000005</v>
      </c>
      <c r="AE878" s="6">
        <f>$K$878*$Y$878</f>
        <v>0</v>
      </c>
      <c r="AF878" s="6">
        <f ca="1">$M$878*$Z$878</f>
        <v>105138.01532268454</v>
      </c>
      <c r="AG878" s="6">
        <f>$O$878*$AA$878</f>
        <v>71317.050206343949</v>
      </c>
    </row>
    <row r="879" spans="1:33" ht="11.25" customHeight="1" x14ac:dyDescent="0.25">
      <c r="A879" s="4" t="s">
        <v>27</v>
      </c>
      <c r="B879" s="4" t="s">
        <v>41</v>
      </c>
      <c r="C879" s="4" t="s">
        <v>23</v>
      </c>
      <c r="D879" s="4" t="s">
        <v>42</v>
      </c>
      <c r="E879" s="4" t="s">
        <v>50</v>
      </c>
      <c r="F879" s="4" t="s">
        <v>51</v>
      </c>
      <c r="G879" s="4" t="s">
        <v>25</v>
      </c>
      <c r="H879" s="4" t="s">
        <v>25</v>
      </c>
      <c r="I879" s="5">
        <v>44531</v>
      </c>
      <c r="J879" s="6">
        <v>0</v>
      </c>
      <c r="K879" s="6">
        <v>0</v>
      </c>
      <c r="L879" s="6">
        <v>-75.600999999999999</v>
      </c>
      <c r="M879" s="6">
        <v>-30.240400000000001</v>
      </c>
      <c r="N879" s="6">
        <v>-75.600999999999999</v>
      </c>
      <c r="O879" s="6">
        <v>-30.240400000000001</v>
      </c>
      <c r="P879" s="6">
        <v>0</v>
      </c>
      <c r="Q879" s="4" t="s">
        <v>26</v>
      </c>
      <c r="R879" s="4">
        <v>0</v>
      </c>
      <c r="S879" s="6">
        <v>0</v>
      </c>
      <c r="T879" s="6">
        <v>40</v>
      </c>
      <c r="U879" s="6">
        <v>78</v>
      </c>
      <c r="V879" s="6">
        <f>IF(ISERROR(VLOOKUP($S$879,'TAR FIN'!$A$1:$O$93,15,0)),0,VLOOKUP($S$879,'TAR FIN'!$A$1:$O$93,15,0))</f>
        <v>0</v>
      </c>
      <c r="W879" s="6">
        <f>IF(ISERROR(VLOOKUP($T$879,'TAR FIN'!$A$1:$O$93,15,0)),0,VLOOKUP($T$879,'TAR FIN'!$A$1:$O$93,15,0))</f>
        <v>240.16</v>
      </c>
      <c r="X879" s="6">
        <f>IF(ISERROR(VLOOKUP($U$879,'TAR FIN'!$A$1:$O$93,15,0)),0,VLOOKUP($U$879,'TAR FIN'!$A$1:$O$93,15,0))</f>
        <v>162.96</v>
      </c>
      <c r="Y879" s="6"/>
      <c r="Z879" s="6">
        <f ca="1">('TUSD BE'!$AM$37+'TUSD BF'!$AM$37+'TUSD CVA'!$AM$37)*(1-CUSTOS!$M$38)</f>
        <v>274.6365589659128</v>
      </c>
      <c r="AA879" s="6">
        <f>('TE BE'!$AB$26+'TE BF'!$AB$26+'TE CVA'!$AB$26)*(1-CUSTOS!$M$38)</f>
        <v>186.29103092878736</v>
      </c>
      <c r="AB879" s="6">
        <f>$K$879*$V$879</f>
        <v>0</v>
      </c>
      <c r="AC879" s="6">
        <f>$M$879*$W$879</f>
        <v>-7262.5344640000003</v>
      </c>
      <c r="AD879" s="6">
        <f>$O$879*$X$879</f>
        <v>-4927.9755840000007</v>
      </c>
      <c r="AE879" s="6">
        <f>$K$879*$Y$879</f>
        <v>0</v>
      </c>
      <c r="AF879" s="6">
        <f ca="1">$M$879*$Z$879</f>
        <v>-8305.1193977527892</v>
      </c>
      <c r="AG879" s="6">
        <f>$O$879*$AA$879</f>
        <v>-5633.5152916989018</v>
      </c>
    </row>
    <row r="880" spans="1:33" ht="11.25" customHeight="1" x14ac:dyDescent="0.25">
      <c r="A880" s="4" t="s">
        <v>21</v>
      </c>
      <c r="B880" s="4" t="s">
        <v>41</v>
      </c>
      <c r="C880" s="4" t="s">
        <v>23</v>
      </c>
      <c r="D880" s="4" t="s">
        <v>42</v>
      </c>
      <c r="E880" s="4" t="s">
        <v>50</v>
      </c>
      <c r="F880" s="4" t="s">
        <v>51</v>
      </c>
      <c r="G880" s="4" t="s">
        <v>25</v>
      </c>
      <c r="H880" s="4" t="s">
        <v>25</v>
      </c>
      <c r="I880" s="5">
        <v>44562</v>
      </c>
      <c r="J880" s="6">
        <v>0</v>
      </c>
      <c r="K880" s="6">
        <v>0</v>
      </c>
      <c r="L880" s="6">
        <v>1113.9190000000001</v>
      </c>
      <c r="M880" s="6">
        <v>445.56760000000003</v>
      </c>
      <c r="N880" s="6">
        <v>1113.9190000000001</v>
      </c>
      <c r="O880" s="6">
        <v>445.56760000000003</v>
      </c>
      <c r="P880" s="6">
        <v>0</v>
      </c>
      <c r="Q880" s="4" t="s">
        <v>26</v>
      </c>
      <c r="R880" s="4">
        <v>0</v>
      </c>
      <c r="S880" s="6">
        <v>0</v>
      </c>
      <c r="T880" s="6">
        <v>40</v>
      </c>
      <c r="U880" s="6">
        <v>78</v>
      </c>
      <c r="V880" s="6">
        <f>IF(ISERROR(VLOOKUP($S$880,'TAR FIN'!$A$1:$O$93,15,0)),0,VLOOKUP($S$880,'TAR FIN'!$A$1:$O$93,15,0))</f>
        <v>0</v>
      </c>
      <c r="W880" s="6">
        <f>IF(ISERROR(VLOOKUP($T$880,'TAR FIN'!$A$1:$O$93,15,0)),0,VLOOKUP($T$880,'TAR FIN'!$A$1:$O$93,15,0))</f>
        <v>240.16</v>
      </c>
      <c r="X880" s="6">
        <f>IF(ISERROR(VLOOKUP($U$880,'TAR FIN'!$A$1:$O$93,15,0)),0,VLOOKUP($U$880,'TAR FIN'!$A$1:$O$93,15,0))</f>
        <v>162.96</v>
      </c>
      <c r="Y880" s="6"/>
      <c r="Z880" s="6">
        <f ca="1">('TUSD BE'!$AM$37+'TUSD BF'!$AM$37+'TUSD CVA'!$AM$37)*(1-CUSTOS!$M$38)</f>
        <v>274.6365589659128</v>
      </c>
      <c r="AA880" s="6">
        <f>('TE BE'!$AB$26+'TE BF'!$AB$26+'TE CVA'!$AB$26)*(1-CUSTOS!$M$38)</f>
        <v>186.29103092878736</v>
      </c>
      <c r="AB880" s="6">
        <f>$K$880*$V$880</f>
        <v>0</v>
      </c>
      <c r="AC880" s="6">
        <f>$M$880*$W$880</f>
        <v>107007.51481600001</v>
      </c>
      <c r="AD880" s="6">
        <f>$O$880*$X$880</f>
        <v>72609.696096000014</v>
      </c>
      <c r="AE880" s="6">
        <f>$K$880*$Y$880</f>
        <v>0</v>
      </c>
      <c r="AF880" s="6">
        <f ca="1">$M$880*$Z$880</f>
        <v>122369.15245070026</v>
      </c>
      <c r="AG880" s="6">
        <f>$O$880*$AA$880</f>
        <v>83005.24755246556</v>
      </c>
    </row>
    <row r="881" spans="1:33" ht="11.25" customHeight="1" x14ac:dyDescent="0.25">
      <c r="A881" s="4" t="s">
        <v>27</v>
      </c>
      <c r="B881" s="4" t="s">
        <v>41</v>
      </c>
      <c r="C881" s="4" t="s">
        <v>23</v>
      </c>
      <c r="D881" s="4" t="s">
        <v>42</v>
      </c>
      <c r="E881" s="4" t="s">
        <v>50</v>
      </c>
      <c r="F881" s="4" t="s">
        <v>51</v>
      </c>
      <c r="G881" s="4" t="s">
        <v>25</v>
      </c>
      <c r="H881" s="4" t="s">
        <v>25</v>
      </c>
      <c r="I881" s="5">
        <v>44562</v>
      </c>
      <c r="J881" s="6">
        <v>0</v>
      </c>
      <c r="K881" s="6">
        <v>0</v>
      </c>
      <c r="L881" s="6">
        <v>-8.4</v>
      </c>
      <c r="M881" s="6">
        <v>-3.36</v>
      </c>
      <c r="N881" s="6">
        <v>-8.4</v>
      </c>
      <c r="O881" s="6">
        <v>-3.36</v>
      </c>
      <c r="P881" s="6">
        <v>0</v>
      </c>
      <c r="Q881" s="4" t="s">
        <v>26</v>
      </c>
      <c r="R881" s="4">
        <v>0</v>
      </c>
      <c r="S881" s="6">
        <v>0</v>
      </c>
      <c r="T881" s="6">
        <v>40</v>
      </c>
      <c r="U881" s="6">
        <v>78</v>
      </c>
      <c r="V881" s="6">
        <f>IF(ISERROR(VLOOKUP($S$881,'TAR FIN'!$A$1:$O$93,15,0)),0,VLOOKUP($S$881,'TAR FIN'!$A$1:$O$93,15,0))</f>
        <v>0</v>
      </c>
      <c r="W881" s="6">
        <f>IF(ISERROR(VLOOKUP($T$881,'TAR FIN'!$A$1:$O$93,15,0)),0,VLOOKUP($T$881,'TAR FIN'!$A$1:$O$93,15,0))</f>
        <v>240.16</v>
      </c>
      <c r="X881" s="6">
        <f>IF(ISERROR(VLOOKUP($U$881,'TAR FIN'!$A$1:$O$93,15,0)),0,VLOOKUP($U$881,'TAR FIN'!$A$1:$O$93,15,0))</f>
        <v>162.96</v>
      </c>
      <c r="Y881" s="6"/>
      <c r="Z881" s="6">
        <f ca="1">('TUSD BE'!$AM$37+'TUSD BF'!$AM$37+'TUSD CVA'!$AM$37)*(1-CUSTOS!$M$38)</f>
        <v>274.6365589659128</v>
      </c>
      <c r="AA881" s="6">
        <f>('TE BE'!$AB$26+'TE BF'!$AB$26+'TE CVA'!$AB$26)*(1-CUSTOS!$M$38)</f>
        <v>186.29103092878736</v>
      </c>
      <c r="AB881" s="6">
        <f>$K$881*$V$881</f>
        <v>0</v>
      </c>
      <c r="AC881" s="6">
        <f>$M$881*$W$881</f>
        <v>-806.93759999999997</v>
      </c>
      <c r="AD881" s="6">
        <f>$O$881*$X$881</f>
        <v>-547.54560000000004</v>
      </c>
      <c r="AE881" s="6">
        <f>$K$881*$Y$881</f>
        <v>0</v>
      </c>
      <c r="AF881" s="6">
        <f ca="1">$M$881*$Z$881</f>
        <v>-922.77883812546702</v>
      </c>
      <c r="AG881" s="6">
        <f>$O$881*$AA$881</f>
        <v>-625.93786392072548</v>
      </c>
    </row>
    <row r="882" spans="1:33" ht="11.25" customHeight="1" x14ac:dyDescent="0.25">
      <c r="A882" s="4" t="s">
        <v>28</v>
      </c>
      <c r="B882" s="4" t="s">
        <v>41</v>
      </c>
      <c r="C882" s="4" t="s">
        <v>23</v>
      </c>
      <c r="D882" s="4" t="s">
        <v>42</v>
      </c>
      <c r="E882" s="4" t="s">
        <v>50</v>
      </c>
      <c r="F882" s="4" t="s">
        <v>51</v>
      </c>
      <c r="G882" s="4" t="s">
        <v>25</v>
      </c>
      <c r="H882" s="4" t="s">
        <v>25</v>
      </c>
      <c r="I882" s="5">
        <v>44562</v>
      </c>
      <c r="J882" s="6">
        <v>0</v>
      </c>
      <c r="K882" s="6">
        <v>0</v>
      </c>
      <c r="L882" s="6">
        <v>59.715000000000003</v>
      </c>
      <c r="M882" s="6">
        <v>23.885999999999999</v>
      </c>
      <c r="N882" s="6">
        <v>59.715000000000003</v>
      </c>
      <c r="O882" s="6">
        <v>23.885999999999999</v>
      </c>
      <c r="P882" s="6">
        <v>0</v>
      </c>
      <c r="Q882" s="4" t="s">
        <v>26</v>
      </c>
      <c r="R882" s="4">
        <v>0</v>
      </c>
      <c r="S882" s="6">
        <v>0</v>
      </c>
      <c r="T882" s="6">
        <v>40</v>
      </c>
      <c r="U882" s="6">
        <v>78</v>
      </c>
      <c r="V882" s="6">
        <f>IF(ISERROR(VLOOKUP($S$882,'TAR FIN'!$A$1:$O$93,15,0)),0,VLOOKUP($S$882,'TAR FIN'!$A$1:$O$93,15,0))</f>
        <v>0</v>
      </c>
      <c r="W882" s="6">
        <f>IF(ISERROR(VLOOKUP($T$882,'TAR FIN'!$A$1:$O$93,15,0)),0,VLOOKUP($T$882,'TAR FIN'!$A$1:$O$93,15,0))</f>
        <v>240.16</v>
      </c>
      <c r="X882" s="6">
        <f>IF(ISERROR(VLOOKUP($U$882,'TAR FIN'!$A$1:$O$93,15,0)),0,VLOOKUP($U$882,'TAR FIN'!$A$1:$O$93,15,0))</f>
        <v>162.96</v>
      </c>
      <c r="Y882" s="6"/>
      <c r="Z882" s="6">
        <f ca="1">('TUSD BE'!$AM$37+'TUSD BF'!$AM$37+'TUSD CVA'!$AM$37)*(1-CUSTOS!$M$38)</f>
        <v>274.6365589659128</v>
      </c>
      <c r="AA882" s="6">
        <f>('TE BE'!$AB$26+'TE BF'!$AB$26+'TE CVA'!$AB$26)*(1-CUSTOS!$M$38)</f>
        <v>186.29103092878736</v>
      </c>
      <c r="AB882" s="6">
        <f>$K$882*$V$882</f>
        <v>0</v>
      </c>
      <c r="AC882" s="6">
        <f>$M$882*$W$882</f>
        <v>5736.4617600000001</v>
      </c>
      <c r="AD882" s="6">
        <f>$O$882*$X$882</f>
        <v>3892.4625599999999</v>
      </c>
      <c r="AE882" s="6">
        <f>$K$882*$Y$882</f>
        <v>0</v>
      </c>
      <c r="AF882" s="6">
        <f ca="1">$M$882*$Z$882</f>
        <v>6559.9688474597933</v>
      </c>
      <c r="AG882" s="6">
        <f>$O$882*$AA$882</f>
        <v>4449.7475647650144</v>
      </c>
    </row>
    <row r="883" spans="1:33" ht="11.25" customHeight="1" x14ac:dyDescent="0.25">
      <c r="A883" s="4" t="s">
        <v>21</v>
      </c>
      <c r="B883" s="4" t="s">
        <v>41</v>
      </c>
      <c r="C883" s="4" t="s">
        <v>23</v>
      </c>
      <c r="D883" s="4" t="s">
        <v>42</v>
      </c>
      <c r="E883" s="4" t="s">
        <v>50</v>
      </c>
      <c r="F883" s="4" t="s">
        <v>51</v>
      </c>
      <c r="G883" s="4" t="s">
        <v>25</v>
      </c>
      <c r="H883" s="4" t="s">
        <v>25</v>
      </c>
      <c r="I883" s="5">
        <v>44593</v>
      </c>
      <c r="J883" s="6">
        <v>0</v>
      </c>
      <c r="K883" s="6">
        <v>0</v>
      </c>
      <c r="L883" s="6">
        <v>797.46600000000001</v>
      </c>
      <c r="M883" s="6">
        <v>318.9864</v>
      </c>
      <c r="N883" s="6">
        <v>797.46600000000001</v>
      </c>
      <c r="O883" s="6">
        <v>318.9864</v>
      </c>
      <c r="P883" s="6">
        <v>0</v>
      </c>
      <c r="Q883" s="4" t="s">
        <v>26</v>
      </c>
      <c r="R883" s="4">
        <v>0</v>
      </c>
      <c r="S883" s="6">
        <v>0</v>
      </c>
      <c r="T883" s="6">
        <v>40</v>
      </c>
      <c r="U883" s="6">
        <v>78</v>
      </c>
      <c r="V883" s="6">
        <f>IF(ISERROR(VLOOKUP($S$883,'TAR FIN'!$A$1:$O$93,15,0)),0,VLOOKUP($S$883,'TAR FIN'!$A$1:$O$93,15,0))</f>
        <v>0</v>
      </c>
      <c r="W883" s="6">
        <f>IF(ISERROR(VLOOKUP($T$883,'TAR FIN'!$A$1:$O$93,15,0)),0,VLOOKUP($T$883,'TAR FIN'!$A$1:$O$93,15,0))</f>
        <v>240.16</v>
      </c>
      <c r="X883" s="6">
        <f>IF(ISERROR(VLOOKUP($U$883,'TAR FIN'!$A$1:$O$93,15,0)),0,VLOOKUP($U$883,'TAR FIN'!$A$1:$O$93,15,0))</f>
        <v>162.96</v>
      </c>
      <c r="Y883" s="6"/>
      <c r="Z883" s="6">
        <f ca="1">('TUSD BE'!$AM$37+'TUSD BF'!$AM$37+'TUSD CVA'!$AM$37)*(1-CUSTOS!$M$38)</f>
        <v>274.6365589659128</v>
      </c>
      <c r="AA883" s="6">
        <f>('TE BE'!$AB$26+'TE BF'!$AB$26+'TE CVA'!$AB$26)*(1-CUSTOS!$M$38)</f>
        <v>186.29103092878736</v>
      </c>
      <c r="AB883" s="6">
        <f>$K$883*$V$883</f>
        <v>0</v>
      </c>
      <c r="AC883" s="6">
        <f>$M$883*$W$883</f>
        <v>76607.773824000004</v>
      </c>
      <c r="AD883" s="6">
        <f>$O$883*$X$883</f>
        <v>51982.023744000006</v>
      </c>
      <c r="AE883" s="6">
        <f>$K$883*$Y$883</f>
        <v>0</v>
      </c>
      <c r="AF883" s="6">
        <f ca="1">$M$883*$Z$883</f>
        <v>87605.327252924253</v>
      </c>
      <c r="AG883" s="6">
        <f>$O$883*$AA$883</f>
        <v>59424.305308262541</v>
      </c>
    </row>
    <row r="884" spans="1:33" ht="11.25" customHeight="1" x14ac:dyDescent="0.25">
      <c r="A884" s="4" t="s">
        <v>27</v>
      </c>
      <c r="B884" s="4" t="s">
        <v>41</v>
      </c>
      <c r="C884" s="4" t="s">
        <v>23</v>
      </c>
      <c r="D884" s="4" t="s">
        <v>42</v>
      </c>
      <c r="E884" s="4" t="s">
        <v>50</v>
      </c>
      <c r="F884" s="4" t="s">
        <v>51</v>
      </c>
      <c r="G884" s="4" t="s">
        <v>25</v>
      </c>
      <c r="H884" s="4" t="s">
        <v>25</v>
      </c>
      <c r="I884" s="5">
        <v>44593</v>
      </c>
      <c r="J884" s="6">
        <v>0</v>
      </c>
      <c r="K884" s="6">
        <v>0</v>
      </c>
      <c r="L884" s="6">
        <v>-16.84</v>
      </c>
      <c r="M884" s="6">
        <v>-6.7359999999999998</v>
      </c>
      <c r="N884" s="6">
        <v>-16.84</v>
      </c>
      <c r="O884" s="6">
        <v>-6.7359999999999998</v>
      </c>
      <c r="P884" s="6">
        <v>0</v>
      </c>
      <c r="Q884" s="4" t="s">
        <v>26</v>
      </c>
      <c r="R884" s="4">
        <v>0</v>
      </c>
      <c r="S884" s="6">
        <v>0</v>
      </c>
      <c r="T884" s="6">
        <v>40</v>
      </c>
      <c r="U884" s="6">
        <v>78</v>
      </c>
      <c r="V884" s="6">
        <f>IF(ISERROR(VLOOKUP($S$884,'TAR FIN'!$A$1:$O$93,15,0)),0,VLOOKUP($S$884,'TAR FIN'!$A$1:$O$93,15,0))</f>
        <v>0</v>
      </c>
      <c r="W884" s="6">
        <f>IF(ISERROR(VLOOKUP($T$884,'TAR FIN'!$A$1:$O$93,15,0)),0,VLOOKUP($T$884,'TAR FIN'!$A$1:$O$93,15,0))</f>
        <v>240.16</v>
      </c>
      <c r="X884" s="6">
        <f>IF(ISERROR(VLOOKUP($U$884,'TAR FIN'!$A$1:$O$93,15,0)),0,VLOOKUP($U$884,'TAR FIN'!$A$1:$O$93,15,0))</f>
        <v>162.96</v>
      </c>
      <c r="Y884" s="6"/>
      <c r="Z884" s="6">
        <f ca="1">('TUSD BE'!$AM$37+'TUSD BF'!$AM$37+'TUSD CVA'!$AM$37)*(1-CUSTOS!$M$38)</f>
        <v>274.6365589659128</v>
      </c>
      <c r="AA884" s="6">
        <f>('TE BE'!$AB$26+'TE BF'!$AB$26+'TE CVA'!$AB$26)*(1-CUSTOS!$M$38)</f>
        <v>186.29103092878736</v>
      </c>
      <c r="AB884" s="6">
        <f>$K$884*$V$884</f>
        <v>0</v>
      </c>
      <c r="AC884" s="6">
        <f>$M$884*$W$884</f>
        <v>-1617.71776</v>
      </c>
      <c r="AD884" s="6">
        <f>$O$884*$X$884</f>
        <v>-1097.69856</v>
      </c>
      <c r="AE884" s="6">
        <f>$K$884*$Y$884</f>
        <v>0</v>
      </c>
      <c r="AF884" s="6">
        <f ca="1">$M$884*$Z$884</f>
        <v>-1849.9518611943886</v>
      </c>
      <c r="AG884" s="6">
        <f>$O$884*$AA$884</f>
        <v>-1254.8563843363117</v>
      </c>
    </row>
    <row r="885" spans="1:33" ht="11.25" customHeight="1" x14ac:dyDescent="0.25">
      <c r="A885" s="4" t="s">
        <v>28</v>
      </c>
      <c r="B885" s="4" t="s">
        <v>41</v>
      </c>
      <c r="C885" s="4" t="s">
        <v>23</v>
      </c>
      <c r="D885" s="4" t="s">
        <v>42</v>
      </c>
      <c r="E885" s="4" t="s">
        <v>50</v>
      </c>
      <c r="F885" s="4" t="s">
        <v>51</v>
      </c>
      <c r="G885" s="4" t="s">
        <v>25</v>
      </c>
      <c r="H885" s="4" t="s">
        <v>25</v>
      </c>
      <c r="I885" s="5">
        <v>44593</v>
      </c>
      <c r="J885" s="6">
        <v>0</v>
      </c>
      <c r="K885" s="6">
        <v>0</v>
      </c>
      <c r="L885" s="6">
        <v>40.540999999999997</v>
      </c>
      <c r="M885" s="6">
        <v>16.2164</v>
      </c>
      <c r="N885" s="6">
        <v>40.540999999999997</v>
      </c>
      <c r="O885" s="6">
        <v>16.2164</v>
      </c>
      <c r="P885" s="6">
        <v>0</v>
      </c>
      <c r="Q885" s="4" t="s">
        <v>26</v>
      </c>
      <c r="R885" s="4">
        <v>0</v>
      </c>
      <c r="S885" s="6">
        <v>0</v>
      </c>
      <c r="T885" s="6">
        <v>40</v>
      </c>
      <c r="U885" s="6">
        <v>78</v>
      </c>
      <c r="V885" s="6">
        <f>IF(ISERROR(VLOOKUP($S$885,'TAR FIN'!$A$1:$O$93,15,0)),0,VLOOKUP($S$885,'TAR FIN'!$A$1:$O$93,15,0))</f>
        <v>0</v>
      </c>
      <c r="W885" s="6">
        <f>IF(ISERROR(VLOOKUP($T$885,'TAR FIN'!$A$1:$O$93,15,0)),0,VLOOKUP($T$885,'TAR FIN'!$A$1:$O$93,15,0))</f>
        <v>240.16</v>
      </c>
      <c r="X885" s="6">
        <f>IF(ISERROR(VLOOKUP($U$885,'TAR FIN'!$A$1:$O$93,15,0)),0,VLOOKUP($U$885,'TAR FIN'!$A$1:$O$93,15,0))</f>
        <v>162.96</v>
      </c>
      <c r="Y885" s="6"/>
      <c r="Z885" s="6">
        <f ca="1">('TUSD BE'!$AM$37+'TUSD BF'!$AM$37+'TUSD CVA'!$AM$37)*(1-CUSTOS!$M$38)</f>
        <v>274.6365589659128</v>
      </c>
      <c r="AA885" s="6">
        <f>('TE BE'!$AB$26+'TE BF'!$AB$26+'TE CVA'!$AB$26)*(1-CUSTOS!$M$38)</f>
        <v>186.29103092878736</v>
      </c>
      <c r="AB885" s="6">
        <f>$K$885*$V$885</f>
        <v>0</v>
      </c>
      <c r="AC885" s="6">
        <f>$M$885*$W$885</f>
        <v>3894.530624</v>
      </c>
      <c r="AD885" s="6">
        <f>$O$885*$X$885</f>
        <v>2642.6245440000002</v>
      </c>
      <c r="AE885" s="6">
        <f>$K$885*$Y$885</f>
        <v>0</v>
      </c>
      <c r="AF885" s="6">
        <f ca="1">$M$885*$Z$885</f>
        <v>4453.6162948148285</v>
      </c>
      <c r="AG885" s="6">
        <f>$O$885*$AA$885</f>
        <v>3020.9698739535875</v>
      </c>
    </row>
    <row r="886" spans="1:33" ht="11.25" customHeight="1" x14ac:dyDescent="0.25">
      <c r="A886" s="4" t="s">
        <v>21</v>
      </c>
      <c r="B886" s="4" t="s">
        <v>41</v>
      </c>
      <c r="C886" s="4" t="s">
        <v>23</v>
      </c>
      <c r="D886" s="4" t="s">
        <v>42</v>
      </c>
      <c r="E886" s="4" t="s">
        <v>50</v>
      </c>
      <c r="F886" s="4" t="s">
        <v>51</v>
      </c>
      <c r="G886" s="4" t="s">
        <v>25</v>
      </c>
      <c r="H886" s="4" t="s">
        <v>25</v>
      </c>
      <c r="I886" s="5">
        <v>44621</v>
      </c>
      <c r="J886" s="6">
        <v>0</v>
      </c>
      <c r="K886" s="6">
        <v>0</v>
      </c>
      <c r="L886" s="6">
        <v>557.976</v>
      </c>
      <c r="M886" s="6">
        <v>223.19040000000001</v>
      </c>
      <c r="N886" s="6">
        <v>557.976</v>
      </c>
      <c r="O886" s="6">
        <v>223.19040000000001</v>
      </c>
      <c r="P886" s="6">
        <v>0</v>
      </c>
      <c r="Q886" s="4" t="s">
        <v>26</v>
      </c>
      <c r="R886" s="4">
        <v>0</v>
      </c>
      <c r="S886" s="6">
        <v>0</v>
      </c>
      <c r="T886" s="6">
        <v>40</v>
      </c>
      <c r="U886" s="6">
        <v>78</v>
      </c>
      <c r="V886" s="6">
        <f>IF(ISERROR(VLOOKUP($S$886,'TAR FIN'!$A$1:$O$93,15,0)),0,VLOOKUP($S$886,'TAR FIN'!$A$1:$O$93,15,0))</f>
        <v>0</v>
      </c>
      <c r="W886" s="6">
        <f>IF(ISERROR(VLOOKUP($T$886,'TAR FIN'!$A$1:$O$93,15,0)),0,VLOOKUP($T$886,'TAR FIN'!$A$1:$O$93,15,0))</f>
        <v>240.16</v>
      </c>
      <c r="X886" s="6">
        <f>IF(ISERROR(VLOOKUP($U$886,'TAR FIN'!$A$1:$O$93,15,0)),0,VLOOKUP($U$886,'TAR FIN'!$A$1:$O$93,15,0))</f>
        <v>162.96</v>
      </c>
      <c r="Y886" s="6"/>
      <c r="Z886" s="6">
        <f ca="1">('TUSD BE'!$AM$37+'TUSD BF'!$AM$37+'TUSD CVA'!$AM$37)*(1-CUSTOS!$M$38)</f>
        <v>274.6365589659128</v>
      </c>
      <c r="AA886" s="6">
        <f>('TE BE'!$AB$26+'TE BF'!$AB$26+'TE CVA'!$AB$26)*(1-CUSTOS!$M$38)</f>
        <v>186.29103092878736</v>
      </c>
      <c r="AB886" s="6">
        <f>$K$886*$V$886</f>
        <v>0</v>
      </c>
      <c r="AC886" s="6">
        <f>$M$886*$W$886</f>
        <v>53601.406464</v>
      </c>
      <c r="AD886" s="6">
        <f>$O$886*$X$886</f>
        <v>36371.107584000005</v>
      </c>
      <c r="AE886" s="6">
        <f>$K$886*$Y$886</f>
        <v>0</v>
      </c>
      <c r="AF886" s="6">
        <f ca="1">$M$886*$Z$886</f>
        <v>61296.243450225666</v>
      </c>
      <c r="AG886" s="6">
        <f>$O$886*$AA$886</f>
        <v>41578.369709408427</v>
      </c>
    </row>
    <row r="887" spans="1:33" ht="11.25" customHeight="1" x14ac:dyDescent="0.25">
      <c r="A887" s="4" t="s">
        <v>27</v>
      </c>
      <c r="B887" s="4" t="s">
        <v>41</v>
      </c>
      <c r="C887" s="4" t="s">
        <v>23</v>
      </c>
      <c r="D887" s="4" t="s">
        <v>42</v>
      </c>
      <c r="E887" s="4" t="s">
        <v>50</v>
      </c>
      <c r="F887" s="4" t="s">
        <v>51</v>
      </c>
      <c r="G887" s="4" t="s">
        <v>25</v>
      </c>
      <c r="H887" s="4" t="s">
        <v>25</v>
      </c>
      <c r="I887" s="5">
        <v>44621</v>
      </c>
      <c r="J887" s="6">
        <v>0</v>
      </c>
      <c r="K887" s="6">
        <v>0</v>
      </c>
      <c r="L887" s="6">
        <v>-8.3610000000000007</v>
      </c>
      <c r="M887" s="6">
        <v>-3.3443999999999998</v>
      </c>
      <c r="N887" s="6">
        <v>-8.3610000000000007</v>
      </c>
      <c r="O887" s="6">
        <v>-3.3443999999999998</v>
      </c>
      <c r="P887" s="6">
        <v>0</v>
      </c>
      <c r="Q887" s="4" t="s">
        <v>26</v>
      </c>
      <c r="R887" s="4">
        <v>0</v>
      </c>
      <c r="S887" s="6">
        <v>0</v>
      </c>
      <c r="T887" s="6">
        <v>40</v>
      </c>
      <c r="U887" s="6">
        <v>78</v>
      </c>
      <c r="V887" s="6">
        <f>IF(ISERROR(VLOOKUP($S$887,'TAR FIN'!$A$1:$O$93,15,0)),0,VLOOKUP($S$887,'TAR FIN'!$A$1:$O$93,15,0))</f>
        <v>0</v>
      </c>
      <c r="W887" s="6">
        <f>IF(ISERROR(VLOOKUP($T$887,'TAR FIN'!$A$1:$O$93,15,0)),0,VLOOKUP($T$887,'TAR FIN'!$A$1:$O$93,15,0))</f>
        <v>240.16</v>
      </c>
      <c r="X887" s="6">
        <f>IF(ISERROR(VLOOKUP($U$887,'TAR FIN'!$A$1:$O$93,15,0)),0,VLOOKUP($U$887,'TAR FIN'!$A$1:$O$93,15,0))</f>
        <v>162.96</v>
      </c>
      <c r="Y887" s="6"/>
      <c r="Z887" s="6">
        <f ca="1">('TUSD BE'!$AM$37+'TUSD BF'!$AM$37+'TUSD CVA'!$AM$37)*(1-CUSTOS!$M$38)</f>
        <v>274.6365589659128</v>
      </c>
      <c r="AA887" s="6">
        <f>('TE BE'!$AB$26+'TE BF'!$AB$26+'TE CVA'!$AB$26)*(1-CUSTOS!$M$38)</f>
        <v>186.29103092878736</v>
      </c>
      <c r="AB887" s="6">
        <f>$K$887*$V$887</f>
        <v>0</v>
      </c>
      <c r="AC887" s="6">
        <f>$M$887*$W$887</f>
        <v>-803.191104</v>
      </c>
      <c r="AD887" s="6">
        <f>$O$887*$X$887</f>
        <v>-545.003424</v>
      </c>
      <c r="AE887" s="6">
        <f>$K$887*$Y$887</f>
        <v>0</v>
      </c>
      <c r="AF887" s="6">
        <f ca="1">$M$887*$Z$887</f>
        <v>-918.49450780559869</v>
      </c>
      <c r="AG887" s="6">
        <f>$O$887*$AA$887</f>
        <v>-623.03172383823642</v>
      </c>
    </row>
    <row r="888" spans="1:33" ht="11.25" customHeight="1" x14ac:dyDescent="0.25">
      <c r="A888" s="4" t="s">
        <v>28</v>
      </c>
      <c r="B888" s="4" t="s">
        <v>41</v>
      </c>
      <c r="C888" s="4" t="s">
        <v>23</v>
      </c>
      <c r="D888" s="4" t="s">
        <v>42</v>
      </c>
      <c r="E888" s="4" t="s">
        <v>50</v>
      </c>
      <c r="F888" s="4" t="s">
        <v>51</v>
      </c>
      <c r="G888" s="4" t="s">
        <v>25</v>
      </c>
      <c r="H888" s="4" t="s">
        <v>25</v>
      </c>
      <c r="I888" s="5">
        <v>44621</v>
      </c>
      <c r="J888" s="6">
        <v>0</v>
      </c>
      <c r="K888" s="6">
        <v>0</v>
      </c>
      <c r="L888" s="6">
        <v>38.441000000000003</v>
      </c>
      <c r="M888" s="6">
        <v>15.3764</v>
      </c>
      <c r="N888" s="6">
        <v>38.441000000000003</v>
      </c>
      <c r="O888" s="6">
        <v>15.3764</v>
      </c>
      <c r="P888" s="6">
        <v>0</v>
      </c>
      <c r="Q888" s="4" t="s">
        <v>26</v>
      </c>
      <c r="R888" s="4">
        <v>0</v>
      </c>
      <c r="S888" s="6">
        <v>0</v>
      </c>
      <c r="T888" s="6">
        <v>40</v>
      </c>
      <c r="U888" s="6">
        <v>78</v>
      </c>
      <c r="V888" s="6">
        <f>IF(ISERROR(VLOOKUP($S$888,'TAR FIN'!$A$1:$O$93,15,0)),0,VLOOKUP($S$888,'TAR FIN'!$A$1:$O$93,15,0))</f>
        <v>0</v>
      </c>
      <c r="W888" s="6">
        <f>IF(ISERROR(VLOOKUP($T$888,'TAR FIN'!$A$1:$O$93,15,0)),0,VLOOKUP($T$888,'TAR FIN'!$A$1:$O$93,15,0))</f>
        <v>240.16</v>
      </c>
      <c r="X888" s="6">
        <f>IF(ISERROR(VLOOKUP($U$888,'TAR FIN'!$A$1:$O$93,15,0)),0,VLOOKUP($U$888,'TAR FIN'!$A$1:$O$93,15,0))</f>
        <v>162.96</v>
      </c>
      <c r="Y888" s="6"/>
      <c r="Z888" s="6">
        <f ca="1">('TUSD BE'!$AM$37+'TUSD BF'!$AM$37+'TUSD CVA'!$AM$37)*(1-CUSTOS!$M$38)</f>
        <v>274.6365589659128</v>
      </c>
      <c r="AA888" s="6">
        <f>('TE BE'!$AB$26+'TE BF'!$AB$26+'TE CVA'!$AB$26)*(1-CUSTOS!$M$38)</f>
        <v>186.29103092878736</v>
      </c>
      <c r="AB888" s="6">
        <f>$K$888*$V$888</f>
        <v>0</v>
      </c>
      <c r="AC888" s="6">
        <f>$M$888*$W$888</f>
        <v>3692.7962240000002</v>
      </c>
      <c r="AD888" s="6">
        <f>$O$888*$X$888</f>
        <v>2505.7381440000004</v>
      </c>
      <c r="AE888" s="6">
        <f>$K$888*$Y$888</f>
        <v>0</v>
      </c>
      <c r="AF888" s="6">
        <f ca="1">$M$888*$Z$888</f>
        <v>4222.9215852834614</v>
      </c>
      <c r="AG888" s="6">
        <f>$O$888*$AA$888</f>
        <v>2864.4854079734059</v>
      </c>
    </row>
    <row r="889" spans="1:33" ht="11.25" customHeight="1" x14ac:dyDescent="0.25">
      <c r="A889" s="4" t="s">
        <v>28</v>
      </c>
      <c r="B889" s="4" t="s">
        <v>41</v>
      </c>
      <c r="C889" s="4" t="s">
        <v>23</v>
      </c>
      <c r="D889" s="4" t="s">
        <v>42</v>
      </c>
      <c r="E889" s="4" t="s">
        <v>50</v>
      </c>
      <c r="F889" s="4" t="s">
        <v>51</v>
      </c>
      <c r="G889" s="4" t="s">
        <v>25</v>
      </c>
      <c r="H889" s="4" t="s">
        <v>25</v>
      </c>
      <c r="I889" s="5">
        <v>44621</v>
      </c>
      <c r="J889" s="6">
        <v>0</v>
      </c>
      <c r="K889" s="6">
        <v>0</v>
      </c>
      <c r="L889" s="6">
        <v>-17.835000000000001</v>
      </c>
      <c r="M889" s="6">
        <v>-7.1340000000000003</v>
      </c>
      <c r="N889" s="6">
        <v>-17.835000000000001</v>
      </c>
      <c r="O889" s="6">
        <v>-7.1340000000000003</v>
      </c>
      <c r="P889" s="6">
        <v>0</v>
      </c>
      <c r="Q889" s="4" t="s">
        <v>26</v>
      </c>
      <c r="R889" s="4">
        <v>0</v>
      </c>
      <c r="S889" s="6">
        <v>0</v>
      </c>
      <c r="T889" s="6">
        <v>40</v>
      </c>
      <c r="U889" s="6">
        <v>78</v>
      </c>
      <c r="V889" s="6">
        <f>IF(ISERROR(VLOOKUP($S$889,'TAR FIN'!$A$1:$O$93,15,0)),0,VLOOKUP($S$889,'TAR FIN'!$A$1:$O$93,15,0))</f>
        <v>0</v>
      </c>
      <c r="W889" s="6">
        <f>IF(ISERROR(VLOOKUP($T$889,'TAR FIN'!$A$1:$O$93,15,0)),0,VLOOKUP($T$889,'TAR FIN'!$A$1:$O$93,15,0))</f>
        <v>240.16</v>
      </c>
      <c r="X889" s="6">
        <f>IF(ISERROR(VLOOKUP($U$889,'TAR FIN'!$A$1:$O$93,15,0)),0,VLOOKUP($U$889,'TAR FIN'!$A$1:$O$93,15,0))</f>
        <v>162.96</v>
      </c>
      <c r="Y889" s="6"/>
      <c r="Z889" s="6">
        <f ca="1">('TUSD BE'!$AM$37+'TUSD BF'!$AM$37+'TUSD CVA'!$AM$37)*(1-CUSTOS!$M$38)</f>
        <v>274.6365589659128</v>
      </c>
      <c r="AA889" s="6">
        <f>('TE BE'!$AB$26+'TE BF'!$AB$26+'TE CVA'!$AB$26)*(1-CUSTOS!$M$38)</f>
        <v>186.29103092878736</v>
      </c>
      <c r="AB889" s="6">
        <f>$K$889*$V$889</f>
        <v>0</v>
      </c>
      <c r="AC889" s="6">
        <f>$M$889*$W$889</f>
        <v>-1713.30144</v>
      </c>
      <c r="AD889" s="6">
        <f>$O$889*$X$889</f>
        <v>-1162.55664</v>
      </c>
      <c r="AE889" s="6">
        <f>$K$889*$Y$889</f>
        <v>0</v>
      </c>
      <c r="AF889" s="6">
        <f ca="1">$M$889*$Z$889</f>
        <v>-1959.2572116628221</v>
      </c>
      <c r="AG889" s="6">
        <f>$O$889*$AA$889</f>
        <v>-1329.0002146459692</v>
      </c>
    </row>
    <row r="890" spans="1:33" ht="11.25" customHeight="1" x14ac:dyDescent="0.25">
      <c r="A890" s="4" t="s">
        <v>21</v>
      </c>
      <c r="B890" s="4" t="s">
        <v>41</v>
      </c>
      <c r="C890" s="4" t="s">
        <v>23</v>
      </c>
      <c r="D890" s="4" t="s">
        <v>42</v>
      </c>
      <c r="E890" s="4" t="s">
        <v>50</v>
      </c>
      <c r="F890" s="4" t="s">
        <v>51</v>
      </c>
      <c r="G890" s="4" t="s">
        <v>25</v>
      </c>
      <c r="H890" s="4" t="s">
        <v>25</v>
      </c>
      <c r="I890" s="5">
        <v>44652</v>
      </c>
      <c r="J890" s="6">
        <v>0</v>
      </c>
      <c r="K890" s="6">
        <v>0</v>
      </c>
      <c r="L890" s="6">
        <v>209.69399999999999</v>
      </c>
      <c r="M890" s="6">
        <v>83.877600000000001</v>
      </c>
      <c r="N890" s="6">
        <v>209.69399999999999</v>
      </c>
      <c r="O890" s="6">
        <v>83.877600000000001</v>
      </c>
      <c r="P890" s="6">
        <v>0</v>
      </c>
      <c r="Q890" s="4" t="s">
        <v>26</v>
      </c>
      <c r="R890" s="4">
        <v>0</v>
      </c>
      <c r="S890" s="6">
        <v>0</v>
      </c>
      <c r="T890" s="6">
        <v>40</v>
      </c>
      <c r="U890" s="6">
        <v>78</v>
      </c>
      <c r="V890" s="6">
        <f>IF(ISERROR(VLOOKUP($S$890,'TAR FIN'!$A$1:$O$93,15,0)),0,VLOOKUP($S$890,'TAR FIN'!$A$1:$O$93,15,0))</f>
        <v>0</v>
      </c>
      <c r="W890" s="6">
        <f>IF(ISERROR(VLOOKUP($T$890,'TAR FIN'!$A$1:$O$93,15,0)),0,VLOOKUP($T$890,'TAR FIN'!$A$1:$O$93,15,0))</f>
        <v>240.16</v>
      </c>
      <c r="X890" s="6">
        <f>IF(ISERROR(VLOOKUP($U$890,'TAR FIN'!$A$1:$O$93,15,0)),0,VLOOKUP($U$890,'TAR FIN'!$A$1:$O$93,15,0))</f>
        <v>162.96</v>
      </c>
      <c r="Y890" s="6"/>
      <c r="Z890" s="6">
        <f ca="1">('TUSD BE'!$AM$37+'TUSD BF'!$AM$37+'TUSD CVA'!$AM$37)*(1-CUSTOS!$M$38)</f>
        <v>274.6365589659128</v>
      </c>
      <c r="AA890" s="6">
        <f>('TE BE'!$AB$26+'TE BF'!$AB$26+'TE CVA'!$AB$26)*(1-CUSTOS!$M$38)</f>
        <v>186.29103092878736</v>
      </c>
      <c r="AB890" s="6">
        <f>$K$890*$V$890</f>
        <v>0</v>
      </c>
      <c r="AC890" s="6">
        <f>$M$890*$W$890</f>
        <v>20144.044416000001</v>
      </c>
      <c r="AD890" s="6">
        <f>$O$890*$X$890</f>
        <v>13668.693696</v>
      </c>
      <c r="AE890" s="6">
        <f>$K$890*$Y$890</f>
        <v>0</v>
      </c>
      <c r="AF890" s="6">
        <f ca="1">$M$890*$Z$890</f>
        <v>23035.855438319246</v>
      </c>
      <c r="AG890" s="6">
        <f>$O$890*$AA$890</f>
        <v>15625.644575832455</v>
      </c>
    </row>
    <row r="891" spans="1:33" ht="11.25" customHeight="1" x14ac:dyDescent="0.25">
      <c r="A891" s="4" t="s">
        <v>28</v>
      </c>
      <c r="B891" s="4" t="s">
        <v>41</v>
      </c>
      <c r="C891" s="4" t="s">
        <v>23</v>
      </c>
      <c r="D891" s="4" t="s">
        <v>42</v>
      </c>
      <c r="E891" s="4" t="s">
        <v>50</v>
      </c>
      <c r="F891" s="4" t="s">
        <v>51</v>
      </c>
      <c r="G891" s="4" t="s">
        <v>25</v>
      </c>
      <c r="H891" s="4" t="s">
        <v>25</v>
      </c>
      <c r="I891" s="5">
        <v>44652</v>
      </c>
      <c r="J891" s="6">
        <v>0</v>
      </c>
      <c r="K891" s="6">
        <v>0</v>
      </c>
      <c r="L891" s="6">
        <v>15.032</v>
      </c>
      <c r="M891" s="6">
        <v>6.0128000000000004</v>
      </c>
      <c r="N891" s="6">
        <v>15.032</v>
      </c>
      <c r="O891" s="6">
        <v>6.0128000000000004</v>
      </c>
      <c r="P891" s="6">
        <v>0</v>
      </c>
      <c r="Q891" s="4" t="s">
        <v>26</v>
      </c>
      <c r="R891" s="4">
        <v>0</v>
      </c>
      <c r="S891" s="6">
        <v>0</v>
      </c>
      <c r="T891" s="6">
        <v>40</v>
      </c>
      <c r="U891" s="6">
        <v>78</v>
      </c>
      <c r="V891" s="6">
        <f>IF(ISERROR(VLOOKUP($S$891,'TAR FIN'!$A$1:$O$93,15,0)),0,VLOOKUP($S$891,'TAR FIN'!$A$1:$O$93,15,0))</f>
        <v>0</v>
      </c>
      <c r="W891" s="6">
        <f>IF(ISERROR(VLOOKUP($T$891,'TAR FIN'!$A$1:$O$93,15,0)),0,VLOOKUP($T$891,'TAR FIN'!$A$1:$O$93,15,0))</f>
        <v>240.16</v>
      </c>
      <c r="X891" s="6">
        <f>IF(ISERROR(VLOOKUP($U$891,'TAR FIN'!$A$1:$O$93,15,0)),0,VLOOKUP($U$891,'TAR FIN'!$A$1:$O$93,15,0))</f>
        <v>162.96</v>
      </c>
      <c r="Y891" s="6"/>
      <c r="Z891" s="6">
        <f ca="1">('TUSD BE'!$AM$37+'TUSD BF'!$AM$37+'TUSD CVA'!$AM$37)*(1-CUSTOS!$M$38)</f>
        <v>274.6365589659128</v>
      </c>
      <c r="AA891" s="6">
        <f>('TE BE'!$AB$26+'TE BF'!$AB$26+'TE CVA'!$AB$26)*(1-CUSTOS!$M$38)</f>
        <v>186.29103092878736</v>
      </c>
      <c r="AB891" s="6">
        <f>$K$891*$V$891</f>
        <v>0</v>
      </c>
      <c r="AC891" s="6">
        <f>$M$891*$W$891</f>
        <v>1444.034048</v>
      </c>
      <c r="AD891" s="6">
        <f>$O$891*$X$891</f>
        <v>979.84588800000006</v>
      </c>
      <c r="AE891" s="6">
        <f>$K$891*$Y$891</f>
        <v>0</v>
      </c>
      <c r="AF891" s="6">
        <f ca="1">$M$891*$Z$891</f>
        <v>1651.3347017502406</v>
      </c>
      <c r="AG891" s="6">
        <f>$O$891*$AA$891</f>
        <v>1120.1307107686127</v>
      </c>
    </row>
    <row r="892" spans="1:33" ht="11.25" customHeight="1" x14ac:dyDescent="0.25">
      <c r="A892" s="4" t="s">
        <v>21</v>
      </c>
      <c r="B892" s="4" t="s">
        <v>41</v>
      </c>
      <c r="C892" s="4" t="s">
        <v>23</v>
      </c>
      <c r="D892" s="4" t="s">
        <v>42</v>
      </c>
      <c r="E892" s="4" t="s">
        <v>50</v>
      </c>
      <c r="F892" s="4" t="s">
        <v>51</v>
      </c>
      <c r="G892" s="4" t="s">
        <v>25</v>
      </c>
      <c r="H892" s="4" t="s">
        <v>25</v>
      </c>
      <c r="I892" s="5">
        <v>44682</v>
      </c>
      <c r="J892" s="6">
        <v>0</v>
      </c>
      <c r="K892" s="6">
        <v>0</v>
      </c>
      <c r="L892" s="6">
        <v>151.33600000000001</v>
      </c>
      <c r="M892" s="6">
        <v>60.534399999999998</v>
      </c>
      <c r="N892" s="6">
        <v>151.33600000000001</v>
      </c>
      <c r="O892" s="6">
        <v>60.534399999999998</v>
      </c>
      <c r="P892" s="6">
        <v>0</v>
      </c>
      <c r="Q892" s="4" t="s">
        <v>26</v>
      </c>
      <c r="R892" s="4">
        <v>0</v>
      </c>
      <c r="S892" s="6">
        <v>0</v>
      </c>
      <c r="T892" s="6">
        <v>40</v>
      </c>
      <c r="U892" s="6">
        <v>78</v>
      </c>
      <c r="V892" s="6">
        <f>IF(ISERROR(VLOOKUP($S$892,'TAR FIN'!$A$1:$O$93,15,0)),0,VLOOKUP($S$892,'TAR FIN'!$A$1:$O$93,15,0))</f>
        <v>0</v>
      </c>
      <c r="W892" s="6">
        <f>IF(ISERROR(VLOOKUP($T$892,'TAR FIN'!$A$1:$O$93,15,0)),0,VLOOKUP($T$892,'TAR FIN'!$A$1:$O$93,15,0))</f>
        <v>240.16</v>
      </c>
      <c r="X892" s="6">
        <f>IF(ISERROR(VLOOKUP($U$892,'TAR FIN'!$A$1:$O$93,15,0)),0,VLOOKUP($U$892,'TAR FIN'!$A$1:$O$93,15,0))</f>
        <v>162.96</v>
      </c>
      <c r="Y892" s="6"/>
      <c r="Z892" s="6">
        <f ca="1">('TUSD BE'!$AM$37+'TUSD BF'!$AM$37+'TUSD CVA'!$AM$37)*(1-CUSTOS!$M$38)</f>
        <v>274.6365589659128</v>
      </c>
      <c r="AA892" s="6">
        <f>('TE BE'!$AB$26+'TE BF'!$AB$26+'TE CVA'!$AB$26)*(1-CUSTOS!$M$38)</f>
        <v>186.29103092878736</v>
      </c>
      <c r="AB892" s="6">
        <f>$K$892*$V$892</f>
        <v>0</v>
      </c>
      <c r="AC892" s="6">
        <f>$M$892*$W$892</f>
        <v>14537.941503999999</v>
      </c>
      <c r="AD892" s="6">
        <f>$O$892*$X$892</f>
        <v>9864.6858240000001</v>
      </c>
      <c r="AE892" s="6">
        <f>$K$892*$Y$892</f>
        <v>0</v>
      </c>
      <c r="AF892" s="6">
        <f ca="1">$M$892*$Z$892</f>
        <v>16624.959315066149</v>
      </c>
      <c r="AG892" s="6">
        <f>$O$892*$AA$892</f>
        <v>11277.015782655586</v>
      </c>
    </row>
    <row r="893" spans="1:33" ht="11.25" customHeight="1" x14ac:dyDescent="0.25">
      <c r="A893" s="4" t="s">
        <v>27</v>
      </c>
      <c r="B893" s="4" t="s">
        <v>41</v>
      </c>
      <c r="C893" s="4" t="s">
        <v>23</v>
      </c>
      <c r="D893" s="4" t="s">
        <v>42</v>
      </c>
      <c r="E893" s="4" t="s">
        <v>50</v>
      </c>
      <c r="F893" s="4" t="s">
        <v>51</v>
      </c>
      <c r="G893" s="4" t="s">
        <v>25</v>
      </c>
      <c r="H893" s="4" t="s">
        <v>25</v>
      </c>
      <c r="I893" s="5">
        <v>44682</v>
      </c>
      <c r="J893" s="6">
        <v>0</v>
      </c>
      <c r="K893" s="6">
        <v>0</v>
      </c>
      <c r="L893" s="6">
        <v>-25.431999999999999</v>
      </c>
      <c r="M893" s="6">
        <v>-10.172800000000001</v>
      </c>
      <c r="N893" s="6">
        <v>-25.431999999999999</v>
      </c>
      <c r="O893" s="6">
        <v>-10.172800000000001</v>
      </c>
      <c r="P893" s="6">
        <v>0</v>
      </c>
      <c r="Q893" s="4" t="s">
        <v>26</v>
      </c>
      <c r="R893" s="4">
        <v>0</v>
      </c>
      <c r="S893" s="6">
        <v>0</v>
      </c>
      <c r="T893" s="6">
        <v>40</v>
      </c>
      <c r="U893" s="6">
        <v>78</v>
      </c>
      <c r="V893" s="6">
        <f>IF(ISERROR(VLOOKUP($S$893,'TAR FIN'!$A$1:$O$93,15,0)),0,VLOOKUP($S$893,'TAR FIN'!$A$1:$O$93,15,0))</f>
        <v>0</v>
      </c>
      <c r="W893" s="6">
        <f>IF(ISERROR(VLOOKUP($T$893,'TAR FIN'!$A$1:$O$93,15,0)),0,VLOOKUP($T$893,'TAR FIN'!$A$1:$O$93,15,0))</f>
        <v>240.16</v>
      </c>
      <c r="X893" s="6">
        <f>IF(ISERROR(VLOOKUP($U$893,'TAR FIN'!$A$1:$O$93,15,0)),0,VLOOKUP($U$893,'TAR FIN'!$A$1:$O$93,15,0))</f>
        <v>162.96</v>
      </c>
      <c r="Y893" s="6"/>
      <c r="Z893" s="6">
        <f ca="1">('TUSD BE'!$AM$37+'TUSD BF'!$AM$37+'TUSD CVA'!$AM$37)*(1-CUSTOS!$M$38)</f>
        <v>274.6365589659128</v>
      </c>
      <c r="AA893" s="6">
        <f>('TE BE'!$AB$26+'TE BF'!$AB$26+'TE CVA'!$AB$26)*(1-CUSTOS!$M$38)</f>
        <v>186.29103092878736</v>
      </c>
      <c r="AB893" s="6">
        <f>$K$893*$V$893</f>
        <v>0</v>
      </c>
      <c r="AC893" s="6">
        <f>$M$893*$W$893</f>
        <v>-2443.0996479999999</v>
      </c>
      <c r="AD893" s="6">
        <f>$O$893*$X$893</f>
        <v>-1657.7594880000001</v>
      </c>
      <c r="AE893" s="6">
        <f>$K$893*$Y$893</f>
        <v>0</v>
      </c>
      <c r="AF893" s="6">
        <f ca="1">$M$893*$Z$893</f>
        <v>-2793.8227870484379</v>
      </c>
      <c r="AG893" s="6">
        <f>$O$893*$AA$893</f>
        <v>-1895.1013994323682</v>
      </c>
    </row>
    <row r="894" spans="1:33" ht="11.25" customHeight="1" x14ac:dyDescent="0.25">
      <c r="A894" s="4" t="s">
        <v>28</v>
      </c>
      <c r="B894" s="4" t="s">
        <v>41</v>
      </c>
      <c r="C894" s="4" t="s">
        <v>23</v>
      </c>
      <c r="D894" s="4" t="s">
        <v>42</v>
      </c>
      <c r="E894" s="4" t="s">
        <v>50</v>
      </c>
      <c r="F894" s="4" t="s">
        <v>51</v>
      </c>
      <c r="G894" s="4" t="s">
        <v>25</v>
      </c>
      <c r="H894" s="4" t="s">
        <v>25</v>
      </c>
      <c r="I894" s="5">
        <v>44682</v>
      </c>
      <c r="J894" s="6">
        <v>0</v>
      </c>
      <c r="K894" s="6">
        <v>0</v>
      </c>
      <c r="L894" s="6">
        <v>5.3159999999999998</v>
      </c>
      <c r="M894" s="6">
        <v>2.1263999999999998</v>
      </c>
      <c r="N894" s="6">
        <v>5.3159999999999998</v>
      </c>
      <c r="O894" s="6">
        <v>2.1263999999999998</v>
      </c>
      <c r="P894" s="6">
        <v>0</v>
      </c>
      <c r="Q894" s="4" t="s">
        <v>26</v>
      </c>
      <c r="R894" s="4">
        <v>0</v>
      </c>
      <c r="S894" s="6">
        <v>0</v>
      </c>
      <c r="T894" s="6">
        <v>40</v>
      </c>
      <c r="U894" s="6">
        <v>78</v>
      </c>
      <c r="V894" s="6">
        <f>IF(ISERROR(VLOOKUP($S$894,'TAR FIN'!$A$1:$O$93,15,0)),0,VLOOKUP($S$894,'TAR FIN'!$A$1:$O$93,15,0))</f>
        <v>0</v>
      </c>
      <c r="W894" s="6">
        <f>IF(ISERROR(VLOOKUP($T$894,'TAR FIN'!$A$1:$O$93,15,0)),0,VLOOKUP($T$894,'TAR FIN'!$A$1:$O$93,15,0))</f>
        <v>240.16</v>
      </c>
      <c r="X894" s="6">
        <f>IF(ISERROR(VLOOKUP($U$894,'TAR FIN'!$A$1:$O$93,15,0)),0,VLOOKUP($U$894,'TAR FIN'!$A$1:$O$93,15,0))</f>
        <v>162.96</v>
      </c>
      <c r="Y894" s="6"/>
      <c r="Z894" s="6">
        <f ca="1">('TUSD BE'!$AM$37+'TUSD BF'!$AM$37+'TUSD CVA'!$AM$37)*(1-CUSTOS!$M$38)</f>
        <v>274.6365589659128</v>
      </c>
      <c r="AA894" s="6">
        <f>('TE BE'!$AB$26+'TE BF'!$AB$26+'TE CVA'!$AB$26)*(1-CUSTOS!$M$38)</f>
        <v>186.29103092878736</v>
      </c>
      <c r="AB894" s="6">
        <f>$K$894*$V$894</f>
        <v>0</v>
      </c>
      <c r="AC894" s="6">
        <f>$M$894*$W$894</f>
        <v>510.67622399999993</v>
      </c>
      <c r="AD894" s="6">
        <f>$O$894*$X$894</f>
        <v>346.51814400000001</v>
      </c>
      <c r="AE894" s="6">
        <f>$K$894*$Y$894</f>
        <v>0</v>
      </c>
      <c r="AF894" s="6">
        <f ca="1">$M$894*$Z$894</f>
        <v>583.98717898511688</v>
      </c>
      <c r="AG894" s="6">
        <f>$O$894*$AA$894</f>
        <v>396.12924816697341</v>
      </c>
    </row>
    <row r="895" spans="1:33" ht="11.25" customHeight="1" x14ac:dyDescent="0.25">
      <c r="A895" s="4" t="s">
        <v>21</v>
      </c>
      <c r="B895" s="4" t="s">
        <v>41</v>
      </c>
      <c r="C895" s="4" t="s">
        <v>23</v>
      </c>
      <c r="D895" s="4" t="s">
        <v>42</v>
      </c>
      <c r="E895" s="4" t="s">
        <v>50</v>
      </c>
      <c r="F895" s="4" t="s">
        <v>51</v>
      </c>
      <c r="G895" s="4" t="s">
        <v>25</v>
      </c>
      <c r="H895" s="4" t="s">
        <v>25</v>
      </c>
      <c r="I895" s="5">
        <v>44713</v>
      </c>
      <c r="J895" s="6">
        <v>0</v>
      </c>
      <c r="K895" s="6">
        <v>0</v>
      </c>
      <c r="L895" s="6">
        <v>141.572</v>
      </c>
      <c r="M895" s="6">
        <v>56.628799999999998</v>
      </c>
      <c r="N895" s="6">
        <v>141.572</v>
      </c>
      <c r="O895" s="6">
        <v>56.628799999999998</v>
      </c>
      <c r="P895" s="6">
        <v>0</v>
      </c>
      <c r="Q895" s="4" t="s">
        <v>26</v>
      </c>
      <c r="R895" s="4">
        <v>0</v>
      </c>
      <c r="S895" s="6">
        <v>0</v>
      </c>
      <c r="T895" s="6">
        <v>40</v>
      </c>
      <c r="U895" s="6">
        <v>78</v>
      </c>
      <c r="V895" s="6">
        <f>IF(ISERROR(VLOOKUP($S$895,'TAR FIN'!$A$1:$O$93,15,0)),0,VLOOKUP($S$895,'TAR FIN'!$A$1:$O$93,15,0))</f>
        <v>0</v>
      </c>
      <c r="W895" s="6">
        <f>IF(ISERROR(VLOOKUP($T$895,'TAR FIN'!$A$1:$O$93,15,0)),0,VLOOKUP($T$895,'TAR FIN'!$A$1:$O$93,15,0))</f>
        <v>240.16</v>
      </c>
      <c r="X895" s="6">
        <f>IF(ISERROR(VLOOKUP($U$895,'TAR FIN'!$A$1:$O$93,15,0)),0,VLOOKUP($U$895,'TAR FIN'!$A$1:$O$93,15,0))</f>
        <v>162.96</v>
      </c>
      <c r="Y895" s="6"/>
      <c r="Z895" s="6">
        <f ca="1">('TUSD BE'!$AM$37+'TUSD BF'!$AM$37+'TUSD CVA'!$AM$37)*(1-CUSTOS!$M$38)</f>
        <v>274.6365589659128</v>
      </c>
      <c r="AA895" s="6">
        <f>('TE BE'!$AB$26+'TE BF'!$AB$26+'TE CVA'!$AB$26)*(1-CUSTOS!$M$38)</f>
        <v>186.29103092878736</v>
      </c>
      <c r="AB895" s="6">
        <f>$K$895*$V$895</f>
        <v>0</v>
      </c>
      <c r="AC895" s="6">
        <f>$M$895*$W$895</f>
        <v>13599.972608</v>
      </c>
      <c r="AD895" s="6">
        <f>$O$895*$X$895</f>
        <v>9228.2292479999996</v>
      </c>
      <c r="AE895" s="6">
        <f>$K$895*$Y$895</f>
        <v>0</v>
      </c>
      <c r="AF895" s="6">
        <f ca="1">$M$895*$Z$895</f>
        <v>15552.338770368882</v>
      </c>
      <c r="AG895" s="6">
        <f>$O$895*$AA$895</f>
        <v>10549.437532260114</v>
      </c>
    </row>
    <row r="896" spans="1:33" ht="11.25" customHeight="1" x14ac:dyDescent="0.25">
      <c r="A896" s="4" t="s">
        <v>27</v>
      </c>
      <c r="B896" s="4" t="s">
        <v>41</v>
      </c>
      <c r="C896" s="4" t="s">
        <v>23</v>
      </c>
      <c r="D896" s="4" t="s">
        <v>42</v>
      </c>
      <c r="E896" s="4" t="s">
        <v>50</v>
      </c>
      <c r="F896" s="4" t="s">
        <v>51</v>
      </c>
      <c r="G896" s="4" t="s">
        <v>25</v>
      </c>
      <c r="H896" s="4" t="s">
        <v>25</v>
      </c>
      <c r="I896" s="5">
        <v>44713</v>
      </c>
      <c r="J896" s="6">
        <v>0</v>
      </c>
      <c r="K896" s="6">
        <v>0</v>
      </c>
      <c r="L896" s="6">
        <v>-0.52</v>
      </c>
      <c r="M896" s="6">
        <v>-0.20799999999999999</v>
      </c>
      <c r="N896" s="6">
        <v>-0.52</v>
      </c>
      <c r="O896" s="6">
        <v>-0.20799999999999999</v>
      </c>
      <c r="P896" s="6">
        <v>0</v>
      </c>
      <c r="Q896" s="4" t="s">
        <v>26</v>
      </c>
      <c r="R896" s="4">
        <v>0</v>
      </c>
      <c r="S896" s="6">
        <v>0</v>
      </c>
      <c r="T896" s="6">
        <v>40</v>
      </c>
      <c r="U896" s="6">
        <v>78</v>
      </c>
      <c r="V896" s="6">
        <f>IF(ISERROR(VLOOKUP($S$896,'TAR FIN'!$A$1:$O$93,15,0)),0,VLOOKUP($S$896,'TAR FIN'!$A$1:$O$93,15,0))</f>
        <v>0</v>
      </c>
      <c r="W896" s="6">
        <f>IF(ISERROR(VLOOKUP($T$896,'TAR FIN'!$A$1:$O$93,15,0)),0,VLOOKUP($T$896,'TAR FIN'!$A$1:$O$93,15,0))</f>
        <v>240.16</v>
      </c>
      <c r="X896" s="6">
        <f>IF(ISERROR(VLOOKUP($U$896,'TAR FIN'!$A$1:$O$93,15,0)),0,VLOOKUP($U$896,'TAR FIN'!$A$1:$O$93,15,0))</f>
        <v>162.96</v>
      </c>
      <c r="Y896" s="6"/>
      <c r="Z896" s="6">
        <f ca="1">('TUSD BE'!$AM$37+'TUSD BF'!$AM$37+'TUSD CVA'!$AM$37)*(1-CUSTOS!$M$38)</f>
        <v>274.6365589659128</v>
      </c>
      <c r="AA896" s="6">
        <f>('TE BE'!$AB$26+'TE BF'!$AB$26+'TE CVA'!$AB$26)*(1-CUSTOS!$M$38)</f>
        <v>186.29103092878736</v>
      </c>
      <c r="AB896" s="6">
        <f>$K$896*$V$896</f>
        <v>0</v>
      </c>
      <c r="AC896" s="6">
        <f>$M$896*$W$896</f>
        <v>-49.953279999999999</v>
      </c>
      <c r="AD896" s="6">
        <f>$O$896*$X$896</f>
        <v>-33.895679999999999</v>
      </c>
      <c r="AE896" s="6">
        <f>$K$896*$Y$896</f>
        <v>0</v>
      </c>
      <c r="AF896" s="6">
        <f ca="1">$M$896*$Z$896</f>
        <v>-57.124404264909856</v>
      </c>
      <c r="AG896" s="6">
        <f>$O$896*$AA$896</f>
        <v>-38.748534433187771</v>
      </c>
    </row>
    <row r="897" spans="1:33" ht="11.25" customHeight="1" x14ac:dyDescent="0.25">
      <c r="A897" s="4" t="s">
        <v>28</v>
      </c>
      <c r="B897" s="4" t="s">
        <v>41</v>
      </c>
      <c r="C897" s="4" t="s">
        <v>23</v>
      </c>
      <c r="D897" s="4" t="s">
        <v>42</v>
      </c>
      <c r="E897" s="4" t="s">
        <v>50</v>
      </c>
      <c r="F897" s="4" t="s">
        <v>51</v>
      </c>
      <c r="G897" s="4" t="s">
        <v>25</v>
      </c>
      <c r="H897" s="4" t="s">
        <v>25</v>
      </c>
      <c r="I897" s="5">
        <v>44713</v>
      </c>
      <c r="J897" s="6">
        <v>0</v>
      </c>
      <c r="K897" s="6">
        <v>0</v>
      </c>
      <c r="L897" s="6">
        <v>1.079</v>
      </c>
      <c r="M897" s="6">
        <v>0.43159999999999998</v>
      </c>
      <c r="N897" s="6">
        <v>1.079</v>
      </c>
      <c r="O897" s="6">
        <v>0.43159999999999998</v>
      </c>
      <c r="P897" s="6">
        <v>0</v>
      </c>
      <c r="Q897" s="4" t="s">
        <v>26</v>
      </c>
      <c r="R897" s="4">
        <v>0</v>
      </c>
      <c r="S897" s="6">
        <v>0</v>
      </c>
      <c r="T897" s="6">
        <v>40</v>
      </c>
      <c r="U897" s="6">
        <v>78</v>
      </c>
      <c r="V897" s="6">
        <f>IF(ISERROR(VLOOKUP($S$897,'TAR FIN'!$A$1:$O$93,15,0)),0,VLOOKUP($S$897,'TAR FIN'!$A$1:$O$93,15,0))</f>
        <v>0</v>
      </c>
      <c r="W897" s="6">
        <f>IF(ISERROR(VLOOKUP($T$897,'TAR FIN'!$A$1:$O$93,15,0)),0,VLOOKUP($T$897,'TAR FIN'!$A$1:$O$93,15,0))</f>
        <v>240.16</v>
      </c>
      <c r="X897" s="6">
        <f>IF(ISERROR(VLOOKUP($U$897,'TAR FIN'!$A$1:$O$93,15,0)),0,VLOOKUP($U$897,'TAR FIN'!$A$1:$O$93,15,0))</f>
        <v>162.96</v>
      </c>
      <c r="Y897" s="6"/>
      <c r="Z897" s="6">
        <f ca="1">('TUSD BE'!$AM$37+'TUSD BF'!$AM$37+'TUSD CVA'!$AM$37)*(1-CUSTOS!$M$38)</f>
        <v>274.6365589659128</v>
      </c>
      <c r="AA897" s="6">
        <f>('TE BE'!$AB$26+'TE BF'!$AB$26+'TE CVA'!$AB$26)*(1-CUSTOS!$M$38)</f>
        <v>186.29103092878736</v>
      </c>
      <c r="AB897" s="6">
        <f>$K$897*$V$897</f>
        <v>0</v>
      </c>
      <c r="AC897" s="6">
        <f>$M$897*$W$897</f>
        <v>103.65305599999999</v>
      </c>
      <c r="AD897" s="6">
        <f>$O$897*$X$897</f>
        <v>70.333535999999995</v>
      </c>
      <c r="AE897" s="6">
        <f>$K$897*$Y$897</f>
        <v>0</v>
      </c>
      <c r="AF897" s="6">
        <f ca="1">$M$897*$Z$897</f>
        <v>118.53313884968796</v>
      </c>
      <c r="AG897" s="6">
        <f>$O$897*$AA$897</f>
        <v>80.403208948864616</v>
      </c>
    </row>
    <row r="898" spans="1:33" ht="11.25" customHeight="1" x14ac:dyDescent="0.25">
      <c r="A898" s="4" t="s">
        <v>21</v>
      </c>
      <c r="B898" s="4" t="s">
        <v>41</v>
      </c>
      <c r="C898" s="4" t="s">
        <v>23</v>
      </c>
      <c r="D898" s="4" t="s">
        <v>42</v>
      </c>
      <c r="E898" s="4" t="s">
        <v>50</v>
      </c>
      <c r="F898" s="4" t="s">
        <v>52</v>
      </c>
      <c r="G898" s="4" t="s">
        <v>25</v>
      </c>
      <c r="H898" s="4" t="s">
        <v>25</v>
      </c>
      <c r="I898" s="5">
        <v>44378</v>
      </c>
      <c r="J898" s="6">
        <v>0</v>
      </c>
      <c r="K898" s="6">
        <v>0</v>
      </c>
      <c r="L898" s="6">
        <v>39.204000000000001</v>
      </c>
      <c r="M898" s="6">
        <v>15.6816</v>
      </c>
      <c r="N898" s="6">
        <v>39.204000000000001</v>
      </c>
      <c r="O898" s="6">
        <v>15.6816</v>
      </c>
      <c r="P898" s="6">
        <v>0</v>
      </c>
      <c r="Q898" s="4" t="s">
        <v>26</v>
      </c>
      <c r="R898" s="4">
        <v>0</v>
      </c>
      <c r="S898" s="6">
        <v>0</v>
      </c>
      <c r="T898" s="6">
        <v>40</v>
      </c>
      <c r="U898" s="6">
        <v>78</v>
      </c>
      <c r="V898" s="6">
        <f>IF(ISERROR(VLOOKUP($S$898,'TAR FIN'!$A$1:$O$93,15,0)),0,VLOOKUP($S$898,'TAR FIN'!$A$1:$O$93,15,0))</f>
        <v>0</v>
      </c>
      <c r="W898" s="6">
        <f>IF(ISERROR(VLOOKUP($T$898,'TAR FIN'!$A$1:$O$93,15,0)),0,VLOOKUP($T$898,'TAR FIN'!$A$1:$O$93,15,0))</f>
        <v>240.16</v>
      </c>
      <c r="X898" s="6">
        <f>IF(ISERROR(VLOOKUP($U$898,'TAR FIN'!$A$1:$O$93,15,0)),0,VLOOKUP($U$898,'TAR FIN'!$A$1:$O$93,15,0))</f>
        <v>162.96</v>
      </c>
      <c r="Y898" s="6"/>
      <c r="Z898" s="6">
        <f ca="1">('TUSD BE'!$AM$37+'TUSD BF'!$AM$37+'TUSD CVA'!$AM$37)*(1-CUSTOS!$M$38)</f>
        <v>274.6365589659128</v>
      </c>
      <c r="AA898" s="6">
        <f>('TE BE'!$AB$26+'TE BF'!$AB$26+'TE CVA'!$AB$26)*(1-CUSTOS!$M$38)</f>
        <v>186.29103092878736</v>
      </c>
      <c r="AB898" s="6">
        <f>$K$898*$V$898</f>
        <v>0</v>
      </c>
      <c r="AC898" s="6">
        <f>$M$898*$W$898</f>
        <v>3766.0930559999997</v>
      </c>
      <c r="AD898" s="6">
        <f>$O$898*$X$898</f>
        <v>2555.473536</v>
      </c>
      <c r="AE898" s="6">
        <f>$K$898*$Y$898</f>
        <v>0</v>
      </c>
      <c r="AF898" s="6">
        <f ca="1">$M$898*$Z$898</f>
        <v>4306.7406630798578</v>
      </c>
      <c r="AG898" s="6">
        <f>$O$898*$AA$898</f>
        <v>2921.341430612872</v>
      </c>
    </row>
    <row r="899" spans="1:33" ht="11.25" customHeight="1" x14ac:dyDescent="0.25">
      <c r="A899" s="4" t="s">
        <v>27</v>
      </c>
      <c r="B899" s="4" t="s">
        <v>41</v>
      </c>
      <c r="C899" s="4" t="s">
        <v>23</v>
      </c>
      <c r="D899" s="4" t="s">
        <v>42</v>
      </c>
      <c r="E899" s="4" t="s">
        <v>50</v>
      </c>
      <c r="F899" s="4" t="s">
        <v>52</v>
      </c>
      <c r="G899" s="4" t="s">
        <v>25</v>
      </c>
      <c r="H899" s="4" t="s">
        <v>25</v>
      </c>
      <c r="I899" s="5">
        <v>44378</v>
      </c>
      <c r="J899" s="6">
        <v>0</v>
      </c>
      <c r="K899" s="6">
        <v>0</v>
      </c>
      <c r="L899" s="6">
        <v>-0.501</v>
      </c>
      <c r="M899" s="6">
        <v>-0.20039999999999999</v>
      </c>
      <c r="N899" s="6">
        <v>-0.501</v>
      </c>
      <c r="O899" s="6">
        <v>-0.20039999999999999</v>
      </c>
      <c r="P899" s="6">
        <v>0</v>
      </c>
      <c r="Q899" s="4" t="s">
        <v>26</v>
      </c>
      <c r="R899" s="4">
        <v>0</v>
      </c>
      <c r="S899" s="6">
        <v>0</v>
      </c>
      <c r="T899" s="6">
        <v>40</v>
      </c>
      <c r="U899" s="6">
        <v>78</v>
      </c>
      <c r="V899" s="6">
        <f>IF(ISERROR(VLOOKUP($S$899,'TAR FIN'!$A$1:$O$93,15,0)),0,VLOOKUP($S$899,'TAR FIN'!$A$1:$O$93,15,0))</f>
        <v>0</v>
      </c>
      <c r="W899" s="6">
        <f>IF(ISERROR(VLOOKUP($T$899,'TAR FIN'!$A$1:$O$93,15,0)),0,VLOOKUP($T$899,'TAR FIN'!$A$1:$O$93,15,0))</f>
        <v>240.16</v>
      </c>
      <c r="X899" s="6">
        <f>IF(ISERROR(VLOOKUP($U$899,'TAR FIN'!$A$1:$O$93,15,0)),0,VLOOKUP($U$899,'TAR FIN'!$A$1:$O$93,15,0))</f>
        <v>162.96</v>
      </c>
      <c r="Y899" s="6"/>
      <c r="Z899" s="6">
        <f ca="1">('TUSD BE'!$AM$37+'TUSD BF'!$AM$37+'TUSD CVA'!$AM$37)*(1-CUSTOS!$M$38)</f>
        <v>274.6365589659128</v>
      </c>
      <c r="AA899" s="6">
        <f>('TE BE'!$AB$26+'TE BF'!$AB$26+'TE CVA'!$AB$26)*(1-CUSTOS!$M$38)</f>
        <v>186.29103092878736</v>
      </c>
      <c r="AB899" s="6">
        <f>$K$899*$V$899</f>
        <v>0</v>
      </c>
      <c r="AC899" s="6">
        <f>$M$899*$W$899</f>
        <v>-48.128063999999995</v>
      </c>
      <c r="AD899" s="6">
        <f>$O$899*$X$899</f>
        <v>-32.657184000000001</v>
      </c>
      <c r="AE899" s="6">
        <f>$K$899*$Y$899</f>
        <v>0</v>
      </c>
      <c r="AF899" s="6">
        <f ca="1">$M$899*$Z$899</f>
        <v>-55.037166416768926</v>
      </c>
      <c r="AG899" s="6">
        <f>$O$899*$AA$899</f>
        <v>-37.332722598128989</v>
      </c>
    </row>
    <row r="900" spans="1:33" ht="11.25" customHeight="1" x14ac:dyDescent="0.25">
      <c r="A900" s="4" t="s">
        <v>21</v>
      </c>
      <c r="B900" s="4" t="s">
        <v>41</v>
      </c>
      <c r="C900" s="4" t="s">
        <v>23</v>
      </c>
      <c r="D900" s="4" t="s">
        <v>42</v>
      </c>
      <c r="E900" s="4" t="s">
        <v>50</v>
      </c>
      <c r="F900" s="4" t="s">
        <v>52</v>
      </c>
      <c r="G900" s="4" t="s">
        <v>25</v>
      </c>
      <c r="H900" s="4" t="s">
        <v>25</v>
      </c>
      <c r="I900" s="5">
        <v>44409</v>
      </c>
      <c r="J900" s="6">
        <v>0</v>
      </c>
      <c r="K900" s="6">
        <v>0</v>
      </c>
      <c r="L900" s="6">
        <v>62.941000000000003</v>
      </c>
      <c r="M900" s="6">
        <v>25.176400000000001</v>
      </c>
      <c r="N900" s="6">
        <v>62.941000000000003</v>
      </c>
      <c r="O900" s="6">
        <v>25.176400000000001</v>
      </c>
      <c r="P900" s="6">
        <v>0</v>
      </c>
      <c r="Q900" s="4" t="s">
        <v>26</v>
      </c>
      <c r="R900" s="4">
        <v>0</v>
      </c>
      <c r="S900" s="6">
        <v>0</v>
      </c>
      <c r="T900" s="6">
        <v>40</v>
      </c>
      <c r="U900" s="6">
        <v>78</v>
      </c>
      <c r="V900" s="6">
        <f>IF(ISERROR(VLOOKUP($S$900,'TAR FIN'!$A$1:$O$93,15,0)),0,VLOOKUP($S$900,'TAR FIN'!$A$1:$O$93,15,0))</f>
        <v>0</v>
      </c>
      <c r="W900" s="6">
        <f>IF(ISERROR(VLOOKUP($T$900,'TAR FIN'!$A$1:$O$93,15,0)),0,VLOOKUP($T$900,'TAR FIN'!$A$1:$O$93,15,0))</f>
        <v>240.16</v>
      </c>
      <c r="X900" s="6">
        <f>IF(ISERROR(VLOOKUP($U$900,'TAR FIN'!$A$1:$O$93,15,0)),0,VLOOKUP($U$900,'TAR FIN'!$A$1:$O$93,15,0))</f>
        <v>162.96</v>
      </c>
      <c r="Y900" s="6"/>
      <c r="Z900" s="6">
        <f ca="1">('TUSD BE'!$AM$37+'TUSD BF'!$AM$37+'TUSD CVA'!$AM$37)*(1-CUSTOS!$M$38)</f>
        <v>274.6365589659128</v>
      </c>
      <c r="AA900" s="6">
        <f>('TE BE'!$AB$26+'TE BF'!$AB$26+'TE CVA'!$AB$26)*(1-CUSTOS!$M$38)</f>
        <v>186.29103092878736</v>
      </c>
      <c r="AB900" s="6">
        <f>$K$900*$V$900</f>
        <v>0</v>
      </c>
      <c r="AC900" s="6">
        <f>$M$900*$W$900</f>
        <v>6046.3642239999999</v>
      </c>
      <c r="AD900" s="6">
        <f>$O$900*$X$900</f>
        <v>4102.7461440000006</v>
      </c>
      <c r="AE900" s="6">
        <f>$K$900*$Y$900</f>
        <v>0</v>
      </c>
      <c r="AF900" s="6">
        <f ca="1">$M$900*$Z$900</f>
        <v>6914.3598631494069</v>
      </c>
      <c r="AG900" s="6">
        <f>$O$900*$AA$900</f>
        <v>4690.1375110755225</v>
      </c>
    </row>
    <row r="901" spans="1:33" ht="11.25" customHeight="1" x14ac:dyDescent="0.25">
      <c r="A901" s="4" t="s">
        <v>27</v>
      </c>
      <c r="B901" s="4" t="s">
        <v>41</v>
      </c>
      <c r="C901" s="4" t="s">
        <v>23</v>
      </c>
      <c r="D901" s="4" t="s">
        <v>42</v>
      </c>
      <c r="E901" s="4" t="s">
        <v>50</v>
      </c>
      <c r="F901" s="4" t="s">
        <v>52</v>
      </c>
      <c r="G901" s="4" t="s">
        <v>25</v>
      </c>
      <c r="H901" s="4" t="s">
        <v>25</v>
      </c>
      <c r="I901" s="5">
        <v>44409</v>
      </c>
      <c r="J901" s="6">
        <v>0</v>
      </c>
      <c r="K901" s="6">
        <v>0</v>
      </c>
      <c r="L901" s="6">
        <v>-8.0000000000000002E-3</v>
      </c>
      <c r="M901" s="6">
        <v>-3.2000000000000002E-3</v>
      </c>
      <c r="N901" s="6">
        <v>-8.0000000000000002E-3</v>
      </c>
      <c r="O901" s="6">
        <v>-3.2000000000000002E-3</v>
      </c>
      <c r="P901" s="6">
        <v>0</v>
      </c>
      <c r="Q901" s="4" t="s">
        <v>26</v>
      </c>
      <c r="R901" s="4">
        <v>0</v>
      </c>
      <c r="S901" s="6">
        <v>0</v>
      </c>
      <c r="T901" s="6">
        <v>40</v>
      </c>
      <c r="U901" s="6">
        <v>78</v>
      </c>
      <c r="V901" s="6">
        <f>IF(ISERROR(VLOOKUP($S$901,'TAR FIN'!$A$1:$O$93,15,0)),0,VLOOKUP($S$901,'TAR FIN'!$A$1:$O$93,15,0))</f>
        <v>0</v>
      </c>
      <c r="W901" s="6">
        <f>IF(ISERROR(VLOOKUP($T$901,'TAR FIN'!$A$1:$O$93,15,0)),0,VLOOKUP($T$901,'TAR FIN'!$A$1:$O$93,15,0))</f>
        <v>240.16</v>
      </c>
      <c r="X901" s="6">
        <f>IF(ISERROR(VLOOKUP($U$901,'TAR FIN'!$A$1:$O$93,15,0)),0,VLOOKUP($U$901,'TAR FIN'!$A$1:$O$93,15,0))</f>
        <v>162.96</v>
      </c>
      <c r="Y901" s="6"/>
      <c r="Z901" s="6">
        <f ca="1">('TUSD BE'!$AM$37+'TUSD BF'!$AM$37+'TUSD CVA'!$AM$37)*(1-CUSTOS!$M$38)</f>
        <v>274.6365589659128</v>
      </c>
      <c r="AA901" s="6">
        <f>('TE BE'!$AB$26+'TE BF'!$AB$26+'TE CVA'!$AB$26)*(1-CUSTOS!$M$38)</f>
        <v>186.29103092878736</v>
      </c>
      <c r="AB901" s="6">
        <f>$K$901*$V$901</f>
        <v>0</v>
      </c>
      <c r="AC901" s="6">
        <f>$M$901*$W$901</f>
        <v>-0.76851199999999997</v>
      </c>
      <c r="AD901" s="6">
        <f>$O$901*$X$901</f>
        <v>-0.52147200000000005</v>
      </c>
      <c r="AE901" s="6">
        <f>$K$901*$Y$901</f>
        <v>0</v>
      </c>
      <c r="AF901" s="6">
        <f ca="1">$M$901*$Z$901</f>
        <v>-0.87883698869092097</v>
      </c>
      <c r="AG901" s="6">
        <f>$O$901*$AA$901</f>
        <v>-0.59613129897211958</v>
      </c>
    </row>
    <row r="902" spans="1:33" ht="11.25" customHeight="1" x14ac:dyDescent="0.25">
      <c r="A902" s="4" t="s">
        <v>21</v>
      </c>
      <c r="B902" s="4" t="s">
        <v>41</v>
      </c>
      <c r="C902" s="4" t="s">
        <v>23</v>
      </c>
      <c r="D902" s="4" t="s">
        <v>42</v>
      </c>
      <c r="E902" s="4" t="s">
        <v>50</v>
      </c>
      <c r="F902" s="4" t="s">
        <v>52</v>
      </c>
      <c r="G902" s="4" t="s">
        <v>25</v>
      </c>
      <c r="H902" s="4" t="s">
        <v>25</v>
      </c>
      <c r="I902" s="5">
        <v>44440</v>
      </c>
      <c r="J902" s="6">
        <v>0</v>
      </c>
      <c r="K902" s="6">
        <v>0</v>
      </c>
      <c r="L902" s="6">
        <v>101.327</v>
      </c>
      <c r="M902" s="6">
        <v>40.530799999999999</v>
      </c>
      <c r="N902" s="6">
        <v>101.327</v>
      </c>
      <c r="O902" s="6">
        <v>40.530799999999999</v>
      </c>
      <c r="P902" s="6">
        <v>0</v>
      </c>
      <c r="Q902" s="4" t="s">
        <v>26</v>
      </c>
      <c r="R902" s="4">
        <v>0</v>
      </c>
      <c r="S902" s="6">
        <v>0</v>
      </c>
      <c r="T902" s="6">
        <v>40</v>
      </c>
      <c r="U902" s="6">
        <v>78</v>
      </c>
      <c r="V902" s="6">
        <f>IF(ISERROR(VLOOKUP($S$902,'TAR FIN'!$A$1:$O$93,15,0)),0,VLOOKUP($S$902,'TAR FIN'!$A$1:$O$93,15,0))</f>
        <v>0</v>
      </c>
      <c r="W902" s="6">
        <f>IF(ISERROR(VLOOKUP($T$902,'TAR FIN'!$A$1:$O$93,15,0)),0,VLOOKUP($T$902,'TAR FIN'!$A$1:$O$93,15,0))</f>
        <v>240.16</v>
      </c>
      <c r="X902" s="6">
        <f>IF(ISERROR(VLOOKUP($U$902,'TAR FIN'!$A$1:$O$93,15,0)),0,VLOOKUP($U$902,'TAR FIN'!$A$1:$O$93,15,0))</f>
        <v>162.96</v>
      </c>
      <c r="Y902" s="6"/>
      <c r="Z902" s="6">
        <f ca="1">('TUSD BE'!$AM$37+'TUSD BF'!$AM$37+'TUSD CVA'!$AM$37)*(1-CUSTOS!$M$38)</f>
        <v>274.6365589659128</v>
      </c>
      <c r="AA902" s="6">
        <f>('TE BE'!$AB$26+'TE BF'!$AB$26+'TE CVA'!$AB$26)*(1-CUSTOS!$M$38)</f>
        <v>186.29103092878736</v>
      </c>
      <c r="AB902" s="6">
        <f>$K$902*$V$902</f>
        <v>0</v>
      </c>
      <c r="AC902" s="6">
        <f>$M$902*$W$902</f>
        <v>9733.8769279999997</v>
      </c>
      <c r="AD902" s="6">
        <f>$O$902*$X$902</f>
        <v>6604.8991679999999</v>
      </c>
      <c r="AE902" s="6">
        <f>$K$902*$Y$902</f>
        <v>0</v>
      </c>
      <c r="AF902" s="6">
        <f ca="1">$M$902*$Z$902</f>
        <v>11131.239444135619</v>
      </c>
      <c r="AG902" s="6">
        <f>$O$902*$AA$902</f>
        <v>7550.5245163684949</v>
      </c>
    </row>
    <row r="903" spans="1:33" ht="11.25" customHeight="1" x14ac:dyDescent="0.25">
      <c r="A903" s="4" t="s">
        <v>27</v>
      </c>
      <c r="B903" s="4" t="s">
        <v>41</v>
      </c>
      <c r="C903" s="4" t="s">
        <v>23</v>
      </c>
      <c r="D903" s="4" t="s">
        <v>42</v>
      </c>
      <c r="E903" s="4" t="s">
        <v>50</v>
      </c>
      <c r="F903" s="4" t="s">
        <v>52</v>
      </c>
      <c r="G903" s="4" t="s">
        <v>25</v>
      </c>
      <c r="H903" s="4" t="s">
        <v>25</v>
      </c>
      <c r="I903" s="5">
        <v>44440</v>
      </c>
      <c r="J903" s="6">
        <v>0</v>
      </c>
      <c r="K903" s="6">
        <v>0</v>
      </c>
      <c r="L903" s="6">
        <v>-0.69</v>
      </c>
      <c r="M903" s="6">
        <v>-0.27600000000000002</v>
      </c>
      <c r="N903" s="6">
        <v>-0.69</v>
      </c>
      <c r="O903" s="6">
        <v>-0.27600000000000002</v>
      </c>
      <c r="P903" s="6">
        <v>0</v>
      </c>
      <c r="Q903" s="4" t="s">
        <v>26</v>
      </c>
      <c r="R903" s="4">
        <v>0</v>
      </c>
      <c r="S903" s="6">
        <v>0</v>
      </c>
      <c r="T903" s="6">
        <v>40</v>
      </c>
      <c r="U903" s="6">
        <v>78</v>
      </c>
      <c r="V903" s="6">
        <f>IF(ISERROR(VLOOKUP($S$903,'TAR FIN'!$A$1:$O$93,15,0)),0,VLOOKUP($S$903,'TAR FIN'!$A$1:$O$93,15,0))</f>
        <v>0</v>
      </c>
      <c r="W903" s="6">
        <f>IF(ISERROR(VLOOKUP($T$903,'TAR FIN'!$A$1:$O$93,15,0)),0,VLOOKUP($T$903,'TAR FIN'!$A$1:$O$93,15,0))</f>
        <v>240.16</v>
      </c>
      <c r="X903" s="6">
        <f>IF(ISERROR(VLOOKUP($U$903,'TAR FIN'!$A$1:$O$93,15,0)),0,VLOOKUP($U$903,'TAR FIN'!$A$1:$O$93,15,0))</f>
        <v>162.96</v>
      </c>
      <c r="Y903" s="6"/>
      <c r="Z903" s="6">
        <f ca="1">('TUSD BE'!$AM$37+'TUSD BF'!$AM$37+'TUSD CVA'!$AM$37)*(1-CUSTOS!$M$38)</f>
        <v>274.6365589659128</v>
      </c>
      <c r="AA903" s="6">
        <f>('TE BE'!$AB$26+'TE BF'!$AB$26+'TE CVA'!$AB$26)*(1-CUSTOS!$M$38)</f>
        <v>186.29103092878736</v>
      </c>
      <c r="AB903" s="6">
        <f>$K$903*$V$903</f>
        <v>0</v>
      </c>
      <c r="AC903" s="6">
        <f>$M$903*$W$903</f>
        <v>-66.28416</v>
      </c>
      <c r="AD903" s="6">
        <f>$O$903*$X$903</f>
        <v>-44.976960000000005</v>
      </c>
      <c r="AE903" s="6">
        <f>$K$903*$Y$903</f>
        <v>0</v>
      </c>
      <c r="AF903" s="6">
        <f ca="1">$M$903*$Z$903</f>
        <v>-75.799690274591939</v>
      </c>
      <c r="AG903" s="6">
        <f>$O$903*$AA$903</f>
        <v>-51.416324536345314</v>
      </c>
    </row>
    <row r="904" spans="1:33" ht="11.25" customHeight="1" x14ac:dyDescent="0.25">
      <c r="A904" s="4" t="s">
        <v>28</v>
      </c>
      <c r="B904" s="4" t="s">
        <v>41</v>
      </c>
      <c r="C904" s="4" t="s">
        <v>23</v>
      </c>
      <c r="D904" s="4" t="s">
        <v>42</v>
      </c>
      <c r="E904" s="4" t="s">
        <v>50</v>
      </c>
      <c r="F904" s="4" t="s">
        <v>52</v>
      </c>
      <c r="G904" s="4" t="s">
        <v>25</v>
      </c>
      <c r="H904" s="4" t="s">
        <v>25</v>
      </c>
      <c r="I904" s="5">
        <v>44440</v>
      </c>
      <c r="J904" s="6">
        <v>0</v>
      </c>
      <c r="K904" s="6">
        <v>0</v>
      </c>
      <c r="L904" s="6">
        <v>0.1</v>
      </c>
      <c r="M904" s="6">
        <v>0.04</v>
      </c>
      <c r="N904" s="6">
        <v>0.1</v>
      </c>
      <c r="O904" s="6">
        <v>0.04</v>
      </c>
      <c r="P904" s="6">
        <v>0</v>
      </c>
      <c r="Q904" s="4" t="s">
        <v>26</v>
      </c>
      <c r="R904" s="4">
        <v>0</v>
      </c>
      <c r="S904" s="6">
        <v>0</v>
      </c>
      <c r="T904" s="6">
        <v>40</v>
      </c>
      <c r="U904" s="6">
        <v>78</v>
      </c>
      <c r="V904" s="6">
        <f>IF(ISERROR(VLOOKUP($S$904,'TAR FIN'!$A$1:$O$93,15,0)),0,VLOOKUP($S$904,'TAR FIN'!$A$1:$O$93,15,0))</f>
        <v>0</v>
      </c>
      <c r="W904" s="6">
        <f>IF(ISERROR(VLOOKUP($T$904,'TAR FIN'!$A$1:$O$93,15,0)),0,VLOOKUP($T$904,'TAR FIN'!$A$1:$O$93,15,0))</f>
        <v>240.16</v>
      </c>
      <c r="X904" s="6">
        <f>IF(ISERROR(VLOOKUP($U$904,'TAR FIN'!$A$1:$O$93,15,0)),0,VLOOKUP($U$904,'TAR FIN'!$A$1:$O$93,15,0))</f>
        <v>162.96</v>
      </c>
      <c r="Y904" s="6"/>
      <c r="Z904" s="6">
        <f ca="1">('TUSD BE'!$AM$37+'TUSD BF'!$AM$37+'TUSD CVA'!$AM$37)*(1-CUSTOS!$M$38)</f>
        <v>274.6365589659128</v>
      </c>
      <c r="AA904" s="6">
        <f>('TE BE'!$AB$26+'TE BF'!$AB$26+'TE CVA'!$AB$26)*(1-CUSTOS!$M$38)</f>
        <v>186.29103092878736</v>
      </c>
      <c r="AB904" s="6">
        <f>$K$904*$V$904</f>
        <v>0</v>
      </c>
      <c r="AC904" s="6">
        <f>$M$904*$W$904</f>
        <v>9.6064000000000007</v>
      </c>
      <c r="AD904" s="6">
        <f>$O$904*$X$904</f>
        <v>6.5184000000000006</v>
      </c>
      <c r="AE904" s="6">
        <f>$K$904*$Y$904</f>
        <v>0</v>
      </c>
      <c r="AF904" s="6">
        <f ca="1">$M$904*$Z$904</f>
        <v>10.985462358636513</v>
      </c>
      <c r="AG904" s="6">
        <f>$O$904*$AA$904</f>
        <v>7.4516412371514944</v>
      </c>
    </row>
    <row r="905" spans="1:33" ht="11.25" customHeight="1" x14ac:dyDescent="0.25">
      <c r="A905" s="4" t="s">
        <v>21</v>
      </c>
      <c r="B905" s="4" t="s">
        <v>41</v>
      </c>
      <c r="C905" s="4" t="s">
        <v>23</v>
      </c>
      <c r="D905" s="4" t="s">
        <v>42</v>
      </c>
      <c r="E905" s="4" t="s">
        <v>50</v>
      </c>
      <c r="F905" s="4" t="s">
        <v>52</v>
      </c>
      <c r="G905" s="4" t="s">
        <v>25</v>
      </c>
      <c r="H905" s="4" t="s">
        <v>25</v>
      </c>
      <c r="I905" s="5">
        <v>44470</v>
      </c>
      <c r="J905" s="6">
        <v>0</v>
      </c>
      <c r="K905" s="6">
        <v>0</v>
      </c>
      <c r="L905" s="6">
        <v>49.481999999999999</v>
      </c>
      <c r="M905" s="6">
        <v>19.7928</v>
      </c>
      <c r="N905" s="6">
        <v>49.481999999999999</v>
      </c>
      <c r="O905" s="6">
        <v>19.7928</v>
      </c>
      <c r="P905" s="6">
        <v>0</v>
      </c>
      <c r="Q905" s="4" t="s">
        <v>26</v>
      </c>
      <c r="R905" s="4">
        <v>0</v>
      </c>
      <c r="S905" s="6">
        <v>0</v>
      </c>
      <c r="T905" s="6">
        <v>40</v>
      </c>
      <c r="U905" s="6">
        <v>78</v>
      </c>
      <c r="V905" s="6">
        <f>IF(ISERROR(VLOOKUP($S$905,'TAR FIN'!$A$1:$O$93,15,0)),0,VLOOKUP($S$905,'TAR FIN'!$A$1:$O$93,15,0))</f>
        <v>0</v>
      </c>
      <c r="W905" s="6">
        <f>IF(ISERROR(VLOOKUP($T$905,'TAR FIN'!$A$1:$O$93,15,0)),0,VLOOKUP($T$905,'TAR FIN'!$A$1:$O$93,15,0))</f>
        <v>240.16</v>
      </c>
      <c r="X905" s="6">
        <f>IF(ISERROR(VLOOKUP($U$905,'TAR FIN'!$A$1:$O$93,15,0)),0,VLOOKUP($U$905,'TAR FIN'!$A$1:$O$93,15,0))</f>
        <v>162.96</v>
      </c>
      <c r="Y905" s="6"/>
      <c r="Z905" s="6">
        <f ca="1">('TUSD BE'!$AM$37+'TUSD BF'!$AM$37+'TUSD CVA'!$AM$37)*(1-CUSTOS!$M$38)</f>
        <v>274.6365589659128</v>
      </c>
      <c r="AA905" s="6">
        <f>('TE BE'!$AB$26+'TE BF'!$AB$26+'TE CVA'!$AB$26)*(1-CUSTOS!$M$38)</f>
        <v>186.29103092878736</v>
      </c>
      <c r="AB905" s="6">
        <f>$K$905*$V$905</f>
        <v>0</v>
      </c>
      <c r="AC905" s="6">
        <f>$M$905*$W$905</f>
        <v>4753.4388479999998</v>
      </c>
      <c r="AD905" s="6">
        <f>$O$905*$X$905</f>
        <v>3225.4346880000003</v>
      </c>
      <c r="AE905" s="6">
        <f>$K$905*$Y$905</f>
        <v>0</v>
      </c>
      <c r="AF905" s="6">
        <f ca="1">$M$905*$Z$905</f>
        <v>5435.826484300519</v>
      </c>
      <c r="AG905" s="6">
        <f>$O$905*$AA$905</f>
        <v>3687.2211169673024</v>
      </c>
    </row>
    <row r="906" spans="1:33" ht="11.25" customHeight="1" x14ac:dyDescent="0.25">
      <c r="A906" s="4" t="s">
        <v>27</v>
      </c>
      <c r="B906" s="4" t="s">
        <v>41</v>
      </c>
      <c r="C906" s="4" t="s">
        <v>23</v>
      </c>
      <c r="D906" s="4" t="s">
        <v>42</v>
      </c>
      <c r="E906" s="4" t="s">
        <v>50</v>
      </c>
      <c r="F906" s="4" t="s">
        <v>52</v>
      </c>
      <c r="G906" s="4" t="s">
        <v>25</v>
      </c>
      <c r="H906" s="4" t="s">
        <v>25</v>
      </c>
      <c r="I906" s="5">
        <v>44470</v>
      </c>
      <c r="J906" s="6">
        <v>0</v>
      </c>
      <c r="K906" s="6">
        <v>0</v>
      </c>
      <c r="L906" s="6">
        <v>-1.534</v>
      </c>
      <c r="M906" s="6">
        <v>-0.61360000000000003</v>
      </c>
      <c r="N906" s="6">
        <v>-1.534</v>
      </c>
      <c r="O906" s="6">
        <v>-0.61360000000000003</v>
      </c>
      <c r="P906" s="6">
        <v>0</v>
      </c>
      <c r="Q906" s="4" t="s">
        <v>26</v>
      </c>
      <c r="R906" s="4">
        <v>0</v>
      </c>
      <c r="S906" s="6">
        <v>0</v>
      </c>
      <c r="T906" s="6">
        <v>40</v>
      </c>
      <c r="U906" s="6">
        <v>78</v>
      </c>
      <c r="V906" s="6">
        <f>IF(ISERROR(VLOOKUP($S$906,'TAR FIN'!$A$1:$O$93,15,0)),0,VLOOKUP($S$906,'TAR FIN'!$A$1:$O$93,15,0))</f>
        <v>0</v>
      </c>
      <c r="W906" s="6">
        <f>IF(ISERROR(VLOOKUP($T$906,'TAR FIN'!$A$1:$O$93,15,0)),0,VLOOKUP($T$906,'TAR FIN'!$A$1:$O$93,15,0))</f>
        <v>240.16</v>
      </c>
      <c r="X906" s="6">
        <f>IF(ISERROR(VLOOKUP($U$906,'TAR FIN'!$A$1:$O$93,15,0)),0,VLOOKUP($U$906,'TAR FIN'!$A$1:$O$93,15,0))</f>
        <v>162.96</v>
      </c>
      <c r="Y906" s="6"/>
      <c r="Z906" s="6">
        <f ca="1">('TUSD BE'!$AM$37+'TUSD BF'!$AM$37+'TUSD CVA'!$AM$37)*(1-CUSTOS!$M$38)</f>
        <v>274.6365589659128</v>
      </c>
      <c r="AA906" s="6">
        <f>('TE BE'!$AB$26+'TE BF'!$AB$26+'TE CVA'!$AB$26)*(1-CUSTOS!$M$38)</f>
        <v>186.29103092878736</v>
      </c>
      <c r="AB906" s="6">
        <f>$K$906*$V$906</f>
        <v>0</v>
      </c>
      <c r="AC906" s="6">
        <f>$M$906*$W$906</f>
        <v>-147.36217600000001</v>
      </c>
      <c r="AD906" s="6">
        <f>$O$906*$X$906</f>
        <v>-99.992256000000012</v>
      </c>
      <c r="AE906" s="6">
        <f>$K$906*$Y$906</f>
        <v>0</v>
      </c>
      <c r="AF906" s="6">
        <f ca="1">$M$906*$Z$906</f>
        <v>-168.51699258148409</v>
      </c>
      <c r="AG906" s="6">
        <f>$O$906*$AA$906</f>
        <v>-114.30817657790394</v>
      </c>
    </row>
    <row r="907" spans="1:33" ht="11.25" customHeight="1" x14ac:dyDescent="0.25">
      <c r="A907" s="4" t="s">
        <v>21</v>
      </c>
      <c r="B907" s="4" t="s">
        <v>41</v>
      </c>
      <c r="C907" s="4" t="s">
        <v>23</v>
      </c>
      <c r="D907" s="4" t="s">
        <v>42</v>
      </c>
      <c r="E907" s="4" t="s">
        <v>50</v>
      </c>
      <c r="F907" s="4" t="s">
        <v>52</v>
      </c>
      <c r="G907" s="4" t="s">
        <v>25</v>
      </c>
      <c r="H907" s="4" t="s">
        <v>25</v>
      </c>
      <c r="I907" s="5">
        <v>44501</v>
      </c>
      <c r="J907" s="6">
        <v>0</v>
      </c>
      <c r="K907" s="6">
        <v>0</v>
      </c>
      <c r="L907" s="6">
        <v>131.38300000000001</v>
      </c>
      <c r="M907" s="6">
        <v>52.553199999999997</v>
      </c>
      <c r="N907" s="6">
        <v>131.38300000000001</v>
      </c>
      <c r="O907" s="6">
        <v>52.553199999999997</v>
      </c>
      <c r="P907" s="6">
        <v>0</v>
      </c>
      <c r="Q907" s="4" t="s">
        <v>26</v>
      </c>
      <c r="R907" s="4">
        <v>0</v>
      </c>
      <c r="S907" s="6">
        <v>0</v>
      </c>
      <c r="T907" s="6">
        <v>40</v>
      </c>
      <c r="U907" s="6">
        <v>78</v>
      </c>
      <c r="V907" s="6">
        <f>IF(ISERROR(VLOOKUP($S$907,'TAR FIN'!$A$1:$O$93,15,0)),0,VLOOKUP($S$907,'TAR FIN'!$A$1:$O$93,15,0))</f>
        <v>0</v>
      </c>
      <c r="W907" s="6">
        <f>IF(ISERROR(VLOOKUP($T$907,'TAR FIN'!$A$1:$O$93,15,0)),0,VLOOKUP($T$907,'TAR FIN'!$A$1:$O$93,15,0))</f>
        <v>240.16</v>
      </c>
      <c r="X907" s="6">
        <f>IF(ISERROR(VLOOKUP($U$907,'TAR FIN'!$A$1:$O$93,15,0)),0,VLOOKUP($U$907,'TAR FIN'!$A$1:$O$93,15,0))</f>
        <v>162.96</v>
      </c>
      <c r="Y907" s="6"/>
      <c r="Z907" s="6">
        <f ca="1">('TUSD BE'!$AM$37+'TUSD BF'!$AM$37+'TUSD CVA'!$AM$37)*(1-CUSTOS!$M$38)</f>
        <v>274.6365589659128</v>
      </c>
      <c r="AA907" s="6">
        <f>('TE BE'!$AB$26+'TE BF'!$AB$26+'TE CVA'!$AB$26)*(1-CUSTOS!$M$38)</f>
        <v>186.29103092878736</v>
      </c>
      <c r="AB907" s="6">
        <f>$K$907*$V$907</f>
        <v>0</v>
      </c>
      <c r="AC907" s="6">
        <f>$M$907*$W$907</f>
        <v>12621.176511999998</v>
      </c>
      <c r="AD907" s="6">
        <f>$O$907*$X$907</f>
        <v>8564.0694719999992</v>
      </c>
      <c r="AE907" s="6">
        <f>$K$907*$Y$907</f>
        <v>0</v>
      </c>
      <c r="AF907" s="6">
        <f ca="1">$M$907*$Z$907</f>
        <v>14433.030010647408</v>
      </c>
      <c r="AG907" s="6">
        <f>$O$907*$AA$907</f>
        <v>9790.1898066067479</v>
      </c>
    </row>
    <row r="908" spans="1:33" ht="11.25" customHeight="1" x14ac:dyDescent="0.25">
      <c r="A908" s="4" t="s">
        <v>21</v>
      </c>
      <c r="B908" s="4" t="s">
        <v>41</v>
      </c>
      <c r="C908" s="4" t="s">
        <v>23</v>
      </c>
      <c r="D908" s="4" t="s">
        <v>42</v>
      </c>
      <c r="E908" s="4" t="s">
        <v>50</v>
      </c>
      <c r="F908" s="4" t="s">
        <v>52</v>
      </c>
      <c r="G908" s="4" t="s">
        <v>25</v>
      </c>
      <c r="H908" s="4" t="s">
        <v>25</v>
      </c>
      <c r="I908" s="5">
        <v>44531</v>
      </c>
      <c r="J908" s="6">
        <v>0</v>
      </c>
      <c r="K908" s="6">
        <v>0</v>
      </c>
      <c r="L908" s="6">
        <v>812.57</v>
      </c>
      <c r="M908" s="6">
        <v>325.02800000000002</v>
      </c>
      <c r="N908" s="6">
        <v>812.57</v>
      </c>
      <c r="O908" s="6">
        <v>325.02800000000002</v>
      </c>
      <c r="P908" s="6">
        <v>0</v>
      </c>
      <c r="Q908" s="4" t="s">
        <v>26</v>
      </c>
      <c r="R908" s="4">
        <v>0</v>
      </c>
      <c r="S908" s="6">
        <v>0</v>
      </c>
      <c r="T908" s="6">
        <v>40</v>
      </c>
      <c r="U908" s="6">
        <v>78</v>
      </c>
      <c r="V908" s="6">
        <f>IF(ISERROR(VLOOKUP($S$908,'TAR FIN'!$A$1:$O$93,15,0)),0,VLOOKUP($S$908,'TAR FIN'!$A$1:$O$93,15,0))</f>
        <v>0</v>
      </c>
      <c r="W908" s="6">
        <f>IF(ISERROR(VLOOKUP($T$908,'TAR FIN'!$A$1:$O$93,15,0)),0,VLOOKUP($T$908,'TAR FIN'!$A$1:$O$93,15,0))</f>
        <v>240.16</v>
      </c>
      <c r="X908" s="6">
        <f>IF(ISERROR(VLOOKUP($U$908,'TAR FIN'!$A$1:$O$93,15,0)),0,VLOOKUP($U$908,'TAR FIN'!$A$1:$O$93,15,0))</f>
        <v>162.96</v>
      </c>
      <c r="Y908" s="6"/>
      <c r="Z908" s="6">
        <f ca="1">('TUSD BE'!$AM$37+'TUSD BF'!$AM$37+'TUSD CVA'!$AM$37)*(1-CUSTOS!$M$38)</f>
        <v>274.6365589659128</v>
      </c>
      <c r="AA908" s="6">
        <f>('TE BE'!$AB$26+'TE BF'!$AB$26+'TE CVA'!$AB$26)*(1-CUSTOS!$M$38)</f>
        <v>186.29103092878736</v>
      </c>
      <c r="AB908" s="6">
        <f>$K$908*$V$908</f>
        <v>0</v>
      </c>
      <c r="AC908" s="6">
        <f>$M$908*$W$908</f>
        <v>78058.724480000004</v>
      </c>
      <c r="AD908" s="6">
        <f>$O$908*$X$908</f>
        <v>52966.562880000005</v>
      </c>
      <c r="AE908" s="6">
        <f>$K$908*$Y$908</f>
        <v>0</v>
      </c>
      <c r="AF908" s="6">
        <f ca="1">$M$908*$Z$908</f>
        <v>89264.571487572714</v>
      </c>
      <c r="AG908" s="6">
        <f>$O$908*$AA$908</f>
        <v>60549.8012007219</v>
      </c>
    </row>
    <row r="909" spans="1:33" ht="11.25" customHeight="1" x14ac:dyDescent="0.25">
      <c r="A909" s="4" t="s">
        <v>27</v>
      </c>
      <c r="B909" s="4" t="s">
        <v>41</v>
      </c>
      <c r="C909" s="4" t="s">
        <v>23</v>
      </c>
      <c r="D909" s="4" t="s">
        <v>42</v>
      </c>
      <c r="E909" s="4" t="s">
        <v>50</v>
      </c>
      <c r="F909" s="4" t="s">
        <v>52</v>
      </c>
      <c r="G909" s="4" t="s">
        <v>25</v>
      </c>
      <c r="H909" s="4" t="s">
        <v>25</v>
      </c>
      <c r="I909" s="5">
        <v>44531</v>
      </c>
      <c r="J909" s="6">
        <v>0</v>
      </c>
      <c r="K909" s="6">
        <v>0</v>
      </c>
      <c r="L909" s="6">
        <v>-44.145000000000003</v>
      </c>
      <c r="M909" s="6">
        <v>-17.658000000000001</v>
      </c>
      <c r="N909" s="6">
        <v>-44.145000000000003</v>
      </c>
      <c r="O909" s="6">
        <v>-17.658000000000001</v>
      </c>
      <c r="P909" s="6">
        <v>0</v>
      </c>
      <c r="Q909" s="4" t="s">
        <v>26</v>
      </c>
      <c r="R909" s="4">
        <v>0</v>
      </c>
      <c r="S909" s="6">
        <v>0</v>
      </c>
      <c r="T909" s="6">
        <v>40</v>
      </c>
      <c r="U909" s="6">
        <v>78</v>
      </c>
      <c r="V909" s="6">
        <f>IF(ISERROR(VLOOKUP($S$909,'TAR FIN'!$A$1:$O$93,15,0)),0,VLOOKUP($S$909,'TAR FIN'!$A$1:$O$93,15,0))</f>
        <v>0</v>
      </c>
      <c r="W909" s="6">
        <f>IF(ISERROR(VLOOKUP($T$909,'TAR FIN'!$A$1:$O$93,15,0)),0,VLOOKUP($T$909,'TAR FIN'!$A$1:$O$93,15,0))</f>
        <v>240.16</v>
      </c>
      <c r="X909" s="6">
        <f>IF(ISERROR(VLOOKUP($U$909,'TAR FIN'!$A$1:$O$93,15,0)),0,VLOOKUP($U$909,'TAR FIN'!$A$1:$O$93,15,0))</f>
        <v>162.96</v>
      </c>
      <c r="Y909" s="6"/>
      <c r="Z909" s="6">
        <f ca="1">('TUSD BE'!$AM$37+'TUSD BF'!$AM$37+'TUSD CVA'!$AM$37)*(1-CUSTOS!$M$38)</f>
        <v>274.6365589659128</v>
      </c>
      <c r="AA909" s="6">
        <f>('TE BE'!$AB$26+'TE BF'!$AB$26+'TE CVA'!$AB$26)*(1-CUSTOS!$M$38)</f>
        <v>186.29103092878736</v>
      </c>
      <c r="AB909" s="6">
        <f>$K$909*$V$909</f>
        <v>0</v>
      </c>
      <c r="AC909" s="6">
        <f>$M$909*$W$909</f>
        <v>-4240.7452800000001</v>
      </c>
      <c r="AD909" s="6">
        <f>$O$909*$X$909</f>
        <v>-2877.5476800000001</v>
      </c>
      <c r="AE909" s="6">
        <f>$K$909*$Y$909</f>
        <v>0</v>
      </c>
      <c r="AF909" s="6">
        <f ca="1">$M$909*$Z$909</f>
        <v>-4849.5323582200881</v>
      </c>
      <c r="AG909" s="6">
        <f>$O$909*$AA$909</f>
        <v>-3289.5270241405274</v>
      </c>
    </row>
    <row r="910" spans="1:33" ht="11.25" customHeight="1" x14ac:dyDescent="0.25">
      <c r="A910" s="4" t="s">
        <v>21</v>
      </c>
      <c r="B910" s="4" t="s">
        <v>41</v>
      </c>
      <c r="C910" s="4" t="s">
        <v>23</v>
      </c>
      <c r="D910" s="4" t="s">
        <v>42</v>
      </c>
      <c r="E910" s="4" t="s">
        <v>50</v>
      </c>
      <c r="F910" s="4" t="s">
        <v>52</v>
      </c>
      <c r="G910" s="4" t="s">
        <v>25</v>
      </c>
      <c r="H910" s="4" t="s">
        <v>25</v>
      </c>
      <c r="I910" s="5">
        <v>44562</v>
      </c>
      <c r="J910" s="6">
        <v>0</v>
      </c>
      <c r="K910" s="6">
        <v>0</v>
      </c>
      <c r="L910" s="6">
        <v>1028.1130000000001</v>
      </c>
      <c r="M910" s="6">
        <v>411.24520000000001</v>
      </c>
      <c r="N910" s="6">
        <v>1028.1130000000001</v>
      </c>
      <c r="O910" s="6">
        <v>411.24520000000001</v>
      </c>
      <c r="P910" s="6">
        <v>0</v>
      </c>
      <c r="Q910" s="4" t="s">
        <v>26</v>
      </c>
      <c r="R910" s="4">
        <v>0</v>
      </c>
      <c r="S910" s="6">
        <v>0</v>
      </c>
      <c r="T910" s="6">
        <v>40</v>
      </c>
      <c r="U910" s="6">
        <v>78</v>
      </c>
      <c r="V910" s="6">
        <f>IF(ISERROR(VLOOKUP($S$910,'TAR FIN'!$A$1:$O$93,15,0)),0,VLOOKUP($S$910,'TAR FIN'!$A$1:$O$93,15,0))</f>
        <v>0</v>
      </c>
      <c r="W910" s="6">
        <f>IF(ISERROR(VLOOKUP($T$910,'TAR FIN'!$A$1:$O$93,15,0)),0,VLOOKUP($T$910,'TAR FIN'!$A$1:$O$93,15,0))</f>
        <v>240.16</v>
      </c>
      <c r="X910" s="6">
        <f>IF(ISERROR(VLOOKUP($U$910,'TAR FIN'!$A$1:$O$93,15,0)),0,VLOOKUP($U$910,'TAR FIN'!$A$1:$O$93,15,0))</f>
        <v>162.96</v>
      </c>
      <c r="Y910" s="6"/>
      <c r="Z910" s="6">
        <f ca="1">('TUSD BE'!$AM$37+'TUSD BF'!$AM$37+'TUSD CVA'!$AM$37)*(1-CUSTOS!$M$38)</f>
        <v>274.6365589659128</v>
      </c>
      <c r="AA910" s="6">
        <f>('TE BE'!$AB$26+'TE BF'!$AB$26+'TE CVA'!$AB$26)*(1-CUSTOS!$M$38)</f>
        <v>186.29103092878736</v>
      </c>
      <c r="AB910" s="6">
        <f>$K$910*$V$910</f>
        <v>0</v>
      </c>
      <c r="AC910" s="6">
        <f>$M$910*$W$910</f>
        <v>98764.647232000003</v>
      </c>
      <c r="AD910" s="6">
        <f>$O$910*$X$910</f>
        <v>67016.517791999999</v>
      </c>
      <c r="AE910" s="6">
        <f>$K$910*$Y$910</f>
        <v>0</v>
      </c>
      <c r="AF910" s="6">
        <f ca="1">$M$910*$Z$910</f>
        <v>112942.9666192486</v>
      </c>
      <c r="AG910" s="6">
        <f>$O$910*$AA$910</f>
        <v>76611.292272515348</v>
      </c>
    </row>
    <row r="911" spans="1:33" ht="11.25" customHeight="1" x14ac:dyDescent="0.25">
      <c r="A911" s="4" t="s">
        <v>28</v>
      </c>
      <c r="B911" s="4" t="s">
        <v>41</v>
      </c>
      <c r="C911" s="4" t="s">
        <v>23</v>
      </c>
      <c r="D911" s="4" t="s">
        <v>42</v>
      </c>
      <c r="E911" s="4" t="s">
        <v>50</v>
      </c>
      <c r="F911" s="4" t="s">
        <v>52</v>
      </c>
      <c r="G911" s="4" t="s">
        <v>25</v>
      </c>
      <c r="H911" s="4" t="s">
        <v>25</v>
      </c>
      <c r="I911" s="5">
        <v>44562</v>
      </c>
      <c r="J911" s="6">
        <v>0</v>
      </c>
      <c r="K911" s="6">
        <v>0</v>
      </c>
      <c r="L911" s="6">
        <v>17.23</v>
      </c>
      <c r="M911" s="6">
        <v>6.8920000000000003</v>
      </c>
      <c r="N911" s="6">
        <v>17.23</v>
      </c>
      <c r="O911" s="6">
        <v>6.8920000000000003</v>
      </c>
      <c r="P911" s="6">
        <v>0</v>
      </c>
      <c r="Q911" s="4" t="s">
        <v>26</v>
      </c>
      <c r="R911" s="4">
        <v>0</v>
      </c>
      <c r="S911" s="6">
        <v>0</v>
      </c>
      <c r="T911" s="6">
        <v>40</v>
      </c>
      <c r="U911" s="6">
        <v>78</v>
      </c>
      <c r="V911" s="6">
        <f>IF(ISERROR(VLOOKUP($S$911,'TAR FIN'!$A$1:$O$93,15,0)),0,VLOOKUP($S$911,'TAR FIN'!$A$1:$O$93,15,0))</f>
        <v>0</v>
      </c>
      <c r="W911" s="6">
        <f>IF(ISERROR(VLOOKUP($T$911,'TAR FIN'!$A$1:$O$93,15,0)),0,VLOOKUP($T$911,'TAR FIN'!$A$1:$O$93,15,0))</f>
        <v>240.16</v>
      </c>
      <c r="X911" s="6">
        <f>IF(ISERROR(VLOOKUP($U$911,'TAR FIN'!$A$1:$O$93,15,0)),0,VLOOKUP($U$911,'TAR FIN'!$A$1:$O$93,15,0))</f>
        <v>162.96</v>
      </c>
      <c r="Y911" s="6"/>
      <c r="Z911" s="6">
        <f ca="1">('TUSD BE'!$AM$37+'TUSD BF'!$AM$37+'TUSD CVA'!$AM$37)*(1-CUSTOS!$M$38)</f>
        <v>274.6365589659128</v>
      </c>
      <c r="AA911" s="6">
        <f>('TE BE'!$AB$26+'TE BF'!$AB$26+'TE CVA'!$AB$26)*(1-CUSTOS!$M$38)</f>
        <v>186.29103092878736</v>
      </c>
      <c r="AB911" s="6">
        <f>$K$911*$V$911</f>
        <v>0</v>
      </c>
      <c r="AC911" s="6">
        <f>$M$911*$W$911</f>
        <v>1655.18272</v>
      </c>
      <c r="AD911" s="6">
        <f>$O$911*$X$911</f>
        <v>1123.1203200000002</v>
      </c>
      <c r="AE911" s="6">
        <f>$K$911*$Y$911</f>
        <v>0</v>
      </c>
      <c r="AF911" s="6">
        <f ca="1">$M$911*$Z$911</f>
        <v>1892.795164393071</v>
      </c>
      <c r="AG911" s="6">
        <f>$O$911*$AA$911</f>
        <v>1283.9177851612026</v>
      </c>
    </row>
    <row r="912" spans="1:33" ht="11.25" customHeight="1" x14ac:dyDescent="0.25">
      <c r="A912" s="4" t="s">
        <v>21</v>
      </c>
      <c r="B912" s="4" t="s">
        <v>41</v>
      </c>
      <c r="C912" s="4" t="s">
        <v>23</v>
      </c>
      <c r="D912" s="4" t="s">
        <v>42</v>
      </c>
      <c r="E912" s="4" t="s">
        <v>50</v>
      </c>
      <c r="F912" s="4" t="s">
        <v>52</v>
      </c>
      <c r="G912" s="4" t="s">
        <v>25</v>
      </c>
      <c r="H912" s="4" t="s">
        <v>25</v>
      </c>
      <c r="I912" s="5">
        <v>44593</v>
      </c>
      <c r="J912" s="6">
        <v>0</v>
      </c>
      <c r="K912" s="6">
        <v>0</v>
      </c>
      <c r="L912" s="6">
        <v>742.851</v>
      </c>
      <c r="M912" s="6">
        <v>297.1404</v>
      </c>
      <c r="N912" s="6">
        <v>742.851</v>
      </c>
      <c r="O912" s="6">
        <v>297.1404</v>
      </c>
      <c r="P912" s="6">
        <v>0</v>
      </c>
      <c r="Q912" s="4" t="s">
        <v>26</v>
      </c>
      <c r="R912" s="4">
        <v>0</v>
      </c>
      <c r="S912" s="6">
        <v>0</v>
      </c>
      <c r="T912" s="6">
        <v>40</v>
      </c>
      <c r="U912" s="6">
        <v>78</v>
      </c>
      <c r="V912" s="6">
        <f>IF(ISERROR(VLOOKUP($S$912,'TAR FIN'!$A$1:$O$93,15,0)),0,VLOOKUP($S$912,'TAR FIN'!$A$1:$O$93,15,0))</f>
        <v>0</v>
      </c>
      <c r="W912" s="6">
        <f>IF(ISERROR(VLOOKUP($T$912,'TAR FIN'!$A$1:$O$93,15,0)),0,VLOOKUP($T$912,'TAR FIN'!$A$1:$O$93,15,0))</f>
        <v>240.16</v>
      </c>
      <c r="X912" s="6">
        <f>IF(ISERROR(VLOOKUP($U$912,'TAR FIN'!$A$1:$O$93,15,0)),0,VLOOKUP($U$912,'TAR FIN'!$A$1:$O$93,15,0))</f>
        <v>162.96</v>
      </c>
      <c r="Y912" s="6"/>
      <c r="Z912" s="6">
        <f ca="1">('TUSD BE'!$AM$37+'TUSD BF'!$AM$37+'TUSD CVA'!$AM$37)*(1-CUSTOS!$M$38)</f>
        <v>274.6365589659128</v>
      </c>
      <c r="AA912" s="6">
        <f>('TE BE'!$AB$26+'TE BF'!$AB$26+'TE CVA'!$AB$26)*(1-CUSTOS!$M$38)</f>
        <v>186.29103092878736</v>
      </c>
      <c r="AB912" s="6">
        <f>$K$912*$V$912</f>
        <v>0</v>
      </c>
      <c r="AC912" s="6">
        <f>$M$912*$W$912</f>
        <v>71361.238463999995</v>
      </c>
      <c r="AD912" s="6">
        <f>$O$912*$X$912</f>
        <v>48421.999584000005</v>
      </c>
      <c r="AE912" s="6">
        <f>$K$912*$Y$912</f>
        <v>0</v>
      </c>
      <c r="AF912" s="6">
        <f ca="1">$M$912*$Z$912</f>
        <v>81605.61698575491</v>
      </c>
      <c r="AG912" s="6">
        <f>$O$912*$AA$912</f>
        <v>55354.591446592247</v>
      </c>
    </row>
    <row r="913" spans="1:33" ht="11.25" customHeight="1" x14ac:dyDescent="0.25">
      <c r="A913" s="4" t="s">
        <v>27</v>
      </c>
      <c r="B913" s="4" t="s">
        <v>41</v>
      </c>
      <c r="C913" s="4" t="s">
        <v>23</v>
      </c>
      <c r="D913" s="4" t="s">
        <v>42</v>
      </c>
      <c r="E913" s="4" t="s">
        <v>50</v>
      </c>
      <c r="F913" s="4" t="s">
        <v>52</v>
      </c>
      <c r="G913" s="4" t="s">
        <v>25</v>
      </c>
      <c r="H913" s="4" t="s">
        <v>25</v>
      </c>
      <c r="I913" s="5">
        <v>44593</v>
      </c>
      <c r="J913" s="6">
        <v>0</v>
      </c>
      <c r="K913" s="6">
        <v>0</v>
      </c>
      <c r="L913" s="6">
        <v>-25.92</v>
      </c>
      <c r="M913" s="6">
        <v>-10.368</v>
      </c>
      <c r="N913" s="6">
        <v>-25.92</v>
      </c>
      <c r="O913" s="6">
        <v>-10.368</v>
      </c>
      <c r="P913" s="6">
        <v>0</v>
      </c>
      <c r="Q913" s="4" t="s">
        <v>26</v>
      </c>
      <c r="R913" s="4">
        <v>0</v>
      </c>
      <c r="S913" s="6">
        <v>0</v>
      </c>
      <c r="T913" s="6">
        <v>40</v>
      </c>
      <c r="U913" s="6">
        <v>78</v>
      </c>
      <c r="V913" s="6">
        <f>IF(ISERROR(VLOOKUP($S$913,'TAR FIN'!$A$1:$O$93,15,0)),0,VLOOKUP($S$913,'TAR FIN'!$A$1:$O$93,15,0))</f>
        <v>0</v>
      </c>
      <c r="W913" s="6">
        <f>IF(ISERROR(VLOOKUP($T$913,'TAR FIN'!$A$1:$O$93,15,0)),0,VLOOKUP($T$913,'TAR FIN'!$A$1:$O$93,15,0))</f>
        <v>240.16</v>
      </c>
      <c r="X913" s="6">
        <f>IF(ISERROR(VLOOKUP($U$913,'TAR FIN'!$A$1:$O$93,15,0)),0,VLOOKUP($U$913,'TAR FIN'!$A$1:$O$93,15,0))</f>
        <v>162.96</v>
      </c>
      <c r="Y913" s="6"/>
      <c r="Z913" s="6">
        <f ca="1">('TUSD BE'!$AM$37+'TUSD BF'!$AM$37+'TUSD CVA'!$AM$37)*(1-CUSTOS!$M$38)</f>
        <v>274.6365589659128</v>
      </c>
      <c r="AA913" s="6">
        <f>('TE BE'!$AB$26+'TE BF'!$AB$26+'TE CVA'!$AB$26)*(1-CUSTOS!$M$38)</f>
        <v>186.29103092878736</v>
      </c>
      <c r="AB913" s="6">
        <f>$K$913*$V$913</f>
        <v>0</v>
      </c>
      <c r="AC913" s="6">
        <f>$M$913*$W$913</f>
        <v>-2489.9788800000001</v>
      </c>
      <c r="AD913" s="6">
        <f>$O$913*$X$913</f>
        <v>-1689.5692800000002</v>
      </c>
      <c r="AE913" s="6">
        <f>$K$913*$Y$913</f>
        <v>0</v>
      </c>
      <c r="AF913" s="6">
        <f ca="1">$M$913*$Z$913</f>
        <v>-2847.431843358584</v>
      </c>
      <c r="AG913" s="6">
        <f>$O$913*$AA$913</f>
        <v>-1931.4654086696676</v>
      </c>
    </row>
    <row r="914" spans="1:33" ht="11.25" customHeight="1" x14ac:dyDescent="0.25">
      <c r="A914" s="4" t="s">
        <v>28</v>
      </c>
      <c r="B914" s="4" t="s">
        <v>41</v>
      </c>
      <c r="C914" s="4" t="s">
        <v>23</v>
      </c>
      <c r="D914" s="4" t="s">
        <v>42</v>
      </c>
      <c r="E914" s="4" t="s">
        <v>50</v>
      </c>
      <c r="F914" s="4" t="s">
        <v>52</v>
      </c>
      <c r="G914" s="4" t="s">
        <v>25</v>
      </c>
      <c r="H914" s="4" t="s">
        <v>25</v>
      </c>
      <c r="I914" s="5">
        <v>44593</v>
      </c>
      <c r="J914" s="6">
        <v>0</v>
      </c>
      <c r="K914" s="6">
        <v>0</v>
      </c>
      <c r="L914" s="6">
        <v>16.576000000000001</v>
      </c>
      <c r="M914" s="6">
        <v>6.6303999999999998</v>
      </c>
      <c r="N914" s="6">
        <v>16.576000000000001</v>
      </c>
      <c r="O914" s="6">
        <v>6.6303999999999998</v>
      </c>
      <c r="P914" s="6">
        <v>0</v>
      </c>
      <c r="Q914" s="4" t="s">
        <v>26</v>
      </c>
      <c r="R914" s="4">
        <v>0</v>
      </c>
      <c r="S914" s="6">
        <v>0</v>
      </c>
      <c r="T914" s="6">
        <v>40</v>
      </c>
      <c r="U914" s="6">
        <v>78</v>
      </c>
      <c r="V914" s="6">
        <f>IF(ISERROR(VLOOKUP($S$914,'TAR FIN'!$A$1:$O$93,15,0)),0,VLOOKUP($S$914,'TAR FIN'!$A$1:$O$93,15,0))</f>
        <v>0</v>
      </c>
      <c r="W914" s="6">
        <f>IF(ISERROR(VLOOKUP($T$914,'TAR FIN'!$A$1:$O$93,15,0)),0,VLOOKUP($T$914,'TAR FIN'!$A$1:$O$93,15,0))</f>
        <v>240.16</v>
      </c>
      <c r="X914" s="6">
        <f>IF(ISERROR(VLOOKUP($U$914,'TAR FIN'!$A$1:$O$93,15,0)),0,VLOOKUP($U$914,'TAR FIN'!$A$1:$O$93,15,0))</f>
        <v>162.96</v>
      </c>
      <c r="Y914" s="6"/>
      <c r="Z914" s="6">
        <f ca="1">('TUSD BE'!$AM$37+'TUSD BF'!$AM$37+'TUSD CVA'!$AM$37)*(1-CUSTOS!$M$38)</f>
        <v>274.6365589659128</v>
      </c>
      <c r="AA914" s="6">
        <f>('TE BE'!$AB$26+'TE BF'!$AB$26+'TE CVA'!$AB$26)*(1-CUSTOS!$M$38)</f>
        <v>186.29103092878736</v>
      </c>
      <c r="AB914" s="6">
        <f>$K$914*$V$914</f>
        <v>0</v>
      </c>
      <c r="AC914" s="6">
        <f>$M$914*$W$914</f>
        <v>1592.3568639999999</v>
      </c>
      <c r="AD914" s="6">
        <f>$O$914*$X$914</f>
        <v>1080.489984</v>
      </c>
      <c r="AE914" s="6">
        <f>$K$914*$Y$914</f>
        <v>0</v>
      </c>
      <c r="AF914" s="6">
        <f ca="1">$M$914*$Z$914</f>
        <v>1820.9502405675883</v>
      </c>
      <c r="AG914" s="6">
        <f>$O$914*$AA$914</f>
        <v>1235.1840514702317</v>
      </c>
    </row>
    <row r="915" spans="1:33" ht="11.25" customHeight="1" x14ac:dyDescent="0.25">
      <c r="A915" s="4" t="s">
        <v>21</v>
      </c>
      <c r="B915" s="4" t="s">
        <v>41</v>
      </c>
      <c r="C915" s="4" t="s">
        <v>23</v>
      </c>
      <c r="D915" s="4" t="s">
        <v>42</v>
      </c>
      <c r="E915" s="4" t="s">
        <v>50</v>
      </c>
      <c r="F915" s="4" t="s">
        <v>52</v>
      </c>
      <c r="G915" s="4" t="s">
        <v>25</v>
      </c>
      <c r="H915" s="4" t="s">
        <v>25</v>
      </c>
      <c r="I915" s="5">
        <v>44621</v>
      </c>
      <c r="J915" s="6">
        <v>0</v>
      </c>
      <c r="K915" s="6">
        <v>0</v>
      </c>
      <c r="L915" s="6">
        <v>580.45299999999997</v>
      </c>
      <c r="M915" s="6">
        <v>232.18119999999999</v>
      </c>
      <c r="N915" s="6">
        <v>580.45299999999997</v>
      </c>
      <c r="O915" s="6">
        <v>232.18119999999999</v>
      </c>
      <c r="P915" s="6">
        <v>0</v>
      </c>
      <c r="Q915" s="4" t="s">
        <v>26</v>
      </c>
      <c r="R915" s="4">
        <v>0</v>
      </c>
      <c r="S915" s="6">
        <v>0</v>
      </c>
      <c r="T915" s="6">
        <v>40</v>
      </c>
      <c r="U915" s="6">
        <v>78</v>
      </c>
      <c r="V915" s="6">
        <f>IF(ISERROR(VLOOKUP($S$915,'TAR FIN'!$A$1:$O$93,15,0)),0,VLOOKUP($S$915,'TAR FIN'!$A$1:$O$93,15,0))</f>
        <v>0</v>
      </c>
      <c r="W915" s="6">
        <f>IF(ISERROR(VLOOKUP($T$915,'TAR FIN'!$A$1:$O$93,15,0)),0,VLOOKUP($T$915,'TAR FIN'!$A$1:$O$93,15,0))</f>
        <v>240.16</v>
      </c>
      <c r="X915" s="6">
        <f>IF(ISERROR(VLOOKUP($U$915,'TAR FIN'!$A$1:$O$93,15,0)),0,VLOOKUP($U$915,'TAR FIN'!$A$1:$O$93,15,0))</f>
        <v>162.96</v>
      </c>
      <c r="Y915" s="6"/>
      <c r="Z915" s="6">
        <f ca="1">('TUSD BE'!$AM$37+'TUSD BF'!$AM$37+'TUSD CVA'!$AM$37)*(1-CUSTOS!$M$38)</f>
        <v>274.6365589659128</v>
      </c>
      <c r="AA915" s="6">
        <f>('TE BE'!$AB$26+'TE BF'!$AB$26+'TE CVA'!$AB$26)*(1-CUSTOS!$M$38)</f>
        <v>186.29103092878736</v>
      </c>
      <c r="AB915" s="6">
        <f>$K$915*$V$915</f>
        <v>0</v>
      </c>
      <c r="AC915" s="6">
        <f>$M$915*$W$915</f>
        <v>55760.636992</v>
      </c>
      <c r="AD915" s="6">
        <f>$O$915*$X$915</f>
        <v>37836.248352000002</v>
      </c>
      <c r="AE915" s="6">
        <f>$K$915*$Y$915</f>
        <v>0</v>
      </c>
      <c r="AF915" s="6">
        <f ca="1">$M$915*$Z$915</f>
        <v>63765.445824576389</v>
      </c>
      <c r="AG915" s="6">
        <f>$O$915*$AA$915</f>
        <v>43253.275110282964</v>
      </c>
    </row>
    <row r="916" spans="1:33" ht="11.25" customHeight="1" x14ac:dyDescent="0.25">
      <c r="A916" s="4" t="s">
        <v>27</v>
      </c>
      <c r="B916" s="4" t="s">
        <v>41</v>
      </c>
      <c r="C916" s="4" t="s">
        <v>23</v>
      </c>
      <c r="D916" s="4" t="s">
        <v>42</v>
      </c>
      <c r="E916" s="4" t="s">
        <v>50</v>
      </c>
      <c r="F916" s="4" t="s">
        <v>52</v>
      </c>
      <c r="G916" s="4" t="s">
        <v>25</v>
      </c>
      <c r="H916" s="4" t="s">
        <v>25</v>
      </c>
      <c r="I916" s="5">
        <v>44621</v>
      </c>
      <c r="J916" s="6">
        <v>0</v>
      </c>
      <c r="K916" s="6">
        <v>0</v>
      </c>
      <c r="L916" s="6">
        <v>-10.492000000000001</v>
      </c>
      <c r="M916" s="6">
        <v>-4.1967999999999996</v>
      </c>
      <c r="N916" s="6">
        <v>-10.492000000000001</v>
      </c>
      <c r="O916" s="6">
        <v>-4.1967999999999996</v>
      </c>
      <c r="P916" s="6">
        <v>0</v>
      </c>
      <c r="Q916" s="4" t="s">
        <v>26</v>
      </c>
      <c r="R916" s="4">
        <v>0</v>
      </c>
      <c r="S916" s="6">
        <v>0</v>
      </c>
      <c r="T916" s="6">
        <v>40</v>
      </c>
      <c r="U916" s="6">
        <v>78</v>
      </c>
      <c r="V916" s="6">
        <f>IF(ISERROR(VLOOKUP($S$916,'TAR FIN'!$A$1:$O$93,15,0)),0,VLOOKUP($S$916,'TAR FIN'!$A$1:$O$93,15,0))</f>
        <v>0</v>
      </c>
      <c r="W916" s="6">
        <f>IF(ISERROR(VLOOKUP($T$916,'TAR FIN'!$A$1:$O$93,15,0)),0,VLOOKUP($T$916,'TAR FIN'!$A$1:$O$93,15,0))</f>
        <v>240.16</v>
      </c>
      <c r="X916" s="6">
        <f>IF(ISERROR(VLOOKUP($U$916,'TAR FIN'!$A$1:$O$93,15,0)),0,VLOOKUP($U$916,'TAR FIN'!$A$1:$O$93,15,0))</f>
        <v>162.96</v>
      </c>
      <c r="Y916" s="6"/>
      <c r="Z916" s="6">
        <f ca="1">('TUSD BE'!$AM$37+'TUSD BF'!$AM$37+'TUSD CVA'!$AM$37)*(1-CUSTOS!$M$38)</f>
        <v>274.6365589659128</v>
      </c>
      <c r="AA916" s="6">
        <f>('TE BE'!$AB$26+'TE BF'!$AB$26+'TE CVA'!$AB$26)*(1-CUSTOS!$M$38)</f>
        <v>186.29103092878736</v>
      </c>
      <c r="AB916" s="6">
        <f>$K$916*$V$916</f>
        <v>0</v>
      </c>
      <c r="AC916" s="6">
        <f>$M$916*$W$916</f>
        <v>-1007.9034879999999</v>
      </c>
      <c r="AD916" s="6">
        <f>$O$916*$X$916</f>
        <v>-683.910528</v>
      </c>
      <c r="AE916" s="6">
        <f>$K$916*$Y$916</f>
        <v>0</v>
      </c>
      <c r="AF916" s="6">
        <f ca="1">$M$916*$Z$916</f>
        <v>-1152.5947106681426</v>
      </c>
      <c r="AG916" s="6">
        <f>$O$916*$AA$916</f>
        <v>-781.82619860193472</v>
      </c>
    </row>
    <row r="917" spans="1:33" ht="11.25" customHeight="1" x14ac:dyDescent="0.25">
      <c r="A917" s="4" t="s">
        <v>28</v>
      </c>
      <c r="B917" s="4" t="s">
        <v>41</v>
      </c>
      <c r="C917" s="4" t="s">
        <v>23</v>
      </c>
      <c r="D917" s="4" t="s">
        <v>42</v>
      </c>
      <c r="E917" s="4" t="s">
        <v>50</v>
      </c>
      <c r="F917" s="4" t="s">
        <v>52</v>
      </c>
      <c r="G917" s="4" t="s">
        <v>25</v>
      </c>
      <c r="H917" s="4" t="s">
        <v>25</v>
      </c>
      <c r="I917" s="5">
        <v>44621</v>
      </c>
      <c r="J917" s="6">
        <v>0</v>
      </c>
      <c r="K917" s="6">
        <v>0</v>
      </c>
      <c r="L917" s="6">
        <v>1.9239999999999999</v>
      </c>
      <c r="M917" s="6">
        <v>0.76959999999999995</v>
      </c>
      <c r="N917" s="6">
        <v>1.9239999999999999</v>
      </c>
      <c r="O917" s="6">
        <v>0.76959999999999995</v>
      </c>
      <c r="P917" s="6">
        <v>0</v>
      </c>
      <c r="Q917" s="4" t="s">
        <v>26</v>
      </c>
      <c r="R917" s="4">
        <v>0</v>
      </c>
      <c r="S917" s="6">
        <v>0</v>
      </c>
      <c r="T917" s="6">
        <v>40</v>
      </c>
      <c r="U917" s="6">
        <v>78</v>
      </c>
      <c r="V917" s="6">
        <f>IF(ISERROR(VLOOKUP($S$917,'TAR FIN'!$A$1:$O$93,15,0)),0,VLOOKUP($S$917,'TAR FIN'!$A$1:$O$93,15,0))</f>
        <v>0</v>
      </c>
      <c r="W917" s="6">
        <f>IF(ISERROR(VLOOKUP($T$917,'TAR FIN'!$A$1:$O$93,15,0)),0,VLOOKUP($T$917,'TAR FIN'!$A$1:$O$93,15,0))</f>
        <v>240.16</v>
      </c>
      <c r="X917" s="6">
        <f>IF(ISERROR(VLOOKUP($U$917,'TAR FIN'!$A$1:$O$93,15,0)),0,VLOOKUP($U$917,'TAR FIN'!$A$1:$O$93,15,0))</f>
        <v>162.96</v>
      </c>
      <c r="Y917" s="6"/>
      <c r="Z917" s="6">
        <f ca="1">('TUSD BE'!$AM$37+'TUSD BF'!$AM$37+'TUSD CVA'!$AM$37)*(1-CUSTOS!$M$38)</f>
        <v>274.6365589659128</v>
      </c>
      <c r="AA917" s="6">
        <f>('TE BE'!$AB$26+'TE BF'!$AB$26+'TE CVA'!$AB$26)*(1-CUSTOS!$M$38)</f>
        <v>186.29103092878736</v>
      </c>
      <c r="AB917" s="6">
        <f>$K$917*$V$917</f>
        <v>0</v>
      </c>
      <c r="AC917" s="6">
        <f>$M$917*$W$917</f>
        <v>184.827136</v>
      </c>
      <c r="AD917" s="6">
        <f>$O$917*$X$917</f>
        <v>125.414016</v>
      </c>
      <c r="AE917" s="6">
        <f>$K$917*$Y$917</f>
        <v>0</v>
      </c>
      <c r="AF917" s="6">
        <f ca="1">$M$917*$Z$917</f>
        <v>211.36029578016647</v>
      </c>
      <c r="AG917" s="6">
        <f>$O$917*$AA$917</f>
        <v>143.36957740279476</v>
      </c>
    </row>
    <row r="918" spans="1:33" ht="11.25" customHeight="1" x14ac:dyDescent="0.25">
      <c r="A918" s="4" t="s">
        <v>21</v>
      </c>
      <c r="B918" s="4" t="s">
        <v>41</v>
      </c>
      <c r="C918" s="4" t="s">
        <v>23</v>
      </c>
      <c r="D918" s="4" t="s">
        <v>42</v>
      </c>
      <c r="E918" s="4" t="s">
        <v>50</v>
      </c>
      <c r="F918" s="4" t="s">
        <v>52</v>
      </c>
      <c r="G918" s="4" t="s">
        <v>25</v>
      </c>
      <c r="H918" s="4" t="s">
        <v>25</v>
      </c>
      <c r="I918" s="5">
        <v>44652</v>
      </c>
      <c r="J918" s="6">
        <v>0</v>
      </c>
      <c r="K918" s="6">
        <v>0</v>
      </c>
      <c r="L918" s="6">
        <v>174.64699999999999</v>
      </c>
      <c r="M918" s="6">
        <v>69.858800000000002</v>
      </c>
      <c r="N918" s="6">
        <v>174.64699999999999</v>
      </c>
      <c r="O918" s="6">
        <v>69.858800000000002</v>
      </c>
      <c r="P918" s="6">
        <v>0</v>
      </c>
      <c r="Q918" s="4" t="s">
        <v>26</v>
      </c>
      <c r="R918" s="4">
        <v>0</v>
      </c>
      <c r="S918" s="6">
        <v>0</v>
      </c>
      <c r="T918" s="6">
        <v>40</v>
      </c>
      <c r="U918" s="6">
        <v>78</v>
      </c>
      <c r="V918" s="6">
        <f>IF(ISERROR(VLOOKUP($S$918,'TAR FIN'!$A$1:$O$93,15,0)),0,VLOOKUP($S$918,'TAR FIN'!$A$1:$O$93,15,0))</f>
        <v>0</v>
      </c>
      <c r="W918" s="6">
        <f>IF(ISERROR(VLOOKUP($T$918,'TAR FIN'!$A$1:$O$93,15,0)),0,VLOOKUP($T$918,'TAR FIN'!$A$1:$O$93,15,0))</f>
        <v>240.16</v>
      </c>
      <c r="X918" s="6">
        <f>IF(ISERROR(VLOOKUP($U$918,'TAR FIN'!$A$1:$O$93,15,0)),0,VLOOKUP($U$918,'TAR FIN'!$A$1:$O$93,15,0))</f>
        <v>162.96</v>
      </c>
      <c r="Y918" s="6"/>
      <c r="Z918" s="6">
        <f ca="1">('TUSD BE'!$AM$37+'TUSD BF'!$AM$37+'TUSD CVA'!$AM$37)*(1-CUSTOS!$M$38)</f>
        <v>274.6365589659128</v>
      </c>
      <c r="AA918" s="6">
        <f>('TE BE'!$AB$26+'TE BF'!$AB$26+'TE CVA'!$AB$26)*(1-CUSTOS!$M$38)</f>
        <v>186.29103092878736</v>
      </c>
      <c r="AB918" s="6">
        <f>$K$918*$V$918</f>
        <v>0</v>
      </c>
      <c r="AC918" s="6">
        <f>$M$918*$W$918</f>
        <v>16777.289408000001</v>
      </c>
      <c r="AD918" s="6">
        <f>$O$918*$X$918</f>
        <v>11384.190048</v>
      </c>
      <c r="AE918" s="6">
        <f>$K$918*$Y$918</f>
        <v>0</v>
      </c>
      <c r="AF918" s="6">
        <f ca="1">$M$918*$Z$918</f>
        <v>19185.780445487908</v>
      </c>
      <c r="AG918" s="6">
        <f>$O$918*$AA$918</f>
        <v>13014.067871447971</v>
      </c>
    </row>
    <row r="919" spans="1:33" ht="11.25" customHeight="1" x14ac:dyDescent="0.25">
      <c r="A919" s="4" t="s">
        <v>28</v>
      </c>
      <c r="B919" s="4" t="s">
        <v>41</v>
      </c>
      <c r="C919" s="4" t="s">
        <v>23</v>
      </c>
      <c r="D919" s="4" t="s">
        <v>42</v>
      </c>
      <c r="E919" s="4" t="s">
        <v>50</v>
      </c>
      <c r="F919" s="4" t="s">
        <v>52</v>
      </c>
      <c r="G919" s="4" t="s">
        <v>25</v>
      </c>
      <c r="H919" s="4" t="s">
        <v>25</v>
      </c>
      <c r="I919" s="5">
        <v>44652</v>
      </c>
      <c r="J919" s="6">
        <v>0</v>
      </c>
      <c r="K919" s="6">
        <v>0</v>
      </c>
      <c r="L919" s="6">
        <v>1.6060000000000001</v>
      </c>
      <c r="M919" s="6">
        <v>0.64239999999999997</v>
      </c>
      <c r="N919" s="6">
        <v>1.6060000000000001</v>
      </c>
      <c r="O919" s="6">
        <v>0.64239999999999997</v>
      </c>
      <c r="P919" s="6">
        <v>0</v>
      </c>
      <c r="Q919" s="4" t="s">
        <v>26</v>
      </c>
      <c r="R919" s="4">
        <v>0</v>
      </c>
      <c r="S919" s="6">
        <v>0</v>
      </c>
      <c r="T919" s="6">
        <v>40</v>
      </c>
      <c r="U919" s="6">
        <v>78</v>
      </c>
      <c r="V919" s="6">
        <f>IF(ISERROR(VLOOKUP($S$919,'TAR FIN'!$A$1:$O$93,15,0)),0,VLOOKUP($S$919,'TAR FIN'!$A$1:$O$93,15,0))</f>
        <v>0</v>
      </c>
      <c r="W919" s="6">
        <f>IF(ISERROR(VLOOKUP($T$919,'TAR FIN'!$A$1:$O$93,15,0)),0,VLOOKUP($T$919,'TAR FIN'!$A$1:$O$93,15,0))</f>
        <v>240.16</v>
      </c>
      <c r="X919" s="6">
        <f>IF(ISERROR(VLOOKUP($U$919,'TAR FIN'!$A$1:$O$93,15,0)),0,VLOOKUP($U$919,'TAR FIN'!$A$1:$O$93,15,0))</f>
        <v>162.96</v>
      </c>
      <c r="Y919" s="6"/>
      <c r="Z919" s="6">
        <f ca="1">('TUSD BE'!$AM$37+'TUSD BF'!$AM$37+'TUSD CVA'!$AM$37)*(1-CUSTOS!$M$38)</f>
        <v>274.6365589659128</v>
      </c>
      <c r="AA919" s="6">
        <f>('TE BE'!$AB$26+'TE BF'!$AB$26+'TE CVA'!$AB$26)*(1-CUSTOS!$M$38)</f>
        <v>186.29103092878736</v>
      </c>
      <c r="AB919" s="6">
        <f>$K$919*$V$919</f>
        <v>0</v>
      </c>
      <c r="AC919" s="6">
        <f>$M$919*$W$919</f>
        <v>154.278784</v>
      </c>
      <c r="AD919" s="6">
        <f>$O$919*$X$919</f>
        <v>104.68550399999999</v>
      </c>
      <c r="AE919" s="6">
        <f>$K$919*$Y$919</f>
        <v>0</v>
      </c>
      <c r="AF919" s="6">
        <f ca="1">$M$919*$Z$919</f>
        <v>176.42652547970238</v>
      </c>
      <c r="AG919" s="6">
        <f>$O$919*$AA$919</f>
        <v>119.673358268653</v>
      </c>
    </row>
    <row r="920" spans="1:33" ht="11.25" customHeight="1" x14ac:dyDescent="0.25">
      <c r="A920" s="4" t="s">
        <v>21</v>
      </c>
      <c r="B920" s="4" t="s">
        <v>41</v>
      </c>
      <c r="C920" s="4" t="s">
        <v>23</v>
      </c>
      <c r="D920" s="4" t="s">
        <v>42</v>
      </c>
      <c r="E920" s="4" t="s">
        <v>50</v>
      </c>
      <c r="F920" s="4" t="s">
        <v>52</v>
      </c>
      <c r="G920" s="4" t="s">
        <v>25</v>
      </c>
      <c r="H920" s="4" t="s">
        <v>25</v>
      </c>
      <c r="I920" s="5">
        <v>44682</v>
      </c>
      <c r="J920" s="6">
        <v>0</v>
      </c>
      <c r="K920" s="6">
        <v>0</v>
      </c>
      <c r="L920" s="6">
        <v>93.233999999999995</v>
      </c>
      <c r="M920" s="6">
        <v>37.293599999999998</v>
      </c>
      <c r="N920" s="6">
        <v>93.233999999999995</v>
      </c>
      <c r="O920" s="6">
        <v>37.293599999999998</v>
      </c>
      <c r="P920" s="6">
        <v>0</v>
      </c>
      <c r="Q920" s="4" t="s">
        <v>26</v>
      </c>
      <c r="R920" s="4">
        <v>0</v>
      </c>
      <c r="S920" s="6">
        <v>0</v>
      </c>
      <c r="T920" s="6">
        <v>40</v>
      </c>
      <c r="U920" s="6">
        <v>78</v>
      </c>
      <c r="V920" s="6">
        <f>IF(ISERROR(VLOOKUP($S$920,'TAR FIN'!$A$1:$O$93,15,0)),0,VLOOKUP($S$920,'TAR FIN'!$A$1:$O$93,15,0))</f>
        <v>0</v>
      </c>
      <c r="W920" s="6">
        <f>IF(ISERROR(VLOOKUP($T$920,'TAR FIN'!$A$1:$O$93,15,0)),0,VLOOKUP($T$920,'TAR FIN'!$A$1:$O$93,15,0))</f>
        <v>240.16</v>
      </c>
      <c r="X920" s="6">
        <f>IF(ISERROR(VLOOKUP($U$920,'TAR FIN'!$A$1:$O$93,15,0)),0,VLOOKUP($U$920,'TAR FIN'!$A$1:$O$93,15,0))</f>
        <v>162.96</v>
      </c>
      <c r="Y920" s="6"/>
      <c r="Z920" s="6">
        <f ca="1">('TUSD BE'!$AM$37+'TUSD BF'!$AM$37+'TUSD CVA'!$AM$37)*(1-CUSTOS!$M$38)</f>
        <v>274.6365589659128</v>
      </c>
      <c r="AA920" s="6">
        <f>('TE BE'!$AB$26+'TE BF'!$AB$26+'TE CVA'!$AB$26)*(1-CUSTOS!$M$38)</f>
        <v>186.29103092878736</v>
      </c>
      <c r="AB920" s="6">
        <f>$K$920*$V$920</f>
        <v>0</v>
      </c>
      <c r="AC920" s="6">
        <f>$M$920*$W$920</f>
        <v>8956.4309759999996</v>
      </c>
      <c r="AD920" s="6">
        <f>$O$920*$X$920</f>
        <v>6077.3650559999996</v>
      </c>
      <c r="AE920" s="6">
        <f>$K$920*$Y$920</f>
        <v>0</v>
      </c>
      <c r="AF920" s="6">
        <f ca="1">$M$920*$Z$920</f>
        <v>10242.185975451164</v>
      </c>
      <c r="AG920" s="6">
        <f>$O$920*$AA$920</f>
        <v>6947.4631910458238</v>
      </c>
    </row>
    <row r="921" spans="1:33" ht="11.25" customHeight="1" x14ac:dyDescent="0.25">
      <c r="A921" s="4" t="s">
        <v>27</v>
      </c>
      <c r="B921" s="4" t="s">
        <v>41</v>
      </c>
      <c r="C921" s="4" t="s">
        <v>23</v>
      </c>
      <c r="D921" s="4" t="s">
        <v>42</v>
      </c>
      <c r="E921" s="4" t="s">
        <v>50</v>
      </c>
      <c r="F921" s="4" t="s">
        <v>52</v>
      </c>
      <c r="G921" s="4" t="s">
        <v>25</v>
      </c>
      <c r="H921" s="4" t="s">
        <v>25</v>
      </c>
      <c r="I921" s="5">
        <v>44682</v>
      </c>
      <c r="J921" s="6">
        <v>0</v>
      </c>
      <c r="K921" s="6">
        <v>0</v>
      </c>
      <c r="L921" s="6">
        <v>-7.5999999999999998E-2</v>
      </c>
      <c r="M921" s="6">
        <v>-3.04E-2</v>
      </c>
      <c r="N921" s="6">
        <v>-7.5999999999999998E-2</v>
      </c>
      <c r="O921" s="6">
        <v>-3.04E-2</v>
      </c>
      <c r="P921" s="6">
        <v>0</v>
      </c>
      <c r="Q921" s="4" t="s">
        <v>26</v>
      </c>
      <c r="R921" s="4">
        <v>0</v>
      </c>
      <c r="S921" s="6">
        <v>0</v>
      </c>
      <c r="T921" s="6">
        <v>40</v>
      </c>
      <c r="U921" s="6">
        <v>78</v>
      </c>
      <c r="V921" s="6">
        <f>IF(ISERROR(VLOOKUP($S$921,'TAR FIN'!$A$1:$O$93,15,0)),0,VLOOKUP($S$921,'TAR FIN'!$A$1:$O$93,15,0))</f>
        <v>0</v>
      </c>
      <c r="W921" s="6">
        <f>IF(ISERROR(VLOOKUP($T$921,'TAR FIN'!$A$1:$O$93,15,0)),0,VLOOKUP($T$921,'TAR FIN'!$A$1:$O$93,15,0))</f>
        <v>240.16</v>
      </c>
      <c r="X921" s="6">
        <f>IF(ISERROR(VLOOKUP($U$921,'TAR FIN'!$A$1:$O$93,15,0)),0,VLOOKUP($U$921,'TAR FIN'!$A$1:$O$93,15,0))</f>
        <v>162.96</v>
      </c>
      <c r="Y921" s="6"/>
      <c r="Z921" s="6">
        <f ca="1">('TUSD BE'!$AM$37+'TUSD BF'!$AM$37+'TUSD CVA'!$AM$37)*(1-CUSTOS!$M$38)</f>
        <v>274.6365589659128</v>
      </c>
      <c r="AA921" s="6">
        <f>('TE BE'!$AB$26+'TE BF'!$AB$26+'TE CVA'!$AB$26)*(1-CUSTOS!$M$38)</f>
        <v>186.29103092878736</v>
      </c>
      <c r="AB921" s="6">
        <f>$K$921*$V$921</f>
        <v>0</v>
      </c>
      <c r="AC921" s="6">
        <f>$M$921*$W$921</f>
        <v>-7.3008639999999998</v>
      </c>
      <c r="AD921" s="6">
        <f>$O$921*$X$921</f>
        <v>-4.9539840000000002</v>
      </c>
      <c r="AE921" s="6">
        <f>$K$921*$Y$921</f>
        <v>0</v>
      </c>
      <c r="AF921" s="6">
        <f ca="1">$M$921*$Z$921</f>
        <v>-8.3489513925637482</v>
      </c>
      <c r="AG921" s="6">
        <f>$O$921*$AA$921</f>
        <v>-5.6632473402351362</v>
      </c>
    </row>
    <row r="922" spans="1:33" ht="11.25" customHeight="1" x14ac:dyDescent="0.25">
      <c r="A922" s="4" t="s">
        <v>21</v>
      </c>
      <c r="B922" s="4" t="s">
        <v>41</v>
      </c>
      <c r="C922" s="4" t="s">
        <v>23</v>
      </c>
      <c r="D922" s="4" t="s">
        <v>42</v>
      </c>
      <c r="E922" s="4" t="s">
        <v>50</v>
      </c>
      <c r="F922" s="4" t="s">
        <v>52</v>
      </c>
      <c r="G922" s="4" t="s">
        <v>25</v>
      </c>
      <c r="H922" s="4" t="s">
        <v>25</v>
      </c>
      <c r="I922" s="5">
        <v>44713</v>
      </c>
      <c r="J922" s="6">
        <v>0</v>
      </c>
      <c r="K922" s="6">
        <v>0</v>
      </c>
      <c r="L922" s="6">
        <v>77.635999999999996</v>
      </c>
      <c r="M922" s="6">
        <v>31.054400000000001</v>
      </c>
      <c r="N922" s="6">
        <v>77.635999999999996</v>
      </c>
      <c r="O922" s="6">
        <v>31.054400000000001</v>
      </c>
      <c r="P922" s="6">
        <v>0</v>
      </c>
      <c r="Q922" s="4" t="s">
        <v>26</v>
      </c>
      <c r="R922" s="4">
        <v>0</v>
      </c>
      <c r="S922" s="6">
        <v>0</v>
      </c>
      <c r="T922" s="6">
        <v>40</v>
      </c>
      <c r="U922" s="6">
        <v>78</v>
      </c>
      <c r="V922" s="6">
        <f>IF(ISERROR(VLOOKUP($S$922,'TAR FIN'!$A$1:$O$93,15,0)),0,VLOOKUP($S$922,'TAR FIN'!$A$1:$O$93,15,0))</f>
        <v>0</v>
      </c>
      <c r="W922" s="6">
        <f>IF(ISERROR(VLOOKUP($T$922,'TAR FIN'!$A$1:$O$93,15,0)),0,VLOOKUP($T$922,'TAR FIN'!$A$1:$O$93,15,0))</f>
        <v>240.16</v>
      </c>
      <c r="X922" s="6">
        <f>IF(ISERROR(VLOOKUP($U$922,'TAR FIN'!$A$1:$O$93,15,0)),0,VLOOKUP($U$922,'TAR FIN'!$A$1:$O$93,15,0))</f>
        <v>162.96</v>
      </c>
      <c r="Y922" s="6"/>
      <c r="Z922" s="6">
        <f ca="1">('TUSD BE'!$AM$37+'TUSD BF'!$AM$37+'TUSD CVA'!$AM$37)*(1-CUSTOS!$M$38)</f>
        <v>274.6365589659128</v>
      </c>
      <c r="AA922" s="6">
        <f>('TE BE'!$AB$26+'TE BF'!$AB$26+'TE CVA'!$AB$26)*(1-CUSTOS!$M$38)</f>
        <v>186.29103092878736</v>
      </c>
      <c r="AB922" s="6">
        <f>$K$922*$V$922</f>
        <v>0</v>
      </c>
      <c r="AC922" s="6">
        <f>$M$922*$W$922</f>
        <v>7458.0247040000004</v>
      </c>
      <c r="AD922" s="6">
        <f>$O$922*$X$922</f>
        <v>5060.6250240000008</v>
      </c>
      <c r="AE922" s="6">
        <f>$K$922*$Y$922</f>
        <v>0</v>
      </c>
      <c r="AF922" s="6">
        <f ca="1">$M$922*$Z$922</f>
        <v>8528.6735567510423</v>
      </c>
      <c r="AG922" s="6">
        <f>$O$922*$AA$922</f>
        <v>5785.1561908749345</v>
      </c>
    </row>
    <row r="923" spans="1:33" ht="11.25" customHeight="1" x14ac:dyDescent="0.25">
      <c r="A923" s="4" t="s">
        <v>27</v>
      </c>
      <c r="B923" s="4" t="s">
        <v>41</v>
      </c>
      <c r="C923" s="4" t="s">
        <v>23</v>
      </c>
      <c r="D923" s="4" t="s">
        <v>42</v>
      </c>
      <c r="E923" s="4" t="s">
        <v>50</v>
      </c>
      <c r="F923" s="4" t="s">
        <v>52</v>
      </c>
      <c r="G923" s="4" t="s">
        <v>25</v>
      </c>
      <c r="H923" s="4" t="s">
        <v>25</v>
      </c>
      <c r="I923" s="5">
        <v>44713</v>
      </c>
      <c r="J923" s="6">
        <v>0</v>
      </c>
      <c r="K923" s="6">
        <v>0</v>
      </c>
      <c r="L923" s="6">
        <v>-0.222</v>
      </c>
      <c r="M923" s="6">
        <v>-8.8800000000000004E-2</v>
      </c>
      <c r="N923" s="6">
        <v>-0.222</v>
      </c>
      <c r="O923" s="6">
        <v>-8.8800000000000004E-2</v>
      </c>
      <c r="P923" s="6">
        <v>0</v>
      </c>
      <c r="Q923" s="4" t="s">
        <v>26</v>
      </c>
      <c r="R923" s="4">
        <v>0</v>
      </c>
      <c r="S923" s="6">
        <v>0</v>
      </c>
      <c r="T923" s="6">
        <v>40</v>
      </c>
      <c r="U923" s="6">
        <v>78</v>
      </c>
      <c r="V923" s="6">
        <f>IF(ISERROR(VLOOKUP($S$923,'TAR FIN'!$A$1:$O$93,15,0)),0,VLOOKUP($S$923,'TAR FIN'!$A$1:$O$93,15,0))</f>
        <v>0</v>
      </c>
      <c r="W923" s="6">
        <f>IF(ISERROR(VLOOKUP($T$923,'TAR FIN'!$A$1:$O$93,15,0)),0,VLOOKUP($T$923,'TAR FIN'!$A$1:$O$93,15,0))</f>
        <v>240.16</v>
      </c>
      <c r="X923" s="6">
        <f>IF(ISERROR(VLOOKUP($U$923,'TAR FIN'!$A$1:$O$93,15,0)),0,VLOOKUP($U$923,'TAR FIN'!$A$1:$O$93,15,0))</f>
        <v>162.96</v>
      </c>
      <c r="Y923" s="6"/>
      <c r="Z923" s="6">
        <f ca="1">('TUSD BE'!$AM$37+'TUSD BF'!$AM$37+'TUSD CVA'!$AM$37)*(1-CUSTOS!$M$38)</f>
        <v>274.6365589659128</v>
      </c>
      <c r="AA923" s="6">
        <f>('TE BE'!$AB$26+'TE BF'!$AB$26+'TE CVA'!$AB$26)*(1-CUSTOS!$M$38)</f>
        <v>186.29103092878736</v>
      </c>
      <c r="AB923" s="6">
        <f>$K$923*$V$923</f>
        <v>0</v>
      </c>
      <c r="AC923" s="6">
        <f>$M$923*$W$923</f>
        <v>-21.326208000000001</v>
      </c>
      <c r="AD923" s="6">
        <f>$O$923*$X$923</f>
        <v>-14.470848000000002</v>
      </c>
      <c r="AE923" s="6">
        <f>$K$923*$Y$923</f>
        <v>0</v>
      </c>
      <c r="AF923" s="6">
        <f ca="1">$M$923*$Z$923</f>
        <v>-24.387726436173057</v>
      </c>
      <c r="AG923" s="6">
        <f>$O$923*$AA$923</f>
        <v>-16.54264354647632</v>
      </c>
    </row>
    <row r="924" spans="1:33" ht="11.25" customHeight="1" x14ac:dyDescent="0.25">
      <c r="A924" s="4" t="s">
        <v>28</v>
      </c>
      <c r="B924" s="4" t="s">
        <v>41</v>
      </c>
      <c r="C924" s="4" t="s">
        <v>23</v>
      </c>
      <c r="D924" s="4" t="s">
        <v>42</v>
      </c>
      <c r="E924" s="4" t="s">
        <v>50</v>
      </c>
      <c r="F924" s="4" t="s">
        <v>52</v>
      </c>
      <c r="G924" s="4" t="s">
        <v>25</v>
      </c>
      <c r="H924" s="4" t="s">
        <v>25</v>
      </c>
      <c r="I924" s="5">
        <v>44713</v>
      </c>
      <c r="J924" s="6">
        <v>0</v>
      </c>
      <c r="K924" s="6">
        <v>0</v>
      </c>
      <c r="L924" s="6">
        <v>0.106</v>
      </c>
      <c r="M924" s="6">
        <v>4.24E-2</v>
      </c>
      <c r="N924" s="6">
        <v>0.106</v>
      </c>
      <c r="O924" s="6">
        <v>4.24E-2</v>
      </c>
      <c r="P924" s="6">
        <v>0</v>
      </c>
      <c r="Q924" s="4" t="s">
        <v>26</v>
      </c>
      <c r="R924" s="4">
        <v>0</v>
      </c>
      <c r="S924" s="6">
        <v>0</v>
      </c>
      <c r="T924" s="6">
        <v>40</v>
      </c>
      <c r="U924" s="6">
        <v>78</v>
      </c>
      <c r="V924" s="6">
        <f>IF(ISERROR(VLOOKUP($S$924,'TAR FIN'!$A$1:$O$93,15,0)),0,VLOOKUP($S$924,'TAR FIN'!$A$1:$O$93,15,0))</f>
        <v>0</v>
      </c>
      <c r="W924" s="6">
        <f>IF(ISERROR(VLOOKUP($T$924,'TAR FIN'!$A$1:$O$93,15,0)),0,VLOOKUP($T$924,'TAR FIN'!$A$1:$O$93,15,0))</f>
        <v>240.16</v>
      </c>
      <c r="X924" s="6">
        <f>IF(ISERROR(VLOOKUP($U$924,'TAR FIN'!$A$1:$O$93,15,0)),0,VLOOKUP($U$924,'TAR FIN'!$A$1:$O$93,15,0))</f>
        <v>162.96</v>
      </c>
      <c r="Y924" s="6"/>
      <c r="Z924" s="6">
        <f ca="1">('TUSD BE'!$AM$37+'TUSD BF'!$AM$37+'TUSD CVA'!$AM$37)*(1-CUSTOS!$M$38)</f>
        <v>274.6365589659128</v>
      </c>
      <c r="AA924" s="6">
        <f>('TE BE'!$AB$26+'TE BF'!$AB$26+'TE CVA'!$AB$26)*(1-CUSTOS!$M$38)</f>
        <v>186.29103092878736</v>
      </c>
      <c r="AB924" s="6">
        <f>$K$924*$V$924</f>
        <v>0</v>
      </c>
      <c r="AC924" s="6">
        <f>$M$924*$W$924</f>
        <v>10.182784</v>
      </c>
      <c r="AD924" s="6">
        <f>$O$924*$X$924</f>
        <v>6.9095040000000001</v>
      </c>
      <c r="AE924" s="6">
        <f>$K$924*$Y$924</f>
        <v>0</v>
      </c>
      <c r="AF924" s="6">
        <f ca="1">$M$924*$Z$924</f>
        <v>11.644590100154703</v>
      </c>
      <c r="AG924" s="6">
        <f>$O$924*$AA$924</f>
        <v>7.8987397113805846</v>
      </c>
    </row>
    <row r="925" spans="1:33" ht="11.25" customHeight="1" x14ac:dyDescent="0.25">
      <c r="A925" s="4" t="s">
        <v>21</v>
      </c>
      <c r="B925" s="4" t="s">
        <v>41</v>
      </c>
      <c r="C925" s="4" t="s">
        <v>23</v>
      </c>
      <c r="D925" s="4" t="s">
        <v>42</v>
      </c>
      <c r="E925" s="4" t="s">
        <v>25</v>
      </c>
      <c r="F925" s="4" t="s">
        <v>25</v>
      </c>
      <c r="G925" s="4" t="s">
        <v>25</v>
      </c>
      <c r="H925" s="4" t="s">
        <v>25</v>
      </c>
      <c r="I925" s="5">
        <v>44378</v>
      </c>
      <c r="J925" s="6">
        <v>0</v>
      </c>
      <c r="K925" s="6">
        <v>0</v>
      </c>
      <c r="L925" s="6">
        <v>13253.995000000001</v>
      </c>
      <c r="M925" s="6">
        <v>13253.995000000001</v>
      </c>
      <c r="N925" s="6">
        <v>13253.995000000001</v>
      </c>
      <c r="O925" s="6">
        <v>13253.995000000001</v>
      </c>
      <c r="P925" s="6">
        <v>38346</v>
      </c>
      <c r="Q925" s="4" t="s">
        <v>26</v>
      </c>
      <c r="R925" s="4">
        <v>0</v>
      </c>
      <c r="S925" s="6">
        <v>0</v>
      </c>
      <c r="T925" s="6">
        <v>40</v>
      </c>
      <c r="U925" s="6">
        <v>78</v>
      </c>
      <c r="V925" s="6">
        <f>IF(ISERROR(VLOOKUP($S$925,'TAR FIN'!$A$1:$O$93,15,0)),0,VLOOKUP($S$925,'TAR FIN'!$A$1:$O$93,15,0))</f>
        <v>0</v>
      </c>
      <c r="W925" s="6">
        <f>IF(ISERROR(VLOOKUP($T$925,'TAR FIN'!$A$1:$O$93,15,0)),0,VLOOKUP($T$925,'TAR FIN'!$A$1:$O$93,15,0))</f>
        <v>240.16</v>
      </c>
      <c r="X925" s="6">
        <f>IF(ISERROR(VLOOKUP($U$925,'TAR FIN'!$A$1:$O$93,15,0)),0,VLOOKUP($U$925,'TAR FIN'!$A$1:$O$93,15,0))</f>
        <v>162.96</v>
      </c>
      <c r="Y925" s="6"/>
      <c r="Z925" s="6">
        <f ca="1">('TUSD BE'!$AM$37+'TUSD BF'!$AM$37+'TUSD CVA'!$AM$37)*(1-CUSTOS!$M$38)</f>
        <v>274.6365589659128</v>
      </c>
      <c r="AA925" s="6">
        <f>('TE BE'!$AB$26+'TE BF'!$AB$26+'TE CVA'!$AB$26)*(1-CUSTOS!$M$38)</f>
        <v>186.29103092878736</v>
      </c>
      <c r="AB925" s="6">
        <f>$K$925*$V$925</f>
        <v>0</v>
      </c>
      <c r="AC925" s="6">
        <f>$M$925*$W$925</f>
        <v>3183079.4392000004</v>
      </c>
      <c r="AD925" s="6">
        <f>$O$925*$X$925</f>
        <v>2159871.0252</v>
      </c>
      <c r="AE925" s="6">
        <f>$K$925*$Y$925</f>
        <v>0</v>
      </c>
      <c r="AF925" s="6">
        <f ca="1">$M$925*$Z$925</f>
        <v>3640031.5793514135</v>
      </c>
      <c r="AG925" s="6">
        <f>$O$925*$AA$925</f>
        <v>2469100.3924749931</v>
      </c>
    </row>
    <row r="926" spans="1:33" ht="11.25" customHeight="1" x14ac:dyDescent="0.25">
      <c r="A926" s="4" t="s">
        <v>27</v>
      </c>
      <c r="B926" s="4" t="s">
        <v>41</v>
      </c>
      <c r="C926" s="4" t="s">
        <v>23</v>
      </c>
      <c r="D926" s="4" t="s">
        <v>42</v>
      </c>
      <c r="E926" s="4" t="s">
        <v>25</v>
      </c>
      <c r="F926" s="4" t="s">
        <v>25</v>
      </c>
      <c r="G926" s="4" t="s">
        <v>25</v>
      </c>
      <c r="H926" s="4" t="s">
        <v>25</v>
      </c>
      <c r="I926" s="5">
        <v>44378</v>
      </c>
      <c r="J926" s="6">
        <v>0</v>
      </c>
      <c r="K926" s="6">
        <v>0</v>
      </c>
      <c r="L926" s="6">
        <v>-51.018000000000001</v>
      </c>
      <c r="M926" s="6">
        <v>-51.018000000000001</v>
      </c>
      <c r="N926" s="6">
        <v>-51.018000000000001</v>
      </c>
      <c r="O926" s="6">
        <v>-51.018000000000001</v>
      </c>
      <c r="P926" s="6">
        <v>-34</v>
      </c>
      <c r="Q926" s="4" t="s">
        <v>26</v>
      </c>
      <c r="R926" s="4">
        <v>0</v>
      </c>
      <c r="S926" s="6">
        <v>0</v>
      </c>
      <c r="T926" s="6">
        <v>40</v>
      </c>
      <c r="U926" s="6">
        <v>78</v>
      </c>
      <c r="V926" s="6">
        <f>IF(ISERROR(VLOOKUP($S$926,'TAR FIN'!$A$1:$O$93,15,0)),0,VLOOKUP($S$926,'TAR FIN'!$A$1:$O$93,15,0))</f>
        <v>0</v>
      </c>
      <c r="W926" s="6">
        <f>IF(ISERROR(VLOOKUP($T$926,'TAR FIN'!$A$1:$O$93,15,0)),0,VLOOKUP($T$926,'TAR FIN'!$A$1:$O$93,15,0))</f>
        <v>240.16</v>
      </c>
      <c r="X926" s="6">
        <f>IF(ISERROR(VLOOKUP($U$926,'TAR FIN'!$A$1:$O$93,15,0)),0,VLOOKUP($U$926,'TAR FIN'!$A$1:$O$93,15,0))</f>
        <v>162.96</v>
      </c>
      <c r="Y926" s="6"/>
      <c r="Z926" s="6">
        <f ca="1">('TUSD BE'!$AM$37+'TUSD BF'!$AM$37+'TUSD CVA'!$AM$37)*(1-CUSTOS!$M$38)</f>
        <v>274.6365589659128</v>
      </c>
      <c r="AA926" s="6">
        <f>('TE BE'!$AB$26+'TE BF'!$AB$26+'TE CVA'!$AB$26)*(1-CUSTOS!$M$38)</f>
        <v>186.29103092878736</v>
      </c>
      <c r="AB926" s="6">
        <f>$K$926*$V$926</f>
        <v>0</v>
      </c>
      <c r="AC926" s="6">
        <f>$M$926*$W$926</f>
        <v>-12252.48288</v>
      </c>
      <c r="AD926" s="6">
        <f>$O$926*$X$926</f>
        <v>-8313.8932800000002</v>
      </c>
      <c r="AE926" s="6">
        <f>$K$926*$Y$926</f>
        <v>0</v>
      </c>
      <c r="AF926" s="6">
        <f ca="1">$M$926*$Z$926</f>
        <v>-14011.40796532294</v>
      </c>
      <c r="AG926" s="6">
        <f>$O$926*$AA$926</f>
        <v>-9504.1958159248734</v>
      </c>
    </row>
    <row r="927" spans="1:33" ht="11.25" customHeight="1" x14ac:dyDescent="0.25">
      <c r="A927" s="4" t="s">
        <v>28</v>
      </c>
      <c r="B927" s="4" t="s">
        <v>41</v>
      </c>
      <c r="C927" s="4" t="s">
        <v>23</v>
      </c>
      <c r="D927" s="4" t="s">
        <v>42</v>
      </c>
      <c r="E927" s="4" t="s">
        <v>25</v>
      </c>
      <c r="F927" s="4" t="s">
        <v>25</v>
      </c>
      <c r="G927" s="4" t="s">
        <v>25</v>
      </c>
      <c r="H927" s="4" t="s">
        <v>25</v>
      </c>
      <c r="I927" s="5">
        <v>44378</v>
      </c>
      <c r="J927" s="6">
        <v>0</v>
      </c>
      <c r="K927" s="6">
        <v>0</v>
      </c>
      <c r="L927" s="6">
        <v>293.98700000000002</v>
      </c>
      <c r="M927" s="6">
        <v>293.98700000000002</v>
      </c>
      <c r="N927" s="6">
        <v>293.98700000000002</v>
      </c>
      <c r="O927" s="6">
        <v>293.98700000000002</v>
      </c>
      <c r="P927" s="6">
        <v>585</v>
      </c>
      <c r="Q927" s="4" t="s">
        <v>26</v>
      </c>
      <c r="R927" s="4">
        <v>0</v>
      </c>
      <c r="S927" s="6">
        <v>0</v>
      </c>
      <c r="T927" s="6">
        <v>40</v>
      </c>
      <c r="U927" s="6">
        <v>78</v>
      </c>
      <c r="V927" s="6">
        <f>IF(ISERROR(VLOOKUP($S$927,'TAR FIN'!$A$1:$O$93,15,0)),0,VLOOKUP($S$927,'TAR FIN'!$A$1:$O$93,15,0))</f>
        <v>0</v>
      </c>
      <c r="W927" s="6">
        <f>IF(ISERROR(VLOOKUP($T$927,'TAR FIN'!$A$1:$O$93,15,0)),0,VLOOKUP($T$927,'TAR FIN'!$A$1:$O$93,15,0))</f>
        <v>240.16</v>
      </c>
      <c r="X927" s="6">
        <f>IF(ISERROR(VLOOKUP($U$927,'TAR FIN'!$A$1:$O$93,15,0)),0,VLOOKUP($U$927,'TAR FIN'!$A$1:$O$93,15,0))</f>
        <v>162.96</v>
      </c>
      <c r="Y927" s="6"/>
      <c r="Z927" s="6">
        <f ca="1">('TUSD BE'!$AM$37+'TUSD BF'!$AM$37+'TUSD CVA'!$AM$37)*(1-CUSTOS!$M$38)</f>
        <v>274.6365589659128</v>
      </c>
      <c r="AA927" s="6">
        <f>('TE BE'!$AB$26+'TE BF'!$AB$26+'TE CVA'!$AB$26)*(1-CUSTOS!$M$38)</f>
        <v>186.29103092878736</v>
      </c>
      <c r="AB927" s="6">
        <f>$K$927*$V$927</f>
        <v>0</v>
      </c>
      <c r="AC927" s="6">
        <f>$M$927*$W$927</f>
        <v>70603.917920000007</v>
      </c>
      <c r="AD927" s="6">
        <f>$O$927*$X$927</f>
        <v>47908.121520000008</v>
      </c>
      <c r="AE927" s="6">
        <f>$K$927*$Y$927</f>
        <v>0</v>
      </c>
      <c r="AF927" s="6">
        <f ca="1">$M$927*$Z$927</f>
        <v>80739.578060711807</v>
      </c>
      <c r="AG927" s="6">
        <f>$O$927*$AA$927</f>
        <v>54767.141309661412</v>
      </c>
    </row>
    <row r="928" spans="1:33" ht="11.25" customHeight="1" x14ac:dyDescent="0.25">
      <c r="A928" s="4" t="s">
        <v>28</v>
      </c>
      <c r="B928" s="4" t="s">
        <v>41</v>
      </c>
      <c r="C928" s="4" t="s">
        <v>23</v>
      </c>
      <c r="D928" s="4" t="s">
        <v>42</v>
      </c>
      <c r="E928" s="4" t="s">
        <v>25</v>
      </c>
      <c r="F928" s="4" t="s">
        <v>25</v>
      </c>
      <c r="G928" s="4" t="s">
        <v>25</v>
      </c>
      <c r="H928" s="4" t="s">
        <v>25</v>
      </c>
      <c r="I928" s="5">
        <v>44378</v>
      </c>
      <c r="J928" s="6">
        <v>0</v>
      </c>
      <c r="K928" s="6">
        <v>0</v>
      </c>
      <c r="L928" s="6">
        <v>-235.166</v>
      </c>
      <c r="M928" s="6">
        <v>-235.166</v>
      </c>
      <c r="N928" s="6">
        <v>-235.166</v>
      </c>
      <c r="O928" s="6">
        <v>-235.166</v>
      </c>
      <c r="P928" s="6">
        <v>-1</v>
      </c>
      <c r="Q928" s="4" t="s">
        <v>26</v>
      </c>
      <c r="R928" s="4">
        <v>0</v>
      </c>
      <c r="S928" s="6">
        <v>0</v>
      </c>
      <c r="T928" s="6">
        <v>40</v>
      </c>
      <c r="U928" s="6">
        <v>78</v>
      </c>
      <c r="V928" s="6">
        <f>IF(ISERROR(VLOOKUP($S$928,'TAR FIN'!$A$1:$O$93,15,0)),0,VLOOKUP($S$928,'TAR FIN'!$A$1:$O$93,15,0))</f>
        <v>0</v>
      </c>
      <c r="W928" s="6">
        <f>IF(ISERROR(VLOOKUP($T$928,'TAR FIN'!$A$1:$O$93,15,0)),0,VLOOKUP($T$928,'TAR FIN'!$A$1:$O$93,15,0))</f>
        <v>240.16</v>
      </c>
      <c r="X928" s="6">
        <f>IF(ISERROR(VLOOKUP($U$928,'TAR FIN'!$A$1:$O$93,15,0)),0,VLOOKUP($U$928,'TAR FIN'!$A$1:$O$93,15,0))</f>
        <v>162.96</v>
      </c>
      <c r="Y928" s="6"/>
      <c r="Z928" s="6">
        <f ca="1">('TUSD BE'!$AM$37+'TUSD BF'!$AM$37+'TUSD CVA'!$AM$37)*(1-CUSTOS!$M$38)</f>
        <v>274.6365589659128</v>
      </c>
      <c r="AA928" s="6">
        <f>('TE BE'!$AB$26+'TE BF'!$AB$26+'TE CVA'!$AB$26)*(1-CUSTOS!$M$38)</f>
        <v>186.29103092878736</v>
      </c>
      <c r="AB928" s="6">
        <f>$K$928*$V$928</f>
        <v>0</v>
      </c>
      <c r="AC928" s="6">
        <f>$M$928*$W$928</f>
        <v>-56477.466560000001</v>
      </c>
      <c r="AD928" s="6">
        <f>$O$928*$X$928</f>
        <v>-38322.651360000003</v>
      </c>
      <c r="AE928" s="6">
        <f>$K$928*$Y$928</f>
        <v>0</v>
      </c>
      <c r="AF928" s="6">
        <f ca="1">$M$928*$Z$928</f>
        <v>-64585.181025777849</v>
      </c>
      <c r="AG928" s="6">
        <f>$O$928*$AA$928</f>
        <v>-43809.316579399208</v>
      </c>
    </row>
    <row r="929" spans="1:33" ht="11.25" customHeight="1" x14ac:dyDescent="0.25">
      <c r="A929" s="4" t="s">
        <v>21</v>
      </c>
      <c r="B929" s="4" t="s">
        <v>41</v>
      </c>
      <c r="C929" s="4" t="s">
        <v>23</v>
      </c>
      <c r="D929" s="4" t="s">
        <v>42</v>
      </c>
      <c r="E929" s="4" t="s">
        <v>25</v>
      </c>
      <c r="F929" s="4" t="s">
        <v>25</v>
      </c>
      <c r="G929" s="4" t="s">
        <v>25</v>
      </c>
      <c r="H929" s="4" t="s">
        <v>25</v>
      </c>
      <c r="I929" s="5">
        <v>44409</v>
      </c>
      <c r="J929" s="6">
        <v>0</v>
      </c>
      <c r="K929" s="6">
        <v>0</v>
      </c>
      <c r="L929" s="6">
        <v>14833.175999999999</v>
      </c>
      <c r="M929" s="6">
        <v>14833.175999999999</v>
      </c>
      <c r="N929" s="6">
        <v>14833.175999999999</v>
      </c>
      <c r="O929" s="6">
        <v>14833.175999999999</v>
      </c>
      <c r="P929" s="6">
        <v>38377</v>
      </c>
      <c r="Q929" s="4" t="s">
        <v>26</v>
      </c>
      <c r="R929" s="4">
        <v>0</v>
      </c>
      <c r="S929" s="6">
        <v>0</v>
      </c>
      <c r="T929" s="6">
        <v>40</v>
      </c>
      <c r="U929" s="6">
        <v>78</v>
      </c>
      <c r="V929" s="6">
        <f>IF(ISERROR(VLOOKUP($S$929,'TAR FIN'!$A$1:$O$93,15,0)),0,VLOOKUP($S$929,'TAR FIN'!$A$1:$O$93,15,0))</f>
        <v>0</v>
      </c>
      <c r="W929" s="6">
        <f>IF(ISERROR(VLOOKUP($T$929,'TAR FIN'!$A$1:$O$93,15,0)),0,VLOOKUP($T$929,'TAR FIN'!$A$1:$O$93,15,0))</f>
        <v>240.16</v>
      </c>
      <c r="X929" s="6">
        <f>IF(ISERROR(VLOOKUP($U$929,'TAR FIN'!$A$1:$O$93,15,0)),0,VLOOKUP($U$929,'TAR FIN'!$A$1:$O$93,15,0))</f>
        <v>162.96</v>
      </c>
      <c r="Y929" s="6"/>
      <c r="Z929" s="6">
        <f ca="1">('TUSD BE'!$AM$37+'TUSD BF'!$AM$37+'TUSD CVA'!$AM$37)*(1-CUSTOS!$M$38)</f>
        <v>274.6365589659128</v>
      </c>
      <c r="AA929" s="6">
        <f>('TE BE'!$AB$26+'TE BF'!$AB$26+'TE CVA'!$AB$26)*(1-CUSTOS!$M$38)</f>
        <v>186.29103092878736</v>
      </c>
      <c r="AB929" s="6">
        <f>$K$929*$V$929</f>
        <v>0</v>
      </c>
      <c r="AC929" s="6">
        <f>$M$929*$W$929</f>
        <v>3562335.5481599998</v>
      </c>
      <c r="AD929" s="6">
        <f>$O$929*$X$929</f>
        <v>2417214.3609600002</v>
      </c>
      <c r="AE929" s="6">
        <f>$K$929*$Y$929</f>
        <v>0</v>
      </c>
      <c r="AF929" s="6">
        <f ca="1">$M$929*$Z$929</f>
        <v>4073732.4151757625</v>
      </c>
      <c r="AG929" s="6">
        <f>$O$929*$AA$929</f>
        <v>2763287.6489881463</v>
      </c>
    </row>
    <row r="930" spans="1:33" ht="11.25" customHeight="1" x14ac:dyDescent="0.25">
      <c r="A930" s="4" t="s">
        <v>27</v>
      </c>
      <c r="B930" s="4" t="s">
        <v>41</v>
      </c>
      <c r="C930" s="4" t="s">
        <v>23</v>
      </c>
      <c r="D930" s="4" t="s">
        <v>42</v>
      </c>
      <c r="E930" s="4" t="s">
        <v>25</v>
      </c>
      <c r="F930" s="4" t="s">
        <v>25</v>
      </c>
      <c r="G930" s="4" t="s">
        <v>25</v>
      </c>
      <c r="H930" s="4" t="s">
        <v>25</v>
      </c>
      <c r="I930" s="5">
        <v>44409</v>
      </c>
      <c r="J930" s="6">
        <v>0</v>
      </c>
      <c r="K930" s="6">
        <v>0</v>
      </c>
      <c r="L930" s="6">
        <v>-967.94100000000003</v>
      </c>
      <c r="M930" s="6">
        <v>-967.94100000000003</v>
      </c>
      <c r="N930" s="6">
        <v>-967.94100000000003</v>
      </c>
      <c r="O930" s="6">
        <v>-967.94100000000003</v>
      </c>
      <c r="P930" s="6">
        <v>-40</v>
      </c>
      <c r="Q930" s="4" t="s">
        <v>26</v>
      </c>
      <c r="R930" s="4">
        <v>0</v>
      </c>
      <c r="S930" s="6">
        <v>0</v>
      </c>
      <c r="T930" s="6">
        <v>40</v>
      </c>
      <c r="U930" s="6">
        <v>78</v>
      </c>
      <c r="V930" s="6">
        <f>IF(ISERROR(VLOOKUP($S$930,'TAR FIN'!$A$1:$O$93,15,0)),0,VLOOKUP($S$930,'TAR FIN'!$A$1:$O$93,15,0))</f>
        <v>0</v>
      </c>
      <c r="W930" s="6">
        <f>IF(ISERROR(VLOOKUP($T$930,'TAR FIN'!$A$1:$O$93,15,0)),0,VLOOKUP($T$930,'TAR FIN'!$A$1:$O$93,15,0))</f>
        <v>240.16</v>
      </c>
      <c r="X930" s="6">
        <f>IF(ISERROR(VLOOKUP($U$930,'TAR FIN'!$A$1:$O$93,15,0)),0,VLOOKUP($U$930,'TAR FIN'!$A$1:$O$93,15,0))</f>
        <v>162.96</v>
      </c>
      <c r="Y930" s="6"/>
      <c r="Z930" s="6">
        <f ca="1">('TUSD BE'!$AM$37+'TUSD BF'!$AM$37+'TUSD CVA'!$AM$37)*(1-CUSTOS!$M$38)</f>
        <v>274.6365589659128</v>
      </c>
      <c r="AA930" s="6">
        <f>('TE BE'!$AB$26+'TE BF'!$AB$26+'TE CVA'!$AB$26)*(1-CUSTOS!$M$38)</f>
        <v>186.29103092878736</v>
      </c>
      <c r="AB930" s="6">
        <f>$K$930*$V$930</f>
        <v>0</v>
      </c>
      <c r="AC930" s="6">
        <f>$M$930*$W$930</f>
        <v>-232460.71056000001</v>
      </c>
      <c r="AD930" s="6">
        <f>$O$930*$X$930</f>
        <v>-157735.66536000001</v>
      </c>
      <c r="AE930" s="6">
        <f>$K$930*$Y$930</f>
        <v>0</v>
      </c>
      <c r="AF930" s="6">
        <f ca="1">$M$930*$Z$930</f>
        <v>-265831.98552202462</v>
      </c>
      <c r="AG930" s="6">
        <f>$O$930*$AA$930</f>
        <v>-180318.72676824138</v>
      </c>
    </row>
    <row r="931" spans="1:33" ht="11.25" customHeight="1" x14ac:dyDescent="0.25">
      <c r="A931" s="4" t="s">
        <v>28</v>
      </c>
      <c r="B931" s="4" t="s">
        <v>41</v>
      </c>
      <c r="C931" s="4" t="s">
        <v>23</v>
      </c>
      <c r="D931" s="4" t="s">
        <v>42</v>
      </c>
      <c r="E931" s="4" t="s">
        <v>25</v>
      </c>
      <c r="F931" s="4" t="s">
        <v>25</v>
      </c>
      <c r="G931" s="4" t="s">
        <v>25</v>
      </c>
      <c r="H931" s="4" t="s">
        <v>25</v>
      </c>
      <c r="I931" s="5">
        <v>44409</v>
      </c>
      <c r="J931" s="6">
        <v>0</v>
      </c>
      <c r="K931" s="6">
        <v>0</v>
      </c>
      <c r="L931" s="6">
        <v>228.06700000000001</v>
      </c>
      <c r="M931" s="6">
        <v>228.06700000000001</v>
      </c>
      <c r="N931" s="6">
        <v>228.06700000000001</v>
      </c>
      <c r="O931" s="6">
        <v>228.06700000000001</v>
      </c>
      <c r="P931" s="6">
        <v>605</v>
      </c>
      <c r="Q931" s="4" t="s">
        <v>26</v>
      </c>
      <c r="R931" s="4">
        <v>0</v>
      </c>
      <c r="S931" s="6">
        <v>0</v>
      </c>
      <c r="T931" s="6">
        <v>40</v>
      </c>
      <c r="U931" s="6">
        <v>78</v>
      </c>
      <c r="V931" s="6">
        <f>IF(ISERROR(VLOOKUP($S$931,'TAR FIN'!$A$1:$O$93,15,0)),0,VLOOKUP($S$931,'TAR FIN'!$A$1:$O$93,15,0))</f>
        <v>0</v>
      </c>
      <c r="W931" s="6">
        <f>IF(ISERROR(VLOOKUP($T$931,'TAR FIN'!$A$1:$O$93,15,0)),0,VLOOKUP($T$931,'TAR FIN'!$A$1:$O$93,15,0))</f>
        <v>240.16</v>
      </c>
      <c r="X931" s="6">
        <f>IF(ISERROR(VLOOKUP($U$931,'TAR FIN'!$A$1:$O$93,15,0)),0,VLOOKUP($U$931,'TAR FIN'!$A$1:$O$93,15,0))</f>
        <v>162.96</v>
      </c>
      <c r="Y931" s="6"/>
      <c r="Z931" s="6">
        <f ca="1">('TUSD BE'!$AM$37+'TUSD BF'!$AM$37+'TUSD CVA'!$AM$37)*(1-CUSTOS!$M$38)</f>
        <v>274.6365589659128</v>
      </c>
      <c r="AA931" s="6">
        <f>('TE BE'!$AB$26+'TE BF'!$AB$26+'TE CVA'!$AB$26)*(1-CUSTOS!$M$38)</f>
        <v>186.29103092878736</v>
      </c>
      <c r="AB931" s="6">
        <f>$K$931*$V$931</f>
        <v>0</v>
      </c>
      <c r="AC931" s="6">
        <f>$M$931*$W$931</f>
        <v>54772.570720000003</v>
      </c>
      <c r="AD931" s="6">
        <f>$O$931*$X$931</f>
        <v>37165.798320000002</v>
      </c>
      <c r="AE931" s="6">
        <f>$K$931*$Y$931</f>
        <v>0</v>
      </c>
      <c r="AF931" s="6">
        <f ca="1">$M$931*$Z$931</f>
        <v>62635.536093678835</v>
      </c>
      <c r="AG931" s="6">
        <f>$O$931*$AA$931</f>
        <v>42486.836550835746</v>
      </c>
    </row>
    <row r="932" spans="1:33" ht="11.25" customHeight="1" x14ac:dyDescent="0.25">
      <c r="A932" s="4" t="s">
        <v>28</v>
      </c>
      <c r="B932" s="4" t="s">
        <v>41</v>
      </c>
      <c r="C932" s="4" t="s">
        <v>23</v>
      </c>
      <c r="D932" s="4" t="s">
        <v>42</v>
      </c>
      <c r="E932" s="4" t="s">
        <v>25</v>
      </c>
      <c r="F932" s="4" t="s">
        <v>25</v>
      </c>
      <c r="G932" s="4" t="s">
        <v>25</v>
      </c>
      <c r="H932" s="4" t="s">
        <v>25</v>
      </c>
      <c r="I932" s="5">
        <v>44409</v>
      </c>
      <c r="J932" s="6">
        <v>0</v>
      </c>
      <c r="K932" s="6">
        <v>0</v>
      </c>
      <c r="L932" s="6">
        <v>-2.5059999999999998</v>
      </c>
      <c r="M932" s="6">
        <v>-2.5059999999999998</v>
      </c>
      <c r="N932" s="6">
        <v>-2.5059999999999998</v>
      </c>
      <c r="O932" s="6">
        <v>-2.5059999999999998</v>
      </c>
      <c r="P932" s="6">
        <v>-1</v>
      </c>
      <c r="Q932" s="4" t="s">
        <v>26</v>
      </c>
      <c r="R932" s="4">
        <v>0</v>
      </c>
      <c r="S932" s="6">
        <v>0</v>
      </c>
      <c r="T932" s="6">
        <v>40</v>
      </c>
      <c r="U932" s="6">
        <v>78</v>
      </c>
      <c r="V932" s="6">
        <f>IF(ISERROR(VLOOKUP($S$932,'TAR FIN'!$A$1:$O$93,15,0)),0,VLOOKUP($S$932,'TAR FIN'!$A$1:$O$93,15,0))</f>
        <v>0</v>
      </c>
      <c r="W932" s="6">
        <f>IF(ISERROR(VLOOKUP($T$932,'TAR FIN'!$A$1:$O$93,15,0)),0,VLOOKUP($T$932,'TAR FIN'!$A$1:$O$93,15,0))</f>
        <v>240.16</v>
      </c>
      <c r="X932" s="6">
        <f>IF(ISERROR(VLOOKUP($U$932,'TAR FIN'!$A$1:$O$93,15,0)),0,VLOOKUP($U$932,'TAR FIN'!$A$1:$O$93,15,0))</f>
        <v>162.96</v>
      </c>
      <c r="Y932" s="6"/>
      <c r="Z932" s="6">
        <f ca="1">('TUSD BE'!$AM$37+'TUSD BF'!$AM$37+'TUSD CVA'!$AM$37)*(1-CUSTOS!$M$38)</f>
        <v>274.6365589659128</v>
      </c>
      <c r="AA932" s="6">
        <f>('TE BE'!$AB$26+'TE BF'!$AB$26+'TE CVA'!$AB$26)*(1-CUSTOS!$M$38)</f>
        <v>186.29103092878736</v>
      </c>
      <c r="AB932" s="6">
        <f>$K$932*$V$932</f>
        <v>0</v>
      </c>
      <c r="AC932" s="6">
        <f>$M$932*$W$932</f>
        <v>-601.84096</v>
      </c>
      <c r="AD932" s="6">
        <f>$O$932*$X$932</f>
        <v>-408.37775999999997</v>
      </c>
      <c r="AE932" s="6">
        <f>$K$932*$Y$932</f>
        <v>0</v>
      </c>
      <c r="AF932" s="6">
        <f ca="1">$M$932*$Z$932</f>
        <v>-688.23921676857742</v>
      </c>
      <c r="AG932" s="6">
        <f>$O$932*$AA$932</f>
        <v>-466.84532350754108</v>
      </c>
    </row>
    <row r="933" spans="1:33" ht="11.25" customHeight="1" x14ac:dyDescent="0.25">
      <c r="A933" s="4" t="s">
        <v>21</v>
      </c>
      <c r="B933" s="4" t="s">
        <v>41</v>
      </c>
      <c r="C933" s="4" t="s">
        <v>23</v>
      </c>
      <c r="D933" s="4" t="s">
        <v>42</v>
      </c>
      <c r="E933" s="4" t="s">
        <v>25</v>
      </c>
      <c r="F933" s="4" t="s">
        <v>25</v>
      </c>
      <c r="G933" s="4" t="s">
        <v>25</v>
      </c>
      <c r="H933" s="4" t="s">
        <v>25</v>
      </c>
      <c r="I933" s="5">
        <v>44440</v>
      </c>
      <c r="J933" s="6">
        <v>0</v>
      </c>
      <c r="K933" s="6">
        <v>0</v>
      </c>
      <c r="L933" s="6">
        <v>14070.333000000001</v>
      </c>
      <c r="M933" s="6">
        <v>14070.333000000001</v>
      </c>
      <c r="N933" s="6">
        <v>14070.333000000001</v>
      </c>
      <c r="O933" s="6">
        <v>14070.333000000001</v>
      </c>
      <c r="P933" s="6">
        <v>38401</v>
      </c>
      <c r="Q933" s="4" t="s">
        <v>26</v>
      </c>
      <c r="R933" s="4">
        <v>0</v>
      </c>
      <c r="S933" s="6">
        <v>0</v>
      </c>
      <c r="T933" s="6">
        <v>40</v>
      </c>
      <c r="U933" s="6">
        <v>78</v>
      </c>
      <c r="V933" s="6">
        <f>IF(ISERROR(VLOOKUP($S$933,'TAR FIN'!$A$1:$O$93,15,0)),0,VLOOKUP($S$933,'TAR FIN'!$A$1:$O$93,15,0))</f>
        <v>0</v>
      </c>
      <c r="W933" s="6">
        <f>IF(ISERROR(VLOOKUP($T$933,'TAR FIN'!$A$1:$O$93,15,0)),0,VLOOKUP($T$933,'TAR FIN'!$A$1:$O$93,15,0))</f>
        <v>240.16</v>
      </c>
      <c r="X933" s="6">
        <f>IF(ISERROR(VLOOKUP($U$933,'TAR FIN'!$A$1:$O$93,15,0)),0,VLOOKUP($U$933,'TAR FIN'!$A$1:$O$93,15,0))</f>
        <v>162.96</v>
      </c>
      <c r="Y933" s="6"/>
      <c r="Z933" s="6">
        <f ca="1">('TUSD BE'!$AM$37+'TUSD BF'!$AM$37+'TUSD CVA'!$AM$37)*(1-CUSTOS!$M$38)</f>
        <v>274.6365589659128</v>
      </c>
      <c r="AA933" s="6">
        <f>('TE BE'!$AB$26+'TE BF'!$AB$26+'TE CVA'!$AB$26)*(1-CUSTOS!$M$38)</f>
        <v>186.29103092878736</v>
      </c>
      <c r="AB933" s="6">
        <f>$K$933*$V$933</f>
        <v>0</v>
      </c>
      <c r="AC933" s="6">
        <f>$M$933*$W$933</f>
        <v>3379131.1732800002</v>
      </c>
      <c r="AD933" s="6">
        <f>$O$933*$X$933</f>
        <v>2292901.4656800004</v>
      </c>
      <c r="AE933" s="6">
        <f>$K$933*$Y$933</f>
        <v>0</v>
      </c>
      <c r="AF933" s="6">
        <f ca="1">$M$933*$Z$933</f>
        <v>3864227.8386245291</v>
      </c>
      <c r="AG933" s="6">
        <f>$O$933*$AA$933</f>
        <v>2621176.8400813374</v>
      </c>
    </row>
    <row r="934" spans="1:33" ht="11.25" customHeight="1" x14ac:dyDescent="0.25">
      <c r="A934" s="4" t="s">
        <v>27</v>
      </c>
      <c r="B934" s="4" t="s">
        <v>41</v>
      </c>
      <c r="C934" s="4" t="s">
        <v>23</v>
      </c>
      <c r="D934" s="4" t="s">
        <v>42</v>
      </c>
      <c r="E934" s="4" t="s">
        <v>25</v>
      </c>
      <c r="F934" s="4" t="s">
        <v>25</v>
      </c>
      <c r="G934" s="4" t="s">
        <v>25</v>
      </c>
      <c r="H934" s="4" t="s">
        <v>25</v>
      </c>
      <c r="I934" s="5">
        <v>44440</v>
      </c>
      <c r="J934" s="6">
        <v>0</v>
      </c>
      <c r="K934" s="6">
        <v>0</v>
      </c>
      <c r="L934" s="6">
        <v>-58.732999999999997</v>
      </c>
      <c r="M934" s="6">
        <v>-58.732999999999997</v>
      </c>
      <c r="N934" s="6">
        <v>-58.732999999999997</v>
      </c>
      <c r="O934" s="6">
        <v>-58.732999999999997</v>
      </c>
      <c r="P934" s="6">
        <v>-34</v>
      </c>
      <c r="Q934" s="4" t="s">
        <v>26</v>
      </c>
      <c r="R934" s="4">
        <v>0</v>
      </c>
      <c r="S934" s="6">
        <v>0</v>
      </c>
      <c r="T934" s="6">
        <v>40</v>
      </c>
      <c r="U934" s="6">
        <v>78</v>
      </c>
      <c r="V934" s="6">
        <f>IF(ISERROR(VLOOKUP($S$934,'TAR FIN'!$A$1:$O$93,15,0)),0,VLOOKUP($S$934,'TAR FIN'!$A$1:$O$93,15,0))</f>
        <v>0</v>
      </c>
      <c r="W934" s="6">
        <f>IF(ISERROR(VLOOKUP($T$934,'TAR FIN'!$A$1:$O$93,15,0)),0,VLOOKUP($T$934,'TAR FIN'!$A$1:$O$93,15,0))</f>
        <v>240.16</v>
      </c>
      <c r="X934" s="6">
        <f>IF(ISERROR(VLOOKUP($U$934,'TAR FIN'!$A$1:$O$93,15,0)),0,VLOOKUP($U$934,'TAR FIN'!$A$1:$O$93,15,0))</f>
        <v>162.96</v>
      </c>
      <c r="Y934" s="6"/>
      <c r="Z934" s="6">
        <f ca="1">('TUSD BE'!$AM$37+'TUSD BF'!$AM$37+'TUSD CVA'!$AM$37)*(1-CUSTOS!$M$38)</f>
        <v>274.6365589659128</v>
      </c>
      <c r="AA934" s="6">
        <f>('TE BE'!$AB$26+'TE BF'!$AB$26+'TE CVA'!$AB$26)*(1-CUSTOS!$M$38)</f>
        <v>186.29103092878736</v>
      </c>
      <c r="AB934" s="6">
        <f>$K$934*$V$934</f>
        <v>0</v>
      </c>
      <c r="AC934" s="6">
        <f>$M$934*$W$934</f>
        <v>-14105.317279999999</v>
      </c>
      <c r="AD934" s="6">
        <f>$O$934*$X$934</f>
        <v>-9571.12968</v>
      </c>
      <c r="AE934" s="6">
        <f>$K$934*$Y$934</f>
        <v>0</v>
      </c>
      <c r="AF934" s="6">
        <f ca="1">$M$934*$Z$934</f>
        <v>-16130.229017744956</v>
      </c>
      <c r="AG934" s="6">
        <f>$O$934*$AA$934</f>
        <v>-10941.431119540468</v>
      </c>
    </row>
    <row r="935" spans="1:33" ht="11.25" customHeight="1" x14ac:dyDescent="0.25">
      <c r="A935" s="4" t="s">
        <v>28</v>
      </c>
      <c r="B935" s="4" t="s">
        <v>41</v>
      </c>
      <c r="C935" s="4" t="s">
        <v>23</v>
      </c>
      <c r="D935" s="4" t="s">
        <v>42</v>
      </c>
      <c r="E935" s="4" t="s">
        <v>25</v>
      </c>
      <c r="F935" s="4" t="s">
        <v>25</v>
      </c>
      <c r="G935" s="4" t="s">
        <v>25</v>
      </c>
      <c r="H935" s="4" t="s">
        <v>25</v>
      </c>
      <c r="I935" s="5">
        <v>44440</v>
      </c>
      <c r="J935" s="6">
        <v>0</v>
      </c>
      <c r="K935" s="6">
        <v>0</v>
      </c>
      <c r="L935" s="6">
        <v>258.58300000000003</v>
      </c>
      <c r="M935" s="6">
        <v>258.58300000000003</v>
      </c>
      <c r="N935" s="6">
        <v>258.58300000000003</v>
      </c>
      <c r="O935" s="6">
        <v>258.58300000000003</v>
      </c>
      <c r="P935" s="6">
        <v>644</v>
      </c>
      <c r="Q935" s="4" t="s">
        <v>26</v>
      </c>
      <c r="R935" s="4">
        <v>0</v>
      </c>
      <c r="S935" s="6">
        <v>0</v>
      </c>
      <c r="T935" s="6">
        <v>40</v>
      </c>
      <c r="U935" s="6">
        <v>78</v>
      </c>
      <c r="V935" s="6">
        <f>IF(ISERROR(VLOOKUP($S$935,'TAR FIN'!$A$1:$O$93,15,0)),0,VLOOKUP($S$935,'TAR FIN'!$A$1:$O$93,15,0))</f>
        <v>0</v>
      </c>
      <c r="W935" s="6">
        <f>IF(ISERROR(VLOOKUP($T$935,'TAR FIN'!$A$1:$O$93,15,0)),0,VLOOKUP($T$935,'TAR FIN'!$A$1:$O$93,15,0))</f>
        <v>240.16</v>
      </c>
      <c r="X935" s="6">
        <f>IF(ISERROR(VLOOKUP($U$935,'TAR FIN'!$A$1:$O$93,15,0)),0,VLOOKUP($U$935,'TAR FIN'!$A$1:$O$93,15,0))</f>
        <v>162.96</v>
      </c>
      <c r="Y935" s="6"/>
      <c r="Z935" s="6">
        <f ca="1">('TUSD BE'!$AM$37+'TUSD BF'!$AM$37+'TUSD CVA'!$AM$37)*(1-CUSTOS!$M$38)</f>
        <v>274.6365589659128</v>
      </c>
      <c r="AA935" s="6">
        <f>('TE BE'!$AB$26+'TE BF'!$AB$26+'TE CVA'!$AB$26)*(1-CUSTOS!$M$38)</f>
        <v>186.29103092878736</v>
      </c>
      <c r="AB935" s="6">
        <f>$K$935*$V$935</f>
        <v>0</v>
      </c>
      <c r="AC935" s="6">
        <f>$M$935*$W$935</f>
        <v>62101.293280000005</v>
      </c>
      <c r="AD935" s="6">
        <f>$O$935*$X$935</f>
        <v>42138.68568000001</v>
      </c>
      <c r="AE935" s="6">
        <f>$K$935*$Y$935</f>
        <v>0</v>
      </c>
      <c r="AF935" s="6">
        <f ca="1">$M$935*$Z$935</f>
        <v>71016.345327082643</v>
      </c>
      <c r="AG935" s="6">
        <f>$O$935*$AA$935</f>
        <v>48171.693650658628</v>
      </c>
    </row>
    <row r="936" spans="1:33" ht="11.25" customHeight="1" x14ac:dyDescent="0.25">
      <c r="A936" s="4" t="s">
        <v>21</v>
      </c>
      <c r="B936" s="4" t="s">
        <v>41</v>
      </c>
      <c r="C936" s="4" t="s">
        <v>23</v>
      </c>
      <c r="D936" s="4" t="s">
        <v>42</v>
      </c>
      <c r="E936" s="4" t="s">
        <v>25</v>
      </c>
      <c r="F936" s="4" t="s">
        <v>25</v>
      </c>
      <c r="G936" s="4" t="s">
        <v>25</v>
      </c>
      <c r="H936" s="4" t="s">
        <v>25</v>
      </c>
      <c r="I936" s="5">
        <v>44470</v>
      </c>
      <c r="J936" s="6">
        <v>0</v>
      </c>
      <c r="K936" s="6">
        <v>0</v>
      </c>
      <c r="L936" s="6">
        <v>13768.293</v>
      </c>
      <c r="M936" s="6">
        <v>13768.293</v>
      </c>
      <c r="N936" s="6">
        <v>13768.293</v>
      </c>
      <c r="O936" s="6">
        <v>13768.293</v>
      </c>
      <c r="P936" s="6">
        <v>38395</v>
      </c>
      <c r="Q936" s="4" t="s">
        <v>26</v>
      </c>
      <c r="R936" s="4">
        <v>0</v>
      </c>
      <c r="S936" s="6">
        <v>0</v>
      </c>
      <c r="T936" s="6">
        <v>40</v>
      </c>
      <c r="U936" s="6">
        <v>78</v>
      </c>
      <c r="V936" s="6">
        <f>IF(ISERROR(VLOOKUP($S$936,'TAR FIN'!$A$1:$O$93,15,0)),0,VLOOKUP($S$936,'TAR FIN'!$A$1:$O$93,15,0))</f>
        <v>0</v>
      </c>
      <c r="W936" s="6">
        <f>IF(ISERROR(VLOOKUP($T$936,'TAR FIN'!$A$1:$O$93,15,0)),0,VLOOKUP($T$936,'TAR FIN'!$A$1:$O$93,15,0))</f>
        <v>240.16</v>
      </c>
      <c r="X936" s="6">
        <f>IF(ISERROR(VLOOKUP($U$936,'TAR FIN'!$A$1:$O$93,15,0)),0,VLOOKUP($U$936,'TAR FIN'!$A$1:$O$93,15,0))</f>
        <v>162.96</v>
      </c>
      <c r="Y936" s="6"/>
      <c r="Z936" s="6">
        <f ca="1">('TUSD BE'!$AM$37+'TUSD BF'!$AM$37+'TUSD CVA'!$AM$37)*(1-CUSTOS!$M$38)</f>
        <v>274.6365589659128</v>
      </c>
      <c r="AA936" s="6">
        <f>('TE BE'!$AB$26+'TE BF'!$AB$26+'TE CVA'!$AB$26)*(1-CUSTOS!$M$38)</f>
        <v>186.29103092878736</v>
      </c>
      <c r="AB936" s="6">
        <f>$K$936*$V$936</f>
        <v>0</v>
      </c>
      <c r="AC936" s="6">
        <f>$M$936*$W$936</f>
        <v>3306593.24688</v>
      </c>
      <c r="AD936" s="6">
        <f>$O$936*$X$936</f>
        <v>2243681.02728</v>
      </c>
      <c r="AE936" s="6">
        <f>$K$936*$Y$936</f>
        <v>0</v>
      </c>
      <c r="AF936" s="6">
        <f ca="1">$M$936*$Z$936</f>
        <v>3781276.6123544644</v>
      </c>
      <c r="AG936" s="6">
        <f>$O$936*$AA$936</f>
        <v>2564909.4970996063</v>
      </c>
    </row>
    <row r="937" spans="1:33" ht="11.25" customHeight="1" x14ac:dyDescent="0.25">
      <c r="A937" s="4" t="s">
        <v>27</v>
      </c>
      <c r="B937" s="4" t="s">
        <v>41</v>
      </c>
      <c r="C937" s="4" t="s">
        <v>23</v>
      </c>
      <c r="D937" s="4" t="s">
        <v>42</v>
      </c>
      <c r="E937" s="4" t="s">
        <v>25</v>
      </c>
      <c r="F937" s="4" t="s">
        <v>25</v>
      </c>
      <c r="G937" s="4" t="s">
        <v>25</v>
      </c>
      <c r="H937" s="4" t="s">
        <v>25</v>
      </c>
      <c r="I937" s="5">
        <v>44470</v>
      </c>
      <c r="J937" s="6">
        <v>0</v>
      </c>
      <c r="K937" s="6">
        <v>0</v>
      </c>
      <c r="L937" s="6">
        <v>-65.221000000000004</v>
      </c>
      <c r="M937" s="6">
        <v>-65.221000000000004</v>
      </c>
      <c r="N937" s="6">
        <v>-65.221000000000004</v>
      </c>
      <c r="O937" s="6">
        <v>-65.221000000000004</v>
      </c>
      <c r="P937" s="6">
        <v>-25</v>
      </c>
      <c r="Q937" s="4" t="s">
        <v>26</v>
      </c>
      <c r="R937" s="4">
        <v>0</v>
      </c>
      <c r="S937" s="6">
        <v>0</v>
      </c>
      <c r="T937" s="6">
        <v>40</v>
      </c>
      <c r="U937" s="6">
        <v>78</v>
      </c>
      <c r="V937" s="6">
        <f>IF(ISERROR(VLOOKUP($S$937,'TAR FIN'!$A$1:$O$93,15,0)),0,VLOOKUP($S$937,'TAR FIN'!$A$1:$O$93,15,0))</f>
        <v>0</v>
      </c>
      <c r="W937" s="6">
        <f>IF(ISERROR(VLOOKUP($T$937,'TAR FIN'!$A$1:$O$93,15,0)),0,VLOOKUP($T$937,'TAR FIN'!$A$1:$O$93,15,0))</f>
        <v>240.16</v>
      </c>
      <c r="X937" s="6">
        <f>IF(ISERROR(VLOOKUP($U$937,'TAR FIN'!$A$1:$O$93,15,0)),0,VLOOKUP($U$937,'TAR FIN'!$A$1:$O$93,15,0))</f>
        <v>162.96</v>
      </c>
      <c r="Y937" s="6"/>
      <c r="Z937" s="6">
        <f ca="1">('TUSD BE'!$AM$37+'TUSD BF'!$AM$37+'TUSD CVA'!$AM$37)*(1-CUSTOS!$M$38)</f>
        <v>274.6365589659128</v>
      </c>
      <c r="AA937" s="6">
        <f>('TE BE'!$AB$26+'TE BF'!$AB$26+'TE CVA'!$AB$26)*(1-CUSTOS!$M$38)</f>
        <v>186.29103092878736</v>
      </c>
      <c r="AB937" s="6">
        <f>$K$937*$V$937</f>
        <v>0</v>
      </c>
      <c r="AC937" s="6">
        <f>$M$937*$W$937</f>
        <v>-15663.47536</v>
      </c>
      <c r="AD937" s="6">
        <f>$O$937*$X$937</f>
        <v>-10628.41416</v>
      </c>
      <c r="AE937" s="6">
        <f>$K$937*$Y$937</f>
        <v>0</v>
      </c>
      <c r="AF937" s="6">
        <f ca="1">$M$937*$Z$937</f>
        <v>-17912.071012315799</v>
      </c>
      <c r="AG937" s="6">
        <f>$O$937*$AA$937</f>
        <v>-12150.087328206442</v>
      </c>
    </row>
    <row r="938" spans="1:33" ht="11.25" customHeight="1" x14ac:dyDescent="0.25">
      <c r="A938" s="4" t="s">
        <v>28</v>
      </c>
      <c r="B938" s="4" t="s">
        <v>41</v>
      </c>
      <c r="C938" s="4" t="s">
        <v>23</v>
      </c>
      <c r="D938" s="4" t="s">
        <v>42</v>
      </c>
      <c r="E938" s="4" t="s">
        <v>25</v>
      </c>
      <c r="F938" s="4" t="s">
        <v>25</v>
      </c>
      <c r="G938" s="4" t="s">
        <v>25</v>
      </c>
      <c r="H938" s="4" t="s">
        <v>25</v>
      </c>
      <c r="I938" s="5">
        <v>44470</v>
      </c>
      <c r="J938" s="6">
        <v>0</v>
      </c>
      <c r="K938" s="6">
        <v>0</v>
      </c>
      <c r="L938" s="6">
        <v>274.07600000000002</v>
      </c>
      <c r="M938" s="6">
        <v>274.07600000000002</v>
      </c>
      <c r="N938" s="6">
        <v>274.07600000000002</v>
      </c>
      <c r="O938" s="6">
        <v>274.07600000000002</v>
      </c>
      <c r="P938" s="6">
        <v>689</v>
      </c>
      <c r="Q938" s="4" t="s">
        <v>26</v>
      </c>
      <c r="R938" s="4">
        <v>0</v>
      </c>
      <c r="S938" s="6">
        <v>0</v>
      </c>
      <c r="T938" s="6">
        <v>40</v>
      </c>
      <c r="U938" s="6">
        <v>78</v>
      </c>
      <c r="V938" s="6">
        <f>IF(ISERROR(VLOOKUP($S$938,'TAR FIN'!$A$1:$O$93,15,0)),0,VLOOKUP($S$938,'TAR FIN'!$A$1:$O$93,15,0))</f>
        <v>0</v>
      </c>
      <c r="W938" s="6">
        <f>IF(ISERROR(VLOOKUP($T$938,'TAR FIN'!$A$1:$O$93,15,0)),0,VLOOKUP($T$938,'TAR FIN'!$A$1:$O$93,15,0))</f>
        <v>240.16</v>
      </c>
      <c r="X938" s="6">
        <f>IF(ISERROR(VLOOKUP($U$938,'TAR FIN'!$A$1:$O$93,15,0)),0,VLOOKUP($U$938,'TAR FIN'!$A$1:$O$93,15,0))</f>
        <v>162.96</v>
      </c>
      <c r="Y938" s="6"/>
      <c r="Z938" s="6">
        <f ca="1">('TUSD BE'!$AM$37+'TUSD BF'!$AM$37+'TUSD CVA'!$AM$37)*(1-CUSTOS!$M$38)</f>
        <v>274.6365589659128</v>
      </c>
      <c r="AA938" s="6">
        <f>('TE BE'!$AB$26+'TE BF'!$AB$26+'TE CVA'!$AB$26)*(1-CUSTOS!$M$38)</f>
        <v>186.29103092878736</v>
      </c>
      <c r="AB938" s="6">
        <f>$K$938*$V$938</f>
        <v>0</v>
      </c>
      <c r="AC938" s="6">
        <f>$M$938*$W$938</f>
        <v>65822.09216</v>
      </c>
      <c r="AD938" s="6">
        <f>$O$938*$X$938</f>
        <v>44663.424960000004</v>
      </c>
      <c r="AE938" s="6">
        <f>$K$938*$Y$938</f>
        <v>0</v>
      </c>
      <c r="AF938" s="6">
        <f ca="1">$M$938*$Z$938</f>
        <v>75271.289535141521</v>
      </c>
      <c r="AG938" s="6">
        <f>$O$938*$AA$938</f>
        <v>51057.900592838327</v>
      </c>
    </row>
    <row r="939" spans="1:33" ht="11.25" customHeight="1" x14ac:dyDescent="0.25">
      <c r="A939" s="4" t="s">
        <v>28</v>
      </c>
      <c r="B939" s="4" t="s">
        <v>41</v>
      </c>
      <c r="C939" s="4" t="s">
        <v>23</v>
      </c>
      <c r="D939" s="4" t="s">
        <v>42</v>
      </c>
      <c r="E939" s="4" t="s">
        <v>25</v>
      </c>
      <c r="F939" s="4" t="s">
        <v>25</v>
      </c>
      <c r="G939" s="4" t="s">
        <v>25</v>
      </c>
      <c r="H939" s="4" t="s">
        <v>25</v>
      </c>
      <c r="I939" s="5">
        <v>44470</v>
      </c>
      <c r="J939" s="6">
        <v>0</v>
      </c>
      <c r="K939" s="6">
        <v>0</v>
      </c>
      <c r="L939" s="6">
        <v>-1.3</v>
      </c>
      <c r="M939" s="6">
        <v>-1.3</v>
      </c>
      <c r="N939" s="6">
        <v>-1.3</v>
      </c>
      <c r="O939" s="6">
        <v>-1.3</v>
      </c>
      <c r="P939" s="6">
        <v>-3</v>
      </c>
      <c r="Q939" s="4" t="s">
        <v>26</v>
      </c>
      <c r="R939" s="4">
        <v>0</v>
      </c>
      <c r="S939" s="6">
        <v>0</v>
      </c>
      <c r="T939" s="6">
        <v>40</v>
      </c>
      <c r="U939" s="6">
        <v>78</v>
      </c>
      <c r="V939" s="6">
        <f>IF(ISERROR(VLOOKUP($S$939,'TAR FIN'!$A$1:$O$93,15,0)),0,VLOOKUP($S$939,'TAR FIN'!$A$1:$O$93,15,0))</f>
        <v>0</v>
      </c>
      <c r="W939" s="6">
        <f>IF(ISERROR(VLOOKUP($T$939,'TAR FIN'!$A$1:$O$93,15,0)),0,VLOOKUP($T$939,'TAR FIN'!$A$1:$O$93,15,0))</f>
        <v>240.16</v>
      </c>
      <c r="X939" s="6">
        <f>IF(ISERROR(VLOOKUP($U$939,'TAR FIN'!$A$1:$O$93,15,0)),0,VLOOKUP($U$939,'TAR FIN'!$A$1:$O$93,15,0))</f>
        <v>162.96</v>
      </c>
      <c r="Y939" s="6"/>
      <c r="Z939" s="6">
        <f ca="1">('TUSD BE'!$AM$37+'TUSD BF'!$AM$37+'TUSD CVA'!$AM$37)*(1-CUSTOS!$M$38)</f>
        <v>274.6365589659128</v>
      </c>
      <c r="AA939" s="6">
        <f>('TE BE'!$AB$26+'TE BF'!$AB$26+'TE CVA'!$AB$26)*(1-CUSTOS!$M$38)</f>
        <v>186.29103092878736</v>
      </c>
      <c r="AB939" s="6">
        <f>$K$939*$V$939</f>
        <v>0</v>
      </c>
      <c r="AC939" s="6">
        <f>$M$939*$W$939</f>
        <v>-312.20800000000003</v>
      </c>
      <c r="AD939" s="6">
        <f>$O$939*$X$939</f>
        <v>-211.84800000000001</v>
      </c>
      <c r="AE939" s="6">
        <f>$K$939*$Y$939</f>
        <v>0</v>
      </c>
      <c r="AF939" s="6">
        <f ca="1">$M$939*$Z$939</f>
        <v>-357.02752665568664</v>
      </c>
      <c r="AG939" s="6">
        <f>$O$939*$AA$939</f>
        <v>-242.17834020742359</v>
      </c>
    </row>
    <row r="940" spans="1:33" ht="11.25" customHeight="1" x14ac:dyDescent="0.25">
      <c r="A940" s="4" t="s">
        <v>21</v>
      </c>
      <c r="B940" s="4" t="s">
        <v>41</v>
      </c>
      <c r="C940" s="4" t="s">
        <v>23</v>
      </c>
      <c r="D940" s="4" t="s">
        <v>42</v>
      </c>
      <c r="E940" s="4" t="s">
        <v>25</v>
      </c>
      <c r="F940" s="4" t="s">
        <v>25</v>
      </c>
      <c r="G940" s="4" t="s">
        <v>25</v>
      </c>
      <c r="H940" s="4" t="s">
        <v>25</v>
      </c>
      <c r="I940" s="5">
        <v>44501</v>
      </c>
      <c r="J940" s="6">
        <v>0</v>
      </c>
      <c r="K940" s="6">
        <v>0</v>
      </c>
      <c r="L940" s="6">
        <v>14379.513999999999</v>
      </c>
      <c r="M940" s="6">
        <v>14379.513999999999</v>
      </c>
      <c r="N940" s="6">
        <v>14379.513999999999</v>
      </c>
      <c r="O940" s="6">
        <v>14379.513999999999</v>
      </c>
      <c r="P940" s="6">
        <v>38395</v>
      </c>
      <c r="Q940" s="4" t="s">
        <v>26</v>
      </c>
      <c r="R940" s="4">
        <v>0</v>
      </c>
      <c r="S940" s="6">
        <v>0</v>
      </c>
      <c r="T940" s="6">
        <v>40</v>
      </c>
      <c r="U940" s="6">
        <v>78</v>
      </c>
      <c r="V940" s="6">
        <f>IF(ISERROR(VLOOKUP($S$940,'TAR FIN'!$A$1:$O$93,15,0)),0,VLOOKUP($S$940,'TAR FIN'!$A$1:$O$93,15,0))</f>
        <v>0</v>
      </c>
      <c r="W940" s="6">
        <f>IF(ISERROR(VLOOKUP($T$940,'TAR FIN'!$A$1:$O$93,15,0)),0,VLOOKUP($T$940,'TAR FIN'!$A$1:$O$93,15,0))</f>
        <v>240.16</v>
      </c>
      <c r="X940" s="6">
        <f>IF(ISERROR(VLOOKUP($U$940,'TAR FIN'!$A$1:$O$93,15,0)),0,VLOOKUP($U$940,'TAR FIN'!$A$1:$O$93,15,0))</f>
        <v>162.96</v>
      </c>
      <c r="Y940" s="6"/>
      <c r="Z940" s="6">
        <f ca="1">('TUSD BE'!$AM$37+'TUSD BF'!$AM$37+'TUSD CVA'!$AM$37)*(1-CUSTOS!$M$38)</f>
        <v>274.6365589659128</v>
      </c>
      <c r="AA940" s="6">
        <f>('TE BE'!$AB$26+'TE BF'!$AB$26+'TE CVA'!$AB$26)*(1-CUSTOS!$M$38)</f>
        <v>186.29103092878736</v>
      </c>
      <c r="AB940" s="6">
        <f>$K$940*$V$940</f>
        <v>0</v>
      </c>
      <c r="AC940" s="6">
        <f>$M$940*$W$940</f>
        <v>3453384.0822399999</v>
      </c>
      <c r="AD940" s="6">
        <f>$O$940*$X$940</f>
        <v>2343285.6014399999</v>
      </c>
      <c r="AE940" s="6">
        <f>$K$940*$Y$940</f>
        <v>0</v>
      </c>
      <c r="AF940" s="6">
        <f ca="1">$M$940*$Z$940</f>
        <v>3949140.2445621686</v>
      </c>
      <c r="AG940" s="6">
        <f>$O$940*$AA$940</f>
        <v>2678774.4873149307</v>
      </c>
    </row>
    <row r="941" spans="1:33" ht="11.25" customHeight="1" x14ac:dyDescent="0.25">
      <c r="A941" s="4" t="s">
        <v>27</v>
      </c>
      <c r="B941" s="4" t="s">
        <v>41</v>
      </c>
      <c r="C941" s="4" t="s">
        <v>23</v>
      </c>
      <c r="D941" s="4" t="s">
        <v>42</v>
      </c>
      <c r="E941" s="4" t="s">
        <v>25</v>
      </c>
      <c r="F941" s="4" t="s">
        <v>25</v>
      </c>
      <c r="G941" s="4" t="s">
        <v>25</v>
      </c>
      <c r="H941" s="4" t="s">
        <v>25</v>
      </c>
      <c r="I941" s="5">
        <v>44501</v>
      </c>
      <c r="J941" s="6">
        <v>0</v>
      </c>
      <c r="K941" s="6">
        <v>0</v>
      </c>
      <c r="L941" s="6">
        <v>-87.367999999999995</v>
      </c>
      <c r="M941" s="6">
        <v>-87.367999999999995</v>
      </c>
      <c r="N941" s="6">
        <v>-87.367999999999995</v>
      </c>
      <c r="O941" s="6">
        <v>-87.367999999999995</v>
      </c>
      <c r="P941" s="6">
        <v>-41</v>
      </c>
      <c r="Q941" s="4" t="s">
        <v>26</v>
      </c>
      <c r="R941" s="4">
        <v>0</v>
      </c>
      <c r="S941" s="6">
        <v>0</v>
      </c>
      <c r="T941" s="6">
        <v>40</v>
      </c>
      <c r="U941" s="6">
        <v>78</v>
      </c>
      <c r="V941" s="6">
        <f>IF(ISERROR(VLOOKUP($S$941,'TAR FIN'!$A$1:$O$93,15,0)),0,VLOOKUP($S$941,'TAR FIN'!$A$1:$O$93,15,0))</f>
        <v>0</v>
      </c>
      <c r="W941" s="6">
        <f>IF(ISERROR(VLOOKUP($T$941,'TAR FIN'!$A$1:$O$93,15,0)),0,VLOOKUP($T$941,'TAR FIN'!$A$1:$O$93,15,0))</f>
        <v>240.16</v>
      </c>
      <c r="X941" s="6">
        <f>IF(ISERROR(VLOOKUP($U$941,'TAR FIN'!$A$1:$O$93,15,0)),0,VLOOKUP($U$941,'TAR FIN'!$A$1:$O$93,15,0))</f>
        <v>162.96</v>
      </c>
      <c r="Y941" s="6"/>
      <c r="Z941" s="6">
        <f ca="1">('TUSD BE'!$AM$37+'TUSD BF'!$AM$37+'TUSD CVA'!$AM$37)*(1-CUSTOS!$M$38)</f>
        <v>274.6365589659128</v>
      </c>
      <c r="AA941" s="6">
        <f>('TE BE'!$AB$26+'TE BF'!$AB$26+'TE CVA'!$AB$26)*(1-CUSTOS!$M$38)</f>
        <v>186.29103092878736</v>
      </c>
      <c r="AB941" s="6">
        <f>$K$941*$V$941</f>
        <v>0</v>
      </c>
      <c r="AC941" s="6">
        <f>$M$941*$W$941</f>
        <v>-20982.298879999998</v>
      </c>
      <c r="AD941" s="6">
        <f>$O$941*$X$941</f>
        <v>-14237.48928</v>
      </c>
      <c r="AE941" s="6">
        <f>$K$941*$Y$941</f>
        <v>0</v>
      </c>
      <c r="AF941" s="6">
        <f ca="1">$M$941*$Z$941</f>
        <v>-23994.446883733868</v>
      </c>
      <c r="AG941" s="6">
        <f>$O$941*$AA$941</f>
        <v>-16275.874790186293</v>
      </c>
    </row>
    <row r="942" spans="1:33" ht="11.25" customHeight="1" x14ac:dyDescent="0.25">
      <c r="A942" s="4" t="s">
        <v>28</v>
      </c>
      <c r="B942" s="4" t="s">
        <v>41</v>
      </c>
      <c r="C942" s="4" t="s">
        <v>23</v>
      </c>
      <c r="D942" s="4" t="s">
        <v>42</v>
      </c>
      <c r="E942" s="4" t="s">
        <v>25</v>
      </c>
      <c r="F942" s="4" t="s">
        <v>25</v>
      </c>
      <c r="G942" s="4" t="s">
        <v>25</v>
      </c>
      <c r="H942" s="4" t="s">
        <v>25</v>
      </c>
      <c r="I942" s="5">
        <v>44501</v>
      </c>
      <c r="J942" s="6">
        <v>0</v>
      </c>
      <c r="K942" s="6">
        <v>0</v>
      </c>
      <c r="L942" s="6">
        <v>262.69299999999998</v>
      </c>
      <c r="M942" s="6">
        <v>262.69299999999998</v>
      </c>
      <c r="N942" s="6">
        <v>262.69299999999998</v>
      </c>
      <c r="O942" s="6">
        <v>262.69299999999998</v>
      </c>
      <c r="P942" s="6">
        <v>736</v>
      </c>
      <c r="Q942" s="4" t="s">
        <v>26</v>
      </c>
      <c r="R942" s="4">
        <v>0</v>
      </c>
      <c r="S942" s="6">
        <v>0</v>
      </c>
      <c r="T942" s="6">
        <v>40</v>
      </c>
      <c r="U942" s="6">
        <v>78</v>
      </c>
      <c r="V942" s="6">
        <f>IF(ISERROR(VLOOKUP($S$942,'TAR FIN'!$A$1:$O$93,15,0)),0,VLOOKUP($S$942,'TAR FIN'!$A$1:$O$93,15,0))</f>
        <v>0</v>
      </c>
      <c r="W942" s="6">
        <f>IF(ISERROR(VLOOKUP($T$942,'TAR FIN'!$A$1:$O$93,15,0)),0,VLOOKUP($T$942,'TAR FIN'!$A$1:$O$93,15,0))</f>
        <v>240.16</v>
      </c>
      <c r="X942" s="6">
        <f>IF(ISERROR(VLOOKUP($U$942,'TAR FIN'!$A$1:$O$93,15,0)),0,VLOOKUP($U$942,'TAR FIN'!$A$1:$O$93,15,0))</f>
        <v>162.96</v>
      </c>
      <c r="Y942" s="6"/>
      <c r="Z942" s="6">
        <f ca="1">('TUSD BE'!$AM$37+'TUSD BF'!$AM$37+'TUSD CVA'!$AM$37)*(1-CUSTOS!$M$38)</f>
        <v>274.6365589659128</v>
      </c>
      <c r="AA942" s="6">
        <f>('TE BE'!$AB$26+'TE BF'!$AB$26+'TE CVA'!$AB$26)*(1-CUSTOS!$M$38)</f>
        <v>186.29103092878736</v>
      </c>
      <c r="AB942" s="6">
        <f>$K$942*$V$942</f>
        <v>0</v>
      </c>
      <c r="AC942" s="6">
        <f>$M$942*$W$942</f>
        <v>63088.350879999998</v>
      </c>
      <c r="AD942" s="6">
        <f>$O$942*$X$942</f>
        <v>42808.451280000001</v>
      </c>
      <c r="AE942" s="6">
        <f>$K$942*$Y$942</f>
        <v>0</v>
      </c>
      <c r="AF942" s="6">
        <f ca="1">$M$942*$Z$942</f>
        <v>72145.10158443253</v>
      </c>
      <c r="AG942" s="6">
        <f>$O$942*$AA$942</f>
        <v>48937.349787775936</v>
      </c>
    </row>
    <row r="943" spans="1:33" ht="11.25" customHeight="1" x14ac:dyDescent="0.25">
      <c r="A943" s="4" t="s">
        <v>28</v>
      </c>
      <c r="B943" s="4" t="s">
        <v>41</v>
      </c>
      <c r="C943" s="4" t="s">
        <v>23</v>
      </c>
      <c r="D943" s="4" t="s">
        <v>42</v>
      </c>
      <c r="E943" s="4" t="s">
        <v>25</v>
      </c>
      <c r="F943" s="4" t="s">
        <v>25</v>
      </c>
      <c r="G943" s="4" t="s">
        <v>25</v>
      </c>
      <c r="H943" s="4" t="s">
        <v>25</v>
      </c>
      <c r="I943" s="5">
        <v>44501</v>
      </c>
      <c r="J943" s="6">
        <v>0</v>
      </c>
      <c r="K943" s="6">
        <v>0</v>
      </c>
      <c r="L943" s="6">
        <v>-0.72599999999999998</v>
      </c>
      <c r="M943" s="6">
        <v>-0.72599999999999998</v>
      </c>
      <c r="N943" s="6">
        <v>-0.72599999999999998</v>
      </c>
      <c r="O943" s="6">
        <v>-0.72599999999999998</v>
      </c>
      <c r="P943" s="6">
        <v>-2</v>
      </c>
      <c r="Q943" s="4" t="s">
        <v>26</v>
      </c>
      <c r="R943" s="4">
        <v>0</v>
      </c>
      <c r="S943" s="6">
        <v>0</v>
      </c>
      <c r="T943" s="6">
        <v>40</v>
      </c>
      <c r="U943" s="6">
        <v>78</v>
      </c>
      <c r="V943" s="6">
        <f>IF(ISERROR(VLOOKUP($S$943,'TAR FIN'!$A$1:$O$93,15,0)),0,VLOOKUP($S$943,'TAR FIN'!$A$1:$O$93,15,0))</f>
        <v>0</v>
      </c>
      <c r="W943" s="6">
        <f>IF(ISERROR(VLOOKUP($T$943,'TAR FIN'!$A$1:$O$93,15,0)),0,VLOOKUP($T$943,'TAR FIN'!$A$1:$O$93,15,0))</f>
        <v>240.16</v>
      </c>
      <c r="X943" s="6">
        <f>IF(ISERROR(VLOOKUP($U$943,'TAR FIN'!$A$1:$O$93,15,0)),0,VLOOKUP($U$943,'TAR FIN'!$A$1:$O$93,15,0))</f>
        <v>162.96</v>
      </c>
      <c r="Y943" s="6"/>
      <c r="Z943" s="6">
        <f ca="1">('TUSD BE'!$AM$37+'TUSD BF'!$AM$37+'TUSD CVA'!$AM$37)*(1-CUSTOS!$M$38)</f>
        <v>274.6365589659128</v>
      </c>
      <c r="AA943" s="6">
        <f>('TE BE'!$AB$26+'TE BF'!$AB$26+'TE CVA'!$AB$26)*(1-CUSTOS!$M$38)</f>
        <v>186.29103092878736</v>
      </c>
      <c r="AB943" s="6">
        <f>$K$943*$V$943</f>
        <v>0</v>
      </c>
      <c r="AC943" s="6">
        <f>$M$943*$W$943</f>
        <v>-174.35615999999999</v>
      </c>
      <c r="AD943" s="6">
        <f>$O$943*$X$943</f>
        <v>-118.30896</v>
      </c>
      <c r="AE943" s="6">
        <f>$K$943*$Y$943</f>
        <v>0</v>
      </c>
      <c r="AF943" s="6">
        <f ca="1">$M$943*$Z$943</f>
        <v>-199.38614180925268</v>
      </c>
      <c r="AG943" s="6">
        <f>$O$943*$AA$943</f>
        <v>-135.24728845429962</v>
      </c>
    </row>
    <row r="944" spans="1:33" ht="11.25" customHeight="1" x14ac:dyDescent="0.25">
      <c r="A944" s="4" t="s">
        <v>21</v>
      </c>
      <c r="B944" s="4" t="s">
        <v>41</v>
      </c>
      <c r="C944" s="4" t="s">
        <v>23</v>
      </c>
      <c r="D944" s="4" t="s">
        <v>42</v>
      </c>
      <c r="E944" s="4" t="s">
        <v>25</v>
      </c>
      <c r="F944" s="4" t="s">
        <v>25</v>
      </c>
      <c r="G944" s="4" t="s">
        <v>25</v>
      </c>
      <c r="H944" s="4" t="s">
        <v>25</v>
      </c>
      <c r="I944" s="5">
        <v>44531</v>
      </c>
      <c r="J944" s="6">
        <v>0</v>
      </c>
      <c r="K944" s="6">
        <v>0</v>
      </c>
      <c r="L944" s="6">
        <v>15397.703</v>
      </c>
      <c r="M944" s="6">
        <v>15397.703</v>
      </c>
      <c r="N944" s="6">
        <v>15397.703</v>
      </c>
      <c r="O944" s="6">
        <v>15397.703</v>
      </c>
      <c r="P944" s="6">
        <v>38410</v>
      </c>
      <c r="Q944" s="4" t="s">
        <v>26</v>
      </c>
      <c r="R944" s="4">
        <v>0</v>
      </c>
      <c r="S944" s="6">
        <v>0</v>
      </c>
      <c r="T944" s="6">
        <v>40</v>
      </c>
      <c r="U944" s="6">
        <v>78</v>
      </c>
      <c r="V944" s="6">
        <f>IF(ISERROR(VLOOKUP($S$944,'TAR FIN'!$A$1:$O$93,15,0)),0,VLOOKUP($S$944,'TAR FIN'!$A$1:$O$93,15,0))</f>
        <v>0</v>
      </c>
      <c r="W944" s="6">
        <f>IF(ISERROR(VLOOKUP($T$944,'TAR FIN'!$A$1:$O$93,15,0)),0,VLOOKUP($T$944,'TAR FIN'!$A$1:$O$93,15,0))</f>
        <v>240.16</v>
      </c>
      <c r="X944" s="6">
        <f>IF(ISERROR(VLOOKUP($U$944,'TAR FIN'!$A$1:$O$93,15,0)),0,VLOOKUP($U$944,'TAR FIN'!$A$1:$O$93,15,0))</f>
        <v>162.96</v>
      </c>
      <c r="Y944" s="6"/>
      <c r="Z944" s="6">
        <f ca="1">('TUSD BE'!$AM$37+'TUSD BF'!$AM$37+'TUSD CVA'!$AM$37)*(1-CUSTOS!$M$38)</f>
        <v>274.6365589659128</v>
      </c>
      <c r="AA944" s="6">
        <f>('TE BE'!$AB$26+'TE BF'!$AB$26+'TE CVA'!$AB$26)*(1-CUSTOS!$M$38)</f>
        <v>186.29103092878736</v>
      </c>
      <c r="AB944" s="6">
        <f>$K$944*$V$944</f>
        <v>0</v>
      </c>
      <c r="AC944" s="6">
        <f>$M$944*$W$944</f>
        <v>3697912.3524799999</v>
      </c>
      <c r="AD944" s="6">
        <f>$O$944*$X$944</f>
        <v>2509209.6808799999</v>
      </c>
      <c r="AE944" s="6">
        <f>$K$944*$Y$944</f>
        <v>0</v>
      </c>
      <c r="AF944" s="6">
        <f ca="1">$M$944*$Z$944</f>
        <v>4228772.1678991122</v>
      </c>
      <c r="AG944" s="6">
        <f>$O$944*$AA$944</f>
        <v>2868453.9658052819</v>
      </c>
    </row>
    <row r="945" spans="1:33" ht="11.25" customHeight="1" x14ac:dyDescent="0.25">
      <c r="A945" s="4" t="s">
        <v>27</v>
      </c>
      <c r="B945" s="4" t="s">
        <v>41</v>
      </c>
      <c r="C945" s="4" t="s">
        <v>23</v>
      </c>
      <c r="D945" s="4" t="s">
        <v>42</v>
      </c>
      <c r="E945" s="4" t="s">
        <v>25</v>
      </c>
      <c r="F945" s="4" t="s">
        <v>25</v>
      </c>
      <c r="G945" s="4" t="s">
        <v>25</v>
      </c>
      <c r="H945" s="4" t="s">
        <v>25</v>
      </c>
      <c r="I945" s="5">
        <v>44531</v>
      </c>
      <c r="J945" s="6">
        <v>0</v>
      </c>
      <c r="K945" s="6">
        <v>0</v>
      </c>
      <c r="L945" s="6">
        <v>-1027.2639999999999</v>
      </c>
      <c r="M945" s="6">
        <v>-1027.2639999999999</v>
      </c>
      <c r="N945" s="6">
        <v>-1027.2639999999999</v>
      </c>
      <c r="O945" s="6">
        <v>-1027.2639999999999</v>
      </c>
      <c r="P945" s="6">
        <v>-39</v>
      </c>
      <c r="Q945" s="4" t="s">
        <v>26</v>
      </c>
      <c r="R945" s="4">
        <v>0</v>
      </c>
      <c r="S945" s="6">
        <v>0</v>
      </c>
      <c r="T945" s="6">
        <v>40</v>
      </c>
      <c r="U945" s="6">
        <v>78</v>
      </c>
      <c r="V945" s="6">
        <f>IF(ISERROR(VLOOKUP($S$945,'TAR FIN'!$A$1:$O$93,15,0)),0,VLOOKUP($S$945,'TAR FIN'!$A$1:$O$93,15,0))</f>
        <v>0</v>
      </c>
      <c r="W945" s="6">
        <f>IF(ISERROR(VLOOKUP($T$945,'TAR FIN'!$A$1:$O$93,15,0)),0,VLOOKUP($T$945,'TAR FIN'!$A$1:$O$93,15,0))</f>
        <v>240.16</v>
      </c>
      <c r="X945" s="6">
        <f>IF(ISERROR(VLOOKUP($U$945,'TAR FIN'!$A$1:$O$93,15,0)),0,VLOOKUP($U$945,'TAR FIN'!$A$1:$O$93,15,0))</f>
        <v>162.96</v>
      </c>
      <c r="Y945" s="6"/>
      <c r="Z945" s="6">
        <f ca="1">('TUSD BE'!$AM$37+'TUSD BF'!$AM$37+'TUSD CVA'!$AM$37)*(1-CUSTOS!$M$38)</f>
        <v>274.6365589659128</v>
      </c>
      <c r="AA945" s="6">
        <f>('TE BE'!$AB$26+'TE BF'!$AB$26+'TE CVA'!$AB$26)*(1-CUSTOS!$M$38)</f>
        <v>186.29103092878736</v>
      </c>
      <c r="AB945" s="6">
        <f>$K$945*$V$945</f>
        <v>0</v>
      </c>
      <c r="AC945" s="6">
        <f>$M$945*$W$945</f>
        <v>-246707.72223999997</v>
      </c>
      <c r="AD945" s="6">
        <f>$O$945*$X$945</f>
        <v>-167402.94144</v>
      </c>
      <c r="AE945" s="6">
        <f>$K$945*$Y$945</f>
        <v>0</v>
      </c>
      <c r="AF945" s="6">
        <f ca="1">$M$945*$Z$945</f>
        <v>-282124.25010955939</v>
      </c>
      <c r="AG945" s="6">
        <f>$O$945*$AA$945</f>
        <v>-191370.06959602982</v>
      </c>
    </row>
    <row r="946" spans="1:33" ht="11.25" customHeight="1" x14ac:dyDescent="0.25">
      <c r="A946" s="4" t="s">
        <v>28</v>
      </c>
      <c r="B946" s="4" t="s">
        <v>41</v>
      </c>
      <c r="C946" s="4" t="s">
        <v>23</v>
      </c>
      <c r="D946" s="4" t="s">
        <v>42</v>
      </c>
      <c r="E946" s="4" t="s">
        <v>25</v>
      </c>
      <c r="F946" s="4" t="s">
        <v>25</v>
      </c>
      <c r="G946" s="4" t="s">
        <v>25</v>
      </c>
      <c r="H946" s="4" t="s">
        <v>25</v>
      </c>
      <c r="I946" s="5">
        <v>44531</v>
      </c>
      <c r="J946" s="6">
        <v>0</v>
      </c>
      <c r="K946" s="6">
        <v>0</v>
      </c>
      <c r="L946" s="6">
        <v>-0.309</v>
      </c>
      <c r="M946" s="6">
        <v>-0.309</v>
      </c>
      <c r="N946" s="6">
        <v>-0.309</v>
      </c>
      <c r="O946" s="6">
        <v>-0.309</v>
      </c>
      <c r="P946" s="6">
        <v>-2</v>
      </c>
      <c r="Q946" s="4" t="s">
        <v>26</v>
      </c>
      <c r="R946" s="4">
        <v>0</v>
      </c>
      <c r="S946" s="6">
        <v>0</v>
      </c>
      <c r="T946" s="6">
        <v>40</v>
      </c>
      <c r="U946" s="6">
        <v>78</v>
      </c>
      <c r="V946" s="6">
        <f>IF(ISERROR(VLOOKUP($S$946,'TAR FIN'!$A$1:$O$93,15,0)),0,VLOOKUP($S$946,'TAR FIN'!$A$1:$O$93,15,0))</f>
        <v>0</v>
      </c>
      <c r="W946" s="6">
        <f>IF(ISERROR(VLOOKUP($T$946,'TAR FIN'!$A$1:$O$93,15,0)),0,VLOOKUP($T$946,'TAR FIN'!$A$1:$O$93,15,0))</f>
        <v>240.16</v>
      </c>
      <c r="X946" s="6">
        <f>IF(ISERROR(VLOOKUP($U$946,'TAR FIN'!$A$1:$O$93,15,0)),0,VLOOKUP($U$946,'TAR FIN'!$A$1:$O$93,15,0))</f>
        <v>162.96</v>
      </c>
      <c r="Y946" s="6"/>
      <c r="Z946" s="6">
        <f ca="1">('TUSD BE'!$AM$37+'TUSD BF'!$AM$37+'TUSD CVA'!$AM$37)*(1-CUSTOS!$M$38)</f>
        <v>274.6365589659128</v>
      </c>
      <c r="AA946" s="6">
        <f>('TE BE'!$AB$26+'TE BF'!$AB$26+'TE CVA'!$AB$26)*(1-CUSTOS!$M$38)</f>
        <v>186.29103092878736</v>
      </c>
      <c r="AB946" s="6">
        <f>$K$946*$V$946</f>
        <v>0</v>
      </c>
      <c r="AC946" s="6">
        <f>$M$946*$W$946</f>
        <v>-74.209440000000001</v>
      </c>
      <c r="AD946" s="6">
        <f>$O$946*$X$946</f>
        <v>-50.354640000000003</v>
      </c>
      <c r="AE946" s="6">
        <f>$K$946*$Y$946</f>
        <v>0</v>
      </c>
      <c r="AF946" s="6">
        <f ca="1">$M$946*$Z$946</f>
        <v>-84.862696720467056</v>
      </c>
      <c r="AG946" s="6">
        <f>$O$946*$AA$946</f>
        <v>-57.563928556995293</v>
      </c>
    </row>
    <row r="947" spans="1:33" ht="11.25" customHeight="1" x14ac:dyDescent="0.25">
      <c r="A947" s="4" t="s">
        <v>21</v>
      </c>
      <c r="B947" s="4" t="s">
        <v>41</v>
      </c>
      <c r="C947" s="4" t="s">
        <v>23</v>
      </c>
      <c r="D947" s="4" t="s">
        <v>42</v>
      </c>
      <c r="E947" s="4" t="s">
        <v>25</v>
      </c>
      <c r="F947" s="4" t="s">
        <v>25</v>
      </c>
      <c r="G947" s="4" t="s">
        <v>25</v>
      </c>
      <c r="H947" s="4" t="s">
        <v>25</v>
      </c>
      <c r="I947" s="5">
        <v>44562</v>
      </c>
      <c r="J947" s="6">
        <v>0</v>
      </c>
      <c r="K947" s="6">
        <v>0</v>
      </c>
      <c r="L947" s="6">
        <v>17247.62</v>
      </c>
      <c r="M947" s="6">
        <v>17247.62</v>
      </c>
      <c r="N947" s="6">
        <v>17247.62</v>
      </c>
      <c r="O947" s="6">
        <v>17247.62</v>
      </c>
      <c r="P947" s="6">
        <v>38314</v>
      </c>
      <c r="Q947" s="4" t="s">
        <v>26</v>
      </c>
      <c r="R947" s="4">
        <v>0</v>
      </c>
      <c r="S947" s="6">
        <v>0</v>
      </c>
      <c r="T947" s="6">
        <v>40</v>
      </c>
      <c r="U947" s="6">
        <v>78</v>
      </c>
      <c r="V947" s="6">
        <f>IF(ISERROR(VLOOKUP($S$947,'TAR FIN'!$A$1:$O$93,15,0)),0,VLOOKUP($S$947,'TAR FIN'!$A$1:$O$93,15,0))</f>
        <v>0</v>
      </c>
      <c r="W947" s="6">
        <f>IF(ISERROR(VLOOKUP($T$947,'TAR FIN'!$A$1:$O$93,15,0)),0,VLOOKUP($T$947,'TAR FIN'!$A$1:$O$93,15,0))</f>
        <v>240.16</v>
      </c>
      <c r="X947" s="6">
        <f>IF(ISERROR(VLOOKUP($U$947,'TAR FIN'!$A$1:$O$93,15,0)),0,VLOOKUP($U$947,'TAR FIN'!$A$1:$O$93,15,0))</f>
        <v>162.96</v>
      </c>
      <c r="Y947" s="6"/>
      <c r="Z947" s="6">
        <f ca="1">('TUSD BE'!$AM$37+'TUSD BF'!$AM$37+'TUSD CVA'!$AM$37)*(1-CUSTOS!$M$38)</f>
        <v>274.6365589659128</v>
      </c>
      <c r="AA947" s="6">
        <f>('TE BE'!$AB$26+'TE BF'!$AB$26+'TE CVA'!$AB$26)*(1-CUSTOS!$M$38)</f>
        <v>186.29103092878736</v>
      </c>
      <c r="AB947" s="6">
        <f>$K$947*$V$947</f>
        <v>0</v>
      </c>
      <c r="AC947" s="6">
        <f>$M$947*$W$947</f>
        <v>4142188.4191999999</v>
      </c>
      <c r="AD947" s="6">
        <f>$O$947*$X$947</f>
        <v>2810672.1551999999</v>
      </c>
      <c r="AE947" s="6">
        <f>$K$947*$Y$947</f>
        <v>0</v>
      </c>
      <c r="AF947" s="6">
        <f ca="1">$M$947*$Z$947</f>
        <v>4736827.0071516568</v>
      </c>
      <c r="AG947" s="6">
        <f>$O$947*$AA$947</f>
        <v>3213076.9108679714</v>
      </c>
    </row>
    <row r="948" spans="1:33" ht="11.25" customHeight="1" x14ac:dyDescent="0.25">
      <c r="A948" s="4" t="s">
        <v>27</v>
      </c>
      <c r="B948" s="4" t="s">
        <v>41</v>
      </c>
      <c r="C948" s="4" t="s">
        <v>23</v>
      </c>
      <c r="D948" s="4" t="s">
        <v>42</v>
      </c>
      <c r="E948" s="4" t="s">
        <v>25</v>
      </c>
      <c r="F948" s="4" t="s">
        <v>25</v>
      </c>
      <c r="G948" s="4" t="s">
        <v>25</v>
      </c>
      <c r="H948" s="4" t="s">
        <v>25</v>
      </c>
      <c r="I948" s="5">
        <v>44562</v>
      </c>
      <c r="J948" s="6">
        <v>0</v>
      </c>
      <c r="K948" s="6">
        <v>0</v>
      </c>
      <c r="L948" s="6">
        <v>-29.346</v>
      </c>
      <c r="M948" s="6">
        <v>-29.346</v>
      </c>
      <c r="N948" s="6">
        <v>-29.346</v>
      </c>
      <c r="O948" s="6">
        <v>-29.346</v>
      </c>
      <c r="P948" s="6">
        <v>-36</v>
      </c>
      <c r="Q948" s="4" t="s">
        <v>26</v>
      </c>
      <c r="R948" s="4">
        <v>0</v>
      </c>
      <c r="S948" s="6">
        <v>0</v>
      </c>
      <c r="T948" s="6">
        <v>40</v>
      </c>
      <c r="U948" s="6">
        <v>78</v>
      </c>
      <c r="V948" s="6">
        <f>IF(ISERROR(VLOOKUP($S$948,'TAR FIN'!$A$1:$O$93,15,0)),0,VLOOKUP($S$948,'TAR FIN'!$A$1:$O$93,15,0))</f>
        <v>0</v>
      </c>
      <c r="W948" s="6">
        <f>IF(ISERROR(VLOOKUP($T$948,'TAR FIN'!$A$1:$O$93,15,0)),0,VLOOKUP($T$948,'TAR FIN'!$A$1:$O$93,15,0))</f>
        <v>240.16</v>
      </c>
      <c r="X948" s="6">
        <f>IF(ISERROR(VLOOKUP($U$948,'TAR FIN'!$A$1:$O$93,15,0)),0,VLOOKUP($U$948,'TAR FIN'!$A$1:$O$93,15,0))</f>
        <v>162.96</v>
      </c>
      <c r="Y948" s="6"/>
      <c r="Z948" s="6">
        <f ca="1">('TUSD BE'!$AM$37+'TUSD BF'!$AM$37+'TUSD CVA'!$AM$37)*(1-CUSTOS!$M$38)</f>
        <v>274.6365589659128</v>
      </c>
      <c r="AA948" s="6">
        <f>('TE BE'!$AB$26+'TE BF'!$AB$26+'TE CVA'!$AB$26)*(1-CUSTOS!$M$38)</f>
        <v>186.29103092878736</v>
      </c>
      <c r="AB948" s="6">
        <f>$K$948*$V$948</f>
        <v>0</v>
      </c>
      <c r="AC948" s="6">
        <f>$M$948*$W$948</f>
        <v>-7047.7353599999997</v>
      </c>
      <c r="AD948" s="6">
        <f>$O$948*$X$948</f>
        <v>-4782.2241600000007</v>
      </c>
      <c r="AE948" s="6">
        <f>$K$948*$Y$948</f>
        <v>0</v>
      </c>
      <c r="AF948" s="6">
        <f ca="1">$M$948*$Z$948</f>
        <v>-8059.4844594136766</v>
      </c>
      <c r="AG948" s="6">
        <f>$O$948*$AA$948</f>
        <v>-5466.8965936361938</v>
      </c>
    </row>
    <row r="949" spans="1:33" ht="11.25" customHeight="1" x14ac:dyDescent="0.25">
      <c r="A949" s="4" t="s">
        <v>28</v>
      </c>
      <c r="B949" s="4" t="s">
        <v>41</v>
      </c>
      <c r="C949" s="4" t="s">
        <v>23</v>
      </c>
      <c r="D949" s="4" t="s">
        <v>42</v>
      </c>
      <c r="E949" s="4" t="s">
        <v>25</v>
      </c>
      <c r="F949" s="4" t="s">
        <v>25</v>
      </c>
      <c r="G949" s="4" t="s">
        <v>25</v>
      </c>
      <c r="H949" s="4" t="s">
        <v>25</v>
      </c>
      <c r="I949" s="5">
        <v>44562</v>
      </c>
      <c r="J949" s="6">
        <v>0</v>
      </c>
      <c r="K949" s="6">
        <v>0</v>
      </c>
      <c r="L949" s="6">
        <v>324.33800000000002</v>
      </c>
      <c r="M949" s="6">
        <v>324.33800000000002</v>
      </c>
      <c r="N949" s="6">
        <v>324.33800000000002</v>
      </c>
      <c r="O949" s="6">
        <v>324.33800000000002</v>
      </c>
      <c r="P949" s="6">
        <v>858</v>
      </c>
      <c r="Q949" s="4" t="s">
        <v>26</v>
      </c>
      <c r="R949" s="4">
        <v>0</v>
      </c>
      <c r="S949" s="6">
        <v>0</v>
      </c>
      <c r="T949" s="6">
        <v>40</v>
      </c>
      <c r="U949" s="6">
        <v>78</v>
      </c>
      <c r="V949" s="6">
        <f>IF(ISERROR(VLOOKUP($S$949,'TAR FIN'!$A$1:$O$93,15,0)),0,VLOOKUP($S$949,'TAR FIN'!$A$1:$O$93,15,0))</f>
        <v>0</v>
      </c>
      <c r="W949" s="6">
        <f>IF(ISERROR(VLOOKUP($T$949,'TAR FIN'!$A$1:$O$93,15,0)),0,VLOOKUP($T$949,'TAR FIN'!$A$1:$O$93,15,0))</f>
        <v>240.16</v>
      </c>
      <c r="X949" s="6">
        <f>IF(ISERROR(VLOOKUP($U$949,'TAR FIN'!$A$1:$O$93,15,0)),0,VLOOKUP($U$949,'TAR FIN'!$A$1:$O$93,15,0))</f>
        <v>162.96</v>
      </c>
      <c r="Y949" s="6"/>
      <c r="Z949" s="6">
        <f ca="1">('TUSD BE'!$AM$37+'TUSD BF'!$AM$37+'TUSD CVA'!$AM$37)*(1-CUSTOS!$M$38)</f>
        <v>274.6365589659128</v>
      </c>
      <c r="AA949" s="6">
        <f>('TE BE'!$AB$26+'TE BF'!$AB$26+'TE CVA'!$AB$26)*(1-CUSTOS!$M$38)</f>
        <v>186.29103092878736</v>
      </c>
      <c r="AB949" s="6">
        <f>$K$949*$V$949</f>
        <v>0</v>
      </c>
      <c r="AC949" s="6">
        <f>$M$949*$W$949</f>
        <v>77893.014080000008</v>
      </c>
      <c r="AD949" s="6">
        <f>$O$949*$X$949</f>
        <v>52854.120480000005</v>
      </c>
      <c r="AE949" s="6">
        <f>$K$949*$Y$949</f>
        <v>0</v>
      </c>
      <c r="AF949" s="6">
        <f ca="1">$M$949*$Z$949</f>
        <v>89075.072261886235</v>
      </c>
      <c r="AG949" s="6">
        <f>$O$949*$AA$949</f>
        <v>60421.260389381037</v>
      </c>
    </row>
    <row r="950" spans="1:33" ht="11.25" customHeight="1" x14ac:dyDescent="0.25">
      <c r="A950" s="4" t="s">
        <v>28</v>
      </c>
      <c r="B950" s="4" t="s">
        <v>41</v>
      </c>
      <c r="C950" s="4" t="s">
        <v>23</v>
      </c>
      <c r="D950" s="4" t="s">
        <v>42</v>
      </c>
      <c r="E950" s="4" t="s">
        <v>25</v>
      </c>
      <c r="F950" s="4" t="s">
        <v>25</v>
      </c>
      <c r="G950" s="4" t="s">
        <v>25</v>
      </c>
      <c r="H950" s="4" t="s">
        <v>25</v>
      </c>
      <c r="I950" s="5">
        <v>44562</v>
      </c>
      <c r="J950" s="6">
        <v>0</v>
      </c>
      <c r="K950" s="6">
        <v>0</v>
      </c>
      <c r="L950" s="6">
        <v>-0.47799999999999998</v>
      </c>
      <c r="M950" s="6">
        <v>-0.47799999999999998</v>
      </c>
      <c r="N950" s="6">
        <v>-0.47799999999999998</v>
      </c>
      <c r="O950" s="6">
        <v>-0.47799999999999998</v>
      </c>
      <c r="P950" s="6">
        <v>-2</v>
      </c>
      <c r="Q950" s="4" t="s">
        <v>26</v>
      </c>
      <c r="R950" s="4">
        <v>0</v>
      </c>
      <c r="S950" s="6">
        <v>0</v>
      </c>
      <c r="T950" s="6">
        <v>40</v>
      </c>
      <c r="U950" s="6">
        <v>78</v>
      </c>
      <c r="V950" s="6">
        <f>IF(ISERROR(VLOOKUP($S$950,'TAR FIN'!$A$1:$O$93,15,0)),0,VLOOKUP($S$950,'TAR FIN'!$A$1:$O$93,15,0))</f>
        <v>0</v>
      </c>
      <c r="W950" s="6">
        <f>IF(ISERROR(VLOOKUP($T$950,'TAR FIN'!$A$1:$O$93,15,0)),0,VLOOKUP($T$950,'TAR FIN'!$A$1:$O$93,15,0))</f>
        <v>240.16</v>
      </c>
      <c r="X950" s="6">
        <f>IF(ISERROR(VLOOKUP($U$950,'TAR FIN'!$A$1:$O$93,15,0)),0,VLOOKUP($U$950,'TAR FIN'!$A$1:$O$93,15,0))</f>
        <v>162.96</v>
      </c>
      <c r="Y950" s="6"/>
      <c r="Z950" s="6">
        <f ca="1">('TUSD BE'!$AM$37+'TUSD BF'!$AM$37+'TUSD CVA'!$AM$37)*(1-CUSTOS!$M$38)</f>
        <v>274.6365589659128</v>
      </c>
      <c r="AA950" s="6">
        <f>('TE BE'!$AB$26+'TE BF'!$AB$26+'TE CVA'!$AB$26)*(1-CUSTOS!$M$38)</f>
        <v>186.29103092878736</v>
      </c>
      <c r="AB950" s="6">
        <f>$K$950*$V$950</f>
        <v>0</v>
      </c>
      <c r="AC950" s="6">
        <f>$M$950*$W$950</f>
        <v>-114.79647999999999</v>
      </c>
      <c r="AD950" s="6">
        <f>$O$950*$X$950</f>
        <v>-77.894880000000001</v>
      </c>
      <c r="AE950" s="6">
        <f>$K$950*$Y$950</f>
        <v>0</v>
      </c>
      <c r="AF950" s="6">
        <f ca="1">$M$950*$Z$950</f>
        <v>-131.27627518570631</v>
      </c>
      <c r="AG950" s="6">
        <f>$O$950*$AA$950</f>
        <v>-89.047112783960358</v>
      </c>
    </row>
    <row r="951" spans="1:33" ht="11.25" customHeight="1" x14ac:dyDescent="0.25">
      <c r="A951" s="4" t="s">
        <v>21</v>
      </c>
      <c r="B951" s="4" t="s">
        <v>41</v>
      </c>
      <c r="C951" s="4" t="s">
        <v>23</v>
      </c>
      <c r="D951" s="4" t="s">
        <v>42</v>
      </c>
      <c r="E951" s="4" t="s">
        <v>25</v>
      </c>
      <c r="F951" s="4" t="s">
        <v>25</v>
      </c>
      <c r="G951" s="4" t="s">
        <v>25</v>
      </c>
      <c r="H951" s="4" t="s">
        <v>25</v>
      </c>
      <c r="I951" s="5">
        <v>44593</v>
      </c>
      <c r="J951" s="6">
        <v>0</v>
      </c>
      <c r="K951" s="6">
        <v>0</v>
      </c>
      <c r="L951" s="6">
        <v>17167.484</v>
      </c>
      <c r="M951" s="6">
        <v>17167.484</v>
      </c>
      <c r="N951" s="6">
        <v>17167.484</v>
      </c>
      <c r="O951" s="6">
        <v>17167.484</v>
      </c>
      <c r="P951" s="6">
        <v>38240</v>
      </c>
      <c r="Q951" s="4" t="s">
        <v>26</v>
      </c>
      <c r="R951" s="4">
        <v>0</v>
      </c>
      <c r="S951" s="6">
        <v>0</v>
      </c>
      <c r="T951" s="6">
        <v>40</v>
      </c>
      <c r="U951" s="6">
        <v>78</v>
      </c>
      <c r="V951" s="6">
        <f>IF(ISERROR(VLOOKUP($S$951,'TAR FIN'!$A$1:$O$93,15,0)),0,VLOOKUP($S$951,'TAR FIN'!$A$1:$O$93,15,0))</f>
        <v>0</v>
      </c>
      <c r="W951" s="6">
        <f>IF(ISERROR(VLOOKUP($T$951,'TAR FIN'!$A$1:$O$93,15,0)),0,VLOOKUP($T$951,'TAR FIN'!$A$1:$O$93,15,0))</f>
        <v>240.16</v>
      </c>
      <c r="X951" s="6">
        <f>IF(ISERROR(VLOOKUP($U$951,'TAR FIN'!$A$1:$O$93,15,0)),0,VLOOKUP($U$951,'TAR FIN'!$A$1:$O$93,15,0))</f>
        <v>162.96</v>
      </c>
      <c r="Y951" s="6"/>
      <c r="Z951" s="6">
        <f ca="1">('TUSD BE'!$AM$37+'TUSD BF'!$AM$37+'TUSD CVA'!$AM$37)*(1-CUSTOS!$M$38)</f>
        <v>274.6365589659128</v>
      </c>
      <c r="AA951" s="6">
        <f>('TE BE'!$AB$26+'TE BF'!$AB$26+'TE CVA'!$AB$26)*(1-CUSTOS!$M$38)</f>
        <v>186.29103092878736</v>
      </c>
      <c r="AB951" s="6">
        <f>$K$951*$V$951</f>
        <v>0</v>
      </c>
      <c r="AC951" s="6">
        <f>$M$951*$W$951</f>
        <v>4122942.95744</v>
      </c>
      <c r="AD951" s="6">
        <f>$O$951*$X$951</f>
        <v>2797613.19264</v>
      </c>
      <c r="AE951" s="6">
        <f>$K$951*$Y$951</f>
        <v>0</v>
      </c>
      <c r="AF951" s="6">
        <f ca="1">$M$951*$Z$951</f>
        <v>4714818.7318623643</v>
      </c>
      <c r="AG951" s="6">
        <f>$O$951*$AA$951</f>
        <v>3198148.2928134622</v>
      </c>
    </row>
    <row r="952" spans="1:33" ht="11.25" customHeight="1" x14ac:dyDescent="0.25">
      <c r="A952" s="4" t="s">
        <v>27</v>
      </c>
      <c r="B952" s="4" t="s">
        <v>41</v>
      </c>
      <c r="C952" s="4" t="s">
        <v>23</v>
      </c>
      <c r="D952" s="4" t="s">
        <v>42</v>
      </c>
      <c r="E952" s="4" t="s">
        <v>25</v>
      </c>
      <c r="F952" s="4" t="s">
        <v>25</v>
      </c>
      <c r="G952" s="4" t="s">
        <v>25</v>
      </c>
      <c r="H952" s="4" t="s">
        <v>25</v>
      </c>
      <c r="I952" s="5">
        <v>44593</v>
      </c>
      <c r="J952" s="6">
        <v>0</v>
      </c>
      <c r="K952" s="6">
        <v>0</v>
      </c>
      <c r="L952" s="6">
        <v>-233.511</v>
      </c>
      <c r="M952" s="6">
        <v>-233.511</v>
      </c>
      <c r="N952" s="6">
        <v>-233.511</v>
      </c>
      <c r="O952" s="6">
        <v>-233.511</v>
      </c>
      <c r="P952" s="6">
        <v>-31</v>
      </c>
      <c r="Q952" s="4" t="s">
        <v>26</v>
      </c>
      <c r="R952" s="4">
        <v>0</v>
      </c>
      <c r="S952" s="6">
        <v>0</v>
      </c>
      <c r="T952" s="6">
        <v>40</v>
      </c>
      <c r="U952" s="6">
        <v>78</v>
      </c>
      <c r="V952" s="6">
        <f>IF(ISERROR(VLOOKUP($S$952,'TAR FIN'!$A$1:$O$93,15,0)),0,VLOOKUP($S$952,'TAR FIN'!$A$1:$O$93,15,0))</f>
        <v>0</v>
      </c>
      <c r="W952" s="6">
        <f>IF(ISERROR(VLOOKUP($T$952,'TAR FIN'!$A$1:$O$93,15,0)),0,VLOOKUP($T$952,'TAR FIN'!$A$1:$O$93,15,0))</f>
        <v>240.16</v>
      </c>
      <c r="X952" s="6">
        <f>IF(ISERROR(VLOOKUP($U$952,'TAR FIN'!$A$1:$O$93,15,0)),0,VLOOKUP($U$952,'TAR FIN'!$A$1:$O$93,15,0))</f>
        <v>162.96</v>
      </c>
      <c r="Y952" s="6"/>
      <c r="Z952" s="6">
        <f ca="1">('TUSD BE'!$AM$37+'TUSD BF'!$AM$37+'TUSD CVA'!$AM$37)*(1-CUSTOS!$M$38)</f>
        <v>274.6365589659128</v>
      </c>
      <c r="AA952" s="6">
        <f>('TE BE'!$AB$26+'TE BF'!$AB$26+'TE CVA'!$AB$26)*(1-CUSTOS!$M$38)</f>
        <v>186.29103092878736</v>
      </c>
      <c r="AB952" s="6">
        <f>$K$952*$V$952</f>
        <v>0</v>
      </c>
      <c r="AC952" s="6">
        <f>$M$952*$W$952</f>
        <v>-56080.001759999999</v>
      </c>
      <c r="AD952" s="6">
        <f>$O$952*$X$952</f>
        <v>-38052.952559999998</v>
      </c>
      <c r="AE952" s="6">
        <f>$K$952*$Y$952</f>
        <v>0</v>
      </c>
      <c r="AF952" s="6">
        <f ca="1">$M$952*$Z$952</f>
        <v>-64130.657520689259</v>
      </c>
      <c r="AG952" s="6">
        <f>$O$952*$AA$952</f>
        <v>-43501.004923212065</v>
      </c>
    </row>
    <row r="953" spans="1:33" ht="11.25" customHeight="1" x14ac:dyDescent="0.25">
      <c r="A953" s="4" t="s">
        <v>28</v>
      </c>
      <c r="B953" s="4" t="s">
        <v>41</v>
      </c>
      <c r="C953" s="4" t="s">
        <v>23</v>
      </c>
      <c r="D953" s="4" t="s">
        <v>42</v>
      </c>
      <c r="E953" s="4" t="s">
        <v>25</v>
      </c>
      <c r="F953" s="4" t="s">
        <v>25</v>
      </c>
      <c r="G953" s="4" t="s">
        <v>25</v>
      </c>
      <c r="H953" s="4" t="s">
        <v>25</v>
      </c>
      <c r="I953" s="5">
        <v>44593</v>
      </c>
      <c r="J953" s="6">
        <v>0</v>
      </c>
      <c r="K953" s="6">
        <v>0</v>
      </c>
      <c r="L953" s="6">
        <v>378.44400000000002</v>
      </c>
      <c r="M953" s="6">
        <v>378.44400000000002</v>
      </c>
      <c r="N953" s="6">
        <v>378.44400000000002</v>
      </c>
      <c r="O953" s="6">
        <v>378.44400000000002</v>
      </c>
      <c r="P953" s="6">
        <v>920</v>
      </c>
      <c r="Q953" s="4" t="s">
        <v>26</v>
      </c>
      <c r="R953" s="4">
        <v>0</v>
      </c>
      <c r="S953" s="6">
        <v>0</v>
      </c>
      <c r="T953" s="6">
        <v>40</v>
      </c>
      <c r="U953" s="6">
        <v>78</v>
      </c>
      <c r="V953" s="6">
        <f>IF(ISERROR(VLOOKUP($S$953,'TAR FIN'!$A$1:$O$93,15,0)),0,VLOOKUP($S$953,'TAR FIN'!$A$1:$O$93,15,0))</f>
        <v>0</v>
      </c>
      <c r="W953" s="6">
        <f>IF(ISERROR(VLOOKUP($T$953,'TAR FIN'!$A$1:$O$93,15,0)),0,VLOOKUP($T$953,'TAR FIN'!$A$1:$O$93,15,0))</f>
        <v>240.16</v>
      </c>
      <c r="X953" s="6">
        <f>IF(ISERROR(VLOOKUP($U$953,'TAR FIN'!$A$1:$O$93,15,0)),0,VLOOKUP($U$953,'TAR FIN'!$A$1:$O$93,15,0))</f>
        <v>162.96</v>
      </c>
      <c r="Y953" s="6"/>
      <c r="Z953" s="6">
        <f ca="1">('TUSD BE'!$AM$37+'TUSD BF'!$AM$37+'TUSD CVA'!$AM$37)*(1-CUSTOS!$M$38)</f>
        <v>274.6365589659128</v>
      </c>
      <c r="AA953" s="6">
        <f>('TE BE'!$AB$26+'TE BF'!$AB$26+'TE CVA'!$AB$26)*(1-CUSTOS!$M$38)</f>
        <v>186.29103092878736</v>
      </c>
      <c r="AB953" s="6">
        <f>$K$953*$V$953</f>
        <v>0</v>
      </c>
      <c r="AC953" s="6">
        <f>$M$953*$W$953</f>
        <v>90887.111040000003</v>
      </c>
      <c r="AD953" s="6">
        <f>$O$953*$X$953</f>
        <v>61671.234240000005</v>
      </c>
      <c r="AE953" s="6">
        <f>$K$953*$Y$953</f>
        <v>0</v>
      </c>
      <c r="AF953" s="6">
        <f ca="1">$M$953*$Z$953</f>
        <v>103934.55792129591</v>
      </c>
      <c r="AG953" s="6">
        <f>$O$953*$AA$953</f>
        <v>70500.722908814016</v>
      </c>
    </row>
    <row r="954" spans="1:33" ht="11.25" customHeight="1" x14ac:dyDescent="0.25">
      <c r="A954" s="4" t="s">
        <v>28</v>
      </c>
      <c r="B954" s="4" t="s">
        <v>41</v>
      </c>
      <c r="C954" s="4" t="s">
        <v>23</v>
      </c>
      <c r="D954" s="4" t="s">
        <v>42</v>
      </c>
      <c r="E954" s="4" t="s">
        <v>25</v>
      </c>
      <c r="F954" s="4" t="s">
        <v>25</v>
      </c>
      <c r="G954" s="4" t="s">
        <v>25</v>
      </c>
      <c r="H954" s="4" t="s">
        <v>25</v>
      </c>
      <c r="I954" s="5">
        <v>44593</v>
      </c>
      <c r="J954" s="6">
        <v>0</v>
      </c>
      <c r="K954" s="6">
        <v>0</v>
      </c>
      <c r="L954" s="6">
        <v>-19.927</v>
      </c>
      <c r="M954" s="6">
        <v>-19.927</v>
      </c>
      <c r="N954" s="6">
        <v>-19.927</v>
      </c>
      <c r="O954" s="6">
        <v>-19.927</v>
      </c>
      <c r="P954" s="6">
        <v>-6</v>
      </c>
      <c r="Q954" s="4" t="s">
        <v>26</v>
      </c>
      <c r="R954" s="4">
        <v>0</v>
      </c>
      <c r="S954" s="6">
        <v>0</v>
      </c>
      <c r="T954" s="6">
        <v>40</v>
      </c>
      <c r="U954" s="6">
        <v>78</v>
      </c>
      <c r="V954" s="6">
        <f>IF(ISERROR(VLOOKUP($S$954,'TAR FIN'!$A$1:$O$93,15,0)),0,VLOOKUP($S$954,'TAR FIN'!$A$1:$O$93,15,0))</f>
        <v>0</v>
      </c>
      <c r="W954" s="6">
        <f>IF(ISERROR(VLOOKUP($T$954,'TAR FIN'!$A$1:$O$93,15,0)),0,VLOOKUP($T$954,'TAR FIN'!$A$1:$O$93,15,0))</f>
        <v>240.16</v>
      </c>
      <c r="X954" s="6">
        <f>IF(ISERROR(VLOOKUP($U$954,'TAR FIN'!$A$1:$O$93,15,0)),0,VLOOKUP($U$954,'TAR FIN'!$A$1:$O$93,15,0))</f>
        <v>162.96</v>
      </c>
      <c r="Y954" s="6"/>
      <c r="Z954" s="6">
        <f ca="1">('TUSD BE'!$AM$37+'TUSD BF'!$AM$37+'TUSD CVA'!$AM$37)*(1-CUSTOS!$M$38)</f>
        <v>274.6365589659128</v>
      </c>
      <c r="AA954" s="6">
        <f>('TE BE'!$AB$26+'TE BF'!$AB$26+'TE CVA'!$AB$26)*(1-CUSTOS!$M$38)</f>
        <v>186.29103092878736</v>
      </c>
      <c r="AB954" s="6">
        <f>$K$954*$V$954</f>
        <v>0</v>
      </c>
      <c r="AC954" s="6">
        <f>$M$954*$W$954</f>
        <v>-4785.6683199999998</v>
      </c>
      <c r="AD954" s="6">
        <f>$O$954*$X$954</f>
        <v>-3247.3039200000003</v>
      </c>
      <c r="AE954" s="6">
        <f>$K$954*$Y$954</f>
        <v>0</v>
      </c>
      <c r="AF954" s="6">
        <f ca="1">$M$954*$Z$954</f>
        <v>-5472.6827105137445</v>
      </c>
      <c r="AG954" s="6">
        <f>$O$954*$AA$954</f>
        <v>-3712.2213733179456</v>
      </c>
    </row>
    <row r="955" spans="1:33" ht="11.25" customHeight="1" x14ac:dyDescent="0.25">
      <c r="A955" s="4" t="s">
        <v>21</v>
      </c>
      <c r="B955" s="4" t="s">
        <v>41</v>
      </c>
      <c r="C955" s="4" t="s">
        <v>23</v>
      </c>
      <c r="D955" s="4" t="s">
        <v>42</v>
      </c>
      <c r="E955" s="4" t="s">
        <v>25</v>
      </c>
      <c r="F955" s="4" t="s">
        <v>25</v>
      </c>
      <c r="G955" s="4" t="s">
        <v>25</v>
      </c>
      <c r="H955" s="4" t="s">
        <v>25</v>
      </c>
      <c r="I955" s="5">
        <v>44621</v>
      </c>
      <c r="J955" s="6">
        <v>0</v>
      </c>
      <c r="K955" s="6">
        <v>0</v>
      </c>
      <c r="L955" s="6">
        <v>15254.337</v>
      </c>
      <c r="M955" s="6">
        <v>15254.337</v>
      </c>
      <c r="N955" s="6">
        <v>15254.337</v>
      </c>
      <c r="O955" s="6">
        <v>15254.337</v>
      </c>
      <c r="P955" s="6">
        <v>38227</v>
      </c>
      <c r="Q955" s="4" t="s">
        <v>26</v>
      </c>
      <c r="R955" s="4">
        <v>0</v>
      </c>
      <c r="S955" s="6">
        <v>0</v>
      </c>
      <c r="T955" s="6">
        <v>40</v>
      </c>
      <c r="U955" s="6">
        <v>78</v>
      </c>
      <c r="V955" s="6">
        <f>IF(ISERROR(VLOOKUP($S$955,'TAR FIN'!$A$1:$O$93,15,0)),0,VLOOKUP($S$955,'TAR FIN'!$A$1:$O$93,15,0))</f>
        <v>0</v>
      </c>
      <c r="W955" s="6">
        <f>IF(ISERROR(VLOOKUP($T$955,'TAR FIN'!$A$1:$O$93,15,0)),0,VLOOKUP($T$955,'TAR FIN'!$A$1:$O$93,15,0))</f>
        <v>240.16</v>
      </c>
      <c r="X955" s="6">
        <f>IF(ISERROR(VLOOKUP($U$955,'TAR FIN'!$A$1:$O$93,15,0)),0,VLOOKUP($U$955,'TAR FIN'!$A$1:$O$93,15,0))</f>
        <v>162.96</v>
      </c>
      <c r="Y955" s="6"/>
      <c r="Z955" s="6">
        <f ca="1">('TUSD BE'!$AM$37+'TUSD BF'!$AM$37+'TUSD CVA'!$AM$37)*(1-CUSTOS!$M$38)</f>
        <v>274.6365589659128</v>
      </c>
      <c r="AA955" s="6">
        <f>('TE BE'!$AB$26+'TE BF'!$AB$26+'TE CVA'!$AB$26)*(1-CUSTOS!$M$38)</f>
        <v>186.29103092878736</v>
      </c>
      <c r="AB955" s="6">
        <f>$K$955*$V$955</f>
        <v>0</v>
      </c>
      <c r="AC955" s="6">
        <f>$M$955*$W$955</f>
        <v>3663481.5739199999</v>
      </c>
      <c r="AD955" s="6">
        <f>$O$955*$X$955</f>
        <v>2485846.75752</v>
      </c>
      <c r="AE955" s="6">
        <f>$K$955*$Y$955</f>
        <v>0</v>
      </c>
      <c r="AF955" s="6">
        <f ca="1">$M$955*$Z$955</f>
        <v>4189398.6229864052</v>
      </c>
      <c r="AG955" s="6">
        <f>$O$955*$AA$955</f>
        <v>2841746.1658651452</v>
      </c>
    </row>
    <row r="956" spans="1:33" ht="11.25" customHeight="1" x14ac:dyDescent="0.25">
      <c r="A956" s="4" t="s">
        <v>27</v>
      </c>
      <c r="B956" s="4" t="s">
        <v>41</v>
      </c>
      <c r="C956" s="4" t="s">
        <v>23</v>
      </c>
      <c r="D956" s="4" t="s">
        <v>42</v>
      </c>
      <c r="E956" s="4" t="s">
        <v>25</v>
      </c>
      <c r="F956" s="4" t="s">
        <v>25</v>
      </c>
      <c r="G956" s="4" t="s">
        <v>25</v>
      </c>
      <c r="H956" s="4" t="s">
        <v>25</v>
      </c>
      <c r="I956" s="5">
        <v>44621</v>
      </c>
      <c r="J956" s="6">
        <v>0</v>
      </c>
      <c r="K956" s="6">
        <v>0</v>
      </c>
      <c r="L956" s="6">
        <v>-19.346</v>
      </c>
      <c r="M956" s="6">
        <v>-19.346</v>
      </c>
      <c r="N956" s="6">
        <v>-19.346</v>
      </c>
      <c r="O956" s="6">
        <v>-19.346</v>
      </c>
      <c r="P956" s="6">
        <v>-33</v>
      </c>
      <c r="Q956" s="4" t="s">
        <v>26</v>
      </c>
      <c r="R956" s="4">
        <v>0</v>
      </c>
      <c r="S956" s="6">
        <v>0</v>
      </c>
      <c r="T956" s="6">
        <v>40</v>
      </c>
      <c r="U956" s="6">
        <v>78</v>
      </c>
      <c r="V956" s="6">
        <f>IF(ISERROR(VLOOKUP($S$956,'TAR FIN'!$A$1:$O$93,15,0)),0,VLOOKUP($S$956,'TAR FIN'!$A$1:$O$93,15,0))</f>
        <v>0</v>
      </c>
      <c r="W956" s="6">
        <f>IF(ISERROR(VLOOKUP($T$956,'TAR FIN'!$A$1:$O$93,15,0)),0,VLOOKUP($T$956,'TAR FIN'!$A$1:$O$93,15,0))</f>
        <v>240.16</v>
      </c>
      <c r="X956" s="6">
        <f>IF(ISERROR(VLOOKUP($U$956,'TAR FIN'!$A$1:$O$93,15,0)),0,VLOOKUP($U$956,'TAR FIN'!$A$1:$O$93,15,0))</f>
        <v>162.96</v>
      </c>
      <c r="Y956" s="6"/>
      <c r="Z956" s="6">
        <f ca="1">('TUSD BE'!$AM$37+'TUSD BF'!$AM$37+'TUSD CVA'!$AM$37)*(1-CUSTOS!$M$38)</f>
        <v>274.6365589659128</v>
      </c>
      <c r="AA956" s="6">
        <f>('TE BE'!$AB$26+'TE BF'!$AB$26+'TE CVA'!$AB$26)*(1-CUSTOS!$M$38)</f>
        <v>186.29103092878736</v>
      </c>
      <c r="AB956" s="6">
        <f>$K$956*$V$956</f>
        <v>0</v>
      </c>
      <c r="AC956" s="6">
        <f>$M$956*$W$956</f>
        <v>-4646.1353600000002</v>
      </c>
      <c r="AD956" s="6">
        <f>$O$956*$X$956</f>
        <v>-3152.6241600000003</v>
      </c>
      <c r="AE956" s="6">
        <f>$K$956*$Y$956</f>
        <v>0</v>
      </c>
      <c r="AF956" s="6">
        <f ca="1">$M$956*$Z$956</f>
        <v>-5313.1188697545495</v>
      </c>
      <c r="AG956" s="6">
        <f>$O$956*$AA$956</f>
        <v>-3603.9862843483202</v>
      </c>
    </row>
    <row r="957" spans="1:33" ht="11.25" customHeight="1" x14ac:dyDescent="0.25">
      <c r="A957" s="4" t="s">
        <v>28</v>
      </c>
      <c r="B957" s="4" t="s">
        <v>41</v>
      </c>
      <c r="C957" s="4" t="s">
        <v>23</v>
      </c>
      <c r="D957" s="4" t="s">
        <v>42</v>
      </c>
      <c r="E957" s="4" t="s">
        <v>25</v>
      </c>
      <c r="F957" s="4" t="s">
        <v>25</v>
      </c>
      <c r="G957" s="4" t="s">
        <v>25</v>
      </c>
      <c r="H957" s="4" t="s">
        <v>25</v>
      </c>
      <c r="I957" s="5">
        <v>44621</v>
      </c>
      <c r="J957" s="6">
        <v>0</v>
      </c>
      <c r="K957" s="6">
        <v>0</v>
      </c>
      <c r="L957" s="6">
        <v>363.209</v>
      </c>
      <c r="M957" s="6">
        <v>363.209</v>
      </c>
      <c r="N957" s="6">
        <v>363.209</v>
      </c>
      <c r="O957" s="6">
        <v>363.209</v>
      </c>
      <c r="P957" s="6">
        <v>991</v>
      </c>
      <c r="Q957" s="4" t="s">
        <v>26</v>
      </c>
      <c r="R957" s="4">
        <v>0</v>
      </c>
      <c r="S957" s="6">
        <v>0</v>
      </c>
      <c r="T957" s="6">
        <v>40</v>
      </c>
      <c r="U957" s="6">
        <v>78</v>
      </c>
      <c r="V957" s="6">
        <f>IF(ISERROR(VLOOKUP($S$957,'TAR FIN'!$A$1:$O$93,15,0)),0,VLOOKUP($S$957,'TAR FIN'!$A$1:$O$93,15,0))</f>
        <v>0</v>
      </c>
      <c r="W957" s="6">
        <f>IF(ISERROR(VLOOKUP($T$957,'TAR FIN'!$A$1:$O$93,15,0)),0,VLOOKUP($T$957,'TAR FIN'!$A$1:$O$93,15,0))</f>
        <v>240.16</v>
      </c>
      <c r="X957" s="6">
        <f>IF(ISERROR(VLOOKUP($U$957,'TAR FIN'!$A$1:$O$93,15,0)),0,VLOOKUP($U$957,'TAR FIN'!$A$1:$O$93,15,0))</f>
        <v>162.96</v>
      </c>
      <c r="Y957" s="6"/>
      <c r="Z957" s="6">
        <f ca="1">('TUSD BE'!$AM$37+'TUSD BF'!$AM$37+'TUSD CVA'!$AM$37)*(1-CUSTOS!$M$38)</f>
        <v>274.6365589659128</v>
      </c>
      <c r="AA957" s="6">
        <f>('TE BE'!$AB$26+'TE BF'!$AB$26+'TE CVA'!$AB$26)*(1-CUSTOS!$M$38)</f>
        <v>186.29103092878736</v>
      </c>
      <c r="AB957" s="6">
        <f>$K$957*$V$957</f>
        <v>0</v>
      </c>
      <c r="AC957" s="6">
        <f>$M$957*$W$957</f>
        <v>87228.273440000004</v>
      </c>
      <c r="AD957" s="6">
        <f>$O$957*$X$957</f>
        <v>59188.538640000006</v>
      </c>
      <c r="AE957" s="6">
        <f>$K$957*$Y$957</f>
        <v>0</v>
      </c>
      <c r="AF957" s="6">
        <f ca="1">$M$957*$Z$957</f>
        <v>99750.469945450226</v>
      </c>
      <c r="AG957" s="6">
        <f>$O$957*$AA$957</f>
        <v>67662.579052613932</v>
      </c>
    </row>
    <row r="958" spans="1:33" ht="11.25" customHeight="1" x14ac:dyDescent="0.25">
      <c r="A958" s="4" t="s">
        <v>28</v>
      </c>
      <c r="B958" s="4" t="s">
        <v>41</v>
      </c>
      <c r="C958" s="4" t="s">
        <v>23</v>
      </c>
      <c r="D958" s="4" t="s">
        <v>42</v>
      </c>
      <c r="E958" s="4" t="s">
        <v>25</v>
      </c>
      <c r="F958" s="4" t="s">
        <v>25</v>
      </c>
      <c r="G958" s="4" t="s">
        <v>25</v>
      </c>
      <c r="H958" s="4" t="s">
        <v>25</v>
      </c>
      <c r="I958" s="5">
        <v>44621</v>
      </c>
      <c r="J958" s="6">
        <v>0</v>
      </c>
      <c r="K958" s="6">
        <v>0</v>
      </c>
      <c r="L958" s="6">
        <v>-2.9689999999999999</v>
      </c>
      <c r="M958" s="6">
        <v>-2.9689999999999999</v>
      </c>
      <c r="N958" s="6">
        <v>-2.9689999999999999</v>
      </c>
      <c r="O958" s="6">
        <v>-2.9689999999999999</v>
      </c>
      <c r="P958" s="6">
        <v>-3</v>
      </c>
      <c r="Q958" s="4" t="s">
        <v>26</v>
      </c>
      <c r="R958" s="4">
        <v>0</v>
      </c>
      <c r="S958" s="6">
        <v>0</v>
      </c>
      <c r="T958" s="6">
        <v>40</v>
      </c>
      <c r="U958" s="6">
        <v>78</v>
      </c>
      <c r="V958" s="6">
        <f>IF(ISERROR(VLOOKUP($S$958,'TAR FIN'!$A$1:$O$93,15,0)),0,VLOOKUP($S$958,'TAR FIN'!$A$1:$O$93,15,0))</f>
        <v>0</v>
      </c>
      <c r="W958" s="6">
        <f>IF(ISERROR(VLOOKUP($T$958,'TAR FIN'!$A$1:$O$93,15,0)),0,VLOOKUP($T$958,'TAR FIN'!$A$1:$O$93,15,0))</f>
        <v>240.16</v>
      </c>
      <c r="X958" s="6">
        <f>IF(ISERROR(VLOOKUP($U$958,'TAR FIN'!$A$1:$O$93,15,0)),0,VLOOKUP($U$958,'TAR FIN'!$A$1:$O$93,15,0))</f>
        <v>162.96</v>
      </c>
      <c r="Y958" s="6"/>
      <c r="Z958" s="6">
        <f ca="1">('TUSD BE'!$AM$37+'TUSD BF'!$AM$37+'TUSD CVA'!$AM$37)*(1-CUSTOS!$M$38)</f>
        <v>274.6365589659128</v>
      </c>
      <c r="AA958" s="6">
        <f>('TE BE'!$AB$26+'TE BF'!$AB$26+'TE CVA'!$AB$26)*(1-CUSTOS!$M$38)</f>
        <v>186.29103092878736</v>
      </c>
      <c r="AB958" s="6">
        <f>$K$958*$V$958</f>
        <v>0</v>
      </c>
      <c r="AC958" s="6">
        <f>$M$958*$W$958</f>
        <v>-713.03503999999998</v>
      </c>
      <c r="AD958" s="6">
        <f>$O$958*$X$958</f>
        <v>-483.82823999999999</v>
      </c>
      <c r="AE958" s="6">
        <f>$K$958*$Y$958</f>
        <v>0</v>
      </c>
      <c r="AF958" s="6">
        <f ca="1">$M$958*$Z$958</f>
        <v>-815.39594356979501</v>
      </c>
      <c r="AG958" s="6">
        <f>$O$958*$AA$958</f>
        <v>-553.0980708275697</v>
      </c>
    </row>
    <row r="959" spans="1:33" ht="11.25" customHeight="1" x14ac:dyDescent="0.25">
      <c r="A959" s="4" t="s">
        <v>21</v>
      </c>
      <c r="B959" s="4" t="s">
        <v>41</v>
      </c>
      <c r="C959" s="4" t="s">
        <v>23</v>
      </c>
      <c r="D959" s="4" t="s">
        <v>42</v>
      </c>
      <c r="E959" s="4" t="s">
        <v>25</v>
      </c>
      <c r="F959" s="4" t="s">
        <v>25</v>
      </c>
      <c r="G959" s="4" t="s">
        <v>25</v>
      </c>
      <c r="H959" s="4" t="s">
        <v>25</v>
      </c>
      <c r="I959" s="5">
        <v>44652</v>
      </c>
      <c r="J959" s="6">
        <v>0</v>
      </c>
      <c r="K959" s="6">
        <v>0</v>
      </c>
      <c r="L959" s="6">
        <v>14589.105</v>
      </c>
      <c r="M959" s="6">
        <v>14589.105</v>
      </c>
      <c r="N959" s="6">
        <v>14589.105</v>
      </c>
      <c r="O959" s="6">
        <v>14589.105</v>
      </c>
      <c r="P959" s="6">
        <v>38180</v>
      </c>
      <c r="Q959" s="4" t="s">
        <v>26</v>
      </c>
      <c r="R959" s="4">
        <v>0</v>
      </c>
      <c r="S959" s="6">
        <v>0</v>
      </c>
      <c r="T959" s="6">
        <v>40</v>
      </c>
      <c r="U959" s="6">
        <v>78</v>
      </c>
      <c r="V959" s="6">
        <f>IF(ISERROR(VLOOKUP($S$959,'TAR FIN'!$A$1:$O$93,15,0)),0,VLOOKUP($S$959,'TAR FIN'!$A$1:$O$93,15,0))</f>
        <v>0</v>
      </c>
      <c r="W959" s="6">
        <f>IF(ISERROR(VLOOKUP($T$959,'TAR FIN'!$A$1:$O$93,15,0)),0,VLOOKUP($T$959,'TAR FIN'!$A$1:$O$93,15,0))</f>
        <v>240.16</v>
      </c>
      <c r="X959" s="6">
        <f>IF(ISERROR(VLOOKUP($U$959,'TAR FIN'!$A$1:$O$93,15,0)),0,VLOOKUP($U$959,'TAR FIN'!$A$1:$O$93,15,0))</f>
        <v>162.96</v>
      </c>
      <c r="Y959" s="6"/>
      <c r="Z959" s="6">
        <f ca="1">('TUSD BE'!$AM$37+'TUSD BF'!$AM$37+'TUSD CVA'!$AM$37)*(1-CUSTOS!$M$38)</f>
        <v>274.6365589659128</v>
      </c>
      <c r="AA959" s="6">
        <f>('TE BE'!$AB$26+'TE BF'!$AB$26+'TE CVA'!$AB$26)*(1-CUSTOS!$M$38)</f>
        <v>186.29103092878736</v>
      </c>
      <c r="AB959" s="6">
        <f>$K$959*$V$959</f>
        <v>0</v>
      </c>
      <c r="AC959" s="6">
        <f>$M$959*$W$959</f>
        <v>3503719.4567999998</v>
      </c>
      <c r="AD959" s="6">
        <f>$O$959*$X$959</f>
        <v>2377440.5507999999</v>
      </c>
      <c r="AE959" s="6">
        <f>$K$959*$Y$959</f>
        <v>0</v>
      </c>
      <c r="AF959" s="6">
        <f ca="1">$M$959*$Z$959</f>
        <v>4006701.5955923931</v>
      </c>
      <c r="AG959" s="6">
        <f>$O$959*$AA$959</f>
        <v>2717819.4107783264</v>
      </c>
    </row>
    <row r="960" spans="1:33" ht="11.25" customHeight="1" x14ac:dyDescent="0.25">
      <c r="A960" s="4" t="s">
        <v>27</v>
      </c>
      <c r="B960" s="4" t="s">
        <v>41</v>
      </c>
      <c r="C960" s="4" t="s">
        <v>23</v>
      </c>
      <c r="D960" s="4" t="s">
        <v>42</v>
      </c>
      <c r="E960" s="4" t="s">
        <v>25</v>
      </c>
      <c r="F960" s="4" t="s">
        <v>25</v>
      </c>
      <c r="G960" s="4" t="s">
        <v>25</v>
      </c>
      <c r="H960" s="4" t="s">
        <v>25</v>
      </c>
      <c r="I960" s="5">
        <v>44652</v>
      </c>
      <c r="J960" s="6">
        <v>0</v>
      </c>
      <c r="K960" s="6">
        <v>0</v>
      </c>
      <c r="L960" s="6">
        <v>-113.94499999999999</v>
      </c>
      <c r="M960" s="6">
        <v>-113.94499999999999</v>
      </c>
      <c r="N960" s="6">
        <v>-113.94499999999999</v>
      </c>
      <c r="O960" s="6">
        <v>-113.94499999999999</v>
      </c>
      <c r="P960" s="6">
        <v>-58</v>
      </c>
      <c r="Q960" s="4" t="s">
        <v>26</v>
      </c>
      <c r="R960" s="4">
        <v>0</v>
      </c>
      <c r="S960" s="6">
        <v>0</v>
      </c>
      <c r="T960" s="6">
        <v>40</v>
      </c>
      <c r="U960" s="6">
        <v>78</v>
      </c>
      <c r="V960" s="6">
        <f>IF(ISERROR(VLOOKUP($S$960,'TAR FIN'!$A$1:$O$93,15,0)),0,VLOOKUP($S$960,'TAR FIN'!$A$1:$O$93,15,0))</f>
        <v>0</v>
      </c>
      <c r="W960" s="6">
        <f>IF(ISERROR(VLOOKUP($T$960,'TAR FIN'!$A$1:$O$93,15,0)),0,VLOOKUP($T$960,'TAR FIN'!$A$1:$O$93,15,0))</f>
        <v>240.16</v>
      </c>
      <c r="X960" s="6">
        <f>IF(ISERROR(VLOOKUP($U$960,'TAR FIN'!$A$1:$O$93,15,0)),0,VLOOKUP($U$960,'TAR FIN'!$A$1:$O$93,15,0))</f>
        <v>162.96</v>
      </c>
      <c r="Y960" s="6"/>
      <c r="Z960" s="6">
        <f ca="1">('TUSD BE'!$AM$37+'TUSD BF'!$AM$37+'TUSD CVA'!$AM$37)*(1-CUSTOS!$M$38)</f>
        <v>274.6365589659128</v>
      </c>
      <c r="AA960" s="6">
        <f>('TE BE'!$AB$26+'TE BF'!$AB$26+'TE CVA'!$AB$26)*(1-CUSTOS!$M$38)</f>
        <v>186.29103092878736</v>
      </c>
      <c r="AB960" s="6">
        <f>$K$960*$V$960</f>
        <v>0</v>
      </c>
      <c r="AC960" s="6">
        <f>$M$960*$W$960</f>
        <v>-27365.031199999998</v>
      </c>
      <c r="AD960" s="6">
        <f>$O$960*$X$960</f>
        <v>-18568.477200000001</v>
      </c>
      <c r="AE960" s="6">
        <f>$K$960*$Y$960</f>
        <v>0</v>
      </c>
      <c r="AF960" s="6">
        <f ca="1">$M$960*$Z$960</f>
        <v>-31293.462711370932</v>
      </c>
      <c r="AG960" s="6">
        <f>$O$960*$AA$960</f>
        <v>-21226.931519180675</v>
      </c>
    </row>
    <row r="961" spans="1:33" ht="11.25" customHeight="1" x14ac:dyDescent="0.25">
      <c r="A961" s="4" t="s">
        <v>28</v>
      </c>
      <c r="B961" s="4" t="s">
        <v>41</v>
      </c>
      <c r="C961" s="4" t="s">
        <v>23</v>
      </c>
      <c r="D961" s="4" t="s">
        <v>42</v>
      </c>
      <c r="E961" s="4" t="s">
        <v>25</v>
      </c>
      <c r="F961" s="4" t="s">
        <v>25</v>
      </c>
      <c r="G961" s="4" t="s">
        <v>25</v>
      </c>
      <c r="H961" s="4" t="s">
        <v>25</v>
      </c>
      <c r="I961" s="5">
        <v>44652</v>
      </c>
      <c r="J961" s="6">
        <v>0</v>
      </c>
      <c r="K961" s="6">
        <v>0</v>
      </c>
      <c r="L961" s="6">
        <v>415.89499999999998</v>
      </c>
      <c r="M961" s="6">
        <v>415.89499999999998</v>
      </c>
      <c r="N961" s="6">
        <v>415.89499999999998</v>
      </c>
      <c r="O961" s="6">
        <v>415.89499999999998</v>
      </c>
      <c r="P961" s="6">
        <v>1083</v>
      </c>
      <c r="Q961" s="4" t="s">
        <v>26</v>
      </c>
      <c r="R961" s="4">
        <v>0</v>
      </c>
      <c r="S961" s="6">
        <v>0</v>
      </c>
      <c r="T961" s="6">
        <v>40</v>
      </c>
      <c r="U961" s="6">
        <v>78</v>
      </c>
      <c r="V961" s="6">
        <f>IF(ISERROR(VLOOKUP($S$961,'TAR FIN'!$A$1:$O$93,15,0)),0,VLOOKUP($S$961,'TAR FIN'!$A$1:$O$93,15,0))</f>
        <v>0</v>
      </c>
      <c r="W961" s="6">
        <f>IF(ISERROR(VLOOKUP($T$961,'TAR FIN'!$A$1:$O$93,15,0)),0,VLOOKUP($T$961,'TAR FIN'!$A$1:$O$93,15,0))</f>
        <v>240.16</v>
      </c>
      <c r="X961" s="6">
        <f>IF(ISERROR(VLOOKUP($U$961,'TAR FIN'!$A$1:$O$93,15,0)),0,VLOOKUP($U$961,'TAR FIN'!$A$1:$O$93,15,0))</f>
        <v>162.96</v>
      </c>
      <c r="Y961" s="6"/>
      <c r="Z961" s="6">
        <f ca="1">('TUSD BE'!$AM$37+'TUSD BF'!$AM$37+'TUSD CVA'!$AM$37)*(1-CUSTOS!$M$38)</f>
        <v>274.6365589659128</v>
      </c>
      <c r="AA961" s="6">
        <f>('TE BE'!$AB$26+'TE BF'!$AB$26+'TE CVA'!$AB$26)*(1-CUSTOS!$M$38)</f>
        <v>186.29103092878736</v>
      </c>
      <c r="AB961" s="6">
        <f>$K$961*$V$961</f>
        <v>0</v>
      </c>
      <c r="AC961" s="6">
        <f>$M$961*$W$961</f>
        <v>99881.343199999988</v>
      </c>
      <c r="AD961" s="6">
        <f>$O$961*$X$961</f>
        <v>67774.249200000006</v>
      </c>
      <c r="AE961" s="6">
        <f>$K$961*$Y$961</f>
        <v>0</v>
      </c>
      <c r="AF961" s="6">
        <f ca="1">$M$961*$Z$961</f>
        <v>114219.9716911283</v>
      </c>
      <c r="AG961" s="6">
        <f>$O$961*$AA$961</f>
        <v>77477.508308128017</v>
      </c>
    </row>
    <row r="962" spans="1:33" ht="11.25" customHeight="1" x14ac:dyDescent="0.25">
      <c r="A962" s="4" t="s">
        <v>28</v>
      </c>
      <c r="B962" s="4" t="s">
        <v>41</v>
      </c>
      <c r="C962" s="4" t="s">
        <v>23</v>
      </c>
      <c r="D962" s="4" t="s">
        <v>42</v>
      </c>
      <c r="E962" s="4" t="s">
        <v>25</v>
      </c>
      <c r="F962" s="4" t="s">
        <v>25</v>
      </c>
      <c r="G962" s="4" t="s">
        <v>25</v>
      </c>
      <c r="H962" s="4" t="s">
        <v>25</v>
      </c>
      <c r="I962" s="5">
        <v>44652</v>
      </c>
      <c r="J962" s="6">
        <v>0</v>
      </c>
      <c r="K962" s="6">
        <v>0</v>
      </c>
      <c r="L962" s="6">
        <v>-141.548</v>
      </c>
      <c r="M962" s="6">
        <v>-141.548</v>
      </c>
      <c r="N962" s="6">
        <v>-141.548</v>
      </c>
      <c r="O962" s="6">
        <v>-141.548</v>
      </c>
      <c r="P962" s="6">
        <v>0</v>
      </c>
      <c r="Q962" s="4" t="s">
        <v>26</v>
      </c>
      <c r="R962" s="4">
        <v>0</v>
      </c>
      <c r="S962" s="6">
        <v>0</v>
      </c>
      <c r="T962" s="6">
        <v>40</v>
      </c>
      <c r="U962" s="6">
        <v>78</v>
      </c>
      <c r="V962" s="6">
        <f>IF(ISERROR(VLOOKUP($S$962,'TAR FIN'!$A$1:$O$93,15,0)),0,VLOOKUP($S$962,'TAR FIN'!$A$1:$O$93,15,0))</f>
        <v>0</v>
      </c>
      <c r="W962" s="6">
        <f>IF(ISERROR(VLOOKUP($T$962,'TAR FIN'!$A$1:$O$93,15,0)),0,VLOOKUP($T$962,'TAR FIN'!$A$1:$O$93,15,0))</f>
        <v>240.16</v>
      </c>
      <c r="X962" s="6">
        <f>IF(ISERROR(VLOOKUP($U$962,'TAR FIN'!$A$1:$O$93,15,0)),0,VLOOKUP($U$962,'TAR FIN'!$A$1:$O$93,15,0))</f>
        <v>162.96</v>
      </c>
      <c r="Y962" s="6"/>
      <c r="Z962" s="6">
        <f ca="1">('TUSD BE'!$AM$37+'TUSD BF'!$AM$37+'TUSD CVA'!$AM$37)*(1-CUSTOS!$M$38)</f>
        <v>274.6365589659128</v>
      </c>
      <c r="AA962" s="6">
        <f>('TE BE'!$AB$26+'TE BF'!$AB$26+'TE CVA'!$AB$26)*(1-CUSTOS!$M$38)</f>
        <v>186.29103092878736</v>
      </c>
      <c r="AB962" s="6">
        <f>$K$962*$V$962</f>
        <v>0</v>
      </c>
      <c r="AC962" s="6">
        <f>$M$962*$W$962</f>
        <v>-33994.167679999999</v>
      </c>
      <c r="AD962" s="6">
        <f>$O$962*$X$962</f>
        <v>-23066.662080000002</v>
      </c>
      <c r="AE962" s="6">
        <f>$K$962*$Y$962</f>
        <v>0</v>
      </c>
      <c r="AF962" s="6">
        <f ca="1">$M$962*$Z$962</f>
        <v>-38874.255648507024</v>
      </c>
      <c r="AG962" s="6">
        <f>$O$962*$AA$962</f>
        <v>-26369.122845907994</v>
      </c>
    </row>
    <row r="963" spans="1:33" ht="11.25" customHeight="1" x14ac:dyDescent="0.25">
      <c r="A963" s="4" t="s">
        <v>21</v>
      </c>
      <c r="B963" s="4" t="s">
        <v>41</v>
      </c>
      <c r="C963" s="4" t="s">
        <v>23</v>
      </c>
      <c r="D963" s="4" t="s">
        <v>42</v>
      </c>
      <c r="E963" s="4" t="s">
        <v>25</v>
      </c>
      <c r="F963" s="4" t="s">
        <v>25</v>
      </c>
      <c r="G963" s="4" t="s">
        <v>25</v>
      </c>
      <c r="H963" s="4" t="s">
        <v>25</v>
      </c>
      <c r="I963" s="5">
        <v>44682</v>
      </c>
      <c r="J963" s="6">
        <v>0</v>
      </c>
      <c r="K963" s="6">
        <v>0</v>
      </c>
      <c r="L963" s="6">
        <v>13509.707</v>
      </c>
      <c r="M963" s="6">
        <v>13509.707</v>
      </c>
      <c r="N963" s="6">
        <v>13509.707</v>
      </c>
      <c r="O963" s="6">
        <v>13509.707</v>
      </c>
      <c r="P963" s="6">
        <v>38176</v>
      </c>
      <c r="Q963" s="4" t="s">
        <v>26</v>
      </c>
      <c r="R963" s="4">
        <v>0</v>
      </c>
      <c r="S963" s="6">
        <v>0</v>
      </c>
      <c r="T963" s="6">
        <v>40</v>
      </c>
      <c r="U963" s="6">
        <v>78</v>
      </c>
      <c r="V963" s="6">
        <f>IF(ISERROR(VLOOKUP($S$963,'TAR FIN'!$A$1:$O$93,15,0)),0,VLOOKUP($S$963,'TAR FIN'!$A$1:$O$93,15,0))</f>
        <v>0</v>
      </c>
      <c r="W963" s="6">
        <f>IF(ISERROR(VLOOKUP($T$963,'TAR FIN'!$A$1:$O$93,15,0)),0,VLOOKUP($T$963,'TAR FIN'!$A$1:$O$93,15,0))</f>
        <v>240.16</v>
      </c>
      <c r="X963" s="6">
        <f>IF(ISERROR(VLOOKUP($U$963,'TAR FIN'!$A$1:$O$93,15,0)),0,VLOOKUP($U$963,'TAR FIN'!$A$1:$O$93,15,0))</f>
        <v>162.96</v>
      </c>
      <c r="Y963" s="6"/>
      <c r="Z963" s="6">
        <f ca="1">('TUSD BE'!$AM$37+'TUSD BF'!$AM$37+'TUSD CVA'!$AM$37)*(1-CUSTOS!$M$38)</f>
        <v>274.6365589659128</v>
      </c>
      <c r="AA963" s="6">
        <f>('TE BE'!$AB$26+'TE BF'!$AB$26+'TE CVA'!$AB$26)*(1-CUSTOS!$M$38)</f>
        <v>186.29103092878736</v>
      </c>
      <c r="AB963" s="6">
        <f>$K$963*$V$963</f>
        <v>0</v>
      </c>
      <c r="AC963" s="6">
        <f>$M$963*$W$963</f>
        <v>3244491.23312</v>
      </c>
      <c r="AD963" s="6">
        <f>$O$963*$X$963</f>
        <v>2201541.8527200003</v>
      </c>
      <c r="AE963" s="6">
        <f>$K$963*$Y$963</f>
        <v>0</v>
      </c>
      <c r="AF963" s="6">
        <f ca="1">$M$963*$Z$963</f>
        <v>3710259.4431177052</v>
      </c>
      <c r="AG963" s="6">
        <f>$O$963*$AA$963</f>
        <v>2516737.2445758553</v>
      </c>
    </row>
    <row r="964" spans="1:33" ht="11.25" customHeight="1" x14ac:dyDescent="0.25">
      <c r="A964" s="4" t="s">
        <v>27</v>
      </c>
      <c r="B964" s="4" t="s">
        <v>41</v>
      </c>
      <c r="C964" s="4" t="s">
        <v>23</v>
      </c>
      <c r="D964" s="4" t="s">
        <v>42</v>
      </c>
      <c r="E964" s="4" t="s">
        <v>25</v>
      </c>
      <c r="F964" s="4" t="s">
        <v>25</v>
      </c>
      <c r="G964" s="4" t="s">
        <v>25</v>
      </c>
      <c r="H964" s="4" t="s">
        <v>25</v>
      </c>
      <c r="I964" s="5">
        <v>44682</v>
      </c>
      <c r="J964" s="6">
        <v>0</v>
      </c>
      <c r="K964" s="6">
        <v>0</v>
      </c>
      <c r="L964" s="6">
        <v>-26.937999999999999</v>
      </c>
      <c r="M964" s="6">
        <v>-26.937999999999999</v>
      </c>
      <c r="N964" s="6">
        <v>-26.937999999999999</v>
      </c>
      <c r="O964" s="6">
        <v>-26.937999999999999</v>
      </c>
      <c r="P964" s="6">
        <v>-80</v>
      </c>
      <c r="Q964" s="4" t="s">
        <v>26</v>
      </c>
      <c r="R964" s="4">
        <v>0</v>
      </c>
      <c r="S964" s="6">
        <v>0</v>
      </c>
      <c r="T964" s="6">
        <v>40</v>
      </c>
      <c r="U964" s="6">
        <v>78</v>
      </c>
      <c r="V964" s="6">
        <f>IF(ISERROR(VLOOKUP($S$964,'TAR FIN'!$A$1:$O$93,15,0)),0,VLOOKUP($S$964,'TAR FIN'!$A$1:$O$93,15,0))</f>
        <v>0</v>
      </c>
      <c r="W964" s="6">
        <f>IF(ISERROR(VLOOKUP($T$964,'TAR FIN'!$A$1:$O$93,15,0)),0,VLOOKUP($T$964,'TAR FIN'!$A$1:$O$93,15,0))</f>
        <v>240.16</v>
      </c>
      <c r="X964" s="6">
        <f>IF(ISERROR(VLOOKUP($U$964,'TAR FIN'!$A$1:$O$93,15,0)),0,VLOOKUP($U$964,'TAR FIN'!$A$1:$O$93,15,0))</f>
        <v>162.96</v>
      </c>
      <c r="Y964" s="6"/>
      <c r="Z964" s="6">
        <f ca="1">('TUSD BE'!$AM$37+'TUSD BF'!$AM$37+'TUSD CVA'!$AM$37)*(1-CUSTOS!$M$38)</f>
        <v>274.6365589659128</v>
      </c>
      <c r="AA964" s="6">
        <f>('TE BE'!$AB$26+'TE BF'!$AB$26+'TE CVA'!$AB$26)*(1-CUSTOS!$M$38)</f>
        <v>186.29103092878736</v>
      </c>
      <c r="AB964" s="6">
        <f>$K$964*$V$964</f>
        <v>0</v>
      </c>
      <c r="AC964" s="6">
        <f>$M$964*$W$964</f>
        <v>-6469.4300799999992</v>
      </c>
      <c r="AD964" s="6">
        <f>$O$964*$X$964</f>
        <v>-4389.8164800000004</v>
      </c>
      <c r="AE964" s="6">
        <f>$K$964*$Y$964</f>
        <v>0</v>
      </c>
      <c r="AF964" s="6">
        <f ca="1">$M$964*$Z$964</f>
        <v>-7398.1596254237584</v>
      </c>
      <c r="AG964" s="6">
        <f>$O$964*$AA$964</f>
        <v>-5018.3077911596738</v>
      </c>
    </row>
    <row r="965" spans="1:33" ht="11.25" customHeight="1" x14ac:dyDescent="0.25">
      <c r="A965" s="4" t="s">
        <v>28</v>
      </c>
      <c r="B965" s="4" t="s">
        <v>41</v>
      </c>
      <c r="C965" s="4" t="s">
        <v>23</v>
      </c>
      <c r="D965" s="4" t="s">
        <v>42</v>
      </c>
      <c r="E965" s="4" t="s">
        <v>25</v>
      </c>
      <c r="F965" s="4" t="s">
        <v>25</v>
      </c>
      <c r="G965" s="4" t="s">
        <v>25</v>
      </c>
      <c r="H965" s="4" t="s">
        <v>25</v>
      </c>
      <c r="I965" s="5">
        <v>44682</v>
      </c>
      <c r="J965" s="6">
        <v>0</v>
      </c>
      <c r="K965" s="6">
        <v>0</v>
      </c>
      <c r="L965" s="6">
        <v>484.18</v>
      </c>
      <c r="M965" s="6">
        <v>484.18</v>
      </c>
      <c r="N965" s="6">
        <v>484.18</v>
      </c>
      <c r="O965" s="6">
        <v>484.18</v>
      </c>
      <c r="P965" s="6">
        <v>1167</v>
      </c>
      <c r="Q965" s="4" t="s">
        <v>26</v>
      </c>
      <c r="R965" s="4">
        <v>0</v>
      </c>
      <c r="S965" s="6">
        <v>0</v>
      </c>
      <c r="T965" s="6">
        <v>40</v>
      </c>
      <c r="U965" s="6">
        <v>78</v>
      </c>
      <c r="V965" s="6">
        <f>IF(ISERROR(VLOOKUP($S$965,'TAR FIN'!$A$1:$O$93,15,0)),0,VLOOKUP($S$965,'TAR FIN'!$A$1:$O$93,15,0))</f>
        <v>0</v>
      </c>
      <c r="W965" s="6">
        <f>IF(ISERROR(VLOOKUP($T$965,'TAR FIN'!$A$1:$O$93,15,0)),0,VLOOKUP($T$965,'TAR FIN'!$A$1:$O$93,15,0))</f>
        <v>240.16</v>
      </c>
      <c r="X965" s="6">
        <f>IF(ISERROR(VLOOKUP($U$965,'TAR FIN'!$A$1:$O$93,15,0)),0,VLOOKUP($U$965,'TAR FIN'!$A$1:$O$93,15,0))</f>
        <v>162.96</v>
      </c>
      <c r="Y965" s="6"/>
      <c r="Z965" s="6">
        <f ca="1">('TUSD BE'!$AM$37+'TUSD BF'!$AM$37+'TUSD CVA'!$AM$37)*(1-CUSTOS!$M$38)</f>
        <v>274.6365589659128</v>
      </c>
      <c r="AA965" s="6">
        <f>('TE BE'!$AB$26+'TE BF'!$AB$26+'TE CVA'!$AB$26)*(1-CUSTOS!$M$38)</f>
        <v>186.29103092878736</v>
      </c>
      <c r="AB965" s="6">
        <f>$K$965*$V$965</f>
        <v>0</v>
      </c>
      <c r="AC965" s="6">
        <f>$M$965*$W$965</f>
        <v>116280.6688</v>
      </c>
      <c r="AD965" s="6">
        <f>$O$965*$X$965</f>
        <v>78901.972800000003</v>
      </c>
      <c r="AE965" s="6">
        <f>$K$965*$Y$965</f>
        <v>0</v>
      </c>
      <c r="AF965" s="6">
        <f ca="1">$M$965*$Z$965</f>
        <v>132973.52912011565</v>
      </c>
      <c r="AG965" s="6">
        <f>$O$965*$AA$965</f>
        <v>90198.391355100262</v>
      </c>
    </row>
    <row r="966" spans="1:33" ht="11.25" customHeight="1" x14ac:dyDescent="0.25">
      <c r="A966" s="4" t="s">
        <v>28</v>
      </c>
      <c r="B966" s="4" t="s">
        <v>41</v>
      </c>
      <c r="C966" s="4" t="s">
        <v>23</v>
      </c>
      <c r="D966" s="4" t="s">
        <v>42</v>
      </c>
      <c r="E966" s="4" t="s">
        <v>25</v>
      </c>
      <c r="F966" s="4" t="s">
        <v>25</v>
      </c>
      <c r="G966" s="4" t="s">
        <v>25</v>
      </c>
      <c r="H966" s="4" t="s">
        <v>25</v>
      </c>
      <c r="I966" s="5">
        <v>44682</v>
      </c>
      <c r="J966" s="6">
        <v>0</v>
      </c>
      <c r="K966" s="6">
        <v>0</v>
      </c>
      <c r="L966" s="6">
        <v>-1.546</v>
      </c>
      <c r="M966" s="6">
        <v>-1.546</v>
      </c>
      <c r="N966" s="6">
        <v>-1.546</v>
      </c>
      <c r="O966" s="6">
        <v>-1.546</v>
      </c>
      <c r="P966" s="6">
        <v>-3</v>
      </c>
      <c r="Q966" s="4" t="s">
        <v>26</v>
      </c>
      <c r="R966" s="4">
        <v>0</v>
      </c>
      <c r="S966" s="6">
        <v>0</v>
      </c>
      <c r="T966" s="6">
        <v>40</v>
      </c>
      <c r="U966" s="6">
        <v>78</v>
      </c>
      <c r="V966" s="6">
        <f>IF(ISERROR(VLOOKUP($S$966,'TAR FIN'!$A$1:$O$93,15,0)),0,VLOOKUP($S$966,'TAR FIN'!$A$1:$O$93,15,0))</f>
        <v>0</v>
      </c>
      <c r="W966" s="6">
        <f>IF(ISERROR(VLOOKUP($T$966,'TAR FIN'!$A$1:$O$93,15,0)),0,VLOOKUP($T$966,'TAR FIN'!$A$1:$O$93,15,0))</f>
        <v>240.16</v>
      </c>
      <c r="X966" s="6">
        <f>IF(ISERROR(VLOOKUP($U$966,'TAR FIN'!$A$1:$O$93,15,0)),0,VLOOKUP($U$966,'TAR FIN'!$A$1:$O$93,15,0))</f>
        <v>162.96</v>
      </c>
      <c r="Y966" s="6"/>
      <c r="Z966" s="6">
        <f ca="1">('TUSD BE'!$AM$37+'TUSD BF'!$AM$37+'TUSD CVA'!$AM$37)*(1-CUSTOS!$M$38)</f>
        <v>274.6365589659128</v>
      </c>
      <c r="AA966" s="6">
        <f>('TE BE'!$AB$26+'TE BF'!$AB$26+'TE CVA'!$AB$26)*(1-CUSTOS!$M$38)</f>
        <v>186.29103092878736</v>
      </c>
      <c r="AB966" s="6">
        <f>$K$966*$V$966</f>
        <v>0</v>
      </c>
      <c r="AC966" s="6">
        <f>$M$966*$W$966</f>
        <v>-371.28735999999998</v>
      </c>
      <c r="AD966" s="6">
        <f>$O$966*$X$966</f>
        <v>-251.93616000000003</v>
      </c>
      <c r="AE966" s="6">
        <f>$K$966*$Y$966</f>
        <v>0</v>
      </c>
      <c r="AF966" s="6">
        <f ca="1">$M$966*$Z$966</f>
        <v>-424.58812016130122</v>
      </c>
      <c r="AG966" s="6">
        <f>$O$966*$AA$966</f>
        <v>-288.00593381590528</v>
      </c>
    </row>
    <row r="967" spans="1:33" ht="11.25" customHeight="1" x14ac:dyDescent="0.25">
      <c r="A967" s="4" t="s">
        <v>21</v>
      </c>
      <c r="B967" s="4" t="s">
        <v>41</v>
      </c>
      <c r="C967" s="4" t="s">
        <v>23</v>
      </c>
      <c r="D967" s="4" t="s">
        <v>42</v>
      </c>
      <c r="E967" s="4" t="s">
        <v>25</v>
      </c>
      <c r="F967" s="4" t="s">
        <v>25</v>
      </c>
      <c r="G967" s="4" t="s">
        <v>25</v>
      </c>
      <c r="H967" s="4" t="s">
        <v>25</v>
      </c>
      <c r="I967" s="5">
        <v>44713</v>
      </c>
      <c r="J967" s="6">
        <v>0</v>
      </c>
      <c r="K967" s="6">
        <v>0</v>
      </c>
      <c r="L967" s="6">
        <v>13373.441999999999</v>
      </c>
      <c r="M967" s="6">
        <v>13373.441999999999</v>
      </c>
      <c r="N967" s="6">
        <v>13373.441999999999</v>
      </c>
      <c r="O967" s="6">
        <v>13373.441999999999</v>
      </c>
      <c r="P967" s="6">
        <v>38093</v>
      </c>
      <c r="Q967" s="4" t="s">
        <v>26</v>
      </c>
      <c r="R967" s="4">
        <v>0</v>
      </c>
      <c r="S967" s="6">
        <v>0</v>
      </c>
      <c r="T967" s="6">
        <v>40</v>
      </c>
      <c r="U967" s="6">
        <v>78</v>
      </c>
      <c r="V967" s="6">
        <f>IF(ISERROR(VLOOKUP($S$967,'TAR FIN'!$A$1:$O$93,15,0)),0,VLOOKUP($S$967,'TAR FIN'!$A$1:$O$93,15,0))</f>
        <v>0</v>
      </c>
      <c r="W967" s="6">
        <f>IF(ISERROR(VLOOKUP($T$967,'TAR FIN'!$A$1:$O$93,15,0)),0,VLOOKUP($T$967,'TAR FIN'!$A$1:$O$93,15,0))</f>
        <v>240.16</v>
      </c>
      <c r="X967" s="6">
        <f>IF(ISERROR(VLOOKUP($U$967,'TAR FIN'!$A$1:$O$93,15,0)),0,VLOOKUP($U$967,'TAR FIN'!$A$1:$O$93,15,0))</f>
        <v>162.96</v>
      </c>
      <c r="Y967" s="6"/>
      <c r="Z967" s="6">
        <f ca="1">('TUSD BE'!$AM$37+'TUSD BF'!$AM$37+'TUSD CVA'!$AM$37)*(1-CUSTOS!$M$38)</f>
        <v>274.6365589659128</v>
      </c>
      <c r="AA967" s="6">
        <f>('TE BE'!$AB$26+'TE BF'!$AB$26+'TE CVA'!$AB$26)*(1-CUSTOS!$M$38)</f>
        <v>186.29103092878736</v>
      </c>
      <c r="AB967" s="6">
        <f>$K$967*$V$967</f>
        <v>0</v>
      </c>
      <c r="AC967" s="6">
        <f>$M$967*$W$967</f>
        <v>3211765.83072</v>
      </c>
      <c r="AD967" s="6">
        <f>$O$967*$X$967</f>
        <v>2179336.1083200001</v>
      </c>
      <c r="AE967" s="6">
        <f>$K$967*$Y$967</f>
        <v>0</v>
      </c>
      <c r="AF967" s="6">
        <f ca="1">$M$967*$Z$967</f>
        <v>3672836.0924102147</v>
      </c>
      <c r="AG967" s="6">
        <f>$O$967*$AA$967</f>
        <v>2491352.2972463439</v>
      </c>
    </row>
    <row r="968" spans="1:33" ht="11.25" customHeight="1" x14ac:dyDescent="0.25">
      <c r="A968" s="4" t="s">
        <v>27</v>
      </c>
      <c r="B968" s="4" t="s">
        <v>41</v>
      </c>
      <c r="C968" s="4" t="s">
        <v>23</v>
      </c>
      <c r="D968" s="4" t="s">
        <v>42</v>
      </c>
      <c r="E968" s="4" t="s">
        <v>25</v>
      </c>
      <c r="F968" s="4" t="s">
        <v>25</v>
      </c>
      <c r="G968" s="4" t="s">
        <v>25</v>
      </c>
      <c r="H968" s="4" t="s">
        <v>25</v>
      </c>
      <c r="I968" s="5">
        <v>44713</v>
      </c>
      <c r="J968" s="6">
        <v>0</v>
      </c>
      <c r="K968" s="6">
        <v>0</v>
      </c>
      <c r="L968" s="6">
        <v>-42.703000000000003</v>
      </c>
      <c r="M968" s="6">
        <v>-42.703000000000003</v>
      </c>
      <c r="N968" s="6">
        <v>-42.703000000000003</v>
      </c>
      <c r="O968" s="6">
        <v>-42.703000000000003</v>
      </c>
      <c r="P968" s="6">
        <v>-56</v>
      </c>
      <c r="Q968" s="4" t="s">
        <v>26</v>
      </c>
      <c r="R968" s="4">
        <v>0</v>
      </c>
      <c r="S968" s="6">
        <v>0</v>
      </c>
      <c r="T968" s="6">
        <v>40</v>
      </c>
      <c r="U968" s="6">
        <v>78</v>
      </c>
      <c r="V968" s="6">
        <f>IF(ISERROR(VLOOKUP($S$968,'TAR FIN'!$A$1:$O$93,15,0)),0,VLOOKUP($S$968,'TAR FIN'!$A$1:$O$93,15,0))</f>
        <v>0</v>
      </c>
      <c r="W968" s="6">
        <f>IF(ISERROR(VLOOKUP($T$968,'TAR FIN'!$A$1:$O$93,15,0)),0,VLOOKUP($T$968,'TAR FIN'!$A$1:$O$93,15,0))</f>
        <v>240.16</v>
      </c>
      <c r="X968" s="6">
        <f>IF(ISERROR(VLOOKUP($U$968,'TAR FIN'!$A$1:$O$93,15,0)),0,VLOOKUP($U$968,'TAR FIN'!$A$1:$O$93,15,0))</f>
        <v>162.96</v>
      </c>
      <c r="Y968" s="6"/>
      <c r="Z968" s="6">
        <f ca="1">('TUSD BE'!$AM$37+'TUSD BF'!$AM$37+'TUSD CVA'!$AM$37)*(1-CUSTOS!$M$38)</f>
        <v>274.6365589659128</v>
      </c>
      <c r="AA968" s="6">
        <f>('TE BE'!$AB$26+'TE BF'!$AB$26+'TE CVA'!$AB$26)*(1-CUSTOS!$M$38)</f>
        <v>186.29103092878736</v>
      </c>
      <c r="AB968" s="6">
        <f>$K$968*$V$968</f>
        <v>0</v>
      </c>
      <c r="AC968" s="6">
        <f>$M$968*$W$968</f>
        <v>-10255.55248</v>
      </c>
      <c r="AD968" s="6">
        <f>$O$968*$X$968</f>
        <v>-6958.8808800000006</v>
      </c>
      <c r="AE968" s="6">
        <f>$K$968*$Y$968</f>
        <v>0</v>
      </c>
      <c r="AF968" s="6">
        <f ca="1">$M$968*$Z$968</f>
        <v>-11727.804977521375</v>
      </c>
      <c r="AG968" s="6">
        <f>$O$968*$AA$968</f>
        <v>-7955.1858937520074</v>
      </c>
    </row>
    <row r="969" spans="1:33" ht="11.25" customHeight="1" x14ac:dyDescent="0.25">
      <c r="A969" s="4" t="s">
        <v>28</v>
      </c>
      <c r="B969" s="4" t="s">
        <v>41</v>
      </c>
      <c r="C969" s="4" t="s">
        <v>23</v>
      </c>
      <c r="D969" s="4" t="s">
        <v>42</v>
      </c>
      <c r="E969" s="4" t="s">
        <v>25</v>
      </c>
      <c r="F969" s="4" t="s">
        <v>25</v>
      </c>
      <c r="G969" s="4" t="s">
        <v>25</v>
      </c>
      <c r="H969" s="4" t="s">
        <v>25</v>
      </c>
      <c r="I969" s="5">
        <v>44713</v>
      </c>
      <c r="J969" s="6">
        <v>0</v>
      </c>
      <c r="K969" s="6">
        <v>0</v>
      </c>
      <c r="L969" s="6">
        <v>691.78</v>
      </c>
      <c r="M969" s="6">
        <v>691.78</v>
      </c>
      <c r="N969" s="6">
        <v>691.78</v>
      </c>
      <c r="O969" s="6">
        <v>691.78</v>
      </c>
      <c r="P969" s="6">
        <v>1257</v>
      </c>
      <c r="Q969" s="4" t="s">
        <v>26</v>
      </c>
      <c r="R969" s="4">
        <v>0</v>
      </c>
      <c r="S969" s="6">
        <v>0</v>
      </c>
      <c r="T969" s="6">
        <v>40</v>
      </c>
      <c r="U969" s="6">
        <v>78</v>
      </c>
      <c r="V969" s="6">
        <f>IF(ISERROR(VLOOKUP($S$969,'TAR FIN'!$A$1:$O$93,15,0)),0,VLOOKUP($S$969,'TAR FIN'!$A$1:$O$93,15,0))</f>
        <v>0</v>
      </c>
      <c r="W969" s="6">
        <f>IF(ISERROR(VLOOKUP($T$969,'TAR FIN'!$A$1:$O$93,15,0)),0,VLOOKUP($T$969,'TAR FIN'!$A$1:$O$93,15,0))</f>
        <v>240.16</v>
      </c>
      <c r="X969" s="6">
        <f>IF(ISERROR(VLOOKUP($U$969,'TAR FIN'!$A$1:$O$93,15,0)),0,VLOOKUP($U$969,'TAR FIN'!$A$1:$O$93,15,0))</f>
        <v>162.96</v>
      </c>
      <c r="Y969" s="6"/>
      <c r="Z969" s="6">
        <f ca="1">('TUSD BE'!$AM$37+'TUSD BF'!$AM$37+'TUSD CVA'!$AM$37)*(1-CUSTOS!$M$38)</f>
        <v>274.6365589659128</v>
      </c>
      <c r="AA969" s="6">
        <f>('TE BE'!$AB$26+'TE BF'!$AB$26+'TE CVA'!$AB$26)*(1-CUSTOS!$M$38)</f>
        <v>186.29103092878736</v>
      </c>
      <c r="AB969" s="6">
        <f>$K$969*$V$969</f>
        <v>0</v>
      </c>
      <c r="AC969" s="6">
        <f>$M$969*$W$969</f>
        <v>166137.8848</v>
      </c>
      <c r="AD969" s="6">
        <f>$O$969*$X$969</f>
        <v>112732.4688</v>
      </c>
      <c r="AE969" s="6">
        <f>$K$969*$Y$969</f>
        <v>0</v>
      </c>
      <c r="AF969" s="6">
        <f ca="1">$M$969*$Z$969</f>
        <v>189988.07876143916</v>
      </c>
      <c r="AG969" s="6">
        <f>$O$969*$AA$969</f>
        <v>128872.40937591651</v>
      </c>
    </row>
    <row r="970" spans="1:33" ht="11.25" customHeight="1" x14ac:dyDescent="0.25">
      <c r="A970" s="4" t="s">
        <v>28</v>
      </c>
      <c r="B970" s="4" t="s">
        <v>41</v>
      </c>
      <c r="C970" s="4" t="s">
        <v>23</v>
      </c>
      <c r="D970" s="4" t="s">
        <v>42</v>
      </c>
      <c r="E970" s="4" t="s">
        <v>25</v>
      </c>
      <c r="F970" s="4" t="s">
        <v>25</v>
      </c>
      <c r="G970" s="4" t="s">
        <v>25</v>
      </c>
      <c r="H970" s="4" t="s">
        <v>25</v>
      </c>
      <c r="I970" s="5">
        <v>44713</v>
      </c>
      <c r="J970" s="6">
        <v>0</v>
      </c>
      <c r="K970" s="6">
        <v>0</v>
      </c>
      <c r="L970" s="6">
        <v>-43.121000000000002</v>
      </c>
      <c r="M970" s="6">
        <v>-43.121000000000002</v>
      </c>
      <c r="N970" s="6">
        <v>-43.121000000000002</v>
      </c>
      <c r="O970" s="6">
        <v>-43.121000000000002</v>
      </c>
      <c r="P970" s="6">
        <v>-3</v>
      </c>
      <c r="Q970" s="4" t="s">
        <v>26</v>
      </c>
      <c r="R970" s="4">
        <v>0</v>
      </c>
      <c r="S970" s="6">
        <v>0</v>
      </c>
      <c r="T970" s="6">
        <v>40</v>
      </c>
      <c r="U970" s="6">
        <v>78</v>
      </c>
      <c r="V970" s="6">
        <f>IF(ISERROR(VLOOKUP($S$970,'TAR FIN'!$A$1:$O$93,15,0)),0,VLOOKUP($S$970,'TAR FIN'!$A$1:$O$93,15,0))</f>
        <v>0</v>
      </c>
      <c r="W970" s="6">
        <f>IF(ISERROR(VLOOKUP($T$970,'TAR FIN'!$A$1:$O$93,15,0)),0,VLOOKUP($T$970,'TAR FIN'!$A$1:$O$93,15,0))</f>
        <v>240.16</v>
      </c>
      <c r="X970" s="6">
        <f>IF(ISERROR(VLOOKUP($U$970,'TAR FIN'!$A$1:$O$93,15,0)),0,VLOOKUP($U$970,'TAR FIN'!$A$1:$O$93,15,0))</f>
        <v>162.96</v>
      </c>
      <c r="Y970" s="6"/>
      <c r="Z970" s="6">
        <f ca="1">('TUSD BE'!$AM$37+'TUSD BF'!$AM$37+'TUSD CVA'!$AM$37)*(1-CUSTOS!$M$38)</f>
        <v>274.6365589659128</v>
      </c>
      <c r="AA970" s="6">
        <f>('TE BE'!$AB$26+'TE BF'!$AB$26+'TE CVA'!$AB$26)*(1-CUSTOS!$M$38)</f>
        <v>186.29103092878736</v>
      </c>
      <c r="AB970" s="6">
        <f>$K$970*$V$970</f>
        <v>0</v>
      </c>
      <c r="AC970" s="6">
        <f>$M$970*$W$970</f>
        <v>-10355.93936</v>
      </c>
      <c r="AD970" s="6">
        <f>$O$970*$X$970</f>
        <v>-7026.998160000001</v>
      </c>
      <c r="AE970" s="6">
        <f>$K$970*$Y$970</f>
        <v>0</v>
      </c>
      <c r="AF970" s="6">
        <f ca="1">$M$970*$Z$970</f>
        <v>-11842.603059169127</v>
      </c>
      <c r="AG970" s="6">
        <f>$O$970*$AA$970</f>
        <v>-8033.05554468024</v>
      </c>
    </row>
    <row r="971" spans="1:33" ht="11.25" customHeight="1" x14ac:dyDescent="0.25">
      <c r="A971" s="4" t="s">
        <v>21</v>
      </c>
      <c r="B971" s="4" t="s">
        <v>33</v>
      </c>
      <c r="C971" s="4" t="s">
        <v>23</v>
      </c>
      <c r="D971" s="4" t="s">
        <v>40</v>
      </c>
      <c r="E971" s="4" t="s">
        <v>25</v>
      </c>
      <c r="F971" s="4" t="s">
        <v>25</v>
      </c>
      <c r="G971" s="4" t="s">
        <v>25</v>
      </c>
      <c r="H971" s="4" t="s">
        <v>25</v>
      </c>
      <c r="I971" s="5">
        <v>44378</v>
      </c>
      <c r="J971" s="6">
        <v>0</v>
      </c>
      <c r="K971" s="6">
        <v>0</v>
      </c>
      <c r="L971" s="6">
        <v>977.89</v>
      </c>
      <c r="M971" s="6">
        <v>977.89</v>
      </c>
      <c r="N971" s="6">
        <v>977.89</v>
      </c>
      <c r="O971" s="6">
        <v>977.89</v>
      </c>
      <c r="P971" s="6">
        <v>2189</v>
      </c>
      <c r="Q971" s="4" t="s">
        <v>26</v>
      </c>
      <c r="R971" s="4">
        <v>0</v>
      </c>
      <c r="S971" s="6">
        <v>0</v>
      </c>
      <c r="T971" s="6">
        <v>17</v>
      </c>
      <c r="U971" s="6">
        <v>89</v>
      </c>
      <c r="V971" s="6">
        <f>IF(ISERROR(VLOOKUP($S$971,'TAR FIN'!$A$1:$O$93,15,0)),0,VLOOKUP($S$971,'TAR FIN'!$A$1:$O$93,15,0))</f>
        <v>0</v>
      </c>
      <c r="W971" s="6">
        <f>IF(ISERROR(VLOOKUP($T$971,'TAR FIN'!$A$1:$O$93,15,0)),0,VLOOKUP($T$971,'TAR FIN'!$A$1:$O$93,15,0))</f>
        <v>272.91000000000003</v>
      </c>
      <c r="X971" s="6">
        <f>IF(ISERROR(VLOOKUP($U$971,'TAR FIN'!$A$1:$O$93,15,0)),0,VLOOKUP($U$971,'TAR FIN'!$A$1:$O$93,15,0))</f>
        <v>185.18</v>
      </c>
      <c r="Y971" s="6"/>
      <c r="Z971" s="6">
        <f ca="1">('TUSD BE'!$AM$52+'TUSD BF'!$AM$52+'TUSD CVA'!$AM$52)*1</f>
        <v>292.16655209139662</v>
      </c>
      <c r="AA971" s="6">
        <f>('TE BE'!$AB$41+'TE BF'!$AB$41+'TE CVA'!$AB$41)*1</f>
        <v>198.18194779658231</v>
      </c>
      <c r="AB971" s="6">
        <f>$K$971*$V$971</f>
        <v>0</v>
      </c>
      <c r="AC971" s="6">
        <f>$M$971*$W$971</f>
        <v>266875.95990000002</v>
      </c>
      <c r="AD971" s="6">
        <f>$O$971*$X$971</f>
        <v>181085.67019999999</v>
      </c>
      <c r="AE971" s="6">
        <f>$K$971*$Y$971</f>
        <v>0</v>
      </c>
      <c r="AF971" s="6">
        <f ca="1">$M$971*$Z$971</f>
        <v>285706.74962465581</v>
      </c>
      <c r="AG971" s="6">
        <f>$O$971*$AA$971</f>
        <v>193800.14493079987</v>
      </c>
    </row>
    <row r="972" spans="1:33" ht="11.25" customHeight="1" x14ac:dyDescent="0.25">
      <c r="A972" s="4" t="s">
        <v>27</v>
      </c>
      <c r="B972" s="4" t="s">
        <v>33</v>
      </c>
      <c r="C972" s="4" t="s">
        <v>23</v>
      </c>
      <c r="D972" s="4" t="s">
        <v>40</v>
      </c>
      <c r="E972" s="4" t="s">
        <v>25</v>
      </c>
      <c r="F972" s="4" t="s">
        <v>25</v>
      </c>
      <c r="G972" s="4" t="s">
        <v>25</v>
      </c>
      <c r="H972" s="4" t="s">
        <v>25</v>
      </c>
      <c r="I972" s="5">
        <v>44378</v>
      </c>
      <c r="J972" s="6">
        <v>0</v>
      </c>
      <c r="K972" s="6">
        <v>0</v>
      </c>
      <c r="L972" s="6">
        <v>-2.94</v>
      </c>
      <c r="M972" s="6">
        <v>-2.94</v>
      </c>
      <c r="N972" s="6">
        <v>-2.94</v>
      </c>
      <c r="O972" s="6">
        <v>-2.94</v>
      </c>
      <c r="P972" s="6">
        <v>-1</v>
      </c>
      <c r="Q972" s="4" t="s">
        <v>26</v>
      </c>
      <c r="R972" s="4">
        <v>0</v>
      </c>
      <c r="S972" s="6">
        <v>0</v>
      </c>
      <c r="T972" s="6">
        <v>17</v>
      </c>
      <c r="U972" s="6">
        <v>89</v>
      </c>
      <c r="V972" s="6">
        <f>IF(ISERROR(VLOOKUP($S$972,'TAR FIN'!$A$1:$O$93,15,0)),0,VLOOKUP($S$972,'TAR FIN'!$A$1:$O$93,15,0))</f>
        <v>0</v>
      </c>
      <c r="W972" s="6">
        <f>IF(ISERROR(VLOOKUP($T$972,'TAR FIN'!$A$1:$O$93,15,0)),0,VLOOKUP($T$972,'TAR FIN'!$A$1:$O$93,15,0))</f>
        <v>272.91000000000003</v>
      </c>
      <c r="X972" s="6">
        <f>IF(ISERROR(VLOOKUP($U$972,'TAR FIN'!$A$1:$O$93,15,0)),0,VLOOKUP($U$972,'TAR FIN'!$A$1:$O$93,15,0))</f>
        <v>185.18</v>
      </c>
      <c r="Y972" s="6"/>
      <c r="Z972" s="6">
        <f ca="1">('TUSD BE'!$AM$52+'TUSD BF'!$AM$52+'TUSD CVA'!$AM$52)*1</f>
        <v>292.16655209139662</v>
      </c>
      <c r="AA972" s="6">
        <f>('TE BE'!$AB$41+'TE BF'!$AB$41+'TE CVA'!$AB$41)*1</f>
        <v>198.18194779658231</v>
      </c>
      <c r="AB972" s="6">
        <f>$K$972*$V$972</f>
        <v>0</v>
      </c>
      <c r="AC972" s="6">
        <f>$M$972*$W$972</f>
        <v>-802.35540000000003</v>
      </c>
      <c r="AD972" s="6">
        <f>$O$972*$X$972</f>
        <v>-544.42920000000004</v>
      </c>
      <c r="AE972" s="6">
        <f>$K$972*$Y$972</f>
        <v>0</v>
      </c>
      <c r="AF972" s="6">
        <f ca="1">$M$972*$Z$972</f>
        <v>-858.9696631487061</v>
      </c>
      <c r="AG972" s="6">
        <f>$O$972*$AA$972</f>
        <v>-582.65492652195201</v>
      </c>
    </row>
    <row r="973" spans="1:33" ht="11.25" customHeight="1" x14ac:dyDescent="0.25">
      <c r="A973" s="4" t="s">
        <v>28</v>
      </c>
      <c r="B973" s="4" t="s">
        <v>33</v>
      </c>
      <c r="C973" s="4" t="s">
        <v>23</v>
      </c>
      <c r="D973" s="4" t="s">
        <v>40</v>
      </c>
      <c r="E973" s="4" t="s">
        <v>25</v>
      </c>
      <c r="F973" s="4" t="s">
        <v>25</v>
      </c>
      <c r="G973" s="4" t="s">
        <v>25</v>
      </c>
      <c r="H973" s="4" t="s">
        <v>25</v>
      </c>
      <c r="I973" s="5">
        <v>44378</v>
      </c>
      <c r="J973" s="6">
        <v>0</v>
      </c>
      <c r="K973" s="6">
        <v>0</v>
      </c>
      <c r="L973" s="6">
        <v>58.000999999999998</v>
      </c>
      <c r="M973" s="6">
        <v>58.000999999999998</v>
      </c>
      <c r="N973" s="6">
        <v>58.000999999999998</v>
      </c>
      <c r="O973" s="6">
        <v>58.000999999999998</v>
      </c>
      <c r="P973" s="6">
        <v>120</v>
      </c>
      <c r="Q973" s="4" t="s">
        <v>26</v>
      </c>
      <c r="R973" s="4">
        <v>0</v>
      </c>
      <c r="S973" s="6">
        <v>0</v>
      </c>
      <c r="T973" s="6">
        <v>17</v>
      </c>
      <c r="U973" s="6">
        <v>89</v>
      </c>
      <c r="V973" s="6">
        <f>IF(ISERROR(VLOOKUP($S$973,'TAR FIN'!$A$1:$O$93,15,0)),0,VLOOKUP($S$973,'TAR FIN'!$A$1:$O$93,15,0))</f>
        <v>0</v>
      </c>
      <c r="W973" s="6">
        <f>IF(ISERROR(VLOOKUP($T$973,'TAR FIN'!$A$1:$O$93,15,0)),0,VLOOKUP($T$973,'TAR FIN'!$A$1:$O$93,15,0))</f>
        <v>272.91000000000003</v>
      </c>
      <c r="X973" s="6">
        <f>IF(ISERROR(VLOOKUP($U$973,'TAR FIN'!$A$1:$O$93,15,0)),0,VLOOKUP($U$973,'TAR FIN'!$A$1:$O$93,15,0))</f>
        <v>185.18</v>
      </c>
      <c r="Y973" s="6"/>
      <c r="Z973" s="6">
        <f ca="1">('TUSD BE'!$AM$52+'TUSD BF'!$AM$52+'TUSD CVA'!$AM$52)*1</f>
        <v>292.16655209139662</v>
      </c>
      <c r="AA973" s="6">
        <f>('TE BE'!$AB$41+'TE BF'!$AB$41+'TE CVA'!$AB$41)*1</f>
        <v>198.18194779658231</v>
      </c>
      <c r="AB973" s="6">
        <f>$K$973*$V$973</f>
        <v>0</v>
      </c>
      <c r="AC973" s="6">
        <f>$M$973*$W$973</f>
        <v>15829.05291</v>
      </c>
      <c r="AD973" s="6">
        <f>$O$973*$X$973</f>
        <v>10740.625179999999</v>
      </c>
      <c r="AE973" s="6">
        <f>$K$973*$Y$973</f>
        <v>0</v>
      </c>
      <c r="AF973" s="6">
        <f ca="1">$M$973*$Z$973</f>
        <v>16945.952187853094</v>
      </c>
      <c r="AG973" s="6">
        <f>$O$973*$AA$973</f>
        <v>11494.75115414957</v>
      </c>
    </row>
    <row r="974" spans="1:33" ht="11.25" customHeight="1" x14ac:dyDescent="0.25">
      <c r="A974" s="4" t="s">
        <v>21</v>
      </c>
      <c r="B974" s="4" t="s">
        <v>33</v>
      </c>
      <c r="C974" s="4" t="s">
        <v>23</v>
      </c>
      <c r="D974" s="4" t="s">
        <v>40</v>
      </c>
      <c r="E974" s="4" t="s">
        <v>25</v>
      </c>
      <c r="F974" s="4" t="s">
        <v>25</v>
      </c>
      <c r="G974" s="4" t="s">
        <v>25</v>
      </c>
      <c r="H974" s="4" t="s">
        <v>25</v>
      </c>
      <c r="I974" s="5">
        <v>44409</v>
      </c>
      <c r="J974" s="6">
        <v>0</v>
      </c>
      <c r="K974" s="6">
        <v>0</v>
      </c>
      <c r="L974" s="6">
        <v>1032.7139999999999</v>
      </c>
      <c r="M974" s="6">
        <v>1032.7139999999999</v>
      </c>
      <c r="N974" s="6">
        <v>1032.7139999999999</v>
      </c>
      <c r="O974" s="6">
        <v>1032.7139999999999</v>
      </c>
      <c r="P974" s="6">
        <v>2179</v>
      </c>
      <c r="Q974" s="4" t="s">
        <v>26</v>
      </c>
      <c r="R974" s="4">
        <v>0</v>
      </c>
      <c r="S974" s="6">
        <v>0</v>
      </c>
      <c r="T974" s="6">
        <v>17</v>
      </c>
      <c r="U974" s="6">
        <v>89</v>
      </c>
      <c r="V974" s="6">
        <f>IF(ISERROR(VLOOKUP($S$974,'TAR FIN'!$A$1:$O$93,15,0)),0,VLOOKUP($S$974,'TAR FIN'!$A$1:$O$93,15,0))</f>
        <v>0</v>
      </c>
      <c r="W974" s="6">
        <f>IF(ISERROR(VLOOKUP($T$974,'TAR FIN'!$A$1:$O$93,15,0)),0,VLOOKUP($T$974,'TAR FIN'!$A$1:$O$93,15,0))</f>
        <v>272.91000000000003</v>
      </c>
      <c r="X974" s="6">
        <f>IF(ISERROR(VLOOKUP($U$974,'TAR FIN'!$A$1:$O$93,15,0)),0,VLOOKUP($U$974,'TAR FIN'!$A$1:$O$93,15,0))</f>
        <v>185.18</v>
      </c>
      <c r="Y974" s="6"/>
      <c r="Z974" s="6">
        <f ca="1">('TUSD BE'!$AM$52+'TUSD BF'!$AM$52+'TUSD CVA'!$AM$52)*1</f>
        <v>292.16655209139662</v>
      </c>
      <c r="AA974" s="6">
        <f>('TE BE'!$AB$41+'TE BF'!$AB$41+'TE CVA'!$AB$41)*1</f>
        <v>198.18194779658231</v>
      </c>
      <c r="AB974" s="6">
        <f>$K$974*$V$974</f>
        <v>0</v>
      </c>
      <c r="AC974" s="6">
        <f>$M$974*$W$974</f>
        <v>281837.97774</v>
      </c>
      <c r="AD974" s="6">
        <f>$O$974*$X$974</f>
        <v>191237.97852</v>
      </c>
      <c r="AE974" s="6">
        <f>$K$974*$Y$974</f>
        <v>0</v>
      </c>
      <c r="AF974" s="6">
        <f ca="1">$M$974*$Z$974</f>
        <v>301724.48867651453</v>
      </c>
      <c r="AG974" s="6">
        <f>$O$974*$AA$974</f>
        <v>204665.2720367997</v>
      </c>
    </row>
    <row r="975" spans="1:33" ht="11.25" customHeight="1" x14ac:dyDescent="0.25">
      <c r="A975" s="4" t="s">
        <v>27</v>
      </c>
      <c r="B975" s="4" t="s">
        <v>33</v>
      </c>
      <c r="C975" s="4" t="s">
        <v>23</v>
      </c>
      <c r="D975" s="4" t="s">
        <v>40</v>
      </c>
      <c r="E975" s="4" t="s">
        <v>25</v>
      </c>
      <c r="F975" s="4" t="s">
        <v>25</v>
      </c>
      <c r="G975" s="4" t="s">
        <v>25</v>
      </c>
      <c r="H975" s="4" t="s">
        <v>25</v>
      </c>
      <c r="I975" s="5">
        <v>44409</v>
      </c>
      <c r="J975" s="6">
        <v>0</v>
      </c>
      <c r="K975" s="6">
        <v>0</v>
      </c>
      <c r="L975" s="6">
        <v>-0.2</v>
      </c>
      <c r="M975" s="6">
        <v>-0.2</v>
      </c>
      <c r="N975" s="6">
        <v>-0.2</v>
      </c>
      <c r="O975" s="6">
        <v>-0.2</v>
      </c>
      <c r="P975" s="6">
        <v>-2</v>
      </c>
      <c r="Q975" s="4" t="s">
        <v>26</v>
      </c>
      <c r="R975" s="4">
        <v>0</v>
      </c>
      <c r="S975" s="6">
        <v>0</v>
      </c>
      <c r="T975" s="6">
        <v>17</v>
      </c>
      <c r="U975" s="6">
        <v>89</v>
      </c>
      <c r="V975" s="6">
        <f>IF(ISERROR(VLOOKUP($S$975,'TAR FIN'!$A$1:$O$93,15,0)),0,VLOOKUP($S$975,'TAR FIN'!$A$1:$O$93,15,0))</f>
        <v>0</v>
      </c>
      <c r="W975" s="6">
        <f>IF(ISERROR(VLOOKUP($T$975,'TAR FIN'!$A$1:$O$93,15,0)),0,VLOOKUP($T$975,'TAR FIN'!$A$1:$O$93,15,0))</f>
        <v>272.91000000000003</v>
      </c>
      <c r="X975" s="6">
        <f>IF(ISERROR(VLOOKUP($U$975,'TAR FIN'!$A$1:$O$93,15,0)),0,VLOOKUP($U$975,'TAR FIN'!$A$1:$O$93,15,0))</f>
        <v>185.18</v>
      </c>
      <c r="Y975" s="6"/>
      <c r="Z975" s="6">
        <f ca="1">('TUSD BE'!$AM$52+'TUSD BF'!$AM$52+'TUSD CVA'!$AM$52)*1</f>
        <v>292.16655209139662</v>
      </c>
      <c r="AA975" s="6">
        <f>('TE BE'!$AB$41+'TE BF'!$AB$41+'TE CVA'!$AB$41)*1</f>
        <v>198.18194779658231</v>
      </c>
      <c r="AB975" s="6">
        <f>$K$975*$V$975</f>
        <v>0</v>
      </c>
      <c r="AC975" s="6">
        <f>$M$975*$W$975</f>
        <v>-54.582000000000008</v>
      </c>
      <c r="AD975" s="6">
        <f>$O$975*$X$975</f>
        <v>-37.036000000000001</v>
      </c>
      <c r="AE975" s="6">
        <f>$K$975*$Y$975</f>
        <v>0</v>
      </c>
      <c r="AF975" s="6">
        <f ca="1">$M$975*$Z$975</f>
        <v>-58.433310418279326</v>
      </c>
      <c r="AG975" s="6">
        <f>$O$975*$AA$975</f>
        <v>-39.636389559316463</v>
      </c>
    </row>
    <row r="976" spans="1:33" ht="11.25" customHeight="1" x14ac:dyDescent="0.25">
      <c r="A976" s="4" t="s">
        <v>28</v>
      </c>
      <c r="B976" s="4" t="s">
        <v>33</v>
      </c>
      <c r="C976" s="4" t="s">
        <v>23</v>
      </c>
      <c r="D976" s="4" t="s">
        <v>40</v>
      </c>
      <c r="E976" s="4" t="s">
        <v>25</v>
      </c>
      <c r="F976" s="4" t="s">
        <v>25</v>
      </c>
      <c r="G976" s="4" t="s">
        <v>25</v>
      </c>
      <c r="H976" s="4" t="s">
        <v>25</v>
      </c>
      <c r="I976" s="5">
        <v>44409</v>
      </c>
      <c r="J976" s="6">
        <v>0</v>
      </c>
      <c r="K976" s="6">
        <v>0</v>
      </c>
      <c r="L976" s="6">
        <v>56.6</v>
      </c>
      <c r="M976" s="6">
        <v>56.6</v>
      </c>
      <c r="N976" s="6">
        <v>56.6</v>
      </c>
      <c r="O976" s="6">
        <v>56.6</v>
      </c>
      <c r="P976" s="6">
        <v>130</v>
      </c>
      <c r="Q976" s="4" t="s">
        <v>26</v>
      </c>
      <c r="R976" s="4">
        <v>0</v>
      </c>
      <c r="S976" s="6">
        <v>0</v>
      </c>
      <c r="T976" s="6">
        <v>17</v>
      </c>
      <c r="U976" s="6">
        <v>89</v>
      </c>
      <c r="V976" s="6">
        <f>IF(ISERROR(VLOOKUP($S$976,'TAR FIN'!$A$1:$O$93,15,0)),0,VLOOKUP($S$976,'TAR FIN'!$A$1:$O$93,15,0))</f>
        <v>0</v>
      </c>
      <c r="W976" s="6">
        <f>IF(ISERROR(VLOOKUP($T$976,'TAR FIN'!$A$1:$O$93,15,0)),0,VLOOKUP($T$976,'TAR FIN'!$A$1:$O$93,15,0))</f>
        <v>272.91000000000003</v>
      </c>
      <c r="X976" s="6">
        <f>IF(ISERROR(VLOOKUP($U$976,'TAR FIN'!$A$1:$O$93,15,0)),0,VLOOKUP($U$976,'TAR FIN'!$A$1:$O$93,15,0))</f>
        <v>185.18</v>
      </c>
      <c r="Y976" s="6"/>
      <c r="Z976" s="6">
        <f ca="1">('TUSD BE'!$AM$52+'TUSD BF'!$AM$52+'TUSD CVA'!$AM$52)*1</f>
        <v>292.16655209139662</v>
      </c>
      <c r="AA976" s="6">
        <f>('TE BE'!$AB$41+'TE BF'!$AB$41+'TE CVA'!$AB$41)*1</f>
        <v>198.18194779658231</v>
      </c>
      <c r="AB976" s="6">
        <f>$K$976*$V$976</f>
        <v>0</v>
      </c>
      <c r="AC976" s="6">
        <f>$M$976*$W$976</f>
        <v>15446.706000000002</v>
      </c>
      <c r="AD976" s="6">
        <f>$O$976*$X$976</f>
        <v>10481.188</v>
      </c>
      <c r="AE976" s="6">
        <f>$K$976*$Y$976</f>
        <v>0</v>
      </c>
      <c r="AF976" s="6">
        <f ca="1">$M$976*$Z$976</f>
        <v>16536.626848373049</v>
      </c>
      <c r="AG976" s="6">
        <f>$O$976*$AA$976</f>
        <v>11217.098245286559</v>
      </c>
    </row>
    <row r="977" spans="1:33" ht="11.25" customHeight="1" x14ac:dyDescent="0.25">
      <c r="A977" s="4" t="s">
        <v>21</v>
      </c>
      <c r="B977" s="4" t="s">
        <v>33</v>
      </c>
      <c r="C977" s="4" t="s">
        <v>23</v>
      </c>
      <c r="D977" s="4" t="s">
        <v>40</v>
      </c>
      <c r="E977" s="4" t="s">
        <v>25</v>
      </c>
      <c r="F977" s="4" t="s">
        <v>25</v>
      </c>
      <c r="G977" s="4" t="s">
        <v>25</v>
      </c>
      <c r="H977" s="4" t="s">
        <v>25</v>
      </c>
      <c r="I977" s="5">
        <v>44440</v>
      </c>
      <c r="J977" s="6">
        <v>0</v>
      </c>
      <c r="K977" s="6">
        <v>0</v>
      </c>
      <c r="L977" s="6">
        <v>1077.2850000000001</v>
      </c>
      <c r="M977" s="6">
        <v>1077.2850000000001</v>
      </c>
      <c r="N977" s="6">
        <v>1077.2850000000001</v>
      </c>
      <c r="O977" s="6">
        <v>1077.2850000000001</v>
      </c>
      <c r="P977" s="6">
        <v>2197</v>
      </c>
      <c r="Q977" s="4" t="s">
        <v>26</v>
      </c>
      <c r="R977" s="4">
        <v>0</v>
      </c>
      <c r="S977" s="6">
        <v>0</v>
      </c>
      <c r="T977" s="6">
        <v>17</v>
      </c>
      <c r="U977" s="6">
        <v>89</v>
      </c>
      <c r="V977" s="6">
        <f>IF(ISERROR(VLOOKUP($S$977,'TAR FIN'!$A$1:$O$93,15,0)),0,VLOOKUP($S$977,'TAR FIN'!$A$1:$O$93,15,0))</f>
        <v>0</v>
      </c>
      <c r="W977" s="6">
        <f>IF(ISERROR(VLOOKUP($T$977,'TAR FIN'!$A$1:$O$93,15,0)),0,VLOOKUP($T$977,'TAR FIN'!$A$1:$O$93,15,0))</f>
        <v>272.91000000000003</v>
      </c>
      <c r="X977" s="6">
        <f>IF(ISERROR(VLOOKUP($U$977,'TAR FIN'!$A$1:$O$93,15,0)),0,VLOOKUP($U$977,'TAR FIN'!$A$1:$O$93,15,0))</f>
        <v>185.18</v>
      </c>
      <c r="Y977" s="6"/>
      <c r="Z977" s="6">
        <f ca="1">('TUSD BE'!$AM$52+'TUSD BF'!$AM$52+'TUSD CVA'!$AM$52)*1</f>
        <v>292.16655209139662</v>
      </c>
      <c r="AA977" s="6">
        <f>('TE BE'!$AB$41+'TE BF'!$AB$41+'TE CVA'!$AB$41)*1</f>
        <v>198.18194779658231</v>
      </c>
      <c r="AB977" s="6">
        <f>$K$977*$V$977</f>
        <v>0</v>
      </c>
      <c r="AC977" s="6">
        <f>$M$977*$W$977</f>
        <v>294001.84935000003</v>
      </c>
      <c r="AD977" s="6">
        <f>$O$977*$X$977</f>
        <v>199491.63630000001</v>
      </c>
      <c r="AE977" s="6">
        <f>$K$977*$Y$977</f>
        <v>0</v>
      </c>
      <c r="AF977" s="6">
        <f ca="1">$M$977*$Z$977</f>
        <v>314746.64406978025</v>
      </c>
      <c r="AG977" s="6">
        <f>$O$977*$AA$977</f>
        <v>213498.43963204118</v>
      </c>
    </row>
    <row r="978" spans="1:33" ht="11.25" customHeight="1" x14ac:dyDescent="0.25">
      <c r="A978" s="4" t="s">
        <v>27</v>
      </c>
      <c r="B978" s="4" t="s">
        <v>33</v>
      </c>
      <c r="C978" s="4" t="s">
        <v>23</v>
      </c>
      <c r="D978" s="4" t="s">
        <v>40</v>
      </c>
      <c r="E978" s="4" t="s">
        <v>25</v>
      </c>
      <c r="F978" s="4" t="s">
        <v>25</v>
      </c>
      <c r="G978" s="4" t="s">
        <v>25</v>
      </c>
      <c r="H978" s="4" t="s">
        <v>25</v>
      </c>
      <c r="I978" s="5">
        <v>44440</v>
      </c>
      <c r="J978" s="6">
        <v>0</v>
      </c>
      <c r="K978" s="6">
        <v>0</v>
      </c>
      <c r="L978" s="6">
        <v>-1.911</v>
      </c>
      <c r="M978" s="6">
        <v>-1.911</v>
      </c>
      <c r="N978" s="6">
        <v>-1.911</v>
      </c>
      <c r="O978" s="6">
        <v>-1.911</v>
      </c>
      <c r="P978" s="6">
        <v>-5</v>
      </c>
      <c r="Q978" s="4" t="s">
        <v>26</v>
      </c>
      <c r="R978" s="4">
        <v>0</v>
      </c>
      <c r="S978" s="6">
        <v>0</v>
      </c>
      <c r="T978" s="6">
        <v>17</v>
      </c>
      <c r="U978" s="6">
        <v>89</v>
      </c>
      <c r="V978" s="6">
        <f>IF(ISERROR(VLOOKUP($S$978,'TAR FIN'!$A$1:$O$93,15,0)),0,VLOOKUP($S$978,'TAR FIN'!$A$1:$O$93,15,0))</f>
        <v>0</v>
      </c>
      <c r="W978" s="6">
        <f>IF(ISERROR(VLOOKUP($T$978,'TAR FIN'!$A$1:$O$93,15,0)),0,VLOOKUP($T$978,'TAR FIN'!$A$1:$O$93,15,0))</f>
        <v>272.91000000000003</v>
      </c>
      <c r="X978" s="6">
        <f>IF(ISERROR(VLOOKUP($U$978,'TAR FIN'!$A$1:$O$93,15,0)),0,VLOOKUP($U$978,'TAR FIN'!$A$1:$O$93,15,0))</f>
        <v>185.18</v>
      </c>
      <c r="Y978" s="6"/>
      <c r="Z978" s="6">
        <f ca="1">('TUSD BE'!$AM$52+'TUSD BF'!$AM$52+'TUSD CVA'!$AM$52)*1</f>
        <v>292.16655209139662</v>
      </c>
      <c r="AA978" s="6">
        <f>('TE BE'!$AB$41+'TE BF'!$AB$41+'TE CVA'!$AB$41)*1</f>
        <v>198.18194779658231</v>
      </c>
      <c r="AB978" s="6">
        <f>$K$978*$V$978</f>
        <v>0</v>
      </c>
      <c r="AC978" s="6">
        <f>$M$978*$W$978</f>
        <v>-521.53101000000004</v>
      </c>
      <c r="AD978" s="6">
        <f>$O$978*$X$978</f>
        <v>-353.87898000000001</v>
      </c>
      <c r="AE978" s="6">
        <f>$K$978*$Y$978</f>
        <v>0</v>
      </c>
      <c r="AF978" s="6">
        <f ca="1">$M$978*$Z$978</f>
        <v>-558.33028104665891</v>
      </c>
      <c r="AG978" s="6">
        <f>$O$978*$AA$978</f>
        <v>-378.7257022392688</v>
      </c>
    </row>
    <row r="979" spans="1:33" ht="11.25" customHeight="1" x14ac:dyDescent="0.25">
      <c r="A979" s="4" t="s">
        <v>28</v>
      </c>
      <c r="B979" s="4" t="s">
        <v>33</v>
      </c>
      <c r="C979" s="4" t="s">
        <v>23</v>
      </c>
      <c r="D979" s="4" t="s">
        <v>40</v>
      </c>
      <c r="E979" s="4" t="s">
        <v>25</v>
      </c>
      <c r="F979" s="4" t="s">
        <v>25</v>
      </c>
      <c r="G979" s="4" t="s">
        <v>25</v>
      </c>
      <c r="H979" s="4" t="s">
        <v>25</v>
      </c>
      <c r="I979" s="5">
        <v>44440</v>
      </c>
      <c r="J979" s="6">
        <v>0</v>
      </c>
      <c r="K979" s="6">
        <v>0</v>
      </c>
      <c r="L979" s="6">
        <v>53.055</v>
      </c>
      <c r="M979" s="6">
        <v>53.055</v>
      </c>
      <c r="N979" s="6">
        <v>53.055</v>
      </c>
      <c r="O979" s="6">
        <v>53.055</v>
      </c>
      <c r="P979" s="6">
        <v>132</v>
      </c>
      <c r="Q979" s="4" t="s">
        <v>26</v>
      </c>
      <c r="R979" s="4">
        <v>0</v>
      </c>
      <c r="S979" s="6">
        <v>0</v>
      </c>
      <c r="T979" s="6">
        <v>17</v>
      </c>
      <c r="U979" s="6">
        <v>89</v>
      </c>
      <c r="V979" s="6">
        <f>IF(ISERROR(VLOOKUP($S$979,'TAR FIN'!$A$1:$O$93,15,0)),0,VLOOKUP($S$979,'TAR FIN'!$A$1:$O$93,15,0))</f>
        <v>0</v>
      </c>
      <c r="W979" s="6">
        <f>IF(ISERROR(VLOOKUP($T$979,'TAR FIN'!$A$1:$O$93,15,0)),0,VLOOKUP($T$979,'TAR FIN'!$A$1:$O$93,15,0))</f>
        <v>272.91000000000003</v>
      </c>
      <c r="X979" s="6">
        <f>IF(ISERROR(VLOOKUP($U$979,'TAR FIN'!$A$1:$O$93,15,0)),0,VLOOKUP($U$979,'TAR FIN'!$A$1:$O$93,15,0))</f>
        <v>185.18</v>
      </c>
      <c r="Y979" s="6"/>
      <c r="Z979" s="6">
        <f ca="1">('TUSD BE'!$AM$52+'TUSD BF'!$AM$52+'TUSD CVA'!$AM$52)*1</f>
        <v>292.16655209139662</v>
      </c>
      <c r="AA979" s="6">
        <f>('TE BE'!$AB$41+'TE BF'!$AB$41+'TE CVA'!$AB$41)*1</f>
        <v>198.18194779658231</v>
      </c>
      <c r="AB979" s="6">
        <f>$K$979*$V$979</f>
        <v>0</v>
      </c>
      <c r="AC979" s="6">
        <f>$M$979*$W$979</f>
        <v>14479.240050000002</v>
      </c>
      <c r="AD979" s="6">
        <f>$O$979*$X$979</f>
        <v>9824.7249000000011</v>
      </c>
      <c r="AE979" s="6">
        <f>$K$979*$Y$979</f>
        <v>0</v>
      </c>
      <c r="AF979" s="6">
        <f ca="1">$M$979*$Z$979</f>
        <v>15500.896421209049</v>
      </c>
      <c r="AG979" s="6">
        <f>$O$979*$AA$979</f>
        <v>10514.543240347673</v>
      </c>
    </row>
    <row r="980" spans="1:33" ht="11.25" customHeight="1" x14ac:dyDescent="0.25">
      <c r="A980" s="4" t="s">
        <v>21</v>
      </c>
      <c r="B980" s="4" t="s">
        <v>33</v>
      </c>
      <c r="C980" s="4" t="s">
        <v>23</v>
      </c>
      <c r="D980" s="4" t="s">
        <v>40</v>
      </c>
      <c r="E980" s="4" t="s">
        <v>25</v>
      </c>
      <c r="F980" s="4" t="s">
        <v>25</v>
      </c>
      <c r="G980" s="4" t="s">
        <v>25</v>
      </c>
      <c r="H980" s="4" t="s">
        <v>25</v>
      </c>
      <c r="I980" s="5">
        <v>44470</v>
      </c>
      <c r="J980" s="6">
        <v>0</v>
      </c>
      <c r="K980" s="6">
        <v>0</v>
      </c>
      <c r="L980" s="6">
        <v>1003.989</v>
      </c>
      <c r="M980" s="6">
        <v>1003.989</v>
      </c>
      <c r="N980" s="6">
        <v>1003.989</v>
      </c>
      <c r="O980" s="6">
        <v>1003.989</v>
      </c>
      <c r="P980" s="6">
        <v>2201</v>
      </c>
      <c r="Q980" s="4" t="s">
        <v>26</v>
      </c>
      <c r="R980" s="4">
        <v>0</v>
      </c>
      <c r="S980" s="6">
        <v>0</v>
      </c>
      <c r="T980" s="6">
        <v>17</v>
      </c>
      <c r="U980" s="6">
        <v>89</v>
      </c>
      <c r="V980" s="6">
        <f>IF(ISERROR(VLOOKUP($S$980,'TAR FIN'!$A$1:$O$93,15,0)),0,VLOOKUP($S$980,'TAR FIN'!$A$1:$O$93,15,0))</f>
        <v>0</v>
      </c>
      <c r="W980" s="6">
        <f>IF(ISERROR(VLOOKUP($T$980,'TAR FIN'!$A$1:$O$93,15,0)),0,VLOOKUP($T$980,'TAR FIN'!$A$1:$O$93,15,0))</f>
        <v>272.91000000000003</v>
      </c>
      <c r="X980" s="6">
        <f>IF(ISERROR(VLOOKUP($U$980,'TAR FIN'!$A$1:$O$93,15,0)),0,VLOOKUP($U$980,'TAR FIN'!$A$1:$O$93,15,0))</f>
        <v>185.18</v>
      </c>
      <c r="Y980" s="6"/>
      <c r="Z980" s="6">
        <f ca="1">('TUSD BE'!$AM$52+'TUSD BF'!$AM$52+'TUSD CVA'!$AM$52)*1</f>
        <v>292.16655209139662</v>
      </c>
      <c r="AA980" s="6">
        <f>('TE BE'!$AB$41+'TE BF'!$AB$41+'TE CVA'!$AB$41)*1</f>
        <v>198.18194779658231</v>
      </c>
      <c r="AB980" s="6">
        <f>$K$980*$V$980</f>
        <v>0</v>
      </c>
      <c r="AC980" s="6">
        <f>$M$980*$W$980</f>
        <v>273998.63799000002</v>
      </c>
      <c r="AD980" s="6">
        <f>$O$980*$X$980</f>
        <v>185918.68302000003</v>
      </c>
      <c r="AE980" s="6">
        <f>$K$980*$Y$980</f>
        <v>0</v>
      </c>
      <c r="AF980" s="6">
        <f ca="1">$M$980*$Z$980</f>
        <v>293332.0044676892</v>
      </c>
      <c r="AG980" s="6">
        <f>$O$980*$AA$980</f>
        <v>198972.49558634288</v>
      </c>
    </row>
    <row r="981" spans="1:33" ht="11.25" customHeight="1" x14ac:dyDescent="0.25">
      <c r="A981" s="4" t="s">
        <v>27</v>
      </c>
      <c r="B981" s="4" t="s">
        <v>33</v>
      </c>
      <c r="C981" s="4" t="s">
        <v>23</v>
      </c>
      <c r="D981" s="4" t="s">
        <v>40</v>
      </c>
      <c r="E981" s="4" t="s">
        <v>25</v>
      </c>
      <c r="F981" s="4" t="s">
        <v>25</v>
      </c>
      <c r="G981" s="4" t="s">
        <v>25</v>
      </c>
      <c r="H981" s="4" t="s">
        <v>25</v>
      </c>
      <c r="I981" s="5">
        <v>44470</v>
      </c>
      <c r="J981" s="6">
        <v>0</v>
      </c>
      <c r="K981" s="6">
        <v>0</v>
      </c>
      <c r="L981" s="6">
        <v>-3.92</v>
      </c>
      <c r="M981" s="6">
        <v>-3.92</v>
      </c>
      <c r="N981" s="6">
        <v>-3.92</v>
      </c>
      <c r="O981" s="6">
        <v>-3.92</v>
      </c>
      <c r="P981" s="6">
        <v>-1</v>
      </c>
      <c r="Q981" s="4" t="s">
        <v>26</v>
      </c>
      <c r="R981" s="4">
        <v>0</v>
      </c>
      <c r="S981" s="6">
        <v>0</v>
      </c>
      <c r="T981" s="6">
        <v>17</v>
      </c>
      <c r="U981" s="6">
        <v>89</v>
      </c>
      <c r="V981" s="6">
        <f>IF(ISERROR(VLOOKUP($S$981,'TAR FIN'!$A$1:$O$93,15,0)),0,VLOOKUP($S$981,'TAR FIN'!$A$1:$O$93,15,0))</f>
        <v>0</v>
      </c>
      <c r="W981" s="6">
        <f>IF(ISERROR(VLOOKUP($T$981,'TAR FIN'!$A$1:$O$93,15,0)),0,VLOOKUP($T$981,'TAR FIN'!$A$1:$O$93,15,0))</f>
        <v>272.91000000000003</v>
      </c>
      <c r="X981" s="6">
        <f>IF(ISERROR(VLOOKUP($U$981,'TAR FIN'!$A$1:$O$93,15,0)),0,VLOOKUP($U$981,'TAR FIN'!$A$1:$O$93,15,0))</f>
        <v>185.18</v>
      </c>
      <c r="Y981" s="6"/>
      <c r="Z981" s="6">
        <f ca="1">('TUSD BE'!$AM$52+'TUSD BF'!$AM$52+'TUSD CVA'!$AM$52)*1</f>
        <v>292.16655209139662</v>
      </c>
      <c r="AA981" s="6">
        <f>('TE BE'!$AB$41+'TE BF'!$AB$41+'TE CVA'!$AB$41)*1</f>
        <v>198.18194779658231</v>
      </c>
      <c r="AB981" s="6">
        <f>$K$981*$V$981</f>
        <v>0</v>
      </c>
      <c r="AC981" s="6">
        <f>$M$981*$W$981</f>
        <v>-1069.8072</v>
      </c>
      <c r="AD981" s="6">
        <f>$O$981*$X$981</f>
        <v>-725.90560000000005</v>
      </c>
      <c r="AE981" s="6">
        <f>$K$981*$Y$981</f>
        <v>0</v>
      </c>
      <c r="AF981" s="6">
        <f ca="1">$M$981*$Z$981</f>
        <v>-1145.2928841982748</v>
      </c>
      <c r="AG981" s="6">
        <f>$O$981*$AA$981</f>
        <v>-776.8732353626026</v>
      </c>
    </row>
    <row r="982" spans="1:33" ht="11.25" customHeight="1" x14ac:dyDescent="0.25">
      <c r="A982" s="4" t="s">
        <v>28</v>
      </c>
      <c r="B982" s="4" t="s">
        <v>33</v>
      </c>
      <c r="C982" s="4" t="s">
        <v>23</v>
      </c>
      <c r="D982" s="4" t="s">
        <v>40</v>
      </c>
      <c r="E982" s="4" t="s">
        <v>25</v>
      </c>
      <c r="F982" s="4" t="s">
        <v>25</v>
      </c>
      <c r="G982" s="4" t="s">
        <v>25</v>
      </c>
      <c r="H982" s="4" t="s">
        <v>25</v>
      </c>
      <c r="I982" s="5">
        <v>44470</v>
      </c>
      <c r="J982" s="6">
        <v>0</v>
      </c>
      <c r="K982" s="6">
        <v>0</v>
      </c>
      <c r="L982" s="6">
        <v>53.357999999999997</v>
      </c>
      <c r="M982" s="6">
        <v>53.357999999999997</v>
      </c>
      <c r="N982" s="6">
        <v>53.357999999999997</v>
      </c>
      <c r="O982" s="6">
        <v>53.357999999999997</v>
      </c>
      <c r="P982" s="6">
        <v>141</v>
      </c>
      <c r="Q982" s="4" t="s">
        <v>26</v>
      </c>
      <c r="R982" s="4">
        <v>0</v>
      </c>
      <c r="S982" s="6">
        <v>0</v>
      </c>
      <c r="T982" s="6">
        <v>17</v>
      </c>
      <c r="U982" s="6">
        <v>89</v>
      </c>
      <c r="V982" s="6">
        <f>IF(ISERROR(VLOOKUP($S$982,'TAR FIN'!$A$1:$O$93,15,0)),0,VLOOKUP($S$982,'TAR FIN'!$A$1:$O$93,15,0))</f>
        <v>0</v>
      </c>
      <c r="W982" s="6">
        <f>IF(ISERROR(VLOOKUP($T$982,'TAR FIN'!$A$1:$O$93,15,0)),0,VLOOKUP($T$982,'TAR FIN'!$A$1:$O$93,15,0))</f>
        <v>272.91000000000003</v>
      </c>
      <c r="X982" s="6">
        <f>IF(ISERROR(VLOOKUP($U$982,'TAR FIN'!$A$1:$O$93,15,0)),0,VLOOKUP($U$982,'TAR FIN'!$A$1:$O$93,15,0))</f>
        <v>185.18</v>
      </c>
      <c r="Y982" s="6"/>
      <c r="Z982" s="6">
        <f ca="1">('TUSD BE'!$AM$52+'TUSD BF'!$AM$52+'TUSD CVA'!$AM$52)*1</f>
        <v>292.16655209139662</v>
      </c>
      <c r="AA982" s="6">
        <f>('TE BE'!$AB$41+'TE BF'!$AB$41+'TE CVA'!$AB$41)*1</f>
        <v>198.18194779658231</v>
      </c>
      <c r="AB982" s="6">
        <f>$K$982*$V$982</f>
        <v>0</v>
      </c>
      <c r="AC982" s="6">
        <f>$M$982*$W$982</f>
        <v>14561.931780000001</v>
      </c>
      <c r="AD982" s="6">
        <f>$O$982*$X$982</f>
        <v>9880.8344400000005</v>
      </c>
      <c r="AE982" s="6">
        <f>$K$982*$Y$982</f>
        <v>0</v>
      </c>
      <c r="AF982" s="6">
        <f ca="1">$M$982*$Z$982</f>
        <v>15589.422886492741</v>
      </c>
      <c r="AG982" s="6">
        <f>$O$982*$AA$982</f>
        <v>10574.592370530037</v>
      </c>
    </row>
    <row r="983" spans="1:33" ht="11.25" customHeight="1" x14ac:dyDescent="0.25">
      <c r="A983" s="4" t="s">
        <v>28</v>
      </c>
      <c r="B983" s="4" t="s">
        <v>33</v>
      </c>
      <c r="C983" s="4" t="s">
        <v>23</v>
      </c>
      <c r="D983" s="4" t="s">
        <v>40</v>
      </c>
      <c r="E983" s="4" t="s">
        <v>25</v>
      </c>
      <c r="F983" s="4" t="s">
        <v>25</v>
      </c>
      <c r="G983" s="4" t="s">
        <v>25</v>
      </c>
      <c r="H983" s="4" t="s">
        <v>25</v>
      </c>
      <c r="I983" s="5">
        <v>44470</v>
      </c>
      <c r="J983" s="6">
        <v>0</v>
      </c>
      <c r="K983" s="6">
        <v>0</v>
      </c>
      <c r="L983" s="6">
        <v>-0.98299999999999998</v>
      </c>
      <c r="M983" s="6">
        <v>-0.98299999999999998</v>
      </c>
      <c r="N983" s="6">
        <v>-0.98299999999999998</v>
      </c>
      <c r="O983" s="6">
        <v>-0.98299999999999998</v>
      </c>
      <c r="P983" s="6">
        <v>-1</v>
      </c>
      <c r="Q983" s="4" t="s">
        <v>26</v>
      </c>
      <c r="R983" s="4">
        <v>0</v>
      </c>
      <c r="S983" s="6">
        <v>0</v>
      </c>
      <c r="T983" s="6">
        <v>17</v>
      </c>
      <c r="U983" s="6">
        <v>89</v>
      </c>
      <c r="V983" s="6">
        <f>IF(ISERROR(VLOOKUP($S$983,'TAR FIN'!$A$1:$O$93,15,0)),0,VLOOKUP($S$983,'TAR FIN'!$A$1:$O$93,15,0))</f>
        <v>0</v>
      </c>
      <c r="W983" s="6">
        <f>IF(ISERROR(VLOOKUP($T$983,'TAR FIN'!$A$1:$O$93,15,0)),0,VLOOKUP($T$983,'TAR FIN'!$A$1:$O$93,15,0))</f>
        <v>272.91000000000003</v>
      </c>
      <c r="X983" s="6">
        <f>IF(ISERROR(VLOOKUP($U$983,'TAR FIN'!$A$1:$O$93,15,0)),0,VLOOKUP($U$983,'TAR FIN'!$A$1:$O$93,15,0))</f>
        <v>185.18</v>
      </c>
      <c r="Y983" s="6"/>
      <c r="Z983" s="6">
        <f ca="1">('TUSD BE'!$AM$52+'TUSD BF'!$AM$52+'TUSD CVA'!$AM$52)*1</f>
        <v>292.16655209139662</v>
      </c>
      <c r="AA983" s="6">
        <f>('TE BE'!$AB$41+'TE BF'!$AB$41+'TE CVA'!$AB$41)*1</f>
        <v>198.18194779658231</v>
      </c>
      <c r="AB983" s="6">
        <f>$K$983*$V$983</f>
        <v>0</v>
      </c>
      <c r="AC983" s="6">
        <f>$M$983*$W$983</f>
        <v>-268.27053000000001</v>
      </c>
      <c r="AD983" s="6">
        <f>$O$983*$X$983</f>
        <v>-182.03193999999999</v>
      </c>
      <c r="AE983" s="6">
        <f>$K$983*$Y$983</f>
        <v>0</v>
      </c>
      <c r="AF983" s="6">
        <f ca="1">$M$983*$Z$983</f>
        <v>-287.19972070584288</v>
      </c>
      <c r="AG983" s="6">
        <f>$O$983*$AA$983</f>
        <v>-194.81285468404042</v>
      </c>
    </row>
    <row r="984" spans="1:33" ht="11.25" customHeight="1" x14ac:dyDescent="0.25">
      <c r="A984" s="4" t="s">
        <v>21</v>
      </c>
      <c r="B984" s="4" t="s">
        <v>33</v>
      </c>
      <c r="C984" s="4" t="s">
        <v>23</v>
      </c>
      <c r="D984" s="4" t="s">
        <v>40</v>
      </c>
      <c r="E984" s="4" t="s">
        <v>25</v>
      </c>
      <c r="F984" s="4" t="s">
        <v>25</v>
      </c>
      <c r="G984" s="4" t="s">
        <v>25</v>
      </c>
      <c r="H984" s="4" t="s">
        <v>25</v>
      </c>
      <c r="I984" s="5">
        <v>44501</v>
      </c>
      <c r="J984" s="6">
        <v>0</v>
      </c>
      <c r="K984" s="6">
        <v>0</v>
      </c>
      <c r="L984" s="6">
        <v>1066.8679999999999</v>
      </c>
      <c r="M984" s="6">
        <v>1066.8679999999999</v>
      </c>
      <c r="N984" s="6">
        <v>1066.8679999999999</v>
      </c>
      <c r="O984" s="6">
        <v>1066.8679999999999</v>
      </c>
      <c r="P984" s="6">
        <v>2212</v>
      </c>
      <c r="Q984" s="4" t="s">
        <v>26</v>
      </c>
      <c r="R984" s="4">
        <v>0</v>
      </c>
      <c r="S984" s="6">
        <v>0</v>
      </c>
      <c r="T984" s="6">
        <v>17</v>
      </c>
      <c r="U984" s="6">
        <v>89</v>
      </c>
      <c r="V984" s="6">
        <f>IF(ISERROR(VLOOKUP($S$984,'TAR FIN'!$A$1:$O$93,15,0)),0,VLOOKUP($S$984,'TAR FIN'!$A$1:$O$93,15,0))</f>
        <v>0</v>
      </c>
      <c r="W984" s="6">
        <f>IF(ISERROR(VLOOKUP($T$984,'TAR FIN'!$A$1:$O$93,15,0)),0,VLOOKUP($T$984,'TAR FIN'!$A$1:$O$93,15,0))</f>
        <v>272.91000000000003</v>
      </c>
      <c r="X984" s="6">
        <f>IF(ISERROR(VLOOKUP($U$984,'TAR FIN'!$A$1:$O$93,15,0)),0,VLOOKUP($U$984,'TAR FIN'!$A$1:$O$93,15,0))</f>
        <v>185.18</v>
      </c>
      <c r="Y984" s="6"/>
      <c r="Z984" s="6">
        <f ca="1">('TUSD BE'!$AM$52+'TUSD BF'!$AM$52+'TUSD CVA'!$AM$52)*1</f>
        <v>292.16655209139662</v>
      </c>
      <c r="AA984" s="6">
        <f>('TE BE'!$AB$41+'TE BF'!$AB$41+'TE CVA'!$AB$41)*1</f>
        <v>198.18194779658231</v>
      </c>
      <c r="AB984" s="6">
        <f>$K$984*$V$984</f>
        <v>0</v>
      </c>
      <c r="AC984" s="6">
        <f>$M$984*$W$984</f>
        <v>291158.94588000001</v>
      </c>
      <c r="AD984" s="6">
        <f>$O$984*$X$984</f>
        <v>197562.61624</v>
      </c>
      <c r="AE984" s="6">
        <f>$K$984*$Y$984</f>
        <v>0</v>
      </c>
      <c r="AF984" s="6">
        <f ca="1">$M$984*$Z$984</f>
        <v>311703.14509664412</v>
      </c>
      <c r="AG984" s="6">
        <f>$O$984*$AA$984</f>
        <v>211433.97828184417</v>
      </c>
    </row>
    <row r="985" spans="1:33" ht="11.25" customHeight="1" x14ac:dyDescent="0.25">
      <c r="A985" s="4" t="s">
        <v>27</v>
      </c>
      <c r="B985" s="4" t="s">
        <v>33</v>
      </c>
      <c r="C985" s="4" t="s">
        <v>23</v>
      </c>
      <c r="D985" s="4" t="s">
        <v>40</v>
      </c>
      <c r="E985" s="4" t="s">
        <v>25</v>
      </c>
      <c r="F985" s="4" t="s">
        <v>25</v>
      </c>
      <c r="G985" s="4" t="s">
        <v>25</v>
      </c>
      <c r="H985" s="4" t="s">
        <v>25</v>
      </c>
      <c r="I985" s="5">
        <v>44501</v>
      </c>
      <c r="J985" s="6">
        <v>0</v>
      </c>
      <c r="K985" s="6">
        <v>0</v>
      </c>
      <c r="L985" s="6">
        <v>-3.661</v>
      </c>
      <c r="M985" s="6">
        <v>-3.661</v>
      </c>
      <c r="N985" s="6">
        <v>-3.661</v>
      </c>
      <c r="O985" s="6">
        <v>-3.661</v>
      </c>
      <c r="P985" s="6">
        <v>-3</v>
      </c>
      <c r="Q985" s="4" t="s">
        <v>26</v>
      </c>
      <c r="R985" s="4">
        <v>0</v>
      </c>
      <c r="S985" s="6">
        <v>0</v>
      </c>
      <c r="T985" s="6">
        <v>17</v>
      </c>
      <c r="U985" s="6">
        <v>89</v>
      </c>
      <c r="V985" s="6">
        <f>IF(ISERROR(VLOOKUP($S$985,'TAR FIN'!$A$1:$O$93,15,0)),0,VLOOKUP($S$985,'TAR FIN'!$A$1:$O$93,15,0))</f>
        <v>0</v>
      </c>
      <c r="W985" s="6">
        <f>IF(ISERROR(VLOOKUP($T$985,'TAR FIN'!$A$1:$O$93,15,0)),0,VLOOKUP($T$985,'TAR FIN'!$A$1:$O$93,15,0))</f>
        <v>272.91000000000003</v>
      </c>
      <c r="X985" s="6">
        <f>IF(ISERROR(VLOOKUP($U$985,'TAR FIN'!$A$1:$O$93,15,0)),0,VLOOKUP($U$985,'TAR FIN'!$A$1:$O$93,15,0))</f>
        <v>185.18</v>
      </c>
      <c r="Y985" s="6"/>
      <c r="Z985" s="6">
        <f ca="1">('TUSD BE'!$AM$52+'TUSD BF'!$AM$52+'TUSD CVA'!$AM$52)*1</f>
        <v>292.16655209139662</v>
      </c>
      <c r="AA985" s="6">
        <f>('TE BE'!$AB$41+'TE BF'!$AB$41+'TE CVA'!$AB$41)*1</f>
        <v>198.18194779658231</v>
      </c>
      <c r="AB985" s="6">
        <f>$K$985*$V$985</f>
        <v>0</v>
      </c>
      <c r="AC985" s="6">
        <f>$M$985*$W$985</f>
        <v>-999.12351000000012</v>
      </c>
      <c r="AD985" s="6">
        <f>$O$985*$X$985</f>
        <v>-677.94398000000001</v>
      </c>
      <c r="AE985" s="6">
        <f>$K$985*$Y$985</f>
        <v>0</v>
      </c>
      <c r="AF985" s="6">
        <f ca="1">$M$985*$Z$985</f>
        <v>-1069.621747206603</v>
      </c>
      <c r="AG985" s="6">
        <f>$O$985*$AA$985</f>
        <v>-725.54411088328789</v>
      </c>
    </row>
    <row r="986" spans="1:33" ht="11.25" customHeight="1" x14ac:dyDescent="0.25">
      <c r="A986" s="4" t="s">
        <v>28</v>
      </c>
      <c r="B986" s="4" t="s">
        <v>33</v>
      </c>
      <c r="C986" s="4" t="s">
        <v>23</v>
      </c>
      <c r="D986" s="4" t="s">
        <v>40</v>
      </c>
      <c r="E986" s="4" t="s">
        <v>25</v>
      </c>
      <c r="F986" s="4" t="s">
        <v>25</v>
      </c>
      <c r="G986" s="4" t="s">
        <v>25</v>
      </c>
      <c r="H986" s="4" t="s">
        <v>25</v>
      </c>
      <c r="I986" s="5">
        <v>44501</v>
      </c>
      <c r="J986" s="6">
        <v>0</v>
      </c>
      <c r="K986" s="6">
        <v>0</v>
      </c>
      <c r="L986" s="6">
        <v>41.097000000000001</v>
      </c>
      <c r="M986" s="6">
        <v>41.097000000000001</v>
      </c>
      <c r="N986" s="6">
        <v>41.097000000000001</v>
      </c>
      <c r="O986" s="6">
        <v>41.097000000000001</v>
      </c>
      <c r="P986" s="6">
        <v>145</v>
      </c>
      <c r="Q986" s="4" t="s">
        <v>26</v>
      </c>
      <c r="R986" s="4">
        <v>0</v>
      </c>
      <c r="S986" s="6">
        <v>0</v>
      </c>
      <c r="T986" s="6">
        <v>17</v>
      </c>
      <c r="U986" s="6">
        <v>89</v>
      </c>
      <c r="V986" s="6">
        <f>IF(ISERROR(VLOOKUP($S$986,'TAR FIN'!$A$1:$O$93,15,0)),0,VLOOKUP($S$986,'TAR FIN'!$A$1:$O$93,15,0))</f>
        <v>0</v>
      </c>
      <c r="W986" s="6">
        <f>IF(ISERROR(VLOOKUP($T$986,'TAR FIN'!$A$1:$O$93,15,0)),0,VLOOKUP($T$986,'TAR FIN'!$A$1:$O$93,15,0))</f>
        <v>272.91000000000003</v>
      </c>
      <c r="X986" s="6">
        <f>IF(ISERROR(VLOOKUP($U$986,'TAR FIN'!$A$1:$O$93,15,0)),0,VLOOKUP($U$986,'TAR FIN'!$A$1:$O$93,15,0))</f>
        <v>185.18</v>
      </c>
      <c r="Y986" s="6"/>
      <c r="Z986" s="6">
        <f ca="1">('TUSD BE'!$AM$52+'TUSD BF'!$AM$52+'TUSD CVA'!$AM$52)*1</f>
        <v>292.16655209139662</v>
      </c>
      <c r="AA986" s="6">
        <f>('TE BE'!$AB$41+'TE BF'!$AB$41+'TE CVA'!$AB$41)*1</f>
        <v>198.18194779658231</v>
      </c>
      <c r="AB986" s="6">
        <f>$K$986*$V$986</f>
        <v>0</v>
      </c>
      <c r="AC986" s="6">
        <f>$M$986*$W$986</f>
        <v>11215.782270000002</v>
      </c>
      <c r="AD986" s="6">
        <f>$O$986*$X$986</f>
        <v>7610.3424600000008</v>
      </c>
      <c r="AE986" s="6">
        <f>$K$986*$Y$986</f>
        <v>0</v>
      </c>
      <c r="AF986" s="6">
        <f ca="1">$M$986*$Z$986</f>
        <v>12007.168791300128</v>
      </c>
      <c r="AG986" s="6">
        <f>$O$986*$AA$986</f>
        <v>8144.6835085961429</v>
      </c>
    </row>
    <row r="987" spans="1:33" ht="11.25" customHeight="1" x14ac:dyDescent="0.25">
      <c r="A987" s="4" t="s">
        <v>21</v>
      </c>
      <c r="B987" s="4" t="s">
        <v>33</v>
      </c>
      <c r="C987" s="4" t="s">
        <v>23</v>
      </c>
      <c r="D987" s="4" t="s">
        <v>40</v>
      </c>
      <c r="E987" s="4" t="s">
        <v>25</v>
      </c>
      <c r="F987" s="4" t="s">
        <v>25</v>
      </c>
      <c r="G987" s="4" t="s">
        <v>25</v>
      </c>
      <c r="H987" s="4" t="s">
        <v>25</v>
      </c>
      <c r="I987" s="5">
        <v>44531</v>
      </c>
      <c r="J987" s="6">
        <v>0</v>
      </c>
      <c r="K987" s="6">
        <v>0</v>
      </c>
      <c r="L987" s="6">
        <v>1080.982</v>
      </c>
      <c r="M987" s="6">
        <v>1080.982</v>
      </c>
      <c r="N987" s="6">
        <v>1080.982</v>
      </c>
      <c r="O987" s="6">
        <v>1080.982</v>
      </c>
      <c r="P987" s="6">
        <v>2215</v>
      </c>
      <c r="Q987" s="4" t="s">
        <v>26</v>
      </c>
      <c r="R987" s="4">
        <v>0</v>
      </c>
      <c r="S987" s="6">
        <v>0</v>
      </c>
      <c r="T987" s="6">
        <v>17</v>
      </c>
      <c r="U987" s="6">
        <v>89</v>
      </c>
      <c r="V987" s="6">
        <f>IF(ISERROR(VLOOKUP($S$987,'TAR FIN'!$A$1:$O$93,15,0)),0,VLOOKUP($S$987,'TAR FIN'!$A$1:$O$93,15,0))</f>
        <v>0</v>
      </c>
      <c r="W987" s="6">
        <f>IF(ISERROR(VLOOKUP($T$987,'TAR FIN'!$A$1:$O$93,15,0)),0,VLOOKUP($T$987,'TAR FIN'!$A$1:$O$93,15,0))</f>
        <v>272.91000000000003</v>
      </c>
      <c r="X987" s="6">
        <f>IF(ISERROR(VLOOKUP($U$987,'TAR FIN'!$A$1:$O$93,15,0)),0,VLOOKUP($U$987,'TAR FIN'!$A$1:$O$93,15,0))</f>
        <v>185.18</v>
      </c>
      <c r="Y987" s="6"/>
      <c r="Z987" s="6">
        <f ca="1">('TUSD BE'!$AM$52+'TUSD BF'!$AM$52+'TUSD CVA'!$AM$52)*1</f>
        <v>292.16655209139662</v>
      </c>
      <c r="AA987" s="6">
        <f>('TE BE'!$AB$41+'TE BF'!$AB$41+'TE CVA'!$AB$41)*1</f>
        <v>198.18194779658231</v>
      </c>
      <c r="AB987" s="6">
        <f>$K$987*$V$987</f>
        <v>0</v>
      </c>
      <c r="AC987" s="6">
        <f>$M$987*$W$987</f>
        <v>295010.79762000003</v>
      </c>
      <c r="AD987" s="6">
        <f>$O$987*$X$987</f>
        <v>200176.24676000001</v>
      </c>
      <c r="AE987" s="6">
        <f>$K$987*$Y$987</f>
        <v>0</v>
      </c>
      <c r="AF987" s="6">
        <f ca="1">$M$987*$Z$987</f>
        <v>315826.78381286212</v>
      </c>
      <c r="AG987" s="6">
        <f>$O$987*$AA$987</f>
        <v>214231.11829304512</v>
      </c>
    </row>
    <row r="988" spans="1:33" ht="11.25" customHeight="1" x14ac:dyDescent="0.25">
      <c r="A988" s="4" t="s">
        <v>27</v>
      </c>
      <c r="B988" s="4" t="s">
        <v>33</v>
      </c>
      <c r="C988" s="4" t="s">
        <v>23</v>
      </c>
      <c r="D988" s="4" t="s">
        <v>40</v>
      </c>
      <c r="E988" s="4" t="s">
        <v>25</v>
      </c>
      <c r="F988" s="4" t="s">
        <v>25</v>
      </c>
      <c r="G988" s="4" t="s">
        <v>25</v>
      </c>
      <c r="H988" s="4" t="s">
        <v>25</v>
      </c>
      <c r="I988" s="5">
        <v>44531</v>
      </c>
      <c r="J988" s="6">
        <v>0</v>
      </c>
      <c r="K988" s="6">
        <v>0</v>
      </c>
      <c r="L988" s="6">
        <v>-5.9909999999999997</v>
      </c>
      <c r="M988" s="6">
        <v>-5.9909999999999997</v>
      </c>
      <c r="N988" s="6">
        <v>-5.9909999999999997</v>
      </c>
      <c r="O988" s="6">
        <v>-5.9909999999999997</v>
      </c>
      <c r="P988" s="6">
        <v>-2</v>
      </c>
      <c r="Q988" s="4" t="s">
        <v>26</v>
      </c>
      <c r="R988" s="4">
        <v>0</v>
      </c>
      <c r="S988" s="6">
        <v>0</v>
      </c>
      <c r="T988" s="6">
        <v>17</v>
      </c>
      <c r="U988" s="6">
        <v>89</v>
      </c>
      <c r="V988" s="6">
        <f>IF(ISERROR(VLOOKUP($S$988,'TAR FIN'!$A$1:$O$93,15,0)),0,VLOOKUP($S$988,'TAR FIN'!$A$1:$O$93,15,0))</f>
        <v>0</v>
      </c>
      <c r="W988" s="6">
        <f>IF(ISERROR(VLOOKUP($T$988,'TAR FIN'!$A$1:$O$93,15,0)),0,VLOOKUP($T$988,'TAR FIN'!$A$1:$O$93,15,0))</f>
        <v>272.91000000000003</v>
      </c>
      <c r="X988" s="6">
        <f>IF(ISERROR(VLOOKUP($U$988,'TAR FIN'!$A$1:$O$93,15,0)),0,VLOOKUP($U$988,'TAR FIN'!$A$1:$O$93,15,0))</f>
        <v>185.18</v>
      </c>
      <c r="Y988" s="6"/>
      <c r="Z988" s="6">
        <f ca="1">('TUSD BE'!$AM$52+'TUSD BF'!$AM$52+'TUSD CVA'!$AM$52)*1</f>
        <v>292.16655209139662</v>
      </c>
      <c r="AA988" s="6">
        <f>('TE BE'!$AB$41+'TE BF'!$AB$41+'TE CVA'!$AB$41)*1</f>
        <v>198.18194779658231</v>
      </c>
      <c r="AB988" s="6">
        <f>$K$988*$V$988</f>
        <v>0</v>
      </c>
      <c r="AC988" s="6">
        <f>$M$988*$W$988</f>
        <v>-1635.0038100000002</v>
      </c>
      <c r="AD988" s="6">
        <f>$O$988*$X$988</f>
        <v>-1109.41338</v>
      </c>
      <c r="AE988" s="6">
        <f>$K$988*$Y$988</f>
        <v>0</v>
      </c>
      <c r="AF988" s="6">
        <f ca="1">$M$988*$Z$988</f>
        <v>-1750.3698135795571</v>
      </c>
      <c r="AG988" s="6">
        <f>$O$988*$AA$988</f>
        <v>-1187.3080492493245</v>
      </c>
    </row>
    <row r="989" spans="1:33" ht="11.25" customHeight="1" x14ac:dyDescent="0.25">
      <c r="A989" s="4" t="s">
        <v>21</v>
      </c>
      <c r="B989" s="4" t="s">
        <v>33</v>
      </c>
      <c r="C989" s="4" t="s">
        <v>23</v>
      </c>
      <c r="D989" s="4" t="s">
        <v>40</v>
      </c>
      <c r="E989" s="4" t="s">
        <v>25</v>
      </c>
      <c r="F989" s="4" t="s">
        <v>25</v>
      </c>
      <c r="G989" s="4" t="s">
        <v>25</v>
      </c>
      <c r="H989" s="4" t="s">
        <v>25</v>
      </c>
      <c r="I989" s="5">
        <v>44562</v>
      </c>
      <c r="J989" s="6">
        <v>0</v>
      </c>
      <c r="K989" s="6">
        <v>0</v>
      </c>
      <c r="L989" s="6">
        <v>1296.5409999999999</v>
      </c>
      <c r="M989" s="6">
        <v>1296.5409999999999</v>
      </c>
      <c r="N989" s="6">
        <v>1296.5409999999999</v>
      </c>
      <c r="O989" s="6">
        <v>1296.5409999999999</v>
      </c>
      <c r="P989" s="6">
        <v>2213</v>
      </c>
      <c r="Q989" s="4" t="s">
        <v>26</v>
      </c>
      <c r="R989" s="4">
        <v>0</v>
      </c>
      <c r="S989" s="6">
        <v>0</v>
      </c>
      <c r="T989" s="6">
        <v>17</v>
      </c>
      <c r="U989" s="6">
        <v>89</v>
      </c>
      <c r="V989" s="6">
        <f>IF(ISERROR(VLOOKUP($S$989,'TAR FIN'!$A$1:$O$93,15,0)),0,VLOOKUP($S$989,'TAR FIN'!$A$1:$O$93,15,0))</f>
        <v>0</v>
      </c>
      <c r="W989" s="6">
        <f>IF(ISERROR(VLOOKUP($T$989,'TAR FIN'!$A$1:$O$93,15,0)),0,VLOOKUP($T$989,'TAR FIN'!$A$1:$O$93,15,0))</f>
        <v>272.91000000000003</v>
      </c>
      <c r="X989" s="6">
        <f>IF(ISERROR(VLOOKUP($U$989,'TAR FIN'!$A$1:$O$93,15,0)),0,VLOOKUP($U$989,'TAR FIN'!$A$1:$O$93,15,0))</f>
        <v>185.18</v>
      </c>
      <c r="Y989" s="6"/>
      <c r="Z989" s="6">
        <f ca="1">('TUSD BE'!$AM$52+'TUSD BF'!$AM$52+'TUSD CVA'!$AM$52)*1</f>
        <v>292.16655209139662</v>
      </c>
      <c r="AA989" s="6">
        <f>('TE BE'!$AB$41+'TE BF'!$AB$41+'TE CVA'!$AB$41)*1</f>
        <v>198.18194779658231</v>
      </c>
      <c r="AB989" s="6">
        <f>$K$989*$V$989</f>
        <v>0</v>
      </c>
      <c r="AC989" s="6">
        <f>$M$989*$W$989</f>
        <v>353839.00430999999</v>
      </c>
      <c r="AD989" s="6">
        <f>$O$989*$X$989</f>
        <v>240093.46238000001</v>
      </c>
      <c r="AE989" s="6">
        <f>$K$989*$Y$989</f>
        <v>0</v>
      </c>
      <c r="AF989" s="6">
        <f ca="1">$M$989*$Z$989</f>
        <v>378805.91361513146</v>
      </c>
      <c r="AG989" s="6">
        <f>$O$989*$AA$989</f>
        <v>256951.02077812862</v>
      </c>
    </row>
    <row r="990" spans="1:33" ht="11.25" customHeight="1" x14ac:dyDescent="0.25">
      <c r="A990" s="4" t="s">
        <v>27</v>
      </c>
      <c r="B990" s="4" t="s">
        <v>33</v>
      </c>
      <c r="C990" s="4" t="s">
        <v>23</v>
      </c>
      <c r="D990" s="4" t="s">
        <v>40</v>
      </c>
      <c r="E990" s="4" t="s">
        <v>25</v>
      </c>
      <c r="F990" s="4" t="s">
        <v>25</v>
      </c>
      <c r="G990" s="4" t="s">
        <v>25</v>
      </c>
      <c r="H990" s="4" t="s">
        <v>25</v>
      </c>
      <c r="I990" s="5">
        <v>44562</v>
      </c>
      <c r="J990" s="6">
        <v>0</v>
      </c>
      <c r="K990" s="6">
        <v>0</v>
      </c>
      <c r="L990" s="6">
        <v>-0.69299999999999995</v>
      </c>
      <c r="M990" s="6">
        <v>-0.69299999999999995</v>
      </c>
      <c r="N990" s="6">
        <v>-0.69299999999999995</v>
      </c>
      <c r="O990" s="6">
        <v>-0.69299999999999995</v>
      </c>
      <c r="P990" s="6">
        <v>-1</v>
      </c>
      <c r="Q990" s="4" t="s">
        <v>26</v>
      </c>
      <c r="R990" s="4">
        <v>0</v>
      </c>
      <c r="S990" s="6">
        <v>0</v>
      </c>
      <c r="T990" s="6">
        <v>17</v>
      </c>
      <c r="U990" s="6">
        <v>89</v>
      </c>
      <c r="V990" s="6">
        <f>IF(ISERROR(VLOOKUP($S$990,'TAR FIN'!$A$1:$O$93,15,0)),0,VLOOKUP($S$990,'TAR FIN'!$A$1:$O$93,15,0))</f>
        <v>0</v>
      </c>
      <c r="W990" s="6">
        <f>IF(ISERROR(VLOOKUP($T$990,'TAR FIN'!$A$1:$O$93,15,0)),0,VLOOKUP($T$990,'TAR FIN'!$A$1:$O$93,15,0))</f>
        <v>272.91000000000003</v>
      </c>
      <c r="X990" s="6">
        <f>IF(ISERROR(VLOOKUP($U$990,'TAR FIN'!$A$1:$O$93,15,0)),0,VLOOKUP($U$990,'TAR FIN'!$A$1:$O$93,15,0))</f>
        <v>185.18</v>
      </c>
      <c r="Y990" s="6"/>
      <c r="Z990" s="6">
        <f ca="1">('TUSD BE'!$AM$52+'TUSD BF'!$AM$52+'TUSD CVA'!$AM$52)*1</f>
        <v>292.16655209139662</v>
      </c>
      <c r="AA990" s="6">
        <f>('TE BE'!$AB$41+'TE BF'!$AB$41+'TE CVA'!$AB$41)*1</f>
        <v>198.18194779658231</v>
      </c>
      <c r="AB990" s="6">
        <f>$K$990*$V$990</f>
        <v>0</v>
      </c>
      <c r="AC990" s="6">
        <f>$M$990*$W$990</f>
        <v>-189.12663000000001</v>
      </c>
      <c r="AD990" s="6">
        <f>$O$990*$X$990</f>
        <v>-128.32973999999999</v>
      </c>
      <c r="AE990" s="6">
        <f>$K$990*$Y$990</f>
        <v>0</v>
      </c>
      <c r="AF990" s="6">
        <f ca="1">$M$990*$Z$990</f>
        <v>-202.47142059933785</v>
      </c>
      <c r="AG990" s="6">
        <f>$O$990*$AA$990</f>
        <v>-137.34008982303152</v>
      </c>
    </row>
    <row r="991" spans="1:33" ht="11.25" customHeight="1" x14ac:dyDescent="0.25">
      <c r="A991" s="4" t="s">
        <v>28</v>
      </c>
      <c r="B991" s="4" t="s">
        <v>33</v>
      </c>
      <c r="C991" s="4" t="s">
        <v>23</v>
      </c>
      <c r="D991" s="4" t="s">
        <v>40</v>
      </c>
      <c r="E991" s="4" t="s">
        <v>25</v>
      </c>
      <c r="F991" s="4" t="s">
        <v>25</v>
      </c>
      <c r="G991" s="4" t="s">
        <v>25</v>
      </c>
      <c r="H991" s="4" t="s">
        <v>25</v>
      </c>
      <c r="I991" s="5">
        <v>44562</v>
      </c>
      <c r="J991" s="6">
        <v>0</v>
      </c>
      <c r="K991" s="6">
        <v>0</v>
      </c>
      <c r="L991" s="6">
        <v>60.875</v>
      </c>
      <c r="M991" s="6">
        <v>60.875</v>
      </c>
      <c r="N991" s="6">
        <v>60.875</v>
      </c>
      <c r="O991" s="6">
        <v>60.875</v>
      </c>
      <c r="P991" s="6">
        <v>159</v>
      </c>
      <c r="Q991" s="4" t="s">
        <v>26</v>
      </c>
      <c r="R991" s="4">
        <v>0</v>
      </c>
      <c r="S991" s="6">
        <v>0</v>
      </c>
      <c r="T991" s="6">
        <v>17</v>
      </c>
      <c r="U991" s="6">
        <v>89</v>
      </c>
      <c r="V991" s="6">
        <f>IF(ISERROR(VLOOKUP($S$991,'TAR FIN'!$A$1:$O$93,15,0)),0,VLOOKUP($S$991,'TAR FIN'!$A$1:$O$93,15,0))</f>
        <v>0</v>
      </c>
      <c r="W991" s="6">
        <f>IF(ISERROR(VLOOKUP($T$991,'TAR FIN'!$A$1:$O$93,15,0)),0,VLOOKUP($T$991,'TAR FIN'!$A$1:$O$93,15,0))</f>
        <v>272.91000000000003</v>
      </c>
      <c r="X991" s="6">
        <f>IF(ISERROR(VLOOKUP($U$991,'TAR FIN'!$A$1:$O$93,15,0)),0,VLOOKUP($U$991,'TAR FIN'!$A$1:$O$93,15,0))</f>
        <v>185.18</v>
      </c>
      <c r="Y991" s="6"/>
      <c r="Z991" s="6">
        <f ca="1">('TUSD BE'!$AM$52+'TUSD BF'!$AM$52+'TUSD CVA'!$AM$52)*1</f>
        <v>292.16655209139662</v>
      </c>
      <c r="AA991" s="6">
        <f>('TE BE'!$AB$41+'TE BF'!$AB$41+'TE CVA'!$AB$41)*1</f>
        <v>198.18194779658231</v>
      </c>
      <c r="AB991" s="6">
        <f>$K$991*$V$991</f>
        <v>0</v>
      </c>
      <c r="AC991" s="6">
        <f>$M$991*$W$991</f>
        <v>16613.396250000002</v>
      </c>
      <c r="AD991" s="6">
        <f>$O$991*$X$991</f>
        <v>11272.8325</v>
      </c>
      <c r="AE991" s="6">
        <f>$K$991*$Y$991</f>
        <v>0</v>
      </c>
      <c r="AF991" s="6">
        <f ca="1">$M$991*$Z$991</f>
        <v>17785.638858563769</v>
      </c>
      <c r="AG991" s="6">
        <f>$O$991*$AA$991</f>
        <v>12064.326072116948</v>
      </c>
    </row>
    <row r="992" spans="1:33" ht="11.25" customHeight="1" x14ac:dyDescent="0.25">
      <c r="A992" s="4" t="s">
        <v>21</v>
      </c>
      <c r="B992" s="4" t="s">
        <v>33</v>
      </c>
      <c r="C992" s="4" t="s">
        <v>23</v>
      </c>
      <c r="D992" s="4" t="s">
        <v>40</v>
      </c>
      <c r="E992" s="4" t="s">
        <v>25</v>
      </c>
      <c r="F992" s="4" t="s">
        <v>25</v>
      </c>
      <c r="G992" s="4" t="s">
        <v>25</v>
      </c>
      <c r="H992" s="4" t="s">
        <v>25</v>
      </c>
      <c r="I992" s="5">
        <v>44593</v>
      </c>
      <c r="J992" s="6">
        <v>0</v>
      </c>
      <c r="K992" s="6">
        <v>0</v>
      </c>
      <c r="L992" s="6">
        <v>1223.2349999999999</v>
      </c>
      <c r="M992" s="6">
        <v>1223.2349999999999</v>
      </c>
      <c r="N992" s="6">
        <v>1223.2349999999999</v>
      </c>
      <c r="O992" s="6">
        <v>1223.2349999999999</v>
      </c>
      <c r="P992" s="6">
        <v>2220</v>
      </c>
      <c r="Q992" s="4" t="s">
        <v>26</v>
      </c>
      <c r="R992" s="4">
        <v>0</v>
      </c>
      <c r="S992" s="6">
        <v>0</v>
      </c>
      <c r="T992" s="6">
        <v>17</v>
      </c>
      <c r="U992" s="6">
        <v>89</v>
      </c>
      <c r="V992" s="6">
        <f>IF(ISERROR(VLOOKUP($S$992,'TAR FIN'!$A$1:$O$93,15,0)),0,VLOOKUP($S$992,'TAR FIN'!$A$1:$O$93,15,0))</f>
        <v>0</v>
      </c>
      <c r="W992" s="6">
        <f>IF(ISERROR(VLOOKUP($T$992,'TAR FIN'!$A$1:$O$93,15,0)),0,VLOOKUP($T$992,'TAR FIN'!$A$1:$O$93,15,0))</f>
        <v>272.91000000000003</v>
      </c>
      <c r="X992" s="6">
        <f>IF(ISERROR(VLOOKUP($U$992,'TAR FIN'!$A$1:$O$93,15,0)),0,VLOOKUP($U$992,'TAR FIN'!$A$1:$O$93,15,0))</f>
        <v>185.18</v>
      </c>
      <c r="Y992" s="6"/>
      <c r="Z992" s="6">
        <f ca="1">('TUSD BE'!$AM$52+'TUSD BF'!$AM$52+'TUSD CVA'!$AM$52)*1</f>
        <v>292.16655209139662</v>
      </c>
      <c r="AA992" s="6">
        <f>('TE BE'!$AB$41+'TE BF'!$AB$41+'TE CVA'!$AB$41)*1</f>
        <v>198.18194779658231</v>
      </c>
      <c r="AB992" s="6">
        <f>$K$992*$V$992</f>
        <v>0</v>
      </c>
      <c r="AC992" s="6">
        <f>$M$992*$W$992</f>
        <v>333833.06384999998</v>
      </c>
      <c r="AD992" s="6">
        <f>$O$992*$X$992</f>
        <v>226518.65729999999</v>
      </c>
      <c r="AE992" s="6">
        <f>$K$992*$Y$992</f>
        <v>0</v>
      </c>
      <c r="AF992" s="6">
        <f ca="1">$M$992*$Z$992</f>
        <v>357388.35234751954</v>
      </c>
      <c r="AG992" s="6">
        <f>$O$992*$AA$992</f>
        <v>242423.09491295234</v>
      </c>
    </row>
    <row r="993" spans="1:33" ht="11.25" customHeight="1" x14ac:dyDescent="0.25">
      <c r="A993" s="4" t="s">
        <v>27</v>
      </c>
      <c r="B993" s="4" t="s">
        <v>33</v>
      </c>
      <c r="C993" s="4" t="s">
        <v>23</v>
      </c>
      <c r="D993" s="4" t="s">
        <v>40</v>
      </c>
      <c r="E993" s="4" t="s">
        <v>25</v>
      </c>
      <c r="F993" s="4" t="s">
        <v>25</v>
      </c>
      <c r="G993" s="4" t="s">
        <v>25</v>
      </c>
      <c r="H993" s="4" t="s">
        <v>25</v>
      </c>
      <c r="I993" s="5">
        <v>44593</v>
      </c>
      <c r="J993" s="6">
        <v>0</v>
      </c>
      <c r="K993" s="6">
        <v>0</v>
      </c>
      <c r="L993" s="6">
        <v>-2.3679999999999999</v>
      </c>
      <c r="M993" s="6">
        <v>-2.3679999999999999</v>
      </c>
      <c r="N993" s="6">
        <v>-2.3679999999999999</v>
      </c>
      <c r="O993" s="6">
        <v>-2.3679999999999999</v>
      </c>
      <c r="P993" s="6">
        <v>-1</v>
      </c>
      <c r="Q993" s="4" t="s">
        <v>26</v>
      </c>
      <c r="R993" s="4">
        <v>0</v>
      </c>
      <c r="S993" s="6">
        <v>0</v>
      </c>
      <c r="T993" s="6">
        <v>17</v>
      </c>
      <c r="U993" s="6">
        <v>89</v>
      </c>
      <c r="V993" s="6">
        <f>IF(ISERROR(VLOOKUP($S$993,'TAR FIN'!$A$1:$O$93,15,0)),0,VLOOKUP($S$993,'TAR FIN'!$A$1:$O$93,15,0))</f>
        <v>0</v>
      </c>
      <c r="W993" s="6">
        <f>IF(ISERROR(VLOOKUP($T$993,'TAR FIN'!$A$1:$O$93,15,0)),0,VLOOKUP($T$993,'TAR FIN'!$A$1:$O$93,15,0))</f>
        <v>272.91000000000003</v>
      </c>
      <c r="X993" s="6">
        <f>IF(ISERROR(VLOOKUP($U$993,'TAR FIN'!$A$1:$O$93,15,0)),0,VLOOKUP($U$993,'TAR FIN'!$A$1:$O$93,15,0))</f>
        <v>185.18</v>
      </c>
      <c r="Y993" s="6"/>
      <c r="Z993" s="6">
        <f ca="1">('TUSD BE'!$AM$52+'TUSD BF'!$AM$52+'TUSD CVA'!$AM$52)*1</f>
        <v>292.16655209139662</v>
      </c>
      <c r="AA993" s="6">
        <f>('TE BE'!$AB$41+'TE BF'!$AB$41+'TE CVA'!$AB$41)*1</f>
        <v>198.18194779658231</v>
      </c>
      <c r="AB993" s="6">
        <f>$K$993*$V$993</f>
        <v>0</v>
      </c>
      <c r="AC993" s="6">
        <f>$M$993*$W$993</f>
        <v>-646.25088000000005</v>
      </c>
      <c r="AD993" s="6">
        <f>$O$993*$X$993</f>
        <v>-438.50623999999999</v>
      </c>
      <c r="AE993" s="6">
        <f>$K$993*$Y$993</f>
        <v>0</v>
      </c>
      <c r="AF993" s="6">
        <f ca="1">$M$993*$Z$993</f>
        <v>-691.8503953524272</v>
      </c>
      <c r="AG993" s="6">
        <f>$O$993*$AA$993</f>
        <v>-469.29485238230689</v>
      </c>
    </row>
    <row r="994" spans="1:33" ht="11.25" customHeight="1" x14ac:dyDescent="0.25">
      <c r="A994" s="4" t="s">
        <v>28</v>
      </c>
      <c r="B994" s="4" t="s">
        <v>33</v>
      </c>
      <c r="C994" s="4" t="s">
        <v>23</v>
      </c>
      <c r="D994" s="4" t="s">
        <v>40</v>
      </c>
      <c r="E994" s="4" t="s">
        <v>25</v>
      </c>
      <c r="F994" s="4" t="s">
        <v>25</v>
      </c>
      <c r="G994" s="4" t="s">
        <v>25</v>
      </c>
      <c r="H994" s="4" t="s">
        <v>25</v>
      </c>
      <c r="I994" s="5">
        <v>44593</v>
      </c>
      <c r="J994" s="6">
        <v>0</v>
      </c>
      <c r="K994" s="6">
        <v>0</v>
      </c>
      <c r="L994" s="6">
        <v>69.141000000000005</v>
      </c>
      <c r="M994" s="6">
        <v>69.141000000000005</v>
      </c>
      <c r="N994" s="6">
        <v>69.141000000000005</v>
      </c>
      <c r="O994" s="6">
        <v>69.141000000000005</v>
      </c>
      <c r="P994" s="6">
        <v>164</v>
      </c>
      <c r="Q994" s="4" t="s">
        <v>26</v>
      </c>
      <c r="R994" s="4">
        <v>0</v>
      </c>
      <c r="S994" s="6">
        <v>0</v>
      </c>
      <c r="T994" s="6">
        <v>17</v>
      </c>
      <c r="U994" s="6">
        <v>89</v>
      </c>
      <c r="V994" s="6">
        <f>IF(ISERROR(VLOOKUP($S$994,'TAR FIN'!$A$1:$O$93,15,0)),0,VLOOKUP($S$994,'TAR FIN'!$A$1:$O$93,15,0))</f>
        <v>0</v>
      </c>
      <c r="W994" s="6">
        <f>IF(ISERROR(VLOOKUP($T$994,'TAR FIN'!$A$1:$O$93,15,0)),0,VLOOKUP($T$994,'TAR FIN'!$A$1:$O$93,15,0))</f>
        <v>272.91000000000003</v>
      </c>
      <c r="X994" s="6">
        <f>IF(ISERROR(VLOOKUP($U$994,'TAR FIN'!$A$1:$O$93,15,0)),0,VLOOKUP($U$994,'TAR FIN'!$A$1:$O$93,15,0))</f>
        <v>185.18</v>
      </c>
      <c r="Y994" s="6"/>
      <c r="Z994" s="6">
        <f ca="1">('TUSD BE'!$AM$52+'TUSD BF'!$AM$52+'TUSD CVA'!$AM$52)*1</f>
        <v>292.16655209139662</v>
      </c>
      <c r="AA994" s="6">
        <f>('TE BE'!$AB$41+'TE BF'!$AB$41+'TE CVA'!$AB$41)*1</f>
        <v>198.18194779658231</v>
      </c>
      <c r="AB994" s="6">
        <f>$K$994*$V$994</f>
        <v>0</v>
      </c>
      <c r="AC994" s="6">
        <f>$M$994*$W$994</f>
        <v>18869.270310000004</v>
      </c>
      <c r="AD994" s="6">
        <f>$O$994*$X$994</f>
        <v>12803.530380000002</v>
      </c>
      <c r="AE994" s="6">
        <f>$K$994*$Y$994</f>
        <v>0</v>
      </c>
      <c r="AF994" s="6">
        <f ca="1">$M$994*$Z$994</f>
        <v>20200.687578151257</v>
      </c>
      <c r="AG994" s="6">
        <f>$O$994*$AA$994</f>
        <v>13702.498052603498</v>
      </c>
    </row>
    <row r="995" spans="1:33" ht="11.25" customHeight="1" x14ac:dyDescent="0.25">
      <c r="A995" s="4" t="s">
        <v>21</v>
      </c>
      <c r="B995" s="4" t="s">
        <v>33</v>
      </c>
      <c r="C995" s="4" t="s">
        <v>23</v>
      </c>
      <c r="D995" s="4" t="s">
        <v>40</v>
      </c>
      <c r="E995" s="4" t="s">
        <v>25</v>
      </c>
      <c r="F995" s="4" t="s">
        <v>25</v>
      </c>
      <c r="G995" s="4" t="s">
        <v>25</v>
      </c>
      <c r="H995" s="4" t="s">
        <v>25</v>
      </c>
      <c r="I995" s="5">
        <v>44621</v>
      </c>
      <c r="J995" s="6">
        <v>0</v>
      </c>
      <c r="K995" s="6">
        <v>0</v>
      </c>
      <c r="L995" s="6">
        <v>1206.835</v>
      </c>
      <c r="M995" s="6">
        <v>1206.835</v>
      </c>
      <c r="N995" s="6">
        <v>1206.835</v>
      </c>
      <c r="O995" s="6">
        <v>1206.835</v>
      </c>
      <c r="P995" s="6">
        <v>2222</v>
      </c>
      <c r="Q995" s="4" t="s">
        <v>26</v>
      </c>
      <c r="R995" s="4">
        <v>0</v>
      </c>
      <c r="S995" s="6">
        <v>0</v>
      </c>
      <c r="T995" s="6">
        <v>17</v>
      </c>
      <c r="U995" s="6">
        <v>89</v>
      </c>
      <c r="V995" s="6">
        <f>IF(ISERROR(VLOOKUP($S$995,'TAR FIN'!$A$1:$O$93,15,0)),0,VLOOKUP($S$995,'TAR FIN'!$A$1:$O$93,15,0))</f>
        <v>0</v>
      </c>
      <c r="W995" s="6">
        <f>IF(ISERROR(VLOOKUP($T$995,'TAR FIN'!$A$1:$O$93,15,0)),0,VLOOKUP($T$995,'TAR FIN'!$A$1:$O$93,15,0))</f>
        <v>272.91000000000003</v>
      </c>
      <c r="X995" s="6">
        <f>IF(ISERROR(VLOOKUP($U$995,'TAR FIN'!$A$1:$O$93,15,0)),0,VLOOKUP($U$995,'TAR FIN'!$A$1:$O$93,15,0))</f>
        <v>185.18</v>
      </c>
      <c r="Y995" s="6"/>
      <c r="Z995" s="6">
        <f ca="1">('TUSD BE'!$AM$52+'TUSD BF'!$AM$52+'TUSD CVA'!$AM$52)*1</f>
        <v>292.16655209139662</v>
      </c>
      <c r="AA995" s="6">
        <f>('TE BE'!$AB$41+'TE BF'!$AB$41+'TE CVA'!$AB$41)*1</f>
        <v>198.18194779658231</v>
      </c>
      <c r="AB995" s="6">
        <f>$K$995*$V$995</f>
        <v>0</v>
      </c>
      <c r="AC995" s="6">
        <f>$M$995*$W$995</f>
        <v>329357.33985000005</v>
      </c>
      <c r="AD995" s="6">
        <f>$O$995*$X$995</f>
        <v>223481.7053</v>
      </c>
      <c r="AE995" s="6">
        <f>$K$995*$Y$995</f>
        <v>0</v>
      </c>
      <c r="AF995" s="6">
        <f ca="1">$M$995*$Z$995</f>
        <v>352596.82089322066</v>
      </c>
      <c r="AG995" s="6">
        <f>$O$995*$AA$995</f>
        <v>239172.91096908841</v>
      </c>
    </row>
    <row r="996" spans="1:33" ht="11.25" customHeight="1" x14ac:dyDescent="0.25">
      <c r="A996" s="4" t="s">
        <v>27</v>
      </c>
      <c r="B996" s="4" t="s">
        <v>33</v>
      </c>
      <c r="C996" s="4" t="s">
        <v>23</v>
      </c>
      <c r="D996" s="4" t="s">
        <v>40</v>
      </c>
      <c r="E996" s="4" t="s">
        <v>25</v>
      </c>
      <c r="F996" s="4" t="s">
        <v>25</v>
      </c>
      <c r="G996" s="4" t="s">
        <v>25</v>
      </c>
      <c r="H996" s="4" t="s">
        <v>25</v>
      </c>
      <c r="I996" s="5">
        <v>44621</v>
      </c>
      <c r="J996" s="6">
        <v>0</v>
      </c>
      <c r="K996" s="6">
        <v>0</v>
      </c>
      <c r="L996" s="6">
        <v>-0.67700000000000005</v>
      </c>
      <c r="M996" s="6">
        <v>-0.67700000000000005</v>
      </c>
      <c r="N996" s="6">
        <v>-0.67700000000000005</v>
      </c>
      <c r="O996" s="6">
        <v>-0.67700000000000005</v>
      </c>
      <c r="P996" s="6">
        <v>-3</v>
      </c>
      <c r="Q996" s="4" t="s">
        <v>26</v>
      </c>
      <c r="R996" s="4">
        <v>0</v>
      </c>
      <c r="S996" s="6">
        <v>0</v>
      </c>
      <c r="T996" s="6">
        <v>17</v>
      </c>
      <c r="U996" s="6">
        <v>89</v>
      </c>
      <c r="V996" s="6">
        <f>IF(ISERROR(VLOOKUP($S$996,'TAR FIN'!$A$1:$O$93,15,0)),0,VLOOKUP($S$996,'TAR FIN'!$A$1:$O$93,15,0))</f>
        <v>0</v>
      </c>
      <c r="W996" s="6">
        <f>IF(ISERROR(VLOOKUP($T$996,'TAR FIN'!$A$1:$O$93,15,0)),0,VLOOKUP($T$996,'TAR FIN'!$A$1:$O$93,15,0))</f>
        <v>272.91000000000003</v>
      </c>
      <c r="X996" s="6">
        <f>IF(ISERROR(VLOOKUP($U$996,'TAR FIN'!$A$1:$O$93,15,0)),0,VLOOKUP($U$996,'TAR FIN'!$A$1:$O$93,15,0))</f>
        <v>185.18</v>
      </c>
      <c r="Y996" s="6"/>
      <c r="Z996" s="6">
        <f ca="1">('TUSD BE'!$AM$52+'TUSD BF'!$AM$52+'TUSD CVA'!$AM$52)*1</f>
        <v>292.16655209139662</v>
      </c>
      <c r="AA996" s="6">
        <f>('TE BE'!$AB$41+'TE BF'!$AB$41+'TE CVA'!$AB$41)*1</f>
        <v>198.18194779658231</v>
      </c>
      <c r="AB996" s="6">
        <f>$K$996*$V$996</f>
        <v>0</v>
      </c>
      <c r="AC996" s="6">
        <f>$M$996*$W$996</f>
        <v>-184.76007000000004</v>
      </c>
      <c r="AD996" s="6">
        <f>$O$996*$X$996</f>
        <v>-125.36686000000002</v>
      </c>
      <c r="AE996" s="6">
        <f>$K$996*$Y$996</f>
        <v>0</v>
      </c>
      <c r="AF996" s="6">
        <f ca="1">$M$996*$Z$996</f>
        <v>-197.79675576587553</v>
      </c>
      <c r="AG996" s="6">
        <f>$O$996*$AA$996</f>
        <v>-134.16917865828623</v>
      </c>
    </row>
    <row r="997" spans="1:33" ht="11.25" customHeight="1" x14ac:dyDescent="0.25">
      <c r="A997" s="4" t="s">
        <v>28</v>
      </c>
      <c r="B997" s="4" t="s">
        <v>33</v>
      </c>
      <c r="C997" s="4" t="s">
        <v>23</v>
      </c>
      <c r="D997" s="4" t="s">
        <v>40</v>
      </c>
      <c r="E997" s="4" t="s">
        <v>25</v>
      </c>
      <c r="F997" s="4" t="s">
        <v>25</v>
      </c>
      <c r="G997" s="4" t="s">
        <v>25</v>
      </c>
      <c r="H997" s="4" t="s">
        <v>25</v>
      </c>
      <c r="I997" s="5">
        <v>44621</v>
      </c>
      <c r="J997" s="6">
        <v>0</v>
      </c>
      <c r="K997" s="6">
        <v>0</v>
      </c>
      <c r="L997" s="6">
        <v>72.168000000000006</v>
      </c>
      <c r="M997" s="6">
        <v>72.168000000000006</v>
      </c>
      <c r="N997" s="6">
        <v>72.168000000000006</v>
      </c>
      <c r="O997" s="6">
        <v>72.168000000000006</v>
      </c>
      <c r="P997" s="6">
        <v>168</v>
      </c>
      <c r="Q997" s="4" t="s">
        <v>26</v>
      </c>
      <c r="R997" s="4">
        <v>0</v>
      </c>
      <c r="S997" s="6">
        <v>0</v>
      </c>
      <c r="T997" s="6">
        <v>17</v>
      </c>
      <c r="U997" s="6">
        <v>89</v>
      </c>
      <c r="V997" s="6">
        <f>IF(ISERROR(VLOOKUP($S$997,'TAR FIN'!$A$1:$O$93,15,0)),0,VLOOKUP($S$997,'TAR FIN'!$A$1:$O$93,15,0))</f>
        <v>0</v>
      </c>
      <c r="W997" s="6">
        <f>IF(ISERROR(VLOOKUP($T$997,'TAR FIN'!$A$1:$O$93,15,0)),0,VLOOKUP($T$997,'TAR FIN'!$A$1:$O$93,15,0))</f>
        <v>272.91000000000003</v>
      </c>
      <c r="X997" s="6">
        <f>IF(ISERROR(VLOOKUP($U$997,'TAR FIN'!$A$1:$O$93,15,0)),0,VLOOKUP($U$997,'TAR FIN'!$A$1:$O$93,15,0))</f>
        <v>185.18</v>
      </c>
      <c r="Y997" s="6"/>
      <c r="Z997" s="6">
        <f ca="1">('TUSD BE'!$AM$52+'TUSD BF'!$AM$52+'TUSD CVA'!$AM$52)*1</f>
        <v>292.16655209139662</v>
      </c>
      <c r="AA997" s="6">
        <f>('TE BE'!$AB$41+'TE BF'!$AB$41+'TE CVA'!$AB$41)*1</f>
        <v>198.18194779658231</v>
      </c>
      <c r="AB997" s="6">
        <f>$K$997*$V$997</f>
        <v>0</v>
      </c>
      <c r="AC997" s="6">
        <f>$M$997*$W$997</f>
        <v>19695.368880000002</v>
      </c>
      <c r="AD997" s="6">
        <f>$O$997*$X$997</f>
        <v>13364.070240000001</v>
      </c>
      <c r="AE997" s="6">
        <f>$K$997*$Y$997</f>
        <v>0</v>
      </c>
      <c r="AF997" s="6">
        <f ca="1">$M$997*$Z$997</f>
        <v>21085.075731331912</v>
      </c>
      <c r="AG997" s="6">
        <f>$O$997*$AA$997</f>
        <v>14302.394808583753</v>
      </c>
    </row>
    <row r="998" spans="1:33" ht="11.25" customHeight="1" x14ac:dyDescent="0.25">
      <c r="A998" s="4" t="s">
        <v>21</v>
      </c>
      <c r="B998" s="4" t="s">
        <v>33</v>
      </c>
      <c r="C998" s="4" t="s">
        <v>23</v>
      </c>
      <c r="D998" s="4" t="s">
        <v>40</v>
      </c>
      <c r="E998" s="4" t="s">
        <v>25</v>
      </c>
      <c r="F998" s="4" t="s">
        <v>25</v>
      </c>
      <c r="G998" s="4" t="s">
        <v>25</v>
      </c>
      <c r="H998" s="4" t="s">
        <v>25</v>
      </c>
      <c r="I998" s="5">
        <v>44652</v>
      </c>
      <c r="J998" s="6">
        <v>0</v>
      </c>
      <c r="K998" s="6">
        <v>0</v>
      </c>
      <c r="L998" s="6">
        <v>1147.348</v>
      </c>
      <c r="M998" s="6">
        <v>1147.348</v>
      </c>
      <c r="N998" s="6">
        <v>1147.348</v>
      </c>
      <c r="O998" s="6">
        <v>1147.348</v>
      </c>
      <c r="P998" s="6">
        <v>2217</v>
      </c>
      <c r="Q998" s="4" t="s">
        <v>26</v>
      </c>
      <c r="R998" s="4">
        <v>0</v>
      </c>
      <c r="S998" s="6">
        <v>0</v>
      </c>
      <c r="T998" s="6">
        <v>17</v>
      </c>
      <c r="U998" s="6">
        <v>89</v>
      </c>
      <c r="V998" s="6">
        <f>IF(ISERROR(VLOOKUP($S$998,'TAR FIN'!$A$1:$O$93,15,0)),0,VLOOKUP($S$998,'TAR FIN'!$A$1:$O$93,15,0))</f>
        <v>0</v>
      </c>
      <c r="W998" s="6">
        <f>IF(ISERROR(VLOOKUP($T$998,'TAR FIN'!$A$1:$O$93,15,0)),0,VLOOKUP($T$998,'TAR FIN'!$A$1:$O$93,15,0))</f>
        <v>272.91000000000003</v>
      </c>
      <c r="X998" s="6">
        <f>IF(ISERROR(VLOOKUP($U$998,'TAR FIN'!$A$1:$O$93,15,0)),0,VLOOKUP($U$998,'TAR FIN'!$A$1:$O$93,15,0))</f>
        <v>185.18</v>
      </c>
      <c r="Y998" s="6"/>
      <c r="Z998" s="6">
        <f ca="1">('TUSD BE'!$AM$52+'TUSD BF'!$AM$52+'TUSD CVA'!$AM$52)*1</f>
        <v>292.16655209139662</v>
      </c>
      <c r="AA998" s="6">
        <f>('TE BE'!$AB$41+'TE BF'!$AB$41+'TE CVA'!$AB$41)*1</f>
        <v>198.18194779658231</v>
      </c>
      <c r="AB998" s="6">
        <f>$K$998*$V$998</f>
        <v>0</v>
      </c>
      <c r="AC998" s="6">
        <f>$M$998*$W$998</f>
        <v>313122.74268000002</v>
      </c>
      <c r="AD998" s="6">
        <f>$O$998*$X$998</f>
        <v>212465.90263999999</v>
      </c>
      <c r="AE998" s="6">
        <f>$K$998*$Y$998</f>
        <v>0</v>
      </c>
      <c r="AF998" s="6">
        <f ca="1">$M$998*$Z$998</f>
        <v>335216.70920895971</v>
      </c>
      <c r="AG998" s="6">
        <f>$O$998*$AA$998</f>
        <v>227383.6614405131</v>
      </c>
    </row>
    <row r="999" spans="1:33" ht="11.25" customHeight="1" x14ac:dyDescent="0.25">
      <c r="A999" s="4" t="s">
        <v>27</v>
      </c>
      <c r="B999" s="4" t="s">
        <v>33</v>
      </c>
      <c r="C999" s="4" t="s">
        <v>23</v>
      </c>
      <c r="D999" s="4" t="s">
        <v>40</v>
      </c>
      <c r="E999" s="4" t="s">
        <v>25</v>
      </c>
      <c r="F999" s="4" t="s">
        <v>25</v>
      </c>
      <c r="G999" s="4" t="s">
        <v>25</v>
      </c>
      <c r="H999" s="4" t="s">
        <v>25</v>
      </c>
      <c r="I999" s="5">
        <v>44652</v>
      </c>
      <c r="J999" s="6">
        <v>0</v>
      </c>
      <c r="K999" s="6">
        <v>0</v>
      </c>
      <c r="L999" s="6">
        <v>-40.024000000000001</v>
      </c>
      <c r="M999" s="6">
        <v>-40.024000000000001</v>
      </c>
      <c r="N999" s="6">
        <v>-40.024000000000001</v>
      </c>
      <c r="O999" s="6">
        <v>-40.024000000000001</v>
      </c>
      <c r="P999" s="6">
        <v>-2</v>
      </c>
      <c r="Q999" s="4" t="s">
        <v>26</v>
      </c>
      <c r="R999" s="4">
        <v>0</v>
      </c>
      <c r="S999" s="6">
        <v>0</v>
      </c>
      <c r="T999" s="6">
        <v>17</v>
      </c>
      <c r="U999" s="6">
        <v>89</v>
      </c>
      <c r="V999" s="6">
        <f>IF(ISERROR(VLOOKUP($S$999,'TAR FIN'!$A$1:$O$93,15,0)),0,VLOOKUP($S$999,'TAR FIN'!$A$1:$O$93,15,0))</f>
        <v>0</v>
      </c>
      <c r="W999" s="6">
        <f>IF(ISERROR(VLOOKUP($T$999,'TAR FIN'!$A$1:$O$93,15,0)),0,VLOOKUP($T$999,'TAR FIN'!$A$1:$O$93,15,0))</f>
        <v>272.91000000000003</v>
      </c>
      <c r="X999" s="6">
        <f>IF(ISERROR(VLOOKUP($U$999,'TAR FIN'!$A$1:$O$93,15,0)),0,VLOOKUP($U$999,'TAR FIN'!$A$1:$O$93,15,0))</f>
        <v>185.18</v>
      </c>
      <c r="Y999" s="6"/>
      <c r="Z999" s="6">
        <f ca="1">('TUSD BE'!$AM$52+'TUSD BF'!$AM$52+'TUSD CVA'!$AM$52)*1</f>
        <v>292.16655209139662</v>
      </c>
      <c r="AA999" s="6">
        <f>('TE BE'!$AB$41+'TE BF'!$AB$41+'TE CVA'!$AB$41)*1</f>
        <v>198.18194779658231</v>
      </c>
      <c r="AB999" s="6">
        <f>$K$999*$V$999</f>
        <v>0</v>
      </c>
      <c r="AC999" s="6">
        <f>$M$999*$W$999</f>
        <v>-10922.949840000001</v>
      </c>
      <c r="AD999" s="6">
        <f>$O$999*$X$999</f>
        <v>-7411.6443200000003</v>
      </c>
      <c r="AE999" s="6">
        <f>$K$999*$Y$999</f>
        <v>0</v>
      </c>
      <c r="AF999" s="6">
        <f ca="1">$M$999*$Z$999</f>
        <v>-11693.674080906059</v>
      </c>
      <c r="AG999" s="6">
        <f>$O$999*$AA$999</f>
        <v>-7932.0342786104102</v>
      </c>
    </row>
    <row r="1000" spans="1:33" ht="11.25" customHeight="1" x14ac:dyDescent="0.25">
      <c r="A1000" s="4" t="s">
        <v>28</v>
      </c>
      <c r="B1000" s="4" t="s">
        <v>33</v>
      </c>
      <c r="C1000" s="4" t="s">
        <v>23</v>
      </c>
      <c r="D1000" s="4" t="s">
        <v>40</v>
      </c>
      <c r="E1000" s="4" t="s">
        <v>25</v>
      </c>
      <c r="F1000" s="4" t="s">
        <v>25</v>
      </c>
      <c r="G1000" s="4" t="s">
        <v>25</v>
      </c>
      <c r="H1000" s="4" t="s">
        <v>25</v>
      </c>
      <c r="I1000" s="5">
        <v>44652</v>
      </c>
      <c r="J1000" s="6">
        <v>0</v>
      </c>
      <c r="K1000" s="6">
        <v>0</v>
      </c>
      <c r="L1000" s="6">
        <v>96.531000000000006</v>
      </c>
      <c r="M1000" s="6">
        <v>96.531000000000006</v>
      </c>
      <c r="N1000" s="6">
        <v>96.531000000000006</v>
      </c>
      <c r="O1000" s="6">
        <v>96.531000000000006</v>
      </c>
      <c r="P1000" s="6">
        <v>175</v>
      </c>
      <c r="Q1000" s="4" t="s">
        <v>26</v>
      </c>
      <c r="R1000" s="4">
        <v>0</v>
      </c>
      <c r="S1000" s="6">
        <v>0</v>
      </c>
      <c r="T1000" s="6">
        <v>17</v>
      </c>
      <c r="U1000" s="6">
        <v>89</v>
      </c>
      <c r="V1000" s="6">
        <f>IF(ISERROR(VLOOKUP($S$1000,'TAR FIN'!$A$1:$O$93,15,0)),0,VLOOKUP($S$1000,'TAR FIN'!$A$1:$O$93,15,0))</f>
        <v>0</v>
      </c>
      <c r="W1000" s="6">
        <f>IF(ISERROR(VLOOKUP($T$1000,'TAR FIN'!$A$1:$O$93,15,0)),0,VLOOKUP($T$1000,'TAR FIN'!$A$1:$O$93,15,0))</f>
        <v>272.91000000000003</v>
      </c>
      <c r="X1000" s="6">
        <f>IF(ISERROR(VLOOKUP($U$1000,'TAR FIN'!$A$1:$O$93,15,0)),0,VLOOKUP($U$1000,'TAR FIN'!$A$1:$O$93,15,0))</f>
        <v>185.18</v>
      </c>
      <c r="Y1000" s="6"/>
      <c r="Z1000" s="6">
        <f ca="1">('TUSD BE'!$AM$52+'TUSD BF'!$AM$52+'TUSD CVA'!$AM$52)*1</f>
        <v>292.16655209139662</v>
      </c>
      <c r="AA1000" s="6">
        <f>('TE BE'!$AB$41+'TE BF'!$AB$41+'TE CVA'!$AB$41)*1</f>
        <v>198.18194779658231</v>
      </c>
      <c r="AB1000" s="6">
        <f>$K$1000*$V$1000</f>
        <v>0</v>
      </c>
      <c r="AC1000" s="6">
        <f>$M$1000*$W$1000</f>
        <v>26344.275210000003</v>
      </c>
      <c r="AD1000" s="6">
        <f>$O$1000*$X$1000</f>
        <v>17875.61058</v>
      </c>
      <c r="AE1000" s="6">
        <f>$K$1000*$Y$1000</f>
        <v>0</v>
      </c>
      <c r="AF1000" s="6">
        <f ca="1">$M$1000*$Z$1000</f>
        <v>28203.129439934608</v>
      </c>
      <c r="AG1000" s="6">
        <f>$O$1000*$AA$1000</f>
        <v>19130.701602751888</v>
      </c>
    </row>
    <row r="1001" spans="1:33" ht="11.25" customHeight="1" x14ac:dyDescent="0.25">
      <c r="A1001" s="4" t="s">
        <v>21</v>
      </c>
      <c r="B1001" s="4" t="s">
        <v>33</v>
      </c>
      <c r="C1001" s="4" t="s">
        <v>23</v>
      </c>
      <c r="D1001" s="4" t="s">
        <v>40</v>
      </c>
      <c r="E1001" s="4" t="s">
        <v>25</v>
      </c>
      <c r="F1001" s="4" t="s">
        <v>25</v>
      </c>
      <c r="G1001" s="4" t="s">
        <v>25</v>
      </c>
      <c r="H1001" s="4" t="s">
        <v>25</v>
      </c>
      <c r="I1001" s="5">
        <v>44682</v>
      </c>
      <c r="J1001" s="6">
        <v>0</v>
      </c>
      <c r="K1001" s="6">
        <v>0</v>
      </c>
      <c r="L1001" s="6">
        <v>1131.5830000000001</v>
      </c>
      <c r="M1001" s="6">
        <v>1131.5830000000001</v>
      </c>
      <c r="N1001" s="6">
        <v>1131.5830000000001</v>
      </c>
      <c r="O1001" s="6">
        <v>1131.5830000000001</v>
      </c>
      <c r="P1001" s="6">
        <v>2224</v>
      </c>
      <c r="Q1001" s="4" t="s">
        <v>26</v>
      </c>
      <c r="R1001" s="4">
        <v>0</v>
      </c>
      <c r="S1001" s="6">
        <v>0</v>
      </c>
      <c r="T1001" s="6">
        <v>17</v>
      </c>
      <c r="U1001" s="6">
        <v>89</v>
      </c>
      <c r="V1001" s="6">
        <f>IF(ISERROR(VLOOKUP($S$1001,'TAR FIN'!$A$1:$O$93,15,0)),0,VLOOKUP($S$1001,'TAR FIN'!$A$1:$O$93,15,0))</f>
        <v>0</v>
      </c>
      <c r="W1001" s="6">
        <f>IF(ISERROR(VLOOKUP($T$1001,'TAR FIN'!$A$1:$O$93,15,0)),0,VLOOKUP($T$1001,'TAR FIN'!$A$1:$O$93,15,0))</f>
        <v>272.91000000000003</v>
      </c>
      <c r="X1001" s="6">
        <f>IF(ISERROR(VLOOKUP($U$1001,'TAR FIN'!$A$1:$O$93,15,0)),0,VLOOKUP($U$1001,'TAR FIN'!$A$1:$O$93,15,0))</f>
        <v>185.18</v>
      </c>
      <c r="Y1001" s="6"/>
      <c r="Z1001" s="6">
        <f ca="1">('TUSD BE'!$AM$52+'TUSD BF'!$AM$52+'TUSD CVA'!$AM$52)*1</f>
        <v>292.16655209139662</v>
      </c>
      <c r="AA1001" s="6">
        <f>('TE BE'!$AB$41+'TE BF'!$AB$41+'TE CVA'!$AB$41)*1</f>
        <v>198.18194779658231</v>
      </c>
      <c r="AB1001" s="6">
        <f>$K$1001*$V$1001</f>
        <v>0</v>
      </c>
      <c r="AC1001" s="6">
        <f>$M$1001*$W$1001</f>
        <v>308820.31653000007</v>
      </c>
      <c r="AD1001" s="6">
        <f>$O$1001*$X$1001</f>
        <v>209546.53994000002</v>
      </c>
      <c r="AE1001" s="6">
        <f>$K$1001*$Y$1001</f>
        <v>0</v>
      </c>
      <c r="AF1001" s="6">
        <f ca="1">$M$1001*$Z$1001</f>
        <v>330610.70351523889</v>
      </c>
      <c r="AG1001" s="6">
        <f>$O$1001*$AA$1001</f>
        <v>224259.32303350003</v>
      </c>
    </row>
    <row r="1002" spans="1:33" ht="11.25" customHeight="1" x14ac:dyDescent="0.25">
      <c r="A1002" s="4" t="s">
        <v>27</v>
      </c>
      <c r="B1002" s="4" t="s">
        <v>33</v>
      </c>
      <c r="C1002" s="4" t="s">
        <v>23</v>
      </c>
      <c r="D1002" s="4" t="s">
        <v>40</v>
      </c>
      <c r="E1002" s="4" t="s">
        <v>25</v>
      </c>
      <c r="F1002" s="4" t="s">
        <v>25</v>
      </c>
      <c r="G1002" s="4" t="s">
        <v>25</v>
      </c>
      <c r="H1002" s="4" t="s">
        <v>25</v>
      </c>
      <c r="I1002" s="5">
        <v>44682</v>
      </c>
      <c r="J1002" s="6">
        <v>0</v>
      </c>
      <c r="K1002" s="6">
        <v>0</v>
      </c>
      <c r="L1002" s="6">
        <v>-12.000999999999999</v>
      </c>
      <c r="M1002" s="6">
        <v>-12.000999999999999</v>
      </c>
      <c r="N1002" s="6">
        <v>-12.000999999999999</v>
      </c>
      <c r="O1002" s="6">
        <v>-12.000999999999999</v>
      </c>
      <c r="P1002" s="6">
        <v>-5</v>
      </c>
      <c r="Q1002" s="4" t="s">
        <v>26</v>
      </c>
      <c r="R1002" s="4">
        <v>0</v>
      </c>
      <c r="S1002" s="6">
        <v>0</v>
      </c>
      <c r="T1002" s="6">
        <v>17</v>
      </c>
      <c r="U1002" s="6">
        <v>89</v>
      </c>
      <c r="V1002" s="6">
        <f>IF(ISERROR(VLOOKUP($S$1002,'TAR FIN'!$A$1:$O$93,15,0)),0,VLOOKUP($S$1002,'TAR FIN'!$A$1:$O$93,15,0))</f>
        <v>0</v>
      </c>
      <c r="W1002" s="6">
        <f>IF(ISERROR(VLOOKUP($T$1002,'TAR FIN'!$A$1:$O$93,15,0)),0,VLOOKUP($T$1002,'TAR FIN'!$A$1:$O$93,15,0))</f>
        <v>272.91000000000003</v>
      </c>
      <c r="X1002" s="6">
        <f>IF(ISERROR(VLOOKUP($U$1002,'TAR FIN'!$A$1:$O$93,15,0)),0,VLOOKUP($U$1002,'TAR FIN'!$A$1:$O$93,15,0))</f>
        <v>185.18</v>
      </c>
      <c r="Y1002" s="6"/>
      <c r="Z1002" s="6">
        <f ca="1">('TUSD BE'!$AM$52+'TUSD BF'!$AM$52+'TUSD CVA'!$AM$52)*1</f>
        <v>292.16655209139662</v>
      </c>
      <c r="AA1002" s="6">
        <f>('TE BE'!$AB$41+'TE BF'!$AB$41+'TE CVA'!$AB$41)*1</f>
        <v>198.18194779658231</v>
      </c>
      <c r="AB1002" s="6">
        <f>$K$1002*$V$1002</f>
        <v>0</v>
      </c>
      <c r="AC1002" s="6">
        <f>$M$1002*$W$1002</f>
        <v>-3275.1929100000002</v>
      </c>
      <c r="AD1002" s="6">
        <f>$O$1002*$X$1002</f>
        <v>-2222.3451799999998</v>
      </c>
      <c r="AE1002" s="6">
        <f>$K$1002*$Y$1002</f>
        <v>0</v>
      </c>
      <c r="AF1002" s="6">
        <f ca="1">$M$1002*$Z$1002</f>
        <v>-3506.2907916488507</v>
      </c>
      <c r="AG1002" s="6">
        <f>$O$1002*$AA$1002</f>
        <v>-2378.381555506784</v>
      </c>
    </row>
    <row r="1003" spans="1:33" ht="11.25" customHeight="1" x14ac:dyDescent="0.25">
      <c r="A1003" s="4" t="s">
        <v>28</v>
      </c>
      <c r="B1003" s="4" t="s">
        <v>33</v>
      </c>
      <c r="C1003" s="4" t="s">
        <v>23</v>
      </c>
      <c r="D1003" s="4" t="s">
        <v>40</v>
      </c>
      <c r="E1003" s="4" t="s">
        <v>25</v>
      </c>
      <c r="F1003" s="4" t="s">
        <v>25</v>
      </c>
      <c r="G1003" s="4" t="s">
        <v>25</v>
      </c>
      <c r="H1003" s="4" t="s">
        <v>25</v>
      </c>
      <c r="I1003" s="5">
        <v>44682</v>
      </c>
      <c r="J1003" s="6">
        <v>0</v>
      </c>
      <c r="K1003" s="6">
        <v>0</v>
      </c>
      <c r="L1003" s="6">
        <v>93.521000000000001</v>
      </c>
      <c r="M1003" s="6">
        <v>93.521000000000001</v>
      </c>
      <c r="N1003" s="6">
        <v>93.521000000000001</v>
      </c>
      <c r="O1003" s="6">
        <v>93.521000000000001</v>
      </c>
      <c r="P1003" s="6">
        <v>181</v>
      </c>
      <c r="Q1003" s="4" t="s">
        <v>26</v>
      </c>
      <c r="R1003" s="4">
        <v>0</v>
      </c>
      <c r="S1003" s="6">
        <v>0</v>
      </c>
      <c r="T1003" s="6">
        <v>17</v>
      </c>
      <c r="U1003" s="6">
        <v>89</v>
      </c>
      <c r="V1003" s="6">
        <f>IF(ISERROR(VLOOKUP($S$1003,'TAR FIN'!$A$1:$O$93,15,0)),0,VLOOKUP($S$1003,'TAR FIN'!$A$1:$O$93,15,0))</f>
        <v>0</v>
      </c>
      <c r="W1003" s="6">
        <f>IF(ISERROR(VLOOKUP($T$1003,'TAR FIN'!$A$1:$O$93,15,0)),0,VLOOKUP($T$1003,'TAR FIN'!$A$1:$O$93,15,0))</f>
        <v>272.91000000000003</v>
      </c>
      <c r="X1003" s="6">
        <f>IF(ISERROR(VLOOKUP($U$1003,'TAR FIN'!$A$1:$O$93,15,0)),0,VLOOKUP($U$1003,'TAR FIN'!$A$1:$O$93,15,0))</f>
        <v>185.18</v>
      </c>
      <c r="Y1003" s="6"/>
      <c r="Z1003" s="6">
        <f ca="1">('TUSD BE'!$AM$52+'TUSD BF'!$AM$52+'TUSD CVA'!$AM$52)*1</f>
        <v>292.16655209139662</v>
      </c>
      <c r="AA1003" s="6">
        <f>('TE BE'!$AB$41+'TE BF'!$AB$41+'TE CVA'!$AB$41)*1</f>
        <v>198.18194779658231</v>
      </c>
      <c r="AB1003" s="6">
        <f>$K$1003*$V$1003</f>
        <v>0</v>
      </c>
      <c r="AC1003" s="6">
        <f>$M$1003*$W$1003</f>
        <v>25522.816110000003</v>
      </c>
      <c r="AD1003" s="6">
        <f>$O$1003*$X$1003</f>
        <v>17318.218779999999</v>
      </c>
      <c r="AE1003" s="6">
        <f>$K$1003*$Y$1003</f>
        <v>0</v>
      </c>
      <c r="AF1003" s="6">
        <f ca="1">$M$1003*$Z$1003</f>
        <v>27323.708118139504</v>
      </c>
      <c r="AG1003" s="6">
        <f>$O$1003*$AA$1003</f>
        <v>18534.173939884175</v>
      </c>
    </row>
    <row r="1004" spans="1:33" ht="11.25" customHeight="1" x14ac:dyDescent="0.25">
      <c r="A1004" s="4" t="s">
        <v>21</v>
      </c>
      <c r="B1004" s="4" t="s">
        <v>33</v>
      </c>
      <c r="C1004" s="4" t="s">
        <v>23</v>
      </c>
      <c r="D1004" s="4" t="s">
        <v>40</v>
      </c>
      <c r="E1004" s="4" t="s">
        <v>25</v>
      </c>
      <c r="F1004" s="4" t="s">
        <v>25</v>
      </c>
      <c r="G1004" s="4" t="s">
        <v>25</v>
      </c>
      <c r="H1004" s="4" t="s">
        <v>25</v>
      </c>
      <c r="I1004" s="5">
        <v>44713</v>
      </c>
      <c r="J1004" s="6">
        <v>0</v>
      </c>
      <c r="K1004" s="6">
        <v>0</v>
      </c>
      <c r="L1004" s="6">
        <v>1098.05</v>
      </c>
      <c r="M1004" s="6">
        <v>1098.05</v>
      </c>
      <c r="N1004" s="6">
        <v>1098.05</v>
      </c>
      <c r="O1004" s="6">
        <v>1098.05</v>
      </c>
      <c r="P1004" s="6">
        <v>2233</v>
      </c>
      <c r="Q1004" s="4" t="s">
        <v>26</v>
      </c>
      <c r="R1004" s="4">
        <v>0</v>
      </c>
      <c r="S1004" s="6">
        <v>0</v>
      </c>
      <c r="T1004" s="6">
        <v>17</v>
      </c>
      <c r="U1004" s="6">
        <v>89</v>
      </c>
      <c r="V1004" s="6">
        <f>IF(ISERROR(VLOOKUP($S$1004,'TAR FIN'!$A$1:$O$93,15,0)),0,VLOOKUP($S$1004,'TAR FIN'!$A$1:$O$93,15,0))</f>
        <v>0</v>
      </c>
      <c r="W1004" s="6">
        <f>IF(ISERROR(VLOOKUP($T$1004,'TAR FIN'!$A$1:$O$93,15,0)),0,VLOOKUP($T$1004,'TAR FIN'!$A$1:$O$93,15,0))</f>
        <v>272.91000000000003</v>
      </c>
      <c r="X1004" s="6">
        <f>IF(ISERROR(VLOOKUP($U$1004,'TAR FIN'!$A$1:$O$93,15,0)),0,VLOOKUP($U$1004,'TAR FIN'!$A$1:$O$93,15,0))</f>
        <v>185.18</v>
      </c>
      <c r="Y1004" s="6"/>
      <c r="Z1004" s="6">
        <f ca="1">('TUSD BE'!$AM$52+'TUSD BF'!$AM$52+'TUSD CVA'!$AM$52)*1</f>
        <v>292.16655209139662</v>
      </c>
      <c r="AA1004" s="6">
        <f>('TE BE'!$AB$41+'TE BF'!$AB$41+'TE CVA'!$AB$41)*1</f>
        <v>198.18194779658231</v>
      </c>
      <c r="AB1004" s="6">
        <f>$K$1004*$V$1004</f>
        <v>0</v>
      </c>
      <c r="AC1004" s="6">
        <f>$M$1004*$W$1004</f>
        <v>299668.82550000004</v>
      </c>
      <c r="AD1004" s="6">
        <f>$O$1004*$X$1004</f>
        <v>203336.899</v>
      </c>
      <c r="AE1004" s="6">
        <f>$K$1004*$Y$1004</f>
        <v>0</v>
      </c>
      <c r="AF1004" s="6">
        <f ca="1">$M$1004*$Z$1004</f>
        <v>320813.48252395802</v>
      </c>
      <c r="AG1004" s="6">
        <f>$O$1004*$AA$1004</f>
        <v>217613.68777803719</v>
      </c>
    </row>
    <row r="1005" spans="1:33" ht="11.25" customHeight="1" x14ac:dyDescent="0.25">
      <c r="A1005" s="4" t="s">
        <v>27</v>
      </c>
      <c r="B1005" s="4" t="s">
        <v>33</v>
      </c>
      <c r="C1005" s="4" t="s">
        <v>23</v>
      </c>
      <c r="D1005" s="4" t="s">
        <v>40</v>
      </c>
      <c r="E1005" s="4" t="s">
        <v>25</v>
      </c>
      <c r="F1005" s="4" t="s">
        <v>25</v>
      </c>
      <c r="G1005" s="4" t="s">
        <v>25</v>
      </c>
      <c r="H1005" s="4" t="s">
        <v>25</v>
      </c>
      <c r="I1005" s="5">
        <v>44713</v>
      </c>
      <c r="J1005" s="6">
        <v>0</v>
      </c>
      <c r="K1005" s="6">
        <v>0</v>
      </c>
      <c r="L1005" s="6">
        <v>-2.597</v>
      </c>
      <c r="M1005" s="6">
        <v>-2.597</v>
      </c>
      <c r="N1005" s="6">
        <v>-2.597</v>
      </c>
      <c r="O1005" s="6">
        <v>-2.597</v>
      </c>
      <c r="P1005" s="6">
        <v>-5</v>
      </c>
      <c r="Q1005" s="4" t="s">
        <v>26</v>
      </c>
      <c r="R1005" s="4">
        <v>0</v>
      </c>
      <c r="S1005" s="6">
        <v>0</v>
      </c>
      <c r="T1005" s="6">
        <v>17</v>
      </c>
      <c r="U1005" s="6">
        <v>89</v>
      </c>
      <c r="V1005" s="6">
        <f>IF(ISERROR(VLOOKUP($S$1005,'TAR FIN'!$A$1:$O$93,15,0)),0,VLOOKUP($S$1005,'TAR FIN'!$A$1:$O$93,15,0))</f>
        <v>0</v>
      </c>
      <c r="W1005" s="6">
        <f>IF(ISERROR(VLOOKUP($T$1005,'TAR FIN'!$A$1:$O$93,15,0)),0,VLOOKUP($T$1005,'TAR FIN'!$A$1:$O$93,15,0))</f>
        <v>272.91000000000003</v>
      </c>
      <c r="X1005" s="6">
        <f>IF(ISERROR(VLOOKUP($U$1005,'TAR FIN'!$A$1:$O$93,15,0)),0,VLOOKUP($U$1005,'TAR FIN'!$A$1:$O$93,15,0))</f>
        <v>185.18</v>
      </c>
      <c r="Y1005" s="6"/>
      <c r="Z1005" s="6">
        <f ca="1">('TUSD BE'!$AM$52+'TUSD BF'!$AM$52+'TUSD CVA'!$AM$52)*1</f>
        <v>292.16655209139662</v>
      </c>
      <c r="AA1005" s="6">
        <f>('TE BE'!$AB$41+'TE BF'!$AB$41+'TE CVA'!$AB$41)*1</f>
        <v>198.18194779658231</v>
      </c>
      <c r="AB1005" s="6">
        <f>$K$1005*$V$1005</f>
        <v>0</v>
      </c>
      <c r="AC1005" s="6">
        <f>$M$1005*$W$1005</f>
        <v>-708.74727000000007</v>
      </c>
      <c r="AD1005" s="6">
        <f>$O$1005*$X$1005</f>
        <v>-480.91246000000001</v>
      </c>
      <c r="AE1005" s="6">
        <f>$K$1005*$Y$1005</f>
        <v>0</v>
      </c>
      <c r="AF1005" s="6">
        <f ca="1">$M$1005*$Z$1005</f>
        <v>-758.756535781357</v>
      </c>
      <c r="AG1005" s="6">
        <f>$O$1005*$AA$1005</f>
        <v>-514.67851842772427</v>
      </c>
    </row>
    <row r="1006" spans="1:33" ht="11.25" customHeight="1" x14ac:dyDescent="0.25">
      <c r="A1006" s="4" t="s">
        <v>28</v>
      </c>
      <c r="B1006" s="4" t="s">
        <v>33</v>
      </c>
      <c r="C1006" s="4" t="s">
        <v>23</v>
      </c>
      <c r="D1006" s="4" t="s">
        <v>40</v>
      </c>
      <c r="E1006" s="4" t="s">
        <v>25</v>
      </c>
      <c r="F1006" s="4" t="s">
        <v>25</v>
      </c>
      <c r="G1006" s="4" t="s">
        <v>25</v>
      </c>
      <c r="H1006" s="4" t="s">
        <v>25</v>
      </c>
      <c r="I1006" s="5">
        <v>44713</v>
      </c>
      <c r="J1006" s="6">
        <v>0</v>
      </c>
      <c r="K1006" s="6">
        <v>0</v>
      </c>
      <c r="L1006" s="6">
        <v>105.077</v>
      </c>
      <c r="M1006" s="6">
        <v>105.077</v>
      </c>
      <c r="N1006" s="6">
        <v>105.077</v>
      </c>
      <c r="O1006" s="6">
        <v>105.077</v>
      </c>
      <c r="P1006" s="6">
        <v>185</v>
      </c>
      <c r="Q1006" s="4" t="s">
        <v>26</v>
      </c>
      <c r="R1006" s="4">
        <v>0</v>
      </c>
      <c r="S1006" s="6">
        <v>0</v>
      </c>
      <c r="T1006" s="6">
        <v>17</v>
      </c>
      <c r="U1006" s="6">
        <v>89</v>
      </c>
      <c r="V1006" s="6">
        <f>IF(ISERROR(VLOOKUP($S$1006,'TAR FIN'!$A$1:$O$93,15,0)),0,VLOOKUP($S$1006,'TAR FIN'!$A$1:$O$93,15,0))</f>
        <v>0</v>
      </c>
      <c r="W1006" s="6">
        <f>IF(ISERROR(VLOOKUP($T$1006,'TAR FIN'!$A$1:$O$93,15,0)),0,VLOOKUP($T$1006,'TAR FIN'!$A$1:$O$93,15,0))</f>
        <v>272.91000000000003</v>
      </c>
      <c r="X1006" s="6">
        <f>IF(ISERROR(VLOOKUP($U$1006,'TAR FIN'!$A$1:$O$93,15,0)),0,VLOOKUP($U$1006,'TAR FIN'!$A$1:$O$93,15,0))</f>
        <v>185.18</v>
      </c>
      <c r="Y1006" s="6"/>
      <c r="Z1006" s="6">
        <f ca="1">('TUSD BE'!$AM$52+'TUSD BF'!$AM$52+'TUSD CVA'!$AM$52)*1</f>
        <v>292.16655209139662</v>
      </c>
      <c r="AA1006" s="6">
        <f>('TE BE'!$AB$41+'TE BF'!$AB$41+'TE CVA'!$AB$41)*1</f>
        <v>198.18194779658231</v>
      </c>
      <c r="AB1006" s="6">
        <f>$K$1006*$V$1006</f>
        <v>0</v>
      </c>
      <c r="AC1006" s="6">
        <f>$M$1006*$W$1006</f>
        <v>28676.56407</v>
      </c>
      <c r="AD1006" s="6">
        <f>$O$1006*$X$1006</f>
        <v>19458.15886</v>
      </c>
      <c r="AE1006" s="6">
        <f>$K$1006*$Y$1006</f>
        <v>0</v>
      </c>
      <c r="AF1006" s="6">
        <f ca="1">$M$1006*$Z$1006</f>
        <v>30699.984794107684</v>
      </c>
      <c r="AG1006" s="6">
        <f>$O$1006*$AA$1006</f>
        <v>20824.364528621478</v>
      </c>
    </row>
    <row r="1007" spans="1:33" ht="11.25" customHeight="1" x14ac:dyDescent="0.25">
      <c r="A1007" s="4" t="s">
        <v>21</v>
      </c>
      <c r="B1007" s="4" t="s">
        <v>33</v>
      </c>
      <c r="C1007" s="4" t="s">
        <v>23</v>
      </c>
      <c r="D1007" s="4" t="s">
        <v>49</v>
      </c>
      <c r="E1007" s="4" t="s">
        <v>25</v>
      </c>
      <c r="F1007" s="4" t="s">
        <v>25</v>
      </c>
      <c r="G1007" s="4" t="s">
        <v>25</v>
      </c>
      <c r="H1007" s="4" t="s">
        <v>25</v>
      </c>
      <c r="I1007" s="5">
        <v>44378</v>
      </c>
      <c r="J1007" s="6">
        <v>0</v>
      </c>
      <c r="K1007" s="6">
        <v>0</v>
      </c>
      <c r="L1007" s="6">
        <v>16.654</v>
      </c>
      <c r="M1007" s="6">
        <v>16.654</v>
      </c>
      <c r="N1007" s="6">
        <v>16.654</v>
      </c>
      <c r="O1007" s="6">
        <v>16.654</v>
      </c>
      <c r="P1007" s="6">
        <v>13</v>
      </c>
      <c r="Q1007" s="4" t="s">
        <v>26</v>
      </c>
      <c r="R1007" s="4">
        <v>0</v>
      </c>
      <c r="S1007" s="6">
        <v>0</v>
      </c>
      <c r="T1007" s="6">
        <v>17</v>
      </c>
      <c r="U1007" s="6">
        <v>89</v>
      </c>
      <c r="V1007" s="6">
        <f>IF(ISERROR(VLOOKUP($S$1007,'TAR FIN'!$A$1:$O$93,15,0)),0,VLOOKUP($S$1007,'TAR FIN'!$A$1:$O$93,15,0))</f>
        <v>0</v>
      </c>
      <c r="W1007" s="6">
        <f>IF(ISERROR(VLOOKUP($T$1007,'TAR FIN'!$A$1:$O$93,15,0)),0,VLOOKUP($T$1007,'TAR FIN'!$A$1:$O$93,15,0))</f>
        <v>272.91000000000003</v>
      </c>
      <c r="X1007" s="6">
        <f>IF(ISERROR(VLOOKUP($U$1007,'TAR FIN'!$A$1:$O$93,15,0)),0,VLOOKUP($U$1007,'TAR FIN'!$A$1:$O$93,15,0))</f>
        <v>185.18</v>
      </c>
      <c r="Y1007" s="6"/>
      <c r="Z1007" s="6">
        <f ca="1">('TUSD BE'!$AM$52+'TUSD BF'!$AM$52+'TUSD CVA'!$AM$52)*1</f>
        <v>292.16655209139662</v>
      </c>
      <c r="AA1007" s="6">
        <f>('TE BE'!$AB$41+'TE BF'!$AB$41+'TE CVA'!$AB$41)*1</f>
        <v>198.18194779658231</v>
      </c>
      <c r="AB1007" s="6">
        <f>$K$1007*$V$1007</f>
        <v>0</v>
      </c>
      <c r="AC1007" s="6">
        <f>$M$1007*$W$1007</f>
        <v>4545.0431400000007</v>
      </c>
      <c r="AD1007" s="6">
        <f>$O$1007*$X$1007</f>
        <v>3083.9877200000001</v>
      </c>
      <c r="AE1007" s="6">
        <f>$K$1007*$Y$1007</f>
        <v>0</v>
      </c>
      <c r="AF1007" s="6">
        <f ca="1">$M$1007*$Z$1007</f>
        <v>4865.7417585301191</v>
      </c>
      <c r="AG1007" s="6">
        <f>$O$1007*$AA$1007</f>
        <v>3300.5221586042817</v>
      </c>
    </row>
    <row r="1008" spans="1:33" ht="11.25" customHeight="1" x14ac:dyDescent="0.25">
      <c r="A1008" s="4" t="s">
        <v>21</v>
      </c>
      <c r="B1008" s="4" t="s">
        <v>33</v>
      </c>
      <c r="C1008" s="4" t="s">
        <v>23</v>
      </c>
      <c r="D1008" s="4" t="s">
        <v>49</v>
      </c>
      <c r="E1008" s="4" t="s">
        <v>25</v>
      </c>
      <c r="F1008" s="4" t="s">
        <v>25</v>
      </c>
      <c r="G1008" s="4" t="s">
        <v>25</v>
      </c>
      <c r="H1008" s="4" t="s">
        <v>25</v>
      </c>
      <c r="I1008" s="5">
        <v>44409</v>
      </c>
      <c r="J1008" s="6">
        <v>0</v>
      </c>
      <c r="K1008" s="6">
        <v>0</v>
      </c>
      <c r="L1008" s="6">
        <v>17.527999999999999</v>
      </c>
      <c r="M1008" s="6">
        <v>17.527999999999999</v>
      </c>
      <c r="N1008" s="6">
        <v>17.527999999999999</v>
      </c>
      <c r="O1008" s="6">
        <v>17.527999999999999</v>
      </c>
      <c r="P1008" s="6">
        <v>13</v>
      </c>
      <c r="Q1008" s="4" t="s">
        <v>26</v>
      </c>
      <c r="R1008" s="4">
        <v>0</v>
      </c>
      <c r="S1008" s="6">
        <v>0</v>
      </c>
      <c r="T1008" s="6">
        <v>17</v>
      </c>
      <c r="U1008" s="6">
        <v>89</v>
      </c>
      <c r="V1008" s="6">
        <f>IF(ISERROR(VLOOKUP($S$1008,'TAR FIN'!$A$1:$O$93,15,0)),0,VLOOKUP($S$1008,'TAR FIN'!$A$1:$O$93,15,0))</f>
        <v>0</v>
      </c>
      <c r="W1008" s="6">
        <f>IF(ISERROR(VLOOKUP($T$1008,'TAR FIN'!$A$1:$O$93,15,0)),0,VLOOKUP($T$1008,'TAR FIN'!$A$1:$O$93,15,0))</f>
        <v>272.91000000000003</v>
      </c>
      <c r="X1008" s="6">
        <f>IF(ISERROR(VLOOKUP($U$1008,'TAR FIN'!$A$1:$O$93,15,0)),0,VLOOKUP($U$1008,'TAR FIN'!$A$1:$O$93,15,0))</f>
        <v>185.18</v>
      </c>
      <c r="Y1008" s="6"/>
      <c r="Z1008" s="6">
        <f ca="1">('TUSD BE'!$AM$52+'TUSD BF'!$AM$52+'TUSD CVA'!$AM$52)*1</f>
        <v>292.16655209139662</v>
      </c>
      <c r="AA1008" s="6">
        <f>('TE BE'!$AB$41+'TE BF'!$AB$41+'TE CVA'!$AB$41)*1</f>
        <v>198.18194779658231</v>
      </c>
      <c r="AB1008" s="6">
        <f>$K$1008*$V$1008</f>
        <v>0</v>
      </c>
      <c r="AC1008" s="6">
        <f>$M$1008*$W$1008</f>
        <v>4783.5664800000004</v>
      </c>
      <c r="AD1008" s="6">
        <f>$O$1008*$X$1008</f>
        <v>3245.8350399999999</v>
      </c>
      <c r="AE1008" s="6">
        <f>$K$1008*$Y$1008</f>
        <v>0</v>
      </c>
      <c r="AF1008" s="6">
        <f ca="1">$M$1008*$Z$1008</f>
        <v>5121.0953250579996</v>
      </c>
      <c r="AG1008" s="6">
        <f>$O$1008*$AA$1008</f>
        <v>3473.7331809784946</v>
      </c>
    </row>
    <row r="1009" spans="1:33" ht="11.25" customHeight="1" x14ac:dyDescent="0.25">
      <c r="A1009" s="4" t="s">
        <v>21</v>
      </c>
      <c r="B1009" s="4" t="s">
        <v>33</v>
      </c>
      <c r="C1009" s="4" t="s">
        <v>23</v>
      </c>
      <c r="D1009" s="4" t="s">
        <v>49</v>
      </c>
      <c r="E1009" s="4" t="s">
        <v>25</v>
      </c>
      <c r="F1009" s="4" t="s">
        <v>25</v>
      </c>
      <c r="G1009" s="4" t="s">
        <v>25</v>
      </c>
      <c r="H1009" s="4" t="s">
        <v>25</v>
      </c>
      <c r="I1009" s="5">
        <v>44440</v>
      </c>
      <c r="J1009" s="6">
        <v>0</v>
      </c>
      <c r="K1009" s="6">
        <v>0</v>
      </c>
      <c r="L1009" s="6">
        <v>18.817</v>
      </c>
      <c r="M1009" s="6">
        <v>18.817</v>
      </c>
      <c r="N1009" s="6">
        <v>18.817</v>
      </c>
      <c r="O1009" s="6">
        <v>18.817</v>
      </c>
      <c r="P1009" s="6">
        <v>13</v>
      </c>
      <c r="Q1009" s="4" t="s">
        <v>26</v>
      </c>
      <c r="R1009" s="4">
        <v>0</v>
      </c>
      <c r="S1009" s="6">
        <v>0</v>
      </c>
      <c r="T1009" s="6">
        <v>17</v>
      </c>
      <c r="U1009" s="6">
        <v>89</v>
      </c>
      <c r="V1009" s="6">
        <f>IF(ISERROR(VLOOKUP($S$1009,'TAR FIN'!$A$1:$O$93,15,0)),0,VLOOKUP($S$1009,'TAR FIN'!$A$1:$O$93,15,0))</f>
        <v>0</v>
      </c>
      <c r="W1009" s="6">
        <f>IF(ISERROR(VLOOKUP($T$1009,'TAR FIN'!$A$1:$O$93,15,0)),0,VLOOKUP($T$1009,'TAR FIN'!$A$1:$O$93,15,0))</f>
        <v>272.91000000000003</v>
      </c>
      <c r="X1009" s="6">
        <f>IF(ISERROR(VLOOKUP($U$1009,'TAR FIN'!$A$1:$O$93,15,0)),0,VLOOKUP($U$1009,'TAR FIN'!$A$1:$O$93,15,0))</f>
        <v>185.18</v>
      </c>
      <c r="Y1009" s="6"/>
      <c r="Z1009" s="6">
        <f ca="1">('TUSD BE'!$AM$52+'TUSD BF'!$AM$52+'TUSD CVA'!$AM$52)*1</f>
        <v>292.16655209139662</v>
      </c>
      <c r="AA1009" s="6">
        <f>('TE BE'!$AB$41+'TE BF'!$AB$41+'TE CVA'!$AB$41)*1</f>
        <v>198.18194779658231</v>
      </c>
      <c r="AB1009" s="6">
        <f>$K$1009*$V$1009</f>
        <v>0</v>
      </c>
      <c r="AC1009" s="6">
        <f>$M$1009*$W$1009</f>
        <v>5135.3474700000006</v>
      </c>
      <c r="AD1009" s="6">
        <f>$O$1009*$X$1009</f>
        <v>3484.53206</v>
      </c>
      <c r="AE1009" s="6">
        <f>$K$1009*$Y$1009</f>
        <v>0</v>
      </c>
      <c r="AF1009" s="6">
        <f ca="1">$M$1009*$Z$1009</f>
        <v>5497.6980107038107</v>
      </c>
      <c r="AG1009" s="6">
        <f>$O$1009*$AA$1009</f>
        <v>3729.1897116882892</v>
      </c>
    </row>
    <row r="1010" spans="1:33" ht="11.25" customHeight="1" x14ac:dyDescent="0.25">
      <c r="A1010" s="4" t="s">
        <v>21</v>
      </c>
      <c r="B1010" s="4" t="s">
        <v>33</v>
      </c>
      <c r="C1010" s="4" t="s">
        <v>23</v>
      </c>
      <c r="D1010" s="4" t="s">
        <v>49</v>
      </c>
      <c r="E1010" s="4" t="s">
        <v>25</v>
      </c>
      <c r="F1010" s="4" t="s">
        <v>25</v>
      </c>
      <c r="G1010" s="4" t="s">
        <v>25</v>
      </c>
      <c r="H1010" s="4" t="s">
        <v>25</v>
      </c>
      <c r="I1010" s="5">
        <v>44470</v>
      </c>
      <c r="J1010" s="6">
        <v>0</v>
      </c>
      <c r="K1010" s="6">
        <v>0</v>
      </c>
      <c r="L1010" s="6">
        <v>18.372</v>
      </c>
      <c r="M1010" s="6">
        <v>18.372</v>
      </c>
      <c r="N1010" s="6">
        <v>18.372</v>
      </c>
      <c r="O1010" s="6">
        <v>18.372</v>
      </c>
      <c r="P1010" s="6">
        <v>13</v>
      </c>
      <c r="Q1010" s="4" t="s">
        <v>26</v>
      </c>
      <c r="R1010" s="4">
        <v>0</v>
      </c>
      <c r="S1010" s="6">
        <v>0</v>
      </c>
      <c r="T1010" s="6">
        <v>17</v>
      </c>
      <c r="U1010" s="6">
        <v>89</v>
      </c>
      <c r="V1010" s="6">
        <f>IF(ISERROR(VLOOKUP($S$1010,'TAR FIN'!$A$1:$O$93,15,0)),0,VLOOKUP($S$1010,'TAR FIN'!$A$1:$O$93,15,0))</f>
        <v>0</v>
      </c>
      <c r="W1010" s="6">
        <f>IF(ISERROR(VLOOKUP($T$1010,'TAR FIN'!$A$1:$O$93,15,0)),0,VLOOKUP($T$1010,'TAR FIN'!$A$1:$O$93,15,0))</f>
        <v>272.91000000000003</v>
      </c>
      <c r="X1010" s="6">
        <f>IF(ISERROR(VLOOKUP($U$1010,'TAR FIN'!$A$1:$O$93,15,0)),0,VLOOKUP($U$1010,'TAR FIN'!$A$1:$O$93,15,0))</f>
        <v>185.18</v>
      </c>
      <c r="Y1010" s="6"/>
      <c r="Z1010" s="6">
        <f ca="1">('TUSD BE'!$AM$52+'TUSD BF'!$AM$52+'TUSD CVA'!$AM$52)*1</f>
        <v>292.16655209139662</v>
      </c>
      <c r="AA1010" s="6">
        <f>('TE BE'!$AB$41+'TE BF'!$AB$41+'TE CVA'!$AB$41)*1</f>
        <v>198.18194779658231</v>
      </c>
      <c r="AB1010" s="6">
        <f>$K$1010*$V$1010</f>
        <v>0</v>
      </c>
      <c r="AC1010" s="6">
        <f>$M$1010*$W$1010</f>
        <v>5013.9025200000005</v>
      </c>
      <c r="AD1010" s="6">
        <f>$O$1010*$X$1010</f>
        <v>3402.1269600000001</v>
      </c>
      <c r="AE1010" s="6">
        <f>$K$1010*$Y$1010</f>
        <v>0</v>
      </c>
      <c r="AF1010" s="6">
        <f ca="1">$M$1010*$Z$1010</f>
        <v>5367.6838950231386</v>
      </c>
      <c r="AG1010" s="6">
        <f>$O$1010*$AA$1010</f>
        <v>3640.9987449188102</v>
      </c>
    </row>
    <row r="1011" spans="1:33" ht="11.25" customHeight="1" x14ac:dyDescent="0.25">
      <c r="A1011" s="4" t="s">
        <v>21</v>
      </c>
      <c r="B1011" s="4" t="s">
        <v>33</v>
      </c>
      <c r="C1011" s="4" t="s">
        <v>23</v>
      </c>
      <c r="D1011" s="4" t="s">
        <v>49</v>
      </c>
      <c r="E1011" s="4" t="s">
        <v>25</v>
      </c>
      <c r="F1011" s="4" t="s">
        <v>25</v>
      </c>
      <c r="G1011" s="4" t="s">
        <v>25</v>
      </c>
      <c r="H1011" s="4" t="s">
        <v>25</v>
      </c>
      <c r="I1011" s="5">
        <v>44501</v>
      </c>
      <c r="J1011" s="6">
        <v>0</v>
      </c>
      <c r="K1011" s="6">
        <v>0</v>
      </c>
      <c r="L1011" s="6">
        <v>19.646000000000001</v>
      </c>
      <c r="M1011" s="6">
        <v>19.646000000000001</v>
      </c>
      <c r="N1011" s="6">
        <v>19.646000000000001</v>
      </c>
      <c r="O1011" s="6">
        <v>19.646000000000001</v>
      </c>
      <c r="P1011" s="6">
        <v>13</v>
      </c>
      <c r="Q1011" s="4" t="s">
        <v>26</v>
      </c>
      <c r="R1011" s="4">
        <v>0</v>
      </c>
      <c r="S1011" s="6">
        <v>0</v>
      </c>
      <c r="T1011" s="6">
        <v>17</v>
      </c>
      <c r="U1011" s="6">
        <v>89</v>
      </c>
      <c r="V1011" s="6">
        <f>IF(ISERROR(VLOOKUP($S$1011,'TAR FIN'!$A$1:$O$93,15,0)),0,VLOOKUP($S$1011,'TAR FIN'!$A$1:$O$93,15,0))</f>
        <v>0</v>
      </c>
      <c r="W1011" s="6">
        <f>IF(ISERROR(VLOOKUP($T$1011,'TAR FIN'!$A$1:$O$93,15,0)),0,VLOOKUP($T$1011,'TAR FIN'!$A$1:$O$93,15,0))</f>
        <v>272.91000000000003</v>
      </c>
      <c r="X1011" s="6">
        <f>IF(ISERROR(VLOOKUP($U$1011,'TAR FIN'!$A$1:$O$93,15,0)),0,VLOOKUP($U$1011,'TAR FIN'!$A$1:$O$93,15,0))</f>
        <v>185.18</v>
      </c>
      <c r="Y1011" s="6"/>
      <c r="Z1011" s="6">
        <f ca="1">('TUSD BE'!$AM$52+'TUSD BF'!$AM$52+'TUSD CVA'!$AM$52)*1</f>
        <v>292.16655209139662</v>
      </c>
      <c r="AA1011" s="6">
        <f>('TE BE'!$AB$41+'TE BF'!$AB$41+'TE CVA'!$AB$41)*1</f>
        <v>198.18194779658231</v>
      </c>
      <c r="AB1011" s="6">
        <f>$K$1011*$V$1011</f>
        <v>0</v>
      </c>
      <c r="AC1011" s="6">
        <f>$M$1011*$W$1011</f>
        <v>5361.589860000001</v>
      </c>
      <c r="AD1011" s="6">
        <f>$O$1011*$X$1011</f>
        <v>3638.0462800000005</v>
      </c>
      <c r="AE1011" s="6">
        <f>$K$1011*$Y$1011</f>
        <v>0</v>
      </c>
      <c r="AF1011" s="6">
        <f ca="1">$M$1011*$Z$1011</f>
        <v>5739.9040823875785</v>
      </c>
      <c r="AG1011" s="6">
        <f>$O$1011*$AA$1011</f>
        <v>3893.4825464116561</v>
      </c>
    </row>
    <row r="1012" spans="1:33" ht="11.25" customHeight="1" x14ac:dyDescent="0.25">
      <c r="A1012" s="4" t="s">
        <v>21</v>
      </c>
      <c r="B1012" s="4" t="s">
        <v>33</v>
      </c>
      <c r="C1012" s="4" t="s">
        <v>23</v>
      </c>
      <c r="D1012" s="4" t="s">
        <v>49</v>
      </c>
      <c r="E1012" s="4" t="s">
        <v>25</v>
      </c>
      <c r="F1012" s="4" t="s">
        <v>25</v>
      </c>
      <c r="G1012" s="4" t="s">
        <v>25</v>
      </c>
      <c r="H1012" s="4" t="s">
        <v>25</v>
      </c>
      <c r="I1012" s="5">
        <v>44531</v>
      </c>
      <c r="J1012" s="6">
        <v>0</v>
      </c>
      <c r="K1012" s="6">
        <v>0</v>
      </c>
      <c r="L1012" s="6">
        <v>19.978000000000002</v>
      </c>
      <c r="M1012" s="6">
        <v>19.978000000000002</v>
      </c>
      <c r="N1012" s="6">
        <v>19.978000000000002</v>
      </c>
      <c r="O1012" s="6">
        <v>19.978000000000002</v>
      </c>
      <c r="P1012" s="6">
        <v>14</v>
      </c>
      <c r="Q1012" s="4" t="s">
        <v>26</v>
      </c>
      <c r="R1012" s="4">
        <v>0</v>
      </c>
      <c r="S1012" s="6">
        <v>0</v>
      </c>
      <c r="T1012" s="6">
        <v>17</v>
      </c>
      <c r="U1012" s="6">
        <v>89</v>
      </c>
      <c r="V1012" s="6">
        <f>IF(ISERROR(VLOOKUP($S$1012,'TAR FIN'!$A$1:$O$93,15,0)),0,VLOOKUP($S$1012,'TAR FIN'!$A$1:$O$93,15,0))</f>
        <v>0</v>
      </c>
      <c r="W1012" s="6">
        <f>IF(ISERROR(VLOOKUP($T$1012,'TAR FIN'!$A$1:$O$93,15,0)),0,VLOOKUP($T$1012,'TAR FIN'!$A$1:$O$93,15,0))</f>
        <v>272.91000000000003</v>
      </c>
      <c r="X1012" s="6">
        <f>IF(ISERROR(VLOOKUP($U$1012,'TAR FIN'!$A$1:$O$93,15,0)),0,VLOOKUP($U$1012,'TAR FIN'!$A$1:$O$93,15,0))</f>
        <v>185.18</v>
      </c>
      <c r="Y1012" s="6"/>
      <c r="Z1012" s="6">
        <f ca="1">('TUSD BE'!$AM$52+'TUSD BF'!$AM$52+'TUSD CVA'!$AM$52)*1</f>
        <v>292.16655209139662</v>
      </c>
      <c r="AA1012" s="6">
        <f>('TE BE'!$AB$41+'TE BF'!$AB$41+'TE CVA'!$AB$41)*1</f>
        <v>198.18194779658231</v>
      </c>
      <c r="AB1012" s="6">
        <f>$K$1012*$V$1012</f>
        <v>0</v>
      </c>
      <c r="AC1012" s="6">
        <f>$M$1012*$W$1012</f>
        <v>5452.1959800000013</v>
      </c>
      <c r="AD1012" s="6">
        <f>$O$1012*$X$1012</f>
        <v>3699.5260400000002</v>
      </c>
      <c r="AE1012" s="6">
        <f>$K$1012*$Y$1012</f>
        <v>0</v>
      </c>
      <c r="AF1012" s="6">
        <f ca="1">$M$1012*$Z$1012</f>
        <v>5836.9033776819224</v>
      </c>
      <c r="AG1012" s="6">
        <f>$O$1012*$AA$1012</f>
        <v>3959.2789530801215</v>
      </c>
    </row>
    <row r="1013" spans="1:33" ht="11.25" customHeight="1" x14ac:dyDescent="0.25">
      <c r="A1013" s="4" t="s">
        <v>21</v>
      </c>
      <c r="B1013" s="4" t="s">
        <v>33</v>
      </c>
      <c r="C1013" s="4" t="s">
        <v>23</v>
      </c>
      <c r="D1013" s="4" t="s">
        <v>49</v>
      </c>
      <c r="E1013" s="4" t="s">
        <v>25</v>
      </c>
      <c r="F1013" s="4" t="s">
        <v>25</v>
      </c>
      <c r="G1013" s="4" t="s">
        <v>25</v>
      </c>
      <c r="H1013" s="4" t="s">
        <v>25</v>
      </c>
      <c r="I1013" s="5">
        <v>44562</v>
      </c>
      <c r="J1013" s="6">
        <v>0</v>
      </c>
      <c r="K1013" s="6">
        <v>0</v>
      </c>
      <c r="L1013" s="6">
        <v>24.887</v>
      </c>
      <c r="M1013" s="6">
        <v>24.887</v>
      </c>
      <c r="N1013" s="6">
        <v>24.887</v>
      </c>
      <c r="O1013" s="6">
        <v>24.887</v>
      </c>
      <c r="P1013" s="6">
        <v>14</v>
      </c>
      <c r="Q1013" s="4" t="s">
        <v>26</v>
      </c>
      <c r="R1013" s="4">
        <v>0</v>
      </c>
      <c r="S1013" s="6">
        <v>0</v>
      </c>
      <c r="T1013" s="6">
        <v>17</v>
      </c>
      <c r="U1013" s="6">
        <v>89</v>
      </c>
      <c r="V1013" s="6">
        <f>IF(ISERROR(VLOOKUP($S$1013,'TAR FIN'!$A$1:$O$93,15,0)),0,VLOOKUP($S$1013,'TAR FIN'!$A$1:$O$93,15,0))</f>
        <v>0</v>
      </c>
      <c r="W1013" s="6">
        <f>IF(ISERROR(VLOOKUP($T$1013,'TAR FIN'!$A$1:$O$93,15,0)),0,VLOOKUP($T$1013,'TAR FIN'!$A$1:$O$93,15,0))</f>
        <v>272.91000000000003</v>
      </c>
      <c r="X1013" s="6">
        <f>IF(ISERROR(VLOOKUP($U$1013,'TAR FIN'!$A$1:$O$93,15,0)),0,VLOOKUP($U$1013,'TAR FIN'!$A$1:$O$93,15,0))</f>
        <v>185.18</v>
      </c>
      <c r="Y1013" s="6"/>
      <c r="Z1013" s="6">
        <f ca="1">('TUSD BE'!$AM$52+'TUSD BF'!$AM$52+'TUSD CVA'!$AM$52)*1</f>
        <v>292.16655209139662</v>
      </c>
      <c r="AA1013" s="6">
        <f>('TE BE'!$AB$41+'TE BF'!$AB$41+'TE CVA'!$AB$41)*1</f>
        <v>198.18194779658231</v>
      </c>
      <c r="AB1013" s="6">
        <f>$K$1013*$V$1013</f>
        <v>0</v>
      </c>
      <c r="AC1013" s="6">
        <f>$M$1013*$W$1013</f>
        <v>6791.9111700000003</v>
      </c>
      <c r="AD1013" s="6">
        <f>$O$1013*$X$1013</f>
        <v>4608.5746600000002</v>
      </c>
      <c r="AE1013" s="6">
        <f>$K$1013*$Y$1013</f>
        <v>0</v>
      </c>
      <c r="AF1013" s="6">
        <f ca="1">$M$1013*$Z$1013</f>
        <v>7271.1489818985883</v>
      </c>
      <c r="AG1013" s="6">
        <f>$O$1013*$AA$1013</f>
        <v>4932.1541348135443</v>
      </c>
    </row>
    <row r="1014" spans="1:33" ht="11.25" customHeight="1" x14ac:dyDescent="0.25">
      <c r="A1014" s="4" t="s">
        <v>21</v>
      </c>
      <c r="B1014" s="4" t="s">
        <v>33</v>
      </c>
      <c r="C1014" s="4" t="s">
        <v>23</v>
      </c>
      <c r="D1014" s="4" t="s">
        <v>49</v>
      </c>
      <c r="E1014" s="4" t="s">
        <v>25</v>
      </c>
      <c r="F1014" s="4" t="s">
        <v>25</v>
      </c>
      <c r="G1014" s="4" t="s">
        <v>25</v>
      </c>
      <c r="H1014" s="4" t="s">
        <v>25</v>
      </c>
      <c r="I1014" s="5">
        <v>44593</v>
      </c>
      <c r="J1014" s="6">
        <v>0</v>
      </c>
      <c r="K1014" s="6">
        <v>0</v>
      </c>
      <c r="L1014" s="6">
        <v>24.308</v>
      </c>
      <c r="M1014" s="6">
        <v>24.308</v>
      </c>
      <c r="N1014" s="6">
        <v>24.308</v>
      </c>
      <c r="O1014" s="6">
        <v>24.308</v>
      </c>
      <c r="P1014" s="6">
        <v>14</v>
      </c>
      <c r="Q1014" s="4" t="s">
        <v>26</v>
      </c>
      <c r="R1014" s="4">
        <v>0</v>
      </c>
      <c r="S1014" s="6">
        <v>0</v>
      </c>
      <c r="T1014" s="6">
        <v>17</v>
      </c>
      <c r="U1014" s="6">
        <v>89</v>
      </c>
      <c r="V1014" s="6">
        <f>IF(ISERROR(VLOOKUP($S$1014,'TAR FIN'!$A$1:$O$93,15,0)),0,VLOOKUP($S$1014,'TAR FIN'!$A$1:$O$93,15,0))</f>
        <v>0</v>
      </c>
      <c r="W1014" s="6">
        <f>IF(ISERROR(VLOOKUP($T$1014,'TAR FIN'!$A$1:$O$93,15,0)),0,VLOOKUP($T$1014,'TAR FIN'!$A$1:$O$93,15,0))</f>
        <v>272.91000000000003</v>
      </c>
      <c r="X1014" s="6">
        <f>IF(ISERROR(VLOOKUP($U$1014,'TAR FIN'!$A$1:$O$93,15,0)),0,VLOOKUP($U$1014,'TAR FIN'!$A$1:$O$93,15,0))</f>
        <v>185.18</v>
      </c>
      <c r="Y1014" s="6"/>
      <c r="Z1014" s="6">
        <f ca="1">('TUSD BE'!$AM$52+'TUSD BF'!$AM$52+'TUSD CVA'!$AM$52)*1</f>
        <v>292.16655209139662</v>
      </c>
      <c r="AA1014" s="6">
        <f>('TE BE'!$AB$41+'TE BF'!$AB$41+'TE CVA'!$AB$41)*1</f>
        <v>198.18194779658231</v>
      </c>
      <c r="AB1014" s="6">
        <f>$K$1014*$V$1014</f>
        <v>0</v>
      </c>
      <c r="AC1014" s="6">
        <f>$M$1014*$W$1014</f>
        <v>6633.8962800000008</v>
      </c>
      <c r="AD1014" s="6">
        <f>$O$1014*$X$1014</f>
        <v>4501.3554400000003</v>
      </c>
      <c r="AE1014" s="6">
        <f>$K$1014*$Y$1014</f>
        <v>0</v>
      </c>
      <c r="AF1014" s="6">
        <f ca="1">$M$1014*$Z$1014</f>
        <v>7101.9845482376695</v>
      </c>
      <c r="AG1014" s="6">
        <f>$O$1014*$AA$1014</f>
        <v>4817.4067870393228</v>
      </c>
    </row>
    <row r="1015" spans="1:33" ht="11.25" customHeight="1" x14ac:dyDescent="0.25">
      <c r="A1015" s="4" t="s">
        <v>21</v>
      </c>
      <c r="B1015" s="4" t="s">
        <v>33</v>
      </c>
      <c r="C1015" s="4" t="s">
        <v>23</v>
      </c>
      <c r="D1015" s="4" t="s">
        <v>49</v>
      </c>
      <c r="E1015" s="4" t="s">
        <v>25</v>
      </c>
      <c r="F1015" s="4" t="s">
        <v>25</v>
      </c>
      <c r="G1015" s="4" t="s">
        <v>25</v>
      </c>
      <c r="H1015" s="4" t="s">
        <v>25</v>
      </c>
      <c r="I1015" s="5">
        <v>44621</v>
      </c>
      <c r="J1015" s="6">
        <v>0</v>
      </c>
      <c r="K1015" s="6">
        <v>0</v>
      </c>
      <c r="L1015" s="6">
        <v>19.253</v>
      </c>
      <c r="M1015" s="6">
        <v>19.253</v>
      </c>
      <c r="N1015" s="6">
        <v>19.253</v>
      </c>
      <c r="O1015" s="6">
        <v>19.253</v>
      </c>
      <c r="P1015" s="6">
        <v>14</v>
      </c>
      <c r="Q1015" s="4" t="s">
        <v>26</v>
      </c>
      <c r="R1015" s="4">
        <v>0</v>
      </c>
      <c r="S1015" s="6">
        <v>0</v>
      </c>
      <c r="T1015" s="6">
        <v>17</v>
      </c>
      <c r="U1015" s="6">
        <v>89</v>
      </c>
      <c r="V1015" s="6">
        <f>IF(ISERROR(VLOOKUP($S$1015,'TAR FIN'!$A$1:$O$93,15,0)),0,VLOOKUP($S$1015,'TAR FIN'!$A$1:$O$93,15,0))</f>
        <v>0</v>
      </c>
      <c r="W1015" s="6">
        <f>IF(ISERROR(VLOOKUP($T$1015,'TAR FIN'!$A$1:$O$93,15,0)),0,VLOOKUP($T$1015,'TAR FIN'!$A$1:$O$93,15,0))</f>
        <v>272.91000000000003</v>
      </c>
      <c r="X1015" s="6">
        <f>IF(ISERROR(VLOOKUP($U$1015,'TAR FIN'!$A$1:$O$93,15,0)),0,VLOOKUP($U$1015,'TAR FIN'!$A$1:$O$93,15,0))</f>
        <v>185.18</v>
      </c>
      <c r="Y1015" s="6"/>
      <c r="Z1015" s="6">
        <f ca="1">('TUSD BE'!$AM$52+'TUSD BF'!$AM$52+'TUSD CVA'!$AM$52)*1</f>
        <v>292.16655209139662</v>
      </c>
      <c r="AA1015" s="6">
        <f>('TE BE'!$AB$41+'TE BF'!$AB$41+'TE CVA'!$AB$41)*1</f>
        <v>198.18194779658231</v>
      </c>
      <c r="AB1015" s="6">
        <f>$K$1015*$V$1015</f>
        <v>0</v>
      </c>
      <c r="AC1015" s="6">
        <f>$M$1015*$W$1015</f>
        <v>5254.3362300000008</v>
      </c>
      <c r="AD1015" s="6">
        <f>$O$1015*$X$1015</f>
        <v>3565.27054</v>
      </c>
      <c r="AE1015" s="6">
        <f>$K$1015*$Y$1015</f>
        <v>0</v>
      </c>
      <c r="AF1015" s="6">
        <f ca="1">$M$1015*$Z$1015</f>
        <v>5625.0826274156589</v>
      </c>
      <c r="AG1015" s="6">
        <f>$O$1015*$AA$1015</f>
        <v>3815.5970409275992</v>
      </c>
    </row>
    <row r="1016" spans="1:33" ht="11.25" customHeight="1" x14ac:dyDescent="0.25">
      <c r="A1016" s="4" t="s">
        <v>21</v>
      </c>
      <c r="B1016" s="4" t="s">
        <v>33</v>
      </c>
      <c r="C1016" s="4" t="s">
        <v>23</v>
      </c>
      <c r="D1016" s="4" t="s">
        <v>49</v>
      </c>
      <c r="E1016" s="4" t="s">
        <v>25</v>
      </c>
      <c r="F1016" s="4" t="s">
        <v>25</v>
      </c>
      <c r="G1016" s="4" t="s">
        <v>25</v>
      </c>
      <c r="H1016" s="4" t="s">
        <v>25</v>
      </c>
      <c r="I1016" s="5">
        <v>44652</v>
      </c>
      <c r="J1016" s="6">
        <v>0</v>
      </c>
      <c r="K1016" s="6">
        <v>0</v>
      </c>
      <c r="L1016" s="6">
        <v>20.044</v>
      </c>
      <c r="M1016" s="6">
        <v>20.044</v>
      </c>
      <c r="N1016" s="6">
        <v>20.044</v>
      </c>
      <c r="O1016" s="6">
        <v>20.044</v>
      </c>
      <c r="P1016" s="6">
        <v>14</v>
      </c>
      <c r="Q1016" s="4" t="s">
        <v>26</v>
      </c>
      <c r="R1016" s="4">
        <v>0</v>
      </c>
      <c r="S1016" s="6">
        <v>0</v>
      </c>
      <c r="T1016" s="6">
        <v>17</v>
      </c>
      <c r="U1016" s="6">
        <v>89</v>
      </c>
      <c r="V1016" s="6">
        <f>IF(ISERROR(VLOOKUP($S$1016,'TAR FIN'!$A$1:$O$93,15,0)),0,VLOOKUP($S$1016,'TAR FIN'!$A$1:$O$93,15,0))</f>
        <v>0</v>
      </c>
      <c r="W1016" s="6">
        <f>IF(ISERROR(VLOOKUP($T$1016,'TAR FIN'!$A$1:$O$93,15,0)),0,VLOOKUP($T$1016,'TAR FIN'!$A$1:$O$93,15,0))</f>
        <v>272.91000000000003</v>
      </c>
      <c r="X1016" s="6">
        <f>IF(ISERROR(VLOOKUP($U$1016,'TAR FIN'!$A$1:$O$93,15,0)),0,VLOOKUP($U$1016,'TAR FIN'!$A$1:$O$93,15,0))</f>
        <v>185.18</v>
      </c>
      <c r="Y1016" s="6"/>
      <c r="Z1016" s="6">
        <f ca="1">('TUSD BE'!$AM$52+'TUSD BF'!$AM$52+'TUSD CVA'!$AM$52)*1</f>
        <v>292.16655209139662</v>
      </c>
      <c r="AA1016" s="6">
        <f>('TE BE'!$AB$41+'TE BF'!$AB$41+'TE CVA'!$AB$41)*1</f>
        <v>198.18194779658231</v>
      </c>
      <c r="AB1016" s="6">
        <f>$K$1016*$V$1016</f>
        <v>0</v>
      </c>
      <c r="AC1016" s="6">
        <f>$M$1016*$W$1016</f>
        <v>5470.2080400000004</v>
      </c>
      <c r="AD1016" s="6">
        <f>$O$1016*$X$1016</f>
        <v>3711.7479200000002</v>
      </c>
      <c r="AE1016" s="6">
        <f>$K$1016*$Y$1016</f>
        <v>0</v>
      </c>
      <c r="AF1016" s="6">
        <f ca="1">$M$1016*$Z$1016</f>
        <v>5856.1863701199545</v>
      </c>
      <c r="AG1016" s="6">
        <f>$O$1016*$AA$1016</f>
        <v>3972.3589616346958</v>
      </c>
    </row>
    <row r="1017" spans="1:33" ht="11.25" customHeight="1" x14ac:dyDescent="0.25">
      <c r="A1017" s="4" t="s">
        <v>21</v>
      </c>
      <c r="B1017" s="4" t="s">
        <v>33</v>
      </c>
      <c r="C1017" s="4" t="s">
        <v>23</v>
      </c>
      <c r="D1017" s="4" t="s">
        <v>49</v>
      </c>
      <c r="E1017" s="4" t="s">
        <v>25</v>
      </c>
      <c r="F1017" s="4" t="s">
        <v>25</v>
      </c>
      <c r="G1017" s="4" t="s">
        <v>25</v>
      </c>
      <c r="H1017" s="4" t="s">
        <v>25</v>
      </c>
      <c r="I1017" s="5">
        <v>44682</v>
      </c>
      <c r="J1017" s="6">
        <v>0</v>
      </c>
      <c r="K1017" s="6">
        <v>0</v>
      </c>
      <c r="L1017" s="6">
        <v>17.527000000000001</v>
      </c>
      <c r="M1017" s="6">
        <v>17.527000000000001</v>
      </c>
      <c r="N1017" s="6">
        <v>17.527000000000001</v>
      </c>
      <c r="O1017" s="6">
        <v>17.527000000000001</v>
      </c>
      <c r="P1017" s="6">
        <v>14</v>
      </c>
      <c r="Q1017" s="4" t="s">
        <v>26</v>
      </c>
      <c r="R1017" s="4">
        <v>0</v>
      </c>
      <c r="S1017" s="6">
        <v>0</v>
      </c>
      <c r="T1017" s="6">
        <v>17</v>
      </c>
      <c r="U1017" s="6">
        <v>89</v>
      </c>
      <c r="V1017" s="6">
        <f>IF(ISERROR(VLOOKUP($S$1017,'TAR FIN'!$A$1:$O$93,15,0)),0,VLOOKUP($S$1017,'TAR FIN'!$A$1:$O$93,15,0))</f>
        <v>0</v>
      </c>
      <c r="W1017" s="6">
        <f>IF(ISERROR(VLOOKUP($T$1017,'TAR FIN'!$A$1:$O$93,15,0)),0,VLOOKUP($T$1017,'TAR FIN'!$A$1:$O$93,15,0))</f>
        <v>272.91000000000003</v>
      </c>
      <c r="X1017" s="6">
        <f>IF(ISERROR(VLOOKUP($U$1017,'TAR FIN'!$A$1:$O$93,15,0)),0,VLOOKUP($U$1017,'TAR FIN'!$A$1:$O$93,15,0))</f>
        <v>185.18</v>
      </c>
      <c r="Y1017" s="6"/>
      <c r="Z1017" s="6">
        <f ca="1">('TUSD BE'!$AM$52+'TUSD BF'!$AM$52+'TUSD CVA'!$AM$52)*1</f>
        <v>292.16655209139662</v>
      </c>
      <c r="AA1017" s="6">
        <f>('TE BE'!$AB$41+'TE BF'!$AB$41+'TE CVA'!$AB$41)*1</f>
        <v>198.18194779658231</v>
      </c>
      <c r="AB1017" s="6">
        <f>$K$1017*$V$1017</f>
        <v>0</v>
      </c>
      <c r="AC1017" s="6">
        <f>$M$1017*$W$1017</f>
        <v>4783.2935700000007</v>
      </c>
      <c r="AD1017" s="6">
        <f>$O$1017*$X$1017</f>
        <v>3245.6498600000004</v>
      </c>
      <c r="AE1017" s="6">
        <f>$K$1017*$Y$1017</f>
        <v>0</v>
      </c>
      <c r="AF1017" s="6">
        <f ca="1">$M$1017*$Z$1017</f>
        <v>5120.8031585059089</v>
      </c>
      <c r="AG1017" s="6">
        <f>$O$1017*$AA$1017</f>
        <v>3473.5349990306981</v>
      </c>
    </row>
    <row r="1018" spans="1:33" ht="11.25" customHeight="1" x14ac:dyDescent="0.25">
      <c r="A1018" s="4" t="s">
        <v>21</v>
      </c>
      <c r="B1018" s="4" t="s">
        <v>33</v>
      </c>
      <c r="C1018" s="4" t="s">
        <v>23</v>
      </c>
      <c r="D1018" s="4" t="s">
        <v>49</v>
      </c>
      <c r="E1018" s="4" t="s">
        <v>25</v>
      </c>
      <c r="F1018" s="4" t="s">
        <v>25</v>
      </c>
      <c r="G1018" s="4" t="s">
        <v>25</v>
      </c>
      <c r="H1018" s="4" t="s">
        <v>25</v>
      </c>
      <c r="I1018" s="5">
        <v>44713</v>
      </c>
      <c r="J1018" s="6">
        <v>0</v>
      </c>
      <c r="K1018" s="6">
        <v>0</v>
      </c>
      <c r="L1018" s="6">
        <v>19.677</v>
      </c>
      <c r="M1018" s="6">
        <v>19.677</v>
      </c>
      <c r="N1018" s="6">
        <v>19.677</v>
      </c>
      <c r="O1018" s="6">
        <v>19.677</v>
      </c>
      <c r="P1018" s="6">
        <v>14</v>
      </c>
      <c r="Q1018" s="4" t="s">
        <v>26</v>
      </c>
      <c r="R1018" s="4">
        <v>0</v>
      </c>
      <c r="S1018" s="6">
        <v>0</v>
      </c>
      <c r="T1018" s="6">
        <v>17</v>
      </c>
      <c r="U1018" s="6">
        <v>89</v>
      </c>
      <c r="V1018" s="6">
        <f>IF(ISERROR(VLOOKUP($S$1018,'TAR FIN'!$A$1:$O$93,15,0)),0,VLOOKUP($S$1018,'TAR FIN'!$A$1:$O$93,15,0))</f>
        <v>0</v>
      </c>
      <c r="W1018" s="6">
        <f>IF(ISERROR(VLOOKUP($T$1018,'TAR FIN'!$A$1:$O$93,15,0)),0,VLOOKUP($T$1018,'TAR FIN'!$A$1:$O$93,15,0))</f>
        <v>272.91000000000003</v>
      </c>
      <c r="X1018" s="6">
        <f>IF(ISERROR(VLOOKUP($U$1018,'TAR FIN'!$A$1:$O$93,15,0)),0,VLOOKUP($U$1018,'TAR FIN'!$A$1:$O$93,15,0))</f>
        <v>185.18</v>
      </c>
      <c r="Y1018" s="6"/>
      <c r="Z1018" s="6">
        <f ca="1">('TUSD BE'!$AM$52+'TUSD BF'!$AM$52+'TUSD CVA'!$AM$52)*1</f>
        <v>292.16655209139662</v>
      </c>
      <c r="AA1018" s="6">
        <f>('TE BE'!$AB$41+'TE BF'!$AB$41+'TE CVA'!$AB$41)*1</f>
        <v>198.18194779658231</v>
      </c>
      <c r="AB1018" s="6">
        <f>$K$1018*$V$1018</f>
        <v>0</v>
      </c>
      <c r="AC1018" s="6">
        <f>$M$1018*$W$1018</f>
        <v>5370.0500700000002</v>
      </c>
      <c r="AD1018" s="6">
        <f>$O$1018*$X$1018</f>
        <v>3643.7868600000002</v>
      </c>
      <c r="AE1018" s="6">
        <f>$K$1018*$Y$1018</f>
        <v>0</v>
      </c>
      <c r="AF1018" s="6">
        <f ca="1">$M$1018*$Z$1018</f>
        <v>5748.9612455024117</v>
      </c>
      <c r="AG1018" s="6">
        <f>$O$1018*$AA$1018</f>
        <v>3899.6261867933499</v>
      </c>
    </row>
    <row r="1019" spans="1:33" ht="11.25" customHeight="1" x14ac:dyDescent="0.25">
      <c r="A1019" s="4" t="s">
        <v>21</v>
      </c>
      <c r="B1019" s="4" t="s">
        <v>33</v>
      </c>
      <c r="C1019" s="4" t="s">
        <v>23</v>
      </c>
      <c r="D1019" s="4" t="s">
        <v>34</v>
      </c>
      <c r="E1019" s="4" t="s">
        <v>25</v>
      </c>
      <c r="F1019" s="4" t="s">
        <v>25</v>
      </c>
      <c r="G1019" s="4" t="s">
        <v>25</v>
      </c>
      <c r="H1019" s="4" t="s">
        <v>25</v>
      </c>
      <c r="I1019" s="5">
        <v>44378</v>
      </c>
      <c r="J1019" s="6">
        <v>0</v>
      </c>
      <c r="K1019" s="6">
        <v>0</v>
      </c>
      <c r="L1019" s="6">
        <v>331.35599999999999</v>
      </c>
      <c r="M1019" s="6">
        <v>331.35599999999999</v>
      </c>
      <c r="N1019" s="6">
        <v>331.35599999999999</v>
      </c>
      <c r="O1019" s="6">
        <v>331.35599999999999</v>
      </c>
      <c r="P1019" s="6">
        <v>328</v>
      </c>
      <c r="Q1019" s="4" t="s">
        <v>26</v>
      </c>
      <c r="R1019" s="4">
        <v>0</v>
      </c>
      <c r="S1019" s="6">
        <v>0</v>
      </c>
      <c r="T1019" s="6">
        <v>17</v>
      </c>
      <c r="U1019" s="6">
        <v>89</v>
      </c>
      <c r="V1019" s="6">
        <f>IF(ISERROR(VLOOKUP($S$1019,'TAR FIN'!$A$1:$O$93,15,0)),0,VLOOKUP($S$1019,'TAR FIN'!$A$1:$O$93,15,0))</f>
        <v>0</v>
      </c>
      <c r="W1019" s="6">
        <f>IF(ISERROR(VLOOKUP($T$1019,'TAR FIN'!$A$1:$O$93,15,0)),0,VLOOKUP($T$1019,'TAR FIN'!$A$1:$O$93,15,0))</f>
        <v>272.91000000000003</v>
      </c>
      <c r="X1019" s="6">
        <f>IF(ISERROR(VLOOKUP($U$1019,'TAR FIN'!$A$1:$O$93,15,0)),0,VLOOKUP($U$1019,'TAR FIN'!$A$1:$O$93,15,0))</f>
        <v>185.18</v>
      </c>
      <c r="Y1019" s="6"/>
      <c r="Z1019" s="6">
        <f ca="1">('TUSD BE'!$AM$52+'TUSD BF'!$AM$52+'TUSD CVA'!$AM$52)*1</f>
        <v>292.16655209139662</v>
      </c>
      <c r="AA1019" s="6">
        <f>('TE BE'!$AB$41+'TE BF'!$AB$41+'TE CVA'!$AB$41)*1</f>
        <v>198.18194779658231</v>
      </c>
      <c r="AB1019" s="6">
        <f>$K$1019*$V$1019</f>
        <v>0</v>
      </c>
      <c r="AC1019" s="6">
        <f>$M$1019*$W$1019</f>
        <v>90430.36596000001</v>
      </c>
      <c r="AD1019" s="6">
        <f>$O$1019*$X$1019</f>
        <v>61360.504079999999</v>
      </c>
      <c r="AE1019" s="6">
        <f>$K$1019*$Y$1019</f>
        <v>0</v>
      </c>
      <c r="AF1019" s="6">
        <f ca="1">$M$1019*$Z$1019</f>
        <v>96811.140034796816</v>
      </c>
      <c r="AG1019" s="6">
        <f>$O$1019*$AA$1019</f>
        <v>65668.777494084323</v>
      </c>
    </row>
    <row r="1020" spans="1:33" ht="11.25" customHeight="1" x14ac:dyDescent="0.25">
      <c r="A1020" s="4" t="s">
        <v>27</v>
      </c>
      <c r="B1020" s="4" t="s">
        <v>33</v>
      </c>
      <c r="C1020" s="4" t="s">
        <v>23</v>
      </c>
      <c r="D1020" s="4" t="s">
        <v>34</v>
      </c>
      <c r="E1020" s="4" t="s">
        <v>25</v>
      </c>
      <c r="F1020" s="4" t="s">
        <v>25</v>
      </c>
      <c r="G1020" s="4" t="s">
        <v>25</v>
      </c>
      <c r="H1020" s="4" t="s">
        <v>25</v>
      </c>
      <c r="I1020" s="5">
        <v>44378</v>
      </c>
      <c r="J1020" s="6">
        <v>0</v>
      </c>
      <c r="K1020" s="6">
        <v>0</v>
      </c>
      <c r="L1020" s="6">
        <v>-0.89200000000000002</v>
      </c>
      <c r="M1020" s="6">
        <v>-0.89200000000000002</v>
      </c>
      <c r="N1020" s="6">
        <v>-0.89200000000000002</v>
      </c>
      <c r="O1020" s="6">
        <v>-0.89200000000000002</v>
      </c>
      <c r="P1020" s="6">
        <v>-3</v>
      </c>
      <c r="Q1020" s="4" t="s">
        <v>26</v>
      </c>
      <c r="R1020" s="4">
        <v>0</v>
      </c>
      <c r="S1020" s="6">
        <v>0</v>
      </c>
      <c r="T1020" s="6">
        <v>17</v>
      </c>
      <c r="U1020" s="6">
        <v>89</v>
      </c>
      <c r="V1020" s="6">
        <f>IF(ISERROR(VLOOKUP($S$1020,'TAR FIN'!$A$1:$O$93,15,0)),0,VLOOKUP($S$1020,'TAR FIN'!$A$1:$O$93,15,0))</f>
        <v>0</v>
      </c>
      <c r="W1020" s="6">
        <f>IF(ISERROR(VLOOKUP($T$1020,'TAR FIN'!$A$1:$O$93,15,0)),0,VLOOKUP($T$1020,'TAR FIN'!$A$1:$O$93,15,0))</f>
        <v>272.91000000000003</v>
      </c>
      <c r="X1020" s="6">
        <f>IF(ISERROR(VLOOKUP($U$1020,'TAR FIN'!$A$1:$O$93,15,0)),0,VLOOKUP($U$1020,'TAR FIN'!$A$1:$O$93,15,0))</f>
        <v>185.18</v>
      </c>
      <c r="Y1020" s="6"/>
      <c r="Z1020" s="6">
        <f ca="1">('TUSD BE'!$AM$52+'TUSD BF'!$AM$52+'TUSD CVA'!$AM$52)*1</f>
        <v>292.16655209139662</v>
      </c>
      <c r="AA1020" s="6">
        <f>('TE BE'!$AB$41+'TE BF'!$AB$41+'TE CVA'!$AB$41)*1</f>
        <v>198.18194779658231</v>
      </c>
      <c r="AB1020" s="6">
        <f>$K$1020*$V$1020</f>
        <v>0</v>
      </c>
      <c r="AC1020" s="6">
        <f>$M$1020*$W$1020</f>
        <v>-243.43572000000003</v>
      </c>
      <c r="AD1020" s="6">
        <f>$O$1020*$X$1020</f>
        <v>-165.18056000000001</v>
      </c>
      <c r="AE1020" s="6">
        <f>$K$1020*$Y$1020</f>
        <v>0</v>
      </c>
      <c r="AF1020" s="6">
        <f ca="1">$M$1020*$Z$1020</f>
        <v>-260.61256446552579</v>
      </c>
      <c r="AG1020" s="6">
        <f>$O$1020*$AA$1020</f>
        <v>-176.77829743455143</v>
      </c>
    </row>
    <row r="1021" spans="1:33" ht="11.25" customHeight="1" x14ac:dyDescent="0.25">
      <c r="A1021" s="4" t="s">
        <v>28</v>
      </c>
      <c r="B1021" s="4" t="s">
        <v>33</v>
      </c>
      <c r="C1021" s="4" t="s">
        <v>23</v>
      </c>
      <c r="D1021" s="4" t="s">
        <v>34</v>
      </c>
      <c r="E1021" s="4" t="s">
        <v>25</v>
      </c>
      <c r="F1021" s="4" t="s">
        <v>25</v>
      </c>
      <c r="G1021" s="4" t="s">
        <v>25</v>
      </c>
      <c r="H1021" s="4" t="s">
        <v>25</v>
      </c>
      <c r="I1021" s="5">
        <v>44378</v>
      </c>
      <c r="J1021" s="6">
        <v>0</v>
      </c>
      <c r="K1021" s="6">
        <v>0</v>
      </c>
      <c r="L1021" s="6">
        <v>63.741999999999997</v>
      </c>
      <c r="M1021" s="6">
        <v>63.741999999999997</v>
      </c>
      <c r="N1021" s="6">
        <v>63.741999999999997</v>
      </c>
      <c r="O1021" s="6">
        <v>63.741999999999997</v>
      </c>
      <c r="P1021" s="6">
        <v>30</v>
      </c>
      <c r="Q1021" s="4" t="s">
        <v>26</v>
      </c>
      <c r="R1021" s="4">
        <v>0</v>
      </c>
      <c r="S1021" s="6">
        <v>0</v>
      </c>
      <c r="T1021" s="6">
        <v>17</v>
      </c>
      <c r="U1021" s="6">
        <v>89</v>
      </c>
      <c r="V1021" s="6">
        <f>IF(ISERROR(VLOOKUP($S$1021,'TAR FIN'!$A$1:$O$93,15,0)),0,VLOOKUP($S$1021,'TAR FIN'!$A$1:$O$93,15,0))</f>
        <v>0</v>
      </c>
      <c r="W1021" s="6">
        <f>IF(ISERROR(VLOOKUP($T$1021,'TAR FIN'!$A$1:$O$93,15,0)),0,VLOOKUP($T$1021,'TAR FIN'!$A$1:$O$93,15,0))</f>
        <v>272.91000000000003</v>
      </c>
      <c r="X1021" s="6">
        <f>IF(ISERROR(VLOOKUP($U$1021,'TAR FIN'!$A$1:$O$93,15,0)),0,VLOOKUP($U$1021,'TAR FIN'!$A$1:$O$93,15,0))</f>
        <v>185.18</v>
      </c>
      <c r="Y1021" s="6"/>
      <c r="Z1021" s="6">
        <f ca="1">('TUSD BE'!$AM$52+'TUSD BF'!$AM$52+'TUSD CVA'!$AM$52)*1</f>
        <v>292.16655209139662</v>
      </c>
      <c r="AA1021" s="6">
        <f>('TE BE'!$AB$41+'TE BF'!$AB$41+'TE CVA'!$AB$41)*1</f>
        <v>198.18194779658231</v>
      </c>
      <c r="AB1021" s="6">
        <f>$K$1021*$V$1021</f>
        <v>0</v>
      </c>
      <c r="AC1021" s="6">
        <f>$M$1021*$W$1021</f>
        <v>17395.82922</v>
      </c>
      <c r="AD1021" s="6">
        <f>$O$1021*$X$1021</f>
        <v>11803.743560000001</v>
      </c>
      <c r="AE1021" s="6">
        <f>$K$1021*$Y$1021</f>
        <v>0</v>
      </c>
      <c r="AF1021" s="6">
        <f ca="1">$M$1021*$Z$1021</f>
        <v>18623.280363409802</v>
      </c>
      <c r="AG1021" s="6">
        <f>$O$1021*$AA$1021</f>
        <v>12632.513716449748</v>
      </c>
    </row>
    <row r="1022" spans="1:33" ht="11.25" customHeight="1" x14ac:dyDescent="0.25">
      <c r="A1022" s="4" t="s">
        <v>21</v>
      </c>
      <c r="B1022" s="4" t="s">
        <v>33</v>
      </c>
      <c r="C1022" s="4" t="s">
        <v>23</v>
      </c>
      <c r="D1022" s="4" t="s">
        <v>34</v>
      </c>
      <c r="E1022" s="4" t="s">
        <v>25</v>
      </c>
      <c r="F1022" s="4" t="s">
        <v>25</v>
      </c>
      <c r="G1022" s="4" t="s">
        <v>25</v>
      </c>
      <c r="H1022" s="4" t="s">
        <v>25</v>
      </c>
      <c r="I1022" s="5">
        <v>44409</v>
      </c>
      <c r="J1022" s="6">
        <v>0</v>
      </c>
      <c r="K1022" s="6">
        <v>0</v>
      </c>
      <c r="L1022" s="6">
        <v>374.75</v>
      </c>
      <c r="M1022" s="6">
        <v>374.75</v>
      </c>
      <c r="N1022" s="6">
        <v>374.75</v>
      </c>
      <c r="O1022" s="6">
        <v>374.75</v>
      </c>
      <c r="P1022" s="6">
        <v>331</v>
      </c>
      <c r="Q1022" s="4" t="s">
        <v>26</v>
      </c>
      <c r="R1022" s="4">
        <v>0</v>
      </c>
      <c r="S1022" s="6">
        <v>0</v>
      </c>
      <c r="T1022" s="6">
        <v>17</v>
      </c>
      <c r="U1022" s="6">
        <v>89</v>
      </c>
      <c r="V1022" s="6">
        <f>IF(ISERROR(VLOOKUP($S$1022,'TAR FIN'!$A$1:$O$93,15,0)),0,VLOOKUP($S$1022,'TAR FIN'!$A$1:$O$93,15,0))</f>
        <v>0</v>
      </c>
      <c r="W1022" s="6">
        <f>IF(ISERROR(VLOOKUP($T$1022,'TAR FIN'!$A$1:$O$93,15,0)),0,VLOOKUP($T$1022,'TAR FIN'!$A$1:$O$93,15,0))</f>
        <v>272.91000000000003</v>
      </c>
      <c r="X1022" s="6">
        <f>IF(ISERROR(VLOOKUP($U$1022,'TAR FIN'!$A$1:$O$93,15,0)),0,VLOOKUP($U$1022,'TAR FIN'!$A$1:$O$93,15,0))</f>
        <v>185.18</v>
      </c>
      <c r="Y1022" s="6"/>
      <c r="Z1022" s="6">
        <f ca="1">('TUSD BE'!$AM$52+'TUSD BF'!$AM$52+'TUSD CVA'!$AM$52)*1</f>
        <v>292.16655209139662</v>
      </c>
      <c r="AA1022" s="6">
        <f>('TE BE'!$AB$41+'TE BF'!$AB$41+'TE CVA'!$AB$41)*1</f>
        <v>198.18194779658231</v>
      </c>
      <c r="AB1022" s="6">
        <f>$K$1022*$V$1022</f>
        <v>0</v>
      </c>
      <c r="AC1022" s="6">
        <f>$M$1022*$W$1022</f>
        <v>102273.02250000001</v>
      </c>
      <c r="AD1022" s="6">
        <f>$O$1022*$X$1022</f>
        <v>69396.205000000002</v>
      </c>
      <c r="AE1022" s="6">
        <f>$K$1022*$Y$1022</f>
        <v>0</v>
      </c>
      <c r="AF1022" s="6">
        <f ca="1">$M$1022*$Z$1022</f>
        <v>109489.41539625089</v>
      </c>
      <c r="AG1022" s="6">
        <f>$O$1022*$AA$1022</f>
        <v>74268.684936769219</v>
      </c>
    </row>
    <row r="1023" spans="1:33" ht="11.25" customHeight="1" x14ac:dyDescent="0.25">
      <c r="A1023" s="4" t="s">
        <v>27</v>
      </c>
      <c r="B1023" s="4" t="s">
        <v>33</v>
      </c>
      <c r="C1023" s="4" t="s">
        <v>23</v>
      </c>
      <c r="D1023" s="4" t="s">
        <v>34</v>
      </c>
      <c r="E1023" s="4" t="s">
        <v>25</v>
      </c>
      <c r="F1023" s="4" t="s">
        <v>25</v>
      </c>
      <c r="G1023" s="4" t="s">
        <v>25</v>
      </c>
      <c r="H1023" s="4" t="s">
        <v>25</v>
      </c>
      <c r="I1023" s="5">
        <v>44409</v>
      </c>
      <c r="J1023" s="6">
        <v>0</v>
      </c>
      <c r="K1023" s="6">
        <v>0</v>
      </c>
      <c r="L1023" s="6">
        <v>-0.03</v>
      </c>
      <c r="M1023" s="6">
        <v>-0.03</v>
      </c>
      <c r="N1023" s="6">
        <v>-0.03</v>
      </c>
      <c r="O1023" s="6">
        <v>-0.03</v>
      </c>
      <c r="P1023" s="6">
        <v>-1</v>
      </c>
      <c r="Q1023" s="4" t="s">
        <v>26</v>
      </c>
      <c r="R1023" s="4">
        <v>0</v>
      </c>
      <c r="S1023" s="6">
        <v>0</v>
      </c>
      <c r="T1023" s="6">
        <v>17</v>
      </c>
      <c r="U1023" s="6">
        <v>89</v>
      </c>
      <c r="V1023" s="6">
        <f>IF(ISERROR(VLOOKUP($S$1023,'TAR FIN'!$A$1:$O$93,15,0)),0,VLOOKUP($S$1023,'TAR FIN'!$A$1:$O$93,15,0))</f>
        <v>0</v>
      </c>
      <c r="W1023" s="6">
        <f>IF(ISERROR(VLOOKUP($T$1023,'TAR FIN'!$A$1:$O$93,15,0)),0,VLOOKUP($T$1023,'TAR FIN'!$A$1:$O$93,15,0))</f>
        <v>272.91000000000003</v>
      </c>
      <c r="X1023" s="6">
        <f>IF(ISERROR(VLOOKUP($U$1023,'TAR FIN'!$A$1:$O$93,15,0)),0,VLOOKUP($U$1023,'TAR FIN'!$A$1:$O$93,15,0))</f>
        <v>185.18</v>
      </c>
      <c r="Y1023" s="6"/>
      <c r="Z1023" s="6">
        <f ca="1">('TUSD BE'!$AM$52+'TUSD BF'!$AM$52+'TUSD CVA'!$AM$52)*1</f>
        <v>292.16655209139662</v>
      </c>
      <c r="AA1023" s="6">
        <f>('TE BE'!$AB$41+'TE BF'!$AB$41+'TE CVA'!$AB$41)*1</f>
        <v>198.18194779658231</v>
      </c>
      <c r="AB1023" s="6">
        <f>$K$1023*$V$1023</f>
        <v>0</v>
      </c>
      <c r="AC1023" s="6">
        <f>$M$1023*$W$1023</f>
        <v>-8.1873000000000005</v>
      </c>
      <c r="AD1023" s="6">
        <f>$O$1023*$X$1023</f>
        <v>-5.5553999999999997</v>
      </c>
      <c r="AE1023" s="6">
        <f>$K$1023*$Y$1023</f>
        <v>0</v>
      </c>
      <c r="AF1023" s="6">
        <f ca="1">$M$1023*$Z$1023</f>
        <v>-8.7649965627418975</v>
      </c>
      <c r="AG1023" s="6">
        <f>$O$1023*$AA$1023</f>
        <v>-5.9454584338974694</v>
      </c>
    </row>
    <row r="1024" spans="1:33" ht="11.25" customHeight="1" x14ac:dyDescent="0.25">
      <c r="A1024" s="4" t="s">
        <v>28</v>
      </c>
      <c r="B1024" s="4" t="s">
        <v>33</v>
      </c>
      <c r="C1024" s="4" t="s">
        <v>23</v>
      </c>
      <c r="D1024" s="4" t="s">
        <v>34</v>
      </c>
      <c r="E1024" s="4" t="s">
        <v>25</v>
      </c>
      <c r="F1024" s="4" t="s">
        <v>25</v>
      </c>
      <c r="G1024" s="4" t="s">
        <v>25</v>
      </c>
      <c r="H1024" s="4" t="s">
        <v>25</v>
      </c>
      <c r="I1024" s="5">
        <v>44409</v>
      </c>
      <c r="J1024" s="6">
        <v>0</v>
      </c>
      <c r="K1024" s="6">
        <v>0</v>
      </c>
      <c r="L1024" s="6">
        <v>61.542000000000002</v>
      </c>
      <c r="M1024" s="6">
        <v>61.542000000000002</v>
      </c>
      <c r="N1024" s="6">
        <v>61.542000000000002</v>
      </c>
      <c r="O1024" s="6">
        <v>61.542000000000002</v>
      </c>
      <c r="P1024" s="6">
        <v>32</v>
      </c>
      <c r="Q1024" s="4" t="s">
        <v>26</v>
      </c>
      <c r="R1024" s="4">
        <v>0</v>
      </c>
      <c r="S1024" s="6">
        <v>0</v>
      </c>
      <c r="T1024" s="6">
        <v>17</v>
      </c>
      <c r="U1024" s="6">
        <v>89</v>
      </c>
      <c r="V1024" s="6">
        <f>IF(ISERROR(VLOOKUP($S$1024,'TAR FIN'!$A$1:$O$93,15,0)),0,VLOOKUP($S$1024,'TAR FIN'!$A$1:$O$93,15,0))</f>
        <v>0</v>
      </c>
      <c r="W1024" s="6">
        <f>IF(ISERROR(VLOOKUP($T$1024,'TAR FIN'!$A$1:$O$93,15,0)),0,VLOOKUP($T$1024,'TAR FIN'!$A$1:$O$93,15,0))</f>
        <v>272.91000000000003</v>
      </c>
      <c r="X1024" s="6">
        <f>IF(ISERROR(VLOOKUP($U$1024,'TAR FIN'!$A$1:$O$93,15,0)),0,VLOOKUP($U$1024,'TAR FIN'!$A$1:$O$93,15,0))</f>
        <v>185.18</v>
      </c>
      <c r="Y1024" s="6"/>
      <c r="Z1024" s="6">
        <f ca="1">('TUSD BE'!$AM$52+'TUSD BF'!$AM$52+'TUSD CVA'!$AM$52)*1</f>
        <v>292.16655209139662</v>
      </c>
      <c r="AA1024" s="6">
        <f>('TE BE'!$AB$41+'TE BF'!$AB$41+'TE CVA'!$AB$41)*1</f>
        <v>198.18194779658231</v>
      </c>
      <c r="AB1024" s="6">
        <f>$K$1024*$V$1024</f>
        <v>0</v>
      </c>
      <c r="AC1024" s="6">
        <f>$M$1024*$W$1024</f>
        <v>16795.427220000001</v>
      </c>
      <c r="AD1024" s="6">
        <f>$O$1024*$X$1024</f>
        <v>11396.34756</v>
      </c>
      <c r="AE1024" s="6">
        <f>$K$1024*$Y$1024</f>
        <v>0</v>
      </c>
      <c r="AF1024" s="6">
        <f ca="1">$M$1024*$Z$1024</f>
        <v>17980.51394880873</v>
      </c>
      <c r="AG1024" s="6">
        <f>$O$1024*$AA$1024</f>
        <v>12196.513431297268</v>
      </c>
    </row>
    <row r="1025" spans="1:33" ht="11.25" customHeight="1" x14ac:dyDescent="0.25">
      <c r="A1025" s="4" t="s">
        <v>21</v>
      </c>
      <c r="B1025" s="4" t="s">
        <v>33</v>
      </c>
      <c r="C1025" s="4" t="s">
        <v>23</v>
      </c>
      <c r="D1025" s="4" t="s">
        <v>34</v>
      </c>
      <c r="E1025" s="4" t="s">
        <v>25</v>
      </c>
      <c r="F1025" s="4" t="s">
        <v>25</v>
      </c>
      <c r="G1025" s="4" t="s">
        <v>25</v>
      </c>
      <c r="H1025" s="4" t="s">
        <v>25</v>
      </c>
      <c r="I1025" s="5">
        <v>44440</v>
      </c>
      <c r="J1025" s="6">
        <v>0</v>
      </c>
      <c r="K1025" s="6">
        <v>0</v>
      </c>
      <c r="L1025" s="6">
        <v>379.935</v>
      </c>
      <c r="M1025" s="6">
        <v>379.935</v>
      </c>
      <c r="N1025" s="6">
        <v>379.935</v>
      </c>
      <c r="O1025" s="6">
        <v>379.935</v>
      </c>
      <c r="P1025" s="6">
        <v>323</v>
      </c>
      <c r="Q1025" s="4" t="s">
        <v>26</v>
      </c>
      <c r="R1025" s="4">
        <v>0</v>
      </c>
      <c r="S1025" s="6">
        <v>0</v>
      </c>
      <c r="T1025" s="6">
        <v>17</v>
      </c>
      <c r="U1025" s="6">
        <v>89</v>
      </c>
      <c r="V1025" s="6">
        <f>IF(ISERROR(VLOOKUP($S$1025,'TAR FIN'!$A$1:$O$93,15,0)),0,VLOOKUP($S$1025,'TAR FIN'!$A$1:$O$93,15,0))</f>
        <v>0</v>
      </c>
      <c r="W1025" s="6">
        <f>IF(ISERROR(VLOOKUP($T$1025,'TAR FIN'!$A$1:$O$93,15,0)),0,VLOOKUP($T$1025,'TAR FIN'!$A$1:$O$93,15,0))</f>
        <v>272.91000000000003</v>
      </c>
      <c r="X1025" s="6">
        <f>IF(ISERROR(VLOOKUP($U$1025,'TAR FIN'!$A$1:$O$93,15,0)),0,VLOOKUP($U$1025,'TAR FIN'!$A$1:$O$93,15,0))</f>
        <v>185.18</v>
      </c>
      <c r="Y1025" s="6"/>
      <c r="Z1025" s="6">
        <f ca="1">('TUSD BE'!$AM$52+'TUSD BF'!$AM$52+'TUSD CVA'!$AM$52)*1</f>
        <v>292.16655209139662</v>
      </c>
      <c r="AA1025" s="6">
        <f>('TE BE'!$AB$41+'TE BF'!$AB$41+'TE CVA'!$AB$41)*1</f>
        <v>198.18194779658231</v>
      </c>
      <c r="AB1025" s="6">
        <f>$K$1025*$V$1025</f>
        <v>0</v>
      </c>
      <c r="AC1025" s="6">
        <f>$M$1025*$W$1025</f>
        <v>103688.06085000001</v>
      </c>
      <c r="AD1025" s="6">
        <f>$O$1025*$X$1025</f>
        <v>70356.363299999997</v>
      </c>
      <c r="AE1025" s="6">
        <f>$K$1025*$Y$1025</f>
        <v>0</v>
      </c>
      <c r="AF1025" s="6">
        <f ca="1">$M$1025*$Z$1025</f>
        <v>111004.29896884477</v>
      </c>
      <c r="AG1025" s="6">
        <f>$O$1025*$AA$1025</f>
        <v>75296.258336094499</v>
      </c>
    </row>
    <row r="1026" spans="1:33" ht="11.25" customHeight="1" x14ac:dyDescent="0.25">
      <c r="A1026" s="4" t="s">
        <v>27</v>
      </c>
      <c r="B1026" s="4" t="s">
        <v>33</v>
      </c>
      <c r="C1026" s="4" t="s">
        <v>23</v>
      </c>
      <c r="D1026" s="4" t="s">
        <v>34</v>
      </c>
      <c r="E1026" s="4" t="s">
        <v>25</v>
      </c>
      <c r="F1026" s="4" t="s">
        <v>25</v>
      </c>
      <c r="G1026" s="4" t="s">
        <v>25</v>
      </c>
      <c r="H1026" s="4" t="s">
        <v>25</v>
      </c>
      <c r="I1026" s="5">
        <v>44440</v>
      </c>
      <c r="J1026" s="6">
        <v>0</v>
      </c>
      <c r="K1026" s="6">
        <v>0</v>
      </c>
      <c r="L1026" s="6">
        <v>-0.2</v>
      </c>
      <c r="M1026" s="6">
        <v>-0.2</v>
      </c>
      <c r="N1026" s="6">
        <v>-0.2</v>
      </c>
      <c r="O1026" s="6">
        <v>-0.2</v>
      </c>
      <c r="P1026" s="6">
        <v>-1</v>
      </c>
      <c r="Q1026" s="4" t="s">
        <v>26</v>
      </c>
      <c r="R1026" s="4">
        <v>0</v>
      </c>
      <c r="S1026" s="6">
        <v>0</v>
      </c>
      <c r="T1026" s="6">
        <v>17</v>
      </c>
      <c r="U1026" s="6">
        <v>89</v>
      </c>
      <c r="V1026" s="6">
        <f>IF(ISERROR(VLOOKUP($S$1026,'TAR FIN'!$A$1:$O$93,15,0)),0,VLOOKUP($S$1026,'TAR FIN'!$A$1:$O$93,15,0))</f>
        <v>0</v>
      </c>
      <c r="W1026" s="6">
        <f>IF(ISERROR(VLOOKUP($T$1026,'TAR FIN'!$A$1:$O$93,15,0)),0,VLOOKUP($T$1026,'TAR FIN'!$A$1:$O$93,15,0))</f>
        <v>272.91000000000003</v>
      </c>
      <c r="X1026" s="6">
        <f>IF(ISERROR(VLOOKUP($U$1026,'TAR FIN'!$A$1:$O$93,15,0)),0,VLOOKUP($U$1026,'TAR FIN'!$A$1:$O$93,15,0))</f>
        <v>185.18</v>
      </c>
      <c r="Y1026" s="6"/>
      <c r="Z1026" s="6">
        <f ca="1">('TUSD BE'!$AM$52+'TUSD BF'!$AM$52+'TUSD CVA'!$AM$52)*1</f>
        <v>292.16655209139662</v>
      </c>
      <c r="AA1026" s="6">
        <f>('TE BE'!$AB$41+'TE BF'!$AB$41+'TE CVA'!$AB$41)*1</f>
        <v>198.18194779658231</v>
      </c>
      <c r="AB1026" s="6">
        <f>$K$1026*$V$1026</f>
        <v>0</v>
      </c>
      <c r="AC1026" s="6">
        <f>$M$1026*$W$1026</f>
        <v>-54.582000000000008</v>
      </c>
      <c r="AD1026" s="6">
        <f>$O$1026*$X$1026</f>
        <v>-37.036000000000001</v>
      </c>
      <c r="AE1026" s="6">
        <f>$K$1026*$Y$1026</f>
        <v>0</v>
      </c>
      <c r="AF1026" s="6">
        <f ca="1">$M$1026*$Z$1026</f>
        <v>-58.433310418279326</v>
      </c>
      <c r="AG1026" s="6">
        <f>$O$1026*$AA$1026</f>
        <v>-39.636389559316463</v>
      </c>
    </row>
    <row r="1027" spans="1:33" ht="11.25" customHeight="1" x14ac:dyDescent="0.25">
      <c r="A1027" s="4" t="s">
        <v>28</v>
      </c>
      <c r="B1027" s="4" t="s">
        <v>33</v>
      </c>
      <c r="C1027" s="4" t="s">
        <v>23</v>
      </c>
      <c r="D1027" s="4" t="s">
        <v>34</v>
      </c>
      <c r="E1027" s="4" t="s">
        <v>25</v>
      </c>
      <c r="F1027" s="4" t="s">
        <v>25</v>
      </c>
      <c r="G1027" s="4" t="s">
        <v>25</v>
      </c>
      <c r="H1027" s="4" t="s">
        <v>25</v>
      </c>
      <c r="I1027" s="5">
        <v>44440</v>
      </c>
      <c r="J1027" s="6">
        <v>0</v>
      </c>
      <c r="K1027" s="6">
        <v>0</v>
      </c>
      <c r="L1027" s="6">
        <v>61.863999999999997</v>
      </c>
      <c r="M1027" s="6">
        <v>61.863999999999997</v>
      </c>
      <c r="N1027" s="6">
        <v>61.863999999999997</v>
      </c>
      <c r="O1027" s="6">
        <v>61.863999999999997</v>
      </c>
      <c r="P1027" s="6">
        <v>33</v>
      </c>
      <c r="Q1027" s="4" t="s">
        <v>26</v>
      </c>
      <c r="R1027" s="4">
        <v>0</v>
      </c>
      <c r="S1027" s="6">
        <v>0</v>
      </c>
      <c r="T1027" s="6">
        <v>17</v>
      </c>
      <c r="U1027" s="6">
        <v>89</v>
      </c>
      <c r="V1027" s="6">
        <f>IF(ISERROR(VLOOKUP($S$1027,'TAR FIN'!$A$1:$O$93,15,0)),0,VLOOKUP($S$1027,'TAR FIN'!$A$1:$O$93,15,0))</f>
        <v>0</v>
      </c>
      <c r="W1027" s="6">
        <f>IF(ISERROR(VLOOKUP($T$1027,'TAR FIN'!$A$1:$O$93,15,0)),0,VLOOKUP($T$1027,'TAR FIN'!$A$1:$O$93,15,0))</f>
        <v>272.91000000000003</v>
      </c>
      <c r="X1027" s="6">
        <f>IF(ISERROR(VLOOKUP($U$1027,'TAR FIN'!$A$1:$O$93,15,0)),0,VLOOKUP($U$1027,'TAR FIN'!$A$1:$O$93,15,0))</f>
        <v>185.18</v>
      </c>
      <c r="Y1027" s="6"/>
      <c r="Z1027" s="6">
        <f ca="1">('TUSD BE'!$AM$52+'TUSD BF'!$AM$52+'TUSD CVA'!$AM$52)*1</f>
        <v>292.16655209139662</v>
      </c>
      <c r="AA1027" s="6">
        <f>('TE BE'!$AB$41+'TE BF'!$AB$41+'TE CVA'!$AB$41)*1</f>
        <v>198.18194779658231</v>
      </c>
      <c r="AB1027" s="6">
        <f>$K$1027*$V$1027</f>
        <v>0</v>
      </c>
      <c r="AC1027" s="6">
        <f>$M$1027*$W$1027</f>
        <v>16883.304240000001</v>
      </c>
      <c r="AD1027" s="6">
        <f>$O$1027*$X$1027</f>
        <v>11455.97552</v>
      </c>
      <c r="AE1027" s="6">
        <f>$K$1027*$Y$1027</f>
        <v>0</v>
      </c>
      <c r="AF1027" s="6">
        <f ca="1">$M$1027*$Z$1027</f>
        <v>18074.59157858216</v>
      </c>
      <c r="AG1027" s="6">
        <f>$O$1027*$AA$1027</f>
        <v>12260.328018487768</v>
      </c>
    </row>
    <row r="1028" spans="1:33" ht="11.25" customHeight="1" x14ac:dyDescent="0.25">
      <c r="A1028" s="4" t="s">
        <v>21</v>
      </c>
      <c r="B1028" s="4" t="s">
        <v>33</v>
      </c>
      <c r="C1028" s="4" t="s">
        <v>23</v>
      </c>
      <c r="D1028" s="4" t="s">
        <v>34</v>
      </c>
      <c r="E1028" s="4" t="s">
        <v>25</v>
      </c>
      <c r="F1028" s="4" t="s">
        <v>25</v>
      </c>
      <c r="G1028" s="4" t="s">
        <v>25</v>
      </c>
      <c r="H1028" s="4" t="s">
        <v>25</v>
      </c>
      <c r="I1028" s="5">
        <v>44470</v>
      </c>
      <c r="J1028" s="6">
        <v>0</v>
      </c>
      <c r="K1028" s="6">
        <v>0</v>
      </c>
      <c r="L1028" s="6">
        <v>384.80700000000002</v>
      </c>
      <c r="M1028" s="6">
        <v>384.80700000000002</v>
      </c>
      <c r="N1028" s="6">
        <v>384.80700000000002</v>
      </c>
      <c r="O1028" s="6">
        <v>384.80700000000002</v>
      </c>
      <c r="P1028" s="6">
        <v>323</v>
      </c>
      <c r="Q1028" s="4" t="s">
        <v>26</v>
      </c>
      <c r="R1028" s="4">
        <v>0</v>
      </c>
      <c r="S1028" s="6">
        <v>0</v>
      </c>
      <c r="T1028" s="6">
        <v>17</v>
      </c>
      <c r="U1028" s="6">
        <v>89</v>
      </c>
      <c r="V1028" s="6">
        <f>IF(ISERROR(VLOOKUP($S$1028,'TAR FIN'!$A$1:$O$93,15,0)),0,VLOOKUP($S$1028,'TAR FIN'!$A$1:$O$93,15,0))</f>
        <v>0</v>
      </c>
      <c r="W1028" s="6">
        <f>IF(ISERROR(VLOOKUP($T$1028,'TAR FIN'!$A$1:$O$93,15,0)),0,VLOOKUP($T$1028,'TAR FIN'!$A$1:$O$93,15,0))</f>
        <v>272.91000000000003</v>
      </c>
      <c r="X1028" s="6">
        <f>IF(ISERROR(VLOOKUP($U$1028,'TAR FIN'!$A$1:$O$93,15,0)),0,VLOOKUP($U$1028,'TAR FIN'!$A$1:$O$93,15,0))</f>
        <v>185.18</v>
      </c>
      <c r="Y1028" s="6"/>
      <c r="Z1028" s="6">
        <f ca="1">('TUSD BE'!$AM$52+'TUSD BF'!$AM$52+'TUSD CVA'!$AM$52)*1</f>
        <v>292.16655209139662</v>
      </c>
      <c r="AA1028" s="6">
        <f>('TE BE'!$AB$41+'TE BF'!$AB$41+'TE CVA'!$AB$41)*1</f>
        <v>198.18194779658231</v>
      </c>
      <c r="AB1028" s="6">
        <f>$K$1028*$V$1028</f>
        <v>0</v>
      </c>
      <c r="AC1028" s="6">
        <f>$M$1028*$W$1028</f>
        <v>105017.67837000001</v>
      </c>
      <c r="AD1028" s="6">
        <f>$O$1028*$X$1028</f>
        <v>71258.560259999998</v>
      </c>
      <c r="AE1028" s="6">
        <f>$K$1028*$Y$1028</f>
        <v>0</v>
      </c>
      <c r="AF1028" s="6">
        <f ca="1">$M$1028*$Z$1028</f>
        <v>112427.73441063406</v>
      </c>
      <c r="AG1028" s="6">
        <f>$O$1028*$AA$1028</f>
        <v>76261.800785759449</v>
      </c>
    </row>
    <row r="1029" spans="1:33" ht="11.25" customHeight="1" x14ac:dyDescent="0.25">
      <c r="A1029" s="4" t="s">
        <v>27</v>
      </c>
      <c r="B1029" s="4" t="s">
        <v>33</v>
      </c>
      <c r="C1029" s="4" t="s">
        <v>23</v>
      </c>
      <c r="D1029" s="4" t="s">
        <v>34</v>
      </c>
      <c r="E1029" s="4" t="s">
        <v>25</v>
      </c>
      <c r="F1029" s="4" t="s">
        <v>25</v>
      </c>
      <c r="G1029" s="4" t="s">
        <v>25</v>
      </c>
      <c r="H1029" s="4" t="s">
        <v>25</v>
      </c>
      <c r="I1029" s="5">
        <v>44470</v>
      </c>
      <c r="J1029" s="6">
        <v>0</v>
      </c>
      <c r="K1029" s="6">
        <v>0</v>
      </c>
      <c r="L1029" s="6">
        <v>-0.58099999999999996</v>
      </c>
      <c r="M1029" s="6">
        <v>-0.58099999999999996</v>
      </c>
      <c r="N1029" s="6">
        <v>-0.58099999999999996</v>
      </c>
      <c r="O1029" s="6">
        <v>-0.58099999999999996</v>
      </c>
      <c r="P1029" s="6">
        <v>-2</v>
      </c>
      <c r="Q1029" s="4" t="s">
        <v>26</v>
      </c>
      <c r="R1029" s="4">
        <v>0</v>
      </c>
      <c r="S1029" s="6">
        <v>0</v>
      </c>
      <c r="T1029" s="6">
        <v>17</v>
      </c>
      <c r="U1029" s="6">
        <v>89</v>
      </c>
      <c r="V1029" s="6">
        <f>IF(ISERROR(VLOOKUP($S$1029,'TAR FIN'!$A$1:$O$93,15,0)),0,VLOOKUP($S$1029,'TAR FIN'!$A$1:$O$93,15,0))</f>
        <v>0</v>
      </c>
      <c r="W1029" s="6">
        <f>IF(ISERROR(VLOOKUP($T$1029,'TAR FIN'!$A$1:$O$93,15,0)),0,VLOOKUP($T$1029,'TAR FIN'!$A$1:$O$93,15,0))</f>
        <v>272.91000000000003</v>
      </c>
      <c r="X1029" s="6">
        <f>IF(ISERROR(VLOOKUP($U$1029,'TAR FIN'!$A$1:$O$93,15,0)),0,VLOOKUP($U$1029,'TAR FIN'!$A$1:$O$93,15,0))</f>
        <v>185.18</v>
      </c>
      <c r="Y1029" s="6"/>
      <c r="Z1029" s="6">
        <f ca="1">('TUSD BE'!$AM$52+'TUSD BF'!$AM$52+'TUSD CVA'!$AM$52)*1</f>
        <v>292.16655209139662</v>
      </c>
      <c r="AA1029" s="6">
        <f>('TE BE'!$AB$41+'TE BF'!$AB$41+'TE CVA'!$AB$41)*1</f>
        <v>198.18194779658231</v>
      </c>
      <c r="AB1029" s="6">
        <f>$K$1029*$V$1029</f>
        <v>0</v>
      </c>
      <c r="AC1029" s="6">
        <f>$M$1029*$W$1029</f>
        <v>-158.56071</v>
      </c>
      <c r="AD1029" s="6">
        <f>$O$1029*$X$1029</f>
        <v>-107.58958</v>
      </c>
      <c r="AE1029" s="6">
        <f>$K$1029*$Y$1029</f>
        <v>0</v>
      </c>
      <c r="AF1029" s="6">
        <f ca="1">$M$1029*$Z$1029</f>
        <v>-169.74876676510144</v>
      </c>
      <c r="AG1029" s="6">
        <f>$O$1029*$AA$1029</f>
        <v>-115.14371166981431</v>
      </c>
    </row>
    <row r="1030" spans="1:33" ht="11.25" customHeight="1" x14ac:dyDescent="0.25">
      <c r="A1030" s="4" t="s">
        <v>28</v>
      </c>
      <c r="B1030" s="4" t="s">
        <v>33</v>
      </c>
      <c r="C1030" s="4" t="s">
        <v>23</v>
      </c>
      <c r="D1030" s="4" t="s">
        <v>34</v>
      </c>
      <c r="E1030" s="4" t="s">
        <v>25</v>
      </c>
      <c r="F1030" s="4" t="s">
        <v>25</v>
      </c>
      <c r="G1030" s="4" t="s">
        <v>25</v>
      </c>
      <c r="H1030" s="4" t="s">
        <v>25</v>
      </c>
      <c r="I1030" s="5">
        <v>44470</v>
      </c>
      <c r="J1030" s="6">
        <v>0</v>
      </c>
      <c r="K1030" s="6">
        <v>0</v>
      </c>
      <c r="L1030" s="6">
        <v>62.674999999999997</v>
      </c>
      <c r="M1030" s="6">
        <v>62.674999999999997</v>
      </c>
      <c r="N1030" s="6">
        <v>62.674999999999997</v>
      </c>
      <c r="O1030" s="6">
        <v>62.674999999999997</v>
      </c>
      <c r="P1030" s="6">
        <v>33</v>
      </c>
      <c r="Q1030" s="4" t="s">
        <v>26</v>
      </c>
      <c r="R1030" s="4">
        <v>0</v>
      </c>
      <c r="S1030" s="6">
        <v>0</v>
      </c>
      <c r="T1030" s="6">
        <v>17</v>
      </c>
      <c r="U1030" s="6">
        <v>89</v>
      </c>
      <c r="V1030" s="6">
        <f>IF(ISERROR(VLOOKUP($S$1030,'TAR FIN'!$A$1:$O$93,15,0)),0,VLOOKUP($S$1030,'TAR FIN'!$A$1:$O$93,15,0))</f>
        <v>0</v>
      </c>
      <c r="W1030" s="6">
        <f>IF(ISERROR(VLOOKUP($T$1030,'TAR FIN'!$A$1:$O$93,15,0)),0,VLOOKUP($T$1030,'TAR FIN'!$A$1:$O$93,15,0))</f>
        <v>272.91000000000003</v>
      </c>
      <c r="X1030" s="6">
        <f>IF(ISERROR(VLOOKUP($U$1030,'TAR FIN'!$A$1:$O$93,15,0)),0,VLOOKUP($U$1030,'TAR FIN'!$A$1:$O$93,15,0))</f>
        <v>185.18</v>
      </c>
      <c r="Y1030" s="6"/>
      <c r="Z1030" s="6">
        <f ca="1">('TUSD BE'!$AM$52+'TUSD BF'!$AM$52+'TUSD CVA'!$AM$52)*1</f>
        <v>292.16655209139662</v>
      </c>
      <c r="AA1030" s="6">
        <f>('TE BE'!$AB$41+'TE BF'!$AB$41+'TE CVA'!$AB$41)*1</f>
        <v>198.18194779658231</v>
      </c>
      <c r="AB1030" s="6">
        <f>$K$1030*$V$1030</f>
        <v>0</v>
      </c>
      <c r="AC1030" s="6">
        <f>$M$1030*$W$1030</f>
        <v>17104.634249999999</v>
      </c>
      <c r="AD1030" s="6">
        <f>$O$1030*$X$1030</f>
        <v>11606.156499999999</v>
      </c>
      <c r="AE1030" s="6">
        <f>$K$1030*$Y$1030</f>
        <v>0</v>
      </c>
      <c r="AF1030" s="6">
        <f ca="1">$M$1030*$Z$1030</f>
        <v>18311.538652328283</v>
      </c>
      <c r="AG1030" s="6">
        <f>$O$1030*$AA$1030</f>
        <v>12421.053578150795</v>
      </c>
    </row>
    <row r="1031" spans="1:33" ht="11.25" customHeight="1" x14ac:dyDescent="0.25">
      <c r="A1031" s="4" t="s">
        <v>21</v>
      </c>
      <c r="B1031" s="4" t="s">
        <v>33</v>
      </c>
      <c r="C1031" s="4" t="s">
        <v>23</v>
      </c>
      <c r="D1031" s="4" t="s">
        <v>34</v>
      </c>
      <c r="E1031" s="4" t="s">
        <v>25</v>
      </c>
      <c r="F1031" s="4" t="s">
        <v>25</v>
      </c>
      <c r="G1031" s="4" t="s">
        <v>25</v>
      </c>
      <c r="H1031" s="4" t="s">
        <v>25</v>
      </c>
      <c r="I1031" s="5">
        <v>44501</v>
      </c>
      <c r="J1031" s="6">
        <v>0</v>
      </c>
      <c r="K1031" s="6">
        <v>0</v>
      </c>
      <c r="L1031" s="6">
        <v>383.32400000000001</v>
      </c>
      <c r="M1031" s="6">
        <v>383.32400000000001</v>
      </c>
      <c r="N1031" s="6">
        <v>383.32400000000001</v>
      </c>
      <c r="O1031" s="6">
        <v>383.32400000000001</v>
      </c>
      <c r="P1031" s="6">
        <v>322</v>
      </c>
      <c r="Q1031" s="4" t="s">
        <v>26</v>
      </c>
      <c r="R1031" s="4">
        <v>0</v>
      </c>
      <c r="S1031" s="6">
        <v>0</v>
      </c>
      <c r="T1031" s="6">
        <v>17</v>
      </c>
      <c r="U1031" s="6">
        <v>89</v>
      </c>
      <c r="V1031" s="6">
        <f>IF(ISERROR(VLOOKUP($S$1031,'TAR FIN'!$A$1:$O$93,15,0)),0,VLOOKUP($S$1031,'TAR FIN'!$A$1:$O$93,15,0))</f>
        <v>0</v>
      </c>
      <c r="W1031" s="6">
        <f>IF(ISERROR(VLOOKUP($T$1031,'TAR FIN'!$A$1:$O$93,15,0)),0,VLOOKUP($T$1031,'TAR FIN'!$A$1:$O$93,15,0))</f>
        <v>272.91000000000003</v>
      </c>
      <c r="X1031" s="6">
        <f>IF(ISERROR(VLOOKUP($U$1031,'TAR FIN'!$A$1:$O$93,15,0)),0,VLOOKUP($U$1031,'TAR FIN'!$A$1:$O$93,15,0))</f>
        <v>185.18</v>
      </c>
      <c r="Y1031" s="6"/>
      <c r="Z1031" s="6">
        <f ca="1">('TUSD BE'!$AM$52+'TUSD BF'!$AM$52+'TUSD CVA'!$AM$52)*1</f>
        <v>292.16655209139662</v>
      </c>
      <c r="AA1031" s="6">
        <f>('TE BE'!$AB$41+'TE BF'!$AB$41+'TE CVA'!$AB$41)*1</f>
        <v>198.18194779658231</v>
      </c>
      <c r="AB1031" s="6">
        <f>$K$1031*$V$1031</f>
        <v>0</v>
      </c>
      <c r="AC1031" s="6">
        <f>$M$1031*$W$1031</f>
        <v>104612.95284000001</v>
      </c>
      <c r="AD1031" s="6">
        <f>$O$1031*$X$1031</f>
        <v>70983.938320000001</v>
      </c>
      <c r="AE1031" s="6">
        <f>$K$1031*$Y$1031</f>
        <v>0</v>
      </c>
      <c r="AF1031" s="6">
        <f ca="1">$M$1031*$Z$1031</f>
        <v>111994.45141388252</v>
      </c>
      <c r="AG1031" s="6">
        <f>$O$1031*$AA$1031</f>
        <v>75967.896957177116</v>
      </c>
    </row>
    <row r="1032" spans="1:33" ht="11.25" customHeight="1" x14ac:dyDescent="0.25">
      <c r="A1032" s="4" t="s">
        <v>28</v>
      </c>
      <c r="B1032" s="4" t="s">
        <v>33</v>
      </c>
      <c r="C1032" s="4" t="s">
        <v>23</v>
      </c>
      <c r="D1032" s="4" t="s">
        <v>34</v>
      </c>
      <c r="E1032" s="4" t="s">
        <v>25</v>
      </c>
      <c r="F1032" s="4" t="s">
        <v>25</v>
      </c>
      <c r="G1032" s="4" t="s">
        <v>25</v>
      </c>
      <c r="H1032" s="4" t="s">
        <v>25</v>
      </c>
      <c r="I1032" s="5">
        <v>44501</v>
      </c>
      <c r="J1032" s="6">
        <v>0</v>
      </c>
      <c r="K1032" s="6">
        <v>0</v>
      </c>
      <c r="L1032" s="6">
        <v>41.142000000000003</v>
      </c>
      <c r="M1032" s="6">
        <v>41.142000000000003</v>
      </c>
      <c r="N1032" s="6">
        <v>41.142000000000003</v>
      </c>
      <c r="O1032" s="6">
        <v>41.142000000000003</v>
      </c>
      <c r="P1032" s="6">
        <v>37</v>
      </c>
      <c r="Q1032" s="4" t="s">
        <v>26</v>
      </c>
      <c r="R1032" s="4">
        <v>0</v>
      </c>
      <c r="S1032" s="6">
        <v>0</v>
      </c>
      <c r="T1032" s="6">
        <v>17</v>
      </c>
      <c r="U1032" s="6">
        <v>89</v>
      </c>
      <c r="V1032" s="6">
        <f>IF(ISERROR(VLOOKUP($S$1032,'TAR FIN'!$A$1:$O$93,15,0)),0,VLOOKUP($S$1032,'TAR FIN'!$A$1:$O$93,15,0))</f>
        <v>0</v>
      </c>
      <c r="W1032" s="6">
        <f>IF(ISERROR(VLOOKUP($T$1032,'TAR FIN'!$A$1:$O$93,15,0)),0,VLOOKUP($T$1032,'TAR FIN'!$A$1:$O$93,15,0))</f>
        <v>272.91000000000003</v>
      </c>
      <c r="X1032" s="6">
        <f>IF(ISERROR(VLOOKUP($U$1032,'TAR FIN'!$A$1:$O$93,15,0)),0,VLOOKUP($U$1032,'TAR FIN'!$A$1:$O$93,15,0))</f>
        <v>185.18</v>
      </c>
      <c r="Y1032" s="6"/>
      <c r="Z1032" s="6">
        <f ca="1">('TUSD BE'!$AM$52+'TUSD BF'!$AM$52+'TUSD CVA'!$AM$52)*1</f>
        <v>292.16655209139662</v>
      </c>
      <c r="AA1032" s="6">
        <f>('TE BE'!$AB$41+'TE BF'!$AB$41+'TE CVA'!$AB$41)*1</f>
        <v>198.18194779658231</v>
      </c>
      <c r="AB1032" s="6">
        <f>$K$1032*$V$1032</f>
        <v>0</v>
      </c>
      <c r="AC1032" s="6">
        <f>$M$1032*$W$1032</f>
        <v>11228.063220000002</v>
      </c>
      <c r="AD1032" s="6">
        <f>$O$1032*$X$1032</f>
        <v>7618.6755600000006</v>
      </c>
      <c r="AE1032" s="6">
        <f>$K$1032*$Y$1032</f>
        <v>0</v>
      </c>
      <c r="AF1032" s="6">
        <f ca="1">$M$1032*$Z$1032</f>
        <v>12020.316286144242</v>
      </c>
      <c r="AG1032" s="6">
        <f>$O$1032*$AA$1032</f>
        <v>8153.6016962469903</v>
      </c>
    </row>
    <row r="1033" spans="1:33" ht="11.25" customHeight="1" x14ac:dyDescent="0.25">
      <c r="A1033" s="4" t="s">
        <v>21</v>
      </c>
      <c r="B1033" s="4" t="s">
        <v>33</v>
      </c>
      <c r="C1033" s="4" t="s">
        <v>23</v>
      </c>
      <c r="D1033" s="4" t="s">
        <v>34</v>
      </c>
      <c r="E1033" s="4" t="s">
        <v>25</v>
      </c>
      <c r="F1033" s="4" t="s">
        <v>25</v>
      </c>
      <c r="G1033" s="4" t="s">
        <v>25</v>
      </c>
      <c r="H1033" s="4" t="s">
        <v>25</v>
      </c>
      <c r="I1033" s="5">
        <v>44531</v>
      </c>
      <c r="J1033" s="6">
        <v>0</v>
      </c>
      <c r="K1033" s="6">
        <v>0</v>
      </c>
      <c r="L1033" s="6">
        <v>384.40499999999997</v>
      </c>
      <c r="M1033" s="6">
        <v>384.40499999999997</v>
      </c>
      <c r="N1033" s="6">
        <v>384.40499999999997</v>
      </c>
      <c r="O1033" s="6">
        <v>384.40499999999997</v>
      </c>
      <c r="P1033" s="6">
        <v>328</v>
      </c>
      <c r="Q1033" s="4" t="s">
        <v>26</v>
      </c>
      <c r="R1033" s="4">
        <v>0</v>
      </c>
      <c r="S1033" s="6">
        <v>0</v>
      </c>
      <c r="T1033" s="6">
        <v>17</v>
      </c>
      <c r="U1033" s="6">
        <v>89</v>
      </c>
      <c r="V1033" s="6">
        <f>IF(ISERROR(VLOOKUP($S$1033,'TAR FIN'!$A$1:$O$93,15,0)),0,VLOOKUP($S$1033,'TAR FIN'!$A$1:$O$93,15,0))</f>
        <v>0</v>
      </c>
      <c r="W1033" s="6">
        <f>IF(ISERROR(VLOOKUP($T$1033,'TAR FIN'!$A$1:$O$93,15,0)),0,VLOOKUP($T$1033,'TAR FIN'!$A$1:$O$93,15,0))</f>
        <v>272.91000000000003</v>
      </c>
      <c r="X1033" s="6">
        <f>IF(ISERROR(VLOOKUP($U$1033,'TAR FIN'!$A$1:$O$93,15,0)),0,VLOOKUP($U$1033,'TAR FIN'!$A$1:$O$93,15,0))</f>
        <v>185.18</v>
      </c>
      <c r="Y1033" s="6"/>
      <c r="Z1033" s="6">
        <f ca="1">('TUSD BE'!$AM$52+'TUSD BF'!$AM$52+'TUSD CVA'!$AM$52)*1</f>
        <v>292.16655209139662</v>
      </c>
      <c r="AA1033" s="6">
        <f>('TE BE'!$AB$41+'TE BF'!$AB$41+'TE CVA'!$AB$41)*1</f>
        <v>198.18194779658231</v>
      </c>
      <c r="AB1033" s="6">
        <f>$K$1033*$V$1033</f>
        <v>0</v>
      </c>
      <c r="AC1033" s="6">
        <f>$M$1033*$W$1033</f>
        <v>104907.96855000001</v>
      </c>
      <c r="AD1033" s="6">
        <f>$O$1033*$X$1033</f>
        <v>71184.117899999997</v>
      </c>
      <c r="AE1033" s="6">
        <f>$K$1033*$Y$1033</f>
        <v>0</v>
      </c>
      <c r="AF1033" s="6">
        <f ca="1">$M$1033*$Z$1033</f>
        <v>112310.28345669332</v>
      </c>
      <c r="AG1033" s="6">
        <f>$O$1033*$AA$1033</f>
        <v>76182.131642745211</v>
      </c>
    </row>
    <row r="1034" spans="1:33" ht="11.25" customHeight="1" x14ac:dyDescent="0.25">
      <c r="A1034" s="4" t="s">
        <v>27</v>
      </c>
      <c r="B1034" s="4" t="s">
        <v>33</v>
      </c>
      <c r="C1034" s="4" t="s">
        <v>23</v>
      </c>
      <c r="D1034" s="4" t="s">
        <v>34</v>
      </c>
      <c r="E1034" s="4" t="s">
        <v>25</v>
      </c>
      <c r="F1034" s="4" t="s">
        <v>25</v>
      </c>
      <c r="G1034" s="4" t="s">
        <v>25</v>
      </c>
      <c r="H1034" s="4" t="s">
        <v>25</v>
      </c>
      <c r="I1034" s="5">
        <v>44531</v>
      </c>
      <c r="J1034" s="6">
        <v>0</v>
      </c>
      <c r="K1034" s="6">
        <v>0</v>
      </c>
      <c r="L1034" s="6">
        <v>-0.66</v>
      </c>
      <c r="M1034" s="6">
        <v>-0.66</v>
      </c>
      <c r="N1034" s="6">
        <v>-0.66</v>
      </c>
      <c r="O1034" s="6">
        <v>-0.66</v>
      </c>
      <c r="P1034" s="6">
        <v>-2</v>
      </c>
      <c r="Q1034" s="4" t="s">
        <v>26</v>
      </c>
      <c r="R1034" s="4">
        <v>0</v>
      </c>
      <c r="S1034" s="6">
        <v>0</v>
      </c>
      <c r="T1034" s="6">
        <v>17</v>
      </c>
      <c r="U1034" s="6">
        <v>89</v>
      </c>
      <c r="V1034" s="6">
        <f>IF(ISERROR(VLOOKUP($S$1034,'TAR FIN'!$A$1:$O$93,15,0)),0,VLOOKUP($S$1034,'TAR FIN'!$A$1:$O$93,15,0))</f>
        <v>0</v>
      </c>
      <c r="W1034" s="6">
        <f>IF(ISERROR(VLOOKUP($T$1034,'TAR FIN'!$A$1:$O$93,15,0)),0,VLOOKUP($T$1034,'TAR FIN'!$A$1:$O$93,15,0))</f>
        <v>272.91000000000003</v>
      </c>
      <c r="X1034" s="6">
        <f>IF(ISERROR(VLOOKUP($U$1034,'TAR FIN'!$A$1:$O$93,15,0)),0,VLOOKUP($U$1034,'TAR FIN'!$A$1:$O$93,15,0))</f>
        <v>185.18</v>
      </c>
      <c r="Y1034" s="6"/>
      <c r="Z1034" s="6">
        <f ca="1">('TUSD BE'!$AM$52+'TUSD BF'!$AM$52+'TUSD CVA'!$AM$52)*1</f>
        <v>292.16655209139662</v>
      </c>
      <c r="AA1034" s="6">
        <f>('TE BE'!$AB$41+'TE BF'!$AB$41+'TE CVA'!$AB$41)*1</f>
        <v>198.18194779658231</v>
      </c>
      <c r="AB1034" s="6">
        <f>$K$1034*$V$1034</f>
        <v>0</v>
      </c>
      <c r="AC1034" s="6">
        <f>$M$1034*$W$1034</f>
        <v>-180.12060000000002</v>
      </c>
      <c r="AD1034" s="6">
        <f>$O$1034*$X$1034</f>
        <v>-122.21880000000002</v>
      </c>
      <c r="AE1034" s="6">
        <f>$K$1034*$Y$1034</f>
        <v>0</v>
      </c>
      <c r="AF1034" s="6">
        <f ca="1">$M$1034*$Z$1034</f>
        <v>-192.82992438032178</v>
      </c>
      <c r="AG1034" s="6">
        <f>$O$1034*$AA$1034</f>
        <v>-130.80008554574434</v>
      </c>
    </row>
    <row r="1035" spans="1:33" ht="11.25" customHeight="1" x14ac:dyDescent="0.25">
      <c r="A1035" s="4" t="s">
        <v>21</v>
      </c>
      <c r="B1035" s="4" t="s">
        <v>33</v>
      </c>
      <c r="C1035" s="4" t="s">
        <v>23</v>
      </c>
      <c r="D1035" s="4" t="s">
        <v>34</v>
      </c>
      <c r="E1035" s="4" t="s">
        <v>25</v>
      </c>
      <c r="F1035" s="4" t="s">
        <v>25</v>
      </c>
      <c r="G1035" s="4" t="s">
        <v>25</v>
      </c>
      <c r="H1035" s="4" t="s">
        <v>25</v>
      </c>
      <c r="I1035" s="5">
        <v>44562</v>
      </c>
      <c r="J1035" s="6">
        <v>0</v>
      </c>
      <c r="K1035" s="6">
        <v>0</v>
      </c>
      <c r="L1035" s="6">
        <v>390.27600000000001</v>
      </c>
      <c r="M1035" s="6">
        <v>390.27600000000001</v>
      </c>
      <c r="N1035" s="6">
        <v>390.27600000000001</v>
      </c>
      <c r="O1035" s="6">
        <v>390.27600000000001</v>
      </c>
      <c r="P1035" s="6">
        <v>323</v>
      </c>
      <c r="Q1035" s="4" t="s">
        <v>26</v>
      </c>
      <c r="R1035" s="4">
        <v>0</v>
      </c>
      <c r="S1035" s="6">
        <v>0</v>
      </c>
      <c r="T1035" s="6">
        <v>17</v>
      </c>
      <c r="U1035" s="6">
        <v>89</v>
      </c>
      <c r="V1035" s="6">
        <f>IF(ISERROR(VLOOKUP($S$1035,'TAR FIN'!$A$1:$O$93,15,0)),0,VLOOKUP($S$1035,'TAR FIN'!$A$1:$O$93,15,0))</f>
        <v>0</v>
      </c>
      <c r="W1035" s="6">
        <f>IF(ISERROR(VLOOKUP($T$1035,'TAR FIN'!$A$1:$O$93,15,0)),0,VLOOKUP($T$1035,'TAR FIN'!$A$1:$O$93,15,0))</f>
        <v>272.91000000000003</v>
      </c>
      <c r="X1035" s="6">
        <f>IF(ISERROR(VLOOKUP($U$1035,'TAR FIN'!$A$1:$O$93,15,0)),0,VLOOKUP($U$1035,'TAR FIN'!$A$1:$O$93,15,0))</f>
        <v>185.18</v>
      </c>
      <c r="Y1035" s="6"/>
      <c r="Z1035" s="6">
        <f ca="1">('TUSD BE'!$AM$52+'TUSD BF'!$AM$52+'TUSD CVA'!$AM$52)*1</f>
        <v>292.16655209139662</v>
      </c>
      <c r="AA1035" s="6">
        <f>('TE BE'!$AB$41+'TE BF'!$AB$41+'TE CVA'!$AB$41)*1</f>
        <v>198.18194779658231</v>
      </c>
      <c r="AB1035" s="6">
        <f>$K$1035*$V$1035</f>
        <v>0</v>
      </c>
      <c r="AC1035" s="6">
        <f>$M$1035*$W$1035</f>
        <v>106510.22316000001</v>
      </c>
      <c r="AD1035" s="6">
        <f>$O$1035*$X$1035</f>
        <v>72271.309680000006</v>
      </c>
      <c r="AE1035" s="6">
        <f>$K$1035*$Y$1035</f>
        <v>0</v>
      </c>
      <c r="AF1035" s="6">
        <f ca="1">$M$1035*$Z$1035</f>
        <v>114025.59328402192</v>
      </c>
      <c r="AG1035" s="6">
        <f>$O$1035*$AA$1035</f>
        <v>77345.657858258957</v>
      </c>
    </row>
    <row r="1036" spans="1:33" ht="11.25" customHeight="1" x14ac:dyDescent="0.25">
      <c r="A1036" s="4" t="s">
        <v>27</v>
      </c>
      <c r="B1036" s="4" t="s">
        <v>33</v>
      </c>
      <c r="C1036" s="4" t="s">
        <v>23</v>
      </c>
      <c r="D1036" s="4" t="s">
        <v>34</v>
      </c>
      <c r="E1036" s="4" t="s">
        <v>25</v>
      </c>
      <c r="F1036" s="4" t="s">
        <v>25</v>
      </c>
      <c r="G1036" s="4" t="s">
        <v>25</v>
      </c>
      <c r="H1036" s="4" t="s">
        <v>25</v>
      </c>
      <c r="I1036" s="5">
        <v>44562</v>
      </c>
      <c r="J1036" s="6">
        <v>0</v>
      </c>
      <c r="K1036" s="6">
        <v>0</v>
      </c>
      <c r="L1036" s="6">
        <v>-0.49299999999999999</v>
      </c>
      <c r="M1036" s="6">
        <v>-0.49299999999999999</v>
      </c>
      <c r="N1036" s="6">
        <v>-0.49299999999999999</v>
      </c>
      <c r="O1036" s="6">
        <v>-0.49299999999999999</v>
      </c>
      <c r="P1036" s="6">
        <v>-1</v>
      </c>
      <c r="Q1036" s="4" t="s">
        <v>26</v>
      </c>
      <c r="R1036" s="4">
        <v>0</v>
      </c>
      <c r="S1036" s="6">
        <v>0</v>
      </c>
      <c r="T1036" s="6">
        <v>17</v>
      </c>
      <c r="U1036" s="6">
        <v>89</v>
      </c>
      <c r="V1036" s="6">
        <f>IF(ISERROR(VLOOKUP($S$1036,'TAR FIN'!$A$1:$O$93,15,0)),0,VLOOKUP($S$1036,'TAR FIN'!$A$1:$O$93,15,0))</f>
        <v>0</v>
      </c>
      <c r="W1036" s="6">
        <f>IF(ISERROR(VLOOKUP($T$1036,'TAR FIN'!$A$1:$O$93,15,0)),0,VLOOKUP($T$1036,'TAR FIN'!$A$1:$O$93,15,0))</f>
        <v>272.91000000000003</v>
      </c>
      <c r="X1036" s="6">
        <f>IF(ISERROR(VLOOKUP($U$1036,'TAR FIN'!$A$1:$O$93,15,0)),0,VLOOKUP($U$1036,'TAR FIN'!$A$1:$O$93,15,0))</f>
        <v>185.18</v>
      </c>
      <c r="Y1036" s="6"/>
      <c r="Z1036" s="6">
        <f ca="1">('TUSD BE'!$AM$52+'TUSD BF'!$AM$52+'TUSD CVA'!$AM$52)*1</f>
        <v>292.16655209139662</v>
      </c>
      <c r="AA1036" s="6">
        <f>('TE BE'!$AB$41+'TE BF'!$AB$41+'TE CVA'!$AB$41)*1</f>
        <v>198.18194779658231</v>
      </c>
      <c r="AB1036" s="6">
        <f>$K$1036*$V$1036</f>
        <v>0</v>
      </c>
      <c r="AC1036" s="6">
        <f>$M$1036*$W$1036</f>
        <v>-134.54463000000001</v>
      </c>
      <c r="AD1036" s="6">
        <f>$O$1036*$X$1036</f>
        <v>-91.29374</v>
      </c>
      <c r="AE1036" s="6">
        <f>$K$1036*$Y$1036</f>
        <v>0</v>
      </c>
      <c r="AF1036" s="6">
        <f ca="1">$M$1036*$Z$1036</f>
        <v>-144.03811018105853</v>
      </c>
      <c r="AG1036" s="6">
        <f>$O$1036*$AA$1036</f>
        <v>-97.703700263715078</v>
      </c>
    </row>
    <row r="1037" spans="1:33" ht="11.25" customHeight="1" x14ac:dyDescent="0.25">
      <c r="A1037" s="4" t="s">
        <v>28</v>
      </c>
      <c r="B1037" s="4" t="s">
        <v>33</v>
      </c>
      <c r="C1037" s="4" t="s">
        <v>23</v>
      </c>
      <c r="D1037" s="4" t="s">
        <v>34</v>
      </c>
      <c r="E1037" s="4" t="s">
        <v>25</v>
      </c>
      <c r="F1037" s="4" t="s">
        <v>25</v>
      </c>
      <c r="G1037" s="4" t="s">
        <v>25</v>
      </c>
      <c r="H1037" s="4" t="s">
        <v>25</v>
      </c>
      <c r="I1037" s="5">
        <v>44562</v>
      </c>
      <c r="J1037" s="6">
        <v>0</v>
      </c>
      <c r="K1037" s="6">
        <v>0</v>
      </c>
      <c r="L1037" s="6">
        <v>39.645000000000003</v>
      </c>
      <c r="M1037" s="6">
        <v>39.645000000000003</v>
      </c>
      <c r="N1037" s="6">
        <v>39.645000000000003</v>
      </c>
      <c r="O1037" s="6">
        <v>39.645000000000003</v>
      </c>
      <c r="P1037" s="6">
        <v>42</v>
      </c>
      <c r="Q1037" s="4" t="s">
        <v>26</v>
      </c>
      <c r="R1037" s="4">
        <v>0</v>
      </c>
      <c r="S1037" s="6">
        <v>0</v>
      </c>
      <c r="T1037" s="6">
        <v>17</v>
      </c>
      <c r="U1037" s="6">
        <v>89</v>
      </c>
      <c r="V1037" s="6">
        <f>IF(ISERROR(VLOOKUP($S$1037,'TAR FIN'!$A$1:$O$93,15,0)),0,VLOOKUP($S$1037,'TAR FIN'!$A$1:$O$93,15,0))</f>
        <v>0</v>
      </c>
      <c r="W1037" s="6">
        <f>IF(ISERROR(VLOOKUP($T$1037,'TAR FIN'!$A$1:$O$93,15,0)),0,VLOOKUP($T$1037,'TAR FIN'!$A$1:$O$93,15,0))</f>
        <v>272.91000000000003</v>
      </c>
      <c r="X1037" s="6">
        <f>IF(ISERROR(VLOOKUP($U$1037,'TAR FIN'!$A$1:$O$93,15,0)),0,VLOOKUP($U$1037,'TAR FIN'!$A$1:$O$93,15,0))</f>
        <v>185.18</v>
      </c>
      <c r="Y1037" s="6"/>
      <c r="Z1037" s="6">
        <f ca="1">('TUSD BE'!$AM$52+'TUSD BF'!$AM$52+'TUSD CVA'!$AM$52)*1</f>
        <v>292.16655209139662</v>
      </c>
      <c r="AA1037" s="6">
        <f>('TE BE'!$AB$41+'TE BF'!$AB$41+'TE CVA'!$AB$41)*1</f>
        <v>198.18194779658231</v>
      </c>
      <c r="AB1037" s="6">
        <f>$K$1037*$V$1037</f>
        <v>0</v>
      </c>
      <c r="AC1037" s="6">
        <f>$M$1037*$W$1037</f>
        <v>10819.516950000001</v>
      </c>
      <c r="AD1037" s="6">
        <f>$O$1037*$X$1037</f>
        <v>7341.4611000000004</v>
      </c>
      <c r="AE1037" s="6">
        <f>$K$1037*$Y$1037</f>
        <v>0</v>
      </c>
      <c r="AF1037" s="6">
        <f ca="1">$M$1037*$Z$1037</f>
        <v>11582.942957663419</v>
      </c>
      <c r="AG1037" s="6">
        <f>$O$1037*$AA$1037</f>
        <v>7856.9233203955064</v>
      </c>
    </row>
    <row r="1038" spans="1:33" ht="11.25" customHeight="1" x14ac:dyDescent="0.25">
      <c r="A1038" s="4" t="s">
        <v>21</v>
      </c>
      <c r="B1038" s="4" t="s">
        <v>33</v>
      </c>
      <c r="C1038" s="4" t="s">
        <v>23</v>
      </c>
      <c r="D1038" s="4" t="s">
        <v>34</v>
      </c>
      <c r="E1038" s="4" t="s">
        <v>25</v>
      </c>
      <c r="F1038" s="4" t="s">
        <v>25</v>
      </c>
      <c r="G1038" s="4" t="s">
        <v>25</v>
      </c>
      <c r="H1038" s="4" t="s">
        <v>25</v>
      </c>
      <c r="I1038" s="5">
        <v>44593</v>
      </c>
      <c r="J1038" s="6">
        <v>0</v>
      </c>
      <c r="K1038" s="6">
        <v>0</v>
      </c>
      <c r="L1038" s="6">
        <v>384.39699999999999</v>
      </c>
      <c r="M1038" s="6">
        <v>384.39699999999999</v>
      </c>
      <c r="N1038" s="6">
        <v>384.39699999999999</v>
      </c>
      <c r="O1038" s="6">
        <v>384.39699999999999</v>
      </c>
      <c r="P1038" s="6">
        <v>321</v>
      </c>
      <c r="Q1038" s="4" t="s">
        <v>26</v>
      </c>
      <c r="R1038" s="4">
        <v>0</v>
      </c>
      <c r="S1038" s="6">
        <v>0</v>
      </c>
      <c r="T1038" s="6">
        <v>17</v>
      </c>
      <c r="U1038" s="6">
        <v>89</v>
      </c>
      <c r="V1038" s="6">
        <f>IF(ISERROR(VLOOKUP($S$1038,'TAR FIN'!$A$1:$O$93,15,0)),0,VLOOKUP($S$1038,'TAR FIN'!$A$1:$O$93,15,0))</f>
        <v>0</v>
      </c>
      <c r="W1038" s="6">
        <f>IF(ISERROR(VLOOKUP($T$1038,'TAR FIN'!$A$1:$O$93,15,0)),0,VLOOKUP($T$1038,'TAR FIN'!$A$1:$O$93,15,0))</f>
        <v>272.91000000000003</v>
      </c>
      <c r="X1038" s="6">
        <f>IF(ISERROR(VLOOKUP($U$1038,'TAR FIN'!$A$1:$O$93,15,0)),0,VLOOKUP($U$1038,'TAR FIN'!$A$1:$O$93,15,0))</f>
        <v>185.18</v>
      </c>
      <c r="Y1038" s="6"/>
      <c r="Z1038" s="6">
        <f ca="1">('TUSD BE'!$AM$52+'TUSD BF'!$AM$52+'TUSD CVA'!$AM$52)*1</f>
        <v>292.16655209139662</v>
      </c>
      <c r="AA1038" s="6">
        <f>('TE BE'!$AB$41+'TE BF'!$AB$41+'TE CVA'!$AB$41)*1</f>
        <v>198.18194779658231</v>
      </c>
      <c r="AB1038" s="6">
        <f>$K$1038*$V$1038</f>
        <v>0</v>
      </c>
      <c r="AC1038" s="6">
        <f>$M$1038*$W$1038</f>
        <v>104905.78527000001</v>
      </c>
      <c r="AD1038" s="6">
        <f>$O$1038*$X$1038</f>
        <v>71182.636459999994</v>
      </c>
      <c r="AE1038" s="6">
        <f>$K$1038*$Y$1038</f>
        <v>0</v>
      </c>
      <c r="AF1038" s="6">
        <f ca="1">$M$1038*$Z$1038</f>
        <v>112307.94612427658</v>
      </c>
      <c r="AG1038" s="6">
        <f>$O$1038*$AA$1038</f>
        <v>76180.54618716285</v>
      </c>
    </row>
    <row r="1039" spans="1:33" ht="11.25" customHeight="1" x14ac:dyDescent="0.25">
      <c r="A1039" s="4" t="s">
        <v>28</v>
      </c>
      <c r="B1039" s="4" t="s">
        <v>33</v>
      </c>
      <c r="C1039" s="4" t="s">
        <v>23</v>
      </c>
      <c r="D1039" s="4" t="s">
        <v>34</v>
      </c>
      <c r="E1039" s="4" t="s">
        <v>25</v>
      </c>
      <c r="F1039" s="4" t="s">
        <v>25</v>
      </c>
      <c r="G1039" s="4" t="s">
        <v>25</v>
      </c>
      <c r="H1039" s="4" t="s">
        <v>25</v>
      </c>
      <c r="I1039" s="5">
        <v>44593</v>
      </c>
      <c r="J1039" s="6">
        <v>0</v>
      </c>
      <c r="K1039" s="6">
        <v>0</v>
      </c>
      <c r="L1039" s="6">
        <v>46.658000000000001</v>
      </c>
      <c r="M1039" s="6">
        <v>46.658000000000001</v>
      </c>
      <c r="N1039" s="6">
        <v>46.658000000000001</v>
      </c>
      <c r="O1039" s="6">
        <v>46.658000000000001</v>
      </c>
      <c r="P1039" s="6">
        <v>42</v>
      </c>
      <c r="Q1039" s="4" t="s">
        <v>26</v>
      </c>
      <c r="R1039" s="4">
        <v>0</v>
      </c>
      <c r="S1039" s="6">
        <v>0</v>
      </c>
      <c r="T1039" s="6">
        <v>17</v>
      </c>
      <c r="U1039" s="6">
        <v>89</v>
      </c>
      <c r="V1039" s="6">
        <f>IF(ISERROR(VLOOKUP($S$1039,'TAR FIN'!$A$1:$O$93,15,0)),0,VLOOKUP($S$1039,'TAR FIN'!$A$1:$O$93,15,0))</f>
        <v>0</v>
      </c>
      <c r="W1039" s="6">
        <f>IF(ISERROR(VLOOKUP($T$1039,'TAR FIN'!$A$1:$O$93,15,0)),0,VLOOKUP($T$1039,'TAR FIN'!$A$1:$O$93,15,0))</f>
        <v>272.91000000000003</v>
      </c>
      <c r="X1039" s="6">
        <f>IF(ISERROR(VLOOKUP($U$1039,'TAR FIN'!$A$1:$O$93,15,0)),0,VLOOKUP($U$1039,'TAR FIN'!$A$1:$O$93,15,0))</f>
        <v>185.18</v>
      </c>
      <c r="Y1039" s="6"/>
      <c r="Z1039" s="6">
        <f ca="1">('TUSD BE'!$AM$52+'TUSD BF'!$AM$52+'TUSD CVA'!$AM$52)*1</f>
        <v>292.16655209139662</v>
      </c>
      <c r="AA1039" s="6">
        <f>('TE BE'!$AB$41+'TE BF'!$AB$41+'TE CVA'!$AB$41)*1</f>
        <v>198.18194779658231</v>
      </c>
      <c r="AB1039" s="6">
        <f>$K$1039*$V$1039</f>
        <v>0</v>
      </c>
      <c r="AC1039" s="6">
        <f>$M$1039*$W$1039</f>
        <v>12733.434780000001</v>
      </c>
      <c r="AD1039" s="6">
        <f>$O$1039*$X$1039</f>
        <v>8640.1284400000004</v>
      </c>
      <c r="AE1039" s="6">
        <f>$K$1039*$Y$1039</f>
        <v>0</v>
      </c>
      <c r="AF1039" s="6">
        <f ca="1">$M$1039*$Z$1039</f>
        <v>13631.906987480384</v>
      </c>
      <c r="AG1039" s="6">
        <f>$O$1039*$AA$1039</f>
        <v>9246.7733202929376</v>
      </c>
    </row>
    <row r="1040" spans="1:33" ht="11.25" customHeight="1" x14ac:dyDescent="0.25">
      <c r="A1040" s="4" t="s">
        <v>21</v>
      </c>
      <c r="B1040" s="4" t="s">
        <v>33</v>
      </c>
      <c r="C1040" s="4" t="s">
        <v>23</v>
      </c>
      <c r="D1040" s="4" t="s">
        <v>34</v>
      </c>
      <c r="E1040" s="4" t="s">
        <v>25</v>
      </c>
      <c r="F1040" s="4" t="s">
        <v>25</v>
      </c>
      <c r="G1040" s="4" t="s">
        <v>25</v>
      </c>
      <c r="H1040" s="4" t="s">
        <v>25</v>
      </c>
      <c r="I1040" s="5">
        <v>44621</v>
      </c>
      <c r="J1040" s="6">
        <v>0</v>
      </c>
      <c r="K1040" s="6">
        <v>0</v>
      </c>
      <c r="L1040" s="6">
        <v>397.18299999999999</v>
      </c>
      <c r="M1040" s="6">
        <v>397.18299999999999</v>
      </c>
      <c r="N1040" s="6">
        <v>397.18299999999999</v>
      </c>
      <c r="O1040" s="6">
        <v>397.18299999999999</v>
      </c>
      <c r="P1040" s="6">
        <v>320</v>
      </c>
      <c r="Q1040" s="4" t="s">
        <v>26</v>
      </c>
      <c r="R1040" s="4">
        <v>0</v>
      </c>
      <c r="S1040" s="6">
        <v>0</v>
      </c>
      <c r="T1040" s="6">
        <v>17</v>
      </c>
      <c r="U1040" s="6">
        <v>89</v>
      </c>
      <c r="V1040" s="6">
        <f>IF(ISERROR(VLOOKUP($S$1040,'TAR FIN'!$A$1:$O$93,15,0)),0,VLOOKUP($S$1040,'TAR FIN'!$A$1:$O$93,15,0))</f>
        <v>0</v>
      </c>
      <c r="W1040" s="6">
        <f>IF(ISERROR(VLOOKUP($T$1040,'TAR FIN'!$A$1:$O$93,15,0)),0,VLOOKUP($T$1040,'TAR FIN'!$A$1:$O$93,15,0))</f>
        <v>272.91000000000003</v>
      </c>
      <c r="X1040" s="6">
        <f>IF(ISERROR(VLOOKUP($U$1040,'TAR FIN'!$A$1:$O$93,15,0)),0,VLOOKUP($U$1040,'TAR FIN'!$A$1:$O$93,15,0))</f>
        <v>185.18</v>
      </c>
      <c r="Y1040" s="6"/>
      <c r="Z1040" s="6">
        <f ca="1">('TUSD BE'!$AM$52+'TUSD BF'!$AM$52+'TUSD CVA'!$AM$52)*1</f>
        <v>292.16655209139662</v>
      </c>
      <c r="AA1040" s="6">
        <f>('TE BE'!$AB$41+'TE BF'!$AB$41+'TE CVA'!$AB$41)*1</f>
        <v>198.18194779658231</v>
      </c>
      <c r="AB1040" s="6">
        <f>$K$1040*$V$1040</f>
        <v>0</v>
      </c>
      <c r="AC1040" s="6">
        <f>$M$1040*$W$1040</f>
        <v>108395.21253</v>
      </c>
      <c r="AD1040" s="6">
        <f>$O$1040*$X$1040</f>
        <v>73550.347940000007</v>
      </c>
      <c r="AE1040" s="6">
        <f>$K$1040*$Y$1040</f>
        <v>0</v>
      </c>
      <c r="AF1040" s="6">
        <f ca="1">$M$1040*$Z$1040</f>
        <v>116043.58765931719</v>
      </c>
      <c r="AG1040" s="6">
        <f>$O$1040*$AA$1040</f>
        <v>78714.500571689947</v>
      </c>
    </row>
    <row r="1041" spans="1:33" ht="11.25" customHeight="1" x14ac:dyDescent="0.25">
      <c r="A1041" s="4" t="s">
        <v>28</v>
      </c>
      <c r="B1041" s="4" t="s">
        <v>33</v>
      </c>
      <c r="C1041" s="4" t="s">
        <v>23</v>
      </c>
      <c r="D1041" s="4" t="s">
        <v>34</v>
      </c>
      <c r="E1041" s="4" t="s">
        <v>25</v>
      </c>
      <c r="F1041" s="4" t="s">
        <v>25</v>
      </c>
      <c r="G1041" s="4" t="s">
        <v>25</v>
      </c>
      <c r="H1041" s="4" t="s">
        <v>25</v>
      </c>
      <c r="I1041" s="5">
        <v>44621</v>
      </c>
      <c r="J1041" s="6">
        <v>0</v>
      </c>
      <c r="K1041" s="6">
        <v>0</v>
      </c>
      <c r="L1041" s="6">
        <v>50.447000000000003</v>
      </c>
      <c r="M1041" s="6">
        <v>50.447000000000003</v>
      </c>
      <c r="N1041" s="6">
        <v>50.447000000000003</v>
      </c>
      <c r="O1041" s="6">
        <v>50.447000000000003</v>
      </c>
      <c r="P1041" s="6">
        <v>44</v>
      </c>
      <c r="Q1041" s="4" t="s">
        <v>26</v>
      </c>
      <c r="R1041" s="4">
        <v>0</v>
      </c>
      <c r="S1041" s="6">
        <v>0</v>
      </c>
      <c r="T1041" s="6">
        <v>17</v>
      </c>
      <c r="U1041" s="6">
        <v>89</v>
      </c>
      <c r="V1041" s="6">
        <f>IF(ISERROR(VLOOKUP($S$1041,'TAR FIN'!$A$1:$O$93,15,0)),0,VLOOKUP($S$1041,'TAR FIN'!$A$1:$O$93,15,0))</f>
        <v>0</v>
      </c>
      <c r="W1041" s="6">
        <f>IF(ISERROR(VLOOKUP($T$1041,'TAR FIN'!$A$1:$O$93,15,0)),0,VLOOKUP($T$1041,'TAR FIN'!$A$1:$O$93,15,0))</f>
        <v>272.91000000000003</v>
      </c>
      <c r="X1041" s="6">
        <f>IF(ISERROR(VLOOKUP($U$1041,'TAR FIN'!$A$1:$O$93,15,0)),0,VLOOKUP($U$1041,'TAR FIN'!$A$1:$O$93,15,0))</f>
        <v>185.18</v>
      </c>
      <c r="Y1041" s="6"/>
      <c r="Z1041" s="6">
        <f ca="1">('TUSD BE'!$AM$52+'TUSD BF'!$AM$52+'TUSD CVA'!$AM$52)*1</f>
        <v>292.16655209139662</v>
      </c>
      <c r="AA1041" s="6">
        <f>('TE BE'!$AB$41+'TE BF'!$AB$41+'TE CVA'!$AB$41)*1</f>
        <v>198.18194779658231</v>
      </c>
      <c r="AB1041" s="6">
        <f>$K$1041*$V$1041</f>
        <v>0</v>
      </c>
      <c r="AC1041" s="6">
        <f>$M$1041*$W$1041</f>
        <v>13767.490770000002</v>
      </c>
      <c r="AD1041" s="6">
        <f>$O$1041*$X$1041</f>
        <v>9341.7754600000007</v>
      </c>
      <c r="AE1041" s="6">
        <f>$K$1041*$Y$1041</f>
        <v>0</v>
      </c>
      <c r="AF1041" s="6">
        <f ca="1">$M$1041*$Z$1041</f>
        <v>14738.926053354686</v>
      </c>
      <c r="AG1041" s="6">
        <f>$O$1041*$AA$1041</f>
        <v>9997.6847204941878</v>
      </c>
    </row>
    <row r="1042" spans="1:33" ht="11.25" customHeight="1" x14ac:dyDescent="0.25">
      <c r="A1042" s="4" t="s">
        <v>21</v>
      </c>
      <c r="B1042" s="4" t="s">
        <v>33</v>
      </c>
      <c r="C1042" s="4" t="s">
        <v>23</v>
      </c>
      <c r="D1042" s="4" t="s">
        <v>34</v>
      </c>
      <c r="E1042" s="4" t="s">
        <v>25</v>
      </c>
      <c r="F1042" s="4" t="s">
        <v>25</v>
      </c>
      <c r="G1042" s="4" t="s">
        <v>25</v>
      </c>
      <c r="H1042" s="4" t="s">
        <v>25</v>
      </c>
      <c r="I1042" s="5">
        <v>44652</v>
      </c>
      <c r="J1042" s="6">
        <v>0</v>
      </c>
      <c r="K1042" s="6">
        <v>0</v>
      </c>
      <c r="L1042" s="6">
        <v>423.62799999999999</v>
      </c>
      <c r="M1042" s="6">
        <v>423.62799999999999</v>
      </c>
      <c r="N1042" s="6">
        <v>423.62799999999999</v>
      </c>
      <c r="O1042" s="6">
        <v>423.62799999999999</v>
      </c>
      <c r="P1042" s="6">
        <v>319</v>
      </c>
      <c r="Q1042" s="4" t="s">
        <v>26</v>
      </c>
      <c r="R1042" s="4">
        <v>0</v>
      </c>
      <c r="S1042" s="6">
        <v>0</v>
      </c>
      <c r="T1042" s="6">
        <v>17</v>
      </c>
      <c r="U1042" s="6">
        <v>89</v>
      </c>
      <c r="V1042" s="6">
        <f>IF(ISERROR(VLOOKUP($S$1042,'TAR FIN'!$A$1:$O$93,15,0)),0,VLOOKUP($S$1042,'TAR FIN'!$A$1:$O$93,15,0))</f>
        <v>0</v>
      </c>
      <c r="W1042" s="6">
        <f>IF(ISERROR(VLOOKUP($T$1042,'TAR FIN'!$A$1:$O$93,15,0)),0,VLOOKUP($T$1042,'TAR FIN'!$A$1:$O$93,15,0))</f>
        <v>272.91000000000003</v>
      </c>
      <c r="X1042" s="6">
        <f>IF(ISERROR(VLOOKUP($U$1042,'TAR FIN'!$A$1:$O$93,15,0)),0,VLOOKUP($U$1042,'TAR FIN'!$A$1:$O$93,15,0))</f>
        <v>185.18</v>
      </c>
      <c r="Y1042" s="6"/>
      <c r="Z1042" s="6">
        <f ca="1">('TUSD BE'!$AM$52+'TUSD BF'!$AM$52+'TUSD CVA'!$AM$52)*1</f>
        <v>292.16655209139662</v>
      </c>
      <c r="AA1042" s="6">
        <f>('TE BE'!$AB$41+'TE BF'!$AB$41+'TE CVA'!$AB$41)*1</f>
        <v>198.18194779658231</v>
      </c>
      <c r="AB1042" s="6">
        <f>$K$1042*$V$1042</f>
        <v>0</v>
      </c>
      <c r="AC1042" s="6">
        <f>$M$1042*$W$1042</f>
        <v>115612.31748000001</v>
      </c>
      <c r="AD1042" s="6">
        <f>$O$1042*$X$1042</f>
        <v>78447.433040000004</v>
      </c>
      <c r="AE1042" s="6">
        <f>$K$1042*$Y$1042</f>
        <v>0</v>
      </c>
      <c r="AF1042" s="6">
        <f ca="1">$M$1042*$Z$1042</f>
        <v>123769.93212937417</v>
      </c>
      <c r="AG1042" s="6">
        <f>$O$1042*$AA$1042</f>
        <v>83955.422181170565</v>
      </c>
    </row>
    <row r="1043" spans="1:33" ht="11.25" customHeight="1" x14ac:dyDescent="0.25">
      <c r="A1043" s="4" t="s">
        <v>27</v>
      </c>
      <c r="B1043" s="4" t="s">
        <v>33</v>
      </c>
      <c r="C1043" s="4" t="s">
        <v>23</v>
      </c>
      <c r="D1043" s="4" t="s">
        <v>34</v>
      </c>
      <c r="E1043" s="4" t="s">
        <v>25</v>
      </c>
      <c r="F1043" s="4" t="s">
        <v>25</v>
      </c>
      <c r="G1043" s="4" t="s">
        <v>25</v>
      </c>
      <c r="H1043" s="4" t="s">
        <v>25</v>
      </c>
      <c r="I1043" s="5">
        <v>44652</v>
      </c>
      <c r="J1043" s="6">
        <v>0</v>
      </c>
      <c r="K1043" s="6">
        <v>0</v>
      </c>
      <c r="L1043" s="6">
        <v>-22.446999999999999</v>
      </c>
      <c r="M1043" s="6">
        <v>-22.446999999999999</v>
      </c>
      <c r="N1043" s="6">
        <v>-22.446999999999999</v>
      </c>
      <c r="O1043" s="6">
        <v>-22.446999999999999</v>
      </c>
      <c r="P1043" s="6">
        <v>-1</v>
      </c>
      <c r="Q1043" s="4" t="s">
        <v>26</v>
      </c>
      <c r="R1043" s="4">
        <v>0</v>
      </c>
      <c r="S1043" s="6">
        <v>0</v>
      </c>
      <c r="T1043" s="6">
        <v>17</v>
      </c>
      <c r="U1043" s="6">
        <v>89</v>
      </c>
      <c r="V1043" s="6">
        <f>IF(ISERROR(VLOOKUP($S$1043,'TAR FIN'!$A$1:$O$93,15,0)),0,VLOOKUP($S$1043,'TAR FIN'!$A$1:$O$93,15,0))</f>
        <v>0</v>
      </c>
      <c r="W1043" s="6">
        <f>IF(ISERROR(VLOOKUP($T$1043,'TAR FIN'!$A$1:$O$93,15,0)),0,VLOOKUP($T$1043,'TAR FIN'!$A$1:$O$93,15,0))</f>
        <v>272.91000000000003</v>
      </c>
      <c r="X1043" s="6">
        <f>IF(ISERROR(VLOOKUP($U$1043,'TAR FIN'!$A$1:$O$93,15,0)),0,VLOOKUP($U$1043,'TAR FIN'!$A$1:$O$93,15,0))</f>
        <v>185.18</v>
      </c>
      <c r="Y1043" s="6"/>
      <c r="Z1043" s="6">
        <f ca="1">('TUSD BE'!$AM$52+'TUSD BF'!$AM$52+'TUSD CVA'!$AM$52)*1</f>
        <v>292.16655209139662</v>
      </c>
      <c r="AA1043" s="6">
        <f>('TE BE'!$AB$41+'TE BF'!$AB$41+'TE CVA'!$AB$41)*1</f>
        <v>198.18194779658231</v>
      </c>
      <c r="AB1043" s="6">
        <f>$K$1043*$V$1043</f>
        <v>0</v>
      </c>
      <c r="AC1043" s="6">
        <f>$M$1043*$W$1043</f>
        <v>-6126.0107700000008</v>
      </c>
      <c r="AD1043" s="6">
        <f>$O$1043*$X$1043</f>
        <v>-4156.7354599999999</v>
      </c>
      <c r="AE1043" s="6">
        <f>$K$1043*$Y$1043</f>
        <v>0</v>
      </c>
      <c r="AF1043" s="6">
        <f ca="1">$M$1043*$Z$1043</f>
        <v>-6558.2625947955794</v>
      </c>
      <c r="AG1043" s="6">
        <f>$O$1043*$AA$1043</f>
        <v>-4448.5901821898833</v>
      </c>
    </row>
    <row r="1044" spans="1:33" ht="11.25" customHeight="1" x14ac:dyDescent="0.25">
      <c r="A1044" s="4" t="s">
        <v>28</v>
      </c>
      <c r="B1044" s="4" t="s">
        <v>33</v>
      </c>
      <c r="C1044" s="4" t="s">
        <v>23</v>
      </c>
      <c r="D1044" s="4" t="s">
        <v>34</v>
      </c>
      <c r="E1044" s="4" t="s">
        <v>25</v>
      </c>
      <c r="F1044" s="4" t="s">
        <v>25</v>
      </c>
      <c r="G1044" s="4" t="s">
        <v>25</v>
      </c>
      <c r="H1044" s="4" t="s">
        <v>25</v>
      </c>
      <c r="I1044" s="5">
        <v>44652</v>
      </c>
      <c r="J1044" s="6">
        <v>0</v>
      </c>
      <c r="K1044" s="6">
        <v>0</v>
      </c>
      <c r="L1044" s="6">
        <v>144.24799999999999</v>
      </c>
      <c r="M1044" s="6">
        <v>144.24799999999999</v>
      </c>
      <c r="N1044" s="6">
        <v>144.24799999999999</v>
      </c>
      <c r="O1044" s="6">
        <v>144.24799999999999</v>
      </c>
      <c r="P1044" s="6">
        <v>48</v>
      </c>
      <c r="Q1044" s="4" t="s">
        <v>26</v>
      </c>
      <c r="R1044" s="4">
        <v>0</v>
      </c>
      <c r="S1044" s="6">
        <v>0</v>
      </c>
      <c r="T1044" s="6">
        <v>17</v>
      </c>
      <c r="U1044" s="6">
        <v>89</v>
      </c>
      <c r="V1044" s="6">
        <f>IF(ISERROR(VLOOKUP($S$1044,'TAR FIN'!$A$1:$O$93,15,0)),0,VLOOKUP($S$1044,'TAR FIN'!$A$1:$O$93,15,0))</f>
        <v>0</v>
      </c>
      <c r="W1044" s="6">
        <f>IF(ISERROR(VLOOKUP($T$1044,'TAR FIN'!$A$1:$O$93,15,0)),0,VLOOKUP($T$1044,'TAR FIN'!$A$1:$O$93,15,0))</f>
        <v>272.91000000000003</v>
      </c>
      <c r="X1044" s="6">
        <f>IF(ISERROR(VLOOKUP($U$1044,'TAR FIN'!$A$1:$O$93,15,0)),0,VLOOKUP($U$1044,'TAR FIN'!$A$1:$O$93,15,0))</f>
        <v>185.18</v>
      </c>
      <c r="Y1044" s="6"/>
      <c r="Z1044" s="6">
        <f ca="1">('TUSD BE'!$AM$52+'TUSD BF'!$AM$52+'TUSD CVA'!$AM$52)*1</f>
        <v>292.16655209139662</v>
      </c>
      <c r="AA1044" s="6">
        <f>('TE BE'!$AB$41+'TE BF'!$AB$41+'TE CVA'!$AB$41)*1</f>
        <v>198.18194779658231</v>
      </c>
      <c r="AB1044" s="6">
        <f>$K$1044*$V$1044</f>
        <v>0</v>
      </c>
      <c r="AC1044" s="6">
        <f>$M$1044*$W$1044</f>
        <v>39366.721680000002</v>
      </c>
      <c r="AD1044" s="6">
        <f>$O$1044*$X$1044</f>
        <v>26711.844639999999</v>
      </c>
      <c r="AE1044" s="6">
        <f>$K$1044*$Y$1044</f>
        <v>0</v>
      </c>
      <c r="AF1044" s="6">
        <f ca="1">$M$1044*$Z$1044</f>
        <v>42144.44080607978</v>
      </c>
      <c r="AG1044" s="6">
        <f>$O$1044*$AA$1044</f>
        <v>28587.349605761403</v>
      </c>
    </row>
    <row r="1045" spans="1:33" ht="11.25" customHeight="1" x14ac:dyDescent="0.25">
      <c r="A1045" s="4" t="s">
        <v>21</v>
      </c>
      <c r="B1045" s="4" t="s">
        <v>33</v>
      </c>
      <c r="C1045" s="4" t="s">
        <v>23</v>
      </c>
      <c r="D1045" s="4" t="s">
        <v>34</v>
      </c>
      <c r="E1045" s="4" t="s">
        <v>25</v>
      </c>
      <c r="F1045" s="4" t="s">
        <v>25</v>
      </c>
      <c r="G1045" s="4" t="s">
        <v>25</v>
      </c>
      <c r="H1045" s="4" t="s">
        <v>25</v>
      </c>
      <c r="I1045" s="5">
        <v>44682</v>
      </c>
      <c r="J1045" s="6">
        <v>0</v>
      </c>
      <c r="K1045" s="6">
        <v>0</v>
      </c>
      <c r="L1045" s="6">
        <v>338.00099999999998</v>
      </c>
      <c r="M1045" s="6">
        <v>338.00099999999998</v>
      </c>
      <c r="N1045" s="6">
        <v>338.00099999999998</v>
      </c>
      <c r="O1045" s="6">
        <v>338.00099999999998</v>
      </c>
      <c r="P1045" s="6">
        <v>325</v>
      </c>
      <c r="Q1045" s="4" t="s">
        <v>26</v>
      </c>
      <c r="R1045" s="4">
        <v>0</v>
      </c>
      <c r="S1045" s="6">
        <v>0</v>
      </c>
      <c r="T1045" s="6">
        <v>17</v>
      </c>
      <c r="U1045" s="6">
        <v>89</v>
      </c>
      <c r="V1045" s="6">
        <f>IF(ISERROR(VLOOKUP($S$1045,'TAR FIN'!$A$1:$O$93,15,0)),0,VLOOKUP($S$1045,'TAR FIN'!$A$1:$O$93,15,0))</f>
        <v>0</v>
      </c>
      <c r="W1045" s="6">
        <f>IF(ISERROR(VLOOKUP($T$1045,'TAR FIN'!$A$1:$O$93,15,0)),0,VLOOKUP($T$1045,'TAR FIN'!$A$1:$O$93,15,0))</f>
        <v>272.91000000000003</v>
      </c>
      <c r="X1045" s="6">
        <f>IF(ISERROR(VLOOKUP($U$1045,'TAR FIN'!$A$1:$O$93,15,0)),0,VLOOKUP($U$1045,'TAR FIN'!$A$1:$O$93,15,0))</f>
        <v>185.18</v>
      </c>
      <c r="Y1045" s="6"/>
      <c r="Z1045" s="6">
        <f ca="1">('TUSD BE'!$AM$52+'TUSD BF'!$AM$52+'TUSD CVA'!$AM$52)*1</f>
        <v>292.16655209139662</v>
      </c>
      <c r="AA1045" s="6">
        <f>('TE BE'!$AB$41+'TE BF'!$AB$41+'TE CVA'!$AB$41)*1</f>
        <v>198.18194779658231</v>
      </c>
      <c r="AB1045" s="6">
        <f>$K$1045*$V$1045</f>
        <v>0</v>
      </c>
      <c r="AC1045" s="6">
        <f>$M$1045*$W$1045</f>
        <v>92243.852910000001</v>
      </c>
      <c r="AD1045" s="6">
        <f>$O$1045*$X$1045</f>
        <v>62591.025179999997</v>
      </c>
      <c r="AE1045" s="6">
        <f>$K$1045*$Y$1045</f>
        <v>0</v>
      </c>
      <c r="AF1045" s="6">
        <f ca="1">$M$1045*$Z$1045</f>
        <v>98752.586773444142</v>
      </c>
      <c r="AG1045" s="6">
        <f>$O$1045*$AA$1045</f>
        <v>66985.696537192605</v>
      </c>
    </row>
    <row r="1046" spans="1:33" ht="11.25" customHeight="1" x14ac:dyDescent="0.25">
      <c r="A1046" s="4" t="s">
        <v>27</v>
      </c>
      <c r="B1046" s="4" t="s">
        <v>33</v>
      </c>
      <c r="C1046" s="4" t="s">
        <v>23</v>
      </c>
      <c r="D1046" s="4" t="s">
        <v>34</v>
      </c>
      <c r="E1046" s="4" t="s">
        <v>25</v>
      </c>
      <c r="F1046" s="4" t="s">
        <v>25</v>
      </c>
      <c r="G1046" s="4" t="s">
        <v>25</v>
      </c>
      <c r="H1046" s="4" t="s">
        <v>25</v>
      </c>
      <c r="I1046" s="5">
        <v>44682</v>
      </c>
      <c r="J1046" s="6">
        <v>0</v>
      </c>
      <c r="K1046" s="6">
        <v>0</v>
      </c>
      <c r="L1046" s="6">
        <v>-2.02</v>
      </c>
      <c r="M1046" s="6">
        <v>-2.02</v>
      </c>
      <c r="N1046" s="6">
        <v>-2.02</v>
      </c>
      <c r="O1046" s="6">
        <v>-2.02</v>
      </c>
      <c r="P1046" s="6">
        <v>-2</v>
      </c>
      <c r="Q1046" s="4" t="s">
        <v>26</v>
      </c>
      <c r="R1046" s="4">
        <v>0</v>
      </c>
      <c r="S1046" s="6">
        <v>0</v>
      </c>
      <c r="T1046" s="6">
        <v>17</v>
      </c>
      <c r="U1046" s="6">
        <v>89</v>
      </c>
      <c r="V1046" s="6">
        <f>IF(ISERROR(VLOOKUP($S$1046,'TAR FIN'!$A$1:$O$93,15,0)),0,VLOOKUP($S$1046,'TAR FIN'!$A$1:$O$93,15,0))</f>
        <v>0</v>
      </c>
      <c r="W1046" s="6">
        <f>IF(ISERROR(VLOOKUP($T$1046,'TAR FIN'!$A$1:$O$93,15,0)),0,VLOOKUP($T$1046,'TAR FIN'!$A$1:$O$93,15,0))</f>
        <v>272.91000000000003</v>
      </c>
      <c r="X1046" s="6">
        <f>IF(ISERROR(VLOOKUP($U$1046,'TAR FIN'!$A$1:$O$93,15,0)),0,VLOOKUP($U$1046,'TAR FIN'!$A$1:$O$93,15,0))</f>
        <v>185.18</v>
      </c>
      <c r="Y1046" s="6"/>
      <c r="Z1046" s="6">
        <f ca="1">('TUSD BE'!$AM$52+'TUSD BF'!$AM$52+'TUSD CVA'!$AM$52)*1</f>
        <v>292.16655209139662</v>
      </c>
      <c r="AA1046" s="6">
        <f>('TE BE'!$AB$41+'TE BF'!$AB$41+'TE CVA'!$AB$41)*1</f>
        <v>198.18194779658231</v>
      </c>
      <c r="AB1046" s="6">
        <f>$K$1046*$V$1046</f>
        <v>0</v>
      </c>
      <c r="AC1046" s="6">
        <f>$M$1046*$W$1046</f>
        <v>-551.27820000000008</v>
      </c>
      <c r="AD1046" s="6">
        <f>$O$1046*$X$1046</f>
        <v>-374.06360000000001</v>
      </c>
      <c r="AE1046" s="6">
        <f>$K$1046*$Y$1046</f>
        <v>0</v>
      </c>
      <c r="AF1046" s="6">
        <f ca="1">$M$1046*$Z$1046</f>
        <v>-590.17643522462117</v>
      </c>
      <c r="AG1046" s="6">
        <f>$O$1046*$AA$1046</f>
        <v>-400.32753454909624</v>
      </c>
    </row>
    <row r="1047" spans="1:33" ht="11.25" customHeight="1" x14ac:dyDescent="0.25">
      <c r="A1047" s="4" t="s">
        <v>28</v>
      </c>
      <c r="B1047" s="4" t="s">
        <v>33</v>
      </c>
      <c r="C1047" s="4" t="s">
        <v>23</v>
      </c>
      <c r="D1047" s="4" t="s">
        <v>34</v>
      </c>
      <c r="E1047" s="4" t="s">
        <v>25</v>
      </c>
      <c r="F1047" s="4" t="s">
        <v>25</v>
      </c>
      <c r="G1047" s="4" t="s">
        <v>25</v>
      </c>
      <c r="H1047" s="4" t="s">
        <v>25</v>
      </c>
      <c r="I1047" s="5">
        <v>44682</v>
      </c>
      <c r="J1047" s="6">
        <v>0</v>
      </c>
      <c r="K1047" s="6">
        <v>0</v>
      </c>
      <c r="L1047" s="6">
        <v>66.900000000000006</v>
      </c>
      <c r="M1047" s="6">
        <v>66.900000000000006</v>
      </c>
      <c r="N1047" s="6">
        <v>66.900000000000006</v>
      </c>
      <c r="O1047" s="6">
        <v>66.900000000000006</v>
      </c>
      <c r="P1047" s="6">
        <v>48</v>
      </c>
      <c r="Q1047" s="4" t="s">
        <v>26</v>
      </c>
      <c r="R1047" s="4">
        <v>0</v>
      </c>
      <c r="S1047" s="6">
        <v>0</v>
      </c>
      <c r="T1047" s="6">
        <v>17</v>
      </c>
      <c r="U1047" s="6">
        <v>89</v>
      </c>
      <c r="V1047" s="6">
        <f>IF(ISERROR(VLOOKUP($S$1047,'TAR FIN'!$A$1:$O$93,15,0)),0,VLOOKUP($S$1047,'TAR FIN'!$A$1:$O$93,15,0))</f>
        <v>0</v>
      </c>
      <c r="W1047" s="6">
        <f>IF(ISERROR(VLOOKUP($T$1047,'TAR FIN'!$A$1:$O$93,15,0)),0,VLOOKUP($T$1047,'TAR FIN'!$A$1:$O$93,15,0))</f>
        <v>272.91000000000003</v>
      </c>
      <c r="X1047" s="6">
        <f>IF(ISERROR(VLOOKUP($U$1047,'TAR FIN'!$A$1:$O$93,15,0)),0,VLOOKUP($U$1047,'TAR FIN'!$A$1:$O$93,15,0))</f>
        <v>185.18</v>
      </c>
      <c r="Y1047" s="6"/>
      <c r="Z1047" s="6">
        <f ca="1">('TUSD BE'!$AM$52+'TUSD BF'!$AM$52+'TUSD CVA'!$AM$52)*1</f>
        <v>292.16655209139662</v>
      </c>
      <c r="AA1047" s="6">
        <f>('TE BE'!$AB$41+'TE BF'!$AB$41+'TE CVA'!$AB$41)*1</f>
        <v>198.18194779658231</v>
      </c>
      <c r="AB1047" s="6">
        <f>$K$1047*$V$1047</f>
        <v>0</v>
      </c>
      <c r="AC1047" s="6">
        <f>$M$1047*$W$1047</f>
        <v>18257.679000000004</v>
      </c>
      <c r="AD1047" s="6">
        <f>$O$1047*$X$1047</f>
        <v>12388.542000000001</v>
      </c>
      <c r="AE1047" s="6">
        <f>$K$1047*$Y$1047</f>
        <v>0</v>
      </c>
      <c r="AF1047" s="6">
        <f ca="1">$M$1047*$Z$1047</f>
        <v>19545.942334914434</v>
      </c>
      <c r="AG1047" s="6">
        <f>$O$1047*$AA$1047</f>
        <v>13258.372307591357</v>
      </c>
    </row>
    <row r="1048" spans="1:33" ht="11.25" customHeight="1" x14ac:dyDescent="0.25">
      <c r="A1048" s="4" t="s">
        <v>21</v>
      </c>
      <c r="B1048" s="4" t="s">
        <v>33</v>
      </c>
      <c r="C1048" s="4" t="s">
        <v>23</v>
      </c>
      <c r="D1048" s="4" t="s">
        <v>34</v>
      </c>
      <c r="E1048" s="4" t="s">
        <v>25</v>
      </c>
      <c r="F1048" s="4" t="s">
        <v>25</v>
      </c>
      <c r="G1048" s="4" t="s">
        <v>25</v>
      </c>
      <c r="H1048" s="4" t="s">
        <v>25</v>
      </c>
      <c r="I1048" s="5">
        <v>44713</v>
      </c>
      <c r="J1048" s="6">
        <v>0</v>
      </c>
      <c r="K1048" s="6">
        <v>0</v>
      </c>
      <c r="L1048" s="6">
        <v>349.49</v>
      </c>
      <c r="M1048" s="6">
        <v>349.49</v>
      </c>
      <c r="N1048" s="6">
        <v>349.49</v>
      </c>
      <c r="O1048" s="6">
        <v>349.49</v>
      </c>
      <c r="P1048" s="6">
        <v>327</v>
      </c>
      <c r="Q1048" s="4" t="s">
        <v>26</v>
      </c>
      <c r="R1048" s="4">
        <v>0</v>
      </c>
      <c r="S1048" s="6">
        <v>0</v>
      </c>
      <c r="T1048" s="6">
        <v>17</v>
      </c>
      <c r="U1048" s="6">
        <v>89</v>
      </c>
      <c r="V1048" s="6">
        <f>IF(ISERROR(VLOOKUP($S$1048,'TAR FIN'!$A$1:$O$93,15,0)),0,VLOOKUP($S$1048,'TAR FIN'!$A$1:$O$93,15,0))</f>
        <v>0</v>
      </c>
      <c r="W1048" s="6">
        <f>IF(ISERROR(VLOOKUP($T$1048,'TAR FIN'!$A$1:$O$93,15,0)),0,VLOOKUP($T$1048,'TAR FIN'!$A$1:$O$93,15,0))</f>
        <v>272.91000000000003</v>
      </c>
      <c r="X1048" s="6">
        <f>IF(ISERROR(VLOOKUP($U$1048,'TAR FIN'!$A$1:$O$93,15,0)),0,VLOOKUP($U$1048,'TAR FIN'!$A$1:$O$93,15,0))</f>
        <v>185.18</v>
      </c>
      <c r="Y1048" s="6"/>
      <c r="Z1048" s="6">
        <f ca="1">('TUSD BE'!$AM$52+'TUSD BF'!$AM$52+'TUSD CVA'!$AM$52)*1</f>
        <v>292.16655209139662</v>
      </c>
      <c r="AA1048" s="6">
        <f>('TE BE'!$AB$41+'TE BF'!$AB$41+'TE CVA'!$AB$41)*1</f>
        <v>198.18194779658231</v>
      </c>
      <c r="AB1048" s="6">
        <f>$K$1048*$V$1048</f>
        <v>0</v>
      </c>
      <c r="AC1048" s="6">
        <f>$M$1048*$W$1048</f>
        <v>95379.315900000016</v>
      </c>
      <c r="AD1048" s="6">
        <f>$O$1048*$X$1048</f>
        <v>64718.558200000007</v>
      </c>
      <c r="AE1048" s="6">
        <f>$K$1048*$Y$1048</f>
        <v>0</v>
      </c>
      <c r="AF1048" s="6">
        <f ca="1">$M$1048*$Z$1048</f>
        <v>102109.28829042221</v>
      </c>
      <c r="AG1048" s="6">
        <f>$O$1048*$AA$1048</f>
        <v>69262.608935427546</v>
      </c>
    </row>
    <row r="1049" spans="1:33" ht="11.25" customHeight="1" x14ac:dyDescent="0.25">
      <c r="A1049" s="4" t="s">
        <v>27</v>
      </c>
      <c r="B1049" s="4" t="s">
        <v>33</v>
      </c>
      <c r="C1049" s="4" t="s">
        <v>23</v>
      </c>
      <c r="D1049" s="4" t="s">
        <v>34</v>
      </c>
      <c r="E1049" s="4" t="s">
        <v>25</v>
      </c>
      <c r="F1049" s="4" t="s">
        <v>25</v>
      </c>
      <c r="G1049" s="4" t="s">
        <v>25</v>
      </c>
      <c r="H1049" s="4" t="s">
        <v>25</v>
      </c>
      <c r="I1049" s="5">
        <v>44713</v>
      </c>
      <c r="J1049" s="6">
        <v>0</v>
      </c>
      <c r="K1049" s="6">
        <v>0</v>
      </c>
      <c r="L1049" s="6">
        <v>-76.959000000000003</v>
      </c>
      <c r="M1049" s="6">
        <v>-76.959000000000003</v>
      </c>
      <c r="N1049" s="6">
        <v>-76.959000000000003</v>
      </c>
      <c r="O1049" s="6">
        <v>-76.959000000000003</v>
      </c>
      <c r="P1049" s="6">
        <v>-2</v>
      </c>
      <c r="Q1049" s="4" t="s">
        <v>26</v>
      </c>
      <c r="R1049" s="4">
        <v>0</v>
      </c>
      <c r="S1049" s="6">
        <v>0</v>
      </c>
      <c r="T1049" s="6">
        <v>17</v>
      </c>
      <c r="U1049" s="6">
        <v>89</v>
      </c>
      <c r="V1049" s="6">
        <f>IF(ISERROR(VLOOKUP($S$1049,'TAR FIN'!$A$1:$O$93,15,0)),0,VLOOKUP($S$1049,'TAR FIN'!$A$1:$O$93,15,0))</f>
        <v>0</v>
      </c>
      <c r="W1049" s="6">
        <f>IF(ISERROR(VLOOKUP($T$1049,'TAR FIN'!$A$1:$O$93,15,0)),0,VLOOKUP($T$1049,'TAR FIN'!$A$1:$O$93,15,0))</f>
        <v>272.91000000000003</v>
      </c>
      <c r="X1049" s="6">
        <f>IF(ISERROR(VLOOKUP($U$1049,'TAR FIN'!$A$1:$O$93,15,0)),0,VLOOKUP($U$1049,'TAR FIN'!$A$1:$O$93,15,0))</f>
        <v>185.18</v>
      </c>
      <c r="Y1049" s="6"/>
      <c r="Z1049" s="6">
        <f ca="1">('TUSD BE'!$AM$52+'TUSD BF'!$AM$52+'TUSD CVA'!$AM$52)*1</f>
        <v>292.16655209139662</v>
      </c>
      <c r="AA1049" s="6">
        <f>('TE BE'!$AB$41+'TE BF'!$AB$41+'TE CVA'!$AB$41)*1</f>
        <v>198.18194779658231</v>
      </c>
      <c r="AB1049" s="6">
        <f>$K$1049*$V$1049</f>
        <v>0</v>
      </c>
      <c r="AC1049" s="6">
        <f>$M$1049*$W$1049</f>
        <v>-21002.880690000002</v>
      </c>
      <c r="AD1049" s="6">
        <f>$O$1049*$X$1049</f>
        <v>-14251.267620000001</v>
      </c>
      <c r="AE1049" s="6">
        <f>$K$1049*$Y$1049</f>
        <v>0</v>
      </c>
      <c r="AF1049" s="6">
        <f ca="1">$M$1049*$Z$1049</f>
        <v>-22484.845682401792</v>
      </c>
      <c r="AG1049" s="6">
        <f>$O$1049*$AA$1049</f>
        <v>-15251.884520477179</v>
      </c>
    </row>
    <row r="1050" spans="1:33" ht="11.25" customHeight="1" x14ac:dyDescent="0.25">
      <c r="A1050" s="4" t="s">
        <v>28</v>
      </c>
      <c r="B1050" s="4" t="s">
        <v>33</v>
      </c>
      <c r="C1050" s="4" t="s">
        <v>23</v>
      </c>
      <c r="D1050" s="4" t="s">
        <v>34</v>
      </c>
      <c r="E1050" s="4" t="s">
        <v>25</v>
      </c>
      <c r="F1050" s="4" t="s">
        <v>25</v>
      </c>
      <c r="G1050" s="4" t="s">
        <v>25</v>
      </c>
      <c r="H1050" s="4" t="s">
        <v>25</v>
      </c>
      <c r="I1050" s="5">
        <v>44713</v>
      </c>
      <c r="J1050" s="6">
        <v>0</v>
      </c>
      <c r="K1050" s="6">
        <v>0</v>
      </c>
      <c r="L1050" s="6">
        <v>86.507999999999996</v>
      </c>
      <c r="M1050" s="6">
        <v>86.507999999999996</v>
      </c>
      <c r="N1050" s="6">
        <v>86.507999999999996</v>
      </c>
      <c r="O1050" s="6">
        <v>86.507999999999996</v>
      </c>
      <c r="P1050" s="6">
        <v>50</v>
      </c>
      <c r="Q1050" s="4" t="s">
        <v>26</v>
      </c>
      <c r="R1050" s="4">
        <v>0</v>
      </c>
      <c r="S1050" s="6">
        <v>0</v>
      </c>
      <c r="T1050" s="6">
        <v>17</v>
      </c>
      <c r="U1050" s="6">
        <v>89</v>
      </c>
      <c r="V1050" s="6">
        <f>IF(ISERROR(VLOOKUP($S$1050,'TAR FIN'!$A$1:$O$93,15,0)),0,VLOOKUP($S$1050,'TAR FIN'!$A$1:$O$93,15,0))</f>
        <v>0</v>
      </c>
      <c r="W1050" s="6">
        <f>IF(ISERROR(VLOOKUP($T$1050,'TAR FIN'!$A$1:$O$93,15,0)),0,VLOOKUP($T$1050,'TAR FIN'!$A$1:$O$93,15,0))</f>
        <v>272.91000000000003</v>
      </c>
      <c r="X1050" s="6">
        <f>IF(ISERROR(VLOOKUP($U$1050,'TAR FIN'!$A$1:$O$93,15,0)),0,VLOOKUP($U$1050,'TAR FIN'!$A$1:$O$93,15,0))</f>
        <v>185.18</v>
      </c>
      <c r="Y1050" s="6"/>
      <c r="Z1050" s="6">
        <f ca="1">('TUSD BE'!$AM$52+'TUSD BF'!$AM$52+'TUSD CVA'!$AM$52)*1</f>
        <v>292.16655209139662</v>
      </c>
      <c r="AA1050" s="6">
        <f>('TE BE'!$AB$41+'TE BF'!$AB$41+'TE CVA'!$AB$41)*1</f>
        <v>198.18194779658231</v>
      </c>
      <c r="AB1050" s="6">
        <f>$K$1050*$V$1050</f>
        <v>0</v>
      </c>
      <c r="AC1050" s="6">
        <f>$M$1050*$W$1050</f>
        <v>23608.898280000001</v>
      </c>
      <c r="AD1050" s="6">
        <f>$O$1050*$X$1050</f>
        <v>16019.551439999999</v>
      </c>
      <c r="AE1050" s="6">
        <f>$K$1050*$Y$1050</f>
        <v>0</v>
      </c>
      <c r="AF1050" s="6">
        <f ca="1">$M$1050*$Z$1050</f>
        <v>25274.744088322539</v>
      </c>
      <c r="AG1050" s="6">
        <f>$O$1050*$AA$1050</f>
        <v>17144.323939986742</v>
      </c>
    </row>
    <row r="1051" spans="1:33" ht="11.25" customHeight="1" x14ac:dyDescent="0.25">
      <c r="A1051" s="4" t="s">
        <v>28</v>
      </c>
      <c r="B1051" s="4" t="s">
        <v>33</v>
      </c>
      <c r="C1051" s="4" t="s">
        <v>23</v>
      </c>
      <c r="D1051" s="4" t="s">
        <v>34</v>
      </c>
      <c r="E1051" s="4" t="s">
        <v>25</v>
      </c>
      <c r="F1051" s="4" t="s">
        <v>25</v>
      </c>
      <c r="G1051" s="4" t="s">
        <v>25</v>
      </c>
      <c r="H1051" s="4" t="s">
        <v>25</v>
      </c>
      <c r="I1051" s="5">
        <v>44713</v>
      </c>
      <c r="J1051" s="6">
        <v>0</v>
      </c>
      <c r="K1051" s="6">
        <v>0</v>
      </c>
      <c r="L1051" s="6">
        <v>-141.63</v>
      </c>
      <c r="M1051" s="6">
        <v>-141.63</v>
      </c>
      <c r="N1051" s="6">
        <v>-141.63</v>
      </c>
      <c r="O1051" s="6">
        <v>-141.63</v>
      </c>
      <c r="P1051" s="6">
        <v>0</v>
      </c>
      <c r="Q1051" s="4" t="s">
        <v>26</v>
      </c>
      <c r="R1051" s="4">
        <v>0</v>
      </c>
      <c r="S1051" s="6">
        <v>0</v>
      </c>
      <c r="T1051" s="6">
        <v>17</v>
      </c>
      <c r="U1051" s="6">
        <v>89</v>
      </c>
      <c r="V1051" s="6">
        <f>IF(ISERROR(VLOOKUP($S$1051,'TAR FIN'!$A$1:$O$93,15,0)),0,VLOOKUP($S$1051,'TAR FIN'!$A$1:$O$93,15,0))</f>
        <v>0</v>
      </c>
      <c r="W1051" s="6">
        <f>IF(ISERROR(VLOOKUP($T$1051,'TAR FIN'!$A$1:$O$93,15,0)),0,VLOOKUP($T$1051,'TAR FIN'!$A$1:$O$93,15,0))</f>
        <v>272.91000000000003</v>
      </c>
      <c r="X1051" s="6">
        <f>IF(ISERROR(VLOOKUP($U$1051,'TAR FIN'!$A$1:$O$93,15,0)),0,VLOOKUP($U$1051,'TAR FIN'!$A$1:$O$93,15,0))</f>
        <v>185.18</v>
      </c>
      <c r="Y1051" s="6"/>
      <c r="Z1051" s="6">
        <f ca="1">('TUSD BE'!$AM$52+'TUSD BF'!$AM$52+'TUSD CVA'!$AM$52)*1</f>
        <v>292.16655209139662</v>
      </c>
      <c r="AA1051" s="6">
        <f>('TE BE'!$AB$41+'TE BF'!$AB$41+'TE CVA'!$AB$41)*1</f>
        <v>198.18194779658231</v>
      </c>
      <c r="AB1051" s="6">
        <f>$K$1051*$V$1051</f>
        <v>0</v>
      </c>
      <c r="AC1051" s="6">
        <f>$M$1051*$W$1051</f>
        <v>-38652.243300000002</v>
      </c>
      <c r="AD1051" s="6">
        <f>$O$1051*$X$1051</f>
        <v>-26227.043399999999</v>
      </c>
      <c r="AE1051" s="6">
        <f>$K$1051*$Y$1051</f>
        <v>0</v>
      </c>
      <c r="AF1051" s="6">
        <f ca="1">$M$1051*$Z$1051</f>
        <v>-41379.548772704504</v>
      </c>
      <c r="AG1051" s="6">
        <f>$O$1051*$AA$1051</f>
        <v>-28068.509266429952</v>
      </c>
    </row>
    <row r="1052" spans="1:33" ht="11.25" customHeight="1" x14ac:dyDescent="0.25">
      <c r="A1052" s="4" t="s">
        <v>21</v>
      </c>
      <c r="B1052" s="4" t="s">
        <v>33</v>
      </c>
      <c r="C1052" s="4" t="s">
        <v>23</v>
      </c>
      <c r="D1052" s="4" t="s">
        <v>43</v>
      </c>
      <c r="E1052" s="4" t="s">
        <v>25</v>
      </c>
      <c r="F1052" s="4" t="s">
        <v>25</v>
      </c>
      <c r="G1052" s="4" t="s">
        <v>25</v>
      </c>
      <c r="H1052" s="4" t="s">
        <v>25</v>
      </c>
      <c r="I1052" s="5">
        <v>44378</v>
      </c>
      <c r="J1052" s="6">
        <v>0</v>
      </c>
      <c r="K1052" s="6">
        <v>0</v>
      </c>
      <c r="L1052" s="6">
        <v>672.27700000000004</v>
      </c>
      <c r="M1052" s="6">
        <v>672.27700000000004</v>
      </c>
      <c r="N1052" s="6">
        <v>672.27700000000004</v>
      </c>
      <c r="O1052" s="6">
        <v>672.27700000000004</v>
      </c>
      <c r="P1052" s="6">
        <v>1071</v>
      </c>
      <c r="Q1052" s="4" t="s">
        <v>26</v>
      </c>
      <c r="R1052" s="4">
        <v>0</v>
      </c>
      <c r="S1052" s="6">
        <v>0</v>
      </c>
      <c r="T1052" s="6">
        <v>17</v>
      </c>
      <c r="U1052" s="6">
        <v>89</v>
      </c>
      <c r="V1052" s="6">
        <f>IF(ISERROR(VLOOKUP($S$1052,'TAR FIN'!$A$1:$O$93,15,0)),0,VLOOKUP($S$1052,'TAR FIN'!$A$1:$O$93,15,0))</f>
        <v>0</v>
      </c>
      <c r="W1052" s="6">
        <f>IF(ISERROR(VLOOKUP($T$1052,'TAR FIN'!$A$1:$O$93,15,0)),0,VLOOKUP($T$1052,'TAR FIN'!$A$1:$O$93,15,0))</f>
        <v>272.91000000000003</v>
      </c>
      <c r="X1052" s="6">
        <f>IF(ISERROR(VLOOKUP($U$1052,'TAR FIN'!$A$1:$O$93,15,0)),0,VLOOKUP($U$1052,'TAR FIN'!$A$1:$O$93,15,0))</f>
        <v>185.18</v>
      </c>
      <c r="Y1052" s="6"/>
      <c r="Z1052" s="6">
        <f ca="1">('TUSD BE'!$AM$52+'TUSD BF'!$AM$52+'TUSD CVA'!$AM$52)*1</f>
        <v>292.16655209139662</v>
      </c>
      <c r="AA1052" s="6">
        <f>('TE BE'!$AB$41+'TE BF'!$AB$41+'TE CVA'!$AB$41)*1</f>
        <v>198.18194779658231</v>
      </c>
      <c r="AB1052" s="6">
        <f>$K$1052*$V$1052</f>
        <v>0</v>
      </c>
      <c r="AC1052" s="6">
        <f>$M$1052*$W$1052</f>
        <v>183471.11607000002</v>
      </c>
      <c r="AD1052" s="6">
        <f>$O$1052*$X$1052</f>
        <v>124492.25486000002</v>
      </c>
      <c r="AE1052" s="6">
        <f>$K$1052*$Y$1052</f>
        <v>0</v>
      </c>
      <c r="AF1052" s="6">
        <f ca="1">$M$1052*$Z$1052</f>
        <v>196416.85314034787</v>
      </c>
      <c r="AG1052" s="6">
        <f>$O$1052*$AA$1052</f>
        <v>133233.16531884298</v>
      </c>
    </row>
    <row r="1053" spans="1:33" ht="11.25" customHeight="1" x14ac:dyDescent="0.25">
      <c r="A1053" s="4" t="s">
        <v>21</v>
      </c>
      <c r="B1053" s="4" t="s">
        <v>33</v>
      </c>
      <c r="C1053" s="4" t="s">
        <v>23</v>
      </c>
      <c r="D1053" s="4" t="s">
        <v>43</v>
      </c>
      <c r="E1053" s="4" t="s">
        <v>25</v>
      </c>
      <c r="F1053" s="4" t="s">
        <v>25</v>
      </c>
      <c r="G1053" s="4" t="s">
        <v>25</v>
      </c>
      <c r="H1053" s="4" t="s">
        <v>25</v>
      </c>
      <c r="I1053" s="5">
        <v>44409</v>
      </c>
      <c r="J1053" s="6">
        <v>0</v>
      </c>
      <c r="K1053" s="6">
        <v>0</v>
      </c>
      <c r="L1053" s="6">
        <v>691.822</v>
      </c>
      <c r="M1053" s="6">
        <v>691.822</v>
      </c>
      <c r="N1053" s="6">
        <v>691.822</v>
      </c>
      <c r="O1053" s="6">
        <v>691.822</v>
      </c>
      <c r="P1053" s="6">
        <v>1075</v>
      </c>
      <c r="Q1053" s="4" t="s">
        <v>26</v>
      </c>
      <c r="R1053" s="4">
        <v>0</v>
      </c>
      <c r="S1053" s="6">
        <v>0</v>
      </c>
      <c r="T1053" s="6">
        <v>17</v>
      </c>
      <c r="U1053" s="6">
        <v>89</v>
      </c>
      <c r="V1053" s="6">
        <f>IF(ISERROR(VLOOKUP($S$1053,'TAR FIN'!$A$1:$O$93,15,0)),0,VLOOKUP($S$1053,'TAR FIN'!$A$1:$O$93,15,0))</f>
        <v>0</v>
      </c>
      <c r="W1053" s="6">
        <f>IF(ISERROR(VLOOKUP($T$1053,'TAR FIN'!$A$1:$O$93,15,0)),0,VLOOKUP($T$1053,'TAR FIN'!$A$1:$O$93,15,0))</f>
        <v>272.91000000000003</v>
      </c>
      <c r="X1053" s="6">
        <f>IF(ISERROR(VLOOKUP($U$1053,'TAR FIN'!$A$1:$O$93,15,0)),0,VLOOKUP($U$1053,'TAR FIN'!$A$1:$O$93,15,0))</f>
        <v>185.18</v>
      </c>
      <c r="Y1053" s="6"/>
      <c r="Z1053" s="6">
        <f ca="1">('TUSD BE'!$AM$52+'TUSD BF'!$AM$52+'TUSD CVA'!$AM$52)*1</f>
        <v>292.16655209139662</v>
      </c>
      <c r="AA1053" s="6">
        <f>('TE BE'!$AB$41+'TE BF'!$AB$41+'TE CVA'!$AB$41)*1</f>
        <v>198.18194779658231</v>
      </c>
      <c r="AB1053" s="6">
        <f>$K$1053*$V$1053</f>
        <v>0</v>
      </c>
      <c r="AC1053" s="6">
        <f>$M$1053*$W$1053</f>
        <v>188805.14202000003</v>
      </c>
      <c r="AD1053" s="6">
        <f>$O$1053*$X$1053</f>
        <v>128111.59796</v>
      </c>
      <c r="AE1053" s="6">
        <f>$K$1053*$Y$1053</f>
        <v>0</v>
      </c>
      <c r="AF1053" s="6">
        <f ca="1">$M$1053*$Z$1053</f>
        <v>202127.2484009742</v>
      </c>
      <c r="AG1053" s="6">
        <f>$O$1053*$AA$1053</f>
        <v>137106.63148852717</v>
      </c>
    </row>
    <row r="1054" spans="1:33" ht="11.25" customHeight="1" x14ac:dyDescent="0.25">
      <c r="A1054" s="4" t="s">
        <v>21</v>
      </c>
      <c r="B1054" s="4" t="s">
        <v>33</v>
      </c>
      <c r="C1054" s="4" t="s">
        <v>23</v>
      </c>
      <c r="D1054" s="4" t="s">
        <v>43</v>
      </c>
      <c r="E1054" s="4" t="s">
        <v>25</v>
      </c>
      <c r="F1054" s="4" t="s">
        <v>25</v>
      </c>
      <c r="G1054" s="4" t="s">
        <v>25</v>
      </c>
      <c r="H1054" s="4" t="s">
        <v>25</v>
      </c>
      <c r="I1054" s="5">
        <v>44440</v>
      </c>
      <c r="J1054" s="6">
        <v>0</v>
      </c>
      <c r="K1054" s="6">
        <v>0</v>
      </c>
      <c r="L1054" s="6">
        <v>683.83399999999995</v>
      </c>
      <c r="M1054" s="6">
        <v>683.83399999999995</v>
      </c>
      <c r="N1054" s="6">
        <v>683.83399999999995</v>
      </c>
      <c r="O1054" s="6">
        <v>683.83399999999995</v>
      </c>
      <c r="P1054" s="6">
        <v>1075</v>
      </c>
      <c r="Q1054" s="4" t="s">
        <v>26</v>
      </c>
      <c r="R1054" s="4">
        <v>0</v>
      </c>
      <c r="S1054" s="6">
        <v>0</v>
      </c>
      <c r="T1054" s="6">
        <v>17</v>
      </c>
      <c r="U1054" s="6">
        <v>89</v>
      </c>
      <c r="V1054" s="6">
        <f>IF(ISERROR(VLOOKUP($S$1054,'TAR FIN'!$A$1:$O$93,15,0)),0,VLOOKUP($S$1054,'TAR FIN'!$A$1:$O$93,15,0))</f>
        <v>0</v>
      </c>
      <c r="W1054" s="6">
        <f>IF(ISERROR(VLOOKUP($T$1054,'TAR FIN'!$A$1:$O$93,15,0)),0,VLOOKUP($T$1054,'TAR FIN'!$A$1:$O$93,15,0))</f>
        <v>272.91000000000003</v>
      </c>
      <c r="X1054" s="6">
        <f>IF(ISERROR(VLOOKUP($U$1054,'TAR FIN'!$A$1:$O$93,15,0)),0,VLOOKUP($U$1054,'TAR FIN'!$A$1:$O$93,15,0))</f>
        <v>185.18</v>
      </c>
      <c r="Y1054" s="6"/>
      <c r="Z1054" s="6">
        <f ca="1">('TUSD BE'!$AM$52+'TUSD BF'!$AM$52+'TUSD CVA'!$AM$52)*1</f>
        <v>292.16655209139662</v>
      </c>
      <c r="AA1054" s="6">
        <f>('TE BE'!$AB$41+'TE BF'!$AB$41+'TE CVA'!$AB$41)*1</f>
        <v>198.18194779658231</v>
      </c>
      <c r="AB1054" s="6">
        <f>$K$1054*$V$1054</f>
        <v>0</v>
      </c>
      <c r="AC1054" s="6">
        <f>$M$1054*$W$1054</f>
        <v>186625.13694</v>
      </c>
      <c r="AD1054" s="6">
        <f>$O$1054*$X$1054</f>
        <v>126632.38012</v>
      </c>
      <c r="AE1054" s="6">
        <f>$K$1054*$Y$1054</f>
        <v>0</v>
      </c>
      <c r="AF1054" s="6">
        <f ca="1">$M$1054*$Z$1054</f>
        <v>199793.42198286811</v>
      </c>
      <c r="AG1054" s="6">
        <f>$O$1054*$AA$1054</f>
        <v>135523.55408952804</v>
      </c>
    </row>
    <row r="1055" spans="1:33" ht="11.25" customHeight="1" x14ac:dyDescent="0.25">
      <c r="A1055" s="4" t="s">
        <v>21</v>
      </c>
      <c r="B1055" s="4" t="s">
        <v>33</v>
      </c>
      <c r="C1055" s="4" t="s">
        <v>23</v>
      </c>
      <c r="D1055" s="4" t="s">
        <v>43</v>
      </c>
      <c r="E1055" s="4" t="s">
        <v>25</v>
      </c>
      <c r="F1055" s="4" t="s">
        <v>25</v>
      </c>
      <c r="G1055" s="4" t="s">
        <v>25</v>
      </c>
      <c r="H1055" s="4" t="s">
        <v>25</v>
      </c>
      <c r="I1055" s="5">
        <v>44470</v>
      </c>
      <c r="J1055" s="6">
        <v>0</v>
      </c>
      <c r="K1055" s="6">
        <v>0</v>
      </c>
      <c r="L1055" s="6">
        <v>634.58399999999995</v>
      </c>
      <c r="M1055" s="6">
        <v>634.58399999999995</v>
      </c>
      <c r="N1055" s="6">
        <v>634.58399999999995</v>
      </c>
      <c r="O1055" s="6">
        <v>634.58399999999995</v>
      </c>
      <c r="P1055" s="6">
        <v>1081</v>
      </c>
      <c r="Q1055" s="4" t="s">
        <v>26</v>
      </c>
      <c r="R1055" s="4">
        <v>0</v>
      </c>
      <c r="S1055" s="6">
        <v>0</v>
      </c>
      <c r="T1055" s="6">
        <v>17</v>
      </c>
      <c r="U1055" s="6">
        <v>89</v>
      </c>
      <c r="V1055" s="6">
        <f>IF(ISERROR(VLOOKUP($S$1055,'TAR FIN'!$A$1:$O$93,15,0)),0,VLOOKUP($S$1055,'TAR FIN'!$A$1:$O$93,15,0))</f>
        <v>0</v>
      </c>
      <c r="W1055" s="6">
        <f>IF(ISERROR(VLOOKUP($T$1055,'TAR FIN'!$A$1:$O$93,15,0)),0,VLOOKUP($T$1055,'TAR FIN'!$A$1:$O$93,15,0))</f>
        <v>272.91000000000003</v>
      </c>
      <c r="X1055" s="6">
        <f>IF(ISERROR(VLOOKUP($U$1055,'TAR FIN'!$A$1:$O$93,15,0)),0,VLOOKUP($U$1055,'TAR FIN'!$A$1:$O$93,15,0))</f>
        <v>185.18</v>
      </c>
      <c r="Y1055" s="6"/>
      <c r="Z1055" s="6">
        <f ca="1">('TUSD BE'!$AM$52+'TUSD BF'!$AM$52+'TUSD CVA'!$AM$52)*1</f>
        <v>292.16655209139662</v>
      </c>
      <c r="AA1055" s="6">
        <f>('TE BE'!$AB$41+'TE BF'!$AB$41+'TE CVA'!$AB$41)*1</f>
        <v>198.18194779658231</v>
      </c>
      <c r="AB1055" s="6">
        <f>$K$1055*$V$1055</f>
        <v>0</v>
      </c>
      <c r="AC1055" s="6">
        <f>$M$1055*$W$1055</f>
        <v>173184.31943999999</v>
      </c>
      <c r="AD1055" s="6">
        <f>$O$1055*$X$1055</f>
        <v>117512.26512</v>
      </c>
      <c r="AE1055" s="6">
        <f>$K$1055*$Y$1055</f>
        <v>0</v>
      </c>
      <c r="AF1055" s="6">
        <f ca="1">$M$1055*$Z$1055</f>
        <v>185404.21929236682</v>
      </c>
      <c r="AG1055" s="6">
        <f>$O$1055*$AA$1055</f>
        <v>125763.09316054637</v>
      </c>
    </row>
    <row r="1056" spans="1:33" ht="11.25" customHeight="1" x14ac:dyDescent="0.25">
      <c r="A1056" s="4" t="s">
        <v>21</v>
      </c>
      <c r="B1056" s="4" t="s">
        <v>33</v>
      </c>
      <c r="C1056" s="4" t="s">
        <v>23</v>
      </c>
      <c r="D1056" s="4" t="s">
        <v>43</v>
      </c>
      <c r="E1056" s="4" t="s">
        <v>25</v>
      </c>
      <c r="F1056" s="4" t="s">
        <v>25</v>
      </c>
      <c r="G1056" s="4" t="s">
        <v>25</v>
      </c>
      <c r="H1056" s="4" t="s">
        <v>25</v>
      </c>
      <c r="I1056" s="5">
        <v>44501</v>
      </c>
      <c r="J1056" s="6">
        <v>0</v>
      </c>
      <c r="K1056" s="6">
        <v>0</v>
      </c>
      <c r="L1056" s="6">
        <v>674.41800000000001</v>
      </c>
      <c r="M1056" s="6">
        <v>674.41800000000001</v>
      </c>
      <c r="N1056" s="6">
        <v>674.41800000000001</v>
      </c>
      <c r="O1056" s="6">
        <v>674.41800000000001</v>
      </c>
      <c r="P1056" s="6">
        <v>1080</v>
      </c>
      <c r="Q1056" s="4" t="s">
        <v>26</v>
      </c>
      <c r="R1056" s="4">
        <v>0</v>
      </c>
      <c r="S1056" s="6">
        <v>0</v>
      </c>
      <c r="T1056" s="6">
        <v>17</v>
      </c>
      <c r="U1056" s="6">
        <v>89</v>
      </c>
      <c r="V1056" s="6">
        <f>IF(ISERROR(VLOOKUP($S$1056,'TAR FIN'!$A$1:$O$93,15,0)),0,VLOOKUP($S$1056,'TAR FIN'!$A$1:$O$93,15,0))</f>
        <v>0</v>
      </c>
      <c r="W1056" s="6">
        <f>IF(ISERROR(VLOOKUP($T$1056,'TAR FIN'!$A$1:$O$93,15,0)),0,VLOOKUP($T$1056,'TAR FIN'!$A$1:$O$93,15,0))</f>
        <v>272.91000000000003</v>
      </c>
      <c r="X1056" s="6">
        <f>IF(ISERROR(VLOOKUP($U$1056,'TAR FIN'!$A$1:$O$93,15,0)),0,VLOOKUP($U$1056,'TAR FIN'!$A$1:$O$93,15,0))</f>
        <v>185.18</v>
      </c>
      <c r="Y1056" s="6"/>
      <c r="Z1056" s="6">
        <f ca="1">('TUSD BE'!$AM$52+'TUSD BF'!$AM$52+'TUSD CVA'!$AM$52)*1</f>
        <v>292.16655209139662</v>
      </c>
      <c r="AA1056" s="6">
        <f>('TE BE'!$AB$41+'TE BF'!$AB$41+'TE CVA'!$AB$41)*1</f>
        <v>198.18194779658231</v>
      </c>
      <c r="AB1056" s="6">
        <f>$K$1056*$V$1056</f>
        <v>0</v>
      </c>
      <c r="AC1056" s="6">
        <f>$M$1056*$W$1056</f>
        <v>184055.41638000001</v>
      </c>
      <c r="AD1056" s="6">
        <f>$O$1056*$X$1056</f>
        <v>124888.72524</v>
      </c>
      <c r="AE1056" s="6">
        <f>$K$1056*$Y$1056</f>
        <v>0</v>
      </c>
      <c r="AF1056" s="6">
        <f ca="1">$M$1056*$Z$1056</f>
        <v>197042.38172837553</v>
      </c>
      <c r="AG1056" s="6">
        <f>$O$1056*$AA$1056</f>
        <v>133657.47286907546</v>
      </c>
    </row>
    <row r="1057" spans="1:33" ht="11.25" customHeight="1" x14ac:dyDescent="0.25">
      <c r="A1057" s="4" t="s">
        <v>21</v>
      </c>
      <c r="B1057" s="4" t="s">
        <v>33</v>
      </c>
      <c r="C1057" s="4" t="s">
        <v>23</v>
      </c>
      <c r="D1057" s="4" t="s">
        <v>43</v>
      </c>
      <c r="E1057" s="4" t="s">
        <v>25</v>
      </c>
      <c r="F1057" s="4" t="s">
        <v>25</v>
      </c>
      <c r="G1057" s="4" t="s">
        <v>25</v>
      </c>
      <c r="H1057" s="4" t="s">
        <v>25</v>
      </c>
      <c r="I1057" s="5">
        <v>44531</v>
      </c>
      <c r="J1057" s="6">
        <v>0</v>
      </c>
      <c r="K1057" s="6">
        <v>0</v>
      </c>
      <c r="L1057" s="6">
        <v>681.82799999999997</v>
      </c>
      <c r="M1057" s="6">
        <v>681.82799999999997</v>
      </c>
      <c r="N1057" s="6">
        <v>681.82799999999997</v>
      </c>
      <c r="O1057" s="6">
        <v>681.82799999999997</v>
      </c>
      <c r="P1057" s="6">
        <v>1083</v>
      </c>
      <c r="Q1057" s="4" t="s">
        <v>26</v>
      </c>
      <c r="R1057" s="4">
        <v>0</v>
      </c>
      <c r="S1057" s="6">
        <v>0</v>
      </c>
      <c r="T1057" s="6">
        <v>17</v>
      </c>
      <c r="U1057" s="6">
        <v>89</v>
      </c>
      <c r="V1057" s="6">
        <f>IF(ISERROR(VLOOKUP($S$1057,'TAR FIN'!$A$1:$O$93,15,0)),0,VLOOKUP($S$1057,'TAR FIN'!$A$1:$O$93,15,0))</f>
        <v>0</v>
      </c>
      <c r="W1057" s="6">
        <f>IF(ISERROR(VLOOKUP($T$1057,'TAR FIN'!$A$1:$O$93,15,0)),0,VLOOKUP($T$1057,'TAR FIN'!$A$1:$O$93,15,0))</f>
        <v>272.91000000000003</v>
      </c>
      <c r="X1057" s="6">
        <f>IF(ISERROR(VLOOKUP($U$1057,'TAR FIN'!$A$1:$O$93,15,0)),0,VLOOKUP($U$1057,'TAR FIN'!$A$1:$O$93,15,0))</f>
        <v>185.18</v>
      </c>
      <c r="Y1057" s="6"/>
      <c r="Z1057" s="6">
        <f ca="1">('TUSD BE'!$AM$52+'TUSD BF'!$AM$52+'TUSD CVA'!$AM$52)*1</f>
        <v>292.16655209139662</v>
      </c>
      <c r="AA1057" s="6">
        <f>('TE BE'!$AB$41+'TE BF'!$AB$41+'TE CVA'!$AB$41)*1</f>
        <v>198.18194779658231</v>
      </c>
      <c r="AB1057" s="6">
        <f>$K$1057*$V$1057</f>
        <v>0</v>
      </c>
      <c r="AC1057" s="6">
        <f>$M$1057*$W$1057</f>
        <v>186077.67948000002</v>
      </c>
      <c r="AD1057" s="6">
        <f>$O$1057*$X$1057</f>
        <v>126260.90904</v>
      </c>
      <c r="AE1057" s="6">
        <f>$K$1057*$Y$1057</f>
        <v>0</v>
      </c>
      <c r="AF1057" s="6">
        <f ca="1">$M$1057*$Z$1057</f>
        <v>199207.33587937278</v>
      </c>
      <c r="AG1057" s="6">
        <f>$O$1057*$AA$1057</f>
        <v>135126.00110224812</v>
      </c>
    </row>
    <row r="1058" spans="1:33" ht="11.25" customHeight="1" x14ac:dyDescent="0.25">
      <c r="A1058" s="4" t="s">
        <v>27</v>
      </c>
      <c r="B1058" s="4" t="s">
        <v>33</v>
      </c>
      <c r="C1058" s="4" t="s">
        <v>23</v>
      </c>
      <c r="D1058" s="4" t="s">
        <v>43</v>
      </c>
      <c r="E1058" s="4" t="s">
        <v>25</v>
      </c>
      <c r="F1058" s="4" t="s">
        <v>25</v>
      </c>
      <c r="G1058" s="4" t="s">
        <v>25</v>
      </c>
      <c r="H1058" s="4" t="s">
        <v>25</v>
      </c>
      <c r="I1058" s="5">
        <v>44531</v>
      </c>
      <c r="J1058" s="6">
        <v>0</v>
      </c>
      <c r="K1058" s="6">
        <v>0</v>
      </c>
      <c r="L1058" s="6">
        <v>-0.52900000000000003</v>
      </c>
      <c r="M1058" s="6">
        <v>-0.52900000000000003</v>
      </c>
      <c r="N1058" s="6">
        <v>-0.52900000000000003</v>
      </c>
      <c r="O1058" s="6">
        <v>-0.52900000000000003</v>
      </c>
      <c r="P1058" s="6">
        <v>-1</v>
      </c>
      <c r="Q1058" s="4" t="s">
        <v>26</v>
      </c>
      <c r="R1058" s="4">
        <v>0</v>
      </c>
      <c r="S1058" s="6">
        <v>0</v>
      </c>
      <c r="T1058" s="6">
        <v>17</v>
      </c>
      <c r="U1058" s="6">
        <v>89</v>
      </c>
      <c r="V1058" s="6">
        <f>IF(ISERROR(VLOOKUP($S$1058,'TAR FIN'!$A$1:$O$93,15,0)),0,VLOOKUP($S$1058,'TAR FIN'!$A$1:$O$93,15,0))</f>
        <v>0</v>
      </c>
      <c r="W1058" s="6">
        <f>IF(ISERROR(VLOOKUP($T$1058,'TAR FIN'!$A$1:$O$93,15,0)),0,VLOOKUP($T$1058,'TAR FIN'!$A$1:$O$93,15,0))</f>
        <v>272.91000000000003</v>
      </c>
      <c r="X1058" s="6">
        <f>IF(ISERROR(VLOOKUP($U$1058,'TAR FIN'!$A$1:$O$93,15,0)),0,VLOOKUP($U$1058,'TAR FIN'!$A$1:$O$93,15,0))</f>
        <v>185.18</v>
      </c>
      <c r="Y1058" s="6"/>
      <c r="Z1058" s="6">
        <f ca="1">('TUSD BE'!$AM$52+'TUSD BF'!$AM$52+'TUSD CVA'!$AM$52)*1</f>
        <v>292.16655209139662</v>
      </c>
      <c r="AA1058" s="6">
        <f>('TE BE'!$AB$41+'TE BF'!$AB$41+'TE CVA'!$AB$41)*1</f>
        <v>198.18194779658231</v>
      </c>
      <c r="AB1058" s="6">
        <f>$K$1058*$V$1058</f>
        <v>0</v>
      </c>
      <c r="AC1058" s="6">
        <f>$M$1058*$W$1058</f>
        <v>-144.36939000000001</v>
      </c>
      <c r="AD1058" s="6">
        <f>$O$1058*$X$1058</f>
        <v>-97.960220000000007</v>
      </c>
      <c r="AE1058" s="6">
        <f>$K$1058*$Y$1058</f>
        <v>0</v>
      </c>
      <c r="AF1058" s="6">
        <f ca="1">$M$1058*$Z$1058</f>
        <v>-154.55610605634882</v>
      </c>
      <c r="AG1058" s="6">
        <f>$O$1058*$AA$1058</f>
        <v>-104.83825038439204</v>
      </c>
    </row>
    <row r="1059" spans="1:33" ht="11.25" customHeight="1" x14ac:dyDescent="0.25">
      <c r="A1059" s="4" t="s">
        <v>21</v>
      </c>
      <c r="B1059" s="4" t="s">
        <v>33</v>
      </c>
      <c r="C1059" s="4" t="s">
        <v>23</v>
      </c>
      <c r="D1059" s="4" t="s">
        <v>43</v>
      </c>
      <c r="E1059" s="4" t="s">
        <v>25</v>
      </c>
      <c r="F1059" s="4" t="s">
        <v>25</v>
      </c>
      <c r="G1059" s="4" t="s">
        <v>25</v>
      </c>
      <c r="H1059" s="4" t="s">
        <v>25</v>
      </c>
      <c r="I1059" s="5">
        <v>44562</v>
      </c>
      <c r="J1059" s="6">
        <v>0</v>
      </c>
      <c r="K1059" s="6">
        <v>0</v>
      </c>
      <c r="L1059" s="6">
        <v>884.58799999999997</v>
      </c>
      <c r="M1059" s="6">
        <v>884.58799999999997</v>
      </c>
      <c r="N1059" s="6">
        <v>884.58799999999997</v>
      </c>
      <c r="O1059" s="6">
        <v>884.58799999999997</v>
      </c>
      <c r="P1059" s="6">
        <v>1085</v>
      </c>
      <c r="Q1059" s="4" t="s">
        <v>26</v>
      </c>
      <c r="R1059" s="4">
        <v>0</v>
      </c>
      <c r="S1059" s="6">
        <v>0</v>
      </c>
      <c r="T1059" s="6">
        <v>17</v>
      </c>
      <c r="U1059" s="6">
        <v>89</v>
      </c>
      <c r="V1059" s="6">
        <f>IF(ISERROR(VLOOKUP($S$1059,'TAR FIN'!$A$1:$O$93,15,0)),0,VLOOKUP($S$1059,'TAR FIN'!$A$1:$O$93,15,0))</f>
        <v>0</v>
      </c>
      <c r="W1059" s="6">
        <f>IF(ISERROR(VLOOKUP($T$1059,'TAR FIN'!$A$1:$O$93,15,0)),0,VLOOKUP($T$1059,'TAR FIN'!$A$1:$O$93,15,0))</f>
        <v>272.91000000000003</v>
      </c>
      <c r="X1059" s="6">
        <f>IF(ISERROR(VLOOKUP($U$1059,'TAR FIN'!$A$1:$O$93,15,0)),0,VLOOKUP($U$1059,'TAR FIN'!$A$1:$O$93,15,0))</f>
        <v>185.18</v>
      </c>
      <c r="Y1059" s="6"/>
      <c r="Z1059" s="6">
        <f ca="1">('TUSD BE'!$AM$52+'TUSD BF'!$AM$52+'TUSD CVA'!$AM$52)*1</f>
        <v>292.16655209139662</v>
      </c>
      <c r="AA1059" s="6">
        <f>('TE BE'!$AB$41+'TE BF'!$AB$41+'TE CVA'!$AB$41)*1</f>
        <v>198.18194779658231</v>
      </c>
      <c r="AB1059" s="6">
        <f>$K$1059*$V$1059</f>
        <v>0</v>
      </c>
      <c r="AC1059" s="6">
        <f>$M$1059*$W$1059</f>
        <v>241412.91108000002</v>
      </c>
      <c r="AD1059" s="6">
        <f>$O$1059*$X$1059</f>
        <v>163808.00584</v>
      </c>
      <c r="AE1059" s="6">
        <f>$K$1059*$Y$1059</f>
        <v>0</v>
      </c>
      <c r="AF1059" s="6">
        <f ca="1">$M$1059*$Z$1059</f>
        <v>258447.02598142435</v>
      </c>
      <c r="AG1059" s="6">
        <f>$O$1059*$AA$1059</f>
        <v>175309.37283748316</v>
      </c>
    </row>
    <row r="1060" spans="1:33" ht="11.25" customHeight="1" x14ac:dyDescent="0.25">
      <c r="A1060" s="4" t="s">
        <v>21</v>
      </c>
      <c r="B1060" s="4" t="s">
        <v>33</v>
      </c>
      <c r="C1060" s="4" t="s">
        <v>23</v>
      </c>
      <c r="D1060" s="4" t="s">
        <v>43</v>
      </c>
      <c r="E1060" s="4" t="s">
        <v>25</v>
      </c>
      <c r="F1060" s="4" t="s">
        <v>25</v>
      </c>
      <c r="G1060" s="4" t="s">
        <v>25</v>
      </c>
      <c r="H1060" s="4" t="s">
        <v>25</v>
      </c>
      <c r="I1060" s="5">
        <v>44593</v>
      </c>
      <c r="J1060" s="6">
        <v>0</v>
      </c>
      <c r="K1060" s="6">
        <v>0</v>
      </c>
      <c r="L1060" s="6">
        <v>766.33500000000004</v>
      </c>
      <c r="M1060" s="6">
        <v>766.33500000000004</v>
      </c>
      <c r="N1060" s="6">
        <v>766.33500000000004</v>
      </c>
      <c r="O1060" s="6">
        <v>766.33500000000004</v>
      </c>
      <c r="P1060" s="6">
        <v>1085</v>
      </c>
      <c r="Q1060" s="4" t="s">
        <v>26</v>
      </c>
      <c r="R1060" s="4">
        <v>0</v>
      </c>
      <c r="S1060" s="6">
        <v>0</v>
      </c>
      <c r="T1060" s="6">
        <v>17</v>
      </c>
      <c r="U1060" s="6">
        <v>89</v>
      </c>
      <c r="V1060" s="6">
        <f>IF(ISERROR(VLOOKUP($S$1060,'TAR FIN'!$A$1:$O$93,15,0)),0,VLOOKUP($S$1060,'TAR FIN'!$A$1:$O$93,15,0))</f>
        <v>0</v>
      </c>
      <c r="W1060" s="6">
        <f>IF(ISERROR(VLOOKUP($T$1060,'TAR FIN'!$A$1:$O$93,15,0)),0,VLOOKUP($T$1060,'TAR FIN'!$A$1:$O$93,15,0))</f>
        <v>272.91000000000003</v>
      </c>
      <c r="X1060" s="6">
        <f>IF(ISERROR(VLOOKUP($U$1060,'TAR FIN'!$A$1:$O$93,15,0)),0,VLOOKUP($U$1060,'TAR FIN'!$A$1:$O$93,15,0))</f>
        <v>185.18</v>
      </c>
      <c r="Y1060" s="6"/>
      <c r="Z1060" s="6">
        <f ca="1">('TUSD BE'!$AM$52+'TUSD BF'!$AM$52+'TUSD CVA'!$AM$52)*1</f>
        <v>292.16655209139662</v>
      </c>
      <c r="AA1060" s="6">
        <f>('TE BE'!$AB$41+'TE BF'!$AB$41+'TE CVA'!$AB$41)*1</f>
        <v>198.18194779658231</v>
      </c>
      <c r="AB1060" s="6">
        <f>$K$1060*$V$1060</f>
        <v>0</v>
      </c>
      <c r="AC1060" s="6">
        <f>$M$1060*$W$1060</f>
        <v>209140.48485000004</v>
      </c>
      <c r="AD1060" s="6">
        <f>$O$1060*$X$1060</f>
        <v>141909.91530000002</v>
      </c>
      <c r="AE1060" s="6">
        <f>$K$1060*$Y$1060</f>
        <v>0</v>
      </c>
      <c r="AF1060" s="6">
        <f ca="1">$M$1060*$Z$1060</f>
        <v>223897.45469696046</v>
      </c>
      <c r="AG1060" s="6">
        <f>$O$1060*$AA$1060</f>
        <v>151873.76296469392</v>
      </c>
    </row>
    <row r="1061" spans="1:33" ht="11.25" customHeight="1" x14ac:dyDescent="0.25">
      <c r="A1061" s="4" t="s">
        <v>21</v>
      </c>
      <c r="B1061" s="4" t="s">
        <v>33</v>
      </c>
      <c r="C1061" s="4" t="s">
        <v>23</v>
      </c>
      <c r="D1061" s="4" t="s">
        <v>43</v>
      </c>
      <c r="E1061" s="4" t="s">
        <v>25</v>
      </c>
      <c r="F1061" s="4" t="s">
        <v>25</v>
      </c>
      <c r="G1061" s="4" t="s">
        <v>25</v>
      </c>
      <c r="H1061" s="4" t="s">
        <v>25</v>
      </c>
      <c r="I1061" s="5">
        <v>44621</v>
      </c>
      <c r="J1061" s="6">
        <v>0</v>
      </c>
      <c r="K1061" s="6">
        <v>0</v>
      </c>
      <c r="L1061" s="6">
        <v>748.68399999999997</v>
      </c>
      <c r="M1061" s="6">
        <v>748.68399999999997</v>
      </c>
      <c r="N1061" s="6">
        <v>748.68399999999997</v>
      </c>
      <c r="O1061" s="6">
        <v>748.68399999999997</v>
      </c>
      <c r="P1061" s="6">
        <v>1112</v>
      </c>
      <c r="Q1061" s="4" t="s">
        <v>26</v>
      </c>
      <c r="R1061" s="4">
        <v>0</v>
      </c>
      <c r="S1061" s="6">
        <v>0</v>
      </c>
      <c r="T1061" s="6">
        <v>17</v>
      </c>
      <c r="U1061" s="6">
        <v>89</v>
      </c>
      <c r="V1061" s="6">
        <f>IF(ISERROR(VLOOKUP($S$1061,'TAR FIN'!$A$1:$O$93,15,0)),0,VLOOKUP($S$1061,'TAR FIN'!$A$1:$O$93,15,0))</f>
        <v>0</v>
      </c>
      <c r="W1061" s="6">
        <f>IF(ISERROR(VLOOKUP($T$1061,'TAR FIN'!$A$1:$O$93,15,0)),0,VLOOKUP($T$1061,'TAR FIN'!$A$1:$O$93,15,0))</f>
        <v>272.91000000000003</v>
      </c>
      <c r="X1061" s="6">
        <f>IF(ISERROR(VLOOKUP($U$1061,'TAR FIN'!$A$1:$O$93,15,0)),0,VLOOKUP($U$1061,'TAR FIN'!$A$1:$O$93,15,0))</f>
        <v>185.18</v>
      </c>
      <c r="Y1061" s="6"/>
      <c r="Z1061" s="6">
        <f ca="1">('TUSD BE'!$AM$52+'TUSD BF'!$AM$52+'TUSD CVA'!$AM$52)*1</f>
        <v>292.16655209139662</v>
      </c>
      <c r="AA1061" s="6">
        <f>('TE BE'!$AB$41+'TE BF'!$AB$41+'TE CVA'!$AB$41)*1</f>
        <v>198.18194779658231</v>
      </c>
      <c r="AB1061" s="6">
        <f>$K$1061*$V$1061</f>
        <v>0</v>
      </c>
      <c r="AC1061" s="6">
        <f>$M$1061*$W$1061</f>
        <v>204323.35044000001</v>
      </c>
      <c r="AD1061" s="6">
        <f>$O$1061*$X$1061</f>
        <v>138641.30312</v>
      </c>
      <c r="AE1061" s="6">
        <f>$K$1061*$Y$1061</f>
        <v>0</v>
      </c>
      <c r="AF1061" s="6">
        <f ca="1">$M$1061*$Z$1061</f>
        <v>218740.42288599518</v>
      </c>
      <c r="AG1061" s="6">
        <f>$O$1061*$AA$1061</f>
        <v>148375.65340413642</v>
      </c>
    </row>
    <row r="1062" spans="1:33" ht="11.25" customHeight="1" x14ac:dyDescent="0.25">
      <c r="A1062" s="4" t="s">
        <v>27</v>
      </c>
      <c r="B1062" s="4" t="s">
        <v>33</v>
      </c>
      <c r="C1062" s="4" t="s">
        <v>23</v>
      </c>
      <c r="D1062" s="4" t="s">
        <v>43</v>
      </c>
      <c r="E1062" s="4" t="s">
        <v>25</v>
      </c>
      <c r="F1062" s="4" t="s">
        <v>25</v>
      </c>
      <c r="G1062" s="4" t="s">
        <v>25</v>
      </c>
      <c r="H1062" s="4" t="s">
        <v>25</v>
      </c>
      <c r="I1062" s="5">
        <v>44621</v>
      </c>
      <c r="J1062" s="6">
        <v>0</v>
      </c>
      <c r="K1062" s="6">
        <v>0</v>
      </c>
      <c r="L1062" s="6">
        <v>-15.083</v>
      </c>
      <c r="M1062" s="6">
        <v>-15.083</v>
      </c>
      <c r="N1062" s="6">
        <v>-15.083</v>
      </c>
      <c r="O1062" s="6">
        <v>-15.083</v>
      </c>
      <c r="P1062" s="6">
        <v>-22</v>
      </c>
      <c r="Q1062" s="4" t="s">
        <v>26</v>
      </c>
      <c r="R1062" s="4">
        <v>0</v>
      </c>
      <c r="S1062" s="6">
        <v>0</v>
      </c>
      <c r="T1062" s="6">
        <v>17</v>
      </c>
      <c r="U1062" s="6">
        <v>89</v>
      </c>
      <c r="V1062" s="6">
        <f>IF(ISERROR(VLOOKUP($S$1062,'TAR FIN'!$A$1:$O$93,15,0)),0,VLOOKUP($S$1062,'TAR FIN'!$A$1:$O$93,15,0))</f>
        <v>0</v>
      </c>
      <c r="W1062" s="6">
        <f>IF(ISERROR(VLOOKUP($T$1062,'TAR FIN'!$A$1:$O$93,15,0)),0,VLOOKUP($T$1062,'TAR FIN'!$A$1:$O$93,15,0))</f>
        <v>272.91000000000003</v>
      </c>
      <c r="X1062" s="6">
        <f>IF(ISERROR(VLOOKUP($U$1062,'TAR FIN'!$A$1:$O$93,15,0)),0,VLOOKUP($U$1062,'TAR FIN'!$A$1:$O$93,15,0))</f>
        <v>185.18</v>
      </c>
      <c r="Y1062" s="6"/>
      <c r="Z1062" s="6">
        <f ca="1">('TUSD BE'!$AM$52+'TUSD BF'!$AM$52+'TUSD CVA'!$AM$52)*1</f>
        <v>292.16655209139662</v>
      </c>
      <c r="AA1062" s="6">
        <f>('TE BE'!$AB$41+'TE BF'!$AB$41+'TE CVA'!$AB$41)*1</f>
        <v>198.18194779658231</v>
      </c>
      <c r="AB1062" s="6">
        <f>$K$1062*$V$1062</f>
        <v>0</v>
      </c>
      <c r="AC1062" s="6">
        <f>$M$1062*$W$1062</f>
        <v>-4116.3015300000006</v>
      </c>
      <c r="AD1062" s="6">
        <f>$O$1062*$X$1062</f>
        <v>-2793.0699400000003</v>
      </c>
      <c r="AE1062" s="6">
        <f>$K$1062*$Y$1062</f>
        <v>0</v>
      </c>
      <c r="AF1062" s="6">
        <f ca="1">$M$1062*$Z$1062</f>
        <v>-4406.7481051945351</v>
      </c>
      <c r="AG1062" s="6">
        <f>$O$1062*$AA$1062</f>
        <v>-2989.1783186158509</v>
      </c>
    </row>
    <row r="1063" spans="1:33" ht="11.25" customHeight="1" x14ac:dyDescent="0.25">
      <c r="A1063" s="4" t="s">
        <v>21</v>
      </c>
      <c r="B1063" s="4" t="s">
        <v>33</v>
      </c>
      <c r="C1063" s="4" t="s">
        <v>23</v>
      </c>
      <c r="D1063" s="4" t="s">
        <v>43</v>
      </c>
      <c r="E1063" s="4" t="s">
        <v>25</v>
      </c>
      <c r="F1063" s="4" t="s">
        <v>25</v>
      </c>
      <c r="G1063" s="4" t="s">
        <v>25</v>
      </c>
      <c r="H1063" s="4" t="s">
        <v>25</v>
      </c>
      <c r="I1063" s="5">
        <v>44652</v>
      </c>
      <c r="J1063" s="6">
        <v>0</v>
      </c>
      <c r="K1063" s="6">
        <v>0</v>
      </c>
      <c r="L1063" s="6">
        <v>759.303</v>
      </c>
      <c r="M1063" s="6">
        <v>759.303</v>
      </c>
      <c r="N1063" s="6">
        <v>759.303</v>
      </c>
      <c r="O1063" s="6">
        <v>759.303</v>
      </c>
      <c r="P1063" s="6">
        <v>1119</v>
      </c>
      <c r="Q1063" s="4" t="s">
        <v>26</v>
      </c>
      <c r="R1063" s="4">
        <v>0</v>
      </c>
      <c r="S1063" s="6">
        <v>0</v>
      </c>
      <c r="T1063" s="6">
        <v>17</v>
      </c>
      <c r="U1063" s="6">
        <v>89</v>
      </c>
      <c r="V1063" s="6">
        <f>IF(ISERROR(VLOOKUP($S$1063,'TAR FIN'!$A$1:$O$93,15,0)),0,VLOOKUP($S$1063,'TAR FIN'!$A$1:$O$93,15,0))</f>
        <v>0</v>
      </c>
      <c r="W1063" s="6">
        <f>IF(ISERROR(VLOOKUP($T$1063,'TAR FIN'!$A$1:$O$93,15,0)),0,VLOOKUP($T$1063,'TAR FIN'!$A$1:$O$93,15,0))</f>
        <v>272.91000000000003</v>
      </c>
      <c r="X1063" s="6">
        <f>IF(ISERROR(VLOOKUP($U$1063,'TAR FIN'!$A$1:$O$93,15,0)),0,VLOOKUP($U$1063,'TAR FIN'!$A$1:$O$93,15,0))</f>
        <v>185.18</v>
      </c>
      <c r="Y1063" s="6"/>
      <c r="Z1063" s="6">
        <f ca="1">('TUSD BE'!$AM$52+'TUSD BF'!$AM$52+'TUSD CVA'!$AM$52)*1</f>
        <v>292.16655209139662</v>
      </c>
      <c r="AA1063" s="6">
        <f>('TE BE'!$AB$41+'TE BF'!$AB$41+'TE CVA'!$AB$41)*1</f>
        <v>198.18194779658231</v>
      </c>
      <c r="AB1063" s="6">
        <f>$K$1063*$V$1063</f>
        <v>0</v>
      </c>
      <c r="AC1063" s="6">
        <f>$M$1063*$W$1063</f>
        <v>207221.38173000002</v>
      </c>
      <c r="AD1063" s="6">
        <f>$O$1063*$X$1063</f>
        <v>140607.72954</v>
      </c>
      <c r="AE1063" s="6">
        <f>$K$1063*$Y$1063</f>
        <v>0</v>
      </c>
      <c r="AF1063" s="6">
        <f ca="1">$M$1063*$Z$1063</f>
        <v>221842.93950265372</v>
      </c>
      <c r="AG1063" s="6">
        <f>$O$1063*$AA$1063</f>
        <v>150480.14750778832</v>
      </c>
    </row>
    <row r="1064" spans="1:33" ht="11.25" customHeight="1" x14ac:dyDescent="0.25">
      <c r="A1064" s="4" t="s">
        <v>27</v>
      </c>
      <c r="B1064" s="4" t="s">
        <v>33</v>
      </c>
      <c r="C1064" s="4" t="s">
        <v>23</v>
      </c>
      <c r="D1064" s="4" t="s">
        <v>43</v>
      </c>
      <c r="E1064" s="4" t="s">
        <v>25</v>
      </c>
      <c r="F1064" s="4" t="s">
        <v>25</v>
      </c>
      <c r="G1064" s="4" t="s">
        <v>25</v>
      </c>
      <c r="H1064" s="4" t="s">
        <v>25</v>
      </c>
      <c r="I1064" s="5">
        <v>44652</v>
      </c>
      <c r="J1064" s="6">
        <v>0</v>
      </c>
      <c r="K1064" s="6">
        <v>0</v>
      </c>
      <c r="L1064" s="6">
        <v>-18.253</v>
      </c>
      <c r="M1064" s="6">
        <v>-18.253</v>
      </c>
      <c r="N1064" s="6">
        <v>-18.253</v>
      </c>
      <c r="O1064" s="6">
        <v>-18.253</v>
      </c>
      <c r="P1064" s="6">
        <v>-28</v>
      </c>
      <c r="Q1064" s="4" t="s">
        <v>26</v>
      </c>
      <c r="R1064" s="4">
        <v>0</v>
      </c>
      <c r="S1064" s="6">
        <v>0</v>
      </c>
      <c r="T1064" s="6">
        <v>17</v>
      </c>
      <c r="U1064" s="6">
        <v>89</v>
      </c>
      <c r="V1064" s="6">
        <f>IF(ISERROR(VLOOKUP($S$1064,'TAR FIN'!$A$1:$O$93,15,0)),0,VLOOKUP($S$1064,'TAR FIN'!$A$1:$O$93,15,0))</f>
        <v>0</v>
      </c>
      <c r="W1064" s="6">
        <f>IF(ISERROR(VLOOKUP($T$1064,'TAR FIN'!$A$1:$O$93,15,0)),0,VLOOKUP($T$1064,'TAR FIN'!$A$1:$O$93,15,0))</f>
        <v>272.91000000000003</v>
      </c>
      <c r="X1064" s="6">
        <f>IF(ISERROR(VLOOKUP($U$1064,'TAR FIN'!$A$1:$O$93,15,0)),0,VLOOKUP($U$1064,'TAR FIN'!$A$1:$O$93,15,0))</f>
        <v>185.18</v>
      </c>
      <c r="Y1064" s="6"/>
      <c r="Z1064" s="6">
        <f ca="1">('TUSD BE'!$AM$52+'TUSD BF'!$AM$52+'TUSD CVA'!$AM$52)*1</f>
        <v>292.16655209139662</v>
      </c>
      <c r="AA1064" s="6">
        <f>('TE BE'!$AB$41+'TE BF'!$AB$41+'TE CVA'!$AB$41)*1</f>
        <v>198.18194779658231</v>
      </c>
      <c r="AB1064" s="6">
        <f>$K$1064*$V$1064</f>
        <v>0</v>
      </c>
      <c r="AC1064" s="6">
        <f>$M$1064*$W$1064</f>
        <v>-4981.4262300000009</v>
      </c>
      <c r="AD1064" s="6">
        <f>$O$1064*$X$1064</f>
        <v>-3380.0905400000001</v>
      </c>
      <c r="AE1064" s="6">
        <f>$K$1064*$Y$1064</f>
        <v>0</v>
      </c>
      <c r="AF1064" s="6">
        <f ca="1">$M$1064*$Z$1064</f>
        <v>-5332.9160753242622</v>
      </c>
      <c r="AG1064" s="6">
        <f>$O$1064*$AA$1064</f>
        <v>-3617.4150931310169</v>
      </c>
    </row>
    <row r="1065" spans="1:33" ht="11.25" customHeight="1" x14ac:dyDescent="0.25">
      <c r="A1065" s="4" t="s">
        <v>21</v>
      </c>
      <c r="B1065" s="4" t="s">
        <v>33</v>
      </c>
      <c r="C1065" s="4" t="s">
        <v>23</v>
      </c>
      <c r="D1065" s="4" t="s">
        <v>43</v>
      </c>
      <c r="E1065" s="4" t="s">
        <v>25</v>
      </c>
      <c r="F1065" s="4" t="s">
        <v>25</v>
      </c>
      <c r="G1065" s="4" t="s">
        <v>25</v>
      </c>
      <c r="H1065" s="4" t="s">
        <v>25</v>
      </c>
      <c r="I1065" s="5">
        <v>44682</v>
      </c>
      <c r="J1065" s="6">
        <v>0</v>
      </c>
      <c r="K1065" s="6">
        <v>0</v>
      </c>
      <c r="L1065" s="6">
        <v>658.45799999999997</v>
      </c>
      <c r="M1065" s="6">
        <v>658.45799999999997</v>
      </c>
      <c r="N1065" s="6">
        <v>658.45799999999997</v>
      </c>
      <c r="O1065" s="6">
        <v>658.45799999999997</v>
      </c>
      <c r="P1065" s="6">
        <v>1097</v>
      </c>
      <c r="Q1065" s="4" t="s">
        <v>26</v>
      </c>
      <c r="R1065" s="4">
        <v>0</v>
      </c>
      <c r="S1065" s="6">
        <v>0</v>
      </c>
      <c r="T1065" s="6">
        <v>17</v>
      </c>
      <c r="U1065" s="6">
        <v>89</v>
      </c>
      <c r="V1065" s="6">
        <f>IF(ISERROR(VLOOKUP($S$1065,'TAR FIN'!$A$1:$O$93,15,0)),0,VLOOKUP($S$1065,'TAR FIN'!$A$1:$O$93,15,0))</f>
        <v>0</v>
      </c>
      <c r="W1065" s="6">
        <f>IF(ISERROR(VLOOKUP($T$1065,'TAR FIN'!$A$1:$O$93,15,0)),0,VLOOKUP($T$1065,'TAR FIN'!$A$1:$O$93,15,0))</f>
        <v>272.91000000000003</v>
      </c>
      <c r="X1065" s="6">
        <f>IF(ISERROR(VLOOKUP($U$1065,'TAR FIN'!$A$1:$O$93,15,0)),0,VLOOKUP($U$1065,'TAR FIN'!$A$1:$O$93,15,0))</f>
        <v>185.18</v>
      </c>
      <c r="Y1065" s="6"/>
      <c r="Z1065" s="6">
        <f ca="1">('TUSD BE'!$AM$52+'TUSD BF'!$AM$52+'TUSD CVA'!$AM$52)*1</f>
        <v>292.16655209139662</v>
      </c>
      <c r="AA1065" s="6">
        <f>('TE BE'!$AB$41+'TE BF'!$AB$41+'TE CVA'!$AB$41)*1</f>
        <v>198.18194779658231</v>
      </c>
      <c r="AB1065" s="6">
        <f>$K$1065*$V$1065</f>
        <v>0</v>
      </c>
      <c r="AC1065" s="6">
        <f>$M$1065*$W$1065</f>
        <v>179699.77278</v>
      </c>
      <c r="AD1065" s="6">
        <f>$O$1065*$X$1065</f>
        <v>121933.25244</v>
      </c>
      <c r="AE1065" s="6">
        <f>$K$1065*$Y$1065</f>
        <v>0</v>
      </c>
      <c r="AF1065" s="6">
        <f ca="1">$M$1065*$Z$1065</f>
        <v>192379.40355699684</v>
      </c>
      <c r="AG1065" s="6">
        <f>$O$1065*$AA$1065</f>
        <v>130494.48898224199</v>
      </c>
    </row>
    <row r="1066" spans="1:33" ht="11.25" customHeight="1" x14ac:dyDescent="0.25">
      <c r="A1066" s="4" t="s">
        <v>27</v>
      </c>
      <c r="B1066" s="4" t="s">
        <v>33</v>
      </c>
      <c r="C1066" s="4" t="s">
        <v>23</v>
      </c>
      <c r="D1066" s="4" t="s">
        <v>43</v>
      </c>
      <c r="E1066" s="4" t="s">
        <v>25</v>
      </c>
      <c r="F1066" s="4" t="s">
        <v>25</v>
      </c>
      <c r="G1066" s="4" t="s">
        <v>25</v>
      </c>
      <c r="H1066" s="4" t="s">
        <v>25</v>
      </c>
      <c r="I1066" s="5">
        <v>44682</v>
      </c>
      <c r="J1066" s="6">
        <v>0</v>
      </c>
      <c r="K1066" s="6">
        <v>0</v>
      </c>
      <c r="L1066" s="6">
        <v>-2.157</v>
      </c>
      <c r="M1066" s="6">
        <v>-2.157</v>
      </c>
      <c r="N1066" s="6">
        <v>-2.157</v>
      </c>
      <c r="O1066" s="6">
        <v>-2.157</v>
      </c>
      <c r="P1066" s="6">
        <v>-6</v>
      </c>
      <c r="Q1066" s="4" t="s">
        <v>26</v>
      </c>
      <c r="R1066" s="4">
        <v>0</v>
      </c>
      <c r="S1066" s="6">
        <v>0</v>
      </c>
      <c r="T1066" s="6">
        <v>17</v>
      </c>
      <c r="U1066" s="6">
        <v>89</v>
      </c>
      <c r="V1066" s="6">
        <f>IF(ISERROR(VLOOKUP($S$1066,'TAR FIN'!$A$1:$O$93,15,0)),0,VLOOKUP($S$1066,'TAR FIN'!$A$1:$O$93,15,0))</f>
        <v>0</v>
      </c>
      <c r="W1066" s="6">
        <f>IF(ISERROR(VLOOKUP($T$1066,'TAR FIN'!$A$1:$O$93,15,0)),0,VLOOKUP($T$1066,'TAR FIN'!$A$1:$O$93,15,0))</f>
        <v>272.91000000000003</v>
      </c>
      <c r="X1066" s="6">
        <f>IF(ISERROR(VLOOKUP($U$1066,'TAR FIN'!$A$1:$O$93,15,0)),0,VLOOKUP($U$1066,'TAR FIN'!$A$1:$O$93,15,0))</f>
        <v>185.18</v>
      </c>
      <c r="Y1066" s="6"/>
      <c r="Z1066" s="6">
        <f ca="1">('TUSD BE'!$AM$52+'TUSD BF'!$AM$52+'TUSD CVA'!$AM$52)*1</f>
        <v>292.16655209139662</v>
      </c>
      <c r="AA1066" s="6">
        <f>('TE BE'!$AB$41+'TE BF'!$AB$41+'TE CVA'!$AB$41)*1</f>
        <v>198.18194779658231</v>
      </c>
      <c r="AB1066" s="6">
        <f>$K$1066*$V$1066</f>
        <v>0</v>
      </c>
      <c r="AC1066" s="6">
        <f>$M$1066*$W$1066</f>
        <v>-588.66687000000002</v>
      </c>
      <c r="AD1066" s="6">
        <f>$O$1066*$X$1066</f>
        <v>-399.43326000000002</v>
      </c>
      <c r="AE1066" s="6">
        <f>$K$1066*$Y$1066</f>
        <v>0</v>
      </c>
      <c r="AF1066" s="6">
        <f ca="1">$M$1066*$Z$1066</f>
        <v>-630.20325286114257</v>
      </c>
      <c r="AG1066" s="6">
        <f>$O$1066*$AA$1066</f>
        <v>-427.47846139722805</v>
      </c>
    </row>
    <row r="1067" spans="1:33" ht="11.25" customHeight="1" x14ac:dyDescent="0.25">
      <c r="A1067" s="4" t="s">
        <v>21</v>
      </c>
      <c r="B1067" s="4" t="s">
        <v>33</v>
      </c>
      <c r="C1067" s="4" t="s">
        <v>23</v>
      </c>
      <c r="D1067" s="4" t="s">
        <v>43</v>
      </c>
      <c r="E1067" s="4" t="s">
        <v>25</v>
      </c>
      <c r="F1067" s="4" t="s">
        <v>25</v>
      </c>
      <c r="G1067" s="4" t="s">
        <v>25</v>
      </c>
      <c r="H1067" s="4" t="s">
        <v>25</v>
      </c>
      <c r="I1067" s="5">
        <v>44713</v>
      </c>
      <c r="J1067" s="6">
        <v>0</v>
      </c>
      <c r="K1067" s="6">
        <v>0</v>
      </c>
      <c r="L1067" s="6">
        <v>764.03899999999999</v>
      </c>
      <c r="M1067" s="6">
        <v>764.03899999999999</v>
      </c>
      <c r="N1067" s="6">
        <v>764.03899999999999</v>
      </c>
      <c r="O1067" s="6">
        <v>764.03899999999999</v>
      </c>
      <c r="P1067" s="6">
        <v>1127</v>
      </c>
      <c r="Q1067" s="4" t="s">
        <v>26</v>
      </c>
      <c r="R1067" s="4">
        <v>0</v>
      </c>
      <c r="S1067" s="6">
        <v>0</v>
      </c>
      <c r="T1067" s="6">
        <v>17</v>
      </c>
      <c r="U1067" s="6">
        <v>89</v>
      </c>
      <c r="V1067" s="6">
        <f>IF(ISERROR(VLOOKUP($S$1067,'TAR FIN'!$A$1:$O$93,15,0)),0,VLOOKUP($S$1067,'TAR FIN'!$A$1:$O$93,15,0))</f>
        <v>0</v>
      </c>
      <c r="W1067" s="6">
        <f>IF(ISERROR(VLOOKUP($T$1067,'TAR FIN'!$A$1:$O$93,15,0)),0,VLOOKUP($T$1067,'TAR FIN'!$A$1:$O$93,15,0))</f>
        <v>272.91000000000003</v>
      </c>
      <c r="X1067" s="6">
        <f>IF(ISERROR(VLOOKUP($U$1067,'TAR FIN'!$A$1:$O$93,15,0)),0,VLOOKUP($U$1067,'TAR FIN'!$A$1:$O$93,15,0))</f>
        <v>185.18</v>
      </c>
      <c r="Y1067" s="6"/>
      <c r="Z1067" s="6">
        <f ca="1">('TUSD BE'!$AM$52+'TUSD BF'!$AM$52+'TUSD CVA'!$AM$52)*1</f>
        <v>292.16655209139662</v>
      </c>
      <c r="AA1067" s="6">
        <f>('TE BE'!$AB$41+'TE BF'!$AB$41+'TE CVA'!$AB$41)*1</f>
        <v>198.18194779658231</v>
      </c>
      <c r="AB1067" s="6">
        <f>$K$1067*$V$1067</f>
        <v>0</v>
      </c>
      <c r="AC1067" s="6">
        <f>$M$1067*$W$1067</f>
        <v>208513.88349000001</v>
      </c>
      <c r="AD1067" s="6">
        <f>$O$1067*$X$1067</f>
        <v>141484.74202000001</v>
      </c>
      <c r="AE1067" s="6">
        <f>$K$1067*$Y$1067</f>
        <v>0</v>
      </c>
      <c r="AF1067" s="6">
        <f ca="1">$M$1067*$Z$1067</f>
        <v>223226.64029335859</v>
      </c>
      <c r="AG1067" s="6">
        <f>$O$1067*$AA$1067</f>
        <v>151418.73721255295</v>
      </c>
    </row>
    <row r="1068" spans="1:33" ht="11.25" customHeight="1" x14ac:dyDescent="0.25">
      <c r="A1068" s="4" t="s">
        <v>27</v>
      </c>
      <c r="B1068" s="4" t="s">
        <v>33</v>
      </c>
      <c r="C1068" s="4" t="s">
        <v>23</v>
      </c>
      <c r="D1068" s="4" t="s">
        <v>43</v>
      </c>
      <c r="E1068" s="4" t="s">
        <v>25</v>
      </c>
      <c r="F1068" s="4" t="s">
        <v>25</v>
      </c>
      <c r="G1068" s="4" t="s">
        <v>25</v>
      </c>
      <c r="H1068" s="4" t="s">
        <v>25</v>
      </c>
      <c r="I1068" s="5">
        <v>44713</v>
      </c>
      <c r="J1068" s="6">
        <v>0</v>
      </c>
      <c r="K1068" s="6">
        <v>0</v>
      </c>
      <c r="L1068" s="6">
        <v>-10.265000000000001</v>
      </c>
      <c r="M1068" s="6">
        <v>-10.265000000000001</v>
      </c>
      <c r="N1068" s="6">
        <v>-10.265000000000001</v>
      </c>
      <c r="O1068" s="6">
        <v>-10.265000000000001</v>
      </c>
      <c r="P1068" s="6">
        <v>-33</v>
      </c>
      <c r="Q1068" s="4" t="s">
        <v>26</v>
      </c>
      <c r="R1068" s="4">
        <v>0</v>
      </c>
      <c r="S1068" s="6">
        <v>0</v>
      </c>
      <c r="T1068" s="6">
        <v>17</v>
      </c>
      <c r="U1068" s="6">
        <v>89</v>
      </c>
      <c r="V1068" s="6">
        <f>IF(ISERROR(VLOOKUP($S$1068,'TAR FIN'!$A$1:$O$93,15,0)),0,VLOOKUP($S$1068,'TAR FIN'!$A$1:$O$93,15,0))</f>
        <v>0</v>
      </c>
      <c r="W1068" s="6">
        <f>IF(ISERROR(VLOOKUP($T$1068,'TAR FIN'!$A$1:$O$93,15,0)),0,VLOOKUP($T$1068,'TAR FIN'!$A$1:$O$93,15,0))</f>
        <v>272.91000000000003</v>
      </c>
      <c r="X1068" s="6">
        <f>IF(ISERROR(VLOOKUP($U$1068,'TAR FIN'!$A$1:$O$93,15,0)),0,VLOOKUP($U$1068,'TAR FIN'!$A$1:$O$93,15,0))</f>
        <v>185.18</v>
      </c>
      <c r="Y1068" s="6"/>
      <c r="Z1068" s="6">
        <f ca="1">('TUSD BE'!$AM$52+'TUSD BF'!$AM$52+'TUSD CVA'!$AM$52)*1</f>
        <v>292.16655209139662</v>
      </c>
      <c r="AA1068" s="6">
        <f>('TE BE'!$AB$41+'TE BF'!$AB$41+'TE CVA'!$AB$41)*1</f>
        <v>198.18194779658231</v>
      </c>
      <c r="AB1068" s="6">
        <f>$K$1068*$V$1068</f>
        <v>0</v>
      </c>
      <c r="AC1068" s="6">
        <f>$M$1068*$W$1068</f>
        <v>-2801.4211500000006</v>
      </c>
      <c r="AD1068" s="6">
        <f>$O$1068*$X$1068</f>
        <v>-1900.8727000000001</v>
      </c>
      <c r="AE1068" s="6">
        <f>$K$1068*$Y$1068</f>
        <v>0</v>
      </c>
      <c r="AF1068" s="6">
        <f ca="1">$M$1068*$Z$1068</f>
        <v>-2999.0896572181864</v>
      </c>
      <c r="AG1068" s="6">
        <f>$O$1068*$AA$1068</f>
        <v>-2034.3376941319175</v>
      </c>
    </row>
    <row r="1069" spans="1:33" ht="11.25" customHeight="1" x14ac:dyDescent="0.25">
      <c r="A1069" s="4" t="s">
        <v>21</v>
      </c>
      <c r="B1069" s="4" t="s">
        <v>33</v>
      </c>
      <c r="C1069" s="4" t="s">
        <v>23</v>
      </c>
      <c r="D1069" s="4" t="s">
        <v>47</v>
      </c>
      <c r="E1069" s="4" t="s">
        <v>48</v>
      </c>
      <c r="F1069" s="4" t="s">
        <v>25</v>
      </c>
      <c r="G1069" s="4" t="s">
        <v>25</v>
      </c>
      <c r="H1069" s="4" t="s">
        <v>25</v>
      </c>
      <c r="I1069" s="5">
        <v>44378</v>
      </c>
      <c r="J1069" s="6">
        <v>0</v>
      </c>
      <c r="K1069" s="75">
        <v>0</v>
      </c>
      <c r="L1069" s="6">
        <v>65.478999999999999</v>
      </c>
      <c r="M1069" s="75">
        <v>65.478999999999999</v>
      </c>
      <c r="N1069" s="6">
        <v>65.478999999999999</v>
      </c>
      <c r="O1069" s="75">
        <v>65.478999999999999</v>
      </c>
      <c r="P1069" s="6">
        <v>34</v>
      </c>
      <c r="Q1069" s="4" t="s">
        <v>26</v>
      </c>
      <c r="R1069" s="4">
        <v>0</v>
      </c>
      <c r="S1069" s="6">
        <v>0</v>
      </c>
      <c r="T1069" s="6">
        <v>17</v>
      </c>
      <c r="U1069" s="6">
        <v>89</v>
      </c>
      <c r="V1069" s="75">
        <f>IF(ISERROR(VLOOKUP($S$1069,'TAR FIN'!$A$1:$O$93,15,0)),0,VLOOKUP($S$1069,'TAR FIN'!$A$1:$O$93,15,0))</f>
        <v>0</v>
      </c>
      <c r="W1069" s="75">
        <f>IF(ISERROR(VLOOKUP($T$1069,'TAR FIN'!$A$1:$O$93,15,0)),0,VLOOKUP($T$1069,'TAR FIN'!$A$1:$O$93,15,0))*(1-0.06)</f>
        <v>256.53539999999998</v>
      </c>
      <c r="X1069" s="75">
        <f>IF(ISERROR(VLOOKUP($U$1069,'TAR FIN'!$A$1:$O$93,15,0)),0,VLOOKUP($U$1069,'TAR FIN'!$A$1:$O$93,15,0))*(1-0.06)</f>
        <v>174.0692</v>
      </c>
      <c r="Y1069" s="75"/>
      <c r="Z1069" s="75">
        <f ca="1">('TUSD BE'!$AM$52+'TUSD BF'!$AM$52+'TUSD CVA'!$AM$52)*1*(1-0.03)</f>
        <v>283.40155552865474</v>
      </c>
      <c r="AA1069" s="75">
        <f>('TE BE'!$AB$41+'TE BF'!$AB$41+'TE CVA'!$AB$41)*1*(1-0.03)</f>
        <v>192.23648936268484</v>
      </c>
      <c r="AB1069" s="6">
        <f>$K$1069*$V$1069</f>
        <v>0</v>
      </c>
      <c r="AC1069" s="6">
        <f>$M$1069*$W$1069</f>
        <v>16797.681456599999</v>
      </c>
      <c r="AD1069" s="6">
        <f>$O$1069*$X$1069</f>
        <v>11397.8771468</v>
      </c>
      <c r="AE1069" s="6">
        <f>$K$1069*$Y$1069</f>
        <v>0</v>
      </c>
      <c r="AF1069" s="6">
        <f ca="1">$M$1069*$Z$1069</f>
        <v>18556.850454460782</v>
      </c>
      <c r="AG1069" s="6">
        <f>$O$1069*$AA$1069</f>
        <v>12587.45308697924</v>
      </c>
    </row>
    <row r="1070" spans="1:33" ht="11.25" customHeight="1" x14ac:dyDescent="0.25">
      <c r="A1070" s="4" t="s">
        <v>21</v>
      </c>
      <c r="B1070" s="4" t="s">
        <v>33</v>
      </c>
      <c r="C1070" s="4" t="s">
        <v>23</v>
      </c>
      <c r="D1070" s="4" t="s">
        <v>47</v>
      </c>
      <c r="E1070" s="4" t="s">
        <v>48</v>
      </c>
      <c r="F1070" s="4" t="s">
        <v>25</v>
      </c>
      <c r="G1070" s="4" t="s">
        <v>25</v>
      </c>
      <c r="H1070" s="4" t="s">
        <v>25</v>
      </c>
      <c r="I1070" s="5">
        <v>44409</v>
      </c>
      <c r="J1070" s="6">
        <v>0</v>
      </c>
      <c r="K1070" s="75">
        <v>0</v>
      </c>
      <c r="L1070" s="6">
        <v>66.245000000000005</v>
      </c>
      <c r="M1070" s="75">
        <v>66.245000000000005</v>
      </c>
      <c r="N1070" s="6">
        <v>66.245000000000005</v>
      </c>
      <c r="O1070" s="75">
        <v>66.245000000000005</v>
      </c>
      <c r="P1070" s="6">
        <v>34</v>
      </c>
      <c r="Q1070" s="4" t="s">
        <v>26</v>
      </c>
      <c r="R1070" s="4">
        <v>0</v>
      </c>
      <c r="S1070" s="6">
        <v>0</v>
      </c>
      <c r="T1070" s="6">
        <v>17</v>
      </c>
      <c r="U1070" s="6">
        <v>89</v>
      </c>
      <c r="V1070" s="75">
        <f>IF(ISERROR(VLOOKUP($S$1070,'TAR FIN'!$A$1:$O$93,15,0)),0,VLOOKUP($S$1070,'TAR FIN'!$A$1:$O$93,15,0))</f>
        <v>0</v>
      </c>
      <c r="W1070" s="75">
        <f>IF(ISERROR(VLOOKUP($T$1070,'TAR FIN'!$A$1:$O$93,15,0)),0,VLOOKUP($T$1070,'TAR FIN'!$A$1:$O$93,15,0))*(1-0.06)</f>
        <v>256.53539999999998</v>
      </c>
      <c r="X1070" s="75">
        <f>IF(ISERROR(VLOOKUP($U$1070,'TAR FIN'!$A$1:$O$93,15,0)),0,VLOOKUP($U$1070,'TAR FIN'!$A$1:$O$93,15,0))*(1-0.06)</f>
        <v>174.0692</v>
      </c>
      <c r="Y1070" s="75"/>
      <c r="Z1070" s="75">
        <f ca="1">('TUSD BE'!$AM$52+'TUSD BF'!$AM$52+'TUSD CVA'!$AM$52)*1*(1-0.03)</f>
        <v>283.40155552865474</v>
      </c>
      <c r="AA1070" s="75">
        <f>('TE BE'!$AB$41+'TE BF'!$AB$41+'TE CVA'!$AB$41)*1*(1-0.03)</f>
        <v>192.23648936268484</v>
      </c>
      <c r="AB1070" s="6">
        <f>$K$1070*$V$1070</f>
        <v>0</v>
      </c>
      <c r="AC1070" s="6">
        <f>$M$1070*$W$1070</f>
        <v>16994.187572999999</v>
      </c>
      <c r="AD1070" s="6">
        <f>$O$1070*$X$1070</f>
        <v>11531.214154000001</v>
      </c>
      <c r="AE1070" s="6">
        <f>$K$1070*$Y$1070</f>
        <v>0</v>
      </c>
      <c r="AF1070" s="6">
        <f ca="1">$M$1070*$Z$1070</f>
        <v>18773.936045995735</v>
      </c>
      <c r="AG1070" s="6">
        <f>$O$1070*$AA$1070</f>
        <v>12734.706237831058</v>
      </c>
    </row>
    <row r="1071" spans="1:33" ht="11.25" customHeight="1" x14ac:dyDescent="0.25">
      <c r="A1071" s="4" t="s">
        <v>21</v>
      </c>
      <c r="B1071" s="4" t="s">
        <v>33</v>
      </c>
      <c r="C1071" s="4" t="s">
        <v>23</v>
      </c>
      <c r="D1071" s="4" t="s">
        <v>47</v>
      </c>
      <c r="E1071" s="4" t="s">
        <v>48</v>
      </c>
      <c r="F1071" s="4" t="s">
        <v>25</v>
      </c>
      <c r="G1071" s="4" t="s">
        <v>25</v>
      </c>
      <c r="H1071" s="4" t="s">
        <v>25</v>
      </c>
      <c r="I1071" s="5">
        <v>44440</v>
      </c>
      <c r="J1071" s="6">
        <v>0</v>
      </c>
      <c r="K1071" s="75">
        <v>0</v>
      </c>
      <c r="L1071" s="6">
        <v>67.733999999999995</v>
      </c>
      <c r="M1071" s="75">
        <v>67.733999999999995</v>
      </c>
      <c r="N1071" s="6">
        <v>67.733999999999995</v>
      </c>
      <c r="O1071" s="75">
        <v>67.733999999999995</v>
      </c>
      <c r="P1071" s="6">
        <v>34</v>
      </c>
      <c r="Q1071" s="4" t="s">
        <v>26</v>
      </c>
      <c r="R1071" s="4">
        <v>0</v>
      </c>
      <c r="S1071" s="6">
        <v>0</v>
      </c>
      <c r="T1071" s="6">
        <v>17</v>
      </c>
      <c r="U1071" s="6">
        <v>89</v>
      </c>
      <c r="V1071" s="75">
        <f>IF(ISERROR(VLOOKUP($S$1071,'TAR FIN'!$A$1:$O$93,15,0)),0,VLOOKUP($S$1071,'TAR FIN'!$A$1:$O$93,15,0))</f>
        <v>0</v>
      </c>
      <c r="W1071" s="75">
        <f>IF(ISERROR(VLOOKUP($T$1071,'TAR FIN'!$A$1:$O$93,15,0)),0,VLOOKUP($T$1071,'TAR FIN'!$A$1:$O$93,15,0))*(1-0.06)</f>
        <v>256.53539999999998</v>
      </c>
      <c r="X1071" s="75">
        <f>IF(ISERROR(VLOOKUP($U$1071,'TAR FIN'!$A$1:$O$93,15,0)),0,VLOOKUP($U$1071,'TAR FIN'!$A$1:$O$93,15,0))*(1-0.06)</f>
        <v>174.0692</v>
      </c>
      <c r="Y1071" s="75"/>
      <c r="Z1071" s="75">
        <f ca="1">('TUSD BE'!$AM$52+'TUSD BF'!$AM$52+'TUSD CVA'!$AM$52)*1*(1-0.03)</f>
        <v>283.40155552865474</v>
      </c>
      <c r="AA1071" s="75">
        <f>('TE BE'!$AB$41+'TE BF'!$AB$41+'TE CVA'!$AB$41)*1*(1-0.03)</f>
        <v>192.23648936268484</v>
      </c>
      <c r="AB1071" s="6">
        <f>$K$1071*$V$1071</f>
        <v>0</v>
      </c>
      <c r="AC1071" s="6">
        <f>$M$1071*$W$1071</f>
        <v>17376.168783599998</v>
      </c>
      <c r="AD1071" s="6">
        <f>$O$1071*$X$1071</f>
        <v>11790.403192799999</v>
      </c>
      <c r="AE1071" s="6">
        <f>$K$1071*$Y$1071</f>
        <v>0</v>
      </c>
      <c r="AF1071" s="6">
        <f ca="1">$M$1071*$Z$1071</f>
        <v>19195.920962177897</v>
      </c>
      <c r="AG1071" s="6">
        <f>$O$1071*$AA$1071</f>
        <v>13020.946370492095</v>
      </c>
    </row>
    <row r="1072" spans="1:33" ht="11.25" customHeight="1" x14ac:dyDescent="0.25">
      <c r="A1072" s="4" t="s">
        <v>21</v>
      </c>
      <c r="B1072" s="4" t="s">
        <v>33</v>
      </c>
      <c r="C1072" s="4" t="s">
        <v>23</v>
      </c>
      <c r="D1072" s="4" t="s">
        <v>47</v>
      </c>
      <c r="E1072" s="4" t="s">
        <v>48</v>
      </c>
      <c r="F1072" s="4" t="s">
        <v>25</v>
      </c>
      <c r="G1072" s="4" t="s">
        <v>25</v>
      </c>
      <c r="H1072" s="4" t="s">
        <v>25</v>
      </c>
      <c r="I1072" s="5">
        <v>44470</v>
      </c>
      <c r="J1072" s="6">
        <v>0</v>
      </c>
      <c r="K1072" s="75">
        <v>0</v>
      </c>
      <c r="L1072" s="6">
        <v>67.430999999999997</v>
      </c>
      <c r="M1072" s="75">
        <v>67.430999999999997</v>
      </c>
      <c r="N1072" s="6">
        <v>67.430999999999997</v>
      </c>
      <c r="O1072" s="75">
        <v>67.430999999999997</v>
      </c>
      <c r="P1072" s="6">
        <v>34</v>
      </c>
      <c r="Q1072" s="4" t="s">
        <v>26</v>
      </c>
      <c r="R1072" s="4">
        <v>0</v>
      </c>
      <c r="S1072" s="6">
        <v>0</v>
      </c>
      <c r="T1072" s="6">
        <v>17</v>
      </c>
      <c r="U1072" s="6">
        <v>89</v>
      </c>
      <c r="V1072" s="75">
        <f>IF(ISERROR(VLOOKUP($S$1072,'TAR FIN'!$A$1:$O$93,15,0)),0,VLOOKUP($S$1072,'TAR FIN'!$A$1:$O$93,15,0))</f>
        <v>0</v>
      </c>
      <c r="W1072" s="75">
        <f>IF(ISERROR(VLOOKUP($T$1072,'TAR FIN'!$A$1:$O$93,15,0)),0,VLOOKUP($T$1072,'TAR FIN'!$A$1:$O$93,15,0))*(1-0.06)</f>
        <v>256.53539999999998</v>
      </c>
      <c r="X1072" s="75">
        <f>IF(ISERROR(VLOOKUP($U$1072,'TAR FIN'!$A$1:$O$93,15,0)),0,VLOOKUP($U$1072,'TAR FIN'!$A$1:$O$93,15,0))*(1-0.06)</f>
        <v>174.0692</v>
      </c>
      <c r="Y1072" s="75"/>
      <c r="Z1072" s="75">
        <f ca="1">('TUSD BE'!$AM$52+'TUSD BF'!$AM$52+'TUSD CVA'!$AM$52)*1*(1-0.03)</f>
        <v>283.40155552865474</v>
      </c>
      <c r="AA1072" s="75">
        <f>('TE BE'!$AB$41+'TE BF'!$AB$41+'TE CVA'!$AB$41)*1*(1-0.03)</f>
        <v>192.23648936268484</v>
      </c>
      <c r="AB1072" s="6">
        <f>$K$1072*$V$1072</f>
        <v>0</v>
      </c>
      <c r="AC1072" s="6">
        <f>$M$1072*$W$1072</f>
        <v>17298.438557399997</v>
      </c>
      <c r="AD1072" s="6">
        <f>$O$1072*$X$1072</f>
        <v>11737.660225199999</v>
      </c>
      <c r="AE1072" s="6">
        <f>$K$1072*$Y$1072</f>
        <v>0</v>
      </c>
      <c r="AF1072" s="6">
        <f ca="1">$M$1072*$Z$1072</f>
        <v>19110.050290852716</v>
      </c>
      <c r="AG1072" s="6">
        <f>$O$1072*$AA$1072</f>
        <v>12962.698714215201</v>
      </c>
    </row>
    <row r="1073" spans="1:33" ht="11.25" customHeight="1" x14ac:dyDescent="0.25">
      <c r="A1073" s="4" t="s">
        <v>21</v>
      </c>
      <c r="B1073" s="4" t="s">
        <v>33</v>
      </c>
      <c r="C1073" s="4" t="s">
        <v>23</v>
      </c>
      <c r="D1073" s="4" t="s">
        <v>47</v>
      </c>
      <c r="E1073" s="4" t="s">
        <v>48</v>
      </c>
      <c r="F1073" s="4" t="s">
        <v>25</v>
      </c>
      <c r="G1073" s="4" t="s">
        <v>25</v>
      </c>
      <c r="H1073" s="4" t="s">
        <v>25</v>
      </c>
      <c r="I1073" s="5">
        <v>44501</v>
      </c>
      <c r="J1073" s="6">
        <v>0</v>
      </c>
      <c r="K1073" s="75">
        <v>0</v>
      </c>
      <c r="L1073" s="6">
        <v>68.873000000000005</v>
      </c>
      <c r="M1073" s="75">
        <v>68.873000000000005</v>
      </c>
      <c r="N1073" s="6">
        <v>68.873000000000005</v>
      </c>
      <c r="O1073" s="75">
        <v>68.873000000000005</v>
      </c>
      <c r="P1073" s="6">
        <v>35</v>
      </c>
      <c r="Q1073" s="4" t="s">
        <v>26</v>
      </c>
      <c r="R1073" s="4">
        <v>0</v>
      </c>
      <c r="S1073" s="6">
        <v>0</v>
      </c>
      <c r="T1073" s="6">
        <v>17</v>
      </c>
      <c r="U1073" s="6">
        <v>89</v>
      </c>
      <c r="V1073" s="75">
        <f>IF(ISERROR(VLOOKUP($S$1073,'TAR FIN'!$A$1:$O$93,15,0)),0,VLOOKUP($S$1073,'TAR FIN'!$A$1:$O$93,15,0))</f>
        <v>0</v>
      </c>
      <c r="W1073" s="75">
        <f>IF(ISERROR(VLOOKUP($T$1073,'TAR FIN'!$A$1:$O$93,15,0)),0,VLOOKUP($T$1073,'TAR FIN'!$A$1:$O$93,15,0))*(1-0.06)</f>
        <v>256.53539999999998</v>
      </c>
      <c r="X1073" s="75">
        <f>IF(ISERROR(VLOOKUP($U$1073,'TAR FIN'!$A$1:$O$93,15,0)),0,VLOOKUP($U$1073,'TAR FIN'!$A$1:$O$93,15,0))*(1-0.06)</f>
        <v>174.0692</v>
      </c>
      <c r="Y1073" s="75"/>
      <c r="Z1073" s="75">
        <f ca="1">('TUSD BE'!$AM$52+'TUSD BF'!$AM$52+'TUSD CVA'!$AM$52)*1*(1-0.03)</f>
        <v>283.40155552865474</v>
      </c>
      <c r="AA1073" s="75">
        <f>('TE BE'!$AB$41+'TE BF'!$AB$41+'TE CVA'!$AB$41)*1*(1-0.03)</f>
        <v>192.23648936268484</v>
      </c>
      <c r="AB1073" s="6">
        <f>$K$1073*$V$1073</f>
        <v>0</v>
      </c>
      <c r="AC1073" s="6">
        <f>$M$1073*$W$1073</f>
        <v>17668.3626042</v>
      </c>
      <c r="AD1073" s="6">
        <f>$O$1073*$X$1073</f>
        <v>11988.668011600001</v>
      </c>
      <c r="AE1073" s="6">
        <f>$K$1073*$Y$1073</f>
        <v>0</v>
      </c>
      <c r="AF1073" s="6">
        <f ca="1">$M$1073*$Z$1073</f>
        <v>19518.71533392504</v>
      </c>
      <c r="AG1073" s="6">
        <f>$O$1073*$AA$1073</f>
        <v>13239.903731876193</v>
      </c>
    </row>
    <row r="1074" spans="1:33" ht="11.25" customHeight="1" x14ac:dyDescent="0.25">
      <c r="A1074" s="4" t="s">
        <v>21</v>
      </c>
      <c r="B1074" s="4" t="s">
        <v>33</v>
      </c>
      <c r="C1074" s="4" t="s">
        <v>23</v>
      </c>
      <c r="D1074" s="4" t="s">
        <v>47</v>
      </c>
      <c r="E1074" s="4" t="s">
        <v>48</v>
      </c>
      <c r="F1074" s="4" t="s">
        <v>25</v>
      </c>
      <c r="G1074" s="4" t="s">
        <v>25</v>
      </c>
      <c r="H1074" s="4" t="s">
        <v>25</v>
      </c>
      <c r="I1074" s="5">
        <v>44531</v>
      </c>
      <c r="J1074" s="6">
        <v>0</v>
      </c>
      <c r="K1074" s="75">
        <v>0</v>
      </c>
      <c r="L1074" s="6">
        <v>55.689</v>
      </c>
      <c r="M1074" s="75">
        <v>55.689</v>
      </c>
      <c r="N1074" s="6">
        <v>55.689</v>
      </c>
      <c r="O1074" s="75">
        <v>55.689</v>
      </c>
      <c r="P1074" s="6">
        <v>36</v>
      </c>
      <c r="Q1074" s="4" t="s">
        <v>26</v>
      </c>
      <c r="R1074" s="4">
        <v>0</v>
      </c>
      <c r="S1074" s="6">
        <v>0</v>
      </c>
      <c r="T1074" s="6">
        <v>17</v>
      </c>
      <c r="U1074" s="6">
        <v>89</v>
      </c>
      <c r="V1074" s="75">
        <f>IF(ISERROR(VLOOKUP($S$1074,'TAR FIN'!$A$1:$O$93,15,0)),0,VLOOKUP($S$1074,'TAR FIN'!$A$1:$O$93,15,0))</f>
        <v>0</v>
      </c>
      <c r="W1074" s="75">
        <f>IF(ISERROR(VLOOKUP($T$1074,'TAR FIN'!$A$1:$O$93,15,0)),0,VLOOKUP($T$1074,'TAR FIN'!$A$1:$O$93,15,0))*(1-0.06)</f>
        <v>256.53539999999998</v>
      </c>
      <c r="X1074" s="75">
        <f>IF(ISERROR(VLOOKUP($U$1074,'TAR FIN'!$A$1:$O$93,15,0)),0,VLOOKUP($U$1074,'TAR FIN'!$A$1:$O$93,15,0))*(1-0.06)</f>
        <v>174.0692</v>
      </c>
      <c r="Y1074" s="75"/>
      <c r="Z1074" s="75">
        <f ca="1">('TUSD BE'!$AM$52+'TUSD BF'!$AM$52+'TUSD CVA'!$AM$52)*1*(1-0.03)</f>
        <v>283.40155552865474</v>
      </c>
      <c r="AA1074" s="75">
        <f>('TE BE'!$AB$41+'TE BF'!$AB$41+'TE CVA'!$AB$41)*1*(1-0.03)</f>
        <v>192.23648936268484</v>
      </c>
      <c r="AB1074" s="6">
        <f>$K$1074*$V$1074</f>
        <v>0</v>
      </c>
      <c r="AC1074" s="6">
        <f>$M$1074*$W$1074</f>
        <v>14286.199890599999</v>
      </c>
      <c r="AD1074" s="6">
        <f>$O$1074*$X$1074</f>
        <v>9693.7396788000005</v>
      </c>
      <c r="AE1074" s="6">
        <f>$K$1074*$Y$1074</f>
        <v>0</v>
      </c>
      <c r="AF1074" s="6">
        <f ca="1">$M$1074*$Z$1074</f>
        <v>15782.349225835254</v>
      </c>
      <c r="AG1074" s="6">
        <f>$O$1074*$AA$1074</f>
        <v>10705.457856118555</v>
      </c>
    </row>
    <row r="1075" spans="1:33" ht="11.25" customHeight="1" x14ac:dyDescent="0.25">
      <c r="A1075" s="4" t="s">
        <v>27</v>
      </c>
      <c r="B1075" s="4" t="s">
        <v>33</v>
      </c>
      <c r="C1075" s="4" t="s">
        <v>23</v>
      </c>
      <c r="D1075" s="4" t="s">
        <v>47</v>
      </c>
      <c r="E1075" s="4" t="s">
        <v>48</v>
      </c>
      <c r="F1075" s="4" t="s">
        <v>25</v>
      </c>
      <c r="G1075" s="4" t="s">
        <v>25</v>
      </c>
      <c r="H1075" s="4" t="s">
        <v>25</v>
      </c>
      <c r="I1075" s="5">
        <v>44531</v>
      </c>
      <c r="J1075" s="6">
        <v>0</v>
      </c>
      <c r="K1075" s="75">
        <v>0</v>
      </c>
      <c r="L1075" s="6">
        <v>-0.03</v>
      </c>
      <c r="M1075" s="75">
        <v>-0.03</v>
      </c>
      <c r="N1075" s="6">
        <v>-0.03</v>
      </c>
      <c r="O1075" s="75">
        <v>-0.03</v>
      </c>
      <c r="P1075" s="6">
        <v>-1</v>
      </c>
      <c r="Q1075" s="4" t="s">
        <v>26</v>
      </c>
      <c r="R1075" s="4">
        <v>0</v>
      </c>
      <c r="S1075" s="6">
        <v>0</v>
      </c>
      <c r="T1075" s="6">
        <v>17</v>
      </c>
      <c r="U1075" s="6">
        <v>89</v>
      </c>
      <c r="V1075" s="75">
        <f>IF(ISERROR(VLOOKUP($S$1075,'TAR FIN'!$A$1:$O$93,15,0)),0,VLOOKUP($S$1075,'TAR FIN'!$A$1:$O$93,15,0))</f>
        <v>0</v>
      </c>
      <c r="W1075" s="75">
        <f>IF(ISERROR(VLOOKUP($T$1075,'TAR FIN'!$A$1:$O$93,15,0)),0,VLOOKUP($T$1075,'TAR FIN'!$A$1:$O$93,15,0))*(1-0.06)</f>
        <v>256.53539999999998</v>
      </c>
      <c r="X1075" s="75">
        <f>IF(ISERROR(VLOOKUP($U$1075,'TAR FIN'!$A$1:$O$93,15,0)),0,VLOOKUP($U$1075,'TAR FIN'!$A$1:$O$93,15,0))*(1-0.06)</f>
        <v>174.0692</v>
      </c>
      <c r="Y1075" s="75"/>
      <c r="Z1075" s="75">
        <f ca="1">('TUSD BE'!$AM$52+'TUSD BF'!$AM$52+'TUSD CVA'!$AM$52)*1*(1-0.03)</f>
        <v>283.40155552865474</v>
      </c>
      <c r="AA1075" s="75">
        <f>('TE BE'!$AB$41+'TE BF'!$AB$41+'TE CVA'!$AB$41)*1*(1-0.03)</f>
        <v>192.23648936268484</v>
      </c>
      <c r="AB1075" s="6">
        <f>$K$1075*$V$1075</f>
        <v>0</v>
      </c>
      <c r="AC1075" s="6">
        <f>$M$1075*$W$1075</f>
        <v>-7.6960619999999995</v>
      </c>
      <c r="AD1075" s="6">
        <f>$O$1075*$X$1075</f>
        <v>-5.2220759999999995</v>
      </c>
      <c r="AE1075" s="6">
        <f>$K$1075*$Y$1075</f>
        <v>0</v>
      </c>
      <c r="AF1075" s="6">
        <f ca="1">$M$1075*$Z$1075</f>
        <v>-8.5020466658596412</v>
      </c>
      <c r="AG1075" s="6">
        <f>$O$1075*$AA$1075</f>
        <v>-5.767094680880545</v>
      </c>
    </row>
    <row r="1076" spans="1:33" ht="11.25" customHeight="1" x14ac:dyDescent="0.25">
      <c r="A1076" s="4" t="s">
        <v>21</v>
      </c>
      <c r="B1076" s="4" t="s">
        <v>33</v>
      </c>
      <c r="C1076" s="4" t="s">
        <v>23</v>
      </c>
      <c r="D1076" s="4" t="s">
        <v>47</v>
      </c>
      <c r="E1076" s="4" t="s">
        <v>48</v>
      </c>
      <c r="F1076" s="4" t="s">
        <v>25</v>
      </c>
      <c r="G1076" s="4" t="s">
        <v>25</v>
      </c>
      <c r="H1076" s="4" t="s">
        <v>25</v>
      </c>
      <c r="I1076" s="5">
        <v>44562</v>
      </c>
      <c r="J1076" s="6">
        <v>0</v>
      </c>
      <c r="K1076" s="75">
        <v>0</v>
      </c>
      <c r="L1076" s="6">
        <v>76.168999999999997</v>
      </c>
      <c r="M1076" s="75">
        <v>76.168999999999997</v>
      </c>
      <c r="N1076" s="6">
        <v>76.168999999999997</v>
      </c>
      <c r="O1076" s="75">
        <v>76.168999999999997</v>
      </c>
      <c r="P1076" s="6">
        <v>36</v>
      </c>
      <c r="Q1076" s="4" t="s">
        <v>26</v>
      </c>
      <c r="R1076" s="4">
        <v>0</v>
      </c>
      <c r="S1076" s="6">
        <v>0</v>
      </c>
      <c r="T1076" s="6">
        <v>17</v>
      </c>
      <c r="U1076" s="6">
        <v>89</v>
      </c>
      <c r="V1076" s="75">
        <f>IF(ISERROR(VLOOKUP($S$1076,'TAR FIN'!$A$1:$O$93,15,0)),0,VLOOKUP($S$1076,'TAR FIN'!$A$1:$O$93,15,0))</f>
        <v>0</v>
      </c>
      <c r="W1076" s="75">
        <f>IF(ISERROR(VLOOKUP($T$1076,'TAR FIN'!$A$1:$O$93,15,0)),0,VLOOKUP($T$1076,'TAR FIN'!$A$1:$O$93,15,0))*(1-0.06)</f>
        <v>256.53539999999998</v>
      </c>
      <c r="X1076" s="75">
        <f>IF(ISERROR(VLOOKUP($U$1076,'TAR FIN'!$A$1:$O$93,15,0)),0,VLOOKUP($U$1076,'TAR FIN'!$A$1:$O$93,15,0))*(1-0.06)</f>
        <v>174.0692</v>
      </c>
      <c r="Y1076" s="75"/>
      <c r="Z1076" s="75">
        <f ca="1">('TUSD BE'!$AM$52+'TUSD BF'!$AM$52+'TUSD CVA'!$AM$52)*1*(1-0.03)</f>
        <v>283.40155552865474</v>
      </c>
      <c r="AA1076" s="75">
        <f>('TE BE'!$AB$41+'TE BF'!$AB$41+'TE CVA'!$AB$41)*1*(1-0.03)</f>
        <v>192.23648936268484</v>
      </c>
      <c r="AB1076" s="6">
        <f>$K$1076*$V$1076</f>
        <v>0</v>
      </c>
      <c r="AC1076" s="6">
        <f>$M$1076*$W$1076</f>
        <v>19540.044882599999</v>
      </c>
      <c r="AD1076" s="6">
        <f>$O$1076*$X$1076</f>
        <v>13258.676894799999</v>
      </c>
      <c r="AE1076" s="6">
        <f>$K$1076*$Y$1076</f>
        <v>0</v>
      </c>
      <c r="AF1076" s="6">
        <f ca="1">$M$1076*$Z$1076</f>
        <v>21586.413083062103</v>
      </c>
      <c r="AG1076" s="6">
        <f>$O$1076*$AA$1076</f>
        <v>14642.46115826634</v>
      </c>
    </row>
    <row r="1077" spans="1:33" ht="11.25" customHeight="1" x14ac:dyDescent="0.25">
      <c r="A1077" s="4" t="s">
        <v>21</v>
      </c>
      <c r="B1077" s="4" t="s">
        <v>33</v>
      </c>
      <c r="C1077" s="4" t="s">
        <v>23</v>
      </c>
      <c r="D1077" s="4" t="s">
        <v>47</v>
      </c>
      <c r="E1077" s="4" t="s">
        <v>48</v>
      </c>
      <c r="F1077" s="4" t="s">
        <v>25</v>
      </c>
      <c r="G1077" s="4" t="s">
        <v>25</v>
      </c>
      <c r="H1077" s="4" t="s">
        <v>25</v>
      </c>
      <c r="I1077" s="5">
        <v>44593</v>
      </c>
      <c r="J1077" s="6">
        <v>0</v>
      </c>
      <c r="K1077" s="75">
        <v>0</v>
      </c>
      <c r="L1077" s="6">
        <v>66.954999999999998</v>
      </c>
      <c r="M1077" s="75">
        <v>66.954999999999998</v>
      </c>
      <c r="N1077" s="6">
        <v>66.954999999999998</v>
      </c>
      <c r="O1077" s="75">
        <v>66.954999999999998</v>
      </c>
      <c r="P1077" s="6">
        <v>36</v>
      </c>
      <c r="Q1077" s="4" t="s">
        <v>26</v>
      </c>
      <c r="R1077" s="4">
        <v>0</v>
      </c>
      <c r="S1077" s="6">
        <v>0</v>
      </c>
      <c r="T1077" s="6">
        <v>17</v>
      </c>
      <c r="U1077" s="6">
        <v>89</v>
      </c>
      <c r="V1077" s="75">
        <f>IF(ISERROR(VLOOKUP($S$1077,'TAR FIN'!$A$1:$O$93,15,0)),0,VLOOKUP($S$1077,'TAR FIN'!$A$1:$O$93,15,0))</f>
        <v>0</v>
      </c>
      <c r="W1077" s="75">
        <f>IF(ISERROR(VLOOKUP($T$1077,'TAR FIN'!$A$1:$O$93,15,0)),0,VLOOKUP($T$1077,'TAR FIN'!$A$1:$O$93,15,0))*(1-0.06)</f>
        <v>256.53539999999998</v>
      </c>
      <c r="X1077" s="75">
        <f>IF(ISERROR(VLOOKUP($U$1077,'TAR FIN'!$A$1:$O$93,15,0)),0,VLOOKUP($U$1077,'TAR FIN'!$A$1:$O$93,15,0))*(1-0.06)</f>
        <v>174.0692</v>
      </c>
      <c r="Y1077" s="75"/>
      <c r="Z1077" s="75">
        <f ca="1">('TUSD BE'!$AM$52+'TUSD BF'!$AM$52+'TUSD CVA'!$AM$52)*1*(1-0.03)</f>
        <v>283.40155552865474</v>
      </c>
      <c r="AA1077" s="75">
        <f>('TE BE'!$AB$41+'TE BF'!$AB$41+'TE CVA'!$AB$41)*1*(1-0.03)</f>
        <v>192.23648936268484</v>
      </c>
      <c r="AB1077" s="6">
        <f>$K$1077*$V$1077</f>
        <v>0</v>
      </c>
      <c r="AC1077" s="6">
        <f>$M$1077*$W$1077</f>
        <v>17176.327706999997</v>
      </c>
      <c r="AD1077" s="6">
        <f>$O$1077*$X$1077</f>
        <v>11654.803285999998</v>
      </c>
      <c r="AE1077" s="6">
        <f>$K$1077*$Y$1077</f>
        <v>0</v>
      </c>
      <c r="AF1077" s="6">
        <f ca="1">$M$1077*$Z$1077</f>
        <v>18975.151150421079</v>
      </c>
      <c r="AG1077" s="6">
        <f>$O$1077*$AA$1077</f>
        <v>12871.194145278563</v>
      </c>
    </row>
    <row r="1078" spans="1:33" ht="11.25" customHeight="1" x14ac:dyDescent="0.25">
      <c r="A1078" s="4" t="s">
        <v>21</v>
      </c>
      <c r="B1078" s="4" t="s">
        <v>33</v>
      </c>
      <c r="C1078" s="4" t="s">
        <v>23</v>
      </c>
      <c r="D1078" s="4" t="s">
        <v>47</v>
      </c>
      <c r="E1078" s="4" t="s">
        <v>48</v>
      </c>
      <c r="F1078" s="4" t="s">
        <v>25</v>
      </c>
      <c r="G1078" s="4" t="s">
        <v>25</v>
      </c>
      <c r="H1078" s="4" t="s">
        <v>25</v>
      </c>
      <c r="I1078" s="5">
        <v>44621</v>
      </c>
      <c r="J1078" s="6">
        <v>0</v>
      </c>
      <c r="K1078" s="75">
        <v>0</v>
      </c>
      <c r="L1078" s="6">
        <v>65.552000000000007</v>
      </c>
      <c r="M1078" s="75">
        <v>65.552000000000007</v>
      </c>
      <c r="N1078" s="6">
        <v>65.552000000000007</v>
      </c>
      <c r="O1078" s="75">
        <v>65.552000000000007</v>
      </c>
      <c r="P1078" s="6">
        <v>36</v>
      </c>
      <c r="Q1078" s="4" t="s">
        <v>26</v>
      </c>
      <c r="R1078" s="4">
        <v>0</v>
      </c>
      <c r="S1078" s="6">
        <v>0</v>
      </c>
      <c r="T1078" s="6">
        <v>17</v>
      </c>
      <c r="U1078" s="6">
        <v>89</v>
      </c>
      <c r="V1078" s="75">
        <f>IF(ISERROR(VLOOKUP($S$1078,'TAR FIN'!$A$1:$O$93,15,0)),0,VLOOKUP($S$1078,'TAR FIN'!$A$1:$O$93,15,0))</f>
        <v>0</v>
      </c>
      <c r="W1078" s="75">
        <f>IF(ISERROR(VLOOKUP($T$1078,'TAR FIN'!$A$1:$O$93,15,0)),0,VLOOKUP($T$1078,'TAR FIN'!$A$1:$O$93,15,0))*(1-0.06)</f>
        <v>256.53539999999998</v>
      </c>
      <c r="X1078" s="75">
        <f>IF(ISERROR(VLOOKUP($U$1078,'TAR FIN'!$A$1:$O$93,15,0)),0,VLOOKUP($U$1078,'TAR FIN'!$A$1:$O$93,15,0))*(1-0.06)</f>
        <v>174.0692</v>
      </c>
      <c r="Y1078" s="75"/>
      <c r="Z1078" s="75">
        <f ca="1">('TUSD BE'!$AM$52+'TUSD BF'!$AM$52+'TUSD CVA'!$AM$52)*1*(1-0.03)</f>
        <v>283.40155552865474</v>
      </c>
      <c r="AA1078" s="75">
        <f>('TE BE'!$AB$41+'TE BF'!$AB$41+'TE CVA'!$AB$41)*1*(1-0.03)</f>
        <v>192.23648936268484</v>
      </c>
      <c r="AB1078" s="6">
        <f>$K$1078*$V$1078</f>
        <v>0</v>
      </c>
      <c r="AC1078" s="6">
        <f>$M$1078*$W$1078</f>
        <v>16816.408540799999</v>
      </c>
      <c r="AD1078" s="6">
        <f>$O$1078*$X$1078</f>
        <v>11410.584198400002</v>
      </c>
      <c r="AE1078" s="6">
        <f>$K$1078*$Y$1078</f>
        <v>0</v>
      </c>
      <c r="AF1078" s="6">
        <f ca="1">$M$1078*$Z$1078</f>
        <v>18577.538768014376</v>
      </c>
      <c r="AG1078" s="6">
        <f>$O$1078*$AA$1078</f>
        <v>12601.486350702718</v>
      </c>
    </row>
    <row r="1079" spans="1:33" ht="11.25" customHeight="1" x14ac:dyDescent="0.25">
      <c r="A1079" s="4" t="s">
        <v>21</v>
      </c>
      <c r="B1079" s="4" t="s">
        <v>33</v>
      </c>
      <c r="C1079" s="4" t="s">
        <v>23</v>
      </c>
      <c r="D1079" s="4" t="s">
        <v>47</v>
      </c>
      <c r="E1079" s="4" t="s">
        <v>48</v>
      </c>
      <c r="F1079" s="4" t="s">
        <v>25</v>
      </c>
      <c r="G1079" s="4" t="s">
        <v>25</v>
      </c>
      <c r="H1079" s="4" t="s">
        <v>25</v>
      </c>
      <c r="I1079" s="5">
        <v>44652</v>
      </c>
      <c r="J1079" s="6">
        <v>0</v>
      </c>
      <c r="K1079" s="75">
        <v>0</v>
      </c>
      <c r="L1079" s="6">
        <v>69.268000000000001</v>
      </c>
      <c r="M1079" s="75">
        <v>69.268000000000001</v>
      </c>
      <c r="N1079" s="6">
        <v>69.268000000000001</v>
      </c>
      <c r="O1079" s="75">
        <v>69.268000000000001</v>
      </c>
      <c r="P1079" s="6">
        <v>38</v>
      </c>
      <c r="Q1079" s="4" t="s">
        <v>26</v>
      </c>
      <c r="R1079" s="4">
        <v>0</v>
      </c>
      <c r="S1079" s="6">
        <v>0</v>
      </c>
      <c r="T1079" s="6">
        <v>17</v>
      </c>
      <c r="U1079" s="6">
        <v>89</v>
      </c>
      <c r="V1079" s="75">
        <f>IF(ISERROR(VLOOKUP($S$1079,'TAR FIN'!$A$1:$O$93,15,0)),0,VLOOKUP($S$1079,'TAR FIN'!$A$1:$O$93,15,0))</f>
        <v>0</v>
      </c>
      <c r="W1079" s="75">
        <f>IF(ISERROR(VLOOKUP($T$1079,'TAR FIN'!$A$1:$O$93,15,0)),0,VLOOKUP($T$1079,'TAR FIN'!$A$1:$O$93,15,0))*(1-0.06)</f>
        <v>256.53539999999998</v>
      </c>
      <c r="X1079" s="75">
        <f>IF(ISERROR(VLOOKUP($U$1079,'TAR FIN'!$A$1:$O$93,15,0)),0,VLOOKUP($U$1079,'TAR FIN'!$A$1:$O$93,15,0))*(1-0.06)</f>
        <v>174.0692</v>
      </c>
      <c r="Y1079" s="75"/>
      <c r="Z1079" s="75">
        <f ca="1">('TUSD BE'!$AM$52+'TUSD BF'!$AM$52+'TUSD CVA'!$AM$52)*1*(1-0.03)</f>
        <v>283.40155552865474</v>
      </c>
      <c r="AA1079" s="75">
        <f>('TE BE'!$AB$41+'TE BF'!$AB$41+'TE CVA'!$AB$41)*1*(1-0.03)</f>
        <v>192.23648936268484</v>
      </c>
      <c r="AB1079" s="6">
        <f>$K$1079*$V$1079</f>
        <v>0</v>
      </c>
      <c r="AC1079" s="6">
        <f>$M$1079*$W$1079</f>
        <v>17769.694087199998</v>
      </c>
      <c r="AD1079" s="6">
        <f>$O$1079*$X$1079</f>
        <v>12057.425345600001</v>
      </c>
      <c r="AE1079" s="6">
        <f>$K$1079*$Y$1079</f>
        <v>0</v>
      </c>
      <c r="AF1079" s="6">
        <f ca="1">$M$1079*$Z$1079</f>
        <v>19630.658948358858</v>
      </c>
      <c r="AG1079" s="6">
        <f>$O$1079*$AA$1079</f>
        <v>13315.837145174453</v>
      </c>
    </row>
    <row r="1080" spans="1:33" ht="11.25" customHeight="1" x14ac:dyDescent="0.25">
      <c r="A1080" s="4" t="s">
        <v>21</v>
      </c>
      <c r="B1080" s="4" t="s">
        <v>33</v>
      </c>
      <c r="C1080" s="4" t="s">
        <v>23</v>
      </c>
      <c r="D1080" s="4" t="s">
        <v>47</v>
      </c>
      <c r="E1080" s="4" t="s">
        <v>48</v>
      </c>
      <c r="F1080" s="4" t="s">
        <v>25</v>
      </c>
      <c r="G1080" s="4" t="s">
        <v>25</v>
      </c>
      <c r="H1080" s="4" t="s">
        <v>25</v>
      </c>
      <c r="I1080" s="5">
        <v>44682</v>
      </c>
      <c r="J1080" s="6">
        <v>0</v>
      </c>
      <c r="K1080" s="75">
        <v>0</v>
      </c>
      <c r="L1080" s="6">
        <v>72.277000000000001</v>
      </c>
      <c r="M1080" s="75">
        <v>72.277000000000001</v>
      </c>
      <c r="N1080" s="6">
        <v>72.277000000000001</v>
      </c>
      <c r="O1080" s="75">
        <v>72.277000000000001</v>
      </c>
      <c r="P1080" s="6">
        <v>39</v>
      </c>
      <c r="Q1080" s="4" t="s">
        <v>26</v>
      </c>
      <c r="R1080" s="4">
        <v>0</v>
      </c>
      <c r="S1080" s="6">
        <v>0</v>
      </c>
      <c r="T1080" s="6">
        <v>17</v>
      </c>
      <c r="U1080" s="6">
        <v>89</v>
      </c>
      <c r="V1080" s="75">
        <f>IF(ISERROR(VLOOKUP($S$1080,'TAR FIN'!$A$1:$O$93,15,0)),0,VLOOKUP($S$1080,'TAR FIN'!$A$1:$O$93,15,0))</f>
        <v>0</v>
      </c>
      <c r="W1080" s="75">
        <f>IF(ISERROR(VLOOKUP($T$1080,'TAR FIN'!$A$1:$O$93,15,0)),0,VLOOKUP($T$1080,'TAR FIN'!$A$1:$O$93,15,0))*(1-0.06)</f>
        <v>256.53539999999998</v>
      </c>
      <c r="X1080" s="75">
        <f>IF(ISERROR(VLOOKUP($U$1080,'TAR FIN'!$A$1:$O$93,15,0)),0,VLOOKUP($U$1080,'TAR FIN'!$A$1:$O$93,15,0))*(1-0.06)</f>
        <v>174.0692</v>
      </c>
      <c r="Y1080" s="75"/>
      <c r="Z1080" s="75">
        <f ca="1">('TUSD BE'!$AM$52+'TUSD BF'!$AM$52+'TUSD CVA'!$AM$52)*1*(1-0.03)</f>
        <v>283.40155552865474</v>
      </c>
      <c r="AA1080" s="75">
        <f>('TE BE'!$AB$41+'TE BF'!$AB$41+'TE CVA'!$AB$41)*1*(1-0.03)</f>
        <v>192.23648936268484</v>
      </c>
      <c r="AB1080" s="6">
        <f>$K$1080*$V$1080</f>
        <v>0</v>
      </c>
      <c r="AC1080" s="6">
        <f>$M$1080*$W$1080</f>
        <v>18541.609105799998</v>
      </c>
      <c r="AD1080" s="6">
        <f>$O$1080*$X$1080</f>
        <v>12581.199568399999</v>
      </c>
      <c r="AE1080" s="6">
        <f>$K$1080*$Y$1080</f>
        <v>0</v>
      </c>
      <c r="AF1080" s="6">
        <f ca="1">$M$1080*$Z$1080</f>
        <v>20483.414228944577</v>
      </c>
      <c r="AG1080" s="6">
        <f>$O$1080*$AA$1080</f>
        <v>13894.276741666772</v>
      </c>
    </row>
    <row r="1081" spans="1:33" ht="11.25" customHeight="1" x14ac:dyDescent="0.25">
      <c r="A1081" s="4" t="s">
        <v>27</v>
      </c>
      <c r="B1081" s="4" t="s">
        <v>33</v>
      </c>
      <c r="C1081" s="4" t="s">
        <v>23</v>
      </c>
      <c r="D1081" s="4" t="s">
        <v>47</v>
      </c>
      <c r="E1081" s="4" t="s">
        <v>48</v>
      </c>
      <c r="F1081" s="4" t="s">
        <v>25</v>
      </c>
      <c r="G1081" s="4" t="s">
        <v>25</v>
      </c>
      <c r="H1081" s="4" t="s">
        <v>25</v>
      </c>
      <c r="I1081" s="5">
        <v>44682</v>
      </c>
      <c r="J1081" s="6">
        <v>0</v>
      </c>
      <c r="K1081" s="75">
        <v>0</v>
      </c>
      <c r="L1081" s="6">
        <v>-0.19800000000000001</v>
      </c>
      <c r="M1081" s="75">
        <v>-0.19800000000000001</v>
      </c>
      <c r="N1081" s="6">
        <v>-0.19800000000000001</v>
      </c>
      <c r="O1081" s="75">
        <v>-0.19800000000000001</v>
      </c>
      <c r="P1081" s="6">
        <v>-1</v>
      </c>
      <c r="Q1081" s="4" t="s">
        <v>26</v>
      </c>
      <c r="R1081" s="4">
        <v>0</v>
      </c>
      <c r="S1081" s="6">
        <v>0</v>
      </c>
      <c r="T1081" s="6">
        <v>17</v>
      </c>
      <c r="U1081" s="6">
        <v>89</v>
      </c>
      <c r="V1081" s="75">
        <f>IF(ISERROR(VLOOKUP($S$1081,'TAR FIN'!$A$1:$O$93,15,0)),0,VLOOKUP($S$1081,'TAR FIN'!$A$1:$O$93,15,0))</f>
        <v>0</v>
      </c>
      <c r="W1081" s="75">
        <f>IF(ISERROR(VLOOKUP($T$1081,'TAR FIN'!$A$1:$O$93,15,0)),0,VLOOKUP($T$1081,'TAR FIN'!$A$1:$O$93,15,0))*(1-0.06)</f>
        <v>256.53539999999998</v>
      </c>
      <c r="X1081" s="75">
        <f>IF(ISERROR(VLOOKUP($U$1081,'TAR FIN'!$A$1:$O$93,15,0)),0,VLOOKUP($U$1081,'TAR FIN'!$A$1:$O$93,15,0))*(1-0.06)</f>
        <v>174.0692</v>
      </c>
      <c r="Y1081" s="75"/>
      <c r="Z1081" s="75">
        <f ca="1">('TUSD BE'!$AM$52+'TUSD BF'!$AM$52+'TUSD CVA'!$AM$52)*1*(1-0.03)</f>
        <v>283.40155552865474</v>
      </c>
      <c r="AA1081" s="75">
        <f>('TE BE'!$AB$41+'TE BF'!$AB$41+'TE CVA'!$AB$41)*1*(1-0.03)</f>
        <v>192.23648936268484</v>
      </c>
      <c r="AB1081" s="6">
        <f>$K$1081*$V$1081</f>
        <v>0</v>
      </c>
      <c r="AC1081" s="6">
        <f>$M$1081*$W$1081</f>
        <v>-50.794009199999998</v>
      </c>
      <c r="AD1081" s="6">
        <f>$O$1081*$X$1081</f>
        <v>-34.465701600000003</v>
      </c>
      <c r="AE1081" s="6">
        <f>$K$1081*$Y$1081</f>
        <v>0</v>
      </c>
      <c r="AF1081" s="6">
        <f ca="1">$M$1081*$Z$1081</f>
        <v>-56.11350799467364</v>
      </c>
      <c r="AG1081" s="6">
        <f>$O$1081*$AA$1081</f>
        <v>-38.062824893811602</v>
      </c>
    </row>
    <row r="1082" spans="1:33" ht="11.25" customHeight="1" x14ac:dyDescent="0.25">
      <c r="A1082" s="4" t="s">
        <v>21</v>
      </c>
      <c r="B1082" s="4" t="s">
        <v>33</v>
      </c>
      <c r="C1082" s="4" t="s">
        <v>23</v>
      </c>
      <c r="D1082" s="4" t="s">
        <v>47</v>
      </c>
      <c r="E1082" s="4" t="s">
        <v>48</v>
      </c>
      <c r="F1082" s="4" t="s">
        <v>25</v>
      </c>
      <c r="G1082" s="4" t="s">
        <v>25</v>
      </c>
      <c r="H1082" s="4" t="s">
        <v>25</v>
      </c>
      <c r="I1082" s="5">
        <v>44713</v>
      </c>
      <c r="J1082" s="6">
        <v>0</v>
      </c>
      <c r="K1082" s="75">
        <v>0</v>
      </c>
      <c r="L1082" s="6">
        <v>68.784999999999997</v>
      </c>
      <c r="M1082" s="75">
        <v>68.784999999999997</v>
      </c>
      <c r="N1082" s="6">
        <v>68.784999999999997</v>
      </c>
      <c r="O1082" s="75">
        <v>68.784999999999997</v>
      </c>
      <c r="P1082" s="6">
        <v>38</v>
      </c>
      <c r="Q1082" s="4" t="s">
        <v>26</v>
      </c>
      <c r="R1082" s="4">
        <v>0</v>
      </c>
      <c r="S1082" s="6">
        <v>0</v>
      </c>
      <c r="T1082" s="6">
        <v>17</v>
      </c>
      <c r="U1082" s="6">
        <v>89</v>
      </c>
      <c r="V1082" s="75">
        <f>IF(ISERROR(VLOOKUP($S$1082,'TAR FIN'!$A$1:$O$93,15,0)),0,VLOOKUP($S$1082,'TAR FIN'!$A$1:$O$93,15,0))</f>
        <v>0</v>
      </c>
      <c r="W1082" s="75">
        <f>IF(ISERROR(VLOOKUP($T$1082,'TAR FIN'!$A$1:$O$93,15,0)),0,VLOOKUP($T$1082,'TAR FIN'!$A$1:$O$93,15,0))*(1-0.06)</f>
        <v>256.53539999999998</v>
      </c>
      <c r="X1082" s="75">
        <f>IF(ISERROR(VLOOKUP($U$1082,'TAR FIN'!$A$1:$O$93,15,0)),0,VLOOKUP($U$1082,'TAR FIN'!$A$1:$O$93,15,0))*(1-0.06)</f>
        <v>174.0692</v>
      </c>
      <c r="Y1082" s="75"/>
      <c r="Z1082" s="75">
        <f ca="1">('TUSD BE'!$AM$52+'TUSD BF'!$AM$52+'TUSD CVA'!$AM$52)*1*(1-0.03)</f>
        <v>283.40155552865474</v>
      </c>
      <c r="AA1082" s="75">
        <f>('TE BE'!$AB$41+'TE BF'!$AB$41+'TE CVA'!$AB$41)*1*(1-0.03)</f>
        <v>192.23648936268484</v>
      </c>
      <c r="AB1082" s="6">
        <f>$K$1082*$V$1082</f>
        <v>0</v>
      </c>
      <c r="AC1082" s="6">
        <f>$M$1082*$W$1082</f>
        <v>17645.787488999998</v>
      </c>
      <c r="AD1082" s="6">
        <f>$O$1082*$X$1082</f>
        <v>11973.349921999999</v>
      </c>
      <c r="AE1082" s="6">
        <f>$K$1082*$Y$1082</f>
        <v>0</v>
      </c>
      <c r="AF1082" s="6">
        <f ca="1">$M$1082*$Z$1082</f>
        <v>19493.775997038516</v>
      </c>
      <c r="AG1082" s="6">
        <f>$O$1082*$AA$1082</f>
        <v>13222.986920812276</v>
      </c>
    </row>
    <row r="1083" spans="1:33" ht="11.25" customHeight="1" x14ac:dyDescent="0.25">
      <c r="A1083" s="4" t="s">
        <v>21</v>
      </c>
      <c r="B1083" s="4" t="s">
        <v>44</v>
      </c>
      <c r="C1083" s="4" t="s">
        <v>23</v>
      </c>
      <c r="D1083" s="4" t="s">
        <v>45</v>
      </c>
      <c r="E1083" s="4" t="s">
        <v>46</v>
      </c>
      <c r="F1083" s="4" t="s">
        <v>25</v>
      </c>
      <c r="G1083" s="4" t="s">
        <v>25</v>
      </c>
      <c r="H1083" s="4" t="s">
        <v>25</v>
      </c>
      <c r="I1083" s="5">
        <v>44378</v>
      </c>
      <c r="J1083" s="6">
        <v>0</v>
      </c>
      <c r="K1083" s="6">
        <v>0</v>
      </c>
      <c r="L1083" s="6">
        <v>608.56500000000005</v>
      </c>
      <c r="M1083" s="6">
        <v>608.56500000000005</v>
      </c>
      <c r="N1083" s="6">
        <v>608.56500000000005</v>
      </c>
      <c r="O1083" s="6">
        <v>608.56500000000005</v>
      </c>
      <c r="P1083" s="6">
        <v>59</v>
      </c>
      <c r="Q1083" s="4" t="s">
        <v>26</v>
      </c>
      <c r="R1083" s="4">
        <v>0</v>
      </c>
      <c r="S1083" s="6">
        <v>0</v>
      </c>
      <c r="T1083" s="6">
        <v>54</v>
      </c>
      <c r="U1083" s="6">
        <v>92</v>
      </c>
      <c r="V1083" s="6">
        <f>IF(ISERROR(VLOOKUP($S$1083,'TAR FIN'!$A$1:$O$93,15,0)),0,VLOOKUP($S$1083,'TAR FIN'!$A$1:$O$93,15,0))</f>
        <v>0</v>
      </c>
      <c r="W1083" s="6">
        <f>IF(ISERROR(VLOOKUP($T$1083,'TAR FIN'!$A$1:$O$93,15,0)),0,VLOOKUP($T$1083,'TAR FIN'!$A$1:$O$93,15,0))</f>
        <v>150.1</v>
      </c>
      <c r="X1083" s="6">
        <f>IF(ISERROR(VLOOKUP($U$1083,'TAR FIN'!$A$1:$O$93,15,0)),0,VLOOKUP($U$1083,'TAR FIN'!$A$1:$O$93,15,0))</f>
        <v>101.85</v>
      </c>
      <c r="Y1083" s="6"/>
      <c r="Z1083" s="6">
        <f ca="1">('TUSD BE'!$AM$54+'TUSD BF'!$AM$54+'TUSD CVA'!$AM$54)*1</f>
        <v>160.69160365026818</v>
      </c>
      <c r="AA1083" s="6">
        <f>('TE BE'!$AB$43+'TE BF'!$AB$43+'TE CVA'!$AB$43)*1</f>
        <v>109.00007128812028</v>
      </c>
      <c r="AB1083" s="6">
        <f>$K$1083*$V$1083</f>
        <v>0</v>
      </c>
      <c r="AC1083" s="6">
        <f>$M$1083*$W$1083</f>
        <v>91345.606500000009</v>
      </c>
      <c r="AD1083" s="6">
        <f>$O$1083*$X$1083</f>
        <v>61982.345249999998</v>
      </c>
      <c r="AE1083" s="6">
        <f>$K$1083*$Y$1083</f>
        <v>0</v>
      </c>
      <c r="AF1083" s="6">
        <f ca="1">$M$1083*$Z$1083</f>
        <v>97791.285775425466</v>
      </c>
      <c r="AG1083" s="6">
        <f>$O$1083*$AA$1083</f>
        <v>66333.628383454925</v>
      </c>
    </row>
    <row r="1084" spans="1:33" ht="11.25" customHeight="1" x14ac:dyDescent="0.25">
      <c r="A1084" s="4" t="s">
        <v>21</v>
      </c>
      <c r="B1084" s="4" t="s">
        <v>44</v>
      </c>
      <c r="C1084" s="4" t="s">
        <v>23</v>
      </c>
      <c r="D1084" s="4" t="s">
        <v>45</v>
      </c>
      <c r="E1084" s="4" t="s">
        <v>46</v>
      </c>
      <c r="F1084" s="4" t="s">
        <v>25</v>
      </c>
      <c r="G1084" s="4" t="s">
        <v>25</v>
      </c>
      <c r="H1084" s="4" t="s">
        <v>25</v>
      </c>
      <c r="I1084" s="5">
        <v>44409</v>
      </c>
      <c r="J1084" s="6">
        <v>0</v>
      </c>
      <c r="K1084" s="6">
        <v>0</v>
      </c>
      <c r="L1084" s="6">
        <v>204.94200000000001</v>
      </c>
      <c r="M1084" s="6">
        <v>204.94200000000001</v>
      </c>
      <c r="N1084" s="6">
        <v>204.94200000000001</v>
      </c>
      <c r="O1084" s="6">
        <v>204.94200000000001</v>
      </c>
      <c r="P1084" s="6">
        <v>59</v>
      </c>
      <c r="Q1084" s="4" t="s">
        <v>26</v>
      </c>
      <c r="R1084" s="4">
        <v>0</v>
      </c>
      <c r="S1084" s="6">
        <v>0</v>
      </c>
      <c r="T1084" s="6">
        <v>54</v>
      </c>
      <c r="U1084" s="6">
        <v>92</v>
      </c>
      <c r="V1084" s="6">
        <f>IF(ISERROR(VLOOKUP($S$1084,'TAR FIN'!$A$1:$O$93,15,0)),0,VLOOKUP($S$1084,'TAR FIN'!$A$1:$O$93,15,0))</f>
        <v>0</v>
      </c>
      <c r="W1084" s="6">
        <f>IF(ISERROR(VLOOKUP($T$1084,'TAR FIN'!$A$1:$O$93,15,0)),0,VLOOKUP($T$1084,'TAR FIN'!$A$1:$O$93,15,0))</f>
        <v>150.1</v>
      </c>
      <c r="X1084" s="6">
        <f>IF(ISERROR(VLOOKUP($U$1084,'TAR FIN'!$A$1:$O$93,15,0)),0,VLOOKUP($U$1084,'TAR FIN'!$A$1:$O$93,15,0))</f>
        <v>101.85</v>
      </c>
      <c r="Y1084" s="6"/>
      <c r="Z1084" s="6">
        <f ca="1">('TUSD BE'!$AM$54+'TUSD BF'!$AM$54+'TUSD CVA'!$AM$54)*1</f>
        <v>160.69160365026818</v>
      </c>
      <c r="AA1084" s="6">
        <f>('TE BE'!$AB$43+'TE BF'!$AB$43+'TE CVA'!$AB$43)*1</f>
        <v>109.00007128812028</v>
      </c>
      <c r="AB1084" s="6">
        <f>$K$1084*$V$1084</f>
        <v>0</v>
      </c>
      <c r="AC1084" s="6">
        <f>$M$1084*$W$1084</f>
        <v>30761.7942</v>
      </c>
      <c r="AD1084" s="6">
        <f>$O$1084*$X$1084</f>
        <v>20873.342700000001</v>
      </c>
      <c r="AE1084" s="6">
        <f>$K$1084*$Y$1084</f>
        <v>0</v>
      </c>
      <c r="AF1084" s="6">
        <f ca="1">$M$1084*$Z$1084</f>
        <v>32932.45863529326</v>
      </c>
      <c r="AG1084" s="6">
        <f>$O$1084*$AA$1084</f>
        <v>22338.692609929949</v>
      </c>
    </row>
    <row r="1085" spans="1:33" ht="11.25" customHeight="1" x14ac:dyDescent="0.25">
      <c r="A1085" s="4" t="s">
        <v>21</v>
      </c>
      <c r="B1085" s="4" t="s">
        <v>44</v>
      </c>
      <c r="C1085" s="4" t="s">
        <v>23</v>
      </c>
      <c r="D1085" s="4" t="s">
        <v>45</v>
      </c>
      <c r="E1085" s="4" t="s">
        <v>46</v>
      </c>
      <c r="F1085" s="4" t="s">
        <v>25</v>
      </c>
      <c r="G1085" s="4" t="s">
        <v>25</v>
      </c>
      <c r="H1085" s="4" t="s">
        <v>25</v>
      </c>
      <c r="I1085" s="5">
        <v>44440</v>
      </c>
      <c r="J1085" s="6">
        <v>0</v>
      </c>
      <c r="K1085" s="6">
        <v>0</v>
      </c>
      <c r="L1085" s="6">
        <v>618.27200000000005</v>
      </c>
      <c r="M1085" s="6">
        <v>618.27200000000005</v>
      </c>
      <c r="N1085" s="6">
        <v>618.27200000000005</v>
      </c>
      <c r="O1085" s="6">
        <v>618.27200000000005</v>
      </c>
      <c r="P1085" s="6">
        <v>59</v>
      </c>
      <c r="Q1085" s="4" t="s">
        <v>26</v>
      </c>
      <c r="R1085" s="4">
        <v>0</v>
      </c>
      <c r="S1085" s="6">
        <v>0</v>
      </c>
      <c r="T1085" s="6">
        <v>54</v>
      </c>
      <c r="U1085" s="6">
        <v>92</v>
      </c>
      <c r="V1085" s="6">
        <f>IF(ISERROR(VLOOKUP($S$1085,'TAR FIN'!$A$1:$O$93,15,0)),0,VLOOKUP($S$1085,'TAR FIN'!$A$1:$O$93,15,0))</f>
        <v>0</v>
      </c>
      <c r="W1085" s="6">
        <f>IF(ISERROR(VLOOKUP($T$1085,'TAR FIN'!$A$1:$O$93,15,0)),0,VLOOKUP($T$1085,'TAR FIN'!$A$1:$O$93,15,0))</f>
        <v>150.1</v>
      </c>
      <c r="X1085" s="6">
        <f>IF(ISERROR(VLOOKUP($U$1085,'TAR FIN'!$A$1:$O$93,15,0)),0,VLOOKUP($U$1085,'TAR FIN'!$A$1:$O$93,15,0))</f>
        <v>101.85</v>
      </c>
      <c r="Y1085" s="6"/>
      <c r="Z1085" s="6">
        <f ca="1">('TUSD BE'!$AM$54+'TUSD BF'!$AM$54+'TUSD CVA'!$AM$54)*1</f>
        <v>160.69160365026818</v>
      </c>
      <c r="AA1085" s="6">
        <f>('TE BE'!$AB$43+'TE BF'!$AB$43+'TE CVA'!$AB$43)*1</f>
        <v>109.00007128812028</v>
      </c>
      <c r="AB1085" s="6">
        <f>$K$1085*$V$1085</f>
        <v>0</v>
      </c>
      <c r="AC1085" s="6">
        <f>$M$1085*$W$1085</f>
        <v>92802.627200000003</v>
      </c>
      <c r="AD1085" s="6">
        <f>$O$1085*$X$1085</f>
        <v>62971.003199999999</v>
      </c>
      <c r="AE1085" s="6">
        <f>$K$1085*$Y$1085</f>
        <v>0</v>
      </c>
      <c r="AF1085" s="6">
        <f ca="1">$M$1085*$Z$1085</f>
        <v>99351.119172058621</v>
      </c>
      <c r="AG1085" s="6">
        <f>$O$1085*$AA$1085</f>
        <v>67391.692075448707</v>
      </c>
    </row>
    <row r="1086" spans="1:33" ht="11.25" customHeight="1" x14ac:dyDescent="0.25">
      <c r="A1086" s="4" t="s">
        <v>21</v>
      </c>
      <c r="B1086" s="4" t="s">
        <v>44</v>
      </c>
      <c r="C1086" s="4" t="s">
        <v>23</v>
      </c>
      <c r="D1086" s="4" t="s">
        <v>45</v>
      </c>
      <c r="E1086" s="4" t="s">
        <v>46</v>
      </c>
      <c r="F1086" s="4" t="s">
        <v>25</v>
      </c>
      <c r="G1086" s="4" t="s">
        <v>25</v>
      </c>
      <c r="H1086" s="4" t="s">
        <v>25</v>
      </c>
      <c r="I1086" s="5">
        <v>44470</v>
      </c>
      <c r="J1086" s="6">
        <v>0</v>
      </c>
      <c r="K1086" s="6">
        <v>0</v>
      </c>
      <c r="L1086" s="6">
        <v>600.58299999999997</v>
      </c>
      <c r="M1086" s="6">
        <v>600.58299999999997</v>
      </c>
      <c r="N1086" s="6">
        <v>600.58299999999997</v>
      </c>
      <c r="O1086" s="6">
        <v>600.58299999999997</v>
      </c>
      <c r="P1086" s="6">
        <v>57</v>
      </c>
      <c r="Q1086" s="4" t="s">
        <v>26</v>
      </c>
      <c r="R1086" s="4">
        <v>0</v>
      </c>
      <c r="S1086" s="6">
        <v>0</v>
      </c>
      <c r="T1086" s="6">
        <v>54</v>
      </c>
      <c r="U1086" s="6">
        <v>92</v>
      </c>
      <c r="V1086" s="6">
        <f>IF(ISERROR(VLOOKUP($S$1086,'TAR FIN'!$A$1:$O$93,15,0)),0,VLOOKUP($S$1086,'TAR FIN'!$A$1:$O$93,15,0))</f>
        <v>0</v>
      </c>
      <c r="W1086" s="6">
        <f>IF(ISERROR(VLOOKUP($T$1086,'TAR FIN'!$A$1:$O$93,15,0)),0,VLOOKUP($T$1086,'TAR FIN'!$A$1:$O$93,15,0))</f>
        <v>150.1</v>
      </c>
      <c r="X1086" s="6">
        <f>IF(ISERROR(VLOOKUP($U$1086,'TAR FIN'!$A$1:$O$93,15,0)),0,VLOOKUP($U$1086,'TAR FIN'!$A$1:$O$93,15,0))</f>
        <v>101.85</v>
      </c>
      <c r="Y1086" s="6"/>
      <c r="Z1086" s="6">
        <f ca="1">('TUSD BE'!$AM$54+'TUSD BF'!$AM$54+'TUSD CVA'!$AM$54)*1</f>
        <v>160.69160365026818</v>
      </c>
      <c r="AA1086" s="6">
        <f>('TE BE'!$AB$43+'TE BF'!$AB$43+'TE CVA'!$AB$43)*1</f>
        <v>109.00007128812028</v>
      </c>
      <c r="AB1086" s="6">
        <f>$K$1086*$V$1086</f>
        <v>0</v>
      </c>
      <c r="AC1086" s="6">
        <f>$M$1086*$W$1086</f>
        <v>90147.508299999987</v>
      </c>
      <c r="AD1086" s="6">
        <f>$O$1086*$X$1086</f>
        <v>61169.378549999994</v>
      </c>
      <c r="AE1086" s="6">
        <f>$K$1086*$Y$1086</f>
        <v>0</v>
      </c>
      <c r="AF1086" s="6">
        <f ca="1">$M$1086*$Z$1086</f>
        <v>96508.645395089014</v>
      </c>
      <c r="AG1086" s="6">
        <f>$O$1086*$AA$1086</f>
        <v>65463.589814433137</v>
      </c>
    </row>
    <row r="1087" spans="1:33" ht="11.25" customHeight="1" x14ac:dyDescent="0.25">
      <c r="A1087" s="4" t="s">
        <v>21</v>
      </c>
      <c r="B1087" s="4" t="s">
        <v>44</v>
      </c>
      <c r="C1087" s="4" t="s">
        <v>23</v>
      </c>
      <c r="D1087" s="4" t="s">
        <v>45</v>
      </c>
      <c r="E1087" s="4" t="s">
        <v>46</v>
      </c>
      <c r="F1087" s="4" t="s">
        <v>25</v>
      </c>
      <c r="G1087" s="4" t="s">
        <v>25</v>
      </c>
      <c r="H1087" s="4" t="s">
        <v>25</v>
      </c>
      <c r="I1087" s="5">
        <v>44501</v>
      </c>
      <c r="J1087" s="6">
        <v>0</v>
      </c>
      <c r="K1087" s="6">
        <v>0</v>
      </c>
      <c r="L1087" s="6">
        <v>617.64400000000001</v>
      </c>
      <c r="M1087" s="6">
        <v>617.64400000000001</v>
      </c>
      <c r="N1087" s="6">
        <v>617.64400000000001</v>
      </c>
      <c r="O1087" s="6">
        <v>617.64400000000001</v>
      </c>
      <c r="P1087" s="6">
        <v>58</v>
      </c>
      <c r="Q1087" s="4" t="s">
        <v>26</v>
      </c>
      <c r="R1087" s="4">
        <v>0</v>
      </c>
      <c r="S1087" s="6">
        <v>0</v>
      </c>
      <c r="T1087" s="6">
        <v>54</v>
      </c>
      <c r="U1087" s="6">
        <v>92</v>
      </c>
      <c r="V1087" s="6">
        <f>IF(ISERROR(VLOOKUP($S$1087,'TAR FIN'!$A$1:$O$93,15,0)),0,VLOOKUP($S$1087,'TAR FIN'!$A$1:$O$93,15,0))</f>
        <v>0</v>
      </c>
      <c r="W1087" s="6">
        <f>IF(ISERROR(VLOOKUP($T$1087,'TAR FIN'!$A$1:$O$93,15,0)),0,VLOOKUP($T$1087,'TAR FIN'!$A$1:$O$93,15,0))</f>
        <v>150.1</v>
      </c>
      <c r="X1087" s="6">
        <f>IF(ISERROR(VLOOKUP($U$1087,'TAR FIN'!$A$1:$O$93,15,0)),0,VLOOKUP($U$1087,'TAR FIN'!$A$1:$O$93,15,0))</f>
        <v>101.85</v>
      </c>
      <c r="Y1087" s="6"/>
      <c r="Z1087" s="6">
        <f ca="1">('TUSD BE'!$AM$54+'TUSD BF'!$AM$54+'TUSD CVA'!$AM$54)*1</f>
        <v>160.69160365026818</v>
      </c>
      <c r="AA1087" s="6">
        <f>('TE BE'!$AB$43+'TE BF'!$AB$43+'TE CVA'!$AB$43)*1</f>
        <v>109.00007128812028</v>
      </c>
      <c r="AB1087" s="6">
        <f>$K$1087*$V$1087</f>
        <v>0</v>
      </c>
      <c r="AC1087" s="6">
        <f>$M$1087*$W$1087</f>
        <v>92708.364399999991</v>
      </c>
      <c r="AD1087" s="6">
        <f>$O$1087*$X$1087</f>
        <v>62907.041399999995</v>
      </c>
      <c r="AE1087" s="6">
        <f>$K$1087*$Y$1087</f>
        <v>0</v>
      </c>
      <c r="AF1087" s="6">
        <f ca="1">$M$1087*$Z$1087</f>
        <v>99250.20484496624</v>
      </c>
      <c r="AG1087" s="6">
        <f>$O$1087*$AA$1087</f>
        <v>67323.240030679764</v>
      </c>
    </row>
    <row r="1088" spans="1:33" ht="11.25" customHeight="1" x14ac:dyDescent="0.25">
      <c r="A1088" s="4" t="s">
        <v>27</v>
      </c>
      <c r="B1088" s="4" t="s">
        <v>44</v>
      </c>
      <c r="C1088" s="4" t="s">
        <v>23</v>
      </c>
      <c r="D1088" s="4" t="s">
        <v>45</v>
      </c>
      <c r="E1088" s="4" t="s">
        <v>46</v>
      </c>
      <c r="F1088" s="4" t="s">
        <v>25</v>
      </c>
      <c r="G1088" s="4" t="s">
        <v>25</v>
      </c>
      <c r="H1088" s="4" t="s">
        <v>25</v>
      </c>
      <c r="I1088" s="5">
        <v>44501</v>
      </c>
      <c r="J1088" s="6">
        <v>0</v>
      </c>
      <c r="K1088" s="6">
        <v>0</v>
      </c>
      <c r="L1088" s="6">
        <v>-0.03</v>
      </c>
      <c r="M1088" s="6">
        <v>-0.03</v>
      </c>
      <c r="N1088" s="6">
        <v>-0.03</v>
      </c>
      <c r="O1088" s="6">
        <v>-0.03</v>
      </c>
      <c r="P1088" s="6">
        <v>-1</v>
      </c>
      <c r="Q1088" s="4" t="s">
        <v>26</v>
      </c>
      <c r="R1088" s="4">
        <v>0</v>
      </c>
      <c r="S1088" s="6">
        <v>0</v>
      </c>
      <c r="T1088" s="6">
        <v>54</v>
      </c>
      <c r="U1088" s="6">
        <v>92</v>
      </c>
      <c r="V1088" s="6">
        <f>IF(ISERROR(VLOOKUP($S$1088,'TAR FIN'!$A$1:$O$93,15,0)),0,VLOOKUP($S$1088,'TAR FIN'!$A$1:$O$93,15,0))</f>
        <v>0</v>
      </c>
      <c r="W1088" s="6">
        <f>IF(ISERROR(VLOOKUP($T$1088,'TAR FIN'!$A$1:$O$93,15,0)),0,VLOOKUP($T$1088,'TAR FIN'!$A$1:$O$93,15,0))</f>
        <v>150.1</v>
      </c>
      <c r="X1088" s="6">
        <f>IF(ISERROR(VLOOKUP($U$1088,'TAR FIN'!$A$1:$O$93,15,0)),0,VLOOKUP($U$1088,'TAR FIN'!$A$1:$O$93,15,0))</f>
        <v>101.85</v>
      </c>
      <c r="Y1088" s="6"/>
      <c r="Z1088" s="6">
        <f ca="1">('TUSD BE'!$AM$54+'TUSD BF'!$AM$54+'TUSD CVA'!$AM$54)*1</f>
        <v>160.69160365026818</v>
      </c>
      <c r="AA1088" s="6">
        <f>('TE BE'!$AB$43+'TE BF'!$AB$43+'TE CVA'!$AB$43)*1</f>
        <v>109.00007128812028</v>
      </c>
      <c r="AB1088" s="6">
        <f>$K$1088*$V$1088</f>
        <v>0</v>
      </c>
      <c r="AC1088" s="6">
        <f>$M$1088*$W$1088</f>
        <v>-4.5029999999999992</v>
      </c>
      <c r="AD1088" s="6">
        <f>$O$1088*$X$1088</f>
        <v>-3.0554999999999999</v>
      </c>
      <c r="AE1088" s="6">
        <f>$K$1088*$Y$1088</f>
        <v>0</v>
      </c>
      <c r="AF1088" s="6">
        <f ca="1">$M$1088*$Z$1088</f>
        <v>-4.8207481095080453</v>
      </c>
      <c r="AG1088" s="6">
        <f>$O$1088*$AA$1088</f>
        <v>-3.2700021386436084</v>
      </c>
    </row>
    <row r="1089" spans="1:33" ht="11.25" customHeight="1" x14ac:dyDescent="0.25">
      <c r="A1089" s="4" t="s">
        <v>21</v>
      </c>
      <c r="B1089" s="4" t="s">
        <v>44</v>
      </c>
      <c r="C1089" s="4" t="s">
        <v>23</v>
      </c>
      <c r="D1089" s="4" t="s">
        <v>45</v>
      </c>
      <c r="E1089" s="4" t="s">
        <v>46</v>
      </c>
      <c r="F1089" s="4" t="s">
        <v>25</v>
      </c>
      <c r="G1089" s="4" t="s">
        <v>25</v>
      </c>
      <c r="H1089" s="4" t="s">
        <v>25</v>
      </c>
      <c r="I1089" s="5">
        <v>44531</v>
      </c>
      <c r="J1089" s="6">
        <v>0</v>
      </c>
      <c r="K1089" s="6">
        <v>0</v>
      </c>
      <c r="L1089" s="6">
        <v>667.58900000000006</v>
      </c>
      <c r="M1089" s="6">
        <v>667.58900000000006</v>
      </c>
      <c r="N1089" s="6">
        <v>667.58900000000006</v>
      </c>
      <c r="O1089" s="6">
        <v>667.58900000000006</v>
      </c>
      <c r="P1089" s="6">
        <v>59</v>
      </c>
      <c r="Q1089" s="4" t="s">
        <v>26</v>
      </c>
      <c r="R1089" s="4">
        <v>0</v>
      </c>
      <c r="S1089" s="6">
        <v>0</v>
      </c>
      <c r="T1089" s="6">
        <v>54</v>
      </c>
      <c r="U1089" s="6">
        <v>92</v>
      </c>
      <c r="V1089" s="6">
        <f>IF(ISERROR(VLOOKUP($S$1089,'TAR FIN'!$A$1:$O$93,15,0)),0,VLOOKUP($S$1089,'TAR FIN'!$A$1:$O$93,15,0))</f>
        <v>0</v>
      </c>
      <c r="W1089" s="6">
        <f>IF(ISERROR(VLOOKUP($T$1089,'TAR FIN'!$A$1:$O$93,15,0)),0,VLOOKUP($T$1089,'TAR FIN'!$A$1:$O$93,15,0))</f>
        <v>150.1</v>
      </c>
      <c r="X1089" s="6">
        <f>IF(ISERROR(VLOOKUP($U$1089,'TAR FIN'!$A$1:$O$93,15,0)),0,VLOOKUP($U$1089,'TAR FIN'!$A$1:$O$93,15,0))</f>
        <v>101.85</v>
      </c>
      <c r="Y1089" s="6"/>
      <c r="Z1089" s="6">
        <f ca="1">('TUSD BE'!$AM$54+'TUSD BF'!$AM$54+'TUSD CVA'!$AM$54)*1</f>
        <v>160.69160365026818</v>
      </c>
      <c r="AA1089" s="6">
        <f>('TE BE'!$AB$43+'TE BF'!$AB$43+'TE CVA'!$AB$43)*1</f>
        <v>109.00007128812028</v>
      </c>
      <c r="AB1089" s="6">
        <f>$K$1089*$V$1089</f>
        <v>0</v>
      </c>
      <c r="AC1089" s="6">
        <f>$M$1089*$W$1089</f>
        <v>100205.10890000001</v>
      </c>
      <c r="AD1089" s="6">
        <f>$O$1089*$X$1089</f>
        <v>67993.93965</v>
      </c>
      <c r="AE1089" s="6">
        <f>$K$1089*$Y$1089</f>
        <v>0</v>
      </c>
      <c r="AF1089" s="6">
        <f ca="1">$M$1089*$Z$1089</f>
        <v>107275.94698927889</v>
      </c>
      <c r="AG1089" s="6">
        <f>$O$1089*$AA$1089</f>
        <v>72767.248591164942</v>
      </c>
    </row>
    <row r="1090" spans="1:33" ht="11.25" customHeight="1" x14ac:dyDescent="0.25">
      <c r="A1090" s="4" t="s">
        <v>27</v>
      </c>
      <c r="B1090" s="4" t="s">
        <v>44</v>
      </c>
      <c r="C1090" s="4" t="s">
        <v>23</v>
      </c>
      <c r="D1090" s="4" t="s">
        <v>45</v>
      </c>
      <c r="E1090" s="4" t="s">
        <v>46</v>
      </c>
      <c r="F1090" s="4" t="s">
        <v>25</v>
      </c>
      <c r="G1090" s="4" t="s">
        <v>25</v>
      </c>
      <c r="H1090" s="4" t="s">
        <v>25</v>
      </c>
      <c r="I1090" s="5">
        <v>44531</v>
      </c>
      <c r="J1090" s="6">
        <v>0</v>
      </c>
      <c r="K1090" s="6">
        <v>0</v>
      </c>
      <c r="L1090" s="6">
        <v>-104.538</v>
      </c>
      <c r="M1090" s="6">
        <v>-104.538</v>
      </c>
      <c r="N1090" s="6">
        <v>-104.538</v>
      </c>
      <c r="O1090" s="6">
        <v>-104.538</v>
      </c>
      <c r="P1090" s="6">
        <v>-2</v>
      </c>
      <c r="Q1090" s="4" t="s">
        <v>26</v>
      </c>
      <c r="R1090" s="4">
        <v>0</v>
      </c>
      <c r="S1090" s="6">
        <v>0</v>
      </c>
      <c r="T1090" s="6">
        <v>54</v>
      </c>
      <c r="U1090" s="6">
        <v>92</v>
      </c>
      <c r="V1090" s="6">
        <f>IF(ISERROR(VLOOKUP($S$1090,'TAR FIN'!$A$1:$O$93,15,0)),0,VLOOKUP($S$1090,'TAR FIN'!$A$1:$O$93,15,0))</f>
        <v>0</v>
      </c>
      <c r="W1090" s="6">
        <f>IF(ISERROR(VLOOKUP($T$1090,'TAR FIN'!$A$1:$O$93,15,0)),0,VLOOKUP($T$1090,'TAR FIN'!$A$1:$O$93,15,0))</f>
        <v>150.1</v>
      </c>
      <c r="X1090" s="6">
        <f>IF(ISERROR(VLOOKUP($U$1090,'TAR FIN'!$A$1:$O$93,15,0)),0,VLOOKUP($U$1090,'TAR FIN'!$A$1:$O$93,15,0))</f>
        <v>101.85</v>
      </c>
      <c r="Y1090" s="6"/>
      <c r="Z1090" s="6">
        <f ca="1">('TUSD BE'!$AM$54+'TUSD BF'!$AM$54+'TUSD CVA'!$AM$54)*1</f>
        <v>160.69160365026818</v>
      </c>
      <c r="AA1090" s="6">
        <f>('TE BE'!$AB$43+'TE BF'!$AB$43+'TE CVA'!$AB$43)*1</f>
        <v>109.00007128812028</v>
      </c>
      <c r="AB1090" s="6">
        <f>$K$1090*$V$1090</f>
        <v>0</v>
      </c>
      <c r="AC1090" s="6">
        <f>$M$1090*$W$1090</f>
        <v>-15691.153799999998</v>
      </c>
      <c r="AD1090" s="6">
        <f>$O$1090*$X$1090</f>
        <v>-10647.195299999999</v>
      </c>
      <c r="AE1090" s="6">
        <f>$K$1090*$Y$1090</f>
        <v>0</v>
      </c>
      <c r="AF1090" s="6">
        <f ca="1">$M$1090*$Z$1090</f>
        <v>-16798.378862391735</v>
      </c>
      <c r="AG1090" s="6">
        <f>$O$1090*$AA$1090</f>
        <v>-11394.649452317517</v>
      </c>
    </row>
    <row r="1091" spans="1:33" ht="11.25" customHeight="1" x14ac:dyDescent="0.25">
      <c r="A1091" s="4" t="s">
        <v>21</v>
      </c>
      <c r="B1091" s="4" t="s">
        <v>44</v>
      </c>
      <c r="C1091" s="4" t="s">
        <v>23</v>
      </c>
      <c r="D1091" s="4" t="s">
        <v>45</v>
      </c>
      <c r="E1091" s="4" t="s">
        <v>46</v>
      </c>
      <c r="F1091" s="4" t="s">
        <v>25</v>
      </c>
      <c r="G1091" s="4" t="s">
        <v>25</v>
      </c>
      <c r="H1091" s="4" t="s">
        <v>25</v>
      </c>
      <c r="I1091" s="5">
        <v>44562</v>
      </c>
      <c r="J1091" s="6">
        <v>0</v>
      </c>
      <c r="K1091" s="6">
        <v>0</v>
      </c>
      <c r="L1091" s="6">
        <v>585.65700000000004</v>
      </c>
      <c r="M1091" s="6">
        <v>585.65700000000004</v>
      </c>
      <c r="N1091" s="6">
        <v>585.65700000000004</v>
      </c>
      <c r="O1091" s="6">
        <v>585.65700000000004</v>
      </c>
      <c r="P1091" s="6">
        <v>57</v>
      </c>
      <c r="Q1091" s="4" t="s">
        <v>26</v>
      </c>
      <c r="R1091" s="4">
        <v>0</v>
      </c>
      <c r="S1091" s="6">
        <v>0</v>
      </c>
      <c r="T1091" s="6">
        <v>54</v>
      </c>
      <c r="U1091" s="6">
        <v>92</v>
      </c>
      <c r="V1091" s="6">
        <f>IF(ISERROR(VLOOKUP($S$1091,'TAR FIN'!$A$1:$O$93,15,0)),0,VLOOKUP($S$1091,'TAR FIN'!$A$1:$O$93,15,0))</f>
        <v>0</v>
      </c>
      <c r="W1091" s="6">
        <f>IF(ISERROR(VLOOKUP($T$1091,'TAR FIN'!$A$1:$O$93,15,0)),0,VLOOKUP($T$1091,'TAR FIN'!$A$1:$O$93,15,0))</f>
        <v>150.1</v>
      </c>
      <c r="X1091" s="6">
        <f>IF(ISERROR(VLOOKUP($U$1091,'TAR FIN'!$A$1:$O$93,15,0)),0,VLOOKUP($U$1091,'TAR FIN'!$A$1:$O$93,15,0))</f>
        <v>101.85</v>
      </c>
      <c r="Y1091" s="6"/>
      <c r="Z1091" s="6">
        <f ca="1">('TUSD BE'!$AM$54+'TUSD BF'!$AM$54+'TUSD CVA'!$AM$54)*1</f>
        <v>160.69160365026818</v>
      </c>
      <c r="AA1091" s="6">
        <f>('TE BE'!$AB$43+'TE BF'!$AB$43+'TE CVA'!$AB$43)*1</f>
        <v>109.00007128812028</v>
      </c>
      <c r="AB1091" s="6">
        <f>$K$1091*$V$1091</f>
        <v>0</v>
      </c>
      <c r="AC1091" s="6">
        <f>$M$1091*$W$1091</f>
        <v>87907.115700000009</v>
      </c>
      <c r="AD1091" s="6">
        <f>$O$1091*$X$1091</f>
        <v>59649.16545</v>
      </c>
      <c r="AE1091" s="6">
        <f>$K$1091*$Y$1091</f>
        <v>0</v>
      </c>
      <c r="AF1091" s="6">
        <f ca="1">$M$1091*$Z$1091</f>
        <v>94110.162519005113</v>
      </c>
      <c r="AG1091" s="6">
        <f>$O$1091*$AA$1091</f>
        <v>63836.65475038666</v>
      </c>
    </row>
    <row r="1092" spans="1:33" ht="11.25" customHeight="1" x14ac:dyDescent="0.25">
      <c r="A1092" s="4" t="s">
        <v>21</v>
      </c>
      <c r="B1092" s="4" t="s">
        <v>44</v>
      </c>
      <c r="C1092" s="4" t="s">
        <v>23</v>
      </c>
      <c r="D1092" s="4" t="s">
        <v>45</v>
      </c>
      <c r="E1092" s="4" t="s">
        <v>46</v>
      </c>
      <c r="F1092" s="4" t="s">
        <v>25</v>
      </c>
      <c r="G1092" s="4" t="s">
        <v>25</v>
      </c>
      <c r="H1092" s="4" t="s">
        <v>25</v>
      </c>
      <c r="I1092" s="5">
        <v>44593</v>
      </c>
      <c r="J1092" s="6">
        <v>0</v>
      </c>
      <c r="K1092" s="6">
        <v>0</v>
      </c>
      <c r="L1092" s="6">
        <v>578.75900000000001</v>
      </c>
      <c r="M1092" s="6">
        <v>578.75900000000001</v>
      </c>
      <c r="N1092" s="6">
        <v>578.75900000000001</v>
      </c>
      <c r="O1092" s="6">
        <v>578.75900000000001</v>
      </c>
      <c r="P1092" s="6">
        <v>56</v>
      </c>
      <c r="Q1092" s="4" t="s">
        <v>26</v>
      </c>
      <c r="R1092" s="4">
        <v>0</v>
      </c>
      <c r="S1092" s="6">
        <v>0</v>
      </c>
      <c r="T1092" s="6">
        <v>54</v>
      </c>
      <c r="U1092" s="6">
        <v>92</v>
      </c>
      <c r="V1092" s="6">
        <f>IF(ISERROR(VLOOKUP($S$1092,'TAR FIN'!$A$1:$O$93,15,0)),0,VLOOKUP($S$1092,'TAR FIN'!$A$1:$O$93,15,0))</f>
        <v>0</v>
      </c>
      <c r="W1092" s="6">
        <f>IF(ISERROR(VLOOKUP($T$1092,'TAR FIN'!$A$1:$O$93,15,0)),0,VLOOKUP($T$1092,'TAR FIN'!$A$1:$O$93,15,0))</f>
        <v>150.1</v>
      </c>
      <c r="X1092" s="6">
        <f>IF(ISERROR(VLOOKUP($U$1092,'TAR FIN'!$A$1:$O$93,15,0)),0,VLOOKUP($U$1092,'TAR FIN'!$A$1:$O$93,15,0))</f>
        <v>101.85</v>
      </c>
      <c r="Y1092" s="6"/>
      <c r="Z1092" s="6">
        <f ca="1">('TUSD BE'!$AM$54+'TUSD BF'!$AM$54+'TUSD CVA'!$AM$54)*1</f>
        <v>160.69160365026818</v>
      </c>
      <c r="AA1092" s="6">
        <f>('TE BE'!$AB$43+'TE BF'!$AB$43+'TE CVA'!$AB$43)*1</f>
        <v>109.00007128812028</v>
      </c>
      <c r="AB1092" s="6">
        <f>$K$1092*$V$1092</f>
        <v>0</v>
      </c>
      <c r="AC1092" s="6">
        <f>$M$1092*$W$1092</f>
        <v>86871.725900000005</v>
      </c>
      <c r="AD1092" s="6">
        <f>$O$1092*$X$1092</f>
        <v>58946.604149999999</v>
      </c>
      <c r="AE1092" s="6">
        <f>$K$1092*$Y$1092</f>
        <v>0</v>
      </c>
      <c r="AF1092" s="6">
        <f ca="1">$M$1092*$Z$1092</f>
        <v>93001.711837025563</v>
      </c>
      <c r="AG1092" s="6">
        <f>$O$1092*$AA$1092</f>
        <v>63084.772258641206</v>
      </c>
    </row>
    <row r="1093" spans="1:33" ht="11.25" customHeight="1" x14ac:dyDescent="0.25">
      <c r="A1093" s="4" t="s">
        <v>21</v>
      </c>
      <c r="B1093" s="4" t="s">
        <v>44</v>
      </c>
      <c r="C1093" s="4" t="s">
        <v>23</v>
      </c>
      <c r="D1093" s="4" t="s">
        <v>45</v>
      </c>
      <c r="E1093" s="4" t="s">
        <v>46</v>
      </c>
      <c r="F1093" s="4" t="s">
        <v>25</v>
      </c>
      <c r="G1093" s="4" t="s">
        <v>25</v>
      </c>
      <c r="H1093" s="4" t="s">
        <v>25</v>
      </c>
      <c r="I1093" s="5">
        <v>44621</v>
      </c>
      <c r="J1093" s="6">
        <v>0</v>
      </c>
      <c r="K1093" s="6">
        <v>0</v>
      </c>
      <c r="L1093" s="6">
        <v>544.57299999999998</v>
      </c>
      <c r="M1093" s="6">
        <v>544.57299999999998</v>
      </c>
      <c r="N1093" s="6">
        <v>544.57299999999998</v>
      </c>
      <c r="O1093" s="6">
        <v>544.57299999999998</v>
      </c>
      <c r="P1093" s="6">
        <v>57</v>
      </c>
      <c r="Q1093" s="4" t="s">
        <v>26</v>
      </c>
      <c r="R1093" s="4">
        <v>0</v>
      </c>
      <c r="S1093" s="6">
        <v>0</v>
      </c>
      <c r="T1093" s="6">
        <v>54</v>
      </c>
      <c r="U1093" s="6">
        <v>92</v>
      </c>
      <c r="V1093" s="6">
        <f>IF(ISERROR(VLOOKUP($S$1093,'TAR FIN'!$A$1:$O$93,15,0)),0,VLOOKUP($S$1093,'TAR FIN'!$A$1:$O$93,15,0))</f>
        <v>0</v>
      </c>
      <c r="W1093" s="6">
        <f>IF(ISERROR(VLOOKUP($T$1093,'TAR FIN'!$A$1:$O$93,15,0)),0,VLOOKUP($T$1093,'TAR FIN'!$A$1:$O$93,15,0))</f>
        <v>150.1</v>
      </c>
      <c r="X1093" s="6">
        <f>IF(ISERROR(VLOOKUP($U$1093,'TAR FIN'!$A$1:$O$93,15,0)),0,VLOOKUP($U$1093,'TAR FIN'!$A$1:$O$93,15,0))</f>
        <v>101.85</v>
      </c>
      <c r="Y1093" s="6"/>
      <c r="Z1093" s="6">
        <f ca="1">('TUSD BE'!$AM$54+'TUSD BF'!$AM$54+'TUSD CVA'!$AM$54)*1</f>
        <v>160.69160365026818</v>
      </c>
      <c r="AA1093" s="6">
        <f>('TE BE'!$AB$43+'TE BF'!$AB$43+'TE CVA'!$AB$43)*1</f>
        <v>109.00007128812028</v>
      </c>
      <c r="AB1093" s="6">
        <f>$K$1093*$V$1093</f>
        <v>0</v>
      </c>
      <c r="AC1093" s="6">
        <f>$M$1093*$W$1093</f>
        <v>81740.407299999992</v>
      </c>
      <c r="AD1093" s="6">
        <f>$O$1093*$X$1093</f>
        <v>55464.760049999997</v>
      </c>
      <c r="AE1093" s="6">
        <f>$K$1093*$Y$1093</f>
        <v>0</v>
      </c>
      <c r="AF1093" s="6">
        <f ca="1">$M$1093*$Z$1093</f>
        <v>87508.30867463749</v>
      </c>
      <c r="AG1093" s="6">
        <f>$O$1093*$AA$1093</f>
        <v>59358.495821585522</v>
      </c>
    </row>
    <row r="1094" spans="1:33" ht="11.25" customHeight="1" x14ac:dyDescent="0.25">
      <c r="A1094" s="4" t="s">
        <v>27</v>
      </c>
      <c r="B1094" s="4" t="s">
        <v>44</v>
      </c>
      <c r="C1094" s="4" t="s">
        <v>23</v>
      </c>
      <c r="D1094" s="4" t="s">
        <v>45</v>
      </c>
      <c r="E1094" s="4" t="s">
        <v>46</v>
      </c>
      <c r="F1094" s="4" t="s">
        <v>25</v>
      </c>
      <c r="G1094" s="4" t="s">
        <v>25</v>
      </c>
      <c r="H1094" s="4" t="s">
        <v>25</v>
      </c>
      <c r="I1094" s="5">
        <v>44621</v>
      </c>
      <c r="J1094" s="6">
        <v>0</v>
      </c>
      <c r="K1094" s="6">
        <v>0</v>
      </c>
      <c r="L1094" s="6">
        <v>-17.571999999999999</v>
      </c>
      <c r="M1094" s="6">
        <v>-17.571999999999999</v>
      </c>
      <c r="N1094" s="6">
        <v>-17.571999999999999</v>
      </c>
      <c r="O1094" s="6">
        <v>-17.571999999999999</v>
      </c>
      <c r="P1094" s="6">
        <v>-1</v>
      </c>
      <c r="Q1094" s="4" t="s">
        <v>26</v>
      </c>
      <c r="R1094" s="4">
        <v>0</v>
      </c>
      <c r="S1094" s="6">
        <v>0</v>
      </c>
      <c r="T1094" s="6">
        <v>54</v>
      </c>
      <c r="U1094" s="6">
        <v>92</v>
      </c>
      <c r="V1094" s="6">
        <f>IF(ISERROR(VLOOKUP($S$1094,'TAR FIN'!$A$1:$O$93,15,0)),0,VLOOKUP($S$1094,'TAR FIN'!$A$1:$O$93,15,0))</f>
        <v>0</v>
      </c>
      <c r="W1094" s="6">
        <f>IF(ISERROR(VLOOKUP($T$1094,'TAR FIN'!$A$1:$O$93,15,0)),0,VLOOKUP($T$1094,'TAR FIN'!$A$1:$O$93,15,0))</f>
        <v>150.1</v>
      </c>
      <c r="X1094" s="6">
        <f>IF(ISERROR(VLOOKUP($U$1094,'TAR FIN'!$A$1:$O$93,15,0)),0,VLOOKUP($U$1094,'TAR FIN'!$A$1:$O$93,15,0))</f>
        <v>101.85</v>
      </c>
      <c r="Y1094" s="6"/>
      <c r="Z1094" s="6">
        <f ca="1">('TUSD BE'!$AM$54+'TUSD BF'!$AM$54+'TUSD CVA'!$AM$54)*1</f>
        <v>160.69160365026818</v>
      </c>
      <c r="AA1094" s="6">
        <f>('TE BE'!$AB$43+'TE BF'!$AB$43+'TE CVA'!$AB$43)*1</f>
        <v>109.00007128812028</v>
      </c>
      <c r="AB1094" s="6">
        <f>$K$1094*$V$1094</f>
        <v>0</v>
      </c>
      <c r="AC1094" s="6">
        <f>$M$1094*$W$1094</f>
        <v>-2637.5571999999997</v>
      </c>
      <c r="AD1094" s="6">
        <f>$O$1094*$X$1094</f>
        <v>-1789.7081999999998</v>
      </c>
      <c r="AE1094" s="6">
        <f>$K$1094*$Y$1094</f>
        <v>0</v>
      </c>
      <c r="AF1094" s="6">
        <f ca="1">$M$1094*$Z$1094</f>
        <v>-2823.6728593425123</v>
      </c>
      <c r="AG1094" s="6">
        <f>$O$1094*$AA$1094</f>
        <v>-1915.3492526748496</v>
      </c>
    </row>
    <row r="1095" spans="1:33" ht="11.25" customHeight="1" x14ac:dyDescent="0.25">
      <c r="A1095" s="4" t="s">
        <v>21</v>
      </c>
      <c r="B1095" s="4" t="s">
        <v>44</v>
      </c>
      <c r="C1095" s="4" t="s">
        <v>23</v>
      </c>
      <c r="D1095" s="4" t="s">
        <v>45</v>
      </c>
      <c r="E1095" s="4" t="s">
        <v>46</v>
      </c>
      <c r="F1095" s="4" t="s">
        <v>25</v>
      </c>
      <c r="G1095" s="4" t="s">
        <v>25</v>
      </c>
      <c r="H1095" s="4" t="s">
        <v>25</v>
      </c>
      <c r="I1095" s="5">
        <v>44652</v>
      </c>
      <c r="J1095" s="6">
        <v>0</v>
      </c>
      <c r="K1095" s="6">
        <v>0</v>
      </c>
      <c r="L1095" s="6">
        <v>591.84500000000003</v>
      </c>
      <c r="M1095" s="6">
        <v>591.84500000000003</v>
      </c>
      <c r="N1095" s="6">
        <v>591.84500000000003</v>
      </c>
      <c r="O1095" s="6">
        <v>591.84500000000003</v>
      </c>
      <c r="P1095" s="6">
        <v>59</v>
      </c>
      <c r="Q1095" s="4" t="s">
        <v>26</v>
      </c>
      <c r="R1095" s="4">
        <v>0</v>
      </c>
      <c r="S1095" s="6">
        <v>0</v>
      </c>
      <c r="T1095" s="6">
        <v>54</v>
      </c>
      <c r="U1095" s="6">
        <v>92</v>
      </c>
      <c r="V1095" s="6">
        <f>IF(ISERROR(VLOOKUP($S$1095,'TAR FIN'!$A$1:$O$93,15,0)),0,VLOOKUP($S$1095,'TAR FIN'!$A$1:$O$93,15,0))</f>
        <v>0</v>
      </c>
      <c r="W1095" s="6">
        <f>IF(ISERROR(VLOOKUP($T$1095,'TAR FIN'!$A$1:$O$93,15,0)),0,VLOOKUP($T$1095,'TAR FIN'!$A$1:$O$93,15,0))</f>
        <v>150.1</v>
      </c>
      <c r="X1095" s="6">
        <f>IF(ISERROR(VLOOKUP($U$1095,'TAR FIN'!$A$1:$O$93,15,0)),0,VLOOKUP($U$1095,'TAR FIN'!$A$1:$O$93,15,0))</f>
        <v>101.85</v>
      </c>
      <c r="Y1095" s="6"/>
      <c r="Z1095" s="6">
        <f ca="1">('TUSD BE'!$AM$54+'TUSD BF'!$AM$54+'TUSD CVA'!$AM$54)*1</f>
        <v>160.69160365026818</v>
      </c>
      <c r="AA1095" s="6">
        <f>('TE BE'!$AB$43+'TE BF'!$AB$43+'TE CVA'!$AB$43)*1</f>
        <v>109.00007128812028</v>
      </c>
      <c r="AB1095" s="6">
        <f>$K$1095*$V$1095</f>
        <v>0</v>
      </c>
      <c r="AC1095" s="6">
        <f>$M$1095*$W$1095</f>
        <v>88835.934500000003</v>
      </c>
      <c r="AD1095" s="6">
        <f>$O$1095*$X$1095</f>
        <v>60279.413249999998</v>
      </c>
      <c r="AE1095" s="6">
        <f>$K$1095*$Y$1095</f>
        <v>0</v>
      </c>
      <c r="AF1095" s="6">
        <f ca="1">$M$1095*$Z$1095</f>
        <v>95104.522162392968</v>
      </c>
      <c r="AG1095" s="6">
        <f>$O$1095*$AA$1095</f>
        <v>64511.14719151755</v>
      </c>
    </row>
    <row r="1096" spans="1:33" ht="11.25" customHeight="1" x14ac:dyDescent="0.25">
      <c r="A1096" s="4" t="s">
        <v>27</v>
      </c>
      <c r="B1096" s="4" t="s">
        <v>44</v>
      </c>
      <c r="C1096" s="4" t="s">
        <v>23</v>
      </c>
      <c r="D1096" s="4" t="s">
        <v>45</v>
      </c>
      <c r="E1096" s="4" t="s">
        <v>46</v>
      </c>
      <c r="F1096" s="4" t="s">
        <v>25</v>
      </c>
      <c r="G1096" s="4" t="s">
        <v>25</v>
      </c>
      <c r="H1096" s="4" t="s">
        <v>25</v>
      </c>
      <c r="I1096" s="5">
        <v>44652</v>
      </c>
      <c r="J1096" s="6">
        <v>0</v>
      </c>
      <c r="K1096" s="6">
        <v>0</v>
      </c>
      <c r="L1096" s="6">
        <v>-3.806</v>
      </c>
      <c r="M1096" s="6">
        <v>-3.806</v>
      </c>
      <c r="N1096" s="6">
        <v>-3.806</v>
      </c>
      <c r="O1096" s="6">
        <v>-3.806</v>
      </c>
      <c r="P1096" s="6">
        <v>-2</v>
      </c>
      <c r="Q1096" s="4" t="s">
        <v>26</v>
      </c>
      <c r="R1096" s="4">
        <v>0</v>
      </c>
      <c r="S1096" s="6">
        <v>0</v>
      </c>
      <c r="T1096" s="6">
        <v>54</v>
      </c>
      <c r="U1096" s="6">
        <v>92</v>
      </c>
      <c r="V1096" s="6">
        <f>IF(ISERROR(VLOOKUP($S$1096,'TAR FIN'!$A$1:$O$93,15,0)),0,VLOOKUP($S$1096,'TAR FIN'!$A$1:$O$93,15,0))</f>
        <v>0</v>
      </c>
      <c r="W1096" s="6">
        <f>IF(ISERROR(VLOOKUP($T$1096,'TAR FIN'!$A$1:$O$93,15,0)),0,VLOOKUP($T$1096,'TAR FIN'!$A$1:$O$93,15,0))</f>
        <v>150.1</v>
      </c>
      <c r="X1096" s="6">
        <f>IF(ISERROR(VLOOKUP($U$1096,'TAR FIN'!$A$1:$O$93,15,0)),0,VLOOKUP($U$1096,'TAR FIN'!$A$1:$O$93,15,0))</f>
        <v>101.85</v>
      </c>
      <c r="Y1096" s="6"/>
      <c r="Z1096" s="6">
        <f ca="1">('TUSD BE'!$AM$54+'TUSD BF'!$AM$54+'TUSD CVA'!$AM$54)*1</f>
        <v>160.69160365026818</v>
      </c>
      <c r="AA1096" s="6">
        <f>('TE BE'!$AB$43+'TE BF'!$AB$43+'TE CVA'!$AB$43)*1</f>
        <v>109.00007128812028</v>
      </c>
      <c r="AB1096" s="6">
        <f>$K$1096*$V$1096</f>
        <v>0</v>
      </c>
      <c r="AC1096" s="6">
        <f>$M$1096*$W$1096</f>
        <v>-571.28059999999994</v>
      </c>
      <c r="AD1096" s="6">
        <f>$O$1096*$X$1096</f>
        <v>-387.64109999999999</v>
      </c>
      <c r="AE1096" s="6">
        <f>$K$1096*$Y$1096</f>
        <v>0</v>
      </c>
      <c r="AF1096" s="6">
        <f ca="1">$M$1096*$Z$1096</f>
        <v>-611.59224349292072</v>
      </c>
      <c r="AG1096" s="6">
        <f>$O$1096*$AA$1096</f>
        <v>-414.85427132258582</v>
      </c>
    </row>
    <row r="1097" spans="1:33" ht="11.25" customHeight="1" x14ac:dyDescent="0.25">
      <c r="A1097" s="4" t="s">
        <v>21</v>
      </c>
      <c r="B1097" s="4" t="s">
        <v>44</v>
      </c>
      <c r="C1097" s="4" t="s">
        <v>23</v>
      </c>
      <c r="D1097" s="4" t="s">
        <v>45</v>
      </c>
      <c r="E1097" s="4" t="s">
        <v>46</v>
      </c>
      <c r="F1097" s="4" t="s">
        <v>25</v>
      </c>
      <c r="G1097" s="4" t="s">
        <v>25</v>
      </c>
      <c r="H1097" s="4" t="s">
        <v>25</v>
      </c>
      <c r="I1097" s="5">
        <v>44682</v>
      </c>
      <c r="J1097" s="6">
        <v>0</v>
      </c>
      <c r="K1097" s="6">
        <v>0</v>
      </c>
      <c r="L1097" s="6">
        <v>561.97900000000004</v>
      </c>
      <c r="M1097" s="6">
        <v>561.97900000000004</v>
      </c>
      <c r="N1097" s="6">
        <v>561.97900000000004</v>
      </c>
      <c r="O1097" s="6">
        <v>561.97900000000004</v>
      </c>
      <c r="P1097" s="6">
        <v>57</v>
      </c>
      <c r="Q1097" s="4" t="s">
        <v>26</v>
      </c>
      <c r="R1097" s="4">
        <v>0</v>
      </c>
      <c r="S1097" s="6">
        <v>0</v>
      </c>
      <c r="T1097" s="6">
        <v>54</v>
      </c>
      <c r="U1097" s="6">
        <v>92</v>
      </c>
      <c r="V1097" s="6">
        <f>IF(ISERROR(VLOOKUP($S$1097,'TAR FIN'!$A$1:$O$93,15,0)),0,VLOOKUP($S$1097,'TAR FIN'!$A$1:$O$93,15,0))</f>
        <v>0</v>
      </c>
      <c r="W1097" s="6">
        <f>IF(ISERROR(VLOOKUP($T$1097,'TAR FIN'!$A$1:$O$93,15,0)),0,VLOOKUP($T$1097,'TAR FIN'!$A$1:$O$93,15,0))</f>
        <v>150.1</v>
      </c>
      <c r="X1097" s="6">
        <f>IF(ISERROR(VLOOKUP($U$1097,'TAR FIN'!$A$1:$O$93,15,0)),0,VLOOKUP($U$1097,'TAR FIN'!$A$1:$O$93,15,0))</f>
        <v>101.85</v>
      </c>
      <c r="Y1097" s="6"/>
      <c r="Z1097" s="6">
        <f ca="1">('TUSD BE'!$AM$54+'TUSD BF'!$AM$54+'TUSD CVA'!$AM$54)*1</f>
        <v>160.69160365026818</v>
      </c>
      <c r="AA1097" s="6">
        <f>('TE BE'!$AB$43+'TE BF'!$AB$43+'TE CVA'!$AB$43)*1</f>
        <v>109.00007128812028</v>
      </c>
      <c r="AB1097" s="6">
        <f>$K$1097*$V$1097</f>
        <v>0</v>
      </c>
      <c r="AC1097" s="6">
        <f>$M$1097*$W$1097</f>
        <v>84353.047900000005</v>
      </c>
      <c r="AD1097" s="6">
        <f>$O$1097*$X$1097</f>
        <v>57237.561150000001</v>
      </c>
      <c r="AE1097" s="6">
        <f>$K$1097*$Y$1097</f>
        <v>0</v>
      </c>
      <c r="AF1097" s="6">
        <f ca="1">$M$1097*$Z$1097</f>
        <v>90305.306727774063</v>
      </c>
      <c r="AG1097" s="6">
        <f>$O$1097*$AA$1097</f>
        <v>61255.751062426549</v>
      </c>
    </row>
    <row r="1098" spans="1:33" ht="11.25" customHeight="1" x14ac:dyDescent="0.25">
      <c r="A1098" s="4" t="s">
        <v>21</v>
      </c>
      <c r="B1098" s="4" t="s">
        <v>44</v>
      </c>
      <c r="C1098" s="4" t="s">
        <v>23</v>
      </c>
      <c r="D1098" s="4" t="s">
        <v>45</v>
      </c>
      <c r="E1098" s="4" t="s">
        <v>46</v>
      </c>
      <c r="F1098" s="4" t="s">
        <v>25</v>
      </c>
      <c r="G1098" s="4" t="s">
        <v>25</v>
      </c>
      <c r="H1098" s="4" t="s">
        <v>25</v>
      </c>
      <c r="I1098" s="5">
        <v>44713</v>
      </c>
      <c r="J1098" s="6">
        <v>0</v>
      </c>
      <c r="K1098" s="6">
        <v>0</v>
      </c>
      <c r="L1098" s="6">
        <v>595.21500000000003</v>
      </c>
      <c r="M1098" s="6">
        <v>595.21500000000003</v>
      </c>
      <c r="N1098" s="6">
        <v>595.21500000000003</v>
      </c>
      <c r="O1098" s="6">
        <v>595.21500000000003</v>
      </c>
      <c r="P1098" s="6">
        <v>59</v>
      </c>
      <c r="Q1098" s="4" t="s">
        <v>26</v>
      </c>
      <c r="R1098" s="4">
        <v>0</v>
      </c>
      <c r="S1098" s="6">
        <v>0</v>
      </c>
      <c r="T1098" s="6">
        <v>54</v>
      </c>
      <c r="U1098" s="6">
        <v>92</v>
      </c>
      <c r="V1098" s="6">
        <f>IF(ISERROR(VLOOKUP($S$1098,'TAR FIN'!$A$1:$O$93,15,0)),0,VLOOKUP($S$1098,'TAR FIN'!$A$1:$O$93,15,0))</f>
        <v>0</v>
      </c>
      <c r="W1098" s="6">
        <f>IF(ISERROR(VLOOKUP($T$1098,'TAR FIN'!$A$1:$O$93,15,0)),0,VLOOKUP($T$1098,'TAR FIN'!$A$1:$O$93,15,0))</f>
        <v>150.1</v>
      </c>
      <c r="X1098" s="6">
        <f>IF(ISERROR(VLOOKUP($U$1098,'TAR FIN'!$A$1:$O$93,15,0)),0,VLOOKUP($U$1098,'TAR FIN'!$A$1:$O$93,15,0))</f>
        <v>101.85</v>
      </c>
      <c r="Y1098" s="6"/>
      <c r="Z1098" s="6">
        <f ca="1">('TUSD BE'!$AM$54+'TUSD BF'!$AM$54+'TUSD CVA'!$AM$54)*1</f>
        <v>160.69160365026818</v>
      </c>
      <c r="AA1098" s="6">
        <f>('TE BE'!$AB$43+'TE BF'!$AB$43+'TE CVA'!$AB$43)*1</f>
        <v>109.00007128812028</v>
      </c>
      <c r="AB1098" s="6">
        <f>$K$1098*$V$1098</f>
        <v>0</v>
      </c>
      <c r="AC1098" s="6">
        <f>$M$1098*$W$1098</f>
        <v>89341.771500000003</v>
      </c>
      <c r="AD1098" s="6">
        <f>$O$1098*$X$1098</f>
        <v>60622.647749999996</v>
      </c>
      <c r="AE1098" s="6">
        <f>$K$1098*$Y$1098</f>
        <v>0</v>
      </c>
      <c r="AF1098" s="6">
        <f ca="1">$M$1098*$Z$1098</f>
        <v>95646.052866694372</v>
      </c>
      <c r="AG1098" s="6">
        <f>$O$1098*$AA$1098</f>
        <v>64878.477431758518</v>
      </c>
    </row>
    <row r="1099" spans="1:33" ht="11.25" customHeight="1" x14ac:dyDescent="0.25">
      <c r="A1099" s="4" t="s">
        <v>27</v>
      </c>
      <c r="B1099" s="4" t="s">
        <v>44</v>
      </c>
      <c r="C1099" s="4" t="s">
        <v>23</v>
      </c>
      <c r="D1099" s="4" t="s">
        <v>45</v>
      </c>
      <c r="E1099" s="4" t="s">
        <v>46</v>
      </c>
      <c r="F1099" s="4" t="s">
        <v>25</v>
      </c>
      <c r="G1099" s="4" t="s">
        <v>25</v>
      </c>
      <c r="H1099" s="4" t="s">
        <v>25</v>
      </c>
      <c r="I1099" s="5">
        <v>44713</v>
      </c>
      <c r="J1099" s="6">
        <v>0</v>
      </c>
      <c r="K1099" s="6">
        <v>0</v>
      </c>
      <c r="L1099" s="6">
        <v>-13.686999999999999</v>
      </c>
      <c r="M1099" s="6">
        <v>-13.686999999999999</v>
      </c>
      <c r="N1099" s="6">
        <v>-13.686999999999999</v>
      </c>
      <c r="O1099" s="6">
        <v>-13.686999999999999</v>
      </c>
      <c r="P1099" s="6">
        <v>-2</v>
      </c>
      <c r="Q1099" s="4" t="s">
        <v>26</v>
      </c>
      <c r="R1099" s="4">
        <v>0</v>
      </c>
      <c r="S1099" s="6">
        <v>0</v>
      </c>
      <c r="T1099" s="6">
        <v>54</v>
      </c>
      <c r="U1099" s="6">
        <v>92</v>
      </c>
      <c r="V1099" s="6">
        <f>IF(ISERROR(VLOOKUP($S$1099,'TAR FIN'!$A$1:$O$93,15,0)),0,VLOOKUP($S$1099,'TAR FIN'!$A$1:$O$93,15,0))</f>
        <v>0</v>
      </c>
      <c r="W1099" s="6">
        <f>IF(ISERROR(VLOOKUP($T$1099,'TAR FIN'!$A$1:$O$93,15,0)),0,VLOOKUP($T$1099,'TAR FIN'!$A$1:$O$93,15,0))</f>
        <v>150.1</v>
      </c>
      <c r="X1099" s="6">
        <f>IF(ISERROR(VLOOKUP($U$1099,'TAR FIN'!$A$1:$O$93,15,0)),0,VLOOKUP($U$1099,'TAR FIN'!$A$1:$O$93,15,0))</f>
        <v>101.85</v>
      </c>
      <c r="Y1099" s="6"/>
      <c r="Z1099" s="6">
        <f ca="1">('TUSD BE'!$AM$54+'TUSD BF'!$AM$54+'TUSD CVA'!$AM$54)*1</f>
        <v>160.69160365026818</v>
      </c>
      <c r="AA1099" s="6">
        <f>('TE BE'!$AB$43+'TE BF'!$AB$43+'TE CVA'!$AB$43)*1</f>
        <v>109.00007128812028</v>
      </c>
      <c r="AB1099" s="6">
        <f>$K$1099*$V$1099</f>
        <v>0</v>
      </c>
      <c r="AC1099" s="6">
        <f>$M$1099*$W$1099</f>
        <v>-2054.4186999999997</v>
      </c>
      <c r="AD1099" s="6">
        <f>$O$1099*$X$1099</f>
        <v>-1394.0209499999999</v>
      </c>
      <c r="AE1099" s="6">
        <f>$K$1099*$Y$1099</f>
        <v>0</v>
      </c>
      <c r="AF1099" s="6">
        <f ca="1">$M$1099*$Z$1099</f>
        <v>-2199.3859791612203</v>
      </c>
      <c r="AG1099" s="6">
        <f>$O$1099*$AA$1099</f>
        <v>-1491.8839757205021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3E85B-6B36-4FFC-A917-899A5E05881E}">
  <dimension ref="A1:AJ1100"/>
  <sheetViews>
    <sheetView showGridLines="0" topLeftCell="X1" workbookViewId="0">
      <selection activeCell="AH35" sqref="AH35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24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6" width="10.85546875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588</v>
      </c>
      <c r="W1" s="1" t="s">
        <v>589</v>
      </c>
      <c r="X1" s="1" t="s">
        <v>590</v>
      </c>
      <c r="Y1" s="1" t="s">
        <v>591</v>
      </c>
      <c r="Z1" s="1" t="s">
        <v>592</v>
      </c>
      <c r="AA1" s="1" t="s">
        <v>593</v>
      </c>
      <c r="AB1" s="1" t="s">
        <v>631</v>
      </c>
      <c r="AC1" s="1" t="s">
        <v>632</v>
      </c>
      <c r="AD1" s="1" t="s">
        <v>633</v>
      </c>
      <c r="AE1" s="1" t="s">
        <v>634</v>
      </c>
      <c r="AF1" s="1" t="s">
        <v>635</v>
      </c>
      <c r="AH1" s="69" t="s">
        <v>635</v>
      </c>
      <c r="AI1" s="69" t="s">
        <v>642</v>
      </c>
      <c r="AJ1" s="69" t="s">
        <v>643</v>
      </c>
    </row>
    <row r="2" spans="1:36" ht="11.25" customHeight="1" x14ac:dyDescent="0.25">
      <c r="A2" s="4" t="s">
        <v>21</v>
      </c>
      <c r="B2" s="4" t="s">
        <v>35</v>
      </c>
      <c r="C2" s="4" t="s">
        <v>36</v>
      </c>
      <c r="D2" s="4" t="s">
        <v>34</v>
      </c>
      <c r="E2" s="4" t="s">
        <v>25</v>
      </c>
      <c r="F2" s="4" t="s">
        <v>55</v>
      </c>
      <c r="G2" s="4" t="s">
        <v>25</v>
      </c>
      <c r="H2" s="4" t="s">
        <v>38</v>
      </c>
      <c r="I2" s="5">
        <v>44378</v>
      </c>
      <c r="J2" s="6">
        <v>10052</v>
      </c>
      <c r="K2" s="6">
        <v>5026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54</v>
      </c>
      <c r="R2" s="4">
        <v>0</v>
      </c>
      <c r="S2" s="4">
        <v>8</v>
      </c>
      <c r="T2" s="4">
        <v>0</v>
      </c>
      <c r="U2" s="4">
        <v>0</v>
      </c>
      <c r="V2" s="6">
        <f>IF(ISERROR(VLOOKUP($S$2,'TAR FIN'!$A$1:$O$93,15,0)),0,VLOOKUP($S$2,'TAR FIN'!$A$1:$O$93,15,0))</f>
        <v>26.17</v>
      </c>
      <c r="W2" s="6">
        <f>IF(ISERROR(VLOOKUP($T$2,'TAR FIN'!$A$1:$O$93,15,0)),0,VLOOKUP($T$2,'TAR FIN'!$A$1:$O$93,15,0))</f>
        <v>0</v>
      </c>
      <c r="X2" s="6">
        <f>IF(ISERROR(VLOOKUP($U$2,'TAR FIN'!$A$1:$O$93,15,0)),0,VLOOKUP($U$2,'TAR FIN'!$A$1:$O$93,15,0))</f>
        <v>0</v>
      </c>
      <c r="Y2" s="6">
        <f ca="1">('TUSD BE'!$AM$10+'TUSD BF'!$AM$10+'TUSD CVA'!$AM$10)*1</f>
        <v>30.453482365333407</v>
      </c>
      <c r="Z2" s="6">
        <f ca="1">('TUSD BE'!$AM$11+'TUSD BF'!$AM$11+'TUSD CVA'!$AM$11)*1</f>
        <v>92.504793470158234</v>
      </c>
      <c r="AA2" s="6"/>
      <c r="AB2" s="6">
        <f t="shared" ref="AB2:AB65" si="0">(J2-K2)*V2</f>
        <v>131530.42000000001</v>
      </c>
      <c r="AC2" s="6">
        <f t="shared" ref="AC2:AC65" si="1">(L2-M2)*W2+(N2-O2)*X2</f>
        <v>0</v>
      </c>
      <c r="AD2" s="6">
        <f t="shared" ref="AD2:AD65" ca="1" si="2">(J2-K2)*Y2</f>
        <v>153059.20236816572</v>
      </c>
      <c r="AE2" s="6">
        <f t="shared" ref="AE2:AE65" ca="1" si="3">(L2-M2)*Z2+(N2-O2)*AA2</f>
        <v>0</v>
      </c>
      <c r="AF2" s="4" t="s">
        <v>636</v>
      </c>
      <c r="AH2" s="70" t="s">
        <v>636</v>
      </c>
      <c r="AI2" s="71">
        <f t="shared" ref="AI2:AI9" si="4">SUMIF($AF$2:$AF$1100,AH2,$AB$2:$AB$1100)+SUMIF($AF$2:$AF$1100,AH2,$AC$2:$AC$1100)</f>
        <v>6625648.4042635411</v>
      </c>
      <c r="AJ2" s="71">
        <f t="shared" ref="AJ2:AJ9" ca="1" si="5">SUMIF($AF$2:$AF$1100,AH2,$AD$2:$AD$1100)+SUMIF($AF$2:$AF$1100,AH2,$AE$2:$AE$1100)</f>
        <v>7928882.9988924908</v>
      </c>
    </row>
    <row r="3" spans="1:36" ht="11.25" customHeight="1" x14ac:dyDescent="0.25">
      <c r="A3" s="4" t="s">
        <v>21</v>
      </c>
      <c r="B3" s="4" t="s">
        <v>35</v>
      </c>
      <c r="C3" s="4" t="s">
        <v>36</v>
      </c>
      <c r="D3" s="4" t="s">
        <v>34</v>
      </c>
      <c r="E3" s="4" t="s">
        <v>25</v>
      </c>
      <c r="F3" s="4" t="s">
        <v>55</v>
      </c>
      <c r="G3" s="4" t="s">
        <v>25</v>
      </c>
      <c r="H3" s="4" t="s">
        <v>38</v>
      </c>
      <c r="I3" s="5">
        <v>44409</v>
      </c>
      <c r="J3" s="6">
        <v>9827</v>
      </c>
      <c r="K3" s="6">
        <v>4913.5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54</v>
      </c>
      <c r="R3" s="4">
        <v>0</v>
      </c>
      <c r="S3" s="4">
        <v>8</v>
      </c>
      <c r="T3" s="4">
        <v>0</v>
      </c>
      <c r="U3" s="4">
        <v>0</v>
      </c>
      <c r="V3" s="6">
        <f>IF(ISERROR(VLOOKUP($S$3,'TAR FIN'!$A$1:$O$93,15,0)),0,VLOOKUP($S$3,'TAR FIN'!$A$1:$O$93,15,0))</f>
        <v>26.17</v>
      </c>
      <c r="W3" s="6">
        <f>IF(ISERROR(VLOOKUP($T$3,'TAR FIN'!$A$1:$O$93,15,0)),0,VLOOKUP($T$3,'TAR FIN'!$A$1:$O$93,15,0))</f>
        <v>0</v>
      </c>
      <c r="X3" s="6">
        <f>IF(ISERROR(VLOOKUP($U$3,'TAR FIN'!$A$1:$O$93,15,0)),0,VLOOKUP($U$3,'TAR FIN'!$A$1:$O$93,15,0))</f>
        <v>0</v>
      </c>
      <c r="Y3" s="6">
        <f ca="1">('TUSD BE'!$AM$10+'TUSD BF'!$AM$10+'TUSD CVA'!$AM$10)*1</f>
        <v>30.453482365333407</v>
      </c>
      <c r="Z3" s="6">
        <f ca="1">('TUSD BE'!$AM$11+'TUSD BF'!$AM$11+'TUSD CVA'!$AM$11)*1</f>
        <v>92.504793470158234</v>
      </c>
      <c r="AA3" s="6"/>
      <c r="AB3" s="6">
        <f t="shared" si="0"/>
        <v>128586.29500000001</v>
      </c>
      <c r="AC3" s="6">
        <f t="shared" si="1"/>
        <v>0</v>
      </c>
      <c r="AD3" s="6">
        <f t="shared" ca="1" si="2"/>
        <v>149633.1856020657</v>
      </c>
      <c r="AE3" s="6">
        <f t="shared" ca="1" si="3"/>
        <v>0</v>
      </c>
      <c r="AF3" s="4" t="s">
        <v>636</v>
      </c>
      <c r="AH3" s="70" t="s">
        <v>637</v>
      </c>
      <c r="AI3" s="71">
        <f t="shared" si="4"/>
        <v>527684.60000000033</v>
      </c>
      <c r="AJ3" s="71">
        <f t="shared" ca="1" si="5"/>
        <v>1053277.2147200701</v>
      </c>
    </row>
    <row r="4" spans="1:36" ht="11.25" customHeight="1" x14ac:dyDescent="0.25">
      <c r="A4" s="4" t="s">
        <v>21</v>
      </c>
      <c r="B4" s="4" t="s">
        <v>35</v>
      </c>
      <c r="C4" s="4" t="s">
        <v>36</v>
      </c>
      <c r="D4" s="4" t="s">
        <v>34</v>
      </c>
      <c r="E4" s="4" t="s">
        <v>25</v>
      </c>
      <c r="F4" s="4" t="s">
        <v>55</v>
      </c>
      <c r="G4" s="4" t="s">
        <v>25</v>
      </c>
      <c r="H4" s="4" t="s">
        <v>38</v>
      </c>
      <c r="I4" s="5">
        <v>44440</v>
      </c>
      <c r="J4" s="6">
        <v>10125</v>
      </c>
      <c r="K4" s="6">
        <v>5062.5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54</v>
      </c>
      <c r="R4" s="4">
        <v>0</v>
      </c>
      <c r="S4" s="4">
        <v>8</v>
      </c>
      <c r="T4" s="4">
        <v>0</v>
      </c>
      <c r="U4" s="4">
        <v>0</v>
      </c>
      <c r="V4" s="6">
        <f>IF(ISERROR(VLOOKUP($S$4,'TAR FIN'!$A$1:$O$93,15,0)),0,VLOOKUP($S$4,'TAR FIN'!$A$1:$O$93,15,0))</f>
        <v>26.17</v>
      </c>
      <c r="W4" s="6">
        <f>IF(ISERROR(VLOOKUP($T$4,'TAR FIN'!$A$1:$O$93,15,0)),0,VLOOKUP($T$4,'TAR FIN'!$A$1:$O$93,15,0))</f>
        <v>0</v>
      </c>
      <c r="X4" s="6">
        <f>IF(ISERROR(VLOOKUP($U$4,'TAR FIN'!$A$1:$O$93,15,0)),0,VLOOKUP($U$4,'TAR FIN'!$A$1:$O$93,15,0))</f>
        <v>0</v>
      </c>
      <c r="Y4" s="6">
        <f ca="1">('TUSD BE'!$AM$10+'TUSD BF'!$AM$10+'TUSD CVA'!$AM$10)*1</f>
        <v>30.453482365333407</v>
      </c>
      <c r="Z4" s="6">
        <f ca="1">('TUSD BE'!$AM$11+'TUSD BF'!$AM$11+'TUSD CVA'!$AM$11)*1</f>
        <v>92.504793470158234</v>
      </c>
      <c r="AA4" s="6"/>
      <c r="AB4" s="6">
        <f t="shared" si="0"/>
        <v>132485.625</v>
      </c>
      <c r="AC4" s="6">
        <f t="shared" si="1"/>
        <v>0</v>
      </c>
      <c r="AD4" s="6">
        <f t="shared" ca="1" si="2"/>
        <v>154170.75447450037</v>
      </c>
      <c r="AE4" s="6">
        <f t="shared" ca="1" si="3"/>
        <v>0</v>
      </c>
      <c r="AF4" s="4" t="s">
        <v>636</v>
      </c>
      <c r="AH4" s="70" t="s">
        <v>644</v>
      </c>
      <c r="AI4" s="71">
        <f t="shared" si="4"/>
        <v>0</v>
      </c>
      <c r="AJ4" s="71">
        <f t="shared" si="5"/>
        <v>0</v>
      </c>
    </row>
    <row r="5" spans="1:36" ht="11.25" customHeight="1" x14ac:dyDescent="0.25">
      <c r="A5" s="4" t="s">
        <v>21</v>
      </c>
      <c r="B5" s="4" t="s">
        <v>35</v>
      </c>
      <c r="C5" s="4" t="s">
        <v>36</v>
      </c>
      <c r="D5" s="4" t="s">
        <v>34</v>
      </c>
      <c r="E5" s="4" t="s">
        <v>25</v>
      </c>
      <c r="F5" s="4" t="s">
        <v>55</v>
      </c>
      <c r="G5" s="4" t="s">
        <v>25</v>
      </c>
      <c r="H5" s="4" t="s">
        <v>38</v>
      </c>
      <c r="I5" s="5">
        <v>44470</v>
      </c>
      <c r="J5" s="6">
        <v>10363</v>
      </c>
      <c r="K5" s="6">
        <v>5181.5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54</v>
      </c>
      <c r="R5" s="4">
        <v>0</v>
      </c>
      <c r="S5" s="4">
        <v>8</v>
      </c>
      <c r="T5" s="4">
        <v>0</v>
      </c>
      <c r="U5" s="4">
        <v>0</v>
      </c>
      <c r="V5" s="6">
        <f>IF(ISERROR(VLOOKUP($S$5,'TAR FIN'!$A$1:$O$93,15,0)),0,VLOOKUP($S$5,'TAR FIN'!$A$1:$O$93,15,0))</f>
        <v>26.17</v>
      </c>
      <c r="W5" s="6">
        <f>IF(ISERROR(VLOOKUP($T$5,'TAR FIN'!$A$1:$O$93,15,0)),0,VLOOKUP($T$5,'TAR FIN'!$A$1:$O$93,15,0))</f>
        <v>0</v>
      </c>
      <c r="X5" s="6">
        <f>IF(ISERROR(VLOOKUP($U$5,'TAR FIN'!$A$1:$O$93,15,0)),0,VLOOKUP($U$5,'TAR FIN'!$A$1:$O$93,15,0))</f>
        <v>0</v>
      </c>
      <c r="Y5" s="6">
        <f ca="1">('TUSD BE'!$AM$10+'TUSD BF'!$AM$10+'TUSD CVA'!$AM$10)*1</f>
        <v>30.453482365333407</v>
      </c>
      <c r="Z5" s="6">
        <f ca="1">('TUSD BE'!$AM$11+'TUSD BF'!$AM$11+'TUSD CVA'!$AM$11)*1</f>
        <v>92.504793470158234</v>
      </c>
      <c r="AA5" s="6"/>
      <c r="AB5" s="6">
        <f t="shared" si="0"/>
        <v>135599.85500000001</v>
      </c>
      <c r="AC5" s="6">
        <f t="shared" si="1"/>
        <v>0</v>
      </c>
      <c r="AD5" s="6">
        <f t="shared" ca="1" si="2"/>
        <v>157794.71887597506</v>
      </c>
      <c r="AE5" s="6">
        <f t="shared" ca="1" si="3"/>
        <v>0</v>
      </c>
      <c r="AF5" s="4" t="s">
        <v>636</v>
      </c>
      <c r="AH5" s="70" t="s">
        <v>640</v>
      </c>
      <c r="AI5" s="71">
        <f t="shared" si="4"/>
        <v>42356.435562600003</v>
      </c>
      <c r="AJ5" s="71">
        <f t="shared" ca="1" si="5"/>
        <v>23453.777745012612</v>
      </c>
    </row>
    <row r="6" spans="1:36" ht="11.25" customHeight="1" x14ac:dyDescent="0.25">
      <c r="A6" s="4" t="s">
        <v>21</v>
      </c>
      <c r="B6" s="4" t="s">
        <v>35</v>
      </c>
      <c r="C6" s="4" t="s">
        <v>36</v>
      </c>
      <c r="D6" s="4" t="s">
        <v>34</v>
      </c>
      <c r="E6" s="4" t="s">
        <v>25</v>
      </c>
      <c r="F6" s="4" t="s">
        <v>55</v>
      </c>
      <c r="G6" s="4" t="s">
        <v>25</v>
      </c>
      <c r="H6" s="4" t="s">
        <v>38</v>
      </c>
      <c r="I6" s="5">
        <v>44501</v>
      </c>
      <c r="J6" s="6">
        <v>10291</v>
      </c>
      <c r="K6" s="6">
        <v>5145.5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54</v>
      </c>
      <c r="R6" s="4">
        <v>0</v>
      </c>
      <c r="S6" s="4">
        <v>8</v>
      </c>
      <c r="T6" s="4">
        <v>0</v>
      </c>
      <c r="U6" s="4">
        <v>0</v>
      </c>
      <c r="V6" s="6">
        <f>IF(ISERROR(VLOOKUP($S$6,'TAR FIN'!$A$1:$O$93,15,0)),0,VLOOKUP($S$6,'TAR FIN'!$A$1:$O$93,15,0))</f>
        <v>26.17</v>
      </c>
      <c r="W6" s="6">
        <f>IF(ISERROR(VLOOKUP($T$6,'TAR FIN'!$A$1:$O$93,15,0)),0,VLOOKUP($T$6,'TAR FIN'!$A$1:$O$93,15,0))</f>
        <v>0</v>
      </c>
      <c r="X6" s="6">
        <f>IF(ISERROR(VLOOKUP($U$6,'TAR FIN'!$A$1:$O$93,15,0)),0,VLOOKUP($U$6,'TAR FIN'!$A$1:$O$93,15,0))</f>
        <v>0</v>
      </c>
      <c r="Y6" s="6">
        <f ca="1">('TUSD BE'!$AM$10+'TUSD BF'!$AM$10+'TUSD CVA'!$AM$10)*1</f>
        <v>30.453482365333407</v>
      </c>
      <c r="Z6" s="6">
        <f ca="1">('TUSD BE'!$AM$11+'TUSD BF'!$AM$11+'TUSD CVA'!$AM$11)*1</f>
        <v>92.504793470158234</v>
      </c>
      <c r="AA6" s="6"/>
      <c r="AB6" s="6">
        <f t="shared" si="0"/>
        <v>134657.73500000002</v>
      </c>
      <c r="AC6" s="6">
        <f t="shared" si="1"/>
        <v>0</v>
      </c>
      <c r="AD6" s="6">
        <f t="shared" ca="1" si="2"/>
        <v>156698.39351082305</v>
      </c>
      <c r="AE6" s="6">
        <f t="shared" ca="1" si="3"/>
        <v>0</v>
      </c>
      <c r="AF6" s="4" t="s">
        <v>636</v>
      </c>
      <c r="AH6" s="70" t="s">
        <v>638</v>
      </c>
      <c r="AI6" s="71">
        <f t="shared" si="4"/>
        <v>12128955.172570409</v>
      </c>
      <c r="AJ6" s="71">
        <f t="shared" ca="1" si="5"/>
        <v>7193712.0078423228</v>
      </c>
    </row>
    <row r="7" spans="1:36" ht="11.25" customHeight="1" x14ac:dyDescent="0.25">
      <c r="A7" s="4" t="s">
        <v>65</v>
      </c>
      <c r="B7" s="4" t="s">
        <v>35</v>
      </c>
      <c r="C7" s="4" t="s">
        <v>36</v>
      </c>
      <c r="D7" s="4" t="s">
        <v>34</v>
      </c>
      <c r="E7" s="4" t="s">
        <v>25</v>
      </c>
      <c r="F7" s="4" t="s">
        <v>55</v>
      </c>
      <c r="G7" s="4" t="s">
        <v>25</v>
      </c>
      <c r="H7" s="4" t="s">
        <v>38</v>
      </c>
      <c r="I7" s="5">
        <v>44531</v>
      </c>
      <c r="J7" s="6">
        <v>10291</v>
      </c>
      <c r="K7" s="6">
        <v>5145.5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54</v>
      </c>
      <c r="R7" s="4">
        <v>0</v>
      </c>
      <c r="S7" s="4">
        <v>8</v>
      </c>
      <c r="T7" s="4">
        <v>0</v>
      </c>
      <c r="U7" s="4">
        <v>0</v>
      </c>
      <c r="V7" s="6">
        <f>IF(ISERROR(VLOOKUP($S$7,'TAR FIN'!$A$1:$O$93,15,0)),0,VLOOKUP($S$7,'TAR FIN'!$A$1:$O$93,15,0))</f>
        <v>26.17</v>
      </c>
      <c r="W7" s="6">
        <f>IF(ISERROR(VLOOKUP($T$7,'TAR FIN'!$A$1:$O$93,15,0)),0,VLOOKUP($T$7,'TAR FIN'!$A$1:$O$93,15,0))</f>
        <v>0</v>
      </c>
      <c r="X7" s="6">
        <f>IF(ISERROR(VLOOKUP($U$7,'TAR FIN'!$A$1:$O$93,15,0)),0,VLOOKUP($U$7,'TAR FIN'!$A$1:$O$93,15,0))</f>
        <v>0</v>
      </c>
      <c r="Y7" s="6">
        <f ca="1">('TUSD BE'!$AM$10+'TUSD BF'!$AM$10+'TUSD CVA'!$AM$10)*1</f>
        <v>30.453482365333407</v>
      </c>
      <c r="Z7" s="6">
        <f ca="1">('TUSD BE'!$AM$11+'TUSD BF'!$AM$11+'TUSD CVA'!$AM$11)*1</f>
        <v>92.504793470158234</v>
      </c>
      <c r="AA7" s="6"/>
      <c r="AB7" s="6">
        <f t="shared" si="0"/>
        <v>134657.73500000002</v>
      </c>
      <c r="AC7" s="6">
        <f t="shared" si="1"/>
        <v>0</v>
      </c>
      <c r="AD7" s="6">
        <f t="shared" ca="1" si="2"/>
        <v>156698.39351082305</v>
      </c>
      <c r="AE7" s="6">
        <f t="shared" ca="1" si="3"/>
        <v>0</v>
      </c>
      <c r="AF7" s="4" t="s">
        <v>636</v>
      </c>
      <c r="AH7" s="70" t="s">
        <v>639</v>
      </c>
      <c r="AI7" s="71">
        <f t="shared" si="4"/>
        <v>5048852.6460189987</v>
      </c>
      <c r="AJ7" s="71">
        <f t="shared" ca="1" si="5"/>
        <v>5636504.7645034892</v>
      </c>
    </row>
    <row r="8" spans="1:36" ht="11.25" customHeight="1" x14ac:dyDescent="0.25">
      <c r="A8" s="4" t="s">
        <v>21</v>
      </c>
      <c r="B8" s="4" t="s">
        <v>35</v>
      </c>
      <c r="C8" s="4" t="s">
        <v>36</v>
      </c>
      <c r="D8" s="4" t="s">
        <v>34</v>
      </c>
      <c r="E8" s="4" t="s">
        <v>25</v>
      </c>
      <c r="F8" s="4" t="s">
        <v>55</v>
      </c>
      <c r="G8" s="4" t="s">
        <v>25</v>
      </c>
      <c r="H8" s="4" t="s">
        <v>38</v>
      </c>
      <c r="I8" s="5">
        <v>44562</v>
      </c>
      <c r="J8" s="6">
        <v>10294</v>
      </c>
      <c r="K8" s="6">
        <v>5147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54</v>
      </c>
      <c r="R8" s="4">
        <v>0</v>
      </c>
      <c r="S8" s="4">
        <v>8</v>
      </c>
      <c r="T8" s="4">
        <v>0</v>
      </c>
      <c r="U8" s="4">
        <v>0</v>
      </c>
      <c r="V8" s="6">
        <f>IF(ISERROR(VLOOKUP($S$8,'TAR FIN'!$A$1:$O$93,15,0)),0,VLOOKUP($S$8,'TAR FIN'!$A$1:$O$93,15,0))</f>
        <v>26.17</v>
      </c>
      <c r="W8" s="6">
        <f>IF(ISERROR(VLOOKUP($T$8,'TAR FIN'!$A$1:$O$93,15,0)),0,VLOOKUP($T$8,'TAR FIN'!$A$1:$O$93,15,0))</f>
        <v>0</v>
      </c>
      <c r="X8" s="6">
        <f>IF(ISERROR(VLOOKUP($U$8,'TAR FIN'!$A$1:$O$93,15,0)),0,VLOOKUP($U$8,'TAR FIN'!$A$1:$O$93,15,0))</f>
        <v>0</v>
      </c>
      <c r="Y8" s="6">
        <f ca="1">('TUSD BE'!$AM$10+'TUSD BF'!$AM$10+'TUSD CVA'!$AM$10)*1</f>
        <v>30.453482365333407</v>
      </c>
      <c r="Z8" s="6">
        <f ca="1">('TUSD BE'!$AM$11+'TUSD BF'!$AM$11+'TUSD CVA'!$AM$11)*1</f>
        <v>92.504793470158234</v>
      </c>
      <c r="AA8" s="6"/>
      <c r="AB8" s="6">
        <f t="shared" si="0"/>
        <v>134696.99000000002</v>
      </c>
      <c r="AC8" s="6">
        <f t="shared" si="1"/>
        <v>0</v>
      </c>
      <c r="AD8" s="6">
        <f t="shared" ca="1" si="2"/>
        <v>156744.07373437105</v>
      </c>
      <c r="AE8" s="6">
        <f t="shared" ca="1" si="3"/>
        <v>0</v>
      </c>
      <c r="AF8" s="4" t="s">
        <v>636</v>
      </c>
      <c r="AH8" s="70" t="s">
        <v>641</v>
      </c>
      <c r="AI8" s="71">
        <f t="shared" si="4"/>
        <v>72076.253119999994</v>
      </c>
      <c r="AJ8" s="71">
        <f t="shared" ca="1" si="5"/>
        <v>72574.683540304104</v>
      </c>
    </row>
    <row r="9" spans="1:36" ht="11.25" customHeight="1" x14ac:dyDescent="0.25">
      <c r="A9" s="4" t="s">
        <v>21</v>
      </c>
      <c r="B9" s="4" t="s">
        <v>35</v>
      </c>
      <c r="C9" s="4" t="s">
        <v>36</v>
      </c>
      <c r="D9" s="4" t="s">
        <v>34</v>
      </c>
      <c r="E9" s="4" t="s">
        <v>25</v>
      </c>
      <c r="F9" s="4" t="s">
        <v>55</v>
      </c>
      <c r="G9" s="4" t="s">
        <v>25</v>
      </c>
      <c r="H9" s="4" t="s">
        <v>38</v>
      </c>
      <c r="I9" s="5">
        <v>44593</v>
      </c>
      <c r="J9" s="6">
        <v>10730</v>
      </c>
      <c r="K9" s="6">
        <v>5365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54</v>
      </c>
      <c r="R9" s="4">
        <v>0</v>
      </c>
      <c r="S9" s="4">
        <v>8</v>
      </c>
      <c r="T9" s="4">
        <v>0</v>
      </c>
      <c r="U9" s="4">
        <v>0</v>
      </c>
      <c r="V9" s="6">
        <f>IF(ISERROR(VLOOKUP($S$9,'TAR FIN'!$A$1:$O$93,15,0)),0,VLOOKUP($S$9,'TAR FIN'!$A$1:$O$93,15,0))</f>
        <v>26.17</v>
      </c>
      <c r="W9" s="6">
        <f>IF(ISERROR(VLOOKUP($T$9,'TAR FIN'!$A$1:$O$93,15,0)),0,VLOOKUP($T$9,'TAR FIN'!$A$1:$O$93,15,0))</f>
        <v>0</v>
      </c>
      <c r="X9" s="6">
        <f>IF(ISERROR(VLOOKUP($U$9,'TAR FIN'!$A$1:$O$93,15,0)),0,VLOOKUP($U$9,'TAR FIN'!$A$1:$O$93,15,0))</f>
        <v>0</v>
      </c>
      <c r="Y9" s="6">
        <f ca="1">('TUSD BE'!$AM$10+'TUSD BF'!$AM$10+'TUSD CVA'!$AM$10)*1</f>
        <v>30.453482365333407</v>
      </c>
      <c r="Z9" s="6">
        <f ca="1">('TUSD BE'!$AM$11+'TUSD BF'!$AM$11+'TUSD CVA'!$AM$11)*1</f>
        <v>92.504793470158234</v>
      </c>
      <c r="AA9" s="6"/>
      <c r="AB9" s="6">
        <f t="shared" si="0"/>
        <v>140402.05000000002</v>
      </c>
      <c r="AC9" s="6">
        <f t="shared" si="1"/>
        <v>0</v>
      </c>
      <c r="AD9" s="6">
        <f t="shared" ca="1" si="2"/>
        <v>163382.93289001373</v>
      </c>
      <c r="AE9" s="6">
        <f t="shared" ca="1" si="3"/>
        <v>0</v>
      </c>
      <c r="AF9" s="4" t="s">
        <v>636</v>
      </c>
      <c r="AH9" s="70" t="s">
        <v>645</v>
      </c>
      <c r="AI9" s="71">
        <f t="shared" si="4"/>
        <v>0</v>
      </c>
      <c r="AJ9" s="71">
        <f t="shared" si="5"/>
        <v>0</v>
      </c>
    </row>
    <row r="10" spans="1:36" ht="11.25" customHeight="1" x14ac:dyDescent="0.25">
      <c r="A10" s="4" t="s">
        <v>21</v>
      </c>
      <c r="B10" s="4" t="s">
        <v>35</v>
      </c>
      <c r="C10" s="4" t="s">
        <v>36</v>
      </c>
      <c r="D10" s="4" t="s">
        <v>34</v>
      </c>
      <c r="E10" s="4" t="s">
        <v>25</v>
      </c>
      <c r="F10" s="4" t="s">
        <v>55</v>
      </c>
      <c r="G10" s="4" t="s">
        <v>25</v>
      </c>
      <c r="H10" s="4" t="s">
        <v>38</v>
      </c>
      <c r="I10" s="5">
        <v>44621</v>
      </c>
      <c r="J10" s="6">
        <v>10598</v>
      </c>
      <c r="K10" s="6">
        <v>5299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54</v>
      </c>
      <c r="R10" s="4">
        <v>0</v>
      </c>
      <c r="S10" s="4">
        <v>8</v>
      </c>
      <c r="T10" s="4">
        <v>0</v>
      </c>
      <c r="U10" s="4">
        <v>0</v>
      </c>
      <c r="V10" s="6">
        <f>IF(ISERROR(VLOOKUP($S$10,'TAR FIN'!$A$1:$O$93,15,0)),0,VLOOKUP($S$10,'TAR FIN'!$A$1:$O$93,15,0))</f>
        <v>26.17</v>
      </c>
      <c r="W10" s="6">
        <f>IF(ISERROR(VLOOKUP($T$10,'TAR FIN'!$A$1:$O$93,15,0)),0,VLOOKUP($T$10,'TAR FIN'!$A$1:$O$93,15,0))</f>
        <v>0</v>
      </c>
      <c r="X10" s="6">
        <f>IF(ISERROR(VLOOKUP($U$10,'TAR FIN'!$A$1:$O$93,15,0)),0,VLOOKUP($U$10,'TAR FIN'!$A$1:$O$93,15,0))</f>
        <v>0</v>
      </c>
      <c r="Y10" s="6">
        <f ca="1">('TUSD BE'!$AM$10+'TUSD BF'!$AM$10+'TUSD CVA'!$AM$10)*1</f>
        <v>30.453482365333407</v>
      </c>
      <c r="Z10" s="6">
        <f ca="1">('TUSD BE'!$AM$11+'TUSD BF'!$AM$11+'TUSD CVA'!$AM$11)*1</f>
        <v>92.504793470158234</v>
      </c>
      <c r="AA10" s="6"/>
      <c r="AB10" s="6">
        <f t="shared" si="0"/>
        <v>138674.83000000002</v>
      </c>
      <c r="AC10" s="6">
        <f t="shared" si="1"/>
        <v>0</v>
      </c>
      <c r="AD10" s="6">
        <f t="shared" ca="1" si="2"/>
        <v>161373.00305390172</v>
      </c>
      <c r="AE10" s="6">
        <f t="shared" ca="1" si="3"/>
        <v>0</v>
      </c>
      <c r="AF10" s="4" t="s">
        <v>636</v>
      </c>
    </row>
    <row r="11" spans="1:36" ht="11.25" customHeight="1" x14ac:dyDescent="0.25">
      <c r="A11" s="4" t="s">
        <v>65</v>
      </c>
      <c r="B11" s="4" t="s">
        <v>35</v>
      </c>
      <c r="C11" s="4" t="s">
        <v>36</v>
      </c>
      <c r="D11" s="4" t="s">
        <v>34</v>
      </c>
      <c r="E11" s="4" t="s">
        <v>25</v>
      </c>
      <c r="F11" s="4" t="s">
        <v>55</v>
      </c>
      <c r="G11" s="4" t="s">
        <v>25</v>
      </c>
      <c r="H11" s="4" t="s">
        <v>38</v>
      </c>
      <c r="I11" s="5">
        <v>44652</v>
      </c>
      <c r="J11" s="6">
        <v>10598</v>
      </c>
      <c r="K11" s="6">
        <v>5299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54</v>
      </c>
      <c r="R11" s="4">
        <v>0</v>
      </c>
      <c r="S11" s="4">
        <v>8</v>
      </c>
      <c r="T11" s="4">
        <v>0</v>
      </c>
      <c r="U11" s="4">
        <v>0</v>
      </c>
      <c r="V11" s="6">
        <f>IF(ISERROR(VLOOKUP($S$11,'TAR FIN'!$A$1:$O$93,15,0)),0,VLOOKUP($S$11,'TAR FIN'!$A$1:$O$93,15,0))</f>
        <v>26.17</v>
      </c>
      <c r="W11" s="6">
        <f>IF(ISERROR(VLOOKUP($T$11,'TAR FIN'!$A$1:$O$93,15,0)),0,VLOOKUP($T$11,'TAR FIN'!$A$1:$O$93,15,0))</f>
        <v>0</v>
      </c>
      <c r="X11" s="6">
        <f>IF(ISERROR(VLOOKUP($U$11,'TAR FIN'!$A$1:$O$93,15,0)),0,VLOOKUP($U$11,'TAR FIN'!$A$1:$O$93,15,0))</f>
        <v>0</v>
      </c>
      <c r="Y11" s="6">
        <f ca="1">('TUSD BE'!$AM$10+'TUSD BF'!$AM$10+'TUSD CVA'!$AM$10)*1</f>
        <v>30.453482365333407</v>
      </c>
      <c r="Z11" s="6">
        <f ca="1">('TUSD BE'!$AM$11+'TUSD BF'!$AM$11+'TUSD CVA'!$AM$11)*1</f>
        <v>92.504793470158234</v>
      </c>
      <c r="AA11" s="6"/>
      <c r="AB11" s="6">
        <f t="shared" si="0"/>
        <v>138674.83000000002</v>
      </c>
      <c r="AC11" s="6">
        <f t="shared" si="1"/>
        <v>0</v>
      </c>
      <c r="AD11" s="6">
        <f t="shared" ca="1" si="2"/>
        <v>161373.00305390172</v>
      </c>
      <c r="AE11" s="6">
        <f t="shared" ca="1" si="3"/>
        <v>0</v>
      </c>
      <c r="AF11" s="4" t="s">
        <v>636</v>
      </c>
    </row>
    <row r="12" spans="1:36" ht="11.25" customHeight="1" x14ac:dyDescent="0.25">
      <c r="A12" s="4" t="s">
        <v>21</v>
      </c>
      <c r="B12" s="4" t="s">
        <v>35</v>
      </c>
      <c r="C12" s="4" t="s">
        <v>36</v>
      </c>
      <c r="D12" s="4" t="s">
        <v>34</v>
      </c>
      <c r="E12" s="4" t="s">
        <v>25</v>
      </c>
      <c r="F12" s="4" t="s">
        <v>55</v>
      </c>
      <c r="G12" s="4" t="s">
        <v>25</v>
      </c>
      <c r="H12" s="4" t="s">
        <v>38</v>
      </c>
      <c r="I12" s="5">
        <v>44682</v>
      </c>
      <c r="J12" s="6">
        <v>12966</v>
      </c>
      <c r="K12" s="6">
        <v>6483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54</v>
      </c>
      <c r="R12" s="4">
        <v>0</v>
      </c>
      <c r="S12" s="4">
        <v>8</v>
      </c>
      <c r="T12" s="4">
        <v>0</v>
      </c>
      <c r="U12" s="4">
        <v>0</v>
      </c>
      <c r="V12" s="6">
        <f>IF(ISERROR(VLOOKUP($S$12,'TAR FIN'!$A$1:$O$93,15,0)),0,VLOOKUP($S$12,'TAR FIN'!$A$1:$O$93,15,0))</f>
        <v>26.17</v>
      </c>
      <c r="W12" s="6">
        <f>IF(ISERROR(VLOOKUP($T$12,'TAR FIN'!$A$1:$O$93,15,0)),0,VLOOKUP($T$12,'TAR FIN'!$A$1:$O$93,15,0))</f>
        <v>0</v>
      </c>
      <c r="X12" s="6">
        <f>IF(ISERROR(VLOOKUP($U$12,'TAR FIN'!$A$1:$O$93,15,0)),0,VLOOKUP($U$12,'TAR FIN'!$A$1:$O$93,15,0))</f>
        <v>0</v>
      </c>
      <c r="Y12" s="6">
        <f ca="1">('TUSD BE'!$AM$10+'TUSD BF'!$AM$10+'TUSD CVA'!$AM$10)*1</f>
        <v>30.453482365333407</v>
      </c>
      <c r="Z12" s="6">
        <f ca="1">('TUSD BE'!$AM$11+'TUSD BF'!$AM$11+'TUSD CVA'!$AM$11)*1</f>
        <v>92.504793470158234</v>
      </c>
      <c r="AA12" s="6"/>
      <c r="AB12" s="6">
        <f t="shared" si="0"/>
        <v>169660.11000000002</v>
      </c>
      <c r="AC12" s="6">
        <f t="shared" si="1"/>
        <v>0</v>
      </c>
      <c r="AD12" s="6">
        <f t="shared" ca="1" si="2"/>
        <v>197429.92617445649</v>
      </c>
      <c r="AE12" s="6">
        <f t="shared" ca="1" si="3"/>
        <v>0</v>
      </c>
      <c r="AF12" s="4" t="s">
        <v>636</v>
      </c>
    </row>
    <row r="13" spans="1:36" ht="11.25" customHeight="1" x14ac:dyDescent="0.25">
      <c r="A13" s="4" t="s">
        <v>21</v>
      </c>
      <c r="B13" s="4" t="s">
        <v>35</v>
      </c>
      <c r="C13" s="4" t="s">
        <v>36</v>
      </c>
      <c r="D13" s="4" t="s">
        <v>34</v>
      </c>
      <c r="E13" s="4" t="s">
        <v>25</v>
      </c>
      <c r="F13" s="4" t="s">
        <v>55</v>
      </c>
      <c r="G13" s="4" t="s">
        <v>25</v>
      </c>
      <c r="H13" s="4" t="s">
        <v>38</v>
      </c>
      <c r="I13" s="5">
        <v>44713</v>
      </c>
      <c r="J13" s="6">
        <v>13200</v>
      </c>
      <c r="K13" s="6">
        <v>6600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54</v>
      </c>
      <c r="R13" s="4">
        <v>0</v>
      </c>
      <c r="S13" s="4">
        <v>8</v>
      </c>
      <c r="T13" s="4">
        <v>0</v>
      </c>
      <c r="U13" s="4">
        <v>0</v>
      </c>
      <c r="V13" s="6">
        <f>IF(ISERROR(VLOOKUP($S$13,'TAR FIN'!$A$1:$O$93,15,0)),0,VLOOKUP($S$13,'TAR FIN'!$A$1:$O$93,15,0))</f>
        <v>26.17</v>
      </c>
      <c r="W13" s="6">
        <f>IF(ISERROR(VLOOKUP($T$13,'TAR FIN'!$A$1:$O$93,15,0)),0,VLOOKUP($T$13,'TAR FIN'!$A$1:$O$93,15,0))</f>
        <v>0</v>
      </c>
      <c r="X13" s="6">
        <f>IF(ISERROR(VLOOKUP($U$13,'TAR FIN'!$A$1:$O$93,15,0)),0,VLOOKUP($U$13,'TAR FIN'!$A$1:$O$93,15,0))</f>
        <v>0</v>
      </c>
      <c r="Y13" s="6">
        <f ca="1">('TUSD BE'!$AM$10+'TUSD BF'!$AM$10+'TUSD CVA'!$AM$10)*1</f>
        <v>30.453482365333407</v>
      </c>
      <c r="Z13" s="6">
        <f ca="1">('TUSD BE'!$AM$11+'TUSD BF'!$AM$11+'TUSD CVA'!$AM$11)*1</f>
        <v>92.504793470158234</v>
      </c>
      <c r="AA13" s="6"/>
      <c r="AB13" s="6">
        <f t="shared" si="0"/>
        <v>172722</v>
      </c>
      <c r="AC13" s="6">
        <f t="shared" si="1"/>
        <v>0</v>
      </c>
      <c r="AD13" s="6">
        <f t="shared" ca="1" si="2"/>
        <v>200992.9836112005</v>
      </c>
      <c r="AE13" s="6">
        <f t="shared" ca="1" si="3"/>
        <v>0</v>
      </c>
      <c r="AF13" s="4" t="s">
        <v>636</v>
      </c>
    </row>
    <row r="14" spans="1:36" ht="11.25" customHeight="1" x14ac:dyDescent="0.25">
      <c r="A14" s="4" t="s">
        <v>21</v>
      </c>
      <c r="B14" s="4" t="s">
        <v>35</v>
      </c>
      <c r="C14" s="4" t="s">
        <v>36</v>
      </c>
      <c r="D14" s="4" t="s">
        <v>34</v>
      </c>
      <c r="E14" s="4" t="s">
        <v>25</v>
      </c>
      <c r="F14" s="4" t="s">
        <v>55</v>
      </c>
      <c r="G14" s="4" t="s">
        <v>25</v>
      </c>
      <c r="H14" s="4" t="s">
        <v>25</v>
      </c>
      <c r="I14" s="5">
        <v>44378</v>
      </c>
      <c r="J14" s="6">
        <v>0</v>
      </c>
      <c r="K14" s="6">
        <v>0</v>
      </c>
      <c r="L14" s="6">
        <v>4211.4489999999996</v>
      </c>
      <c r="M14" s="6">
        <v>2105.7244999999998</v>
      </c>
      <c r="N14" s="6">
        <v>0</v>
      </c>
      <c r="O14" s="6">
        <v>0</v>
      </c>
      <c r="P14" s="6">
        <v>4</v>
      </c>
      <c r="Q14" s="4" t="s">
        <v>54</v>
      </c>
      <c r="R14" s="4">
        <v>0</v>
      </c>
      <c r="S14" s="4">
        <v>0</v>
      </c>
      <c r="T14" s="4">
        <v>9</v>
      </c>
      <c r="U14" s="4">
        <v>0</v>
      </c>
      <c r="V14" s="6">
        <f>IF(ISERROR(VLOOKUP($S$14,'TAR FIN'!$A$1:$O$93,15,0)),0,VLOOKUP($S$14,'TAR FIN'!$A$1:$O$93,15,0))</f>
        <v>0</v>
      </c>
      <c r="W14" s="6">
        <f>IF(ISERROR(VLOOKUP($T$14,'TAR FIN'!$A$1:$O$93,15,0)),0,VLOOKUP($T$14,'TAR FIN'!$A$1:$O$93,15,0))</f>
        <v>69.489999999999995</v>
      </c>
      <c r="X14" s="6">
        <f>IF(ISERROR(VLOOKUP($U$14,'TAR FIN'!$A$1:$O$93,15,0)),0,VLOOKUP($U$14,'TAR FIN'!$A$1:$O$93,15,0))</f>
        <v>0</v>
      </c>
      <c r="Y14" s="6"/>
      <c r="Z14" s="6">
        <f ca="1">('TUSD BE'!$AM$11+'TUSD BF'!$AM$11+'TUSD CVA'!$AM$11)*1</f>
        <v>92.504793470158234</v>
      </c>
      <c r="AA14" s="6"/>
      <c r="AB14" s="6">
        <f t="shared" si="0"/>
        <v>0</v>
      </c>
      <c r="AC14" s="6">
        <f t="shared" si="1"/>
        <v>146326.79550499999</v>
      </c>
      <c r="AD14" s="6">
        <f t="shared" si="2"/>
        <v>0</v>
      </c>
      <c r="AE14" s="6">
        <f t="shared" ca="1" si="3"/>
        <v>194789.6099775522</v>
      </c>
      <c r="AF14" s="4" t="s">
        <v>636</v>
      </c>
    </row>
    <row r="15" spans="1:36" ht="11.25" customHeight="1" x14ac:dyDescent="0.25">
      <c r="A15" s="4" t="s">
        <v>21</v>
      </c>
      <c r="B15" s="4" t="s">
        <v>35</v>
      </c>
      <c r="C15" s="4" t="s">
        <v>36</v>
      </c>
      <c r="D15" s="4" t="s">
        <v>34</v>
      </c>
      <c r="E15" s="4" t="s">
        <v>25</v>
      </c>
      <c r="F15" s="4" t="s">
        <v>55</v>
      </c>
      <c r="G15" s="4" t="s">
        <v>25</v>
      </c>
      <c r="H15" s="4" t="s">
        <v>25</v>
      </c>
      <c r="I15" s="5">
        <v>44409</v>
      </c>
      <c r="J15" s="6">
        <v>0</v>
      </c>
      <c r="K15" s="6">
        <v>0</v>
      </c>
      <c r="L15" s="6">
        <v>4403.2659999999996</v>
      </c>
      <c r="M15" s="6">
        <v>2201.6329999999998</v>
      </c>
      <c r="N15" s="6">
        <v>0</v>
      </c>
      <c r="O15" s="6">
        <v>0</v>
      </c>
      <c r="P15" s="6">
        <v>4</v>
      </c>
      <c r="Q15" s="4" t="s">
        <v>54</v>
      </c>
      <c r="R15" s="4">
        <v>0</v>
      </c>
      <c r="S15" s="4">
        <v>0</v>
      </c>
      <c r="T15" s="4">
        <v>9</v>
      </c>
      <c r="U15" s="4">
        <v>0</v>
      </c>
      <c r="V15" s="6">
        <f>IF(ISERROR(VLOOKUP($S$15,'TAR FIN'!$A$1:$O$93,15,0)),0,VLOOKUP($S$15,'TAR FIN'!$A$1:$O$93,15,0))</f>
        <v>0</v>
      </c>
      <c r="W15" s="6">
        <f>IF(ISERROR(VLOOKUP($T$15,'TAR FIN'!$A$1:$O$93,15,0)),0,VLOOKUP($T$15,'TAR FIN'!$A$1:$O$93,15,0))</f>
        <v>69.489999999999995</v>
      </c>
      <c r="X15" s="6">
        <f>IF(ISERROR(VLOOKUP($U$15,'TAR FIN'!$A$1:$O$93,15,0)),0,VLOOKUP($U$15,'TAR FIN'!$A$1:$O$93,15,0))</f>
        <v>0</v>
      </c>
      <c r="Y15" s="6"/>
      <c r="Z15" s="6">
        <f ca="1">('TUSD BE'!$AM$11+'TUSD BF'!$AM$11+'TUSD CVA'!$AM$11)*1</f>
        <v>92.504793470158234</v>
      </c>
      <c r="AA15" s="6"/>
      <c r="AB15" s="6">
        <f t="shared" si="0"/>
        <v>0</v>
      </c>
      <c r="AC15" s="6">
        <f t="shared" si="1"/>
        <v>152991.47716999997</v>
      </c>
      <c r="AD15" s="6">
        <f t="shared" si="2"/>
        <v>0</v>
      </c>
      <c r="AE15" s="6">
        <f t="shared" ca="1" si="3"/>
        <v>203661.60596208487</v>
      </c>
      <c r="AF15" s="4" t="s">
        <v>636</v>
      </c>
    </row>
    <row r="16" spans="1:36" ht="11.25" customHeight="1" x14ac:dyDescent="0.25">
      <c r="A16" s="4" t="s">
        <v>21</v>
      </c>
      <c r="B16" s="4" t="s">
        <v>35</v>
      </c>
      <c r="C16" s="4" t="s">
        <v>36</v>
      </c>
      <c r="D16" s="4" t="s">
        <v>34</v>
      </c>
      <c r="E16" s="4" t="s">
        <v>25</v>
      </c>
      <c r="F16" s="4" t="s">
        <v>55</v>
      </c>
      <c r="G16" s="4" t="s">
        <v>25</v>
      </c>
      <c r="H16" s="4" t="s">
        <v>25</v>
      </c>
      <c r="I16" s="5">
        <v>44440</v>
      </c>
      <c r="J16" s="6">
        <v>0</v>
      </c>
      <c r="K16" s="6">
        <v>0</v>
      </c>
      <c r="L16" s="6">
        <v>4302.3959999999997</v>
      </c>
      <c r="M16" s="6">
        <v>2151.1979999999999</v>
      </c>
      <c r="N16" s="6">
        <v>0</v>
      </c>
      <c r="O16" s="6">
        <v>0</v>
      </c>
      <c r="P16" s="6">
        <v>4</v>
      </c>
      <c r="Q16" s="4" t="s">
        <v>54</v>
      </c>
      <c r="R16" s="4">
        <v>0</v>
      </c>
      <c r="S16" s="4">
        <v>0</v>
      </c>
      <c r="T16" s="4">
        <v>9</v>
      </c>
      <c r="U16" s="4">
        <v>0</v>
      </c>
      <c r="V16" s="6">
        <f>IF(ISERROR(VLOOKUP($S$16,'TAR FIN'!$A$1:$O$93,15,0)),0,VLOOKUP($S$16,'TAR FIN'!$A$1:$O$93,15,0))</f>
        <v>0</v>
      </c>
      <c r="W16" s="6">
        <f>IF(ISERROR(VLOOKUP($T$16,'TAR FIN'!$A$1:$O$93,15,0)),0,VLOOKUP($T$16,'TAR FIN'!$A$1:$O$93,15,0))</f>
        <v>69.489999999999995</v>
      </c>
      <c r="X16" s="6">
        <f>IF(ISERROR(VLOOKUP($U$16,'TAR FIN'!$A$1:$O$93,15,0)),0,VLOOKUP($U$16,'TAR FIN'!$A$1:$O$93,15,0))</f>
        <v>0</v>
      </c>
      <c r="Y16" s="6"/>
      <c r="Z16" s="6">
        <f ca="1">('TUSD BE'!$AM$11+'TUSD BF'!$AM$11+'TUSD CVA'!$AM$11)*1</f>
        <v>92.504793470158234</v>
      </c>
      <c r="AA16" s="6"/>
      <c r="AB16" s="6">
        <f t="shared" si="0"/>
        <v>0</v>
      </c>
      <c r="AC16" s="6">
        <f t="shared" si="1"/>
        <v>149486.74901999999</v>
      </c>
      <c r="AD16" s="6">
        <f t="shared" si="2"/>
        <v>0</v>
      </c>
      <c r="AE16" s="6">
        <f t="shared" ca="1" si="3"/>
        <v>198996.12670341745</v>
      </c>
      <c r="AF16" s="4" t="s">
        <v>636</v>
      </c>
    </row>
    <row r="17" spans="1:32" ht="11.25" customHeight="1" x14ac:dyDescent="0.25">
      <c r="A17" s="4" t="s">
        <v>21</v>
      </c>
      <c r="B17" s="4" t="s">
        <v>35</v>
      </c>
      <c r="C17" s="4" t="s">
        <v>36</v>
      </c>
      <c r="D17" s="4" t="s">
        <v>34</v>
      </c>
      <c r="E17" s="4" t="s">
        <v>25</v>
      </c>
      <c r="F17" s="4" t="s">
        <v>55</v>
      </c>
      <c r="G17" s="4" t="s">
        <v>25</v>
      </c>
      <c r="H17" s="4" t="s">
        <v>25</v>
      </c>
      <c r="I17" s="5">
        <v>44470</v>
      </c>
      <c r="J17" s="6">
        <v>0</v>
      </c>
      <c r="K17" s="6">
        <v>0</v>
      </c>
      <c r="L17" s="6">
        <v>4369.4129999999996</v>
      </c>
      <c r="M17" s="6">
        <v>2184.7064999999998</v>
      </c>
      <c r="N17" s="6">
        <v>0</v>
      </c>
      <c r="O17" s="6">
        <v>0</v>
      </c>
      <c r="P17" s="6">
        <v>4</v>
      </c>
      <c r="Q17" s="4" t="s">
        <v>54</v>
      </c>
      <c r="R17" s="4">
        <v>0</v>
      </c>
      <c r="S17" s="4">
        <v>0</v>
      </c>
      <c r="T17" s="4">
        <v>9</v>
      </c>
      <c r="U17" s="4">
        <v>0</v>
      </c>
      <c r="V17" s="6">
        <f>IF(ISERROR(VLOOKUP($S$17,'TAR FIN'!$A$1:$O$93,15,0)),0,VLOOKUP($S$17,'TAR FIN'!$A$1:$O$93,15,0))</f>
        <v>0</v>
      </c>
      <c r="W17" s="6">
        <f>IF(ISERROR(VLOOKUP($T$17,'TAR FIN'!$A$1:$O$93,15,0)),0,VLOOKUP($T$17,'TAR FIN'!$A$1:$O$93,15,0))</f>
        <v>69.489999999999995</v>
      </c>
      <c r="X17" s="6">
        <f>IF(ISERROR(VLOOKUP($U$17,'TAR FIN'!$A$1:$O$93,15,0)),0,VLOOKUP($U$17,'TAR FIN'!$A$1:$O$93,15,0))</f>
        <v>0</v>
      </c>
      <c r="Y17" s="6"/>
      <c r="Z17" s="6">
        <f ca="1">('TUSD BE'!$AM$11+'TUSD BF'!$AM$11+'TUSD CVA'!$AM$11)*1</f>
        <v>92.504793470158234</v>
      </c>
      <c r="AA17" s="6"/>
      <c r="AB17" s="6">
        <f t="shared" si="0"/>
        <v>0</v>
      </c>
      <c r="AC17" s="6">
        <f t="shared" si="1"/>
        <v>151815.25468499996</v>
      </c>
      <c r="AD17" s="6">
        <f t="shared" si="2"/>
        <v>0</v>
      </c>
      <c r="AE17" s="6">
        <f t="shared" ca="1" si="3"/>
        <v>202095.82357541221</v>
      </c>
      <c r="AF17" s="4" t="s">
        <v>636</v>
      </c>
    </row>
    <row r="18" spans="1:32" ht="11.25" customHeight="1" x14ac:dyDescent="0.25">
      <c r="A18" s="4" t="s">
        <v>21</v>
      </c>
      <c r="B18" s="4" t="s">
        <v>35</v>
      </c>
      <c r="C18" s="4" t="s">
        <v>36</v>
      </c>
      <c r="D18" s="4" t="s">
        <v>34</v>
      </c>
      <c r="E18" s="4" t="s">
        <v>25</v>
      </c>
      <c r="F18" s="4" t="s">
        <v>55</v>
      </c>
      <c r="G18" s="4" t="s">
        <v>25</v>
      </c>
      <c r="H18" s="4" t="s">
        <v>25</v>
      </c>
      <c r="I18" s="5">
        <v>44501</v>
      </c>
      <c r="J18" s="6">
        <v>0</v>
      </c>
      <c r="K18" s="6">
        <v>0</v>
      </c>
      <c r="L18" s="6">
        <v>4623.4799999999996</v>
      </c>
      <c r="M18" s="6">
        <v>2311.7399999999998</v>
      </c>
      <c r="N18" s="6">
        <v>0</v>
      </c>
      <c r="O18" s="6">
        <v>0</v>
      </c>
      <c r="P18" s="6">
        <v>4</v>
      </c>
      <c r="Q18" s="4" t="s">
        <v>54</v>
      </c>
      <c r="R18" s="4">
        <v>0</v>
      </c>
      <c r="S18" s="4">
        <v>0</v>
      </c>
      <c r="T18" s="4">
        <v>9</v>
      </c>
      <c r="U18" s="4">
        <v>0</v>
      </c>
      <c r="V18" s="6">
        <f>IF(ISERROR(VLOOKUP($S$18,'TAR FIN'!$A$1:$O$93,15,0)),0,VLOOKUP($S$18,'TAR FIN'!$A$1:$O$93,15,0))</f>
        <v>0</v>
      </c>
      <c r="W18" s="6">
        <f>IF(ISERROR(VLOOKUP($T$18,'TAR FIN'!$A$1:$O$93,15,0)),0,VLOOKUP($T$18,'TAR FIN'!$A$1:$O$93,15,0))</f>
        <v>69.489999999999995</v>
      </c>
      <c r="X18" s="6">
        <f>IF(ISERROR(VLOOKUP($U$18,'TAR FIN'!$A$1:$O$93,15,0)),0,VLOOKUP($U$18,'TAR FIN'!$A$1:$O$93,15,0))</f>
        <v>0</v>
      </c>
      <c r="Y18" s="6"/>
      <c r="Z18" s="6">
        <f ca="1">('TUSD BE'!$AM$11+'TUSD BF'!$AM$11+'TUSD CVA'!$AM$11)*1</f>
        <v>92.504793470158234</v>
      </c>
      <c r="AA18" s="6"/>
      <c r="AB18" s="6">
        <f t="shared" si="0"/>
        <v>0</v>
      </c>
      <c r="AC18" s="6">
        <f t="shared" si="1"/>
        <v>160642.81259999998</v>
      </c>
      <c r="AD18" s="6">
        <f t="shared" si="2"/>
        <v>0</v>
      </c>
      <c r="AE18" s="6">
        <f t="shared" ca="1" si="3"/>
        <v>213847.03125670357</v>
      </c>
      <c r="AF18" s="4" t="s">
        <v>636</v>
      </c>
    </row>
    <row r="19" spans="1:32" ht="11.25" customHeight="1" x14ac:dyDescent="0.25">
      <c r="A19" s="4" t="s">
        <v>65</v>
      </c>
      <c r="B19" s="4" t="s">
        <v>35</v>
      </c>
      <c r="C19" s="4" t="s">
        <v>36</v>
      </c>
      <c r="D19" s="4" t="s">
        <v>34</v>
      </c>
      <c r="E19" s="4" t="s">
        <v>25</v>
      </c>
      <c r="F19" s="4" t="s">
        <v>55</v>
      </c>
      <c r="G19" s="4" t="s">
        <v>25</v>
      </c>
      <c r="H19" s="4" t="s">
        <v>25</v>
      </c>
      <c r="I19" s="5">
        <v>44531</v>
      </c>
      <c r="J19" s="6">
        <v>0</v>
      </c>
      <c r="K19" s="6">
        <v>0</v>
      </c>
      <c r="L19" s="6">
        <v>4623.4799999999996</v>
      </c>
      <c r="M19" s="6">
        <v>2311.7399999999998</v>
      </c>
      <c r="N19" s="6">
        <v>0</v>
      </c>
      <c r="O19" s="6">
        <v>0</v>
      </c>
      <c r="P19" s="6">
        <v>4</v>
      </c>
      <c r="Q19" s="4" t="s">
        <v>54</v>
      </c>
      <c r="R19" s="4">
        <v>0</v>
      </c>
      <c r="S19" s="4">
        <v>0</v>
      </c>
      <c r="T19" s="4">
        <v>9</v>
      </c>
      <c r="U19" s="4">
        <v>0</v>
      </c>
      <c r="V19" s="6">
        <f>IF(ISERROR(VLOOKUP($S$19,'TAR FIN'!$A$1:$O$93,15,0)),0,VLOOKUP($S$19,'TAR FIN'!$A$1:$O$93,15,0))</f>
        <v>0</v>
      </c>
      <c r="W19" s="6">
        <f>IF(ISERROR(VLOOKUP($T$19,'TAR FIN'!$A$1:$O$93,15,0)),0,VLOOKUP($T$19,'TAR FIN'!$A$1:$O$93,15,0))</f>
        <v>69.489999999999995</v>
      </c>
      <c r="X19" s="6">
        <f>IF(ISERROR(VLOOKUP($U$19,'TAR FIN'!$A$1:$O$93,15,0)),0,VLOOKUP($U$19,'TAR FIN'!$A$1:$O$93,15,0))</f>
        <v>0</v>
      </c>
      <c r="Y19" s="6"/>
      <c r="Z19" s="6">
        <f ca="1">('TUSD BE'!$AM$11+'TUSD BF'!$AM$11+'TUSD CVA'!$AM$11)*1</f>
        <v>92.504793470158234</v>
      </c>
      <c r="AA19" s="6"/>
      <c r="AB19" s="6">
        <f t="shared" si="0"/>
        <v>0</v>
      </c>
      <c r="AC19" s="6">
        <f t="shared" si="1"/>
        <v>160642.81259999998</v>
      </c>
      <c r="AD19" s="6">
        <f t="shared" si="2"/>
        <v>0</v>
      </c>
      <c r="AE19" s="6">
        <f t="shared" ca="1" si="3"/>
        <v>213847.03125670357</v>
      </c>
      <c r="AF19" s="4" t="s">
        <v>636</v>
      </c>
    </row>
    <row r="20" spans="1:32" ht="11.25" customHeight="1" x14ac:dyDescent="0.25">
      <c r="A20" s="4" t="s">
        <v>21</v>
      </c>
      <c r="B20" s="4" t="s">
        <v>35</v>
      </c>
      <c r="C20" s="4" t="s">
        <v>36</v>
      </c>
      <c r="D20" s="4" t="s">
        <v>34</v>
      </c>
      <c r="E20" s="4" t="s">
        <v>25</v>
      </c>
      <c r="F20" s="4" t="s">
        <v>55</v>
      </c>
      <c r="G20" s="4" t="s">
        <v>25</v>
      </c>
      <c r="H20" s="4" t="s">
        <v>25</v>
      </c>
      <c r="I20" s="5">
        <v>44562</v>
      </c>
      <c r="J20" s="6">
        <v>0</v>
      </c>
      <c r="K20" s="6">
        <v>0</v>
      </c>
      <c r="L20" s="6">
        <v>4275.4930000000004</v>
      </c>
      <c r="M20" s="6">
        <v>2137.7465000000002</v>
      </c>
      <c r="N20" s="6">
        <v>0</v>
      </c>
      <c r="O20" s="6">
        <v>0</v>
      </c>
      <c r="P20" s="6">
        <v>4</v>
      </c>
      <c r="Q20" s="4" t="s">
        <v>54</v>
      </c>
      <c r="R20" s="4">
        <v>0</v>
      </c>
      <c r="S20" s="4">
        <v>0</v>
      </c>
      <c r="T20" s="4">
        <v>9</v>
      </c>
      <c r="U20" s="4">
        <v>0</v>
      </c>
      <c r="V20" s="6">
        <f>IF(ISERROR(VLOOKUP($S$20,'TAR FIN'!$A$1:$O$93,15,0)),0,VLOOKUP($S$20,'TAR FIN'!$A$1:$O$93,15,0))</f>
        <v>0</v>
      </c>
      <c r="W20" s="6">
        <f>IF(ISERROR(VLOOKUP($T$20,'TAR FIN'!$A$1:$O$93,15,0)),0,VLOOKUP($T$20,'TAR FIN'!$A$1:$O$93,15,0))</f>
        <v>69.489999999999995</v>
      </c>
      <c r="X20" s="6">
        <f>IF(ISERROR(VLOOKUP($U$20,'TAR FIN'!$A$1:$O$93,15,0)),0,VLOOKUP($U$20,'TAR FIN'!$A$1:$O$93,15,0))</f>
        <v>0</v>
      </c>
      <c r="Y20" s="6"/>
      <c r="Z20" s="6">
        <f ca="1">('TUSD BE'!$AM$11+'TUSD BF'!$AM$11+'TUSD CVA'!$AM$11)*1</f>
        <v>92.504793470158234</v>
      </c>
      <c r="AA20" s="6"/>
      <c r="AB20" s="6">
        <f t="shared" si="0"/>
        <v>0</v>
      </c>
      <c r="AC20" s="6">
        <f t="shared" si="1"/>
        <v>148552.004285</v>
      </c>
      <c r="AD20" s="6">
        <f t="shared" si="2"/>
        <v>0</v>
      </c>
      <c r="AE20" s="6">
        <f t="shared" ca="1" si="3"/>
        <v>197751.79847405365</v>
      </c>
      <c r="AF20" s="4" t="s">
        <v>636</v>
      </c>
    </row>
    <row r="21" spans="1:32" ht="11.25" customHeight="1" x14ac:dyDescent="0.25">
      <c r="A21" s="4" t="s">
        <v>21</v>
      </c>
      <c r="B21" s="4" t="s">
        <v>35</v>
      </c>
      <c r="C21" s="4" t="s">
        <v>36</v>
      </c>
      <c r="D21" s="4" t="s">
        <v>34</v>
      </c>
      <c r="E21" s="4" t="s">
        <v>25</v>
      </c>
      <c r="F21" s="4" t="s">
        <v>55</v>
      </c>
      <c r="G21" s="4" t="s">
        <v>25</v>
      </c>
      <c r="H21" s="4" t="s">
        <v>25</v>
      </c>
      <c r="I21" s="5">
        <v>44593</v>
      </c>
      <c r="J21" s="6">
        <v>0</v>
      </c>
      <c r="K21" s="6">
        <v>0</v>
      </c>
      <c r="L21" s="6">
        <v>4336.7749999999996</v>
      </c>
      <c r="M21" s="6">
        <v>2168.3874999999998</v>
      </c>
      <c r="N21" s="6">
        <v>0</v>
      </c>
      <c r="O21" s="6">
        <v>0</v>
      </c>
      <c r="P21" s="6">
        <v>4</v>
      </c>
      <c r="Q21" s="4" t="s">
        <v>54</v>
      </c>
      <c r="R21" s="4">
        <v>0</v>
      </c>
      <c r="S21" s="4">
        <v>0</v>
      </c>
      <c r="T21" s="4">
        <v>9</v>
      </c>
      <c r="U21" s="4">
        <v>0</v>
      </c>
      <c r="V21" s="6">
        <f>IF(ISERROR(VLOOKUP($S$21,'TAR FIN'!$A$1:$O$93,15,0)),0,VLOOKUP($S$21,'TAR FIN'!$A$1:$O$93,15,0))</f>
        <v>0</v>
      </c>
      <c r="W21" s="6">
        <f>IF(ISERROR(VLOOKUP($T$21,'TAR FIN'!$A$1:$O$93,15,0)),0,VLOOKUP($T$21,'TAR FIN'!$A$1:$O$93,15,0))</f>
        <v>69.489999999999995</v>
      </c>
      <c r="X21" s="6">
        <f>IF(ISERROR(VLOOKUP($U$21,'TAR FIN'!$A$1:$O$93,15,0)),0,VLOOKUP($U$21,'TAR FIN'!$A$1:$O$93,15,0))</f>
        <v>0</v>
      </c>
      <c r="Y21" s="6"/>
      <c r="Z21" s="6">
        <f ca="1">('TUSD BE'!$AM$11+'TUSD BF'!$AM$11+'TUSD CVA'!$AM$11)*1</f>
        <v>92.504793470158234</v>
      </c>
      <c r="AA21" s="6"/>
      <c r="AB21" s="6">
        <f t="shared" si="0"/>
        <v>0</v>
      </c>
      <c r="AC21" s="6">
        <f t="shared" si="1"/>
        <v>150681.24737499998</v>
      </c>
      <c r="AD21" s="6">
        <f t="shared" si="2"/>
        <v>0</v>
      </c>
      <c r="AE21" s="6">
        <f t="shared" ca="1" si="3"/>
        <v>200586.23785077271</v>
      </c>
      <c r="AF21" s="4" t="s">
        <v>636</v>
      </c>
    </row>
    <row r="22" spans="1:32" ht="11.25" customHeight="1" x14ac:dyDescent="0.25">
      <c r="A22" s="4" t="s">
        <v>21</v>
      </c>
      <c r="B22" s="4" t="s">
        <v>35</v>
      </c>
      <c r="C22" s="4" t="s">
        <v>36</v>
      </c>
      <c r="D22" s="4" t="s">
        <v>34</v>
      </c>
      <c r="E22" s="4" t="s">
        <v>25</v>
      </c>
      <c r="F22" s="4" t="s">
        <v>55</v>
      </c>
      <c r="G22" s="4" t="s">
        <v>25</v>
      </c>
      <c r="H22" s="4" t="s">
        <v>25</v>
      </c>
      <c r="I22" s="5">
        <v>44621</v>
      </c>
      <c r="J22" s="6">
        <v>0</v>
      </c>
      <c r="K22" s="6">
        <v>0</v>
      </c>
      <c r="L22" s="6">
        <v>4394.4470000000001</v>
      </c>
      <c r="M22" s="6">
        <v>2197.2235000000001</v>
      </c>
      <c r="N22" s="6">
        <v>0</v>
      </c>
      <c r="O22" s="6">
        <v>0</v>
      </c>
      <c r="P22" s="6">
        <v>4</v>
      </c>
      <c r="Q22" s="4" t="s">
        <v>54</v>
      </c>
      <c r="R22" s="4">
        <v>0</v>
      </c>
      <c r="S22" s="4">
        <v>0</v>
      </c>
      <c r="T22" s="4">
        <v>9</v>
      </c>
      <c r="U22" s="4">
        <v>0</v>
      </c>
      <c r="V22" s="6">
        <f>IF(ISERROR(VLOOKUP($S$22,'TAR FIN'!$A$1:$O$93,15,0)),0,VLOOKUP($S$22,'TAR FIN'!$A$1:$O$93,15,0))</f>
        <v>0</v>
      </c>
      <c r="W22" s="6">
        <f>IF(ISERROR(VLOOKUP($T$22,'TAR FIN'!$A$1:$O$93,15,0)),0,VLOOKUP($T$22,'TAR FIN'!$A$1:$O$93,15,0))</f>
        <v>69.489999999999995</v>
      </c>
      <c r="X22" s="6">
        <f>IF(ISERROR(VLOOKUP($U$22,'TAR FIN'!$A$1:$O$93,15,0)),0,VLOOKUP($U$22,'TAR FIN'!$A$1:$O$93,15,0))</f>
        <v>0</v>
      </c>
      <c r="Y22" s="6"/>
      <c r="Z22" s="6">
        <f ca="1">('TUSD BE'!$AM$11+'TUSD BF'!$AM$11+'TUSD CVA'!$AM$11)*1</f>
        <v>92.504793470158234</v>
      </c>
      <c r="AA22" s="6"/>
      <c r="AB22" s="6">
        <f t="shared" si="0"/>
        <v>0</v>
      </c>
      <c r="AC22" s="6">
        <f t="shared" si="1"/>
        <v>152685.06101499998</v>
      </c>
      <c r="AD22" s="6">
        <f t="shared" si="2"/>
        <v>0</v>
      </c>
      <c r="AE22" s="6">
        <f t="shared" ca="1" si="3"/>
        <v>203253.70607527823</v>
      </c>
      <c r="AF22" s="4" t="s">
        <v>636</v>
      </c>
    </row>
    <row r="23" spans="1:32" ht="11.25" customHeight="1" x14ac:dyDescent="0.25">
      <c r="A23" s="4" t="s">
        <v>65</v>
      </c>
      <c r="B23" s="4" t="s">
        <v>35</v>
      </c>
      <c r="C23" s="4" t="s">
        <v>36</v>
      </c>
      <c r="D23" s="4" t="s">
        <v>34</v>
      </c>
      <c r="E23" s="4" t="s">
        <v>25</v>
      </c>
      <c r="F23" s="4" t="s">
        <v>55</v>
      </c>
      <c r="G23" s="4" t="s">
        <v>25</v>
      </c>
      <c r="H23" s="4" t="s">
        <v>25</v>
      </c>
      <c r="I23" s="5">
        <v>44652</v>
      </c>
      <c r="J23" s="6">
        <v>0</v>
      </c>
      <c r="K23" s="6">
        <v>0</v>
      </c>
      <c r="L23" s="6">
        <v>4394.4470000000001</v>
      </c>
      <c r="M23" s="6">
        <v>2197.2235000000001</v>
      </c>
      <c r="N23" s="6">
        <v>0</v>
      </c>
      <c r="O23" s="6">
        <v>0</v>
      </c>
      <c r="P23" s="6">
        <v>4</v>
      </c>
      <c r="Q23" s="4" t="s">
        <v>54</v>
      </c>
      <c r="R23" s="4">
        <v>0</v>
      </c>
      <c r="S23" s="4">
        <v>0</v>
      </c>
      <c r="T23" s="4">
        <v>9</v>
      </c>
      <c r="U23" s="4">
        <v>0</v>
      </c>
      <c r="V23" s="6">
        <f>IF(ISERROR(VLOOKUP($S$23,'TAR FIN'!$A$1:$O$93,15,0)),0,VLOOKUP($S$23,'TAR FIN'!$A$1:$O$93,15,0))</f>
        <v>0</v>
      </c>
      <c r="W23" s="6">
        <f>IF(ISERROR(VLOOKUP($T$23,'TAR FIN'!$A$1:$O$93,15,0)),0,VLOOKUP($T$23,'TAR FIN'!$A$1:$O$93,15,0))</f>
        <v>69.489999999999995</v>
      </c>
      <c r="X23" s="6">
        <f>IF(ISERROR(VLOOKUP($U$23,'TAR FIN'!$A$1:$O$93,15,0)),0,VLOOKUP($U$23,'TAR FIN'!$A$1:$O$93,15,0))</f>
        <v>0</v>
      </c>
      <c r="Y23" s="6"/>
      <c r="Z23" s="6">
        <f ca="1">('TUSD BE'!$AM$11+'TUSD BF'!$AM$11+'TUSD CVA'!$AM$11)*1</f>
        <v>92.504793470158234</v>
      </c>
      <c r="AA23" s="6"/>
      <c r="AB23" s="6">
        <f t="shared" si="0"/>
        <v>0</v>
      </c>
      <c r="AC23" s="6">
        <f t="shared" si="1"/>
        <v>152685.06101499998</v>
      </c>
      <c r="AD23" s="6">
        <f t="shared" si="2"/>
        <v>0</v>
      </c>
      <c r="AE23" s="6">
        <f t="shared" ca="1" si="3"/>
        <v>203253.70607527823</v>
      </c>
      <c r="AF23" s="4" t="s">
        <v>636</v>
      </c>
    </row>
    <row r="24" spans="1:32" ht="11.25" customHeight="1" x14ac:dyDescent="0.25">
      <c r="A24" s="4" t="s">
        <v>21</v>
      </c>
      <c r="B24" s="4" t="s">
        <v>35</v>
      </c>
      <c r="C24" s="4" t="s">
        <v>36</v>
      </c>
      <c r="D24" s="4" t="s">
        <v>34</v>
      </c>
      <c r="E24" s="4" t="s">
        <v>25</v>
      </c>
      <c r="F24" s="4" t="s">
        <v>55</v>
      </c>
      <c r="G24" s="4" t="s">
        <v>25</v>
      </c>
      <c r="H24" s="4" t="s">
        <v>25</v>
      </c>
      <c r="I24" s="5">
        <v>44682</v>
      </c>
      <c r="J24" s="6">
        <v>0</v>
      </c>
      <c r="K24" s="6">
        <v>0</v>
      </c>
      <c r="L24" s="6">
        <v>5031.1610000000001</v>
      </c>
      <c r="M24" s="6">
        <v>5031.1610000000001</v>
      </c>
      <c r="N24" s="6">
        <v>0</v>
      </c>
      <c r="O24" s="6">
        <v>0</v>
      </c>
      <c r="P24" s="6">
        <v>5</v>
      </c>
      <c r="Q24" s="4" t="s">
        <v>54</v>
      </c>
      <c r="R24" s="4">
        <v>0</v>
      </c>
      <c r="S24" s="4">
        <v>0</v>
      </c>
      <c r="T24" s="4">
        <v>9</v>
      </c>
      <c r="U24" s="4">
        <v>0</v>
      </c>
      <c r="V24" s="6">
        <f>IF(ISERROR(VLOOKUP($S$24,'TAR FIN'!$A$1:$O$93,15,0)),0,VLOOKUP($S$24,'TAR FIN'!$A$1:$O$93,15,0))</f>
        <v>0</v>
      </c>
      <c r="W24" s="6">
        <f>IF(ISERROR(VLOOKUP($T$24,'TAR FIN'!$A$1:$O$93,15,0)),0,VLOOKUP($T$24,'TAR FIN'!$A$1:$O$93,15,0))</f>
        <v>69.489999999999995</v>
      </c>
      <c r="X24" s="6">
        <f>IF(ISERROR(VLOOKUP($U$24,'TAR FIN'!$A$1:$O$93,15,0)),0,VLOOKUP($U$24,'TAR FIN'!$A$1:$O$93,15,0))</f>
        <v>0</v>
      </c>
      <c r="Y24" s="6"/>
      <c r="Z24" s="6">
        <f ca="1">('TUSD BE'!$AM$11+'TUSD BF'!$AM$11+'TUSD CVA'!$AM$11)*1</f>
        <v>92.504793470158234</v>
      </c>
      <c r="AA24" s="6"/>
      <c r="AB24" s="6">
        <f t="shared" si="0"/>
        <v>0</v>
      </c>
      <c r="AC24" s="6">
        <f t="shared" si="1"/>
        <v>0</v>
      </c>
      <c r="AD24" s="6">
        <f t="shared" si="2"/>
        <v>0</v>
      </c>
      <c r="AE24" s="6">
        <f t="shared" ca="1" si="3"/>
        <v>0</v>
      </c>
      <c r="AF24" s="4" t="s">
        <v>636</v>
      </c>
    </row>
    <row r="25" spans="1:32" ht="11.25" customHeight="1" x14ac:dyDescent="0.25">
      <c r="A25" s="4" t="s">
        <v>21</v>
      </c>
      <c r="B25" s="4" t="s">
        <v>35</v>
      </c>
      <c r="C25" s="4" t="s">
        <v>36</v>
      </c>
      <c r="D25" s="4" t="s">
        <v>34</v>
      </c>
      <c r="E25" s="4" t="s">
        <v>25</v>
      </c>
      <c r="F25" s="4" t="s">
        <v>55</v>
      </c>
      <c r="G25" s="4" t="s">
        <v>25</v>
      </c>
      <c r="H25" s="4" t="s">
        <v>25</v>
      </c>
      <c r="I25" s="5">
        <v>44713</v>
      </c>
      <c r="J25" s="6">
        <v>0</v>
      </c>
      <c r="K25" s="6">
        <v>0</v>
      </c>
      <c r="L25" s="6">
        <v>3797.1529999999998</v>
      </c>
      <c r="M25" s="6">
        <v>3797.1529999999998</v>
      </c>
      <c r="N25" s="6">
        <v>0</v>
      </c>
      <c r="O25" s="6">
        <v>0</v>
      </c>
      <c r="P25" s="6">
        <v>5</v>
      </c>
      <c r="Q25" s="4" t="s">
        <v>54</v>
      </c>
      <c r="R25" s="4">
        <v>0</v>
      </c>
      <c r="S25" s="4">
        <v>0</v>
      </c>
      <c r="T25" s="4">
        <v>9</v>
      </c>
      <c r="U25" s="4">
        <v>0</v>
      </c>
      <c r="V25" s="6">
        <f>IF(ISERROR(VLOOKUP($S$25,'TAR FIN'!$A$1:$O$93,15,0)),0,VLOOKUP($S$25,'TAR FIN'!$A$1:$O$93,15,0))</f>
        <v>0</v>
      </c>
      <c r="W25" s="6">
        <f>IF(ISERROR(VLOOKUP($T$25,'TAR FIN'!$A$1:$O$93,15,0)),0,VLOOKUP($T$25,'TAR FIN'!$A$1:$O$93,15,0))</f>
        <v>69.489999999999995</v>
      </c>
      <c r="X25" s="6">
        <f>IF(ISERROR(VLOOKUP($U$25,'TAR FIN'!$A$1:$O$93,15,0)),0,VLOOKUP($U$25,'TAR FIN'!$A$1:$O$93,15,0))</f>
        <v>0</v>
      </c>
      <c r="Y25" s="6"/>
      <c r="Z25" s="6">
        <f ca="1">('TUSD BE'!$AM$11+'TUSD BF'!$AM$11+'TUSD CVA'!$AM$11)*1</f>
        <v>92.504793470158234</v>
      </c>
      <c r="AA25" s="6"/>
      <c r="AB25" s="6">
        <f t="shared" si="0"/>
        <v>0</v>
      </c>
      <c r="AC25" s="6">
        <f t="shared" si="1"/>
        <v>0</v>
      </c>
      <c r="AD25" s="6">
        <f t="shared" si="2"/>
        <v>0</v>
      </c>
      <c r="AE25" s="6">
        <f t="shared" ca="1" si="3"/>
        <v>0</v>
      </c>
      <c r="AF25" s="4" t="s">
        <v>636</v>
      </c>
    </row>
    <row r="26" spans="1:32" ht="11.25" customHeight="1" x14ac:dyDescent="0.25">
      <c r="A26" s="4" t="s">
        <v>21</v>
      </c>
      <c r="B26" s="4" t="s">
        <v>35</v>
      </c>
      <c r="C26" s="4" t="s">
        <v>36</v>
      </c>
      <c r="D26" s="4" t="s">
        <v>34</v>
      </c>
      <c r="E26" s="4" t="s">
        <v>25</v>
      </c>
      <c r="F26" s="4" t="s">
        <v>55</v>
      </c>
      <c r="G26" s="4" t="s">
        <v>25</v>
      </c>
      <c r="H26" s="4" t="s">
        <v>37</v>
      </c>
      <c r="I26" s="5">
        <v>44378</v>
      </c>
      <c r="J26" s="6">
        <v>7706</v>
      </c>
      <c r="K26" s="6">
        <v>3853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54</v>
      </c>
      <c r="R26" s="4">
        <v>0</v>
      </c>
      <c r="S26" s="4">
        <v>3</v>
      </c>
      <c r="T26" s="4">
        <v>0</v>
      </c>
      <c r="U26" s="4">
        <v>0</v>
      </c>
      <c r="V26" s="6">
        <f>IF(ISERROR(VLOOKUP($S$26,'TAR FIN'!$A$1:$O$93,15,0)),0,VLOOKUP($S$26,'TAR FIN'!$A$1:$O$93,15,0))</f>
        <v>43.88</v>
      </c>
      <c r="W26" s="6">
        <f>IF(ISERROR(VLOOKUP($T$26,'TAR FIN'!$A$1:$O$93,15,0)),0,VLOOKUP($T$26,'TAR FIN'!$A$1:$O$93,15,0))</f>
        <v>0</v>
      </c>
      <c r="X26" s="6">
        <f>IF(ISERROR(VLOOKUP($U$26,'TAR FIN'!$A$1:$O$93,15,0)),0,VLOOKUP($U$26,'TAR FIN'!$A$1:$O$93,15,0))</f>
        <v>0</v>
      </c>
      <c r="Y26" s="6">
        <f ca="1">('TUSD BE'!$AM$9+'TUSD BF'!$AM$9+'TUSD CVA'!$AM$9)*1</f>
        <v>50.306190347472103</v>
      </c>
      <c r="Z26" s="6">
        <f ca="1">('TUSD BE'!$AM$11+'TUSD BF'!$AM$11+'TUSD CVA'!$AM$11)*1</f>
        <v>92.504793470158234</v>
      </c>
      <c r="AA26" s="6"/>
      <c r="AB26" s="6">
        <f t="shared" si="0"/>
        <v>169069.64</v>
      </c>
      <c r="AC26" s="6">
        <f t="shared" si="1"/>
        <v>0</v>
      </c>
      <c r="AD26" s="6">
        <f t="shared" ca="1" si="2"/>
        <v>193829.75140881003</v>
      </c>
      <c r="AE26" s="6">
        <f t="shared" ca="1" si="3"/>
        <v>0</v>
      </c>
      <c r="AF26" s="4" t="s">
        <v>636</v>
      </c>
    </row>
    <row r="27" spans="1:32" ht="11.25" customHeight="1" x14ac:dyDescent="0.25">
      <c r="A27" s="4" t="s">
        <v>21</v>
      </c>
      <c r="B27" s="4" t="s">
        <v>35</v>
      </c>
      <c r="C27" s="4" t="s">
        <v>36</v>
      </c>
      <c r="D27" s="4" t="s">
        <v>34</v>
      </c>
      <c r="E27" s="4" t="s">
        <v>25</v>
      </c>
      <c r="F27" s="4" t="s">
        <v>55</v>
      </c>
      <c r="G27" s="4" t="s">
        <v>25</v>
      </c>
      <c r="H27" s="4" t="s">
        <v>37</v>
      </c>
      <c r="I27" s="5">
        <v>44409</v>
      </c>
      <c r="J27" s="6">
        <v>7647</v>
      </c>
      <c r="K27" s="6">
        <v>3823.5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54</v>
      </c>
      <c r="R27" s="4">
        <v>0</v>
      </c>
      <c r="S27" s="4">
        <v>3</v>
      </c>
      <c r="T27" s="4">
        <v>0</v>
      </c>
      <c r="U27" s="4">
        <v>0</v>
      </c>
      <c r="V27" s="6">
        <f>IF(ISERROR(VLOOKUP($S$27,'TAR FIN'!$A$1:$O$93,15,0)),0,VLOOKUP($S$27,'TAR FIN'!$A$1:$O$93,15,0))</f>
        <v>43.88</v>
      </c>
      <c r="W27" s="6">
        <f>IF(ISERROR(VLOOKUP($T$27,'TAR FIN'!$A$1:$O$93,15,0)),0,VLOOKUP($T$27,'TAR FIN'!$A$1:$O$93,15,0))</f>
        <v>0</v>
      </c>
      <c r="X27" s="6">
        <f>IF(ISERROR(VLOOKUP($U$27,'TAR FIN'!$A$1:$O$93,15,0)),0,VLOOKUP($U$27,'TAR FIN'!$A$1:$O$93,15,0))</f>
        <v>0</v>
      </c>
      <c r="Y27" s="6">
        <f ca="1">('TUSD BE'!$AM$9+'TUSD BF'!$AM$9+'TUSD CVA'!$AM$9)*1</f>
        <v>50.306190347472103</v>
      </c>
      <c r="Z27" s="6">
        <f ca="1">('TUSD BE'!$AM$11+'TUSD BF'!$AM$11+'TUSD CVA'!$AM$11)*1</f>
        <v>92.504793470158234</v>
      </c>
      <c r="AA27" s="6"/>
      <c r="AB27" s="6">
        <f t="shared" si="0"/>
        <v>167775.18000000002</v>
      </c>
      <c r="AC27" s="6">
        <f t="shared" si="1"/>
        <v>0</v>
      </c>
      <c r="AD27" s="6">
        <f t="shared" ca="1" si="2"/>
        <v>192345.71879355959</v>
      </c>
      <c r="AE27" s="6">
        <f t="shared" ca="1" si="3"/>
        <v>0</v>
      </c>
      <c r="AF27" s="4" t="s">
        <v>636</v>
      </c>
    </row>
    <row r="28" spans="1:32" ht="11.25" customHeight="1" x14ac:dyDescent="0.25">
      <c r="A28" s="4" t="s">
        <v>21</v>
      </c>
      <c r="B28" s="4" t="s">
        <v>35</v>
      </c>
      <c r="C28" s="4" t="s">
        <v>36</v>
      </c>
      <c r="D28" s="4" t="s">
        <v>34</v>
      </c>
      <c r="E28" s="4" t="s">
        <v>25</v>
      </c>
      <c r="F28" s="4" t="s">
        <v>55</v>
      </c>
      <c r="G28" s="4" t="s">
        <v>25</v>
      </c>
      <c r="H28" s="4" t="s">
        <v>37</v>
      </c>
      <c r="I28" s="5">
        <v>44440</v>
      </c>
      <c r="J28" s="6">
        <v>7653</v>
      </c>
      <c r="K28" s="6">
        <v>3826.5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54</v>
      </c>
      <c r="R28" s="4">
        <v>0</v>
      </c>
      <c r="S28" s="4">
        <v>3</v>
      </c>
      <c r="T28" s="4">
        <v>0</v>
      </c>
      <c r="U28" s="4">
        <v>0</v>
      </c>
      <c r="V28" s="6">
        <f>IF(ISERROR(VLOOKUP($S$28,'TAR FIN'!$A$1:$O$93,15,0)),0,VLOOKUP($S$28,'TAR FIN'!$A$1:$O$93,15,0))</f>
        <v>43.88</v>
      </c>
      <c r="W28" s="6">
        <f>IF(ISERROR(VLOOKUP($T$28,'TAR FIN'!$A$1:$O$93,15,0)),0,VLOOKUP($T$28,'TAR FIN'!$A$1:$O$93,15,0))</f>
        <v>0</v>
      </c>
      <c r="X28" s="6">
        <f>IF(ISERROR(VLOOKUP($U$28,'TAR FIN'!$A$1:$O$93,15,0)),0,VLOOKUP($U$28,'TAR FIN'!$A$1:$O$93,15,0))</f>
        <v>0</v>
      </c>
      <c r="Y28" s="6">
        <f ca="1">('TUSD BE'!$AM$9+'TUSD BF'!$AM$9+'TUSD CVA'!$AM$9)*1</f>
        <v>50.306190347472103</v>
      </c>
      <c r="Z28" s="6">
        <f ca="1">('TUSD BE'!$AM$11+'TUSD BF'!$AM$11+'TUSD CVA'!$AM$11)*1</f>
        <v>92.504793470158234</v>
      </c>
      <c r="AA28" s="6"/>
      <c r="AB28" s="6">
        <f t="shared" si="0"/>
        <v>167906.82</v>
      </c>
      <c r="AC28" s="6">
        <f t="shared" si="1"/>
        <v>0</v>
      </c>
      <c r="AD28" s="6">
        <f t="shared" ca="1" si="2"/>
        <v>192496.63736460201</v>
      </c>
      <c r="AE28" s="6">
        <f t="shared" ca="1" si="3"/>
        <v>0</v>
      </c>
      <c r="AF28" s="4" t="s">
        <v>636</v>
      </c>
    </row>
    <row r="29" spans="1:32" ht="11.25" customHeight="1" x14ac:dyDescent="0.25">
      <c r="A29" s="4" t="s">
        <v>21</v>
      </c>
      <c r="B29" s="4" t="s">
        <v>35</v>
      </c>
      <c r="C29" s="4" t="s">
        <v>36</v>
      </c>
      <c r="D29" s="4" t="s">
        <v>34</v>
      </c>
      <c r="E29" s="4" t="s">
        <v>25</v>
      </c>
      <c r="F29" s="4" t="s">
        <v>55</v>
      </c>
      <c r="G29" s="4" t="s">
        <v>25</v>
      </c>
      <c r="H29" s="4" t="s">
        <v>37</v>
      </c>
      <c r="I29" s="5">
        <v>44470</v>
      </c>
      <c r="J29" s="6">
        <v>7932</v>
      </c>
      <c r="K29" s="6">
        <v>3966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54</v>
      </c>
      <c r="R29" s="4">
        <v>0</v>
      </c>
      <c r="S29" s="4">
        <v>3</v>
      </c>
      <c r="T29" s="4">
        <v>0</v>
      </c>
      <c r="U29" s="4">
        <v>0</v>
      </c>
      <c r="V29" s="6">
        <f>IF(ISERROR(VLOOKUP($S$29,'TAR FIN'!$A$1:$O$93,15,0)),0,VLOOKUP($S$29,'TAR FIN'!$A$1:$O$93,15,0))</f>
        <v>43.88</v>
      </c>
      <c r="W29" s="6">
        <f>IF(ISERROR(VLOOKUP($T$29,'TAR FIN'!$A$1:$O$93,15,0)),0,VLOOKUP($T$29,'TAR FIN'!$A$1:$O$93,15,0))</f>
        <v>0</v>
      </c>
      <c r="X29" s="6">
        <f>IF(ISERROR(VLOOKUP($U$29,'TAR FIN'!$A$1:$O$93,15,0)),0,VLOOKUP($U$29,'TAR FIN'!$A$1:$O$93,15,0))</f>
        <v>0</v>
      </c>
      <c r="Y29" s="6">
        <f ca="1">('TUSD BE'!$AM$9+'TUSD BF'!$AM$9+'TUSD CVA'!$AM$9)*1</f>
        <v>50.306190347472103</v>
      </c>
      <c r="Z29" s="6">
        <f ca="1">('TUSD BE'!$AM$11+'TUSD BF'!$AM$11+'TUSD CVA'!$AM$11)*1</f>
        <v>92.504793470158234</v>
      </c>
      <c r="AA29" s="6"/>
      <c r="AB29" s="6">
        <f t="shared" si="0"/>
        <v>174028.08000000002</v>
      </c>
      <c r="AC29" s="6">
        <f t="shared" si="1"/>
        <v>0</v>
      </c>
      <c r="AD29" s="6">
        <f t="shared" ca="1" si="2"/>
        <v>199514.35091807437</v>
      </c>
      <c r="AE29" s="6">
        <f t="shared" ca="1" si="3"/>
        <v>0</v>
      </c>
      <c r="AF29" s="4" t="s">
        <v>636</v>
      </c>
    </row>
    <row r="30" spans="1:32" ht="11.25" customHeight="1" x14ac:dyDescent="0.25">
      <c r="A30" s="4" t="s">
        <v>21</v>
      </c>
      <c r="B30" s="4" t="s">
        <v>35</v>
      </c>
      <c r="C30" s="4" t="s">
        <v>36</v>
      </c>
      <c r="D30" s="4" t="s">
        <v>34</v>
      </c>
      <c r="E30" s="4" t="s">
        <v>25</v>
      </c>
      <c r="F30" s="4" t="s">
        <v>55</v>
      </c>
      <c r="G30" s="4" t="s">
        <v>25</v>
      </c>
      <c r="H30" s="4" t="s">
        <v>37</v>
      </c>
      <c r="I30" s="5">
        <v>44501</v>
      </c>
      <c r="J30" s="6">
        <v>7829</v>
      </c>
      <c r="K30" s="6">
        <v>3914.5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54</v>
      </c>
      <c r="R30" s="4">
        <v>0</v>
      </c>
      <c r="S30" s="4">
        <v>3</v>
      </c>
      <c r="T30" s="4">
        <v>0</v>
      </c>
      <c r="U30" s="4">
        <v>0</v>
      </c>
      <c r="V30" s="6">
        <f>IF(ISERROR(VLOOKUP($S$30,'TAR FIN'!$A$1:$O$93,15,0)),0,VLOOKUP($S$30,'TAR FIN'!$A$1:$O$93,15,0))</f>
        <v>43.88</v>
      </c>
      <c r="W30" s="6">
        <f>IF(ISERROR(VLOOKUP($T$30,'TAR FIN'!$A$1:$O$93,15,0)),0,VLOOKUP($T$30,'TAR FIN'!$A$1:$O$93,15,0))</f>
        <v>0</v>
      </c>
      <c r="X30" s="6">
        <f>IF(ISERROR(VLOOKUP($U$30,'TAR FIN'!$A$1:$O$93,15,0)),0,VLOOKUP($U$30,'TAR FIN'!$A$1:$O$93,15,0))</f>
        <v>0</v>
      </c>
      <c r="Y30" s="6">
        <f ca="1">('TUSD BE'!$AM$9+'TUSD BF'!$AM$9+'TUSD CVA'!$AM$9)*1</f>
        <v>50.306190347472103</v>
      </c>
      <c r="Z30" s="6">
        <f ca="1">('TUSD BE'!$AM$11+'TUSD BF'!$AM$11+'TUSD CVA'!$AM$11)*1</f>
        <v>92.504793470158234</v>
      </c>
      <c r="AA30" s="6"/>
      <c r="AB30" s="6">
        <f t="shared" si="0"/>
        <v>171768.26</v>
      </c>
      <c r="AC30" s="6">
        <f t="shared" si="1"/>
        <v>0</v>
      </c>
      <c r="AD30" s="6">
        <f t="shared" ca="1" si="2"/>
        <v>196923.58211517954</v>
      </c>
      <c r="AE30" s="6">
        <f t="shared" ca="1" si="3"/>
        <v>0</v>
      </c>
      <c r="AF30" s="4" t="s">
        <v>636</v>
      </c>
    </row>
    <row r="31" spans="1:32" ht="11.25" customHeight="1" x14ac:dyDescent="0.25">
      <c r="A31" s="4" t="s">
        <v>65</v>
      </c>
      <c r="B31" s="4" t="s">
        <v>35</v>
      </c>
      <c r="C31" s="4" t="s">
        <v>36</v>
      </c>
      <c r="D31" s="4" t="s">
        <v>34</v>
      </c>
      <c r="E31" s="4" t="s">
        <v>25</v>
      </c>
      <c r="F31" s="4" t="s">
        <v>55</v>
      </c>
      <c r="G31" s="4" t="s">
        <v>25</v>
      </c>
      <c r="H31" s="4" t="s">
        <v>37</v>
      </c>
      <c r="I31" s="5">
        <v>44531</v>
      </c>
      <c r="J31" s="6">
        <v>7829</v>
      </c>
      <c r="K31" s="6">
        <v>3914.5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54</v>
      </c>
      <c r="R31" s="4">
        <v>0</v>
      </c>
      <c r="S31" s="4">
        <v>3</v>
      </c>
      <c r="T31" s="4">
        <v>0</v>
      </c>
      <c r="U31" s="4">
        <v>0</v>
      </c>
      <c r="V31" s="6">
        <f>IF(ISERROR(VLOOKUP($S$31,'TAR FIN'!$A$1:$O$93,15,0)),0,VLOOKUP($S$31,'TAR FIN'!$A$1:$O$93,15,0))</f>
        <v>43.88</v>
      </c>
      <c r="W31" s="6">
        <f>IF(ISERROR(VLOOKUP($T$31,'TAR FIN'!$A$1:$O$93,15,0)),0,VLOOKUP($T$31,'TAR FIN'!$A$1:$O$93,15,0))</f>
        <v>0</v>
      </c>
      <c r="X31" s="6">
        <f>IF(ISERROR(VLOOKUP($U$31,'TAR FIN'!$A$1:$O$93,15,0)),0,VLOOKUP($U$31,'TAR FIN'!$A$1:$O$93,15,0))</f>
        <v>0</v>
      </c>
      <c r="Y31" s="6">
        <f ca="1">('TUSD BE'!$AM$9+'TUSD BF'!$AM$9+'TUSD CVA'!$AM$9)*1</f>
        <v>50.306190347472103</v>
      </c>
      <c r="Z31" s="6">
        <f ca="1">('TUSD BE'!$AM$11+'TUSD BF'!$AM$11+'TUSD CVA'!$AM$11)*1</f>
        <v>92.504793470158234</v>
      </c>
      <c r="AA31" s="6"/>
      <c r="AB31" s="6">
        <f t="shared" si="0"/>
        <v>171768.26</v>
      </c>
      <c r="AC31" s="6">
        <f t="shared" si="1"/>
        <v>0</v>
      </c>
      <c r="AD31" s="6">
        <f t="shared" ca="1" si="2"/>
        <v>196923.58211517954</v>
      </c>
      <c r="AE31" s="6">
        <f t="shared" ca="1" si="3"/>
        <v>0</v>
      </c>
      <c r="AF31" s="4" t="s">
        <v>636</v>
      </c>
    </row>
    <row r="32" spans="1:32" ht="11.25" customHeight="1" x14ac:dyDescent="0.25">
      <c r="A32" s="4" t="s">
        <v>21</v>
      </c>
      <c r="B32" s="4" t="s">
        <v>35</v>
      </c>
      <c r="C32" s="4" t="s">
        <v>36</v>
      </c>
      <c r="D32" s="4" t="s">
        <v>34</v>
      </c>
      <c r="E32" s="4" t="s">
        <v>25</v>
      </c>
      <c r="F32" s="4" t="s">
        <v>55</v>
      </c>
      <c r="G32" s="4" t="s">
        <v>25</v>
      </c>
      <c r="H32" s="4" t="s">
        <v>37</v>
      </c>
      <c r="I32" s="5">
        <v>44562</v>
      </c>
      <c r="J32" s="6">
        <v>7757</v>
      </c>
      <c r="K32" s="6">
        <v>3878.5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54</v>
      </c>
      <c r="R32" s="4">
        <v>0</v>
      </c>
      <c r="S32" s="4">
        <v>3</v>
      </c>
      <c r="T32" s="4">
        <v>0</v>
      </c>
      <c r="U32" s="4">
        <v>0</v>
      </c>
      <c r="V32" s="6">
        <f>IF(ISERROR(VLOOKUP($S$32,'TAR FIN'!$A$1:$O$93,15,0)),0,VLOOKUP($S$32,'TAR FIN'!$A$1:$O$93,15,0))</f>
        <v>43.88</v>
      </c>
      <c r="W32" s="6">
        <f>IF(ISERROR(VLOOKUP($T$32,'TAR FIN'!$A$1:$O$93,15,0)),0,VLOOKUP($T$32,'TAR FIN'!$A$1:$O$93,15,0))</f>
        <v>0</v>
      </c>
      <c r="X32" s="6">
        <f>IF(ISERROR(VLOOKUP($U$32,'TAR FIN'!$A$1:$O$93,15,0)),0,VLOOKUP($U$32,'TAR FIN'!$A$1:$O$93,15,0))</f>
        <v>0</v>
      </c>
      <c r="Y32" s="6">
        <f ca="1">('TUSD BE'!$AM$9+'TUSD BF'!$AM$9+'TUSD CVA'!$AM$9)*1</f>
        <v>50.306190347472103</v>
      </c>
      <c r="Z32" s="6">
        <f ca="1">('TUSD BE'!$AM$11+'TUSD BF'!$AM$11+'TUSD CVA'!$AM$11)*1</f>
        <v>92.504793470158234</v>
      </c>
      <c r="AA32" s="6"/>
      <c r="AB32" s="6">
        <f t="shared" si="0"/>
        <v>170188.58000000002</v>
      </c>
      <c r="AC32" s="6">
        <f t="shared" si="1"/>
        <v>0</v>
      </c>
      <c r="AD32" s="6">
        <f t="shared" ca="1" si="2"/>
        <v>195112.55926267055</v>
      </c>
      <c r="AE32" s="6">
        <f t="shared" ca="1" si="3"/>
        <v>0</v>
      </c>
      <c r="AF32" s="4" t="s">
        <v>636</v>
      </c>
    </row>
    <row r="33" spans="1:32" ht="11.25" customHeight="1" x14ac:dyDescent="0.25">
      <c r="A33" s="4" t="s">
        <v>21</v>
      </c>
      <c r="B33" s="4" t="s">
        <v>35</v>
      </c>
      <c r="C33" s="4" t="s">
        <v>36</v>
      </c>
      <c r="D33" s="4" t="s">
        <v>34</v>
      </c>
      <c r="E33" s="4" t="s">
        <v>25</v>
      </c>
      <c r="F33" s="4" t="s">
        <v>55</v>
      </c>
      <c r="G33" s="4" t="s">
        <v>25</v>
      </c>
      <c r="H33" s="4" t="s">
        <v>37</v>
      </c>
      <c r="I33" s="5">
        <v>44593</v>
      </c>
      <c r="J33" s="6">
        <v>8174</v>
      </c>
      <c r="K33" s="6">
        <v>4087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54</v>
      </c>
      <c r="R33" s="4">
        <v>0</v>
      </c>
      <c r="S33" s="4">
        <v>3</v>
      </c>
      <c r="T33" s="4">
        <v>0</v>
      </c>
      <c r="U33" s="4">
        <v>0</v>
      </c>
      <c r="V33" s="6">
        <f>IF(ISERROR(VLOOKUP($S$33,'TAR FIN'!$A$1:$O$93,15,0)),0,VLOOKUP($S$33,'TAR FIN'!$A$1:$O$93,15,0))</f>
        <v>43.88</v>
      </c>
      <c r="W33" s="6">
        <f>IF(ISERROR(VLOOKUP($T$33,'TAR FIN'!$A$1:$O$93,15,0)),0,VLOOKUP($T$33,'TAR FIN'!$A$1:$O$93,15,0))</f>
        <v>0</v>
      </c>
      <c r="X33" s="6">
        <f>IF(ISERROR(VLOOKUP($U$33,'TAR FIN'!$A$1:$O$93,15,0)),0,VLOOKUP($U$33,'TAR FIN'!$A$1:$O$93,15,0))</f>
        <v>0</v>
      </c>
      <c r="Y33" s="6">
        <f ca="1">('TUSD BE'!$AM$9+'TUSD BF'!$AM$9+'TUSD CVA'!$AM$9)*1</f>
        <v>50.306190347472103</v>
      </c>
      <c r="Z33" s="6">
        <f ca="1">('TUSD BE'!$AM$11+'TUSD BF'!$AM$11+'TUSD CVA'!$AM$11)*1</f>
        <v>92.504793470158234</v>
      </c>
      <c r="AA33" s="6"/>
      <c r="AB33" s="6">
        <f t="shared" si="0"/>
        <v>179337.56</v>
      </c>
      <c r="AC33" s="6">
        <f t="shared" si="1"/>
        <v>0</v>
      </c>
      <c r="AD33" s="6">
        <f t="shared" ca="1" si="2"/>
        <v>205601.39995011847</v>
      </c>
      <c r="AE33" s="6">
        <f t="shared" ca="1" si="3"/>
        <v>0</v>
      </c>
      <c r="AF33" s="4" t="s">
        <v>636</v>
      </c>
    </row>
    <row r="34" spans="1:32" ht="11.25" customHeight="1" x14ac:dyDescent="0.25">
      <c r="A34" s="4" t="s">
        <v>21</v>
      </c>
      <c r="B34" s="4" t="s">
        <v>35</v>
      </c>
      <c r="C34" s="4" t="s">
        <v>36</v>
      </c>
      <c r="D34" s="4" t="s">
        <v>34</v>
      </c>
      <c r="E34" s="4" t="s">
        <v>25</v>
      </c>
      <c r="F34" s="4" t="s">
        <v>55</v>
      </c>
      <c r="G34" s="4" t="s">
        <v>25</v>
      </c>
      <c r="H34" s="4" t="s">
        <v>37</v>
      </c>
      <c r="I34" s="5">
        <v>44621</v>
      </c>
      <c r="J34" s="6">
        <v>8100</v>
      </c>
      <c r="K34" s="6">
        <v>4050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54</v>
      </c>
      <c r="R34" s="4">
        <v>0</v>
      </c>
      <c r="S34" s="4">
        <v>3</v>
      </c>
      <c r="T34" s="4">
        <v>0</v>
      </c>
      <c r="U34" s="4">
        <v>0</v>
      </c>
      <c r="V34" s="6">
        <f>IF(ISERROR(VLOOKUP($S$34,'TAR FIN'!$A$1:$O$93,15,0)),0,VLOOKUP($S$34,'TAR FIN'!$A$1:$O$93,15,0))</f>
        <v>43.88</v>
      </c>
      <c r="W34" s="6">
        <f>IF(ISERROR(VLOOKUP($T$34,'TAR FIN'!$A$1:$O$93,15,0)),0,VLOOKUP($T$34,'TAR FIN'!$A$1:$O$93,15,0))</f>
        <v>0</v>
      </c>
      <c r="X34" s="6">
        <f>IF(ISERROR(VLOOKUP($U$34,'TAR FIN'!$A$1:$O$93,15,0)),0,VLOOKUP($U$34,'TAR FIN'!$A$1:$O$93,15,0))</f>
        <v>0</v>
      </c>
      <c r="Y34" s="6">
        <f ca="1">('TUSD BE'!$AM$9+'TUSD BF'!$AM$9+'TUSD CVA'!$AM$9)*1</f>
        <v>50.306190347472103</v>
      </c>
      <c r="Z34" s="6">
        <f ca="1">('TUSD BE'!$AM$11+'TUSD BF'!$AM$11+'TUSD CVA'!$AM$11)*1</f>
        <v>92.504793470158234</v>
      </c>
      <c r="AA34" s="6"/>
      <c r="AB34" s="6">
        <f t="shared" si="0"/>
        <v>177714</v>
      </c>
      <c r="AC34" s="6">
        <f t="shared" si="1"/>
        <v>0</v>
      </c>
      <c r="AD34" s="6">
        <f t="shared" ca="1" si="2"/>
        <v>203740.07090726201</v>
      </c>
      <c r="AE34" s="6">
        <f t="shared" ca="1" si="3"/>
        <v>0</v>
      </c>
      <c r="AF34" s="4" t="s">
        <v>636</v>
      </c>
    </row>
    <row r="35" spans="1:32" ht="11.25" customHeight="1" x14ac:dyDescent="0.25">
      <c r="A35" s="4" t="s">
        <v>65</v>
      </c>
      <c r="B35" s="4" t="s">
        <v>35</v>
      </c>
      <c r="C35" s="4" t="s">
        <v>36</v>
      </c>
      <c r="D35" s="4" t="s">
        <v>34</v>
      </c>
      <c r="E35" s="4" t="s">
        <v>25</v>
      </c>
      <c r="F35" s="4" t="s">
        <v>55</v>
      </c>
      <c r="G35" s="4" t="s">
        <v>25</v>
      </c>
      <c r="H35" s="4" t="s">
        <v>37</v>
      </c>
      <c r="I35" s="5">
        <v>44652</v>
      </c>
      <c r="J35" s="6">
        <v>8100</v>
      </c>
      <c r="K35" s="6">
        <v>4050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54</v>
      </c>
      <c r="R35" s="4">
        <v>0</v>
      </c>
      <c r="S35" s="4">
        <v>3</v>
      </c>
      <c r="T35" s="4">
        <v>0</v>
      </c>
      <c r="U35" s="4">
        <v>0</v>
      </c>
      <c r="V35" s="6">
        <f>IF(ISERROR(VLOOKUP($S$35,'TAR FIN'!$A$1:$O$93,15,0)),0,VLOOKUP($S$35,'TAR FIN'!$A$1:$O$93,15,0))</f>
        <v>43.88</v>
      </c>
      <c r="W35" s="6">
        <f>IF(ISERROR(VLOOKUP($T$35,'TAR FIN'!$A$1:$O$93,15,0)),0,VLOOKUP($T$35,'TAR FIN'!$A$1:$O$93,15,0))</f>
        <v>0</v>
      </c>
      <c r="X35" s="6">
        <f>IF(ISERROR(VLOOKUP($U$35,'TAR FIN'!$A$1:$O$93,15,0)),0,VLOOKUP($U$35,'TAR FIN'!$A$1:$O$93,15,0))</f>
        <v>0</v>
      </c>
      <c r="Y35" s="6">
        <f ca="1">('TUSD BE'!$AM$9+'TUSD BF'!$AM$9+'TUSD CVA'!$AM$9)*1</f>
        <v>50.306190347472103</v>
      </c>
      <c r="Z35" s="6">
        <f ca="1">('TUSD BE'!$AM$11+'TUSD BF'!$AM$11+'TUSD CVA'!$AM$11)*1</f>
        <v>92.504793470158234</v>
      </c>
      <c r="AA35" s="6"/>
      <c r="AB35" s="6">
        <f t="shared" si="0"/>
        <v>177714</v>
      </c>
      <c r="AC35" s="6">
        <f t="shared" si="1"/>
        <v>0</v>
      </c>
      <c r="AD35" s="6">
        <f t="shared" ca="1" si="2"/>
        <v>203740.07090726201</v>
      </c>
      <c r="AE35" s="6">
        <f t="shared" ca="1" si="3"/>
        <v>0</v>
      </c>
      <c r="AF35" s="4" t="s">
        <v>636</v>
      </c>
    </row>
    <row r="36" spans="1:32" ht="11.25" customHeight="1" x14ac:dyDescent="0.25">
      <c r="A36" s="4" t="s">
        <v>21</v>
      </c>
      <c r="B36" s="4" t="s">
        <v>35</v>
      </c>
      <c r="C36" s="4" t="s">
        <v>36</v>
      </c>
      <c r="D36" s="4" t="s">
        <v>34</v>
      </c>
      <c r="E36" s="4" t="s">
        <v>25</v>
      </c>
      <c r="F36" s="4" t="s">
        <v>55</v>
      </c>
      <c r="G36" s="4" t="s">
        <v>25</v>
      </c>
      <c r="H36" s="4" t="s">
        <v>37</v>
      </c>
      <c r="I36" s="5">
        <v>44682</v>
      </c>
      <c r="J36" s="6">
        <v>10059</v>
      </c>
      <c r="K36" s="6">
        <v>5029.5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54</v>
      </c>
      <c r="R36" s="4">
        <v>0</v>
      </c>
      <c r="S36" s="4">
        <v>3</v>
      </c>
      <c r="T36" s="4">
        <v>0</v>
      </c>
      <c r="U36" s="4">
        <v>0</v>
      </c>
      <c r="V36" s="6">
        <f>IF(ISERROR(VLOOKUP($S$36,'TAR FIN'!$A$1:$O$93,15,0)),0,VLOOKUP($S$36,'TAR FIN'!$A$1:$O$93,15,0))</f>
        <v>43.88</v>
      </c>
      <c r="W36" s="6">
        <f>IF(ISERROR(VLOOKUP($T$36,'TAR FIN'!$A$1:$O$93,15,0)),0,VLOOKUP($T$36,'TAR FIN'!$A$1:$O$93,15,0))</f>
        <v>0</v>
      </c>
      <c r="X36" s="6">
        <f>IF(ISERROR(VLOOKUP($U$36,'TAR FIN'!$A$1:$O$93,15,0)),0,VLOOKUP($U$36,'TAR FIN'!$A$1:$O$93,15,0))</f>
        <v>0</v>
      </c>
      <c r="Y36" s="6">
        <f ca="1">('TUSD BE'!$AM$9+'TUSD BF'!$AM$9+'TUSD CVA'!$AM$9)*1</f>
        <v>50.306190347472103</v>
      </c>
      <c r="Z36" s="6">
        <f ca="1">('TUSD BE'!$AM$11+'TUSD BF'!$AM$11+'TUSD CVA'!$AM$11)*1</f>
        <v>92.504793470158234</v>
      </c>
      <c r="AA36" s="6"/>
      <c r="AB36" s="6">
        <f t="shared" si="0"/>
        <v>220694.46000000002</v>
      </c>
      <c r="AC36" s="6">
        <f t="shared" si="1"/>
        <v>0</v>
      </c>
      <c r="AD36" s="6">
        <f t="shared" ca="1" si="2"/>
        <v>253014.98435261095</v>
      </c>
      <c r="AE36" s="6">
        <f t="shared" ca="1" si="3"/>
        <v>0</v>
      </c>
      <c r="AF36" s="4" t="s">
        <v>636</v>
      </c>
    </row>
    <row r="37" spans="1:32" ht="11.25" customHeight="1" x14ac:dyDescent="0.25">
      <c r="A37" s="4" t="s">
        <v>21</v>
      </c>
      <c r="B37" s="4" t="s">
        <v>35</v>
      </c>
      <c r="C37" s="4" t="s">
        <v>36</v>
      </c>
      <c r="D37" s="4" t="s">
        <v>34</v>
      </c>
      <c r="E37" s="4" t="s">
        <v>25</v>
      </c>
      <c r="F37" s="4" t="s">
        <v>55</v>
      </c>
      <c r="G37" s="4" t="s">
        <v>25</v>
      </c>
      <c r="H37" s="4" t="s">
        <v>37</v>
      </c>
      <c r="I37" s="5">
        <v>44713</v>
      </c>
      <c r="J37" s="6">
        <v>10386</v>
      </c>
      <c r="K37" s="6">
        <v>5193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54</v>
      </c>
      <c r="R37" s="4">
        <v>0</v>
      </c>
      <c r="S37" s="4">
        <v>3</v>
      </c>
      <c r="T37" s="4">
        <v>0</v>
      </c>
      <c r="U37" s="4">
        <v>0</v>
      </c>
      <c r="V37" s="6">
        <f>IF(ISERROR(VLOOKUP($S$37,'TAR FIN'!$A$1:$O$93,15,0)),0,VLOOKUP($S$37,'TAR FIN'!$A$1:$O$93,15,0))</f>
        <v>43.88</v>
      </c>
      <c r="W37" s="6">
        <f>IF(ISERROR(VLOOKUP($T$37,'TAR FIN'!$A$1:$O$93,15,0)),0,VLOOKUP($T$37,'TAR FIN'!$A$1:$O$93,15,0))</f>
        <v>0</v>
      </c>
      <c r="X37" s="6">
        <f>IF(ISERROR(VLOOKUP($U$37,'TAR FIN'!$A$1:$O$93,15,0)),0,VLOOKUP($U$37,'TAR FIN'!$A$1:$O$93,15,0))</f>
        <v>0</v>
      </c>
      <c r="Y37" s="6">
        <f ca="1">('TUSD BE'!$AM$9+'TUSD BF'!$AM$9+'TUSD CVA'!$AM$9)*1</f>
        <v>50.306190347472103</v>
      </c>
      <c r="Z37" s="6">
        <f ca="1">('TUSD BE'!$AM$11+'TUSD BF'!$AM$11+'TUSD CVA'!$AM$11)*1</f>
        <v>92.504793470158234</v>
      </c>
      <c r="AA37" s="6"/>
      <c r="AB37" s="6">
        <f t="shared" si="0"/>
        <v>227868.84000000003</v>
      </c>
      <c r="AC37" s="6">
        <f t="shared" si="1"/>
        <v>0</v>
      </c>
      <c r="AD37" s="6">
        <f t="shared" ca="1" si="2"/>
        <v>261240.04647442262</v>
      </c>
      <c r="AE37" s="6">
        <f t="shared" ca="1" si="3"/>
        <v>0</v>
      </c>
      <c r="AF37" s="4" t="s">
        <v>636</v>
      </c>
    </row>
    <row r="38" spans="1:32" ht="11.25" customHeight="1" x14ac:dyDescent="0.25">
      <c r="A38" s="4" t="s">
        <v>21</v>
      </c>
      <c r="B38" s="4" t="s">
        <v>35</v>
      </c>
      <c r="C38" s="4" t="s">
        <v>56</v>
      </c>
      <c r="D38" s="4" t="s">
        <v>25</v>
      </c>
      <c r="E38" s="4" t="s">
        <v>25</v>
      </c>
      <c r="F38" s="4" t="s">
        <v>25</v>
      </c>
      <c r="G38" s="4" t="s">
        <v>57</v>
      </c>
      <c r="H38" s="4" t="s">
        <v>25</v>
      </c>
      <c r="I38" s="5">
        <v>44378</v>
      </c>
      <c r="J38" s="6">
        <v>705</v>
      </c>
      <c r="K38" s="6">
        <v>352.5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58</v>
      </c>
      <c r="R38" s="4">
        <v>706</v>
      </c>
      <c r="S38" s="4">
        <v>14</v>
      </c>
      <c r="T38" s="4">
        <v>0</v>
      </c>
      <c r="U38" s="4">
        <v>0</v>
      </c>
      <c r="V38" s="6">
        <f>IF(ISERROR(VLOOKUP($S$38,'TAR FIN'!$A$1:$O$93,15,0)),0,VLOOKUP($S$38,'TAR FIN'!$A$1:$O$93,15,0))</f>
        <v>8.08</v>
      </c>
      <c r="W38" s="6">
        <f>IF(ISERROR(VLOOKUP($T$38,'TAR FIN'!$A$1:$O$93,15,0)),0,VLOOKUP($T$38,'TAR FIN'!$A$1:$O$93,15,0))</f>
        <v>0</v>
      </c>
      <c r="X38" s="6">
        <f>IF(ISERROR(VLOOKUP($U$38,'TAR FIN'!$A$1:$O$93,15,0)),0,VLOOKUP($U$38,'TAR FIN'!$A$1:$O$93,15,0))</f>
        <v>0</v>
      </c>
      <c r="Y38" s="6">
        <f ca="1">('TUSD BE'!$AM$13+'TUSD BF'!$AM$13+'TUSD CVA'!$AM$13)*1</f>
        <v>16.12796715109398</v>
      </c>
      <c r="Z38" s="6"/>
      <c r="AA38" s="6"/>
      <c r="AB38" s="6">
        <f t="shared" si="0"/>
        <v>2848.2</v>
      </c>
      <c r="AC38" s="6">
        <f t="shared" si="1"/>
        <v>0</v>
      </c>
      <c r="AD38" s="6">
        <f t="shared" ca="1" si="2"/>
        <v>5685.1084207606282</v>
      </c>
      <c r="AE38" s="6">
        <f t="shared" si="3"/>
        <v>0</v>
      </c>
      <c r="AF38" s="4" t="s">
        <v>637</v>
      </c>
    </row>
    <row r="39" spans="1:32" ht="11.25" customHeight="1" x14ac:dyDescent="0.25">
      <c r="A39" s="4" t="s">
        <v>21</v>
      </c>
      <c r="B39" s="4" t="s">
        <v>35</v>
      </c>
      <c r="C39" s="4" t="s">
        <v>56</v>
      </c>
      <c r="D39" s="4" t="s">
        <v>25</v>
      </c>
      <c r="E39" s="4" t="s">
        <v>25</v>
      </c>
      <c r="F39" s="4" t="s">
        <v>25</v>
      </c>
      <c r="G39" s="4" t="s">
        <v>59</v>
      </c>
      <c r="H39" s="4" t="s">
        <v>25</v>
      </c>
      <c r="I39" s="5">
        <v>44378</v>
      </c>
      <c r="J39" s="6">
        <v>3700</v>
      </c>
      <c r="K39" s="6">
        <v>1850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58</v>
      </c>
      <c r="R39" s="4">
        <v>877</v>
      </c>
      <c r="S39" s="4">
        <v>14</v>
      </c>
      <c r="T39" s="4">
        <v>0</v>
      </c>
      <c r="U39" s="4">
        <v>0</v>
      </c>
      <c r="V39" s="6">
        <f>IF(ISERROR(VLOOKUP($S$39,'TAR FIN'!$A$1:$O$93,15,0)),0,VLOOKUP($S$39,'TAR FIN'!$A$1:$O$93,15,0))</f>
        <v>8.08</v>
      </c>
      <c r="W39" s="6">
        <f>IF(ISERROR(VLOOKUP($T$39,'TAR FIN'!$A$1:$O$93,15,0)),0,VLOOKUP($T$39,'TAR FIN'!$A$1:$O$93,15,0))</f>
        <v>0</v>
      </c>
      <c r="X39" s="6">
        <f>IF(ISERROR(VLOOKUP($U$39,'TAR FIN'!$A$1:$O$93,15,0)),0,VLOOKUP($U$39,'TAR FIN'!$A$1:$O$93,15,0))</f>
        <v>0</v>
      </c>
      <c r="Y39" s="6">
        <f ca="1">('TUSD BE'!$AM$13+'TUSD BF'!$AM$13+'TUSD CVA'!$AM$13)*1</f>
        <v>16.12796715109398</v>
      </c>
      <c r="Z39" s="6"/>
      <c r="AA39" s="6"/>
      <c r="AB39" s="6">
        <f t="shared" si="0"/>
        <v>14948</v>
      </c>
      <c r="AC39" s="6">
        <f t="shared" si="1"/>
        <v>0</v>
      </c>
      <c r="AD39" s="6">
        <f t="shared" ca="1" si="2"/>
        <v>29836.739229523864</v>
      </c>
      <c r="AE39" s="6">
        <f t="shared" si="3"/>
        <v>0</v>
      </c>
      <c r="AF39" s="4" t="s">
        <v>637</v>
      </c>
    </row>
    <row r="40" spans="1:32" ht="11.25" customHeight="1" x14ac:dyDescent="0.25">
      <c r="A40" s="4" t="s">
        <v>21</v>
      </c>
      <c r="B40" s="4" t="s">
        <v>35</v>
      </c>
      <c r="C40" s="4" t="s">
        <v>56</v>
      </c>
      <c r="D40" s="4" t="s">
        <v>25</v>
      </c>
      <c r="E40" s="4" t="s">
        <v>25</v>
      </c>
      <c r="F40" s="4" t="s">
        <v>25</v>
      </c>
      <c r="G40" s="4" t="s">
        <v>60</v>
      </c>
      <c r="H40" s="4" t="s">
        <v>25</v>
      </c>
      <c r="I40" s="5">
        <v>44378</v>
      </c>
      <c r="J40" s="6">
        <v>880</v>
      </c>
      <c r="K40" s="6">
        <v>440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58</v>
      </c>
      <c r="R40" s="4">
        <v>2317</v>
      </c>
      <c r="S40" s="4">
        <v>14</v>
      </c>
      <c r="T40" s="4">
        <v>0</v>
      </c>
      <c r="U40" s="4">
        <v>0</v>
      </c>
      <c r="V40" s="6">
        <f>IF(ISERROR(VLOOKUP($S$40,'TAR FIN'!$A$1:$O$93,15,0)),0,VLOOKUP($S$40,'TAR FIN'!$A$1:$O$93,15,0))</f>
        <v>8.08</v>
      </c>
      <c r="W40" s="6">
        <f>IF(ISERROR(VLOOKUP($T$40,'TAR FIN'!$A$1:$O$93,15,0)),0,VLOOKUP($T$40,'TAR FIN'!$A$1:$O$93,15,0))</f>
        <v>0</v>
      </c>
      <c r="X40" s="6">
        <f>IF(ISERROR(VLOOKUP($U$40,'TAR FIN'!$A$1:$O$93,15,0)),0,VLOOKUP($U$40,'TAR FIN'!$A$1:$O$93,15,0))</f>
        <v>0</v>
      </c>
      <c r="Y40" s="6">
        <f ca="1">('TUSD BE'!$AM$13+'TUSD BF'!$AM$13+'TUSD CVA'!$AM$13)*1</f>
        <v>16.12796715109398</v>
      </c>
      <c r="Z40" s="6"/>
      <c r="AA40" s="6"/>
      <c r="AB40" s="6">
        <f t="shared" si="0"/>
        <v>3555.2</v>
      </c>
      <c r="AC40" s="6">
        <f t="shared" si="1"/>
        <v>0</v>
      </c>
      <c r="AD40" s="6">
        <f t="shared" ca="1" si="2"/>
        <v>7096.3055464813515</v>
      </c>
      <c r="AE40" s="6">
        <f t="shared" si="3"/>
        <v>0</v>
      </c>
      <c r="AF40" s="4" t="s">
        <v>637</v>
      </c>
    </row>
    <row r="41" spans="1:32" ht="11.25" customHeight="1" x14ac:dyDescent="0.25">
      <c r="A41" s="4" t="s">
        <v>21</v>
      </c>
      <c r="B41" s="4" t="s">
        <v>35</v>
      </c>
      <c r="C41" s="4" t="s">
        <v>56</v>
      </c>
      <c r="D41" s="4" t="s">
        <v>25</v>
      </c>
      <c r="E41" s="4" t="s">
        <v>25</v>
      </c>
      <c r="F41" s="4" t="s">
        <v>25</v>
      </c>
      <c r="G41" s="4" t="s">
        <v>61</v>
      </c>
      <c r="H41" s="4" t="s">
        <v>25</v>
      </c>
      <c r="I41" s="5">
        <v>44378</v>
      </c>
      <c r="J41" s="6">
        <v>780</v>
      </c>
      <c r="K41" s="6">
        <v>390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58</v>
      </c>
      <c r="R41" s="4">
        <v>28915</v>
      </c>
      <c r="S41" s="4">
        <v>14</v>
      </c>
      <c r="T41" s="4">
        <v>0</v>
      </c>
      <c r="U41" s="4">
        <v>0</v>
      </c>
      <c r="V41" s="6">
        <f>IF(ISERROR(VLOOKUP($S$41,'TAR FIN'!$A$1:$O$93,15,0)),0,VLOOKUP($S$41,'TAR FIN'!$A$1:$O$93,15,0))</f>
        <v>8.08</v>
      </c>
      <c r="W41" s="6">
        <f>IF(ISERROR(VLOOKUP($T$41,'TAR FIN'!$A$1:$O$93,15,0)),0,VLOOKUP($T$41,'TAR FIN'!$A$1:$O$93,15,0))</f>
        <v>0</v>
      </c>
      <c r="X41" s="6">
        <f>IF(ISERROR(VLOOKUP($U$41,'TAR FIN'!$A$1:$O$93,15,0)),0,VLOOKUP($U$41,'TAR FIN'!$A$1:$O$93,15,0))</f>
        <v>0</v>
      </c>
      <c r="Y41" s="6">
        <f ca="1">('TUSD BE'!$AM$13+'TUSD BF'!$AM$13+'TUSD CVA'!$AM$13)*1</f>
        <v>16.12796715109398</v>
      </c>
      <c r="Z41" s="6"/>
      <c r="AA41" s="6"/>
      <c r="AB41" s="6">
        <f t="shared" si="0"/>
        <v>3151.2</v>
      </c>
      <c r="AC41" s="6">
        <f t="shared" si="1"/>
        <v>0</v>
      </c>
      <c r="AD41" s="6">
        <f t="shared" ca="1" si="2"/>
        <v>6289.9071889266525</v>
      </c>
      <c r="AE41" s="6">
        <f t="shared" si="3"/>
        <v>0</v>
      </c>
      <c r="AF41" s="4" t="s">
        <v>637</v>
      </c>
    </row>
    <row r="42" spans="1:32" ht="11.25" customHeight="1" x14ac:dyDescent="0.25">
      <c r="A42" s="4" t="s">
        <v>21</v>
      </c>
      <c r="B42" s="4" t="s">
        <v>35</v>
      </c>
      <c r="C42" s="4" t="s">
        <v>56</v>
      </c>
      <c r="D42" s="4" t="s">
        <v>25</v>
      </c>
      <c r="E42" s="4" t="s">
        <v>25</v>
      </c>
      <c r="F42" s="4" t="s">
        <v>25</v>
      </c>
      <c r="G42" s="4" t="s">
        <v>62</v>
      </c>
      <c r="H42" s="4" t="s">
        <v>25</v>
      </c>
      <c r="I42" s="5">
        <v>44378</v>
      </c>
      <c r="J42" s="6">
        <v>1280</v>
      </c>
      <c r="K42" s="6">
        <v>640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58</v>
      </c>
      <c r="R42" s="4">
        <v>31695</v>
      </c>
      <c r="S42" s="4">
        <v>14</v>
      </c>
      <c r="T42" s="4">
        <v>0</v>
      </c>
      <c r="U42" s="4">
        <v>0</v>
      </c>
      <c r="V42" s="6">
        <f>IF(ISERROR(VLOOKUP($S$42,'TAR FIN'!$A$1:$O$93,15,0)),0,VLOOKUP($S$42,'TAR FIN'!$A$1:$O$93,15,0))</f>
        <v>8.08</v>
      </c>
      <c r="W42" s="6">
        <f>IF(ISERROR(VLOOKUP($T$42,'TAR FIN'!$A$1:$O$93,15,0)),0,VLOOKUP($T$42,'TAR FIN'!$A$1:$O$93,15,0))</f>
        <v>0</v>
      </c>
      <c r="X42" s="6">
        <f>IF(ISERROR(VLOOKUP($U$42,'TAR FIN'!$A$1:$O$93,15,0)),0,VLOOKUP($U$42,'TAR FIN'!$A$1:$O$93,15,0))</f>
        <v>0</v>
      </c>
      <c r="Y42" s="6">
        <f ca="1">('TUSD BE'!$AM$13+'TUSD BF'!$AM$13+'TUSD CVA'!$AM$13)*1</f>
        <v>16.12796715109398</v>
      </c>
      <c r="Z42" s="6"/>
      <c r="AA42" s="6"/>
      <c r="AB42" s="6">
        <f t="shared" si="0"/>
        <v>5171.2</v>
      </c>
      <c r="AC42" s="6">
        <f t="shared" si="1"/>
        <v>0</v>
      </c>
      <c r="AD42" s="6">
        <f t="shared" ca="1" si="2"/>
        <v>10321.898976700148</v>
      </c>
      <c r="AE42" s="6">
        <f t="shared" si="3"/>
        <v>0</v>
      </c>
      <c r="AF42" s="4" t="s">
        <v>637</v>
      </c>
    </row>
    <row r="43" spans="1:32" ht="11.25" customHeight="1" x14ac:dyDescent="0.25">
      <c r="A43" s="4" t="s">
        <v>21</v>
      </c>
      <c r="B43" s="4" t="s">
        <v>35</v>
      </c>
      <c r="C43" s="4" t="s">
        <v>56</v>
      </c>
      <c r="D43" s="4" t="s">
        <v>25</v>
      </c>
      <c r="E43" s="4" t="s">
        <v>25</v>
      </c>
      <c r="F43" s="4" t="s">
        <v>25</v>
      </c>
      <c r="G43" s="4" t="s">
        <v>63</v>
      </c>
      <c r="H43" s="4" t="s">
        <v>25</v>
      </c>
      <c r="I43" s="5">
        <v>44378</v>
      </c>
      <c r="J43" s="6">
        <v>2425</v>
      </c>
      <c r="K43" s="6">
        <v>1212.5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58</v>
      </c>
      <c r="S43" s="4">
        <v>14</v>
      </c>
      <c r="T43" s="4">
        <v>0</v>
      </c>
      <c r="U43" s="4">
        <v>0</v>
      </c>
      <c r="V43" s="6">
        <f>IF(ISERROR(VLOOKUP($S$43,'TAR FIN'!$A$1:$O$93,15,0)),0,VLOOKUP($S$43,'TAR FIN'!$A$1:$O$93,15,0))</f>
        <v>8.08</v>
      </c>
      <c r="W43" s="6">
        <f>IF(ISERROR(VLOOKUP($T$43,'TAR FIN'!$A$1:$O$93,15,0)),0,VLOOKUP($T$43,'TAR FIN'!$A$1:$O$93,15,0))</f>
        <v>0</v>
      </c>
      <c r="X43" s="6">
        <f>IF(ISERROR(VLOOKUP($U$43,'TAR FIN'!$A$1:$O$93,15,0)),0,VLOOKUP($U$43,'TAR FIN'!$A$1:$O$93,15,0))</f>
        <v>0</v>
      </c>
      <c r="Y43" s="6">
        <f ca="1">('TUSD BE'!$AM$13+'TUSD BF'!$AM$13+'TUSD CVA'!$AM$13)*1</f>
        <v>16.12796715109398</v>
      </c>
      <c r="Z43" s="6"/>
      <c r="AA43" s="6"/>
      <c r="AB43" s="6">
        <f t="shared" si="0"/>
        <v>9797</v>
      </c>
      <c r="AC43" s="6">
        <f t="shared" si="1"/>
        <v>0</v>
      </c>
      <c r="AD43" s="6">
        <f t="shared" ca="1" si="2"/>
        <v>19555.160170701452</v>
      </c>
      <c r="AE43" s="6">
        <f t="shared" si="3"/>
        <v>0</v>
      </c>
      <c r="AF43" s="4" t="s">
        <v>637</v>
      </c>
    </row>
    <row r="44" spans="1:32" ht="11.25" customHeight="1" x14ac:dyDescent="0.25">
      <c r="A44" s="4" t="s">
        <v>21</v>
      </c>
      <c r="B44" s="4" t="s">
        <v>35</v>
      </c>
      <c r="C44" s="4" t="s">
        <v>56</v>
      </c>
      <c r="D44" s="4" t="s">
        <v>25</v>
      </c>
      <c r="E44" s="4" t="s">
        <v>25</v>
      </c>
      <c r="F44" s="4" t="s">
        <v>25</v>
      </c>
      <c r="G44" s="4" t="s">
        <v>64</v>
      </c>
      <c r="H44" s="4" t="s">
        <v>25</v>
      </c>
      <c r="I44" s="5">
        <v>44378</v>
      </c>
      <c r="J44" s="6">
        <v>1100</v>
      </c>
      <c r="K44" s="6">
        <v>550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58</v>
      </c>
      <c r="S44" s="4">
        <v>14</v>
      </c>
      <c r="T44" s="4">
        <v>0</v>
      </c>
      <c r="U44" s="4">
        <v>0</v>
      </c>
      <c r="V44" s="6">
        <f>IF(ISERROR(VLOOKUP($S$44,'TAR FIN'!$A$1:$O$93,15,0)),0,VLOOKUP($S$44,'TAR FIN'!$A$1:$O$93,15,0))</f>
        <v>8.08</v>
      </c>
      <c r="W44" s="6">
        <f>IF(ISERROR(VLOOKUP($T$44,'TAR FIN'!$A$1:$O$93,15,0)),0,VLOOKUP($T$44,'TAR FIN'!$A$1:$O$93,15,0))</f>
        <v>0</v>
      </c>
      <c r="X44" s="6">
        <f>IF(ISERROR(VLOOKUP($U$44,'TAR FIN'!$A$1:$O$93,15,0)),0,VLOOKUP($U$44,'TAR FIN'!$A$1:$O$93,15,0))</f>
        <v>0</v>
      </c>
      <c r="Y44" s="6">
        <f ca="1">('TUSD BE'!$AM$13+'TUSD BF'!$AM$13+'TUSD CVA'!$AM$13)*1</f>
        <v>16.12796715109398</v>
      </c>
      <c r="Z44" s="6"/>
      <c r="AA44" s="6"/>
      <c r="AB44" s="6">
        <f t="shared" si="0"/>
        <v>4444</v>
      </c>
      <c r="AC44" s="6">
        <f t="shared" si="1"/>
        <v>0</v>
      </c>
      <c r="AD44" s="6">
        <f t="shared" ca="1" si="2"/>
        <v>8870.3819331016894</v>
      </c>
      <c r="AE44" s="6">
        <f t="shared" si="3"/>
        <v>0</v>
      </c>
      <c r="AF44" s="4" t="s">
        <v>637</v>
      </c>
    </row>
    <row r="45" spans="1:32" ht="11.25" customHeight="1" x14ac:dyDescent="0.25">
      <c r="A45" s="4" t="s">
        <v>21</v>
      </c>
      <c r="B45" s="4" t="s">
        <v>35</v>
      </c>
      <c r="C45" s="4" t="s">
        <v>56</v>
      </c>
      <c r="D45" s="4" t="s">
        <v>25</v>
      </c>
      <c r="E45" s="4" t="s">
        <v>25</v>
      </c>
      <c r="F45" s="4" t="s">
        <v>25</v>
      </c>
      <c r="G45" s="4" t="s">
        <v>57</v>
      </c>
      <c r="H45" s="4" t="s">
        <v>25</v>
      </c>
      <c r="I45" s="5">
        <v>44409</v>
      </c>
      <c r="J45" s="6">
        <v>705</v>
      </c>
      <c r="K45" s="6">
        <v>352.5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58</v>
      </c>
      <c r="R45" s="4">
        <v>706</v>
      </c>
      <c r="S45" s="4">
        <v>14</v>
      </c>
      <c r="T45" s="4">
        <v>0</v>
      </c>
      <c r="U45" s="4">
        <v>0</v>
      </c>
      <c r="V45" s="6">
        <f>IF(ISERROR(VLOOKUP($S$45,'TAR FIN'!$A$1:$O$93,15,0)),0,VLOOKUP($S$45,'TAR FIN'!$A$1:$O$93,15,0))</f>
        <v>8.08</v>
      </c>
      <c r="W45" s="6">
        <f>IF(ISERROR(VLOOKUP($T$45,'TAR FIN'!$A$1:$O$93,15,0)),0,VLOOKUP($T$45,'TAR FIN'!$A$1:$O$93,15,0))</f>
        <v>0</v>
      </c>
      <c r="X45" s="6">
        <f>IF(ISERROR(VLOOKUP($U$45,'TAR FIN'!$A$1:$O$93,15,0)),0,VLOOKUP($U$45,'TAR FIN'!$A$1:$O$93,15,0))</f>
        <v>0</v>
      </c>
      <c r="Y45" s="6">
        <f ca="1">('TUSD BE'!$AM$13+'TUSD BF'!$AM$13+'TUSD CVA'!$AM$13)*1</f>
        <v>16.12796715109398</v>
      </c>
      <c r="Z45" s="6"/>
      <c r="AA45" s="6"/>
      <c r="AB45" s="6">
        <f t="shared" si="0"/>
        <v>2848.2</v>
      </c>
      <c r="AC45" s="6">
        <f t="shared" si="1"/>
        <v>0</v>
      </c>
      <c r="AD45" s="6">
        <f t="shared" ca="1" si="2"/>
        <v>5685.1084207606282</v>
      </c>
      <c r="AE45" s="6">
        <f t="shared" si="3"/>
        <v>0</v>
      </c>
      <c r="AF45" s="4" t="s">
        <v>637</v>
      </c>
    </row>
    <row r="46" spans="1:32" ht="11.25" customHeight="1" x14ac:dyDescent="0.25">
      <c r="A46" s="4" t="s">
        <v>21</v>
      </c>
      <c r="B46" s="4" t="s">
        <v>35</v>
      </c>
      <c r="C46" s="4" t="s">
        <v>56</v>
      </c>
      <c r="D46" s="4" t="s">
        <v>25</v>
      </c>
      <c r="E46" s="4" t="s">
        <v>25</v>
      </c>
      <c r="F46" s="4" t="s">
        <v>25</v>
      </c>
      <c r="G46" s="4" t="s">
        <v>59</v>
      </c>
      <c r="H46" s="4" t="s">
        <v>25</v>
      </c>
      <c r="I46" s="5">
        <v>44409</v>
      </c>
      <c r="J46" s="6">
        <v>3700</v>
      </c>
      <c r="K46" s="6">
        <v>1850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58</v>
      </c>
      <c r="R46" s="4">
        <v>877</v>
      </c>
      <c r="S46" s="4">
        <v>14</v>
      </c>
      <c r="T46" s="4">
        <v>0</v>
      </c>
      <c r="U46" s="4">
        <v>0</v>
      </c>
      <c r="V46" s="6">
        <f>IF(ISERROR(VLOOKUP($S$46,'TAR FIN'!$A$1:$O$93,15,0)),0,VLOOKUP($S$46,'TAR FIN'!$A$1:$O$93,15,0))</f>
        <v>8.08</v>
      </c>
      <c r="W46" s="6">
        <f>IF(ISERROR(VLOOKUP($T$46,'TAR FIN'!$A$1:$O$93,15,0)),0,VLOOKUP($T$46,'TAR FIN'!$A$1:$O$93,15,0))</f>
        <v>0</v>
      </c>
      <c r="X46" s="6">
        <f>IF(ISERROR(VLOOKUP($U$46,'TAR FIN'!$A$1:$O$93,15,0)),0,VLOOKUP($U$46,'TAR FIN'!$A$1:$O$93,15,0))</f>
        <v>0</v>
      </c>
      <c r="Y46" s="6">
        <f ca="1">('TUSD BE'!$AM$13+'TUSD BF'!$AM$13+'TUSD CVA'!$AM$13)*1</f>
        <v>16.12796715109398</v>
      </c>
      <c r="Z46" s="6"/>
      <c r="AA46" s="6"/>
      <c r="AB46" s="6">
        <f t="shared" si="0"/>
        <v>14948</v>
      </c>
      <c r="AC46" s="6">
        <f t="shared" si="1"/>
        <v>0</v>
      </c>
      <c r="AD46" s="6">
        <f t="shared" ca="1" si="2"/>
        <v>29836.739229523864</v>
      </c>
      <c r="AE46" s="6">
        <f t="shared" si="3"/>
        <v>0</v>
      </c>
      <c r="AF46" s="4" t="s">
        <v>637</v>
      </c>
    </row>
    <row r="47" spans="1:32" ht="11.25" customHeight="1" x14ac:dyDescent="0.25">
      <c r="A47" s="4" t="s">
        <v>21</v>
      </c>
      <c r="B47" s="4" t="s">
        <v>35</v>
      </c>
      <c r="C47" s="4" t="s">
        <v>56</v>
      </c>
      <c r="D47" s="4" t="s">
        <v>25</v>
      </c>
      <c r="E47" s="4" t="s">
        <v>25</v>
      </c>
      <c r="F47" s="4" t="s">
        <v>25</v>
      </c>
      <c r="G47" s="4" t="s">
        <v>60</v>
      </c>
      <c r="H47" s="4" t="s">
        <v>25</v>
      </c>
      <c r="I47" s="5">
        <v>44409</v>
      </c>
      <c r="J47" s="6">
        <v>880</v>
      </c>
      <c r="K47" s="6">
        <v>440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58</v>
      </c>
      <c r="R47" s="4">
        <v>2317</v>
      </c>
      <c r="S47" s="4">
        <v>14</v>
      </c>
      <c r="T47" s="4">
        <v>0</v>
      </c>
      <c r="U47" s="4">
        <v>0</v>
      </c>
      <c r="V47" s="6">
        <f>IF(ISERROR(VLOOKUP($S$47,'TAR FIN'!$A$1:$O$93,15,0)),0,VLOOKUP($S$47,'TAR FIN'!$A$1:$O$93,15,0))</f>
        <v>8.08</v>
      </c>
      <c r="W47" s="6">
        <f>IF(ISERROR(VLOOKUP($T$47,'TAR FIN'!$A$1:$O$93,15,0)),0,VLOOKUP($T$47,'TAR FIN'!$A$1:$O$93,15,0))</f>
        <v>0</v>
      </c>
      <c r="X47" s="6">
        <f>IF(ISERROR(VLOOKUP($U$47,'TAR FIN'!$A$1:$O$93,15,0)),0,VLOOKUP($U$47,'TAR FIN'!$A$1:$O$93,15,0))</f>
        <v>0</v>
      </c>
      <c r="Y47" s="6">
        <f ca="1">('TUSD BE'!$AM$13+'TUSD BF'!$AM$13+'TUSD CVA'!$AM$13)*1</f>
        <v>16.12796715109398</v>
      </c>
      <c r="Z47" s="6"/>
      <c r="AA47" s="6"/>
      <c r="AB47" s="6">
        <f t="shared" si="0"/>
        <v>3555.2</v>
      </c>
      <c r="AC47" s="6">
        <f t="shared" si="1"/>
        <v>0</v>
      </c>
      <c r="AD47" s="6">
        <f t="shared" ca="1" si="2"/>
        <v>7096.3055464813515</v>
      </c>
      <c r="AE47" s="6">
        <f t="shared" si="3"/>
        <v>0</v>
      </c>
      <c r="AF47" s="4" t="s">
        <v>637</v>
      </c>
    </row>
    <row r="48" spans="1:32" ht="11.25" customHeight="1" x14ac:dyDescent="0.25">
      <c r="A48" s="4" t="s">
        <v>21</v>
      </c>
      <c r="B48" s="4" t="s">
        <v>35</v>
      </c>
      <c r="C48" s="4" t="s">
        <v>56</v>
      </c>
      <c r="D48" s="4" t="s">
        <v>25</v>
      </c>
      <c r="E48" s="4" t="s">
        <v>25</v>
      </c>
      <c r="F48" s="4" t="s">
        <v>25</v>
      </c>
      <c r="G48" s="4" t="s">
        <v>61</v>
      </c>
      <c r="H48" s="4" t="s">
        <v>25</v>
      </c>
      <c r="I48" s="5">
        <v>44409</v>
      </c>
      <c r="J48" s="6">
        <v>780</v>
      </c>
      <c r="K48" s="6">
        <v>390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58</v>
      </c>
      <c r="R48" s="4">
        <v>28915</v>
      </c>
      <c r="S48" s="4">
        <v>14</v>
      </c>
      <c r="T48" s="4">
        <v>0</v>
      </c>
      <c r="U48" s="4">
        <v>0</v>
      </c>
      <c r="V48" s="6">
        <f>IF(ISERROR(VLOOKUP($S$48,'TAR FIN'!$A$1:$O$93,15,0)),0,VLOOKUP($S$48,'TAR FIN'!$A$1:$O$93,15,0))</f>
        <v>8.08</v>
      </c>
      <c r="W48" s="6">
        <f>IF(ISERROR(VLOOKUP($T$48,'TAR FIN'!$A$1:$O$93,15,0)),0,VLOOKUP($T$48,'TAR FIN'!$A$1:$O$93,15,0))</f>
        <v>0</v>
      </c>
      <c r="X48" s="6">
        <f>IF(ISERROR(VLOOKUP($U$48,'TAR FIN'!$A$1:$O$93,15,0)),0,VLOOKUP($U$48,'TAR FIN'!$A$1:$O$93,15,0))</f>
        <v>0</v>
      </c>
      <c r="Y48" s="6">
        <f ca="1">('TUSD BE'!$AM$13+'TUSD BF'!$AM$13+'TUSD CVA'!$AM$13)*1</f>
        <v>16.12796715109398</v>
      </c>
      <c r="Z48" s="6"/>
      <c r="AA48" s="6"/>
      <c r="AB48" s="6">
        <f t="shared" si="0"/>
        <v>3151.2</v>
      </c>
      <c r="AC48" s="6">
        <f t="shared" si="1"/>
        <v>0</v>
      </c>
      <c r="AD48" s="6">
        <f t="shared" ca="1" si="2"/>
        <v>6289.9071889266525</v>
      </c>
      <c r="AE48" s="6">
        <f t="shared" si="3"/>
        <v>0</v>
      </c>
      <c r="AF48" s="4" t="s">
        <v>637</v>
      </c>
    </row>
    <row r="49" spans="1:32" ht="11.25" customHeight="1" x14ac:dyDescent="0.25">
      <c r="A49" s="4" t="s">
        <v>21</v>
      </c>
      <c r="B49" s="4" t="s">
        <v>35</v>
      </c>
      <c r="C49" s="4" t="s">
        <v>56</v>
      </c>
      <c r="D49" s="4" t="s">
        <v>25</v>
      </c>
      <c r="E49" s="4" t="s">
        <v>25</v>
      </c>
      <c r="F49" s="4" t="s">
        <v>25</v>
      </c>
      <c r="G49" s="4" t="s">
        <v>62</v>
      </c>
      <c r="H49" s="4" t="s">
        <v>25</v>
      </c>
      <c r="I49" s="5">
        <v>44409</v>
      </c>
      <c r="J49" s="6">
        <v>1280</v>
      </c>
      <c r="K49" s="6">
        <v>640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58</v>
      </c>
      <c r="R49" s="4">
        <v>31695</v>
      </c>
      <c r="S49" s="4">
        <v>14</v>
      </c>
      <c r="T49" s="4">
        <v>0</v>
      </c>
      <c r="U49" s="4">
        <v>0</v>
      </c>
      <c r="V49" s="6">
        <f>IF(ISERROR(VLOOKUP($S$49,'TAR FIN'!$A$1:$O$93,15,0)),0,VLOOKUP($S$49,'TAR FIN'!$A$1:$O$93,15,0))</f>
        <v>8.08</v>
      </c>
      <c r="W49" s="6">
        <f>IF(ISERROR(VLOOKUP($T$49,'TAR FIN'!$A$1:$O$93,15,0)),0,VLOOKUP($T$49,'TAR FIN'!$A$1:$O$93,15,0))</f>
        <v>0</v>
      </c>
      <c r="X49" s="6">
        <f>IF(ISERROR(VLOOKUP($U$49,'TAR FIN'!$A$1:$O$93,15,0)),0,VLOOKUP($U$49,'TAR FIN'!$A$1:$O$93,15,0))</f>
        <v>0</v>
      </c>
      <c r="Y49" s="6">
        <f ca="1">('TUSD BE'!$AM$13+'TUSD BF'!$AM$13+'TUSD CVA'!$AM$13)*1</f>
        <v>16.12796715109398</v>
      </c>
      <c r="Z49" s="6"/>
      <c r="AA49" s="6"/>
      <c r="AB49" s="6">
        <f t="shared" si="0"/>
        <v>5171.2</v>
      </c>
      <c r="AC49" s="6">
        <f t="shared" si="1"/>
        <v>0</v>
      </c>
      <c r="AD49" s="6">
        <f t="shared" ca="1" si="2"/>
        <v>10321.898976700148</v>
      </c>
      <c r="AE49" s="6">
        <f t="shared" si="3"/>
        <v>0</v>
      </c>
      <c r="AF49" s="4" t="s">
        <v>637</v>
      </c>
    </row>
    <row r="50" spans="1:32" ht="11.25" customHeight="1" x14ac:dyDescent="0.25">
      <c r="A50" s="4" t="s">
        <v>21</v>
      </c>
      <c r="B50" s="4" t="s">
        <v>35</v>
      </c>
      <c r="C50" s="4" t="s">
        <v>56</v>
      </c>
      <c r="D50" s="4" t="s">
        <v>25</v>
      </c>
      <c r="E50" s="4" t="s">
        <v>25</v>
      </c>
      <c r="F50" s="4" t="s">
        <v>25</v>
      </c>
      <c r="G50" s="4" t="s">
        <v>63</v>
      </c>
      <c r="H50" s="4" t="s">
        <v>25</v>
      </c>
      <c r="I50" s="5">
        <v>44409</v>
      </c>
      <c r="J50" s="6">
        <v>2425</v>
      </c>
      <c r="K50" s="6">
        <v>1212.5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58</v>
      </c>
      <c r="S50" s="4">
        <v>14</v>
      </c>
      <c r="T50" s="4">
        <v>0</v>
      </c>
      <c r="U50" s="4">
        <v>0</v>
      </c>
      <c r="V50" s="6">
        <f>IF(ISERROR(VLOOKUP($S$50,'TAR FIN'!$A$1:$O$93,15,0)),0,VLOOKUP($S$50,'TAR FIN'!$A$1:$O$93,15,0))</f>
        <v>8.08</v>
      </c>
      <c r="W50" s="6">
        <f>IF(ISERROR(VLOOKUP($T$50,'TAR FIN'!$A$1:$O$93,15,0)),0,VLOOKUP($T$50,'TAR FIN'!$A$1:$O$93,15,0))</f>
        <v>0</v>
      </c>
      <c r="X50" s="6">
        <f>IF(ISERROR(VLOOKUP($U$50,'TAR FIN'!$A$1:$O$93,15,0)),0,VLOOKUP($U$50,'TAR FIN'!$A$1:$O$93,15,0))</f>
        <v>0</v>
      </c>
      <c r="Y50" s="6">
        <f ca="1">('TUSD BE'!$AM$13+'TUSD BF'!$AM$13+'TUSD CVA'!$AM$13)*1</f>
        <v>16.12796715109398</v>
      </c>
      <c r="Z50" s="6"/>
      <c r="AA50" s="6"/>
      <c r="AB50" s="6">
        <f t="shared" si="0"/>
        <v>9797</v>
      </c>
      <c r="AC50" s="6">
        <f t="shared" si="1"/>
        <v>0</v>
      </c>
      <c r="AD50" s="6">
        <f t="shared" ca="1" si="2"/>
        <v>19555.160170701452</v>
      </c>
      <c r="AE50" s="6">
        <f t="shared" si="3"/>
        <v>0</v>
      </c>
      <c r="AF50" s="4" t="s">
        <v>637</v>
      </c>
    </row>
    <row r="51" spans="1:32" ht="11.25" customHeight="1" x14ac:dyDescent="0.25">
      <c r="A51" s="4" t="s">
        <v>21</v>
      </c>
      <c r="B51" s="4" t="s">
        <v>35</v>
      </c>
      <c r="C51" s="4" t="s">
        <v>56</v>
      </c>
      <c r="D51" s="4" t="s">
        <v>25</v>
      </c>
      <c r="E51" s="4" t="s">
        <v>25</v>
      </c>
      <c r="F51" s="4" t="s">
        <v>25</v>
      </c>
      <c r="G51" s="4" t="s">
        <v>64</v>
      </c>
      <c r="H51" s="4" t="s">
        <v>25</v>
      </c>
      <c r="I51" s="5">
        <v>44409</v>
      </c>
      <c r="J51" s="6">
        <v>1100</v>
      </c>
      <c r="K51" s="6">
        <v>550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58</v>
      </c>
      <c r="S51" s="4">
        <v>14</v>
      </c>
      <c r="T51" s="4">
        <v>0</v>
      </c>
      <c r="U51" s="4">
        <v>0</v>
      </c>
      <c r="V51" s="6">
        <f>IF(ISERROR(VLOOKUP($S$51,'TAR FIN'!$A$1:$O$93,15,0)),0,VLOOKUP($S$51,'TAR FIN'!$A$1:$O$93,15,0))</f>
        <v>8.08</v>
      </c>
      <c r="W51" s="6">
        <f>IF(ISERROR(VLOOKUP($T$51,'TAR FIN'!$A$1:$O$93,15,0)),0,VLOOKUP($T$51,'TAR FIN'!$A$1:$O$93,15,0))</f>
        <v>0</v>
      </c>
      <c r="X51" s="6">
        <f>IF(ISERROR(VLOOKUP($U$51,'TAR FIN'!$A$1:$O$93,15,0)),0,VLOOKUP($U$51,'TAR FIN'!$A$1:$O$93,15,0))</f>
        <v>0</v>
      </c>
      <c r="Y51" s="6">
        <f ca="1">('TUSD BE'!$AM$13+'TUSD BF'!$AM$13+'TUSD CVA'!$AM$13)*1</f>
        <v>16.12796715109398</v>
      </c>
      <c r="Z51" s="6"/>
      <c r="AA51" s="6"/>
      <c r="AB51" s="6">
        <f t="shared" si="0"/>
        <v>4444</v>
      </c>
      <c r="AC51" s="6">
        <f t="shared" si="1"/>
        <v>0</v>
      </c>
      <c r="AD51" s="6">
        <f t="shared" ca="1" si="2"/>
        <v>8870.3819331016894</v>
      </c>
      <c r="AE51" s="6">
        <f t="shared" si="3"/>
        <v>0</v>
      </c>
      <c r="AF51" s="4" t="s">
        <v>637</v>
      </c>
    </row>
    <row r="52" spans="1:32" ht="11.25" customHeight="1" x14ac:dyDescent="0.25">
      <c r="A52" s="4" t="s">
        <v>21</v>
      </c>
      <c r="B52" s="4" t="s">
        <v>35</v>
      </c>
      <c r="C52" s="4" t="s">
        <v>56</v>
      </c>
      <c r="D52" s="4" t="s">
        <v>25</v>
      </c>
      <c r="E52" s="4" t="s">
        <v>25</v>
      </c>
      <c r="F52" s="4" t="s">
        <v>25</v>
      </c>
      <c r="G52" s="4" t="s">
        <v>57</v>
      </c>
      <c r="H52" s="4" t="s">
        <v>25</v>
      </c>
      <c r="I52" s="5">
        <v>44440</v>
      </c>
      <c r="J52" s="6">
        <v>705</v>
      </c>
      <c r="K52" s="6">
        <v>352.5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58</v>
      </c>
      <c r="R52" s="4">
        <v>706</v>
      </c>
      <c r="S52" s="4">
        <v>14</v>
      </c>
      <c r="T52" s="4">
        <v>0</v>
      </c>
      <c r="U52" s="4">
        <v>0</v>
      </c>
      <c r="V52" s="6">
        <f>IF(ISERROR(VLOOKUP($S$52,'TAR FIN'!$A$1:$O$93,15,0)),0,VLOOKUP($S$52,'TAR FIN'!$A$1:$O$93,15,0))</f>
        <v>8.08</v>
      </c>
      <c r="W52" s="6">
        <f>IF(ISERROR(VLOOKUP($T$52,'TAR FIN'!$A$1:$O$93,15,0)),0,VLOOKUP($T$52,'TAR FIN'!$A$1:$O$93,15,0))</f>
        <v>0</v>
      </c>
      <c r="X52" s="6">
        <f>IF(ISERROR(VLOOKUP($U$52,'TAR FIN'!$A$1:$O$93,15,0)),0,VLOOKUP($U$52,'TAR FIN'!$A$1:$O$93,15,0))</f>
        <v>0</v>
      </c>
      <c r="Y52" s="6">
        <f ca="1">('TUSD BE'!$AM$13+'TUSD BF'!$AM$13+'TUSD CVA'!$AM$13)*1</f>
        <v>16.12796715109398</v>
      </c>
      <c r="Z52" s="6"/>
      <c r="AA52" s="6"/>
      <c r="AB52" s="6">
        <f t="shared" si="0"/>
        <v>2848.2</v>
      </c>
      <c r="AC52" s="6">
        <f t="shared" si="1"/>
        <v>0</v>
      </c>
      <c r="AD52" s="6">
        <f t="shared" ca="1" si="2"/>
        <v>5685.1084207606282</v>
      </c>
      <c r="AE52" s="6">
        <f t="shared" si="3"/>
        <v>0</v>
      </c>
      <c r="AF52" s="4" t="s">
        <v>637</v>
      </c>
    </row>
    <row r="53" spans="1:32" ht="11.25" customHeight="1" x14ac:dyDescent="0.25">
      <c r="A53" s="4" t="s">
        <v>21</v>
      </c>
      <c r="B53" s="4" t="s">
        <v>35</v>
      </c>
      <c r="C53" s="4" t="s">
        <v>56</v>
      </c>
      <c r="D53" s="4" t="s">
        <v>25</v>
      </c>
      <c r="E53" s="4" t="s">
        <v>25</v>
      </c>
      <c r="F53" s="4" t="s">
        <v>25</v>
      </c>
      <c r="G53" s="4" t="s">
        <v>59</v>
      </c>
      <c r="H53" s="4" t="s">
        <v>25</v>
      </c>
      <c r="I53" s="5">
        <v>44440</v>
      </c>
      <c r="J53" s="6">
        <v>3700</v>
      </c>
      <c r="K53" s="6">
        <v>1850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58</v>
      </c>
      <c r="R53" s="4">
        <v>877</v>
      </c>
      <c r="S53" s="4">
        <v>14</v>
      </c>
      <c r="T53" s="4">
        <v>0</v>
      </c>
      <c r="U53" s="4">
        <v>0</v>
      </c>
      <c r="V53" s="6">
        <f>IF(ISERROR(VLOOKUP($S$53,'TAR FIN'!$A$1:$O$93,15,0)),0,VLOOKUP($S$53,'TAR FIN'!$A$1:$O$93,15,0))</f>
        <v>8.08</v>
      </c>
      <c r="W53" s="6">
        <f>IF(ISERROR(VLOOKUP($T$53,'TAR FIN'!$A$1:$O$93,15,0)),0,VLOOKUP($T$53,'TAR FIN'!$A$1:$O$93,15,0))</f>
        <v>0</v>
      </c>
      <c r="X53" s="6">
        <f>IF(ISERROR(VLOOKUP($U$53,'TAR FIN'!$A$1:$O$93,15,0)),0,VLOOKUP($U$53,'TAR FIN'!$A$1:$O$93,15,0))</f>
        <v>0</v>
      </c>
      <c r="Y53" s="6">
        <f ca="1">('TUSD BE'!$AM$13+'TUSD BF'!$AM$13+'TUSD CVA'!$AM$13)*1</f>
        <v>16.12796715109398</v>
      </c>
      <c r="Z53" s="6"/>
      <c r="AA53" s="6"/>
      <c r="AB53" s="6">
        <f t="shared" si="0"/>
        <v>14948</v>
      </c>
      <c r="AC53" s="6">
        <f t="shared" si="1"/>
        <v>0</v>
      </c>
      <c r="AD53" s="6">
        <f t="shared" ca="1" si="2"/>
        <v>29836.739229523864</v>
      </c>
      <c r="AE53" s="6">
        <f t="shared" si="3"/>
        <v>0</v>
      </c>
      <c r="AF53" s="4" t="s">
        <v>637</v>
      </c>
    </row>
    <row r="54" spans="1:32" ht="11.25" customHeight="1" x14ac:dyDescent="0.25">
      <c r="A54" s="4" t="s">
        <v>21</v>
      </c>
      <c r="B54" s="4" t="s">
        <v>35</v>
      </c>
      <c r="C54" s="4" t="s">
        <v>56</v>
      </c>
      <c r="D54" s="4" t="s">
        <v>25</v>
      </c>
      <c r="E54" s="4" t="s">
        <v>25</v>
      </c>
      <c r="F54" s="4" t="s">
        <v>25</v>
      </c>
      <c r="G54" s="4" t="s">
        <v>60</v>
      </c>
      <c r="H54" s="4" t="s">
        <v>25</v>
      </c>
      <c r="I54" s="5">
        <v>44440</v>
      </c>
      <c r="J54" s="6">
        <v>880</v>
      </c>
      <c r="K54" s="6">
        <v>440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58</v>
      </c>
      <c r="R54" s="4">
        <v>2317</v>
      </c>
      <c r="S54" s="4">
        <v>14</v>
      </c>
      <c r="T54" s="4">
        <v>0</v>
      </c>
      <c r="U54" s="4">
        <v>0</v>
      </c>
      <c r="V54" s="6">
        <f>IF(ISERROR(VLOOKUP($S$54,'TAR FIN'!$A$1:$O$93,15,0)),0,VLOOKUP($S$54,'TAR FIN'!$A$1:$O$93,15,0))</f>
        <v>8.08</v>
      </c>
      <c r="W54" s="6">
        <f>IF(ISERROR(VLOOKUP($T$54,'TAR FIN'!$A$1:$O$93,15,0)),0,VLOOKUP($T$54,'TAR FIN'!$A$1:$O$93,15,0))</f>
        <v>0</v>
      </c>
      <c r="X54" s="6">
        <f>IF(ISERROR(VLOOKUP($U$54,'TAR FIN'!$A$1:$O$93,15,0)),0,VLOOKUP($U$54,'TAR FIN'!$A$1:$O$93,15,0))</f>
        <v>0</v>
      </c>
      <c r="Y54" s="6">
        <f ca="1">('TUSD BE'!$AM$13+'TUSD BF'!$AM$13+'TUSD CVA'!$AM$13)*1</f>
        <v>16.12796715109398</v>
      </c>
      <c r="Z54" s="6"/>
      <c r="AA54" s="6"/>
      <c r="AB54" s="6">
        <f t="shared" si="0"/>
        <v>3555.2</v>
      </c>
      <c r="AC54" s="6">
        <f t="shared" si="1"/>
        <v>0</v>
      </c>
      <c r="AD54" s="6">
        <f t="shared" ca="1" si="2"/>
        <v>7096.3055464813515</v>
      </c>
      <c r="AE54" s="6">
        <f t="shared" si="3"/>
        <v>0</v>
      </c>
      <c r="AF54" s="4" t="s">
        <v>637</v>
      </c>
    </row>
    <row r="55" spans="1:32" ht="11.25" customHeight="1" x14ac:dyDescent="0.25">
      <c r="A55" s="4" t="s">
        <v>21</v>
      </c>
      <c r="B55" s="4" t="s">
        <v>35</v>
      </c>
      <c r="C55" s="4" t="s">
        <v>56</v>
      </c>
      <c r="D55" s="4" t="s">
        <v>25</v>
      </c>
      <c r="E55" s="4" t="s">
        <v>25</v>
      </c>
      <c r="F55" s="4" t="s">
        <v>25</v>
      </c>
      <c r="G55" s="4" t="s">
        <v>61</v>
      </c>
      <c r="H55" s="4" t="s">
        <v>25</v>
      </c>
      <c r="I55" s="5">
        <v>44440</v>
      </c>
      <c r="J55" s="6">
        <v>780</v>
      </c>
      <c r="K55" s="6">
        <v>390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58</v>
      </c>
      <c r="R55" s="4">
        <v>28915</v>
      </c>
      <c r="S55" s="4">
        <v>14</v>
      </c>
      <c r="T55" s="4">
        <v>0</v>
      </c>
      <c r="U55" s="4">
        <v>0</v>
      </c>
      <c r="V55" s="6">
        <f>IF(ISERROR(VLOOKUP($S$55,'TAR FIN'!$A$1:$O$93,15,0)),0,VLOOKUP($S$55,'TAR FIN'!$A$1:$O$93,15,0))</f>
        <v>8.08</v>
      </c>
      <c r="W55" s="6">
        <f>IF(ISERROR(VLOOKUP($T$55,'TAR FIN'!$A$1:$O$93,15,0)),0,VLOOKUP($T$55,'TAR FIN'!$A$1:$O$93,15,0))</f>
        <v>0</v>
      </c>
      <c r="X55" s="6">
        <f>IF(ISERROR(VLOOKUP($U$55,'TAR FIN'!$A$1:$O$93,15,0)),0,VLOOKUP($U$55,'TAR FIN'!$A$1:$O$93,15,0))</f>
        <v>0</v>
      </c>
      <c r="Y55" s="6">
        <f ca="1">('TUSD BE'!$AM$13+'TUSD BF'!$AM$13+'TUSD CVA'!$AM$13)*1</f>
        <v>16.12796715109398</v>
      </c>
      <c r="Z55" s="6"/>
      <c r="AA55" s="6"/>
      <c r="AB55" s="6">
        <f t="shared" si="0"/>
        <v>3151.2</v>
      </c>
      <c r="AC55" s="6">
        <f t="shared" si="1"/>
        <v>0</v>
      </c>
      <c r="AD55" s="6">
        <f t="shared" ca="1" si="2"/>
        <v>6289.9071889266525</v>
      </c>
      <c r="AE55" s="6">
        <f t="shared" si="3"/>
        <v>0</v>
      </c>
      <c r="AF55" s="4" t="s">
        <v>637</v>
      </c>
    </row>
    <row r="56" spans="1:32" ht="11.25" customHeight="1" x14ac:dyDescent="0.25">
      <c r="A56" s="4" t="s">
        <v>21</v>
      </c>
      <c r="B56" s="4" t="s">
        <v>35</v>
      </c>
      <c r="C56" s="4" t="s">
        <v>56</v>
      </c>
      <c r="D56" s="4" t="s">
        <v>25</v>
      </c>
      <c r="E56" s="4" t="s">
        <v>25</v>
      </c>
      <c r="F56" s="4" t="s">
        <v>25</v>
      </c>
      <c r="G56" s="4" t="s">
        <v>62</v>
      </c>
      <c r="H56" s="4" t="s">
        <v>25</v>
      </c>
      <c r="I56" s="5">
        <v>44440</v>
      </c>
      <c r="J56" s="6">
        <v>1280</v>
      </c>
      <c r="K56" s="6">
        <v>640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58</v>
      </c>
      <c r="R56" s="4">
        <v>31695</v>
      </c>
      <c r="S56" s="4">
        <v>14</v>
      </c>
      <c r="T56" s="4">
        <v>0</v>
      </c>
      <c r="U56" s="4">
        <v>0</v>
      </c>
      <c r="V56" s="6">
        <f>IF(ISERROR(VLOOKUP($S$56,'TAR FIN'!$A$1:$O$93,15,0)),0,VLOOKUP($S$56,'TAR FIN'!$A$1:$O$93,15,0))</f>
        <v>8.08</v>
      </c>
      <c r="W56" s="6">
        <f>IF(ISERROR(VLOOKUP($T$56,'TAR FIN'!$A$1:$O$93,15,0)),0,VLOOKUP($T$56,'TAR FIN'!$A$1:$O$93,15,0))</f>
        <v>0</v>
      </c>
      <c r="X56" s="6">
        <f>IF(ISERROR(VLOOKUP($U$56,'TAR FIN'!$A$1:$O$93,15,0)),0,VLOOKUP($U$56,'TAR FIN'!$A$1:$O$93,15,0))</f>
        <v>0</v>
      </c>
      <c r="Y56" s="6">
        <f ca="1">('TUSD BE'!$AM$13+'TUSD BF'!$AM$13+'TUSD CVA'!$AM$13)*1</f>
        <v>16.12796715109398</v>
      </c>
      <c r="Z56" s="6"/>
      <c r="AA56" s="6"/>
      <c r="AB56" s="6">
        <f t="shared" si="0"/>
        <v>5171.2</v>
      </c>
      <c r="AC56" s="6">
        <f t="shared" si="1"/>
        <v>0</v>
      </c>
      <c r="AD56" s="6">
        <f t="shared" ca="1" si="2"/>
        <v>10321.898976700148</v>
      </c>
      <c r="AE56" s="6">
        <f t="shared" si="3"/>
        <v>0</v>
      </c>
      <c r="AF56" s="4" t="s">
        <v>637</v>
      </c>
    </row>
    <row r="57" spans="1:32" ht="11.25" customHeight="1" x14ac:dyDescent="0.25">
      <c r="A57" s="4" t="s">
        <v>21</v>
      </c>
      <c r="B57" s="4" t="s">
        <v>35</v>
      </c>
      <c r="C57" s="4" t="s">
        <v>56</v>
      </c>
      <c r="D57" s="4" t="s">
        <v>25</v>
      </c>
      <c r="E57" s="4" t="s">
        <v>25</v>
      </c>
      <c r="F57" s="4" t="s">
        <v>25</v>
      </c>
      <c r="G57" s="4" t="s">
        <v>63</v>
      </c>
      <c r="H57" s="4" t="s">
        <v>25</v>
      </c>
      <c r="I57" s="5">
        <v>44440</v>
      </c>
      <c r="J57" s="6">
        <v>2425</v>
      </c>
      <c r="K57" s="6">
        <v>1212.5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58</v>
      </c>
      <c r="S57" s="4">
        <v>14</v>
      </c>
      <c r="T57" s="4">
        <v>0</v>
      </c>
      <c r="U57" s="4">
        <v>0</v>
      </c>
      <c r="V57" s="6">
        <f>IF(ISERROR(VLOOKUP($S$57,'TAR FIN'!$A$1:$O$93,15,0)),0,VLOOKUP($S$57,'TAR FIN'!$A$1:$O$93,15,0))</f>
        <v>8.08</v>
      </c>
      <c r="W57" s="6">
        <f>IF(ISERROR(VLOOKUP($T$57,'TAR FIN'!$A$1:$O$93,15,0)),0,VLOOKUP($T$57,'TAR FIN'!$A$1:$O$93,15,0))</f>
        <v>0</v>
      </c>
      <c r="X57" s="6">
        <f>IF(ISERROR(VLOOKUP($U$57,'TAR FIN'!$A$1:$O$93,15,0)),0,VLOOKUP($U$57,'TAR FIN'!$A$1:$O$93,15,0))</f>
        <v>0</v>
      </c>
      <c r="Y57" s="6">
        <f ca="1">('TUSD BE'!$AM$13+'TUSD BF'!$AM$13+'TUSD CVA'!$AM$13)*1</f>
        <v>16.12796715109398</v>
      </c>
      <c r="Z57" s="6"/>
      <c r="AA57" s="6"/>
      <c r="AB57" s="6">
        <f t="shared" si="0"/>
        <v>9797</v>
      </c>
      <c r="AC57" s="6">
        <f t="shared" si="1"/>
        <v>0</v>
      </c>
      <c r="AD57" s="6">
        <f t="shared" ca="1" si="2"/>
        <v>19555.160170701452</v>
      </c>
      <c r="AE57" s="6">
        <f t="shared" si="3"/>
        <v>0</v>
      </c>
      <c r="AF57" s="4" t="s">
        <v>637</v>
      </c>
    </row>
    <row r="58" spans="1:32" ht="11.25" customHeight="1" x14ac:dyDescent="0.25">
      <c r="A58" s="4" t="s">
        <v>21</v>
      </c>
      <c r="B58" s="4" t="s">
        <v>35</v>
      </c>
      <c r="C58" s="4" t="s">
        <v>56</v>
      </c>
      <c r="D58" s="4" t="s">
        <v>25</v>
      </c>
      <c r="E58" s="4" t="s">
        <v>25</v>
      </c>
      <c r="F58" s="4" t="s">
        <v>25</v>
      </c>
      <c r="G58" s="4" t="s">
        <v>64</v>
      </c>
      <c r="H58" s="4" t="s">
        <v>25</v>
      </c>
      <c r="I58" s="5">
        <v>44440</v>
      </c>
      <c r="J58" s="6">
        <v>1100</v>
      </c>
      <c r="K58" s="6">
        <v>550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58</v>
      </c>
      <c r="S58" s="4">
        <v>14</v>
      </c>
      <c r="T58" s="4">
        <v>0</v>
      </c>
      <c r="U58" s="4">
        <v>0</v>
      </c>
      <c r="V58" s="6">
        <f>IF(ISERROR(VLOOKUP($S$58,'TAR FIN'!$A$1:$O$93,15,0)),0,VLOOKUP($S$58,'TAR FIN'!$A$1:$O$93,15,0))</f>
        <v>8.08</v>
      </c>
      <c r="W58" s="6">
        <f>IF(ISERROR(VLOOKUP($T$58,'TAR FIN'!$A$1:$O$93,15,0)),0,VLOOKUP($T$58,'TAR FIN'!$A$1:$O$93,15,0))</f>
        <v>0</v>
      </c>
      <c r="X58" s="6">
        <f>IF(ISERROR(VLOOKUP($U$58,'TAR FIN'!$A$1:$O$93,15,0)),0,VLOOKUP($U$58,'TAR FIN'!$A$1:$O$93,15,0))</f>
        <v>0</v>
      </c>
      <c r="Y58" s="6">
        <f ca="1">('TUSD BE'!$AM$13+'TUSD BF'!$AM$13+'TUSD CVA'!$AM$13)*1</f>
        <v>16.12796715109398</v>
      </c>
      <c r="Z58" s="6"/>
      <c r="AA58" s="6"/>
      <c r="AB58" s="6">
        <f t="shared" si="0"/>
        <v>4444</v>
      </c>
      <c r="AC58" s="6">
        <f t="shared" si="1"/>
        <v>0</v>
      </c>
      <c r="AD58" s="6">
        <f t="shared" ca="1" si="2"/>
        <v>8870.3819331016894</v>
      </c>
      <c r="AE58" s="6">
        <f t="shared" si="3"/>
        <v>0</v>
      </c>
      <c r="AF58" s="4" t="s">
        <v>637</v>
      </c>
    </row>
    <row r="59" spans="1:32" ht="11.25" customHeight="1" x14ac:dyDescent="0.25">
      <c r="A59" s="4" t="s">
        <v>21</v>
      </c>
      <c r="B59" s="4" t="s">
        <v>35</v>
      </c>
      <c r="C59" s="4" t="s">
        <v>56</v>
      </c>
      <c r="D59" s="4" t="s">
        <v>25</v>
      </c>
      <c r="E59" s="4" t="s">
        <v>25</v>
      </c>
      <c r="F59" s="4" t="s">
        <v>25</v>
      </c>
      <c r="G59" s="4" t="s">
        <v>57</v>
      </c>
      <c r="H59" s="4" t="s">
        <v>25</v>
      </c>
      <c r="I59" s="5">
        <v>44470</v>
      </c>
      <c r="J59" s="6">
        <v>705</v>
      </c>
      <c r="K59" s="6">
        <v>352.5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58</v>
      </c>
      <c r="R59" s="4">
        <v>706</v>
      </c>
      <c r="S59" s="4">
        <v>14</v>
      </c>
      <c r="T59" s="4">
        <v>0</v>
      </c>
      <c r="U59" s="4">
        <v>0</v>
      </c>
      <c r="V59" s="6">
        <f>IF(ISERROR(VLOOKUP($S$59,'TAR FIN'!$A$1:$O$93,15,0)),0,VLOOKUP($S$59,'TAR FIN'!$A$1:$O$93,15,0))</f>
        <v>8.08</v>
      </c>
      <c r="W59" s="6">
        <f>IF(ISERROR(VLOOKUP($T$59,'TAR FIN'!$A$1:$O$93,15,0)),0,VLOOKUP($T$59,'TAR FIN'!$A$1:$O$93,15,0))</f>
        <v>0</v>
      </c>
      <c r="X59" s="6">
        <f>IF(ISERROR(VLOOKUP($U$59,'TAR FIN'!$A$1:$O$93,15,0)),0,VLOOKUP($U$59,'TAR FIN'!$A$1:$O$93,15,0))</f>
        <v>0</v>
      </c>
      <c r="Y59" s="6">
        <f ca="1">('TUSD BE'!$AM$13+'TUSD BF'!$AM$13+'TUSD CVA'!$AM$13)*1</f>
        <v>16.12796715109398</v>
      </c>
      <c r="Z59" s="6"/>
      <c r="AA59" s="6"/>
      <c r="AB59" s="6">
        <f t="shared" si="0"/>
        <v>2848.2</v>
      </c>
      <c r="AC59" s="6">
        <f t="shared" si="1"/>
        <v>0</v>
      </c>
      <c r="AD59" s="6">
        <f t="shared" ca="1" si="2"/>
        <v>5685.1084207606282</v>
      </c>
      <c r="AE59" s="6">
        <f t="shared" si="3"/>
        <v>0</v>
      </c>
      <c r="AF59" s="4" t="s">
        <v>637</v>
      </c>
    </row>
    <row r="60" spans="1:32" ht="11.25" customHeight="1" x14ac:dyDescent="0.25">
      <c r="A60" s="4" t="s">
        <v>21</v>
      </c>
      <c r="B60" s="4" t="s">
        <v>35</v>
      </c>
      <c r="C60" s="4" t="s">
        <v>56</v>
      </c>
      <c r="D60" s="4" t="s">
        <v>25</v>
      </c>
      <c r="E60" s="4" t="s">
        <v>25</v>
      </c>
      <c r="F60" s="4" t="s">
        <v>25</v>
      </c>
      <c r="G60" s="4" t="s">
        <v>59</v>
      </c>
      <c r="H60" s="4" t="s">
        <v>25</v>
      </c>
      <c r="I60" s="5">
        <v>44470</v>
      </c>
      <c r="J60" s="6">
        <v>3700</v>
      </c>
      <c r="K60" s="6">
        <v>1850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58</v>
      </c>
      <c r="R60" s="4">
        <v>877</v>
      </c>
      <c r="S60" s="4">
        <v>14</v>
      </c>
      <c r="T60" s="4">
        <v>0</v>
      </c>
      <c r="U60" s="4">
        <v>0</v>
      </c>
      <c r="V60" s="6">
        <f>IF(ISERROR(VLOOKUP($S$60,'TAR FIN'!$A$1:$O$93,15,0)),0,VLOOKUP($S$60,'TAR FIN'!$A$1:$O$93,15,0))</f>
        <v>8.08</v>
      </c>
      <c r="W60" s="6">
        <f>IF(ISERROR(VLOOKUP($T$60,'TAR FIN'!$A$1:$O$93,15,0)),0,VLOOKUP($T$60,'TAR FIN'!$A$1:$O$93,15,0))</f>
        <v>0</v>
      </c>
      <c r="X60" s="6">
        <f>IF(ISERROR(VLOOKUP($U$60,'TAR FIN'!$A$1:$O$93,15,0)),0,VLOOKUP($U$60,'TAR FIN'!$A$1:$O$93,15,0))</f>
        <v>0</v>
      </c>
      <c r="Y60" s="6">
        <f ca="1">('TUSD BE'!$AM$13+'TUSD BF'!$AM$13+'TUSD CVA'!$AM$13)*1</f>
        <v>16.12796715109398</v>
      </c>
      <c r="Z60" s="6"/>
      <c r="AA60" s="6"/>
      <c r="AB60" s="6">
        <f t="shared" si="0"/>
        <v>14948</v>
      </c>
      <c r="AC60" s="6">
        <f t="shared" si="1"/>
        <v>0</v>
      </c>
      <c r="AD60" s="6">
        <f t="shared" ca="1" si="2"/>
        <v>29836.739229523864</v>
      </c>
      <c r="AE60" s="6">
        <f t="shared" si="3"/>
        <v>0</v>
      </c>
      <c r="AF60" s="4" t="s">
        <v>637</v>
      </c>
    </row>
    <row r="61" spans="1:32" ht="11.25" customHeight="1" x14ac:dyDescent="0.25">
      <c r="A61" s="4" t="s">
        <v>21</v>
      </c>
      <c r="B61" s="4" t="s">
        <v>35</v>
      </c>
      <c r="C61" s="4" t="s">
        <v>56</v>
      </c>
      <c r="D61" s="4" t="s">
        <v>25</v>
      </c>
      <c r="E61" s="4" t="s">
        <v>25</v>
      </c>
      <c r="F61" s="4" t="s">
        <v>25</v>
      </c>
      <c r="G61" s="4" t="s">
        <v>60</v>
      </c>
      <c r="H61" s="4" t="s">
        <v>25</v>
      </c>
      <c r="I61" s="5">
        <v>44470</v>
      </c>
      <c r="J61" s="6">
        <v>880</v>
      </c>
      <c r="K61" s="6">
        <v>440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58</v>
      </c>
      <c r="R61" s="4">
        <v>2317</v>
      </c>
      <c r="S61" s="4">
        <v>14</v>
      </c>
      <c r="T61" s="4">
        <v>0</v>
      </c>
      <c r="U61" s="4">
        <v>0</v>
      </c>
      <c r="V61" s="6">
        <f>IF(ISERROR(VLOOKUP($S$61,'TAR FIN'!$A$1:$O$93,15,0)),0,VLOOKUP($S$61,'TAR FIN'!$A$1:$O$93,15,0))</f>
        <v>8.08</v>
      </c>
      <c r="W61" s="6">
        <f>IF(ISERROR(VLOOKUP($T$61,'TAR FIN'!$A$1:$O$93,15,0)),0,VLOOKUP($T$61,'TAR FIN'!$A$1:$O$93,15,0))</f>
        <v>0</v>
      </c>
      <c r="X61" s="6">
        <f>IF(ISERROR(VLOOKUP($U$61,'TAR FIN'!$A$1:$O$93,15,0)),0,VLOOKUP($U$61,'TAR FIN'!$A$1:$O$93,15,0))</f>
        <v>0</v>
      </c>
      <c r="Y61" s="6">
        <f ca="1">('TUSD BE'!$AM$13+'TUSD BF'!$AM$13+'TUSD CVA'!$AM$13)*1</f>
        <v>16.12796715109398</v>
      </c>
      <c r="Z61" s="6"/>
      <c r="AA61" s="6"/>
      <c r="AB61" s="6">
        <f t="shared" si="0"/>
        <v>3555.2</v>
      </c>
      <c r="AC61" s="6">
        <f t="shared" si="1"/>
        <v>0</v>
      </c>
      <c r="AD61" s="6">
        <f t="shared" ca="1" si="2"/>
        <v>7096.3055464813515</v>
      </c>
      <c r="AE61" s="6">
        <f t="shared" si="3"/>
        <v>0</v>
      </c>
      <c r="AF61" s="4" t="s">
        <v>637</v>
      </c>
    </row>
    <row r="62" spans="1:32" ht="11.25" customHeight="1" x14ac:dyDescent="0.25">
      <c r="A62" s="4" t="s">
        <v>21</v>
      </c>
      <c r="B62" s="4" t="s">
        <v>35</v>
      </c>
      <c r="C62" s="4" t="s">
        <v>56</v>
      </c>
      <c r="D62" s="4" t="s">
        <v>25</v>
      </c>
      <c r="E62" s="4" t="s">
        <v>25</v>
      </c>
      <c r="F62" s="4" t="s">
        <v>25</v>
      </c>
      <c r="G62" s="4" t="s">
        <v>61</v>
      </c>
      <c r="H62" s="4" t="s">
        <v>25</v>
      </c>
      <c r="I62" s="5">
        <v>44470</v>
      </c>
      <c r="J62" s="6">
        <v>780</v>
      </c>
      <c r="K62" s="6">
        <v>390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58</v>
      </c>
      <c r="R62" s="4">
        <v>28915</v>
      </c>
      <c r="S62" s="4">
        <v>14</v>
      </c>
      <c r="T62" s="4">
        <v>0</v>
      </c>
      <c r="U62" s="4">
        <v>0</v>
      </c>
      <c r="V62" s="6">
        <f>IF(ISERROR(VLOOKUP($S$62,'TAR FIN'!$A$1:$O$93,15,0)),0,VLOOKUP($S$62,'TAR FIN'!$A$1:$O$93,15,0))</f>
        <v>8.08</v>
      </c>
      <c r="W62" s="6">
        <f>IF(ISERROR(VLOOKUP($T$62,'TAR FIN'!$A$1:$O$93,15,0)),0,VLOOKUP($T$62,'TAR FIN'!$A$1:$O$93,15,0))</f>
        <v>0</v>
      </c>
      <c r="X62" s="6">
        <f>IF(ISERROR(VLOOKUP($U$62,'TAR FIN'!$A$1:$O$93,15,0)),0,VLOOKUP($U$62,'TAR FIN'!$A$1:$O$93,15,0))</f>
        <v>0</v>
      </c>
      <c r="Y62" s="6">
        <f ca="1">('TUSD BE'!$AM$13+'TUSD BF'!$AM$13+'TUSD CVA'!$AM$13)*1</f>
        <v>16.12796715109398</v>
      </c>
      <c r="Z62" s="6"/>
      <c r="AA62" s="6"/>
      <c r="AB62" s="6">
        <f t="shared" si="0"/>
        <v>3151.2</v>
      </c>
      <c r="AC62" s="6">
        <f t="shared" si="1"/>
        <v>0</v>
      </c>
      <c r="AD62" s="6">
        <f t="shared" ca="1" si="2"/>
        <v>6289.9071889266525</v>
      </c>
      <c r="AE62" s="6">
        <f t="shared" si="3"/>
        <v>0</v>
      </c>
      <c r="AF62" s="4" t="s">
        <v>637</v>
      </c>
    </row>
    <row r="63" spans="1:32" ht="11.25" customHeight="1" x14ac:dyDescent="0.25">
      <c r="A63" s="4" t="s">
        <v>21</v>
      </c>
      <c r="B63" s="4" t="s">
        <v>35</v>
      </c>
      <c r="C63" s="4" t="s">
        <v>56</v>
      </c>
      <c r="D63" s="4" t="s">
        <v>25</v>
      </c>
      <c r="E63" s="4" t="s">
        <v>25</v>
      </c>
      <c r="F63" s="4" t="s">
        <v>25</v>
      </c>
      <c r="G63" s="4" t="s">
        <v>62</v>
      </c>
      <c r="H63" s="4" t="s">
        <v>25</v>
      </c>
      <c r="I63" s="5">
        <v>44470</v>
      </c>
      <c r="J63" s="6">
        <v>1280</v>
      </c>
      <c r="K63" s="6">
        <v>640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58</v>
      </c>
      <c r="R63" s="4">
        <v>31695</v>
      </c>
      <c r="S63" s="4">
        <v>14</v>
      </c>
      <c r="T63" s="4">
        <v>0</v>
      </c>
      <c r="U63" s="4">
        <v>0</v>
      </c>
      <c r="V63" s="6">
        <f>IF(ISERROR(VLOOKUP($S$63,'TAR FIN'!$A$1:$O$93,15,0)),0,VLOOKUP($S$63,'TAR FIN'!$A$1:$O$93,15,0))</f>
        <v>8.08</v>
      </c>
      <c r="W63" s="6">
        <f>IF(ISERROR(VLOOKUP($T$63,'TAR FIN'!$A$1:$O$93,15,0)),0,VLOOKUP($T$63,'TAR FIN'!$A$1:$O$93,15,0))</f>
        <v>0</v>
      </c>
      <c r="X63" s="6">
        <f>IF(ISERROR(VLOOKUP($U$63,'TAR FIN'!$A$1:$O$93,15,0)),0,VLOOKUP($U$63,'TAR FIN'!$A$1:$O$93,15,0))</f>
        <v>0</v>
      </c>
      <c r="Y63" s="6">
        <f ca="1">('TUSD BE'!$AM$13+'TUSD BF'!$AM$13+'TUSD CVA'!$AM$13)*1</f>
        <v>16.12796715109398</v>
      </c>
      <c r="Z63" s="6"/>
      <c r="AA63" s="6"/>
      <c r="AB63" s="6">
        <f t="shared" si="0"/>
        <v>5171.2</v>
      </c>
      <c r="AC63" s="6">
        <f t="shared" si="1"/>
        <v>0</v>
      </c>
      <c r="AD63" s="6">
        <f t="shared" ca="1" si="2"/>
        <v>10321.898976700148</v>
      </c>
      <c r="AE63" s="6">
        <f t="shared" si="3"/>
        <v>0</v>
      </c>
      <c r="AF63" s="4" t="s">
        <v>637</v>
      </c>
    </row>
    <row r="64" spans="1:32" ht="11.25" customHeight="1" x14ac:dyDescent="0.25">
      <c r="A64" s="4" t="s">
        <v>21</v>
      </c>
      <c r="B64" s="4" t="s">
        <v>35</v>
      </c>
      <c r="C64" s="4" t="s">
        <v>56</v>
      </c>
      <c r="D64" s="4" t="s">
        <v>25</v>
      </c>
      <c r="E64" s="4" t="s">
        <v>25</v>
      </c>
      <c r="F64" s="4" t="s">
        <v>25</v>
      </c>
      <c r="G64" s="4" t="s">
        <v>63</v>
      </c>
      <c r="H64" s="4" t="s">
        <v>25</v>
      </c>
      <c r="I64" s="5">
        <v>44470</v>
      </c>
      <c r="J64" s="6">
        <v>2425</v>
      </c>
      <c r="K64" s="6">
        <v>1212.5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58</v>
      </c>
      <c r="S64" s="4">
        <v>14</v>
      </c>
      <c r="T64" s="4">
        <v>0</v>
      </c>
      <c r="U64" s="4">
        <v>0</v>
      </c>
      <c r="V64" s="6">
        <f>IF(ISERROR(VLOOKUP($S$64,'TAR FIN'!$A$1:$O$93,15,0)),0,VLOOKUP($S$64,'TAR FIN'!$A$1:$O$93,15,0))</f>
        <v>8.08</v>
      </c>
      <c r="W64" s="6">
        <f>IF(ISERROR(VLOOKUP($T$64,'TAR FIN'!$A$1:$O$93,15,0)),0,VLOOKUP($T$64,'TAR FIN'!$A$1:$O$93,15,0))</f>
        <v>0</v>
      </c>
      <c r="X64" s="6">
        <f>IF(ISERROR(VLOOKUP($U$64,'TAR FIN'!$A$1:$O$93,15,0)),0,VLOOKUP($U$64,'TAR FIN'!$A$1:$O$93,15,0))</f>
        <v>0</v>
      </c>
      <c r="Y64" s="6">
        <f ca="1">('TUSD BE'!$AM$13+'TUSD BF'!$AM$13+'TUSD CVA'!$AM$13)*1</f>
        <v>16.12796715109398</v>
      </c>
      <c r="Z64" s="6"/>
      <c r="AA64" s="6"/>
      <c r="AB64" s="6">
        <f t="shared" si="0"/>
        <v>9797</v>
      </c>
      <c r="AC64" s="6">
        <f t="shared" si="1"/>
        <v>0</v>
      </c>
      <c r="AD64" s="6">
        <f t="shared" ca="1" si="2"/>
        <v>19555.160170701452</v>
      </c>
      <c r="AE64" s="6">
        <f t="shared" si="3"/>
        <v>0</v>
      </c>
      <c r="AF64" s="4" t="s">
        <v>637</v>
      </c>
    </row>
    <row r="65" spans="1:32" ht="11.25" customHeight="1" x14ac:dyDescent="0.25">
      <c r="A65" s="4" t="s">
        <v>21</v>
      </c>
      <c r="B65" s="4" t="s">
        <v>35</v>
      </c>
      <c r="C65" s="4" t="s">
        <v>56</v>
      </c>
      <c r="D65" s="4" t="s">
        <v>25</v>
      </c>
      <c r="E65" s="4" t="s">
        <v>25</v>
      </c>
      <c r="F65" s="4" t="s">
        <v>25</v>
      </c>
      <c r="G65" s="4" t="s">
        <v>64</v>
      </c>
      <c r="H65" s="4" t="s">
        <v>25</v>
      </c>
      <c r="I65" s="5">
        <v>44470</v>
      </c>
      <c r="J65" s="6">
        <v>1100</v>
      </c>
      <c r="K65" s="6">
        <v>550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58</v>
      </c>
      <c r="S65" s="4">
        <v>14</v>
      </c>
      <c r="T65" s="4">
        <v>0</v>
      </c>
      <c r="U65" s="4">
        <v>0</v>
      </c>
      <c r="V65" s="6">
        <f>IF(ISERROR(VLOOKUP($S$65,'TAR FIN'!$A$1:$O$93,15,0)),0,VLOOKUP($S$65,'TAR FIN'!$A$1:$O$93,15,0))</f>
        <v>8.08</v>
      </c>
      <c r="W65" s="6">
        <f>IF(ISERROR(VLOOKUP($T$65,'TAR FIN'!$A$1:$O$93,15,0)),0,VLOOKUP($T$65,'TAR FIN'!$A$1:$O$93,15,0))</f>
        <v>0</v>
      </c>
      <c r="X65" s="6">
        <f>IF(ISERROR(VLOOKUP($U$65,'TAR FIN'!$A$1:$O$93,15,0)),0,VLOOKUP($U$65,'TAR FIN'!$A$1:$O$93,15,0))</f>
        <v>0</v>
      </c>
      <c r="Y65" s="6">
        <f ca="1">('TUSD BE'!$AM$13+'TUSD BF'!$AM$13+'TUSD CVA'!$AM$13)*1</f>
        <v>16.12796715109398</v>
      </c>
      <c r="Z65" s="6"/>
      <c r="AA65" s="6"/>
      <c r="AB65" s="6">
        <f t="shared" si="0"/>
        <v>4444</v>
      </c>
      <c r="AC65" s="6">
        <f t="shared" si="1"/>
        <v>0</v>
      </c>
      <c r="AD65" s="6">
        <f t="shared" ca="1" si="2"/>
        <v>8870.3819331016894</v>
      </c>
      <c r="AE65" s="6">
        <f t="shared" si="3"/>
        <v>0</v>
      </c>
      <c r="AF65" s="4" t="s">
        <v>637</v>
      </c>
    </row>
    <row r="66" spans="1:32" ht="11.25" customHeight="1" x14ac:dyDescent="0.25">
      <c r="A66" s="4" t="s">
        <v>21</v>
      </c>
      <c r="B66" s="4" t="s">
        <v>35</v>
      </c>
      <c r="C66" s="4" t="s">
        <v>56</v>
      </c>
      <c r="D66" s="4" t="s">
        <v>25</v>
      </c>
      <c r="E66" s="4" t="s">
        <v>25</v>
      </c>
      <c r="F66" s="4" t="s">
        <v>25</v>
      </c>
      <c r="G66" s="4" t="s">
        <v>57</v>
      </c>
      <c r="H66" s="4" t="s">
        <v>25</v>
      </c>
      <c r="I66" s="5">
        <v>44501</v>
      </c>
      <c r="J66" s="6">
        <v>705</v>
      </c>
      <c r="K66" s="6">
        <v>352.5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58</v>
      </c>
      <c r="R66" s="4">
        <v>706</v>
      </c>
      <c r="S66" s="4">
        <v>14</v>
      </c>
      <c r="T66" s="4">
        <v>0</v>
      </c>
      <c r="U66" s="4">
        <v>0</v>
      </c>
      <c r="V66" s="6">
        <f>IF(ISERROR(VLOOKUP($S$66,'TAR FIN'!$A$1:$O$93,15,0)),0,VLOOKUP($S$66,'TAR FIN'!$A$1:$O$93,15,0))</f>
        <v>8.08</v>
      </c>
      <c r="W66" s="6">
        <f>IF(ISERROR(VLOOKUP($T$66,'TAR FIN'!$A$1:$O$93,15,0)),0,VLOOKUP($T$66,'TAR FIN'!$A$1:$O$93,15,0))</f>
        <v>0</v>
      </c>
      <c r="X66" s="6">
        <f>IF(ISERROR(VLOOKUP($U$66,'TAR FIN'!$A$1:$O$93,15,0)),0,VLOOKUP($U$66,'TAR FIN'!$A$1:$O$93,15,0))</f>
        <v>0</v>
      </c>
      <c r="Y66" s="6">
        <f ca="1">('TUSD BE'!$AM$13+'TUSD BF'!$AM$13+'TUSD CVA'!$AM$13)*1</f>
        <v>16.12796715109398</v>
      </c>
      <c r="Z66" s="6"/>
      <c r="AA66" s="6"/>
      <c r="AB66" s="6">
        <f t="shared" ref="AB66:AB129" si="6">(J66-K66)*V66</f>
        <v>2848.2</v>
      </c>
      <c r="AC66" s="6">
        <f t="shared" ref="AC66:AC129" si="7">(L66-M66)*W66+(N66-O66)*X66</f>
        <v>0</v>
      </c>
      <c r="AD66" s="6">
        <f t="shared" ref="AD66:AD129" ca="1" si="8">(J66-K66)*Y66</f>
        <v>5685.1084207606282</v>
      </c>
      <c r="AE66" s="6">
        <f t="shared" ref="AE66:AE129" si="9">(L66-M66)*Z66+(N66-O66)*AA66</f>
        <v>0</v>
      </c>
      <c r="AF66" s="4" t="s">
        <v>637</v>
      </c>
    </row>
    <row r="67" spans="1:32" ht="11.25" customHeight="1" x14ac:dyDescent="0.25">
      <c r="A67" s="4" t="s">
        <v>21</v>
      </c>
      <c r="B67" s="4" t="s">
        <v>35</v>
      </c>
      <c r="C67" s="4" t="s">
        <v>56</v>
      </c>
      <c r="D67" s="4" t="s">
        <v>25</v>
      </c>
      <c r="E67" s="4" t="s">
        <v>25</v>
      </c>
      <c r="F67" s="4" t="s">
        <v>25</v>
      </c>
      <c r="G67" s="4" t="s">
        <v>59</v>
      </c>
      <c r="H67" s="4" t="s">
        <v>25</v>
      </c>
      <c r="I67" s="5">
        <v>44501</v>
      </c>
      <c r="J67" s="6">
        <v>3700</v>
      </c>
      <c r="K67" s="6">
        <v>1850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58</v>
      </c>
      <c r="R67" s="4">
        <v>877</v>
      </c>
      <c r="S67" s="4">
        <v>14</v>
      </c>
      <c r="T67" s="4">
        <v>0</v>
      </c>
      <c r="U67" s="4">
        <v>0</v>
      </c>
      <c r="V67" s="6">
        <f>IF(ISERROR(VLOOKUP($S$67,'TAR FIN'!$A$1:$O$93,15,0)),0,VLOOKUP($S$67,'TAR FIN'!$A$1:$O$93,15,0))</f>
        <v>8.08</v>
      </c>
      <c r="W67" s="6">
        <f>IF(ISERROR(VLOOKUP($T$67,'TAR FIN'!$A$1:$O$93,15,0)),0,VLOOKUP($T$67,'TAR FIN'!$A$1:$O$93,15,0))</f>
        <v>0</v>
      </c>
      <c r="X67" s="6">
        <f>IF(ISERROR(VLOOKUP($U$67,'TAR FIN'!$A$1:$O$93,15,0)),0,VLOOKUP($U$67,'TAR FIN'!$A$1:$O$93,15,0))</f>
        <v>0</v>
      </c>
      <c r="Y67" s="6">
        <f ca="1">('TUSD BE'!$AM$13+'TUSD BF'!$AM$13+'TUSD CVA'!$AM$13)*1</f>
        <v>16.12796715109398</v>
      </c>
      <c r="Z67" s="6"/>
      <c r="AA67" s="6"/>
      <c r="AB67" s="6">
        <f t="shared" si="6"/>
        <v>14948</v>
      </c>
      <c r="AC67" s="6">
        <f t="shared" si="7"/>
        <v>0</v>
      </c>
      <c r="AD67" s="6">
        <f t="shared" ca="1" si="8"/>
        <v>29836.739229523864</v>
      </c>
      <c r="AE67" s="6">
        <f t="shared" si="9"/>
        <v>0</v>
      </c>
      <c r="AF67" s="4" t="s">
        <v>637</v>
      </c>
    </row>
    <row r="68" spans="1:32" ht="11.25" customHeight="1" x14ac:dyDescent="0.25">
      <c r="A68" s="4" t="s">
        <v>21</v>
      </c>
      <c r="B68" s="4" t="s">
        <v>35</v>
      </c>
      <c r="C68" s="4" t="s">
        <v>56</v>
      </c>
      <c r="D68" s="4" t="s">
        <v>25</v>
      </c>
      <c r="E68" s="4" t="s">
        <v>25</v>
      </c>
      <c r="F68" s="4" t="s">
        <v>25</v>
      </c>
      <c r="G68" s="4" t="s">
        <v>60</v>
      </c>
      <c r="H68" s="4" t="s">
        <v>25</v>
      </c>
      <c r="I68" s="5">
        <v>44501</v>
      </c>
      <c r="J68" s="6">
        <v>880</v>
      </c>
      <c r="K68" s="6">
        <v>440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58</v>
      </c>
      <c r="R68" s="4">
        <v>2317</v>
      </c>
      <c r="S68" s="4">
        <v>14</v>
      </c>
      <c r="T68" s="4">
        <v>0</v>
      </c>
      <c r="U68" s="4">
        <v>0</v>
      </c>
      <c r="V68" s="6">
        <f>IF(ISERROR(VLOOKUP($S$68,'TAR FIN'!$A$1:$O$93,15,0)),0,VLOOKUP($S$68,'TAR FIN'!$A$1:$O$93,15,0))</f>
        <v>8.08</v>
      </c>
      <c r="W68" s="6">
        <f>IF(ISERROR(VLOOKUP($T$68,'TAR FIN'!$A$1:$O$93,15,0)),0,VLOOKUP($T$68,'TAR FIN'!$A$1:$O$93,15,0))</f>
        <v>0</v>
      </c>
      <c r="X68" s="6">
        <f>IF(ISERROR(VLOOKUP($U$68,'TAR FIN'!$A$1:$O$93,15,0)),0,VLOOKUP($U$68,'TAR FIN'!$A$1:$O$93,15,0))</f>
        <v>0</v>
      </c>
      <c r="Y68" s="6">
        <f ca="1">('TUSD BE'!$AM$13+'TUSD BF'!$AM$13+'TUSD CVA'!$AM$13)*1</f>
        <v>16.12796715109398</v>
      </c>
      <c r="Z68" s="6"/>
      <c r="AA68" s="6"/>
      <c r="AB68" s="6">
        <f t="shared" si="6"/>
        <v>3555.2</v>
      </c>
      <c r="AC68" s="6">
        <f t="shared" si="7"/>
        <v>0</v>
      </c>
      <c r="AD68" s="6">
        <f t="shared" ca="1" si="8"/>
        <v>7096.3055464813515</v>
      </c>
      <c r="AE68" s="6">
        <f t="shared" si="9"/>
        <v>0</v>
      </c>
      <c r="AF68" s="4" t="s">
        <v>637</v>
      </c>
    </row>
    <row r="69" spans="1:32" ht="11.25" customHeight="1" x14ac:dyDescent="0.25">
      <c r="A69" s="4" t="s">
        <v>21</v>
      </c>
      <c r="B69" s="4" t="s">
        <v>35</v>
      </c>
      <c r="C69" s="4" t="s">
        <v>56</v>
      </c>
      <c r="D69" s="4" t="s">
        <v>25</v>
      </c>
      <c r="E69" s="4" t="s">
        <v>25</v>
      </c>
      <c r="F69" s="4" t="s">
        <v>25</v>
      </c>
      <c r="G69" s="4" t="s">
        <v>61</v>
      </c>
      <c r="H69" s="4" t="s">
        <v>25</v>
      </c>
      <c r="I69" s="5">
        <v>44501</v>
      </c>
      <c r="J69" s="6">
        <v>780</v>
      </c>
      <c r="K69" s="6">
        <v>390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58</v>
      </c>
      <c r="R69" s="4">
        <v>28915</v>
      </c>
      <c r="S69" s="4">
        <v>14</v>
      </c>
      <c r="T69" s="4">
        <v>0</v>
      </c>
      <c r="U69" s="4">
        <v>0</v>
      </c>
      <c r="V69" s="6">
        <f>IF(ISERROR(VLOOKUP($S$69,'TAR FIN'!$A$1:$O$93,15,0)),0,VLOOKUP($S$69,'TAR FIN'!$A$1:$O$93,15,0))</f>
        <v>8.08</v>
      </c>
      <c r="W69" s="6">
        <f>IF(ISERROR(VLOOKUP($T$69,'TAR FIN'!$A$1:$O$93,15,0)),0,VLOOKUP($T$69,'TAR FIN'!$A$1:$O$93,15,0))</f>
        <v>0</v>
      </c>
      <c r="X69" s="6">
        <f>IF(ISERROR(VLOOKUP($U$69,'TAR FIN'!$A$1:$O$93,15,0)),0,VLOOKUP($U$69,'TAR FIN'!$A$1:$O$93,15,0))</f>
        <v>0</v>
      </c>
      <c r="Y69" s="6">
        <f ca="1">('TUSD BE'!$AM$13+'TUSD BF'!$AM$13+'TUSD CVA'!$AM$13)*1</f>
        <v>16.12796715109398</v>
      </c>
      <c r="Z69" s="6"/>
      <c r="AA69" s="6"/>
      <c r="AB69" s="6">
        <f t="shared" si="6"/>
        <v>3151.2</v>
      </c>
      <c r="AC69" s="6">
        <f t="shared" si="7"/>
        <v>0</v>
      </c>
      <c r="AD69" s="6">
        <f t="shared" ca="1" si="8"/>
        <v>6289.9071889266525</v>
      </c>
      <c r="AE69" s="6">
        <f t="shared" si="9"/>
        <v>0</v>
      </c>
      <c r="AF69" s="4" t="s">
        <v>637</v>
      </c>
    </row>
    <row r="70" spans="1:32" ht="11.25" customHeight="1" x14ac:dyDescent="0.25">
      <c r="A70" s="4" t="s">
        <v>21</v>
      </c>
      <c r="B70" s="4" t="s">
        <v>35</v>
      </c>
      <c r="C70" s="4" t="s">
        <v>56</v>
      </c>
      <c r="D70" s="4" t="s">
        <v>25</v>
      </c>
      <c r="E70" s="4" t="s">
        <v>25</v>
      </c>
      <c r="F70" s="4" t="s">
        <v>25</v>
      </c>
      <c r="G70" s="4" t="s">
        <v>62</v>
      </c>
      <c r="H70" s="4" t="s">
        <v>25</v>
      </c>
      <c r="I70" s="5">
        <v>44501</v>
      </c>
      <c r="J70" s="6">
        <v>1280</v>
      </c>
      <c r="K70" s="6">
        <v>640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58</v>
      </c>
      <c r="R70" s="4">
        <v>31695</v>
      </c>
      <c r="S70" s="4">
        <v>14</v>
      </c>
      <c r="T70" s="4">
        <v>0</v>
      </c>
      <c r="U70" s="4">
        <v>0</v>
      </c>
      <c r="V70" s="6">
        <f>IF(ISERROR(VLOOKUP($S$70,'TAR FIN'!$A$1:$O$93,15,0)),0,VLOOKUP($S$70,'TAR FIN'!$A$1:$O$93,15,0))</f>
        <v>8.08</v>
      </c>
      <c r="W70" s="6">
        <f>IF(ISERROR(VLOOKUP($T$70,'TAR FIN'!$A$1:$O$93,15,0)),0,VLOOKUP($T$70,'TAR FIN'!$A$1:$O$93,15,0))</f>
        <v>0</v>
      </c>
      <c r="X70" s="6">
        <f>IF(ISERROR(VLOOKUP($U$70,'TAR FIN'!$A$1:$O$93,15,0)),0,VLOOKUP($U$70,'TAR FIN'!$A$1:$O$93,15,0))</f>
        <v>0</v>
      </c>
      <c r="Y70" s="6">
        <f ca="1">('TUSD BE'!$AM$13+'TUSD BF'!$AM$13+'TUSD CVA'!$AM$13)*1</f>
        <v>16.12796715109398</v>
      </c>
      <c r="Z70" s="6"/>
      <c r="AA70" s="6"/>
      <c r="AB70" s="6">
        <f t="shared" si="6"/>
        <v>5171.2</v>
      </c>
      <c r="AC70" s="6">
        <f t="shared" si="7"/>
        <v>0</v>
      </c>
      <c r="AD70" s="6">
        <f t="shared" ca="1" si="8"/>
        <v>10321.898976700148</v>
      </c>
      <c r="AE70" s="6">
        <f t="shared" si="9"/>
        <v>0</v>
      </c>
      <c r="AF70" s="4" t="s">
        <v>637</v>
      </c>
    </row>
    <row r="71" spans="1:32" ht="11.25" customHeight="1" x14ac:dyDescent="0.25">
      <c r="A71" s="4" t="s">
        <v>21</v>
      </c>
      <c r="B71" s="4" t="s">
        <v>35</v>
      </c>
      <c r="C71" s="4" t="s">
        <v>56</v>
      </c>
      <c r="D71" s="4" t="s">
        <v>25</v>
      </c>
      <c r="E71" s="4" t="s">
        <v>25</v>
      </c>
      <c r="F71" s="4" t="s">
        <v>25</v>
      </c>
      <c r="G71" s="4" t="s">
        <v>63</v>
      </c>
      <c r="H71" s="4" t="s">
        <v>25</v>
      </c>
      <c r="I71" s="5">
        <v>44501</v>
      </c>
      <c r="J71" s="6">
        <v>2425</v>
      </c>
      <c r="K71" s="6">
        <v>1212.5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58</v>
      </c>
      <c r="S71" s="4">
        <v>14</v>
      </c>
      <c r="T71" s="4">
        <v>0</v>
      </c>
      <c r="U71" s="4">
        <v>0</v>
      </c>
      <c r="V71" s="6">
        <f>IF(ISERROR(VLOOKUP($S$71,'TAR FIN'!$A$1:$O$93,15,0)),0,VLOOKUP($S$71,'TAR FIN'!$A$1:$O$93,15,0))</f>
        <v>8.08</v>
      </c>
      <c r="W71" s="6">
        <f>IF(ISERROR(VLOOKUP($T$71,'TAR FIN'!$A$1:$O$93,15,0)),0,VLOOKUP($T$71,'TAR FIN'!$A$1:$O$93,15,0))</f>
        <v>0</v>
      </c>
      <c r="X71" s="6">
        <f>IF(ISERROR(VLOOKUP($U$71,'TAR FIN'!$A$1:$O$93,15,0)),0,VLOOKUP($U$71,'TAR FIN'!$A$1:$O$93,15,0))</f>
        <v>0</v>
      </c>
      <c r="Y71" s="6">
        <f ca="1">('TUSD BE'!$AM$13+'TUSD BF'!$AM$13+'TUSD CVA'!$AM$13)*1</f>
        <v>16.12796715109398</v>
      </c>
      <c r="Z71" s="6"/>
      <c r="AA71" s="6"/>
      <c r="AB71" s="6">
        <f t="shared" si="6"/>
        <v>9797</v>
      </c>
      <c r="AC71" s="6">
        <f t="shared" si="7"/>
        <v>0</v>
      </c>
      <c r="AD71" s="6">
        <f t="shared" ca="1" si="8"/>
        <v>19555.160170701452</v>
      </c>
      <c r="AE71" s="6">
        <f t="shared" si="9"/>
        <v>0</v>
      </c>
      <c r="AF71" s="4" t="s">
        <v>637</v>
      </c>
    </row>
    <row r="72" spans="1:32" ht="11.25" customHeight="1" x14ac:dyDescent="0.25">
      <c r="A72" s="4" t="s">
        <v>21</v>
      </c>
      <c r="B72" s="4" t="s">
        <v>35</v>
      </c>
      <c r="C72" s="4" t="s">
        <v>56</v>
      </c>
      <c r="D72" s="4" t="s">
        <v>25</v>
      </c>
      <c r="E72" s="4" t="s">
        <v>25</v>
      </c>
      <c r="F72" s="4" t="s">
        <v>25</v>
      </c>
      <c r="G72" s="4" t="s">
        <v>64</v>
      </c>
      <c r="H72" s="4" t="s">
        <v>25</v>
      </c>
      <c r="I72" s="5">
        <v>44501</v>
      </c>
      <c r="J72" s="6">
        <v>1100</v>
      </c>
      <c r="K72" s="6">
        <v>550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58</v>
      </c>
      <c r="S72" s="4">
        <v>14</v>
      </c>
      <c r="T72" s="4">
        <v>0</v>
      </c>
      <c r="U72" s="4">
        <v>0</v>
      </c>
      <c r="V72" s="6">
        <f>IF(ISERROR(VLOOKUP($S$72,'TAR FIN'!$A$1:$O$93,15,0)),0,VLOOKUP($S$72,'TAR FIN'!$A$1:$O$93,15,0))</f>
        <v>8.08</v>
      </c>
      <c r="W72" s="6">
        <f>IF(ISERROR(VLOOKUP($T$72,'TAR FIN'!$A$1:$O$93,15,0)),0,VLOOKUP($T$72,'TAR FIN'!$A$1:$O$93,15,0))</f>
        <v>0</v>
      </c>
      <c r="X72" s="6">
        <f>IF(ISERROR(VLOOKUP($U$72,'TAR FIN'!$A$1:$O$93,15,0)),0,VLOOKUP($U$72,'TAR FIN'!$A$1:$O$93,15,0))</f>
        <v>0</v>
      </c>
      <c r="Y72" s="6">
        <f ca="1">('TUSD BE'!$AM$13+'TUSD BF'!$AM$13+'TUSD CVA'!$AM$13)*1</f>
        <v>16.12796715109398</v>
      </c>
      <c r="Z72" s="6"/>
      <c r="AA72" s="6"/>
      <c r="AB72" s="6">
        <f t="shared" si="6"/>
        <v>4444</v>
      </c>
      <c r="AC72" s="6">
        <f t="shared" si="7"/>
        <v>0</v>
      </c>
      <c r="AD72" s="6">
        <f t="shared" ca="1" si="8"/>
        <v>8870.3819331016894</v>
      </c>
      <c r="AE72" s="6">
        <f t="shared" si="9"/>
        <v>0</v>
      </c>
      <c r="AF72" s="4" t="s">
        <v>637</v>
      </c>
    </row>
    <row r="73" spans="1:32" ht="11.25" customHeight="1" x14ac:dyDescent="0.25">
      <c r="A73" s="4" t="s">
        <v>65</v>
      </c>
      <c r="B73" s="4" t="s">
        <v>35</v>
      </c>
      <c r="C73" s="4" t="s">
        <v>56</v>
      </c>
      <c r="D73" s="4" t="s">
        <v>25</v>
      </c>
      <c r="E73" s="4" t="s">
        <v>25</v>
      </c>
      <c r="F73" s="4" t="s">
        <v>25</v>
      </c>
      <c r="G73" s="4" t="s">
        <v>57</v>
      </c>
      <c r="H73" s="4" t="s">
        <v>25</v>
      </c>
      <c r="I73" s="5">
        <v>44531</v>
      </c>
      <c r="J73" s="6">
        <v>705</v>
      </c>
      <c r="K73" s="6">
        <v>352.5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58</v>
      </c>
      <c r="R73" s="4">
        <v>706</v>
      </c>
      <c r="S73" s="4">
        <v>14</v>
      </c>
      <c r="T73" s="4">
        <v>0</v>
      </c>
      <c r="U73" s="4">
        <v>0</v>
      </c>
      <c r="V73" s="6">
        <f>IF(ISERROR(VLOOKUP($S$73,'TAR FIN'!$A$1:$O$93,15,0)),0,VLOOKUP($S$73,'TAR FIN'!$A$1:$O$93,15,0))</f>
        <v>8.08</v>
      </c>
      <c r="W73" s="6">
        <f>IF(ISERROR(VLOOKUP($T$73,'TAR FIN'!$A$1:$O$93,15,0)),0,VLOOKUP($T$73,'TAR FIN'!$A$1:$O$93,15,0))</f>
        <v>0</v>
      </c>
      <c r="X73" s="6">
        <f>IF(ISERROR(VLOOKUP($U$73,'TAR FIN'!$A$1:$O$93,15,0)),0,VLOOKUP($U$73,'TAR FIN'!$A$1:$O$93,15,0))</f>
        <v>0</v>
      </c>
      <c r="Y73" s="6">
        <f ca="1">('TUSD BE'!$AM$13+'TUSD BF'!$AM$13+'TUSD CVA'!$AM$13)*1</f>
        <v>16.12796715109398</v>
      </c>
      <c r="Z73" s="6"/>
      <c r="AA73" s="6"/>
      <c r="AB73" s="6">
        <f t="shared" si="6"/>
        <v>2848.2</v>
      </c>
      <c r="AC73" s="6">
        <f t="shared" si="7"/>
        <v>0</v>
      </c>
      <c r="AD73" s="6">
        <f t="shared" ca="1" si="8"/>
        <v>5685.1084207606282</v>
      </c>
      <c r="AE73" s="6">
        <f t="shared" si="9"/>
        <v>0</v>
      </c>
      <c r="AF73" s="4" t="s">
        <v>637</v>
      </c>
    </row>
    <row r="74" spans="1:32" ht="11.25" customHeight="1" x14ac:dyDescent="0.25">
      <c r="A74" s="4" t="s">
        <v>65</v>
      </c>
      <c r="B74" s="4" t="s">
        <v>35</v>
      </c>
      <c r="C74" s="4" t="s">
        <v>56</v>
      </c>
      <c r="D74" s="4" t="s">
        <v>25</v>
      </c>
      <c r="E74" s="4" t="s">
        <v>25</v>
      </c>
      <c r="F74" s="4" t="s">
        <v>25</v>
      </c>
      <c r="G74" s="4" t="s">
        <v>59</v>
      </c>
      <c r="H74" s="4" t="s">
        <v>25</v>
      </c>
      <c r="I74" s="5">
        <v>44531</v>
      </c>
      <c r="J74" s="6">
        <v>3700</v>
      </c>
      <c r="K74" s="6">
        <v>1850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58</v>
      </c>
      <c r="R74" s="4">
        <v>877</v>
      </c>
      <c r="S74" s="4">
        <v>14</v>
      </c>
      <c r="T74" s="4">
        <v>0</v>
      </c>
      <c r="U74" s="4">
        <v>0</v>
      </c>
      <c r="V74" s="6">
        <f>IF(ISERROR(VLOOKUP($S$74,'TAR FIN'!$A$1:$O$93,15,0)),0,VLOOKUP($S$74,'TAR FIN'!$A$1:$O$93,15,0))</f>
        <v>8.08</v>
      </c>
      <c r="W74" s="6">
        <f>IF(ISERROR(VLOOKUP($T$74,'TAR FIN'!$A$1:$O$93,15,0)),0,VLOOKUP($T$74,'TAR FIN'!$A$1:$O$93,15,0))</f>
        <v>0</v>
      </c>
      <c r="X74" s="6">
        <f>IF(ISERROR(VLOOKUP($U$74,'TAR FIN'!$A$1:$O$93,15,0)),0,VLOOKUP($U$74,'TAR FIN'!$A$1:$O$93,15,0))</f>
        <v>0</v>
      </c>
      <c r="Y74" s="6">
        <f ca="1">('TUSD BE'!$AM$13+'TUSD BF'!$AM$13+'TUSD CVA'!$AM$13)*1</f>
        <v>16.12796715109398</v>
      </c>
      <c r="Z74" s="6"/>
      <c r="AA74" s="6"/>
      <c r="AB74" s="6">
        <f t="shared" si="6"/>
        <v>14948</v>
      </c>
      <c r="AC74" s="6">
        <f t="shared" si="7"/>
        <v>0</v>
      </c>
      <c r="AD74" s="6">
        <f t="shared" ca="1" si="8"/>
        <v>29836.739229523864</v>
      </c>
      <c r="AE74" s="6">
        <f t="shared" si="9"/>
        <v>0</v>
      </c>
      <c r="AF74" s="4" t="s">
        <v>637</v>
      </c>
    </row>
    <row r="75" spans="1:32" ht="11.25" customHeight="1" x14ac:dyDescent="0.25">
      <c r="A75" s="4" t="s">
        <v>65</v>
      </c>
      <c r="B75" s="4" t="s">
        <v>35</v>
      </c>
      <c r="C75" s="4" t="s">
        <v>56</v>
      </c>
      <c r="D75" s="4" t="s">
        <v>25</v>
      </c>
      <c r="E75" s="4" t="s">
        <v>25</v>
      </c>
      <c r="F75" s="4" t="s">
        <v>25</v>
      </c>
      <c r="G75" s="4" t="s">
        <v>60</v>
      </c>
      <c r="H75" s="4" t="s">
        <v>25</v>
      </c>
      <c r="I75" s="5">
        <v>44531</v>
      </c>
      <c r="J75" s="6">
        <v>880</v>
      </c>
      <c r="K75" s="6">
        <v>440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58</v>
      </c>
      <c r="R75" s="4">
        <v>2317</v>
      </c>
      <c r="S75" s="4">
        <v>14</v>
      </c>
      <c r="T75" s="4">
        <v>0</v>
      </c>
      <c r="U75" s="4">
        <v>0</v>
      </c>
      <c r="V75" s="6">
        <f>IF(ISERROR(VLOOKUP($S$75,'TAR FIN'!$A$1:$O$93,15,0)),0,VLOOKUP($S$75,'TAR FIN'!$A$1:$O$93,15,0))</f>
        <v>8.08</v>
      </c>
      <c r="W75" s="6">
        <f>IF(ISERROR(VLOOKUP($T$75,'TAR FIN'!$A$1:$O$93,15,0)),0,VLOOKUP($T$75,'TAR FIN'!$A$1:$O$93,15,0))</f>
        <v>0</v>
      </c>
      <c r="X75" s="6">
        <f>IF(ISERROR(VLOOKUP($U$75,'TAR FIN'!$A$1:$O$93,15,0)),0,VLOOKUP($U$75,'TAR FIN'!$A$1:$O$93,15,0))</f>
        <v>0</v>
      </c>
      <c r="Y75" s="6">
        <f ca="1">('TUSD BE'!$AM$13+'TUSD BF'!$AM$13+'TUSD CVA'!$AM$13)*1</f>
        <v>16.12796715109398</v>
      </c>
      <c r="Z75" s="6"/>
      <c r="AA75" s="6"/>
      <c r="AB75" s="6">
        <f t="shared" si="6"/>
        <v>3555.2</v>
      </c>
      <c r="AC75" s="6">
        <f t="shared" si="7"/>
        <v>0</v>
      </c>
      <c r="AD75" s="6">
        <f t="shared" ca="1" si="8"/>
        <v>7096.3055464813515</v>
      </c>
      <c r="AE75" s="6">
        <f t="shared" si="9"/>
        <v>0</v>
      </c>
      <c r="AF75" s="4" t="s">
        <v>637</v>
      </c>
    </row>
    <row r="76" spans="1:32" ht="11.25" customHeight="1" x14ac:dyDescent="0.25">
      <c r="A76" s="4" t="s">
        <v>65</v>
      </c>
      <c r="B76" s="4" t="s">
        <v>35</v>
      </c>
      <c r="C76" s="4" t="s">
        <v>56</v>
      </c>
      <c r="D76" s="4" t="s">
        <v>25</v>
      </c>
      <c r="E76" s="4" t="s">
        <v>25</v>
      </c>
      <c r="F76" s="4" t="s">
        <v>25</v>
      </c>
      <c r="G76" s="4" t="s">
        <v>61</v>
      </c>
      <c r="H76" s="4" t="s">
        <v>25</v>
      </c>
      <c r="I76" s="5">
        <v>44531</v>
      </c>
      <c r="J76" s="6">
        <v>780</v>
      </c>
      <c r="K76" s="6">
        <v>390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58</v>
      </c>
      <c r="R76" s="4">
        <v>28915</v>
      </c>
      <c r="S76" s="4">
        <v>14</v>
      </c>
      <c r="T76" s="4">
        <v>0</v>
      </c>
      <c r="U76" s="4">
        <v>0</v>
      </c>
      <c r="V76" s="6">
        <f>IF(ISERROR(VLOOKUP($S$76,'TAR FIN'!$A$1:$O$93,15,0)),0,VLOOKUP($S$76,'TAR FIN'!$A$1:$O$93,15,0))</f>
        <v>8.08</v>
      </c>
      <c r="W76" s="6">
        <f>IF(ISERROR(VLOOKUP($T$76,'TAR FIN'!$A$1:$O$93,15,0)),0,VLOOKUP($T$76,'TAR FIN'!$A$1:$O$93,15,0))</f>
        <v>0</v>
      </c>
      <c r="X76" s="6">
        <f>IF(ISERROR(VLOOKUP($U$76,'TAR FIN'!$A$1:$O$93,15,0)),0,VLOOKUP($U$76,'TAR FIN'!$A$1:$O$93,15,0))</f>
        <v>0</v>
      </c>
      <c r="Y76" s="6">
        <f ca="1">('TUSD BE'!$AM$13+'TUSD BF'!$AM$13+'TUSD CVA'!$AM$13)*1</f>
        <v>16.12796715109398</v>
      </c>
      <c r="Z76" s="6"/>
      <c r="AA76" s="6"/>
      <c r="AB76" s="6">
        <f t="shared" si="6"/>
        <v>3151.2</v>
      </c>
      <c r="AC76" s="6">
        <f t="shared" si="7"/>
        <v>0</v>
      </c>
      <c r="AD76" s="6">
        <f t="shared" ca="1" si="8"/>
        <v>6289.9071889266525</v>
      </c>
      <c r="AE76" s="6">
        <f t="shared" si="9"/>
        <v>0</v>
      </c>
      <c r="AF76" s="4" t="s">
        <v>637</v>
      </c>
    </row>
    <row r="77" spans="1:32" ht="11.25" customHeight="1" x14ac:dyDescent="0.25">
      <c r="A77" s="4" t="s">
        <v>65</v>
      </c>
      <c r="B77" s="4" t="s">
        <v>35</v>
      </c>
      <c r="C77" s="4" t="s">
        <v>56</v>
      </c>
      <c r="D77" s="4" t="s">
        <v>25</v>
      </c>
      <c r="E77" s="4" t="s">
        <v>25</v>
      </c>
      <c r="F77" s="4" t="s">
        <v>25</v>
      </c>
      <c r="G77" s="4" t="s">
        <v>62</v>
      </c>
      <c r="H77" s="4" t="s">
        <v>25</v>
      </c>
      <c r="I77" s="5">
        <v>44531</v>
      </c>
      <c r="J77" s="6">
        <v>1280</v>
      </c>
      <c r="K77" s="6">
        <v>640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58</v>
      </c>
      <c r="R77" s="4">
        <v>31695</v>
      </c>
      <c r="S77" s="4">
        <v>14</v>
      </c>
      <c r="T77" s="4">
        <v>0</v>
      </c>
      <c r="U77" s="4">
        <v>0</v>
      </c>
      <c r="V77" s="6">
        <f>IF(ISERROR(VLOOKUP($S$77,'TAR FIN'!$A$1:$O$93,15,0)),0,VLOOKUP($S$77,'TAR FIN'!$A$1:$O$93,15,0))</f>
        <v>8.08</v>
      </c>
      <c r="W77" s="6">
        <f>IF(ISERROR(VLOOKUP($T$77,'TAR FIN'!$A$1:$O$93,15,0)),0,VLOOKUP($T$77,'TAR FIN'!$A$1:$O$93,15,0))</f>
        <v>0</v>
      </c>
      <c r="X77" s="6">
        <f>IF(ISERROR(VLOOKUP($U$77,'TAR FIN'!$A$1:$O$93,15,0)),0,VLOOKUP($U$77,'TAR FIN'!$A$1:$O$93,15,0))</f>
        <v>0</v>
      </c>
      <c r="Y77" s="6">
        <f ca="1">('TUSD BE'!$AM$13+'TUSD BF'!$AM$13+'TUSD CVA'!$AM$13)*1</f>
        <v>16.12796715109398</v>
      </c>
      <c r="Z77" s="6"/>
      <c r="AA77" s="6"/>
      <c r="AB77" s="6">
        <f t="shared" si="6"/>
        <v>5171.2</v>
      </c>
      <c r="AC77" s="6">
        <f t="shared" si="7"/>
        <v>0</v>
      </c>
      <c r="AD77" s="6">
        <f t="shared" ca="1" si="8"/>
        <v>10321.898976700148</v>
      </c>
      <c r="AE77" s="6">
        <f t="shared" si="9"/>
        <v>0</v>
      </c>
      <c r="AF77" s="4" t="s">
        <v>637</v>
      </c>
    </row>
    <row r="78" spans="1:32" ht="11.25" customHeight="1" x14ac:dyDescent="0.25">
      <c r="A78" s="4" t="s">
        <v>65</v>
      </c>
      <c r="B78" s="4" t="s">
        <v>35</v>
      </c>
      <c r="C78" s="4" t="s">
        <v>56</v>
      </c>
      <c r="D78" s="4" t="s">
        <v>25</v>
      </c>
      <c r="E78" s="4" t="s">
        <v>25</v>
      </c>
      <c r="F78" s="4" t="s">
        <v>25</v>
      </c>
      <c r="G78" s="4" t="s">
        <v>63</v>
      </c>
      <c r="H78" s="4" t="s">
        <v>25</v>
      </c>
      <c r="I78" s="5">
        <v>44531</v>
      </c>
      <c r="J78" s="6">
        <v>2425</v>
      </c>
      <c r="K78" s="6">
        <v>1212.5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58</v>
      </c>
      <c r="S78" s="4">
        <v>14</v>
      </c>
      <c r="T78" s="4">
        <v>0</v>
      </c>
      <c r="U78" s="4">
        <v>0</v>
      </c>
      <c r="V78" s="6">
        <f>IF(ISERROR(VLOOKUP($S$78,'TAR FIN'!$A$1:$O$93,15,0)),0,VLOOKUP($S$78,'TAR FIN'!$A$1:$O$93,15,0))</f>
        <v>8.08</v>
      </c>
      <c r="W78" s="6">
        <f>IF(ISERROR(VLOOKUP($T$78,'TAR FIN'!$A$1:$O$93,15,0)),0,VLOOKUP($T$78,'TAR FIN'!$A$1:$O$93,15,0))</f>
        <v>0</v>
      </c>
      <c r="X78" s="6">
        <f>IF(ISERROR(VLOOKUP($U$78,'TAR FIN'!$A$1:$O$93,15,0)),0,VLOOKUP($U$78,'TAR FIN'!$A$1:$O$93,15,0))</f>
        <v>0</v>
      </c>
      <c r="Y78" s="6">
        <f ca="1">('TUSD BE'!$AM$13+'TUSD BF'!$AM$13+'TUSD CVA'!$AM$13)*1</f>
        <v>16.12796715109398</v>
      </c>
      <c r="Z78" s="6"/>
      <c r="AA78" s="6"/>
      <c r="AB78" s="6">
        <f t="shared" si="6"/>
        <v>9797</v>
      </c>
      <c r="AC78" s="6">
        <f t="shared" si="7"/>
        <v>0</v>
      </c>
      <c r="AD78" s="6">
        <f t="shared" ca="1" si="8"/>
        <v>19555.160170701452</v>
      </c>
      <c r="AE78" s="6">
        <f t="shared" si="9"/>
        <v>0</v>
      </c>
      <c r="AF78" s="4" t="s">
        <v>637</v>
      </c>
    </row>
    <row r="79" spans="1:32" ht="11.25" customHeight="1" x14ac:dyDescent="0.25">
      <c r="A79" s="4" t="s">
        <v>65</v>
      </c>
      <c r="B79" s="4" t="s">
        <v>35</v>
      </c>
      <c r="C79" s="4" t="s">
        <v>56</v>
      </c>
      <c r="D79" s="4" t="s">
        <v>25</v>
      </c>
      <c r="E79" s="4" t="s">
        <v>25</v>
      </c>
      <c r="F79" s="4" t="s">
        <v>25</v>
      </c>
      <c r="G79" s="4" t="s">
        <v>64</v>
      </c>
      <c r="H79" s="4" t="s">
        <v>25</v>
      </c>
      <c r="I79" s="5">
        <v>44531</v>
      </c>
      <c r="J79" s="6">
        <v>1100</v>
      </c>
      <c r="K79" s="6">
        <v>550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58</v>
      </c>
      <c r="S79" s="4">
        <v>14</v>
      </c>
      <c r="T79" s="4">
        <v>0</v>
      </c>
      <c r="U79" s="4">
        <v>0</v>
      </c>
      <c r="V79" s="6">
        <f>IF(ISERROR(VLOOKUP($S$79,'TAR FIN'!$A$1:$O$93,15,0)),0,VLOOKUP($S$79,'TAR FIN'!$A$1:$O$93,15,0))</f>
        <v>8.08</v>
      </c>
      <c r="W79" s="6">
        <f>IF(ISERROR(VLOOKUP($T$79,'TAR FIN'!$A$1:$O$93,15,0)),0,VLOOKUP($T$79,'TAR FIN'!$A$1:$O$93,15,0))</f>
        <v>0</v>
      </c>
      <c r="X79" s="6">
        <f>IF(ISERROR(VLOOKUP($U$79,'TAR FIN'!$A$1:$O$93,15,0)),0,VLOOKUP($U$79,'TAR FIN'!$A$1:$O$93,15,0))</f>
        <v>0</v>
      </c>
      <c r="Y79" s="6">
        <f ca="1">('TUSD BE'!$AM$13+'TUSD BF'!$AM$13+'TUSD CVA'!$AM$13)*1</f>
        <v>16.12796715109398</v>
      </c>
      <c r="Z79" s="6"/>
      <c r="AA79" s="6"/>
      <c r="AB79" s="6">
        <f t="shared" si="6"/>
        <v>4444</v>
      </c>
      <c r="AC79" s="6">
        <f t="shared" si="7"/>
        <v>0</v>
      </c>
      <c r="AD79" s="6">
        <f t="shared" ca="1" si="8"/>
        <v>8870.3819331016894</v>
      </c>
      <c r="AE79" s="6">
        <f t="shared" si="9"/>
        <v>0</v>
      </c>
      <c r="AF79" s="4" t="s">
        <v>637</v>
      </c>
    </row>
    <row r="80" spans="1:32" ht="11.25" customHeight="1" x14ac:dyDescent="0.25">
      <c r="A80" s="4" t="s">
        <v>21</v>
      </c>
      <c r="B80" s="4" t="s">
        <v>35</v>
      </c>
      <c r="C80" s="4" t="s">
        <v>56</v>
      </c>
      <c r="D80" s="4" t="s">
        <v>25</v>
      </c>
      <c r="E80" s="4" t="s">
        <v>25</v>
      </c>
      <c r="F80" s="4" t="s">
        <v>25</v>
      </c>
      <c r="G80" s="4" t="s">
        <v>57</v>
      </c>
      <c r="H80" s="4" t="s">
        <v>25</v>
      </c>
      <c r="I80" s="5">
        <v>44562</v>
      </c>
      <c r="J80" s="6">
        <v>705</v>
      </c>
      <c r="K80" s="6">
        <v>352.5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58</v>
      </c>
      <c r="R80" s="4">
        <v>706</v>
      </c>
      <c r="S80" s="4">
        <v>14</v>
      </c>
      <c r="T80" s="4">
        <v>0</v>
      </c>
      <c r="U80" s="4">
        <v>0</v>
      </c>
      <c r="V80" s="6">
        <f>IF(ISERROR(VLOOKUP($S$80,'TAR FIN'!$A$1:$O$93,15,0)),0,VLOOKUP($S$80,'TAR FIN'!$A$1:$O$93,15,0))</f>
        <v>8.08</v>
      </c>
      <c r="W80" s="6">
        <f>IF(ISERROR(VLOOKUP($T$80,'TAR FIN'!$A$1:$O$93,15,0)),0,VLOOKUP($T$80,'TAR FIN'!$A$1:$O$93,15,0))</f>
        <v>0</v>
      </c>
      <c r="X80" s="6">
        <f>IF(ISERROR(VLOOKUP($U$80,'TAR FIN'!$A$1:$O$93,15,0)),0,VLOOKUP($U$80,'TAR FIN'!$A$1:$O$93,15,0))</f>
        <v>0</v>
      </c>
      <c r="Y80" s="6">
        <f ca="1">('TUSD BE'!$AM$13+'TUSD BF'!$AM$13+'TUSD CVA'!$AM$13)*1</f>
        <v>16.12796715109398</v>
      </c>
      <c r="Z80" s="6"/>
      <c r="AA80" s="6"/>
      <c r="AB80" s="6">
        <f t="shared" si="6"/>
        <v>2848.2</v>
      </c>
      <c r="AC80" s="6">
        <f t="shared" si="7"/>
        <v>0</v>
      </c>
      <c r="AD80" s="6">
        <f t="shared" ca="1" si="8"/>
        <v>5685.1084207606282</v>
      </c>
      <c r="AE80" s="6">
        <f t="shared" si="9"/>
        <v>0</v>
      </c>
      <c r="AF80" s="4" t="s">
        <v>637</v>
      </c>
    </row>
    <row r="81" spans="1:32" ht="11.25" customHeight="1" x14ac:dyDescent="0.25">
      <c r="A81" s="4" t="s">
        <v>21</v>
      </c>
      <c r="B81" s="4" t="s">
        <v>35</v>
      </c>
      <c r="C81" s="4" t="s">
        <v>56</v>
      </c>
      <c r="D81" s="4" t="s">
        <v>25</v>
      </c>
      <c r="E81" s="4" t="s">
        <v>25</v>
      </c>
      <c r="F81" s="4" t="s">
        <v>25</v>
      </c>
      <c r="G81" s="4" t="s">
        <v>59</v>
      </c>
      <c r="H81" s="4" t="s">
        <v>25</v>
      </c>
      <c r="I81" s="5">
        <v>44562</v>
      </c>
      <c r="J81" s="6">
        <v>3700</v>
      </c>
      <c r="K81" s="6">
        <v>1850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58</v>
      </c>
      <c r="R81" s="4">
        <v>877</v>
      </c>
      <c r="S81" s="4">
        <v>14</v>
      </c>
      <c r="T81" s="4">
        <v>0</v>
      </c>
      <c r="U81" s="4">
        <v>0</v>
      </c>
      <c r="V81" s="6">
        <f>IF(ISERROR(VLOOKUP($S$81,'TAR FIN'!$A$1:$O$93,15,0)),0,VLOOKUP($S$81,'TAR FIN'!$A$1:$O$93,15,0))</f>
        <v>8.08</v>
      </c>
      <c r="W81" s="6">
        <f>IF(ISERROR(VLOOKUP($T$81,'TAR FIN'!$A$1:$O$93,15,0)),0,VLOOKUP($T$81,'TAR FIN'!$A$1:$O$93,15,0))</f>
        <v>0</v>
      </c>
      <c r="X81" s="6">
        <f>IF(ISERROR(VLOOKUP($U$81,'TAR FIN'!$A$1:$O$93,15,0)),0,VLOOKUP($U$81,'TAR FIN'!$A$1:$O$93,15,0))</f>
        <v>0</v>
      </c>
      <c r="Y81" s="6">
        <f ca="1">('TUSD BE'!$AM$13+'TUSD BF'!$AM$13+'TUSD CVA'!$AM$13)*1</f>
        <v>16.12796715109398</v>
      </c>
      <c r="Z81" s="6"/>
      <c r="AA81" s="6"/>
      <c r="AB81" s="6">
        <f t="shared" si="6"/>
        <v>14948</v>
      </c>
      <c r="AC81" s="6">
        <f t="shared" si="7"/>
        <v>0</v>
      </c>
      <c r="AD81" s="6">
        <f t="shared" ca="1" si="8"/>
        <v>29836.739229523864</v>
      </c>
      <c r="AE81" s="6">
        <f t="shared" si="9"/>
        <v>0</v>
      </c>
      <c r="AF81" s="4" t="s">
        <v>637</v>
      </c>
    </row>
    <row r="82" spans="1:32" ht="11.25" customHeight="1" x14ac:dyDescent="0.25">
      <c r="A82" s="4" t="s">
        <v>21</v>
      </c>
      <c r="B82" s="4" t="s">
        <v>35</v>
      </c>
      <c r="C82" s="4" t="s">
        <v>56</v>
      </c>
      <c r="D82" s="4" t="s">
        <v>25</v>
      </c>
      <c r="E82" s="4" t="s">
        <v>25</v>
      </c>
      <c r="F82" s="4" t="s">
        <v>25</v>
      </c>
      <c r="G82" s="4" t="s">
        <v>60</v>
      </c>
      <c r="H82" s="4" t="s">
        <v>25</v>
      </c>
      <c r="I82" s="5">
        <v>44562</v>
      </c>
      <c r="J82" s="6">
        <v>880</v>
      </c>
      <c r="K82" s="6">
        <v>440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58</v>
      </c>
      <c r="R82" s="4">
        <v>2317</v>
      </c>
      <c r="S82" s="4">
        <v>14</v>
      </c>
      <c r="T82" s="4">
        <v>0</v>
      </c>
      <c r="U82" s="4">
        <v>0</v>
      </c>
      <c r="V82" s="6">
        <f>IF(ISERROR(VLOOKUP($S$82,'TAR FIN'!$A$1:$O$93,15,0)),0,VLOOKUP($S$82,'TAR FIN'!$A$1:$O$93,15,0))</f>
        <v>8.08</v>
      </c>
      <c r="W82" s="6">
        <f>IF(ISERROR(VLOOKUP($T$82,'TAR FIN'!$A$1:$O$93,15,0)),0,VLOOKUP($T$82,'TAR FIN'!$A$1:$O$93,15,0))</f>
        <v>0</v>
      </c>
      <c r="X82" s="6">
        <f>IF(ISERROR(VLOOKUP($U$82,'TAR FIN'!$A$1:$O$93,15,0)),0,VLOOKUP($U$82,'TAR FIN'!$A$1:$O$93,15,0))</f>
        <v>0</v>
      </c>
      <c r="Y82" s="6">
        <f ca="1">('TUSD BE'!$AM$13+'TUSD BF'!$AM$13+'TUSD CVA'!$AM$13)*1</f>
        <v>16.12796715109398</v>
      </c>
      <c r="Z82" s="6"/>
      <c r="AA82" s="6"/>
      <c r="AB82" s="6">
        <f t="shared" si="6"/>
        <v>3555.2</v>
      </c>
      <c r="AC82" s="6">
        <f t="shared" si="7"/>
        <v>0</v>
      </c>
      <c r="AD82" s="6">
        <f t="shared" ca="1" si="8"/>
        <v>7096.3055464813515</v>
      </c>
      <c r="AE82" s="6">
        <f t="shared" si="9"/>
        <v>0</v>
      </c>
      <c r="AF82" s="4" t="s">
        <v>637</v>
      </c>
    </row>
    <row r="83" spans="1:32" ht="11.25" customHeight="1" x14ac:dyDescent="0.25">
      <c r="A83" s="4" t="s">
        <v>21</v>
      </c>
      <c r="B83" s="4" t="s">
        <v>35</v>
      </c>
      <c r="C83" s="4" t="s">
        <v>56</v>
      </c>
      <c r="D83" s="4" t="s">
        <v>25</v>
      </c>
      <c r="E83" s="4" t="s">
        <v>25</v>
      </c>
      <c r="F83" s="4" t="s">
        <v>25</v>
      </c>
      <c r="G83" s="4" t="s">
        <v>61</v>
      </c>
      <c r="H83" s="4" t="s">
        <v>25</v>
      </c>
      <c r="I83" s="5">
        <v>44562</v>
      </c>
      <c r="J83" s="6">
        <v>780</v>
      </c>
      <c r="K83" s="6">
        <v>390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58</v>
      </c>
      <c r="R83" s="4">
        <v>28915</v>
      </c>
      <c r="S83" s="4">
        <v>14</v>
      </c>
      <c r="T83" s="4">
        <v>0</v>
      </c>
      <c r="U83" s="4">
        <v>0</v>
      </c>
      <c r="V83" s="6">
        <f>IF(ISERROR(VLOOKUP($S$83,'TAR FIN'!$A$1:$O$93,15,0)),0,VLOOKUP($S$83,'TAR FIN'!$A$1:$O$93,15,0))</f>
        <v>8.08</v>
      </c>
      <c r="W83" s="6">
        <f>IF(ISERROR(VLOOKUP($T$83,'TAR FIN'!$A$1:$O$93,15,0)),0,VLOOKUP($T$83,'TAR FIN'!$A$1:$O$93,15,0))</f>
        <v>0</v>
      </c>
      <c r="X83" s="6">
        <f>IF(ISERROR(VLOOKUP($U$83,'TAR FIN'!$A$1:$O$93,15,0)),0,VLOOKUP($U$83,'TAR FIN'!$A$1:$O$93,15,0))</f>
        <v>0</v>
      </c>
      <c r="Y83" s="6">
        <f ca="1">('TUSD BE'!$AM$13+'TUSD BF'!$AM$13+'TUSD CVA'!$AM$13)*1</f>
        <v>16.12796715109398</v>
      </c>
      <c r="Z83" s="6"/>
      <c r="AA83" s="6"/>
      <c r="AB83" s="6">
        <f t="shared" si="6"/>
        <v>3151.2</v>
      </c>
      <c r="AC83" s="6">
        <f t="shared" si="7"/>
        <v>0</v>
      </c>
      <c r="AD83" s="6">
        <f t="shared" ca="1" si="8"/>
        <v>6289.9071889266525</v>
      </c>
      <c r="AE83" s="6">
        <f t="shared" si="9"/>
        <v>0</v>
      </c>
      <c r="AF83" s="4" t="s">
        <v>637</v>
      </c>
    </row>
    <row r="84" spans="1:32" ht="11.25" customHeight="1" x14ac:dyDescent="0.25">
      <c r="A84" s="4" t="s">
        <v>21</v>
      </c>
      <c r="B84" s="4" t="s">
        <v>35</v>
      </c>
      <c r="C84" s="4" t="s">
        <v>56</v>
      </c>
      <c r="D84" s="4" t="s">
        <v>25</v>
      </c>
      <c r="E84" s="4" t="s">
        <v>25</v>
      </c>
      <c r="F84" s="4" t="s">
        <v>25</v>
      </c>
      <c r="G84" s="4" t="s">
        <v>62</v>
      </c>
      <c r="H84" s="4" t="s">
        <v>25</v>
      </c>
      <c r="I84" s="5">
        <v>44562</v>
      </c>
      <c r="J84" s="6">
        <v>1280</v>
      </c>
      <c r="K84" s="6">
        <v>640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4" t="s">
        <v>58</v>
      </c>
      <c r="R84" s="4">
        <v>31695</v>
      </c>
      <c r="S84" s="4">
        <v>14</v>
      </c>
      <c r="T84" s="4">
        <v>0</v>
      </c>
      <c r="U84" s="4">
        <v>0</v>
      </c>
      <c r="V84" s="6">
        <f>IF(ISERROR(VLOOKUP($S$84,'TAR FIN'!$A$1:$O$93,15,0)),0,VLOOKUP($S$84,'TAR FIN'!$A$1:$O$93,15,0))</f>
        <v>8.08</v>
      </c>
      <c r="W84" s="6">
        <f>IF(ISERROR(VLOOKUP($T$84,'TAR FIN'!$A$1:$O$93,15,0)),0,VLOOKUP($T$84,'TAR FIN'!$A$1:$O$93,15,0))</f>
        <v>0</v>
      </c>
      <c r="X84" s="6">
        <f>IF(ISERROR(VLOOKUP($U$84,'TAR FIN'!$A$1:$O$93,15,0)),0,VLOOKUP($U$84,'TAR FIN'!$A$1:$O$93,15,0))</f>
        <v>0</v>
      </c>
      <c r="Y84" s="6">
        <f ca="1">('TUSD BE'!$AM$13+'TUSD BF'!$AM$13+'TUSD CVA'!$AM$13)*1</f>
        <v>16.12796715109398</v>
      </c>
      <c r="Z84" s="6"/>
      <c r="AA84" s="6"/>
      <c r="AB84" s="6">
        <f t="shared" si="6"/>
        <v>5171.2</v>
      </c>
      <c r="AC84" s="6">
        <f t="shared" si="7"/>
        <v>0</v>
      </c>
      <c r="AD84" s="6">
        <f t="shared" ca="1" si="8"/>
        <v>10321.898976700148</v>
      </c>
      <c r="AE84" s="6">
        <f t="shared" si="9"/>
        <v>0</v>
      </c>
      <c r="AF84" s="4" t="s">
        <v>637</v>
      </c>
    </row>
    <row r="85" spans="1:32" ht="11.25" customHeight="1" x14ac:dyDescent="0.25">
      <c r="A85" s="4" t="s">
        <v>21</v>
      </c>
      <c r="B85" s="4" t="s">
        <v>35</v>
      </c>
      <c r="C85" s="4" t="s">
        <v>56</v>
      </c>
      <c r="D85" s="4" t="s">
        <v>25</v>
      </c>
      <c r="E85" s="4" t="s">
        <v>25</v>
      </c>
      <c r="F85" s="4" t="s">
        <v>25</v>
      </c>
      <c r="G85" s="4" t="s">
        <v>63</v>
      </c>
      <c r="H85" s="4" t="s">
        <v>25</v>
      </c>
      <c r="I85" s="5">
        <v>44562</v>
      </c>
      <c r="J85" s="6">
        <v>2425</v>
      </c>
      <c r="K85" s="6">
        <v>1212.5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58</v>
      </c>
      <c r="S85" s="4">
        <v>14</v>
      </c>
      <c r="T85" s="4">
        <v>0</v>
      </c>
      <c r="U85" s="4">
        <v>0</v>
      </c>
      <c r="V85" s="6">
        <f>IF(ISERROR(VLOOKUP($S$85,'TAR FIN'!$A$1:$O$93,15,0)),0,VLOOKUP($S$85,'TAR FIN'!$A$1:$O$93,15,0))</f>
        <v>8.08</v>
      </c>
      <c r="W85" s="6">
        <f>IF(ISERROR(VLOOKUP($T$85,'TAR FIN'!$A$1:$O$93,15,0)),0,VLOOKUP($T$85,'TAR FIN'!$A$1:$O$93,15,0))</f>
        <v>0</v>
      </c>
      <c r="X85" s="6">
        <f>IF(ISERROR(VLOOKUP($U$85,'TAR FIN'!$A$1:$O$93,15,0)),0,VLOOKUP($U$85,'TAR FIN'!$A$1:$O$93,15,0))</f>
        <v>0</v>
      </c>
      <c r="Y85" s="6">
        <f ca="1">('TUSD BE'!$AM$13+'TUSD BF'!$AM$13+'TUSD CVA'!$AM$13)*1</f>
        <v>16.12796715109398</v>
      </c>
      <c r="Z85" s="6"/>
      <c r="AA85" s="6"/>
      <c r="AB85" s="6">
        <f t="shared" si="6"/>
        <v>9797</v>
      </c>
      <c r="AC85" s="6">
        <f t="shared" si="7"/>
        <v>0</v>
      </c>
      <c r="AD85" s="6">
        <f t="shared" ca="1" si="8"/>
        <v>19555.160170701452</v>
      </c>
      <c r="AE85" s="6">
        <f t="shared" si="9"/>
        <v>0</v>
      </c>
      <c r="AF85" s="4" t="s">
        <v>637</v>
      </c>
    </row>
    <row r="86" spans="1:32" ht="11.25" customHeight="1" x14ac:dyDescent="0.25">
      <c r="A86" s="4" t="s">
        <v>21</v>
      </c>
      <c r="B86" s="4" t="s">
        <v>35</v>
      </c>
      <c r="C86" s="4" t="s">
        <v>56</v>
      </c>
      <c r="D86" s="4" t="s">
        <v>25</v>
      </c>
      <c r="E86" s="4" t="s">
        <v>25</v>
      </c>
      <c r="F86" s="4" t="s">
        <v>25</v>
      </c>
      <c r="G86" s="4" t="s">
        <v>64</v>
      </c>
      <c r="H86" s="4" t="s">
        <v>25</v>
      </c>
      <c r="I86" s="5">
        <v>44562</v>
      </c>
      <c r="J86" s="6">
        <v>1100</v>
      </c>
      <c r="K86" s="6">
        <v>550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4" t="s">
        <v>58</v>
      </c>
      <c r="S86" s="4">
        <v>14</v>
      </c>
      <c r="T86" s="4">
        <v>0</v>
      </c>
      <c r="U86" s="4">
        <v>0</v>
      </c>
      <c r="V86" s="6">
        <f>IF(ISERROR(VLOOKUP($S$86,'TAR FIN'!$A$1:$O$93,15,0)),0,VLOOKUP($S$86,'TAR FIN'!$A$1:$O$93,15,0))</f>
        <v>8.08</v>
      </c>
      <c r="W86" s="6">
        <f>IF(ISERROR(VLOOKUP($T$86,'TAR FIN'!$A$1:$O$93,15,0)),0,VLOOKUP($T$86,'TAR FIN'!$A$1:$O$93,15,0))</f>
        <v>0</v>
      </c>
      <c r="X86" s="6">
        <f>IF(ISERROR(VLOOKUP($U$86,'TAR FIN'!$A$1:$O$93,15,0)),0,VLOOKUP($U$86,'TAR FIN'!$A$1:$O$93,15,0))</f>
        <v>0</v>
      </c>
      <c r="Y86" s="6">
        <f ca="1">('TUSD BE'!$AM$13+'TUSD BF'!$AM$13+'TUSD CVA'!$AM$13)*1</f>
        <v>16.12796715109398</v>
      </c>
      <c r="Z86" s="6"/>
      <c r="AA86" s="6"/>
      <c r="AB86" s="6">
        <f t="shared" si="6"/>
        <v>4444</v>
      </c>
      <c r="AC86" s="6">
        <f t="shared" si="7"/>
        <v>0</v>
      </c>
      <c r="AD86" s="6">
        <f t="shared" ca="1" si="8"/>
        <v>8870.3819331016894</v>
      </c>
      <c r="AE86" s="6">
        <f t="shared" si="9"/>
        <v>0</v>
      </c>
      <c r="AF86" s="4" t="s">
        <v>637</v>
      </c>
    </row>
    <row r="87" spans="1:32" ht="11.25" customHeight="1" x14ac:dyDescent="0.25">
      <c r="A87" s="4" t="s">
        <v>21</v>
      </c>
      <c r="B87" s="4" t="s">
        <v>35</v>
      </c>
      <c r="C87" s="4" t="s">
        <v>56</v>
      </c>
      <c r="D87" s="4" t="s">
        <v>25</v>
      </c>
      <c r="E87" s="4" t="s">
        <v>25</v>
      </c>
      <c r="F87" s="4" t="s">
        <v>25</v>
      </c>
      <c r="G87" s="4" t="s">
        <v>57</v>
      </c>
      <c r="H87" s="4" t="s">
        <v>25</v>
      </c>
      <c r="I87" s="5">
        <v>44593</v>
      </c>
      <c r="J87" s="6">
        <v>705</v>
      </c>
      <c r="K87" s="6">
        <v>352.5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58</v>
      </c>
      <c r="R87" s="4">
        <v>706</v>
      </c>
      <c r="S87" s="4">
        <v>14</v>
      </c>
      <c r="T87" s="4">
        <v>0</v>
      </c>
      <c r="U87" s="4">
        <v>0</v>
      </c>
      <c r="V87" s="6">
        <f>IF(ISERROR(VLOOKUP($S$87,'TAR FIN'!$A$1:$O$93,15,0)),0,VLOOKUP($S$87,'TAR FIN'!$A$1:$O$93,15,0))</f>
        <v>8.08</v>
      </c>
      <c r="W87" s="6">
        <f>IF(ISERROR(VLOOKUP($T$87,'TAR FIN'!$A$1:$O$93,15,0)),0,VLOOKUP($T$87,'TAR FIN'!$A$1:$O$93,15,0))</f>
        <v>0</v>
      </c>
      <c r="X87" s="6">
        <f>IF(ISERROR(VLOOKUP($U$87,'TAR FIN'!$A$1:$O$93,15,0)),0,VLOOKUP($U$87,'TAR FIN'!$A$1:$O$93,15,0))</f>
        <v>0</v>
      </c>
      <c r="Y87" s="6">
        <f ca="1">('TUSD BE'!$AM$13+'TUSD BF'!$AM$13+'TUSD CVA'!$AM$13)*1</f>
        <v>16.12796715109398</v>
      </c>
      <c r="Z87" s="6"/>
      <c r="AA87" s="6"/>
      <c r="AB87" s="6">
        <f t="shared" si="6"/>
        <v>2848.2</v>
      </c>
      <c r="AC87" s="6">
        <f t="shared" si="7"/>
        <v>0</v>
      </c>
      <c r="AD87" s="6">
        <f t="shared" ca="1" si="8"/>
        <v>5685.1084207606282</v>
      </c>
      <c r="AE87" s="6">
        <f t="shared" si="9"/>
        <v>0</v>
      </c>
      <c r="AF87" s="4" t="s">
        <v>637</v>
      </c>
    </row>
    <row r="88" spans="1:32" ht="11.25" customHeight="1" x14ac:dyDescent="0.25">
      <c r="A88" s="4" t="s">
        <v>21</v>
      </c>
      <c r="B88" s="4" t="s">
        <v>35</v>
      </c>
      <c r="C88" s="4" t="s">
        <v>56</v>
      </c>
      <c r="D88" s="4" t="s">
        <v>25</v>
      </c>
      <c r="E88" s="4" t="s">
        <v>25</v>
      </c>
      <c r="F88" s="4" t="s">
        <v>25</v>
      </c>
      <c r="G88" s="4" t="s">
        <v>59</v>
      </c>
      <c r="H88" s="4" t="s">
        <v>25</v>
      </c>
      <c r="I88" s="5">
        <v>44593</v>
      </c>
      <c r="J88" s="6">
        <v>3700</v>
      </c>
      <c r="K88" s="6">
        <v>1850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58</v>
      </c>
      <c r="R88" s="4">
        <v>877</v>
      </c>
      <c r="S88" s="4">
        <v>14</v>
      </c>
      <c r="T88" s="4">
        <v>0</v>
      </c>
      <c r="U88" s="4">
        <v>0</v>
      </c>
      <c r="V88" s="6">
        <f>IF(ISERROR(VLOOKUP($S$88,'TAR FIN'!$A$1:$O$93,15,0)),0,VLOOKUP($S$88,'TAR FIN'!$A$1:$O$93,15,0))</f>
        <v>8.08</v>
      </c>
      <c r="W88" s="6">
        <f>IF(ISERROR(VLOOKUP($T$88,'TAR FIN'!$A$1:$O$93,15,0)),0,VLOOKUP($T$88,'TAR FIN'!$A$1:$O$93,15,0))</f>
        <v>0</v>
      </c>
      <c r="X88" s="6">
        <f>IF(ISERROR(VLOOKUP($U$88,'TAR FIN'!$A$1:$O$93,15,0)),0,VLOOKUP($U$88,'TAR FIN'!$A$1:$O$93,15,0))</f>
        <v>0</v>
      </c>
      <c r="Y88" s="6">
        <f ca="1">('TUSD BE'!$AM$13+'TUSD BF'!$AM$13+'TUSD CVA'!$AM$13)*1</f>
        <v>16.12796715109398</v>
      </c>
      <c r="Z88" s="6"/>
      <c r="AA88" s="6"/>
      <c r="AB88" s="6">
        <f t="shared" si="6"/>
        <v>14948</v>
      </c>
      <c r="AC88" s="6">
        <f t="shared" si="7"/>
        <v>0</v>
      </c>
      <c r="AD88" s="6">
        <f t="shared" ca="1" si="8"/>
        <v>29836.739229523864</v>
      </c>
      <c r="AE88" s="6">
        <f t="shared" si="9"/>
        <v>0</v>
      </c>
      <c r="AF88" s="4" t="s">
        <v>637</v>
      </c>
    </row>
    <row r="89" spans="1:32" ht="11.25" customHeight="1" x14ac:dyDescent="0.25">
      <c r="A89" s="4" t="s">
        <v>21</v>
      </c>
      <c r="B89" s="4" t="s">
        <v>35</v>
      </c>
      <c r="C89" s="4" t="s">
        <v>56</v>
      </c>
      <c r="D89" s="4" t="s">
        <v>25</v>
      </c>
      <c r="E89" s="4" t="s">
        <v>25</v>
      </c>
      <c r="F89" s="4" t="s">
        <v>25</v>
      </c>
      <c r="G89" s="4" t="s">
        <v>60</v>
      </c>
      <c r="H89" s="4" t="s">
        <v>25</v>
      </c>
      <c r="I89" s="5">
        <v>44593</v>
      </c>
      <c r="J89" s="6">
        <v>880</v>
      </c>
      <c r="K89" s="6">
        <v>440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58</v>
      </c>
      <c r="R89" s="4">
        <v>2317</v>
      </c>
      <c r="S89" s="4">
        <v>14</v>
      </c>
      <c r="T89" s="4">
        <v>0</v>
      </c>
      <c r="U89" s="4">
        <v>0</v>
      </c>
      <c r="V89" s="6">
        <f>IF(ISERROR(VLOOKUP($S$89,'TAR FIN'!$A$1:$O$93,15,0)),0,VLOOKUP($S$89,'TAR FIN'!$A$1:$O$93,15,0))</f>
        <v>8.08</v>
      </c>
      <c r="W89" s="6">
        <f>IF(ISERROR(VLOOKUP($T$89,'TAR FIN'!$A$1:$O$93,15,0)),0,VLOOKUP($T$89,'TAR FIN'!$A$1:$O$93,15,0))</f>
        <v>0</v>
      </c>
      <c r="X89" s="6">
        <f>IF(ISERROR(VLOOKUP($U$89,'TAR FIN'!$A$1:$O$93,15,0)),0,VLOOKUP($U$89,'TAR FIN'!$A$1:$O$93,15,0))</f>
        <v>0</v>
      </c>
      <c r="Y89" s="6">
        <f ca="1">('TUSD BE'!$AM$13+'TUSD BF'!$AM$13+'TUSD CVA'!$AM$13)*1</f>
        <v>16.12796715109398</v>
      </c>
      <c r="Z89" s="6"/>
      <c r="AA89" s="6"/>
      <c r="AB89" s="6">
        <f t="shared" si="6"/>
        <v>3555.2</v>
      </c>
      <c r="AC89" s="6">
        <f t="shared" si="7"/>
        <v>0</v>
      </c>
      <c r="AD89" s="6">
        <f t="shared" ca="1" si="8"/>
        <v>7096.3055464813515</v>
      </c>
      <c r="AE89" s="6">
        <f t="shared" si="9"/>
        <v>0</v>
      </c>
      <c r="AF89" s="4" t="s">
        <v>637</v>
      </c>
    </row>
    <row r="90" spans="1:32" ht="11.25" customHeight="1" x14ac:dyDescent="0.25">
      <c r="A90" s="4" t="s">
        <v>21</v>
      </c>
      <c r="B90" s="4" t="s">
        <v>35</v>
      </c>
      <c r="C90" s="4" t="s">
        <v>56</v>
      </c>
      <c r="D90" s="4" t="s">
        <v>25</v>
      </c>
      <c r="E90" s="4" t="s">
        <v>25</v>
      </c>
      <c r="F90" s="4" t="s">
        <v>25</v>
      </c>
      <c r="G90" s="4" t="s">
        <v>61</v>
      </c>
      <c r="H90" s="4" t="s">
        <v>25</v>
      </c>
      <c r="I90" s="5">
        <v>44593</v>
      </c>
      <c r="J90" s="6">
        <v>780</v>
      </c>
      <c r="K90" s="6">
        <v>390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58</v>
      </c>
      <c r="R90" s="4">
        <v>28915</v>
      </c>
      <c r="S90" s="4">
        <v>14</v>
      </c>
      <c r="T90" s="4">
        <v>0</v>
      </c>
      <c r="U90" s="4">
        <v>0</v>
      </c>
      <c r="V90" s="6">
        <f>IF(ISERROR(VLOOKUP($S$90,'TAR FIN'!$A$1:$O$93,15,0)),0,VLOOKUP($S$90,'TAR FIN'!$A$1:$O$93,15,0))</f>
        <v>8.08</v>
      </c>
      <c r="W90" s="6">
        <f>IF(ISERROR(VLOOKUP($T$90,'TAR FIN'!$A$1:$O$93,15,0)),0,VLOOKUP($T$90,'TAR FIN'!$A$1:$O$93,15,0))</f>
        <v>0</v>
      </c>
      <c r="X90" s="6">
        <f>IF(ISERROR(VLOOKUP($U$90,'TAR FIN'!$A$1:$O$93,15,0)),0,VLOOKUP($U$90,'TAR FIN'!$A$1:$O$93,15,0))</f>
        <v>0</v>
      </c>
      <c r="Y90" s="6">
        <f ca="1">('TUSD BE'!$AM$13+'TUSD BF'!$AM$13+'TUSD CVA'!$AM$13)*1</f>
        <v>16.12796715109398</v>
      </c>
      <c r="Z90" s="6"/>
      <c r="AA90" s="6"/>
      <c r="AB90" s="6">
        <f t="shared" si="6"/>
        <v>3151.2</v>
      </c>
      <c r="AC90" s="6">
        <f t="shared" si="7"/>
        <v>0</v>
      </c>
      <c r="AD90" s="6">
        <f t="shared" ca="1" si="8"/>
        <v>6289.9071889266525</v>
      </c>
      <c r="AE90" s="6">
        <f t="shared" si="9"/>
        <v>0</v>
      </c>
      <c r="AF90" s="4" t="s">
        <v>637</v>
      </c>
    </row>
    <row r="91" spans="1:32" ht="11.25" customHeight="1" x14ac:dyDescent="0.25">
      <c r="A91" s="4" t="s">
        <v>21</v>
      </c>
      <c r="B91" s="4" t="s">
        <v>35</v>
      </c>
      <c r="C91" s="4" t="s">
        <v>56</v>
      </c>
      <c r="D91" s="4" t="s">
        <v>25</v>
      </c>
      <c r="E91" s="4" t="s">
        <v>25</v>
      </c>
      <c r="F91" s="4" t="s">
        <v>25</v>
      </c>
      <c r="G91" s="4" t="s">
        <v>62</v>
      </c>
      <c r="H91" s="4" t="s">
        <v>25</v>
      </c>
      <c r="I91" s="5">
        <v>44593</v>
      </c>
      <c r="J91" s="6">
        <v>1280</v>
      </c>
      <c r="K91" s="6">
        <v>640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58</v>
      </c>
      <c r="R91" s="4">
        <v>31695</v>
      </c>
      <c r="S91" s="4">
        <v>14</v>
      </c>
      <c r="T91" s="4">
        <v>0</v>
      </c>
      <c r="U91" s="4">
        <v>0</v>
      </c>
      <c r="V91" s="6">
        <f>IF(ISERROR(VLOOKUP($S$91,'TAR FIN'!$A$1:$O$93,15,0)),0,VLOOKUP($S$91,'TAR FIN'!$A$1:$O$93,15,0))</f>
        <v>8.08</v>
      </c>
      <c r="W91" s="6">
        <f>IF(ISERROR(VLOOKUP($T$91,'TAR FIN'!$A$1:$O$93,15,0)),0,VLOOKUP($T$91,'TAR FIN'!$A$1:$O$93,15,0))</f>
        <v>0</v>
      </c>
      <c r="X91" s="6">
        <f>IF(ISERROR(VLOOKUP($U$91,'TAR FIN'!$A$1:$O$93,15,0)),0,VLOOKUP($U$91,'TAR FIN'!$A$1:$O$93,15,0))</f>
        <v>0</v>
      </c>
      <c r="Y91" s="6">
        <f ca="1">('TUSD BE'!$AM$13+'TUSD BF'!$AM$13+'TUSD CVA'!$AM$13)*1</f>
        <v>16.12796715109398</v>
      </c>
      <c r="Z91" s="6"/>
      <c r="AA91" s="6"/>
      <c r="AB91" s="6">
        <f t="shared" si="6"/>
        <v>5171.2</v>
      </c>
      <c r="AC91" s="6">
        <f t="shared" si="7"/>
        <v>0</v>
      </c>
      <c r="AD91" s="6">
        <f t="shared" ca="1" si="8"/>
        <v>10321.898976700148</v>
      </c>
      <c r="AE91" s="6">
        <f t="shared" si="9"/>
        <v>0</v>
      </c>
      <c r="AF91" s="4" t="s">
        <v>637</v>
      </c>
    </row>
    <row r="92" spans="1:32" ht="11.25" customHeight="1" x14ac:dyDescent="0.25">
      <c r="A92" s="4" t="s">
        <v>21</v>
      </c>
      <c r="B92" s="4" t="s">
        <v>35</v>
      </c>
      <c r="C92" s="4" t="s">
        <v>56</v>
      </c>
      <c r="D92" s="4" t="s">
        <v>25</v>
      </c>
      <c r="E92" s="4" t="s">
        <v>25</v>
      </c>
      <c r="F92" s="4" t="s">
        <v>25</v>
      </c>
      <c r="G92" s="4" t="s">
        <v>63</v>
      </c>
      <c r="H92" s="4" t="s">
        <v>25</v>
      </c>
      <c r="I92" s="5">
        <v>44593</v>
      </c>
      <c r="J92" s="6">
        <v>2425</v>
      </c>
      <c r="K92" s="6">
        <v>1212.5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58</v>
      </c>
      <c r="S92" s="4">
        <v>14</v>
      </c>
      <c r="T92" s="4">
        <v>0</v>
      </c>
      <c r="U92" s="4">
        <v>0</v>
      </c>
      <c r="V92" s="6">
        <f>IF(ISERROR(VLOOKUP($S$92,'TAR FIN'!$A$1:$O$93,15,0)),0,VLOOKUP($S$92,'TAR FIN'!$A$1:$O$93,15,0))</f>
        <v>8.08</v>
      </c>
      <c r="W92" s="6">
        <f>IF(ISERROR(VLOOKUP($T$92,'TAR FIN'!$A$1:$O$93,15,0)),0,VLOOKUP($T$92,'TAR FIN'!$A$1:$O$93,15,0))</f>
        <v>0</v>
      </c>
      <c r="X92" s="6">
        <f>IF(ISERROR(VLOOKUP($U$92,'TAR FIN'!$A$1:$O$93,15,0)),0,VLOOKUP($U$92,'TAR FIN'!$A$1:$O$93,15,0))</f>
        <v>0</v>
      </c>
      <c r="Y92" s="6">
        <f ca="1">('TUSD BE'!$AM$13+'TUSD BF'!$AM$13+'TUSD CVA'!$AM$13)*1</f>
        <v>16.12796715109398</v>
      </c>
      <c r="Z92" s="6"/>
      <c r="AA92" s="6"/>
      <c r="AB92" s="6">
        <f t="shared" si="6"/>
        <v>9797</v>
      </c>
      <c r="AC92" s="6">
        <f t="shared" si="7"/>
        <v>0</v>
      </c>
      <c r="AD92" s="6">
        <f t="shared" ca="1" si="8"/>
        <v>19555.160170701452</v>
      </c>
      <c r="AE92" s="6">
        <f t="shared" si="9"/>
        <v>0</v>
      </c>
      <c r="AF92" s="4" t="s">
        <v>637</v>
      </c>
    </row>
    <row r="93" spans="1:32" ht="11.25" customHeight="1" x14ac:dyDescent="0.25">
      <c r="A93" s="4" t="s">
        <v>21</v>
      </c>
      <c r="B93" s="4" t="s">
        <v>35</v>
      </c>
      <c r="C93" s="4" t="s">
        <v>56</v>
      </c>
      <c r="D93" s="4" t="s">
        <v>25</v>
      </c>
      <c r="E93" s="4" t="s">
        <v>25</v>
      </c>
      <c r="F93" s="4" t="s">
        <v>25</v>
      </c>
      <c r="G93" s="4" t="s">
        <v>64</v>
      </c>
      <c r="H93" s="4" t="s">
        <v>25</v>
      </c>
      <c r="I93" s="5">
        <v>44593</v>
      </c>
      <c r="J93" s="6">
        <v>1100</v>
      </c>
      <c r="K93" s="6">
        <v>550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58</v>
      </c>
      <c r="S93" s="4">
        <v>14</v>
      </c>
      <c r="T93" s="4">
        <v>0</v>
      </c>
      <c r="U93" s="4">
        <v>0</v>
      </c>
      <c r="V93" s="6">
        <f>IF(ISERROR(VLOOKUP($S$93,'TAR FIN'!$A$1:$O$93,15,0)),0,VLOOKUP($S$93,'TAR FIN'!$A$1:$O$93,15,0))</f>
        <v>8.08</v>
      </c>
      <c r="W93" s="6">
        <f>IF(ISERROR(VLOOKUP($T$93,'TAR FIN'!$A$1:$O$93,15,0)),0,VLOOKUP($T$93,'TAR FIN'!$A$1:$O$93,15,0))</f>
        <v>0</v>
      </c>
      <c r="X93" s="6">
        <f>IF(ISERROR(VLOOKUP($U$93,'TAR FIN'!$A$1:$O$93,15,0)),0,VLOOKUP($U$93,'TAR FIN'!$A$1:$O$93,15,0))</f>
        <v>0</v>
      </c>
      <c r="Y93" s="6">
        <f ca="1">('TUSD BE'!$AM$13+'TUSD BF'!$AM$13+'TUSD CVA'!$AM$13)*1</f>
        <v>16.12796715109398</v>
      </c>
      <c r="Z93" s="6"/>
      <c r="AA93" s="6"/>
      <c r="AB93" s="6">
        <f t="shared" si="6"/>
        <v>4444</v>
      </c>
      <c r="AC93" s="6">
        <f t="shared" si="7"/>
        <v>0</v>
      </c>
      <c r="AD93" s="6">
        <f t="shared" ca="1" si="8"/>
        <v>8870.3819331016894</v>
      </c>
      <c r="AE93" s="6">
        <f t="shared" si="9"/>
        <v>0</v>
      </c>
      <c r="AF93" s="4" t="s">
        <v>637</v>
      </c>
    </row>
    <row r="94" spans="1:32" ht="11.25" customHeight="1" x14ac:dyDescent="0.25">
      <c r="A94" s="4" t="s">
        <v>21</v>
      </c>
      <c r="B94" s="4" t="s">
        <v>35</v>
      </c>
      <c r="C94" s="4" t="s">
        <v>56</v>
      </c>
      <c r="D94" s="4" t="s">
        <v>25</v>
      </c>
      <c r="E94" s="4" t="s">
        <v>25</v>
      </c>
      <c r="F94" s="4" t="s">
        <v>25</v>
      </c>
      <c r="G94" s="4" t="s">
        <v>57</v>
      </c>
      <c r="H94" s="4" t="s">
        <v>25</v>
      </c>
      <c r="I94" s="5">
        <v>44621</v>
      </c>
      <c r="J94" s="6">
        <v>705</v>
      </c>
      <c r="K94" s="6">
        <v>352.5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58</v>
      </c>
      <c r="R94" s="4">
        <v>706</v>
      </c>
      <c r="S94" s="4">
        <v>14</v>
      </c>
      <c r="T94" s="4">
        <v>0</v>
      </c>
      <c r="U94" s="4">
        <v>0</v>
      </c>
      <c r="V94" s="6">
        <f>IF(ISERROR(VLOOKUP($S$94,'TAR FIN'!$A$1:$O$93,15,0)),0,VLOOKUP($S$94,'TAR FIN'!$A$1:$O$93,15,0))</f>
        <v>8.08</v>
      </c>
      <c r="W94" s="6">
        <f>IF(ISERROR(VLOOKUP($T$94,'TAR FIN'!$A$1:$O$93,15,0)),0,VLOOKUP($T$94,'TAR FIN'!$A$1:$O$93,15,0))</f>
        <v>0</v>
      </c>
      <c r="X94" s="6">
        <f>IF(ISERROR(VLOOKUP($U$94,'TAR FIN'!$A$1:$O$93,15,0)),0,VLOOKUP($U$94,'TAR FIN'!$A$1:$O$93,15,0))</f>
        <v>0</v>
      </c>
      <c r="Y94" s="6">
        <f ca="1">('TUSD BE'!$AM$13+'TUSD BF'!$AM$13+'TUSD CVA'!$AM$13)*1</f>
        <v>16.12796715109398</v>
      </c>
      <c r="Z94" s="6"/>
      <c r="AA94" s="6"/>
      <c r="AB94" s="6">
        <f t="shared" si="6"/>
        <v>2848.2</v>
      </c>
      <c r="AC94" s="6">
        <f t="shared" si="7"/>
        <v>0</v>
      </c>
      <c r="AD94" s="6">
        <f t="shared" ca="1" si="8"/>
        <v>5685.1084207606282</v>
      </c>
      <c r="AE94" s="6">
        <f t="shared" si="9"/>
        <v>0</v>
      </c>
      <c r="AF94" s="4" t="s">
        <v>637</v>
      </c>
    </row>
    <row r="95" spans="1:32" ht="11.25" customHeight="1" x14ac:dyDescent="0.25">
      <c r="A95" s="4" t="s">
        <v>21</v>
      </c>
      <c r="B95" s="4" t="s">
        <v>35</v>
      </c>
      <c r="C95" s="4" t="s">
        <v>56</v>
      </c>
      <c r="D95" s="4" t="s">
        <v>25</v>
      </c>
      <c r="E95" s="4" t="s">
        <v>25</v>
      </c>
      <c r="F95" s="4" t="s">
        <v>25</v>
      </c>
      <c r="G95" s="4" t="s">
        <v>59</v>
      </c>
      <c r="H95" s="4" t="s">
        <v>25</v>
      </c>
      <c r="I95" s="5">
        <v>44621</v>
      </c>
      <c r="J95" s="6">
        <v>3700</v>
      </c>
      <c r="K95" s="6">
        <v>1850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58</v>
      </c>
      <c r="R95" s="4">
        <v>877</v>
      </c>
      <c r="S95" s="4">
        <v>14</v>
      </c>
      <c r="T95" s="4">
        <v>0</v>
      </c>
      <c r="U95" s="4">
        <v>0</v>
      </c>
      <c r="V95" s="6">
        <f>IF(ISERROR(VLOOKUP($S$95,'TAR FIN'!$A$1:$O$93,15,0)),0,VLOOKUP($S$95,'TAR FIN'!$A$1:$O$93,15,0))</f>
        <v>8.08</v>
      </c>
      <c r="W95" s="6">
        <f>IF(ISERROR(VLOOKUP($T$95,'TAR FIN'!$A$1:$O$93,15,0)),0,VLOOKUP($T$95,'TAR FIN'!$A$1:$O$93,15,0))</f>
        <v>0</v>
      </c>
      <c r="X95" s="6">
        <f>IF(ISERROR(VLOOKUP($U$95,'TAR FIN'!$A$1:$O$93,15,0)),0,VLOOKUP($U$95,'TAR FIN'!$A$1:$O$93,15,0))</f>
        <v>0</v>
      </c>
      <c r="Y95" s="6">
        <f ca="1">('TUSD BE'!$AM$13+'TUSD BF'!$AM$13+'TUSD CVA'!$AM$13)*1</f>
        <v>16.12796715109398</v>
      </c>
      <c r="Z95" s="6"/>
      <c r="AA95" s="6"/>
      <c r="AB95" s="6">
        <f t="shared" si="6"/>
        <v>14948</v>
      </c>
      <c r="AC95" s="6">
        <f t="shared" si="7"/>
        <v>0</v>
      </c>
      <c r="AD95" s="6">
        <f t="shared" ca="1" si="8"/>
        <v>29836.739229523864</v>
      </c>
      <c r="AE95" s="6">
        <f t="shared" si="9"/>
        <v>0</v>
      </c>
      <c r="AF95" s="4" t="s">
        <v>637</v>
      </c>
    </row>
    <row r="96" spans="1:32" ht="11.25" customHeight="1" x14ac:dyDescent="0.25">
      <c r="A96" s="4" t="s">
        <v>21</v>
      </c>
      <c r="B96" s="4" t="s">
        <v>35</v>
      </c>
      <c r="C96" s="4" t="s">
        <v>56</v>
      </c>
      <c r="D96" s="4" t="s">
        <v>25</v>
      </c>
      <c r="E96" s="4" t="s">
        <v>25</v>
      </c>
      <c r="F96" s="4" t="s">
        <v>25</v>
      </c>
      <c r="G96" s="4" t="s">
        <v>60</v>
      </c>
      <c r="H96" s="4" t="s">
        <v>25</v>
      </c>
      <c r="I96" s="5">
        <v>44621</v>
      </c>
      <c r="J96" s="6">
        <v>880</v>
      </c>
      <c r="K96" s="6">
        <v>440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58</v>
      </c>
      <c r="R96" s="4">
        <v>2317</v>
      </c>
      <c r="S96" s="4">
        <v>14</v>
      </c>
      <c r="T96" s="4">
        <v>0</v>
      </c>
      <c r="U96" s="4">
        <v>0</v>
      </c>
      <c r="V96" s="6">
        <f>IF(ISERROR(VLOOKUP($S$96,'TAR FIN'!$A$1:$O$93,15,0)),0,VLOOKUP($S$96,'TAR FIN'!$A$1:$O$93,15,0))</f>
        <v>8.08</v>
      </c>
      <c r="W96" s="6">
        <f>IF(ISERROR(VLOOKUP($T$96,'TAR FIN'!$A$1:$O$93,15,0)),0,VLOOKUP($T$96,'TAR FIN'!$A$1:$O$93,15,0))</f>
        <v>0</v>
      </c>
      <c r="X96" s="6">
        <f>IF(ISERROR(VLOOKUP($U$96,'TAR FIN'!$A$1:$O$93,15,0)),0,VLOOKUP($U$96,'TAR FIN'!$A$1:$O$93,15,0))</f>
        <v>0</v>
      </c>
      <c r="Y96" s="6">
        <f ca="1">('TUSD BE'!$AM$13+'TUSD BF'!$AM$13+'TUSD CVA'!$AM$13)*1</f>
        <v>16.12796715109398</v>
      </c>
      <c r="Z96" s="6"/>
      <c r="AA96" s="6"/>
      <c r="AB96" s="6">
        <f t="shared" si="6"/>
        <v>3555.2</v>
      </c>
      <c r="AC96" s="6">
        <f t="shared" si="7"/>
        <v>0</v>
      </c>
      <c r="AD96" s="6">
        <f t="shared" ca="1" si="8"/>
        <v>7096.3055464813515</v>
      </c>
      <c r="AE96" s="6">
        <f t="shared" si="9"/>
        <v>0</v>
      </c>
      <c r="AF96" s="4" t="s">
        <v>637</v>
      </c>
    </row>
    <row r="97" spans="1:32" ht="11.25" customHeight="1" x14ac:dyDescent="0.25">
      <c r="A97" s="4" t="s">
        <v>21</v>
      </c>
      <c r="B97" s="4" t="s">
        <v>35</v>
      </c>
      <c r="C97" s="4" t="s">
        <v>56</v>
      </c>
      <c r="D97" s="4" t="s">
        <v>25</v>
      </c>
      <c r="E97" s="4" t="s">
        <v>25</v>
      </c>
      <c r="F97" s="4" t="s">
        <v>25</v>
      </c>
      <c r="G97" s="4" t="s">
        <v>61</v>
      </c>
      <c r="H97" s="4" t="s">
        <v>25</v>
      </c>
      <c r="I97" s="5">
        <v>44621</v>
      </c>
      <c r="J97" s="6">
        <v>780</v>
      </c>
      <c r="K97" s="6">
        <v>390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58</v>
      </c>
      <c r="R97" s="4">
        <v>28915</v>
      </c>
      <c r="S97" s="4">
        <v>14</v>
      </c>
      <c r="T97" s="4">
        <v>0</v>
      </c>
      <c r="U97" s="4">
        <v>0</v>
      </c>
      <c r="V97" s="6">
        <f>IF(ISERROR(VLOOKUP($S$97,'TAR FIN'!$A$1:$O$93,15,0)),0,VLOOKUP($S$97,'TAR FIN'!$A$1:$O$93,15,0))</f>
        <v>8.08</v>
      </c>
      <c r="W97" s="6">
        <f>IF(ISERROR(VLOOKUP($T$97,'TAR FIN'!$A$1:$O$93,15,0)),0,VLOOKUP($T$97,'TAR FIN'!$A$1:$O$93,15,0))</f>
        <v>0</v>
      </c>
      <c r="X97" s="6">
        <f>IF(ISERROR(VLOOKUP($U$97,'TAR FIN'!$A$1:$O$93,15,0)),0,VLOOKUP($U$97,'TAR FIN'!$A$1:$O$93,15,0))</f>
        <v>0</v>
      </c>
      <c r="Y97" s="6">
        <f ca="1">('TUSD BE'!$AM$13+'TUSD BF'!$AM$13+'TUSD CVA'!$AM$13)*1</f>
        <v>16.12796715109398</v>
      </c>
      <c r="Z97" s="6"/>
      <c r="AA97" s="6"/>
      <c r="AB97" s="6">
        <f t="shared" si="6"/>
        <v>3151.2</v>
      </c>
      <c r="AC97" s="6">
        <f t="shared" si="7"/>
        <v>0</v>
      </c>
      <c r="AD97" s="6">
        <f t="shared" ca="1" si="8"/>
        <v>6289.9071889266525</v>
      </c>
      <c r="AE97" s="6">
        <f t="shared" si="9"/>
        <v>0</v>
      </c>
      <c r="AF97" s="4" t="s">
        <v>637</v>
      </c>
    </row>
    <row r="98" spans="1:32" ht="11.25" customHeight="1" x14ac:dyDescent="0.25">
      <c r="A98" s="4" t="s">
        <v>21</v>
      </c>
      <c r="B98" s="4" t="s">
        <v>35</v>
      </c>
      <c r="C98" s="4" t="s">
        <v>56</v>
      </c>
      <c r="D98" s="4" t="s">
        <v>25</v>
      </c>
      <c r="E98" s="4" t="s">
        <v>25</v>
      </c>
      <c r="F98" s="4" t="s">
        <v>25</v>
      </c>
      <c r="G98" s="4" t="s">
        <v>62</v>
      </c>
      <c r="H98" s="4" t="s">
        <v>25</v>
      </c>
      <c r="I98" s="5">
        <v>44621</v>
      </c>
      <c r="J98" s="6">
        <v>1280</v>
      </c>
      <c r="K98" s="6">
        <v>640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58</v>
      </c>
      <c r="R98" s="4">
        <v>31695</v>
      </c>
      <c r="S98" s="4">
        <v>14</v>
      </c>
      <c r="T98" s="4">
        <v>0</v>
      </c>
      <c r="U98" s="4">
        <v>0</v>
      </c>
      <c r="V98" s="6">
        <f>IF(ISERROR(VLOOKUP($S$98,'TAR FIN'!$A$1:$O$93,15,0)),0,VLOOKUP($S$98,'TAR FIN'!$A$1:$O$93,15,0))</f>
        <v>8.08</v>
      </c>
      <c r="W98" s="6">
        <f>IF(ISERROR(VLOOKUP($T$98,'TAR FIN'!$A$1:$O$93,15,0)),0,VLOOKUP($T$98,'TAR FIN'!$A$1:$O$93,15,0))</f>
        <v>0</v>
      </c>
      <c r="X98" s="6">
        <f>IF(ISERROR(VLOOKUP($U$98,'TAR FIN'!$A$1:$O$93,15,0)),0,VLOOKUP($U$98,'TAR FIN'!$A$1:$O$93,15,0))</f>
        <v>0</v>
      </c>
      <c r="Y98" s="6">
        <f ca="1">('TUSD BE'!$AM$13+'TUSD BF'!$AM$13+'TUSD CVA'!$AM$13)*1</f>
        <v>16.12796715109398</v>
      </c>
      <c r="Z98" s="6"/>
      <c r="AA98" s="6"/>
      <c r="AB98" s="6">
        <f t="shared" si="6"/>
        <v>5171.2</v>
      </c>
      <c r="AC98" s="6">
        <f t="shared" si="7"/>
        <v>0</v>
      </c>
      <c r="AD98" s="6">
        <f t="shared" ca="1" si="8"/>
        <v>10321.898976700148</v>
      </c>
      <c r="AE98" s="6">
        <f t="shared" si="9"/>
        <v>0</v>
      </c>
      <c r="AF98" s="4" t="s">
        <v>637</v>
      </c>
    </row>
    <row r="99" spans="1:32" ht="11.25" customHeight="1" x14ac:dyDescent="0.25">
      <c r="A99" s="4" t="s">
        <v>21</v>
      </c>
      <c r="B99" s="4" t="s">
        <v>35</v>
      </c>
      <c r="C99" s="4" t="s">
        <v>56</v>
      </c>
      <c r="D99" s="4" t="s">
        <v>25</v>
      </c>
      <c r="E99" s="4" t="s">
        <v>25</v>
      </c>
      <c r="F99" s="4" t="s">
        <v>25</v>
      </c>
      <c r="G99" s="4" t="s">
        <v>63</v>
      </c>
      <c r="H99" s="4" t="s">
        <v>25</v>
      </c>
      <c r="I99" s="5">
        <v>44621</v>
      </c>
      <c r="J99" s="6">
        <v>2425</v>
      </c>
      <c r="K99" s="6">
        <v>1212.5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4" t="s">
        <v>58</v>
      </c>
      <c r="S99" s="4">
        <v>14</v>
      </c>
      <c r="T99" s="4">
        <v>0</v>
      </c>
      <c r="U99" s="4">
        <v>0</v>
      </c>
      <c r="V99" s="6">
        <f>IF(ISERROR(VLOOKUP($S$99,'TAR FIN'!$A$1:$O$93,15,0)),0,VLOOKUP($S$99,'TAR FIN'!$A$1:$O$93,15,0))</f>
        <v>8.08</v>
      </c>
      <c r="W99" s="6">
        <f>IF(ISERROR(VLOOKUP($T$99,'TAR FIN'!$A$1:$O$93,15,0)),0,VLOOKUP($T$99,'TAR FIN'!$A$1:$O$93,15,0))</f>
        <v>0</v>
      </c>
      <c r="X99" s="6">
        <f>IF(ISERROR(VLOOKUP($U$99,'TAR FIN'!$A$1:$O$93,15,0)),0,VLOOKUP($U$99,'TAR FIN'!$A$1:$O$93,15,0))</f>
        <v>0</v>
      </c>
      <c r="Y99" s="6">
        <f ca="1">('TUSD BE'!$AM$13+'TUSD BF'!$AM$13+'TUSD CVA'!$AM$13)*1</f>
        <v>16.12796715109398</v>
      </c>
      <c r="Z99" s="6"/>
      <c r="AA99" s="6"/>
      <c r="AB99" s="6">
        <f t="shared" si="6"/>
        <v>9797</v>
      </c>
      <c r="AC99" s="6">
        <f t="shared" si="7"/>
        <v>0</v>
      </c>
      <c r="AD99" s="6">
        <f t="shared" ca="1" si="8"/>
        <v>19555.160170701452</v>
      </c>
      <c r="AE99" s="6">
        <f t="shared" si="9"/>
        <v>0</v>
      </c>
      <c r="AF99" s="4" t="s">
        <v>637</v>
      </c>
    </row>
    <row r="100" spans="1:32" ht="11.25" customHeight="1" x14ac:dyDescent="0.25">
      <c r="A100" s="4" t="s">
        <v>21</v>
      </c>
      <c r="B100" s="4" t="s">
        <v>35</v>
      </c>
      <c r="C100" s="4" t="s">
        <v>56</v>
      </c>
      <c r="D100" s="4" t="s">
        <v>25</v>
      </c>
      <c r="E100" s="4" t="s">
        <v>25</v>
      </c>
      <c r="F100" s="4" t="s">
        <v>25</v>
      </c>
      <c r="G100" s="4" t="s">
        <v>64</v>
      </c>
      <c r="H100" s="4" t="s">
        <v>25</v>
      </c>
      <c r="I100" s="5">
        <v>44621</v>
      </c>
      <c r="J100" s="6">
        <v>1100</v>
      </c>
      <c r="K100" s="6">
        <v>550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4" t="s">
        <v>58</v>
      </c>
      <c r="S100" s="4">
        <v>14</v>
      </c>
      <c r="T100" s="4">
        <v>0</v>
      </c>
      <c r="U100" s="4">
        <v>0</v>
      </c>
      <c r="V100" s="6">
        <f>IF(ISERROR(VLOOKUP($S$100,'TAR FIN'!$A$1:$O$93,15,0)),0,VLOOKUP($S$100,'TAR FIN'!$A$1:$O$93,15,0))</f>
        <v>8.08</v>
      </c>
      <c r="W100" s="6">
        <f>IF(ISERROR(VLOOKUP($T$100,'TAR FIN'!$A$1:$O$93,15,0)),0,VLOOKUP($T$100,'TAR FIN'!$A$1:$O$93,15,0))</f>
        <v>0</v>
      </c>
      <c r="X100" s="6">
        <f>IF(ISERROR(VLOOKUP($U$100,'TAR FIN'!$A$1:$O$93,15,0)),0,VLOOKUP($U$100,'TAR FIN'!$A$1:$O$93,15,0))</f>
        <v>0</v>
      </c>
      <c r="Y100" s="6">
        <f ca="1">('TUSD BE'!$AM$13+'TUSD BF'!$AM$13+'TUSD CVA'!$AM$13)*1</f>
        <v>16.12796715109398</v>
      </c>
      <c r="Z100" s="6"/>
      <c r="AA100" s="6"/>
      <c r="AB100" s="6">
        <f t="shared" si="6"/>
        <v>4444</v>
      </c>
      <c r="AC100" s="6">
        <f t="shared" si="7"/>
        <v>0</v>
      </c>
      <c r="AD100" s="6">
        <f t="shared" ca="1" si="8"/>
        <v>8870.3819331016894</v>
      </c>
      <c r="AE100" s="6">
        <f t="shared" si="9"/>
        <v>0</v>
      </c>
      <c r="AF100" s="4" t="s">
        <v>637</v>
      </c>
    </row>
    <row r="101" spans="1:32" ht="11.25" customHeight="1" x14ac:dyDescent="0.25">
      <c r="A101" s="4" t="s">
        <v>65</v>
      </c>
      <c r="B101" s="4" t="s">
        <v>35</v>
      </c>
      <c r="C101" s="4" t="s">
        <v>56</v>
      </c>
      <c r="D101" s="4" t="s">
        <v>25</v>
      </c>
      <c r="E101" s="4" t="s">
        <v>25</v>
      </c>
      <c r="F101" s="4" t="s">
        <v>25</v>
      </c>
      <c r="G101" s="4" t="s">
        <v>57</v>
      </c>
      <c r="H101" s="4" t="s">
        <v>25</v>
      </c>
      <c r="I101" s="5">
        <v>44652</v>
      </c>
      <c r="J101" s="6">
        <v>705</v>
      </c>
      <c r="K101" s="6">
        <v>352.5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4" t="s">
        <v>58</v>
      </c>
      <c r="R101" s="4">
        <v>706</v>
      </c>
      <c r="S101" s="4">
        <v>14</v>
      </c>
      <c r="T101" s="4">
        <v>0</v>
      </c>
      <c r="U101" s="4">
        <v>0</v>
      </c>
      <c r="V101" s="6">
        <f>IF(ISERROR(VLOOKUP($S$101,'TAR FIN'!$A$1:$O$93,15,0)),0,VLOOKUP($S$101,'TAR FIN'!$A$1:$O$93,15,0))</f>
        <v>8.08</v>
      </c>
      <c r="W101" s="6">
        <f>IF(ISERROR(VLOOKUP($T$101,'TAR FIN'!$A$1:$O$93,15,0)),0,VLOOKUP($T$101,'TAR FIN'!$A$1:$O$93,15,0))</f>
        <v>0</v>
      </c>
      <c r="X101" s="6">
        <f>IF(ISERROR(VLOOKUP($U$101,'TAR FIN'!$A$1:$O$93,15,0)),0,VLOOKUP($U$101,'TAR FIN'!$A$1:$O$93,15,0))</f>
        <v>0</v>
      </c>
      <c r="Y101" s="6">
        <f ca="1">('TUSD BE'!$AM$13+'TUSD BF'!$AM$13+'TUSD CVA'!$AM$13)*1</f>
        <v>16.12796715109398</v>
      </c>
      <c r="Z101" s="6"/>
      <c r="AA101" s="6"/>
      <c r="AB101" s="6">
        <f t="shared" si="6"/>
        <v>2848.2</v>
      </c>
      <c r="AC101" s="6">
        <f t="shared" si="7"/>
        <v>0</v>
      </c>
      <c r="AD101" s="6">
        <f t="shared" ca="1" si="8"/>
        <v>5685.1084207606282</v>
      </c>
      <c r="AE101" s="6">
        <f t="shared" si="9"/>
        <v>0</v>
      </c>
      <c r="AF101" s="4" t="s">
        <v>637</v>
      </c>
    </row>
    <row r="102" spans="1:32" ht="11.25" customHeight="1" x14ac:dyDescent="0.25">
      <c r="A102" s="4" t="s">
        <v>65</v>
      </c>
      <c r="B102" s="4" t="s">
        <v>35</v>
      </c>
      <c r="C102" s="4" t="s">
        <v>56</v>
      </c>
      <c r="D102" s="4" t="s">
        <v>25</v>
      </c>
      <c r="E102" s="4" t="s">
        <v>25</v>
      </c>
      <c r="F102" s="4" t="s">
        <v>25</v>
      </c>
      <c r="G102" s="4" t="s">
        <v>59</v>
      </c>
      <c r="H102" s="4" t="s">
        <v>25</v>
      </c>
      <c r="I102" s="5">
        <v>44652</v>
      </c>
      <c r="J102" s="6">
        <v>3700</v>
      </c>
      <c r="K102" s="6">
        <v>1850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4" t="s">
        <v>58</v>
      </c>
      <c r="R102" s="4">
        <v>877</v>
      </c>
      <c r="S102" s="4">
        <v>14</v>
      </c>
      <c r="T102" s="4">
        <v>0</v>
      </c>
      <c r="U102" s="4">
        <v>0</v>
      </c>
      <c r="V102" s="6">
        <f>IF(ISERROR(VLOOKUP($S$102,'TAR FIN'!$A$1:$O$93,15,0)),0,VLOOKUP($S$102,'TAR FIN'!$A$1:$O$93,15,0))</f>
        <v>8.08</v>
      </c>
      <c r="W102" s="6">
        <f>IF(ISERROR(VLOOKUP($T$102,'TAR FIN'!$A$1:$O$93,15,0)),0,VLOOKUP($T$102,'TAR FIN'!$A$1:$O$93,15,0))</f>
        <v>0</v>
      </c>
      <c r="X102" s="6">
        <f>IF(ISERROR(VLOOKUP($U$102,'TAR FIN'!$A$1:$O$93,15,0)),0,VLOOKUP($U$102,'TAR FIN'!$A$1:$O$93,15,0))</f>
        <v>0</v>
      </c>
      <c r="Y102" s="6">
        <f ca="1">('TUSD BE'!$AM$13+'TUSD BF'!$AM$13+'TUSD CVA'!$AM$13)*1</f>
        <v>16.12796715109398</v>
      </c>
      <c r="Z102" s="6"/>
      <c r="AA102" s="6"/>
      <c r="AB102" s="6">
        <f t="shared" si="6"/>
        <v>14948</v>
      </c>
      <c r="AC102" s="6">
        <f t="shared" si="7"/>
        <v>0</v>
      </c>
      <c r="AD102" s="6">
        <f t="shared" ca="1" si="8"/>
        <v>29836.739229523864</v>
      </c>
      <c r="AE102" s="6">
        <f t="shared" si="9"/>
        <v>0</v>
      </c>
      <c r="AF102" s="4" t="s">
        <v>637</v>
      </c>
    </row>
    <row r="103" spans="1:32" ht="11.25" customHeight="1" x14ac:dyDescent="0.25">
      <c r="A103" s="4" t="s">
        <v>65</v>
      </c>
      <c r="B103" s="4" t="s">
        <v>35</v>
      </c>
      <c r="C103" s="4" t="s">
        <v>56</v>
      </c>
      <c r="D103" s="4" t="s">
        <v>25</v>
      </c>
      <c r="E103" s="4" t="s">
        <v>25</v>
      </c>
      <c r="F103" s="4" t="s">
        <v>25</v>
      </c>
      <c r="G103" s="4" t="s">
        <v>60</v>
      </c>
      <c r="H103" s="4" t="s">
        <v>25</v>
      </c>
      <c r="I103" s="5">
        <v>44652</v>
      </c>
      <c r="J103" s="6">
        <v>880</v>
      </c>
      <c r="K103" s="6">
        <v>440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4" t="s">
        <v>58</v>
      </c>
      <c r="R103" s="4">
        <v>2317</v>
      </c>
      <c r="S103" s="4">
        <v>14</v>
      </c>
      <c r="T103" s="4">
        <v>0</v>
      </c>
      <c r="U103" s="4">
        <v>0</v>
      </c>
      <c r="V103" s="6">
        <f>IF(ISERROR(VLOOKUP($S$103,'TAR FIN'!$A$1:$O$93,15,0)),0,VLOOKUP($S$103,'TAR FIN'!$A$1:$O$93,15,0))</f>
        <v>8.08</v>
      </c>
      <c r="W103" s="6">
        <f>IF(ISERROR(VLOOKUP($T$103,'TAR FIN'!$A$1:$O$93,15,0)),0,VLOOKUP($T$103,'TAR FIN'!$A$1:$O$93,15,0))</f>
        <v>0</v>
      </c>
      <c r="X103" s="6">
        <f>IF(ISERROR(VLOOKUP($U$103,'TAR FIN'!$A$1:$O$93,15,0)),0,VLOOKUP($U$103,'TAR FIN'!$A$1:$O$93,15,0))</f>
        <v>0</v>
      </c>
      <c r="Y103" s="6">
        <f ca="1">('TUSD BE'!$AM$13+'TUSD BF'!$AM$13+'TUSD CVA'!$AM$13)*1</f>
        <v>16.12796715109398</v>
      </c>
      <c r="Z103" s="6"/>
      <c r="AA103" s="6"/>
      <c r="AB103" s="6">
        <f t="shared" si="6"/>
        <v>3555.2</v>
      </c>
      <c r="AC103" s="6">
        <f t="shared" si="7"/>
        <v>0</v>
      </c>
      <c r="AD103" s="6">
        <f t="shared" ca="1" si="8"/>
        <v>7096.3055464813515</v>
      </c>
      <c r="AE103" s="6">
        <f t="shared" si="9"/>
        <v>0</v>
      </c>
      <c r="AF103" s="4" t="s">
        <v>637</v>
      </c>
    </row>
    <row r="104" spans="1:32" ht="11.25" customHeight="1" x14ac:dyDescent="0.25">
      <c r="A104" s="4" t="s">
        <v>65</v>
      </c>
      <c r="B104" s="4" t="s">
        <v>35</v>
      </c>
      <c r="C104" s="4" t="s">
        <v>56</v>
      </c>
      <c r="D104" s="4" t="s">
        <v>25</v>
      </c>
      <c r="E104" s="4" t="s">
        <v>25</v>
      </c>
      <c r="F104" s="4" t="s">
        <v>25</v>
      </c>
      <c r="G104" s="4" t="s">
        <v>61</v>
      </c>
      <c r="H104" s="4" t="s">
        <v>25</v>
      </c>
      <c r="I104" s="5">
        <v>44652</v>
      </c>
      <c r="J104" s="6">
        <v>780</v>
      </c>
      <c r="K104" s="6">
        <v>390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" t="s">
        <v>58</v>
      </c>
      <c r="R104" s="4">
        <v>28915</v>
      </c>
      <c r="S104" s="4">
        <v>14</v>
      </c>
      <c r="T104" s="4">
        <v>0</v>
      </c>
      <c r="U104" s="4">
        <v>0</v>
      </c>
      <c r="V104" s="6">
        <f>IF(ISERROR(VLOOKUP($S$104,'TAR FIN'!$A$1:$O$93,15,0)),0,VLOOKUP($S$104,'TAR FIN'!$A$1:$O$93,15,0))</f>
        <v>8.08</v>
      </c>
      <c r="W104" s="6">
        <f>IF(ISERROR(VLOOKUP($T$104,'TAR FIN'!$A$1:$O$93,15,0)),0,VLOOKUP($T$104,'TAR FIN'!$A$1:$O$93,15,0))</f>
        <v>0</v>
      </c>
      <c r="X104" s="6">
        <f>IF(ISERROR(VLOOKUP($U$104,'TAR FIN'!$A$1:$O$93,15,0)),0,VLOOKUP($U$104,'TAR FIN'!$A$1:$O$93,15,0))</f>
        <v>0</v>
      </c>
      <c r="Y104" s="6">
        <f ca="1">('TUSD BE'!$AM$13+'TUSD BF'!$AM$13+'TUSD CVA'!$AM$13)*1</f>
        <v>16.12796715109398</v>
      </c>
      <c r="Z104" s="6"/>
      <c r="AA104" s="6"/>
      <c r="AB104" s="6">
        <f t="shared" si="6"/>
        <v>3151.2</v>
      </c>
      <c r="AC104" s="6">
        <f t="shared" si="7"/>
        <v>0</v>
      </c>
      <c r="AD104" s="6">
        <f t="shared" ca="1" si="8"/>
        <v>6289.9071889266525</v>
      </c>
      <c r="AE104" s="6">
        <f t="shared" si="9"/>
        <v>0</v>
      </c>
      <c r="AF104" s="4" t="s">
        <v>637</v>
      </c>
    </row>
    <row r="105" spans="1:32" ht="11.25" customHeight="1" x14ac:dyDescent="0.25">
      <c r="A105" s="4" t="s">
        <v>65</v>
      </c>
      <c r="B105" s="4" t="s">
        <v>35</v>
      </c>
      <c r="C105" s="4" t="s">
        <v>56</v>
      </c>
      <c r="D105" s="4" t="s">
        <v>25</v>
      </c>
      <c r="E105" s="4" t="s">
        <v>25</v>
      </c>
      <c r="F105" s="4" t="s">
        <v>25</v>
      </c>
      <c r="G105" s="4" t="s">
        <v>62</v>
      </c>
      <c r="H105" s="4" t="s">
        <v>25</v>
      </c>
      <c r="I105" s="5">
        <v>44652</v>
      </c>
      <c r="J105" s="6">
        <v>1280</v>
      </c>
      <c r="K105" s="6">
        <v>640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" t="s">
        <v>58</v>
      </c>
      <c r="R105" s="4">
        <v>31695</v>
      </c>
      <c r="S105" s="4">
        <v>14</v>
      </c>
      <c r="T105" s="4">
        <v>0</v>
      </c>
      <c r="U105" s="4">
        <v>0</v>
      </c>
      <c r="V105" s="6">
        <f>IF(ISERROR(VLOOKUP($S$105,'TAR FIN'!$A$1:$O$93,15,0)),0,VLOOKUP($S$105,'TAR FIN'!$A$1:$O$93,15,0))</f>
        <v>8.08</v>
      </c>
      <c r="W105" s="6">
        <f>IF(ISERROR(VLOOKUP($T$105,'TAR FIN'!$A$1:$O$93,15,0)),0,VLOOKUP($T$105,'TAR FIN'!$A$1:$O$93,15,0))</f>
        <v>0</v>
      </c>
      <c r="X105" s="6">
        <f>IF(ISERROR(VLOOKUP($U$105,'TAR FIN'!$A$1:$O$93,15,0)),0,VLOOKUP($U$105,'TAR FIN'!$A$1:$O$93,15,0))</f>
        <v>0</v>
      </c>
      <c r="Y105" s="6">
        <f ca="1">('TUSD BE'!$AM$13+'TUSD BF'!$AM$13+'TUSD CVA'!$AM$13)*1</f>
        <v>16.12796715109398</v>
      </c>
      <c r="Z105" s="6"/>
      <c r="AA105" s="6"/>
      <c r="AB105" s="6">
        <f t="shared" si="6"/>
        <v>5171.2</v>
      </c>
      <c r="AC105" s="6">
        <f t="shared" si="7"/>
        <v>0</v>
      </c>
      <c r="AD105" s="6">
        <f t="shared" ca="1" si="8"/>
        <v>10321.898976700148</v>
      </c>
      <c r="AE105" s="6">
        <f t="shared" si="9"/>
        <v>0</v>
      </c>
      <c r="AF105" s="4" t="s">
        <v>637</v>
      </c>
    </row>
    <row r="106" spans="1:32" ht="11.25" customHeight="1" x14ac:dyDescent="0.25">
      <c r="A106" s="4" t="s">
        <v>65</v>
      </c>
      <c r="B106" s="4" t="s">
        <v>35</v>
      </c>
      <c r="C106" s="4" t="s">
        <v>56</v>
      </c>
      <c r="D106" s="4" t="s">
        <v>25</v>
      </c>
      <c r="E106" s="4" t="s">
        <v>25</v>
      </c>
      <c r="F106" s="4" t="s">
        <v>25</v>
      </c>
      <c r="G106" s="4" t="s">
        <v>63</v>
      </c>
      <c r="H106" s="4" t="s">
        <v>25</v>
      </c>
      <c r="I106" s="5">
        <v>44652</v>
      </c>
      <c r="J106" s="6">
        <v>2425</v>
      </c>
      <c r="K106" s="6">
        <v>1212.5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4" t="s">
        <v>58</v>
      </c>
      <c r="S106" s="4">
        <v>14</v>
      </c>
      <c r="T106" s="4">
        <v>0</v>
      </c>
      <c r="U106" s="4">
        <v>0</v>
      </c>
      <c r="V106" s="6">
        <f>IF(ISERROR(VLOOKUP($S$106,'TAR FIN'!$A$1:$O$93,15,0)),0,VLOOKUP($S$106,'TAR FIN'!$A$1:$O$93,15,0))</f>
        <v>8.08</v>
      </c>
      <c r="W106" s="6">
        <f>IF(ISERROR(VLOOKUP($T$106,'TAR FIN'!$A$1:$O$93,15,0)),0,VLOOKUP($T$106,'TAR FIN'!$A$1:$O$93,15,0))</f>
        <v>0</v>
      </c>
      <c r="X106" s="6">
        <f>IF(ISERROR(VLOOKUP($U$106,'TAR FIN'!$A$1:$O$93,15,0)),0,VLOOKUP($U$106,'TAR FIN'!$A$1:$O$93,15,0))</f>
        <v>0</v>
      </c>
      <c r="Y106" s="6">
        <f ca="1">('TUSD BE'!$AM$13+'TUSD BF'!$AM$13+'TUSD CVA'!$AM$13)*1</f>
        <v>16.12796715109398</v>
      </c>
      <c r="Z106" s="6"/>
      <c r="AA106" s="6"/>
      <c r="AB106" s="6">
        <f t="shared" si="6"/>
        <v>9797</v>
      </c>
      <c r="AC106" s="6">
        <f t="shared" si="7"/>
        <v>0</v>
      </c>
      <c r="AD106" s="6">
        <f t="shared" ca="1" si="8"/>
        <v>19555.160170701452</v>
      </c>
      <c r="AE106" s="6">
        <f t="shared" si="9"/>
        <v>0</v>
      </c>
      <c r="AF106" s="4" t="s">
        <v>637</v>
      </c>
    </row>
    <row r="107" spans="1:32" ht="11.25" customHeight="1" x14ac:dyDescent="0.25">
      <c r="A107" s="4" t="s">
        <v>65</v>
      </c>
      <c r="B107" s="4" t="s">
        <v>35</v>
      </c>
      <c r="C107" s="4" t="s">
        <v>56</v>
      </c>
      <c r="D107" s="4" t="s">
        <v>25</v>
      </c>
      <c r="E107" s="4" t="s">
        <v>25</v>
      </c>
      <c r="F107" s="4" t="s">
        <v>25</v>
      </c>
      <c r="G107" s="4" t="s">
        <v>64</v>
      </c>
      <c r="H107" s="4" t="s">
        <v>25</v>
      </c>
      <c r="I107" s="5">
        <v>44652</v>
      </c>
      <c r="J107" s="6">
        <v>1100</v>
      </c>
      <c r="K107" s="6">
        <v>550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4" t="s">
        <v>58</v>
      </c>
      <c r="S107" s="4">
        <v>14</v>
      </c>
      <c r="T107" s="4">
        <v>0</v>
      </c>
      <c r="U107" s="4">
        <v>0</v>
      </c>
      <c r="V107" s="6">
        <f>IF(ISERROR(VLOOKUP($S$107,'TAR FIN'!$A$1:$O$93,15,0)),0,VLOOKUP($S$107,'TAR FIN'!$A$1:$O$93,15,0))</f>
        <v>8.08</v>
      </c>
      <c r="W107" s="6">
        <f>IF(ISERROR(VLOOKUP($T$107,'TAR FIN'!$A$1:$O$93,15,0)),0,VLOOKUP($T$107,'TAR FIN'!$A$1:$O$93,15,0))</f>
        <v>0</v>
      </c>
      <c r="X107" s="6">
        <f>IF(ISERROR(VLOOKUP($U$107,'TAR FIN'!$A$1:$O$93,15,0)),0,VLOOKUP($U$107,'TAR FIN'!$A$1:$O$93,15,0))</f>
        <v>0</v>
      </c>
      <c r="Y107" s="6">
        <f ca="1">('TUSD BE'!$AM$13+'TUSD BF'!$AM$13+'TUSD CVA'!$AM$13)*1</f>
        <v>16.12796715109398</v>
      </c>
      <c r="Z107" s="6"/>
      <c r="AA107" s="6"/>
      <c r="AB107" s="6">
        <f t="shared" si="6"/>
        <v>4444</v>
      </c>
      <c r="AC107" s="6">
        <f t="shared" si="7"/>
        <v>0</v>
      </c>
      <c r="AD107" s="6">
        <f t="shared" ca="1" si="8"/>
        <v>8870.3819331016894</v>
      </c>
      <c r="AE107" s="6">
        <f t="shared" si="9"/>
        <v>0</v>
      </c>
      <c r="AF107" s="4" t="s">
        <v>637</v>
      </c>
    </row>
    <row r="108" spans="1:32" ht="11.25" customHeight="1" x14ac:dyDescent="0.25">
      <c r="A108" s="4" t="s">
        <v>21</v>
      </c>
      <c r="B108" s="4" t="s">
        <v>35</v>
      </c>
      <c r="C108" s="4" t="s">
        <v>56</v>
      </c>
      <c r="D108" s="4" t="s">
        <v>25</v>
      </c>
      <c r="E108" s="4" t="s">
        <v>25</v>
      </c>
      <c r="F108" s="4" t="s">
        <v>25</v>
      </c>
      <c r="G108" s="4" t="s">
        <v>57</v>
      </c>
      <c r="H108" s="4" t="s">
        <v>25</v>
      </c>
      <c r="I108" s="5">
        <v>44682</v>
      </c>
      <c r="J108" s="6">
        <v>705</v>
      </c>
      <c r="K108" s="6">
        <v>352.5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4" t="s">
        <v>58</v>
      </c>
      <c r="R108" s="4">
        <v>706</v>
      </c>
      <c r="S108" s="4">
        <v>14</v>
      </c>
      <c r="T108" s="4">
        <v>0</v>
      </c>
      <c r="U108" s="4">
        <v>0</v>
      </c>
      <c r="V108" s="6">
        <f>IF(ISERROR(VLOOKUP($S$108,'TAR FIN'!$A$1:$O$93,15,0)),0,VLOOKUP($S$108,'TAR FIN'!$A$1:$O$93,15,0))</f>
        <v>8.08</v>
      </c>
      <c r="W108" s="6">
        <f>IF(ISERROR(VLOOKUP($T$108,'TAR FIN'!$A$1:$O$93,15,0)),0,VLOOKUP($T$108,'TAR FIN'!$A$1:$O$93,15,0))</f>
        <v>0</v>
      </c>
      <c r="X108" s="6">
        <f>IF(ISERROR(VLOOKUP($U$108,'TAR FIN'!$A$1:$O$93,15,0)),0,VLOOKUP($U$108,'TAR FIN'!$A$1:$O$93,15,0))</f>
        <v>0</v>
      </c>
      <c r="Y108" s="6">
        <f ca="1">('TUSD BE'!$AM$13+'TUSD BF'!$AM$13+'TUSD CVA'!$AM$13)*1</f>
        <v>16.12796715109398</v>
      </c>
      <c r="Z108" s="6"/>
      <c r="AA108" s="6"/>
      <c r="AB108" s="6">
        <f t="shared" si="6"/>
        <v>2848.2</v>
      </c>
      <c r="AC108" s="6">
        <f t="shared" si="7"/>
        <v>0</v>
      </c>
      <c r="AD108" s="6">
        <f t="shared" ca="1" si="8"/>
        <v>5685.1084207606282</v>
      </c>
      <c r="AE108" s="6">
        <f t="shared" si="9"/>
        <v>0</v>
      </c>
      <c r="AF108" s="4" t="s">
        <v>637</v>
      </c>
    </row>
    <row r="109" spans="1:32" ht="11.25" customHeight="1" x14ac:dyDescent="0.25">
      <c r="A109" s="4" t="s">
        <v>21</v>
      </c>
      <c r="B109" s="4" t="s">
        <v>35</v>
      </c>
      <c r="C109" s="4" t="s">
        <v>56</v>
      </c>
      <c r="D109" s="4" t="s">
        <v>25</v>
      </c>
      <c r="E109" s="4" t="s">
        <v>25</v>
      </c>
      <c r="F109" s="4" t="s">
        <v>25</v>
      </c>
      <c r="G109" s="4" t="s">
        <v>59</v>
      </c>
      <c r="H109" s="4" t="s">
        <v>25</v>
      </c>
      <c r="I109" s="5">
        <v>44682</v>
      </c>
      <c r="J109" s="6">
        <v>3700</v>
      </c>
      <c r="K109" s="6">
        <v>1850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4" t="s">
        <v>58</v>
      </c>
      <c r="R109" s="4">
        <v>877</v>
      </c>
      <c r="S109" s="4">
        <v>14</v>
      </c>
      <c r="T109" s="4">
        <v>0</v>
      </c>
      <c r="U109" s="4">
        <v>0</v>
      </c>
      <c r="V109" s="6">
        <f>IF(ISERROR(VLOOKUP($S$109,'TAR FIN'!$A$1:$O$93,15,0)),0,VLOOKUP($S$109,'TAR FIN'!$A$1:$O$93,15,0))</f>
        <v>8.08</v>
      </c>
      <c r="W109" s="6">
        <f>IF(ISERROR(VLOOKUP($T$109,'TAR FIN'!$A$1:$O$93,15,0)),0,VLOOKUP($T$109,'TAR FIN'!$A$1:$O$93,15,0))</f>
        <v>0</v>
      </c>
      <c r="X109" s="6">
        <f>IF(ISERROR(VLOOKUP($U$109,'TAR FIN'!$A$1:$O$93,15,0)),0,VLOOKUP($U$109,'TAR FIN'!$A$1:$O$93,15,0))</f>
        <v>0</v>
      </c>
      <c r="Y109" s="6">
        <f ca="1">('TUSD BE'!$AM$13+'TUSD BF'!$AM$13+'TUSD CVA'!$AM$13)*1</f>
        <v>16.12796715109398</v>
      </c>
      <c r="Z109" s="6"/>
      <c r="AA109" s="6"/>
      <c r="AB109" s="6">
        <f t="shared" si="6"/>
        <v>14948</v>
      </c>
      <c r="AC109" s="6">
        <f t="shared" si="7"/>
        <v>0</v>
      </c>
      <c r="AD109" s="6">
        <f t="shared" ca="1" si="8"/>
        <v>29836.739229523864</v>
      </c>
      <c r="AE109" s="6">
        <f t="shared" si="9"/>
        <v>0</v>
      </c>
      <c r="AF109" s="4" t="s">
        <v>637</v>
      </c>
    </row>
    <row r="110" spans="1:32" ht="11.25" customHeight="1" x14ac:dyDescent="0.25">
      <c r="A110" s="4" t="s">
        <v>21</v>
      </c>
      <c r="B110" s="4" t="s">
        <v>35</v>
      </c>
      <c r="C110" s="4" t="s">
        <v>56</v>
      </c>
      <c r="D110" s="4" t="s">
        <v>25</v>
      </c>
      <c r="E110" s="4" t="s">
        <v>25</v>
      </c>
      <c r="F110" s="4" t="s">
        <v>25</v>
      </c>
      <c r="G110" s="4" t="s">
        <v>60</v>
      </c>
      <c r="H110" s="4" t="s">
        <v>25</v>
      </c>
      <c r="I110" s="5">
        <v>44682</v>
      </c>
      <c r="J110" s="6">
        <v>880</v>
      </c>
      <c r="K110" s="6">
        <v>440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4" t="s">
        <v>58</v>
      </c>
      <c r="R110" s="4">
        <v>2317</v>
      </c>
      <c r="S110" s="4">
        <v>14</v>
      </c>
      <c r="T110" s="4">
        <v>0</v>
      </c>
      <c r="U110" s="4">
        <v>0</v>
      </c>
      <c r="V110" s="6">
        <f>IF(ISERROR(VLOOKUP($S$110,'TAR FIN'!$A$1:$O$93,15,0)),0,VLOOKUP($S$110,'TAR FIN'!$A$1:$O$93,15,0))</f>
        <v>8.08</v>
      </c>
      <c r="W110" s="6">
        <f>IF(ISERROR(VLOOKUP($T$110,'TAR FIN'!$A$1:$O$93,15,0)),0,VLOOKUP($T$110,'TAR FIN'!$A$1:$O$93,15,0))</f>
        <v>0</v>
      </c>
      <c r="X110" s="6">
        <f>IF(ISERROR(VLOOKUP($U$110,'TAR FIN'!$A$1:$O$93,15,0)),0,VLOOKUP($U$110,'TAR FIN'!$A$1:$O$93,15,0))</f>
        <v>0</v>
      </c>
      <c r="Y110" s="6">
        <f ca="1">('TUSD BE'!$AM$13+'TUSD BF'!$AM$13+'TUSD CVA'!$AM$13)*1</f>
        <v>16.12796715109398</v>
      </c>
      <c r="Z110" s="6"/>
      <c r="AA110" s="6"/>
      <c r="AB110" s="6">
        <f t="shared" si="6"/>
        <v>3555.2</v>
      </c>
      <c r="AC110" s="6">
        <f t="shared" si="7"/>
        <v>0</v>
      </c>
      <c r="AD110" s="6">
        <f t="shared" ca="1" si="8"/>
        <v>7096.3055464813515</v>
      </c>
      <c r="AE110" s="6">
        <f t="shared" si="9"/>
        <v>0</v>
      </c>
      <c r="AF110" s="4" t="s">
        <v>637</v>
      </c>
    </row>
    <row r="111" spans="1:32" ht="11.25" customHeight="1" x14ac:dyDescent="0.25">
      <c r="A111" s="4" t="s">
        <v>21</v>
      </c>
      <c r="B111" s="4" t="s">
        <v>35</v>
      </c>
      <c r="C111" s="4" t="s">
        <v>56</v>
      </c>
      <c r="D111" s="4" t="s">
        <v>25</v>
      </c>
      <c r="E111" s="4" t="s">
        <v>25</v>
      </c>
      <c r="F111" s="4" t="s">
        <v>25</v>
      </c>
      <c r="G111" s="4" t="s">
        <v>61</v>
      </c>
      <c r="H111" s="4" t="s">
        <v>25</v>
      </c>
      <c r="I111" s="5">
        <v>44682</v>
      </c>
      <c r="J111" s="6">
        <v>780</v>
      </c>
      <c r="K111" s="6">
        <v>390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58</v>
      </c>
      <c r="R111" s="4">
        <v>28915</v>
      </c>
      <c r="S111" s="4">
        <v>14</v>
      </c>
      <c r="T111" s="4">
        <v>0</v>
      </c>
      <c r="U111" s="4">
        <v>0</v>
      </c>
      <c r="V111" s="6">
        <f>IF(ISERROR(VLOOKUP($S$111,'TAR FIN'!$A$1:$O$93,15,0)),0,VLOOKUP($S$111,'TAR FIN'!$A$1:$O$93,15,0))</f>
        <v>8.08</v>
      </c>
      <c r="W111" s="6">
        <f>IF(ISERROR(VLOOKUP($T$111,'TAR FIN'!$A$1:$O$93,15,0)),0,VLOOKUP($T$111,'TAR FIN'!$A$1:$O$93,15,0))</f>
        <v>0</v>
      </c>
      <c r="X111" s="6">
        <f>IF(ISERROR(VLOOKUP($U$111,'TAR FIN'!$A$1:$O$93,15,0)),0,VLOOKUP($U$111,'TAR FIN'!$A$1:$O$93,15,0))</f>
        <v>0</v>
      </c>
      <c r="Y111" s="6">
        <f ca="1">('TUSD BE'!$AM$13+'TUSD BF'!$AM$13+'TUSD CVA'!$AM$13)*1</f>
        <v>16.12796715109398</v>
      </c>
      <c r="Z111" s="6"/>
      <c r="AA111" s="6"/>
      <c r="AB111" s="6">
        <f t="shared" si="6"/>
        <v>3151.2</v>
      </c>
      <c r="AC111" s="6">
        <f t="shared" si="7"/>
        <v>0</v>
      </c>
      <c r="AD111" s="6">
        <f t="shared" ca="1" si="8"/>
        <v>6289.9071889266525</v>
      </c>
      <c r="AE111" s="6">
        <f t="shared" si="9"/>
        <v>0</v>
      </c>
      <c r="AF111" s="4" t="s">
        <v>637</v>
      </c>
    </row>
    <row r="112" spans="1:32" ht="11.25" customHeight="1" x14ac:dyDescent="0.25">
      <c r="A112" s="4" t="s">
        <v>21</v>
      </c>
      <c r="B112" s="4" t="s">
        <v>35</v>
      </c>
      <c r="C112" s="4" t="s">
        <v>56</v>
      </c>
      <c r="D112" s="4" t="s">
        <v>25</v>
      </c>
      <c r="E112" s="4" t="s">
        <v>25</v>
      </c>
      <c r="F112" s="4" t="s">
        <v>25</v>
      </c>
      <c r="G112" s="4" t="s">
        <v>62</v>
      </c>
      <c r="H112" s="4" t="s">
        <v>25</v>
      </c>
      <c r="I112" s="5">
        <v>44682</v>
      </c>
      <c r="J112" s="6">
        <v>1280</v>
      </c>
      <c r="K112" s="6">
        <v>640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58</v>
      </c>
      <c r="R112" s="4">
        <v>31695</v>
      </c>
      <c r="S112" s="4">
        <v>14</v>
      </c>
      <c r="T112" s="4">
        <v>0</v>
      </c>
      <c r="U112" s="4">
        <v>0</v>
      </c>
      <c r="V112" s="6">
        <f>IF(ISERROR(VLOOKUP($S$112,'TAR FIN'!$A$1:$O$93,15,0)),0,VLOOKUP($S$112,'TAR FIN'!$A$1:$O$93,15,0))</f>
        <v>8.08</v>
      </c>
      <c r="W112" s="6">
        <f>IF(ISERROR(VLOOKUP($T$112,'TAR FIN'!$A$1:$O$93,15,0)),0,VLOOKUP($T$112,'TAR FIN'!$A$1:$O$93,15,0))</f>
        <v>0</v>
      </c>
      <c r="X112" s="6">
        <f>IF(ISERROR(VLOOKUP($U$112,'TAR FIN'!$A$1:$O$93,15,0)),0,VLOOKUP($U$112,'TAR FIN'!$A$1:$O$93,15,0))</f>
        <v>0</v>
      </c>
      <c r="Y112" s="6">
        <f ca="1">('TUSD BE'!$AM$13+'TUSD BF'!$AM$13+'TUSD CVA'!$AM$13)*1</f>
        <v>16.12796715109398</v>
      </c>
      <c r="Z112" s="6"/>
      <c r="AA112" s="6"/>
      <c r="AB112" s="6">
        <f t="shared" si="6"/>
        <v>5171.2</v>
      </c>
      <c r="AC112" s="6">
        <f t="shared" si="7"/>
        <v>0</v>
      </c>
      <c r="AD112" s="6">
        <f t="shared" ca="1" si="8"/>
        <v>10321.898976700148</v>
      </c>
      <c r="AE112" s="6">
        <f t="shared" si="9"/>
        <v>0</v>
      </c>
      <c r="AF112" s="4" t="s">
        <v>637</v>
      </c>
    </row>
    <row r="113" spans="1:32" ht="11.25" customHeight="1" x14ac:dyDescent="0.25">
      <c r="A113" s="4" t="s">
        <v>21</v>
      </c>
      <c r="B113" s="4" t="s">
        <v>35</v>
      </c>
      <c r="C113" s="4" t="s">
        <v>56</v>
      </c>
      <c r="D113" s="4" t="s">
        <v>25</v>
      </c>
      <c r="E113" s="4" t="s">
        <v>25</v>
      </c>
      <c r="F113" s="4" t="s">
        <v>25</v>
      </c>
      <c r="G113" s="4" t="s">
        <v>63</v>
      </c>
      <c r="H113" s="4" t="s">
        <v>25</v>
      </c>
      <c r="I113" s="5">
        <v>44682</v>
      </c>
      <c r="J113" s="6">
        <v>2425</v>
      </c>
      <c r="K113" s="6">
        <v>1212.5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58</v>
      </c>
      <c r="S113" s="4">
        <v>14</v>
      </c>
      <c r="T113" s="4">
        <v>0</v>
      </c>
      <c r="U113" s="4">
        <v>0</v>
      </c>
      <c r="V113" s="6">
        <f>IF(ISERROR(VLOOKUP($S$113,'TAR FIN'!$A$1:$O$93,15,0)),0,VLOOKUP($S$113,'TAR FIN'!$A$1:$O$93,15,0))</f>
        <v>8.08</v>
      </c>
      <c r="W113" s="6">
        <f>IF(ISERROR(VLOOKUP($T$113,'TAR FIN'!$A$1:$O$93,15,0)),0,VLOOKUP($T$113,'TAR FIN'!$A$1:$O$93,15,0))</f>
        <v>0</v>
      </c>
      <c r="X113" s="6">
        <f>IF(ISERROR(VLOOKUP($U$113,'TAR FIN'!$A$1:$O$93,15,0)),0,VLOOKUP($U$113,'TAR FIN'!$A$1:$O$93,15,0))</f>
        <v>0</v>
      </c>
      <c r="Y113" s="6">
        <f ca="1">('TUSD BE'!$AM$13+'TUSD BF'!$AM$13+'TUSD CVA'!$AM$13)*1</f>
        <v>16.12796715109398</v>
      </c>
      <c r="Z113" s="6"/>
      <c r="AA113" s="6"/>
      <c r="AB113" s="6">
        <f t="shared" si="6"/>
        <v>9797</v>
      </c>
      <c r="AC113" s="6">
        <f t="shared" si="7"/>
        <v>0</v>
      </c>
      <c r="AD113" s="6">
        <f t="shared" ca="1" si="8"/>
        <v>19555.160170701452</v>
      </c>
      <c r="AE113" s="6">
        <f t="shared" si="9"/>
        <v>0</v>
      </c>
      <c r="AF113" s="4" t="s">
        <v>637</v>
      </c>
    </row>
    <row r="114" spans="1:32" ht="11.25" customHeight="1" x14ac:dyDescent="0.25">
      <c r="A114" s="4" t="s">
        <v>21</v>
      </c>
      <c r="B114" s="4" t="s">
        <v>35</v>
      </c>
      <c r="C114" s="4" t="s">
        <v>56</v>
      </c>
      <c r="D114" s="4" t="s">
        <v>25</v>
      </c>
      <c r="E114" s="4" t="s">
        <v>25</v>
      </c>
      <c r="F114" s="4" t="s">
        <v>25</v>
      </c>
      <c r="G114" s="4" t="s">
        <v>64</v>
      </c>
      <c r="H114" s="4" t="s">
        <v>25</v>
      </c>
      <c r="I114" s="5">
        <v>44682</v>
      </c>
      <c r="J114" s="6">
        <v>1100</v>
      </c>
      <c r="K114" s="6">
        <v>550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58</v>
      </c>
      <c r="S114" s="4">
        <v>14</v>
      </c>
      <c r="T114" s="4">
        <v>0</v>
      </c>
      <c r="U114" s="4">
        <v>0</v>
      </c>
      <c r="V114" s="6">
        <f>IF(ISERROR(VLOOKUP($S$114,'TAR FIN'!$A$1:$O$93,15,0)),0,VLOOKUP($S$114,'TAR FIN'!$A$1:$O$93,15,0))</f>
        <v>8.08</v>
      </c>
      <c r="W114" s="6">
        <f>IF(ISERROR(VLOOKUP($T$114,'TAR FIN'!$A$1:$O$93,15,0)),0,VLOOKUP($T$114,'TAR FIN'!$A$1:$O$93,15,0))</f>
        <v>0</v>
      </c>
      <c r="X114" s="6">
        <f>IF(ISERROR(VLOOKUP($U$114,'TAR FIN'!$A$1:$O$93,15,0)),0,VLOOKUP($U$114,'TAR FIN'!$A$1:$O$93,15,0))</f>
        <v>0</v>
      </c>
      <c r="Y114" s="6">
        <f ca="1">('TUSD BE'!$AM$13+'TUSD BF'!$AM$13+'TUSD CVA'!$AM$13)*1</f>
        <v>16.12796715109398</v>
      </c>
      <c r="Z114" s="6"/>
      <c r="AA114" s="6"/>
      <c r="AB114" s="6">
        <f t="shared" si="6"/>
        <v>4444</v>
      </c>
      <c r="AC114" s="6">
        <f t="shared" si="7"/>
        <v>0</v>
      </c>
      <c r="AD114" s="6">
        <f t="shared" ca="1" si="8"/>
        <v>8870.3819331016894</v>
      </c>
      <c r="AE114" s="6">
        <f t="shared" si="9"/>
        <v>0</v>
      </c>
      <c r="AF114" s="4" t="s">
        <v>637</v>
      </c>
    </row>
    <row r="115" spans="1:32" ht="11.25" customHeight="1" x14ac:dyDescent="0.25">
      <c r="A115" s="4" t="s">
        <v>21</v>
      </c>
      <c r="B115" s="4" t="s">
        <v>35</v>
      </c>
      <c r="C115" s="4" t="s">
        <v>56</v>
      </c>
      <c r="D115" s="4" t="s">
        <v>25</v>
      </c>
      <c r="E115" s="4" t="s">
        <v>25</v>
      </c>
      <c r="F115" s="4" t="s">
        <v>25</v>
      </c>
      <c r="G115" s="4" t="s">
        <v>57</v>
      </c>
      <c r="H115" s="4" t="s">
        <v>25</v>
      </c>
      <c r="I115" s="5">
        <v>44713</v>
      </c>
      <c r="J115" s="6">
        <v>880</v>
      </c>
      <c r="K115" s="6">
        <v>440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58</v>
      </c>
      <c r="R115" s="4">
        <v>706</v>
      </c>
      <c r="S115" s="4">
        <v>14</v>
      </c>
      <c r="T115" s="4">
        <v>0</v>
      </c>
      <c r="U115" s="4">
        <v>0</v>
      </c>
      <c r="V115" s="6">
        <f>IF(ISERROR(VLOOKUP($S$115,'TAR FIN'!$A$1:$O$93,15,0)),0,VLOOKUP($S$115,'TAR FIN'!$A$1:$O$93,15,0))</f>
        <v>8.08</v>
      </c>
      <c r="W115" s="6">
        <f>IF(ISERROR(VLOOKUP($T$115,'TAR FIN'!$A$1:$O$93,15,0)),0,VLOOKUP($T$115,'TAR FIN'!$A$1:$O$93,15,0))</f>
        <v>0</v>
      </c>
      <c r="X115" s="6">
        <f>IF(ISERROR(VLOOKUP($U$115,'TAR FIN'!$A$1:$O$93,15,0)),0,VLOOKUP($U$115,'TAR FIN'!$A$1:$O$93,15,0))</f>
        <v>0</v>
      </c>
      <c r="Y115" s="6">
        <f ca="1">('TUSD BE'!$AM$13+'TUSD BF'!$AM$13+'TUSD CVA'!$AM$13)*1</f>
        <v>16.12796715109398</v>
      </c>
      <c r="Z115" s="6"/>
      <c r="AA115" s="6"/>
      <c r="AB115" s="6">
        <f t="shared" si="6"/>
        <v>3555.2</v>
      </c>
      <c r="AC115" s="6">
        <f t="shared" si="7"/>
        <v>0</v>
      </c>
      <c r="AD115" s="6">
        <f t="shared" ca="1" si="8"/>
        <v>7096.3055464813515</v>
      </c>
      <c r="AE115" s="6">
        <f t="shared" si="9"/>
        <v>0</v>
      </c>
      <c r="AF115" s="4" t="s">
        <v>637</v>
      </c>
    </row>
    <row r="116" spans="1:32" ht="11.25" customHeight="1" x14ac:dyDescent="0.25">
      <c r="A116" s="4" t="s">
        <v>21</v>
      </c>
      <c r="B116" s="4" t="s">
        <v>35</v>
      </c>
      <c r="C116" s="4" t="s">
        <v>56</v>
      </c>
      <c r="D116" s="4" t="s">
        <v>25</v>
      </c>
      <c r="E116" s="4" t="s">
        <v>25</v>
      </c>
      <c r="F116" s="4" t="s">
        <v>25</v>
      </c>
      <c r="G116" s="4" t="s">
        <v>59</v>
      </c>
      <c r="H116" s="4" t="s">
        <v>25</v>
      </c>
      <c r="I116" s="5">
        <v>44713</v>
      </c>
      <c r="J116" s="6">
        <v>3700</v>
      </c>
      <c r="K116" s="6">
        <v>1850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58</v>
      </c>
      <c r="R116" s="4">
        <v>877</v>
      </c>
      <c r="S116" s="4">
        <v>14</v>
      </c>
      <c r="T116" s="4">
        <v>0</v>
      </c>
      <c r="U116" s="4">
        <v>0</v>
      </c>
      <c r="V116" s="6">
        <f>IF(ISERROR(VLOOKUP($S$116,'TAR FIN'!$A$1:$O$93,15,0)),0,VLOOKUP($S$116,'TAR FIN'!$A$1:$O$93,15,0))</f>
        <v>8.08</v>
      </c>
      <c r="W116" s="6">
        <f>IF(ISERROR(VLOOKUP($T$116,'TAR FIN'!$A$1:$O$93,15,0)),0,VLOOKUP($T$116,'TAR FIN'!$A$1:$O$93,15,0))</f>
        <v>0</v>
      </c>
      <c r="X116" s="6">
        <f>IF(ISERROR(VLOOKUP($U$116,'TAR FIN'!$A$1:$O$93,15,0)),0,VLOOKUP($U$116,'TAR FIN'!$A$1:$O$93,15,0))</f>
        <v>0</v>
      </c>
      <c r="Y116" s="6">
        <f ca="1">('TUSD BE'!$AM$13+'TUSD BF'!$AM$13+'TUSD CVA'!$AM$13)*1</f>
        <v>16.12796715109398</v>
      </c>
      <c r="Z116" s="6"/>
      <c r="AA116" s="6"/>
      <c r="AB116" s="6">
        <f t="shared" si="6"/>
        <v>14948</v>
      </c>
      <c r="AC116" s="6">
        <f t="shared" si="7"/>
        <v>0</v>
      </c>
      <c r="AD116" s="6">
        <f t="shared" ca="1" si="8"/>
        <v>29836.739229523864</v>
      </c>
      <c r="AE116" s="6">
        <f t="shared" si="9"/>
        <v>0</v>
      </c>
      <c r="AF116" s="4" t="s">
        <v>637</v>
      </c>
    </row>
    <row r="117" spans="1:32" ht="11.25" customHeight="1" x14ac:dyDescent="0.25">
      <c r="A117" s="4" t="s">
        <v>21</v>
      </c>
      <c r="B117" s="4" t="s">
        <v>35</v>
      </c>
      <c r="C117" s="4" t="s">
        <v>56</v>
      </c>
      <c r="D117" s="4" t="s">
        <v>25</v>
      </c>
      <c r="E117" s="4" t="s">
        <v>25</v>
      </c>
      <c r="F117" s="4" t="s">
        <v>25</v>
      </c>
      <c r="G117" s="4" t="s">
        <v>60</v>
      </c>
      <c r="H117" s="4" t="s">
        <v>25</v>
      </c>
      <c r="I117" s="5">
        <v>44713</v>
      </c>
      <c r="J117" s="6">
        <v>880</v>
      </c>
      <c r="K117" s="6">
        <v>440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58</v>
      </c>
      <c r="R117" s="4">
        <v>2317</v>
      </c>
      <c r="S117" s="4">
        <v>14</v>
      </c>
      <c r="T117" s="4">
        <v>0</v>
      </c>
      <c r="U117" s="4">
        <v>0</v>
      </c>
      <c r="V117" s="6">
        <f>IF(ISERROR(VLOOKUP($S$117,'TAR FIN'!$A$1:$O$93,15,0)),0,VLOOKUP($S$117,'TAR FIN'!$A$1:$O$93,15,0))</f>
        <v>8.08</v>
      </c>
      <c r="W117" s="6">
        <f>IF(ISERROR(VLOOKUP($T$117,'TAR FIN'!$A$1:$O$93,15,0)),0,VLOOKUP($T$117,'TAR FIN'!$A$1:$O$93,15,0))</f>
        <v>0</v>
      </c>
      <c r="X117" s="6">
        <f>IF(ISERROR(VLOOKUP($U$117,'TAR FIN'!$A$1:$O$93,15,0)),0,VLOOKUP($U$117,'TAR FIN'!$A$1:$O$93,15,0))</f>
        <v>0</v>
      </c>
      <c r="Y117" s="6">
        <f ca="1">('TUSD BE'!$AM$13+'TUSD BF'!$AM$13+'TUSD CVA'!$AM$13)*1</f>
        <v>16.12796715109398</v>
      </c>
      <c r="Z117" s="6"/>
      <c r="AA117" s="6"/>
      <c r="AB117" s="6">
        <f t="shared" si="6"/>
        <v>3555.2</v>
      </c>
      <c r="AC117" s="6">
        <f t="shared" si="7"/>
        <v>0</v>
      </c>
      <c r="AD117" s="6">
        <f t="shared" ca="1" si="8"/>
        <v>7096.3055464813515</v>
      </c>
      <c r="AE117" s="6">
        <f t="shared" si="9"/>
        <v>0</v>
      </c>
      <c r="AF117" s="4" t="s">
        <v>637</v>
      </c>
    </row>
    <row r="118" spans="1:32" ht="11.25" customHeight="1" x14ac:dyDescent="0.25">
      <c r="A118" s="4" t="s">
        <v>21</v>
      </c>
      <c r="B118" s="4" t="s">
        <v>35</v>
      </c>
      <c r="C118" s="4" t="s">
        <v>56</v>
      </c>
      <c r="D118" s="4" t="s">
        <v>25</v>
      </c>
      <c r="E118" s="4" t="s">
        <v>25</v>
      </c>
      <c r="F118" s="4" t="s">
        <v>25</v>
      </c>
      <c r="G118" s="4" t="s">
        <v>61</v>
      </c>
      <c r="H118" s="4" t="s">
        <v>25</v>
      </c>
      <c r="I118" s="5">
        <v>44713</v>
      </c>
      <c r="J118" s="6">
        <v>780</v>
      </c>
      <c r="K118" s="6">
        <v>390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58</v>
      </c>
      <c r="R118" s="4">
        <v>28915</v>
      </c>
      <c r="S118" s="4">
        <v>14</v>
      </c>
      <c r="T118" s="4">
        <v>0</v>
      </c>
      <c r="U118" s="4">
        <v>0</v>
      </c>
      <c r="V118" s="6">
        <f>IF(ISERROR(VLOOKUP($S$118,'TAR FIN'!$A$1:$O$93,15,0)),0,VLOOKUP($S$118,'TAR FIN'!$A$1:$O$93,15,0))</f>
        <v>8.08</v>
      </c>
      <c r="W118" s="6">
        <f>IF(ISERROR(VLOOKUP($T$118,'TAR FIN'!$A$1:$O$93,15,0)),0,VLOOKUP($T$118,'TAR FIN'!$A$1:$O$93,15,0))</f>
        <v>0</v>
      </c>
      <c r="X118" s="6">
        <f>IF(ISERROR(VLOOKUP($U$118,'TAR FIN'!$A$1:$O$93,15,0)),0,VLOOKUP($U$118,'TAR FIN'!$A$1:$O$93,15,0))</f>
        <v>0</v>
      </c>
      <c r="Y118" s="6">
        <f ca="1">('TUSD BE'!$AM$13+'TUSD BF'!$AM$13+'TUSD CVA'!$AM$13)*1</f>
        <v>16.12796715109398</v>
      </c>
      <c r="Z118" s="6"/>
      <c r="AA118" s="6"/>
      <c r="AB118" s="6">
        <f t="shared" si="6"/>
        <v>3151.2</v>
      </c>
      <c r="AC118" s="6">
        <f t="shared" si="7"/>
        <v>0</v>
      </c>
      <c r="AD118" s="6">
        <f t="shared" ca="1" si="8"/>
        <v>6289.9071889266525</v>
      </c>
      <c r="AE118" s="6">
        <f t="shared" si="9"/>
        <v>0</v>
      </c>
      <c r="AF118" s="4" t="s">
        <v>637</v>
      </c>
    </row>
    <row r="119" spans="1:32" ht="11.25" customHeight="1" x14ac:dyDescent="0.25">
      <c r="A119" s="4" t="s">
        <v>21</v>
      </c>
      <c r="B119" s="4" t="s">
        <v>35</v>
      </c>
      <c r="C119" s="4" t="s">
        <v>56</v>
      </c>
      <c r="D119" s="4" t="s">
        <v>25</v>
      </c>
      <c r="E119" s="4" t="s">
        <v>25</v>
      </c>
      <c r="F119" s="4" t="s">
        <v>25</v>
      </c>
      <c r="G119" s="4" t="s">
        <v>62</v>
      </c>
      <c r="H119" s="4" t="s">
        <v>25</v>
      </c>
      <c r="I119" s="5">
        <v>44713</v>
      </c>
      <c r="J119" s="6">
        <v>1280</v>
      </c>
      <c r="K119" s="6">
        <v>640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58</v>
      </c>
      <c r="R119" s="4">
        <v>31695</v>
      </c>
      <c r="S119" s="4">
        <v>14</v>
      </c>
      <c r="T119" s="4">
        <v>0</v>
      </c>
      <c r="U119" s="4">
        <v>0</v>
      </c>
      <c r="V119" s="6">
        <f>IF(ISERROR(VLOOKUP($S$119,'TAR FIN'!$A$1:$O$93,15,0)),0,VLOOKUP($S$119,'TAR FIN'!$A$1:$O$93,15,0))</f>
        <v>8.08</v>
      </c>
      <c r="W119" s="6">
        <f>IF(ISERROR(VLOOKUP($T$119,'TAR FIN'!$A$1:$O$93,15,0)),0,VLOOKUP($T$119,'TAR FIN'!$A$1:$O$93,15,0))</f>
        <v>0</v>
      </c>
      <c r="X119" s="6">
        <f>IF(ISERROR(VLOOKUP($U$119,'TAR FIN'!$A$1:$O$93,15,0)),0,VLOOKUP($U$119,'TAR FIN'!$A$1:$O$93,15,0))</f>
        <v>0</v>
      </c>
      <c r="Y119" s="6">
        <f ca="1">('TUSD BE'!$AM$13+'TUSD BF'!$AM$13+'TUSD CVA'!$AM$13)*1</f>
        <v>16.12796715109398</v>
      </c>
      <c r="Z119" s="6"/>
      <c r="AA119" s="6"/>
      <c r="AB119" s="6">
        <f t="shared" si="6"/>
        <v>5171.2</v>
      </c>
      <c r="AC119" s="6">
        <f t="shared" si="7"/>
        <v>0</v>
      </c>
      <c r="AD119" s="6">
        <f t="shared" ca="1" si="8"/>
        <v>10321.898976700148</v>
      </c>
      <c r="AE119" s="6">
        <f t="shared" si="9"/>
        <v>0</v>
      </c>
      <c r="AF119" s="4" t="s">
        <v>637</v>
      </c>
    </row>
    <row r="120" spans="1:32" ht="11.25" customHeight="1" x14ac:dyDescent="0.25">
      <c r="A120" s="4" t="s">
        <v>21</v>
      </c>
      <c r="B120" s="4" t="s">
        <v>35</v>
      </c>
      <c r="C120" s="4" t="s">
        <v>56</v>
      </c>
      <c r="D120" s="4" t="s">
        <v>25</v>
      </c>
      <c r="E120" s="4" t="s">
        <v>25</v>
      </c>
      <c r="F120" s="4" t="s">
        <v>25</v>
      </c>
      <c r="G120" s="4" t="s">
        <v>63</v>
      </c>
      <c r="H120" s="4" t="s">
        <v>25</v>
      </c>
      <c r="I120" s="5">
        <v>44713</v>
      </c>
      <c r="J120" s="6">
        <v>2425</v>
      </c>
      <c r="K120" s="6">
        <v>1212.5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58</v>
      </c>
      <c r="S120" s="4">
        <v>14</v>
      </c>
      <c r="T120" s="4">
        <v>0</v>
      </c>
      <c r="U120" s="4">
        <v>0</v>
      </c>
      <c r="V120" s="6">
        <f>IF(ISERROR(VLOOKUP($S$120,'TAR FIN'!$A$1:$O$93,15,0)),0,VLOOKUP($S$120,'TAR FIN'!$A$1:$O$93,15,0))</f>
        <v>8.08</v>
      </c>
      <c r="W120" s="6">
        <f>IF(ISERROR(VLOOKUP($T$120,'TAR FIN'!$A$1:$O$93,15,0)),0,VLOOKUP($T$120,'TAR FIN'!$A$1:$O$93,15,0))</f>
        <v>0</v>
      </c>
      <c r="X120" s="6">
        <f>IF(ISERROR(VLOOKUP($U$120,'TAR FIN'!$A$1:$O$93,15,0)),0,VLOOKUP($U$120,'TAR FIN'!$A$1:$O$93,15,0))</f>
        <v>0</v>
      </c>
      <c r="Y120" s="6">
        <f ca="1">('TUSD BE'!$AM$13+'TUSD BF'!$AM$13+'TUSD CVA'!$AM$13)*1</f>
        <v>16.12796715109398</v>
      </c>
      <c r="Z120" s="6"/>
      <c r="AA120" s="6"/>
      <c r="AB120" s="6">
        <f t="shared" si="6"/>
        <v>9797</v>
      </c>
      <c r="AC120" s="6">
        <f t="shared" si="7"/>
        <v>0</v>
      </c>
      <c r="AD120" s="6">
        <f t="shared" ca="1" si="8"/>
        <v>19555.160170701452</v>
      </c>
      <c r="AE120" s="6">
        <f t="shared" si="9"/>
        <v>0</v>
      </c>
      <c r="AF120" s="4" t="s">
        <v>637</v>
      </c>
    </row>
    <row r="121" spans="1:32" ht="11.25" customHeight="1" x14ac:dyDescent="0.25">
      <c r="A121" s="4" t="s">
        <v>21</v>
      </c>
      <c r="B121" s="4" t="s">
        <v>35</v>
      </c>
      <c r="C121" s="4" t="s">
        <v>56</v>
      </c>
      <c r="D121" s="4" t="s">
        <v>25</v>
      </c>
      <c r="E121" s="4" t="s">
        <v>25</v>
      </c>
      <c r="F121" s="4" t="s">
        <v>25</v>
      </c>
      <c r="G121" s="4" t="s">
        <v>64</v>
      </c>
      <c r="H121" s="4" t="s">
        <v>25</v>
      </c>
      <c r="I121" s="5">
        <v>44713</v>
      </c>
      <c r="J121" s="6">
        <v>1100</v>
      </c>
      <c r="K121" s="6">
        <v>550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58</v>
      </c>
      <c r="S121" s="4">
        <v>14</v>
      </c>
      <c r="T121" s="4">
        <v>0</v>
      </c>
      <c r="U121" s="4">
        <v>0</v>
      </c>
      <c r="V121" s="6">
        <f>IF(ISERROR(VLOOKUP($S$121,'TAR FIN'!$A$1:$O$93,15,0)),0,VLOOKUP($S$121,'TAR FIN'!$A$1:$O$93,15,0))</f>
        <v>8.08</v>
      </c>
      <c r="W121" s="6">
        <f>IF(ISERROR(VLOOKUP($T$121,'TAR FIN'!$A$1:$O$93,15,0)),0,VLOOKUP($T$121,'TAR FIN'!$A$1:$O$93,15,0))</f>
        <v>0</v>
      </c>
      <c r="X121" s="6">
        <f>IF(ISERROR(VLOOKUP($U$121,'TAR FIN'!$A$1:$O$93,15,0)),0,VLOOKUP($U$121,'TAR FIN'!$A$1:$O$93,15,0))</f>
        <v>0</v>
      </c>
      <c r="Y121" s="6">
        <f ca="1">('TUSD BE'!$AM$13+'TUSD BF'!$AM$13+'TUSD CVA'!$AM$13)*1</f>
        <v>16.12796715109398</v>
      </c>
      <c r="Z121" s="6"/>
      <c r="AA121" s="6"/>
      <c r="AB121" s="6">
        <f t="shared" si="6"/>
        <v>4444</v>
      </c>
      <c r="AC121" s="6">
        <f t="shared" si="7"/>
        <v>0</v>
      </c>
      <c r="AD121" s="6">
        <f t="shared" ca="1" si="8"/>
        <v>8870.3819331016894</v>
      </c>
      <c r="AE121" s="6">
        <f t="shared" si="9"/>
        <v>0</v>
      </c>
      <c r="AF121" s="4" t="s">
        <v>637</v>
      </c>
    </row>
    <row r="122" spans="1:32" ht="11.25" customHeight="1" x14ac:dyDescent="0.25">
      <c r="A122" s="4" t="s">
        <v>21</v>
      </c>
      <c r="B122" s="4" t="s">
        <v>35</v>
      </c>
      <c r="C122" s="4" t="s">
        <v>39</v>
      </c>
      <c r="D122" s="4" t="s">
        <v>34</v>
      </c>
      <c r="E122" s="4" t="s">
        <v>25</v>
      </c>
      <c r="F122" s="4" t="s">
        <v>55</v>
      </c>
      <c r="G122" s="4" t="s">
        <v>25</v>
      </c>
      <c r="H122" s="4" t="s">
        <v>38</v>
      </c>
      <c r="I122" s="5">
        <v>44378</v>
      </c>
      <c r="J122" s="6">
        <v>0</v>
      </c>
      <c r="K122" s="6">
        <v>0</v>
      </c>
      <c r="L122" s="6">
        <v>456.125</v>
      </c>
      <c r="M122" s="6">
        <v>163.29275000000001</v>
      </c>
      <c r="N122" s="6">
        <v>0</v>
      </c>
      <c r="O122" s="6">
        <v>0</v>
      </c>
      <c r="P122" s="6">
        <v>0</v>
      </c>
      <c r="Q122" s="4" t="s">
        <v>54</v>
      </c>
      <c r="R122" s="4">
        <v>0</v>
      </c>
      <c r="S122" s="4">
        <v>0</v>
      </c>
      <c r="T122" s="4">
        <v>25</v>
      </c>
      <c r="U122" s="4">
        <v>0</v>
      </c>
      <c r="V122" s="6">
        <f>IF(ISERROR(VLOOKUP($S$122,'TAR FIN'!$A$1:$O$93,15,0)),0,VLOOKUP($S$122,'TAR FIN'!$A$1:$O$93,15,0))</f>
        <v>0</v>
      </c>
      <c r="W122" s="6">
        <f>IF(ISERROR(VLOOKUP($T$122,'TAR FIN'!$A$1:$O$93,15,0)),0,VLOOKUP($T$122,'TAR FIN'!$A$1:$O$93,15,0))</f>
        <v>69.489999999999995</v>
      </c>
      <c r="X122" s="6">
        <f>IF(ISERROR(VLOOKUP($U$122,'TAR FIN'!$A$1:$O$93,15,0)),0,VLOOKUP($U$122,'TAR FIN'!$A$1:$O$93,15,0))</f>
        <v>0</v>
      </c>
      <c r="Y122" s="6"/>
      <c r="Z122" s="6">
        <f ca="1">('TUSD BE'!$AM$16+'TUSD BF'!$AM$16+'TUSD CVA'!$AM$16)*1</f>
        <v>92.504793470158234</v>
      </c>
      <c r="AA122" s="6"/>
      <c r="AB122" s="6">
        <f t="shared" si="6"/>
        <v>0</v>
      </c>
      <c r="AC122" s="6">
        <f t="shared" si="7"/>
        <v>20348.913052499996</v>
      </c>
      <c r="AD122" s="6">
        <f t="shared" si="8"/>
        <v>0</v>
      </c>
      <c r="AE122" s="6">
        <f t="shared" ca="1" si="9"/>
        <v>27088.386807651743</v>
      </c>
      <c r="AF122" s="4" t="s">
        <v>636</v>
      </c>
    </row>
    <row r="123" spans="1:32" ht="11.25" customHeight="1" x14ac:dyDescent="0.25">
      <c r="A123" s="4" t="s">
        <v>21</v>
      </c>
      <c r="B123" s="4" t="s">
        <v>35</v>
      </c>
      <c r="C123" s="4" t="s">
        <v>39</v>
      </c>
      <c r="D123" s="4" t="s">
        <v>34</v>
      </c>
      <c r="E123" s="4" t="s">
        <v>25</v>
      </c>
      <c r="F123" s="4" t="s">
        <v>55</v>
      </c>
      <c r="G123" s="4" t="s">
        <v>25</v>
      </c>
      <c r="H123" s="4" t="s">
        <v>38</v>
      </c>
      <c r="I123" s="5">
        <v>44409</v>
      </c>
      <c r="J123" s="6">
        <v>0</v>
      </c>
      <c r="K123" s="6">
        <v>0</v>
      </c>
      <c r="L123" s="6">
        <v>527.52300000000002</v>
      </c>
      <c r="M123" s="6">
        <v>527.52300000000002</v>
      </c>
      <c r="N123" s="6">
        <v>0</v>
      </c>
      <c r="O123" s="6">
        <v>0</v>
      </c>
      <c r="P123" s="6">
        <v>0</v>
      </c>
      <c r="Q123" s="4" t="s">
        <v>54</v>
      </c>
      <c r="R123" s="4">
        <v>0</v>
      </c>
      <c r="S123" s="4">
        <v>0</v>
      </c>
      <c r="T123" s="4">
        <v>25</v>
      </c>
      <c r="U123" s="4">
        <v>0</v>
      </c>
      <c r="V123" s="6">
        <f>IF(ISERROR(VLOOKUP($S$123,'TAR FIN'!$A$1:$O$93,15,0)),0,VLOOKUP($S$123,'TAR FIN'!$A$1:$O$93,15,0))</f>
        <v>0</v>
      </c>
      <c r="W123" s="6">
        <f>IF(ISERROR(VLOOKUP($T$123,'TAR FIN'!$A$1:$O$93,15,0)),0,VLOOKUP($T$123,'TAR FIN'!$A$1:$O$93,15,0))</f>
        <v>69.489999999999995</v>
      </c>
      <c r="X123" s="6">
        <f>IF(ISERROR(VLOOKUP($U$123,'TAR FIN'!$A$1:$O$93,15,0)),0,VLOOKUP($U$123,'TAR FIN'!$A$1:$O$93,15,0))</f>
        <v>0</v>
      </c>
      <c r="Y123" s="6"/>
      <c r="Z123" s="6">
        <f ca="1">('TUSD BE'!$AM$16+'TUSD BF'!$AM$16+'TUSD CVA'!$AM$16)*1</f>
        <v>92.504793470158234</v>
      </c>
      <c r="AA123" s="6"/>
      <c r="AB123" s="6">
        <f t="shared" si="6"/>
        <v>0</v>
      </c>
      <c r="AC123" s="6">
        <f t="shared" si="7"/>
        <v>0</v>
      </c>
      <c r="AD123" s="6">
        <f t="shared" si="8"/>
        <v>0</v>
      </c>
      <c r="AE123" s="6">
        <f t="shared" ca="1" si="9"/>
        <v>0</v>
      </c>
      <c r="AF123" s="4" t="s">
        <v>636</v>
      </c>
    </row>
    <row r="124" spans="1:32" ht="11.25" customHeight="1" x14ac:dyDescent="0.25">
      <c r="A124" s="4" t="s">
        <v>21</v>
      </c>
      <c r="B124" s="4" t="s">
        <v>35</v>
      </c>
      <c r="C124" s="4" t="s">
        <v>39</v>
      </c>
      <c r="D124" s="4" t="s">
        <v>34</v>
      </c>
      <c r="E124" s="4" t="s">
        <v>25</v>
      </c>
      <c r="F124" s="4" t="s">
        <v>55</v>
      </c>
      <c r="G124" s="4" t="s">
        <v>25</v>
      </c>
      <c r="H124" s="4" t="s">
        <v>38</v>
      </c>
      <c r="I124" s="5">
        <v>44440</v>
      </c>
      <c r="J124" s="6">
        <v>0</v>
      </c>
      <c r="K124" s="6">
        <v>0</v>
      </c>
      <c r="L124" s="6">
        <v>557.39400000000001</v>
      </c>
      <c r="M124" s="6">
        <v>557.39400000000001</v>
      </c>
      <c r="N124" s="6">
        <v>0</v>
      </c>
      <c r="O124" s="6">
        <v>0</v>
      </c>
      <c r="P124" s="6">
        <v>0</v>
      </c>
      <c r="Q124" s="4" t="s">
        <v>54</v>
      </c>
      <c r="R124" s="4">
        <v>0</v>
      </c>
      <c r="S124" s="4">
        <v>0</v>
      </c>
      <c r="T124" s="4">
        <v>25</v>
      </c>
      <c r="U124" s="4">
        <v>0</v>
      </c>
      <c r="V124" s="6">
        <f>IF(ISERROR(VLOOKUP($S$124,'TAR FIN'!$A$1:$O$93,15,0)),0,VLOOKUP($S$124,'TAR FIN'!$A$1:$O$93,15,0))</f>
        <v>0</v>
      </c>
      <c r="W124" s="6">
        <f>IF(ISERROR(VLOOKUP($T$124,'TAR FIN'!$A$1:$O$93,15,0)),0,VLOOKUP($T$124,'TAR FIN'!$A$1:$O$93,15,0))</f>
        <v>69.489999999999995</v>
      </c>
      <c r="X124" s="6">
        <f>IF(ISERROR(VLOOKUP($U$124,'TAR FIN'!$A$1:$O$93,15,0)),0,VLOOKUP($U$124,'TAR FIN'!$A$1:$O$93,15,0))</f>
        <v>0</v>
      </c>
      <c r="Y124" s="6"/>
      <c r="Z124" s="6">
        <f ca="1">('TUSD BE'!$AM$16+'TUSD BF'!$AM$16+'TUSD CVA'!$AM$16)*1</f>
        <v>92.504793470158234</v>
      </c>
      <c r="AA124" s="6"/>
      <c r="AB124" s="6">
        <f t="shared" si="6"/>
        <v>0</v>
      </c>
      <c r="AC124" s="6">
        <f t="shared" si="7"/>
        <v>0</v>
      </c>
      <c r="AD124" s="6">
        <f t="shared" si="8"/>
        <v>0</v>
      </c>
      <c r="AE124" s="6">
        <f t="shared" ca="1" si="9"/>
        <v>0</v>
      </c>
      <c r="AF124" s="4" t="s">
        <v>636</v>
      </c>
    </row>
    <row r="125" spans="1:32" ht="11.25" customHeight="1" x14ac:dyDescent="0.25">
      <c r="A125" s="4" t="s">
        <v>21</v>
      </c>
      <c r="B125" s="4" t="s">
        <v>35</v>
      </c>
      <c r="C125" s="4" t="s">
        <v>39</v>
      </c>
      <c r="D125" s="4" t="s">
        <v>34</v>
      </c>
      <c r="E125" s="4" t="s">
        <v>25</v>
      </c>
      <c r="F125" s="4" t="s">
        <v>55</v>
      </c>
      <c r="G125" s="4" t="s">
        <v>25</v>
      </c>
      <c r="H125" s="4" t="s">
        <v>38</v>
      </c>
      <c r="I125" s="5">
        <v>44470</v>
      </c>
      <c r="J125" s="6">
        <v>0</v>
      </c>
      <c r="K125" s="6">
        <v>0</v>
      </c>
      <c r="L125" s="6">
        <v>516.30700000000002</v>
      </c>
      <c r="M125" s="6">
        <v>516.30700000000002</v>
      </c>
      <c r="N125" s="6">
        <v>0</v>
      </c>
      <c r="O125" s="6">
        <v>0</v>
      </c>
      <c r="P125" s="6">
        <v>0</v>
      </c>
      <c r="Q125" s="4" t="s">
        <v>54</v>
      </c>
      <c r="R125" s="4">
        <v>0</v>
      </c>
      <c r="S125" s="4">
        <v>0</v>
      </c>
      <c r="T125" s="4">
        <v>25</v>
      </c>
      <c r="U125" s="4">
        <v>0</v>
      </c>
      <c r="V125" s="6">
        <f>IF(ISERROR(VLOOKUP($S$125,'TAR FIN'!$A$1:$O$93,15,0)),0,VLOOKUP($S$125,'TAR FIN'!$A$1:$O$93,15,0))</f>
        <v>0</v>
      </c>
      <c r="W125" s="6">
        <f>IF(ISERROR(VLOOKUP($T$125,'TAR FIN'!$A$1:$O$93,15,0)),0,VLOOKUP($T$125,'TAR FIN'!$A$1:$O$93,15,0))</f>
        <v>69.489999999999995</v>
      </c>
      <c r="X125" s="6">
        <f>IF(ISERROR(VLOOKUP($U$125,'TAR FIN'!$A$1:$O$93,15,0)),0,VLOOKUP($U$125,'TAR FIN'!$A$1:$O$93,15,0))</f>
        <v>0</v>
      </c>
      <c r="Y125" s="6"/>
      <c r="Z125" s="6">
        <f ca="1">('TUSD BE'!$AM$16+'TUSD BF'!$AM$16+'TUSD CVA'!$AM$16)*1</f>
        <v>92.504793470158234</v>
      </c>
      <c r="AA125" s="6"/>
      <c r="AB125" s="6">
        <f t="shared" si="6"/>
        <v>0</v>
      </c>
      <c r="AC125" s="6">
        <f t="shared" si="7"/>
        <v>0</v>
      </c>
      <c r="AD125" s="6">
        <f t="shared" si="8"/>
        <v>0</v>
      </c>
      <c r="AE125" s="6">
        <f t="shared" ca="1" si="9"/>
        <v>0</v>
      </c>
      <c r="AF125" s="4" t="s">
        <v>636</v>
      </c>
    </row>
    <row r="126" spans="1:32" ht="11.25" customHeight="1" x14ac:dyDescent="0.25">
      <c r="A126" s="4" t="s">
        <v>21</v>
      </c>
      <c r="B126" s="4" t="s">
        <v>35</v>
      </c>
      <c r="C126" s="4" t="s">
        <v>39</v>
      </c>
      <c r="D126" s="4" t="s">
        <v>34</v>
      </c>
      <c r="E126" s="4" t="s">
        <v>25</v>
      </c>
      <c r="F126" s="4" t="s">
        <v>55</v>
      </c>
      <c r="G126" s="4" t="s">
        <v>25</v>
      </c>
      <c r="H126" s="4" t="s">
        <v>38</v>
      </c>
      <c r="I126" s="5">
        <v>44501</v>
      </c>
      <c r="J126" s="6">
        <v>0</v>
      </c>
      <c r="K126" s="6">
        <v>0</v>
      </c>
      <c r="L126" s="6">
        <v>486.08499999999998</v>
      </c>
      <c r="M126" s="6">
        <v>486.08499999999998</v>
      </c>
      <c r="N126" s="6">
        <v>0</v>
      </c>
      <c r="O126" s="6">
        <v>0</v>
      </c>
      <c r="P126" s="6">
        <v>0</v>
      </c>
      <c r="Q126" s="4" t="s">
        <v>54</v>
      </c>
      <c r="R126" s="4">
        <v>0</v>
      </c>
      <c r="S126" s="4">
        <v>0</v>
      </c>
      <c r="T126" s="4">
        <v>25</v>
      </c>
      <c r="U126" s="4">
        <v>0</v>
      </c>
      <c r="V126" s="6">
        <f>IF(ISERROR(VLOOKUP($S$126,'TAR FIN'!$A$1:$O$93,15,0)),0,VLOOKUP($S$126,'TAR FIN'!$A$1:$O$93,15,0))</f>
        <v>0</v>
      </c>
      <c r="W126" s="6">
        <f>IF(ISERROR(VLOOKUP($T$126,'TAR FIN'!$A$1:$O$93,15,0)),0,VLOOKUP($T$126,'TAR FIN'!$A$1:$O$93,15,0))</f>
        <v>69.489999999999995</v>
      </c>
      <c r="X126" s="6">
        <f>IF(ISERROR(VLOOKUP($U$126,'TAR FIN'!$A$1:$O$93,15,0)),0,VLOOKUP($U$126,'TAR FIN'!$A$1:$O$93,15,0))</f>
        <v>0</v>
      </c>
      <c r="Y126" s="6"/>
      <c r="Z126" s="6">
        <f ca="1">('TUSD BE'!$AM$16+'TUSD BF'!$AM$16+'TUSD CVA'!$AM$16)*1</f>
        <v>92.504793470158234</v>
      </c>
      <c r="AA126" s="6"/>
      <c r="AB126" s="6">
        <f t="shared" si="6"/>
        <v>0</v>
      </c>
      <c r="AC126" s="6">
        <f t="shared" si="7"/>
        <v>0</v>
      </c>
      <c r="AD126" s="6">
        <f t="shared" si="8"/>
        <v>0</v>
      </c>
      <c r="AE126" s="6">
        <f t="shared" ca="1" si="9"/>
        <v>0</v>
      </c>
      <c r="AF126" s="4" t="s">
        <v>636</v>
      </c>
    </row>
    <row r="127" spans="1:32" ht="11.25" customHeight="1" x14ac:dyDescent="0.25">
      <c r="A127" s="4" t="s">
        <v>65</v>
      </c>
      <c r="B127" s="4" t="s">
        <v>35</v>
      </c>
      <c r="C127" s="4" t="s">
        <v>39</v>
      </c>
      <c r="D127" s="4" t="s">
        <v>34</v>
      </c>
      <c r="E127" s="4" t="s">
        <v>25</v>
      </c>
      <c r="F127" s="4" t="s">
        <v>55</v>
      </c>
      <c r="G127" s="4" t="s">
        <v>25</v>
      </c>
      <c r="H127" s="4" t="s">
        <v>38</v>
      </c>
      <c r="I127" s="5">
        <v>44531</v>
      </c>
      <c r="J127" s="6">
        <v>0</v>
      </c>
      <c r="K127" s="6">
        <v>0</v>
      </c>
      <c r="L127" s="6">
        <v>486.08499999999998</v>
      </c>
      <c r="M127" s="6">
        <v>486.08499999999998</v>
      </c>
      <c r="N127" s="6">
        <v>0</v>
      </c>
      <c r="O127" s="6">
        <v>0</v>
      </c>
      <c r="P127" s="6">
        <v>0</v>
      </c>
      <c r="Q127" s="4" t="s">
        <v>54</v>
      </c>
      <c r="R127" s="4">
        <v>0</v>
      </c>
      <c r="S127" s="4">
        <v>0</v>
      </c>
      <c r="T127" s="4">
        <v>25</v>
      </c>
      <c r="U127" s="4">
        <v>0</v>
      </c>
      <c r="V127" s="6">
        <f>IF(ISERROR(VLOOKUP($S$127,'TAR FIN'!$A$1:$O$93,15,0)),0,VLOOKUP($S$127,'TAR FIN'!$A$1:$O$93,15,0))</f>
        <v>0</v>
      </c>
      <c r="W127" s="6">
        <f>IF(ISERROR(VLOOKUP($T$127,'TAR FIN'!$A$1:$O$93,15,0)),0,VLOOKUP($T$127,'TAR FIN'!$A$1:$O$93,15,0))</f>
        <v>69.489999999999995</v>
      </c>
      <c r="X127" s="6">
        <f>IF(ISERROR(VLOOKUP($U$127,'TAR FIN'!$A$1:$O$93,15,0)),0,VLOOKUP($U$127,'TAR FIN'!$A$1:$O$93,15,0))</f>
        <v>0</v>
      </c>
      <c r="Y127" s="6"/>
      <c r="Z127" s="6">
        <f ca="1">('TUSD BE'!$AM$16+'TUSD BF'!$AM$16+'TUSD CVA'!$AM$16)*1</f>
        <v>92.504793470158234</v>
      </c>
      <c r="AA127" s="6"/>
      <c r="AB127" s="6">
        <f t="shared" si="6"/>
        <v>0</v>
      </c>
      <c r="AC127" s="6">
        <f t="shared" si="7"/>
        <v>0</v>
      </c>
      <c r="AD127" s="6">
        <f t="shared" si="8"/>
        <v>0</v>
      </c>
      <c r="AE127" s="6">
        <f t="shared" ca="1" si="9"/>
        <v>0</v>
      </c>
      <c r="AF127" s="4" t="s">
        <v>636</v>
      </c>
    </row>
    <row r="128" spans="1:32" ht="11.25" customHeight="1" x14ac:dyDescent="0.25">
      <c r="A128" s="4" t="s">
        <v>21</v>
      </c>
      <c r="B128" s="4" t="s">
        <v>35</v>
      </c>
      <c r="C128" s="4" t="s">
        <v>39</v>
      </c>
      <c r="D128" s="4" t="s">
        <v>34</v>
      </c>
      <c r="E128" s="4" t="s">
        <v>25</v>
      </c>
      <c r="F128" s="4" t="s">
        <v>55</v>
      </c>
      <c r="G128" s="4" t="s">
        <v>25</v>
      </c>
      <c r="H128" s="4" t="s">
        <v>38</v>
      </c>
      <c r="I128" s="5">
        <v>44562</v>
      </c>
      <c r="J128" s="6">
        <v>0</v>
      </c>
      <c r="K128" s="6">
        <v>0</v>
      </c>
      <c r="L128" s="6">
        <v>362.80500000000001</v>
      </c>
      <c r="M128" s="6">
        <v>362.80500000000001</v>
      </c>
      <c r="N128" s="6">
        <v>0</v>
      </c>
      <c r="O128" s="6">
        <v>0</v>
      </c>
      <c r="P128" s="6">
        <v>0</v>
      </c>
      <c r="Q128" s="4" t="s">
        <v>54</v>
      </c>
      <c r="R128" s="4">
        <v>0</v>
      </c>
      <c r="S128" s="4">
        <v>0</v>
      </c>
      <c r="T128" s="4">
        <v>25</v>
      </c>
      <c r="U128" s="4">
        <v>0</v>
      </c>
      <c r="V128" s="6">
        <f>IF(ISERROR(VLOOKUP($S$128,'TAR FIN'!$A$1:$O$93,15,0)),0,VLOOKUP($S$128,'TAR FIN'!$A$1:$O$93,15,0))</f>
        <v>0</v>
      </c>
      <c r="W128" s="6">
        <f>IF(ISERROR(VLOOKUP($T$128,'TAR FIN'!$A$1:$O$93,15,0)),0,VLOOKUP($T$128,'TAR FIN'!$A$1:$O$93,15,0))</f>
        <v>69.489999999999995</v>
      </c>
      <c r="X128" s="6">
        <f>IF(ISERROR(VLOOKUP($U$128,'TAR FIN'!$A$1:$O$93,15,0)),0,VLOOKUP($U$128,'TAR FIN'!$A$1:$O$93,15,0))</f>
        <v>0</v>
      </c>
      <c r="Y128" s="6"/>
      <c r="Z128" s="6">
        <f ca="1">('TUSD BE'!$AM$16+'TUSD BF'!$AM$16+'TUSD CVA'!$AM$16)*1</f>
        <v>92.504793470158234</v>
      </c>
      <c r="AA128" s="6"/>
      <c r="AB128" s="6">
        <f t="shared" si="6"/>
        <v>0</v>
      </c>
      <c r="AC128" s="6">
        <f t="shared" si="7"/>
        <v>0</v>
      </c>
      <c r="AD128" s="6">
        <f t="shared" si="8"/>
        <v>0</v>
      </c>
      <c r="AE128" s="6">
        <f t="shared" ca="1" si="9"/>
        <v>0</v>
      </c>
      <c r="AF128" s="4" t="s">
        <v>636</v>
      </c>
    </row>
    <row r="129" spans="1:32" ht="11.25" customHeight="1" x14ac:dyDescent="0.25">
      <c r="A129" s="4" t="s">
        <v>21</v>
      </c>
      <c r="B129" s="4" t="s">
        <v>35</v>
      </c>
      <c r="C129" s="4" t="s">
        <v>39</v>
      </c>
      <c r="D129" s="4" t="s">
        <v>34</v>
      </c>
      <c r="E129" s="4" t="s">
        <v>25</v>
      </c>
      <c r="F129" s="4" t="s">
        <v>55</v>
      </c>
      <c r="G129" s="4" t="s">
        <v>25</v>
      </c>
      <c r="H129" s="4" t="s">
        <v>38</v>
      </c>
      <c r="I129" s="5">
        <v>44593</v>
      </c>
      <c r="J129" s="6">
        <v>0</v>
      </c>
      <c r="K129" s="6">
        <v>0</v>
      </c>
      <c r="L129" s="6">
        <v>453.40499999999997</v>
      </c>
      <c r="M129" s="6">
        <v>453.40499999999997</v>
      </c>
      <c r="N129" s="6">
        <v>0</v>
      </c>
      <c r="O129" s="6">
        <v>0</v>
      </c>
      <c r="P129" s="6">
        <v>0</v>
      </c>
      <c r="Q129" s="4" t="s">
        <v>54</v>
      </c>
      <c r="R129" s="4">
        <v>0</v>
      </c>
      <c r="S129" s="4">
        <v>0</v>
      </c>
      <c r="T129" s="4">
        <v>25</v>
      </c>
      <c r="U129" s="4">
        <v>0</v>
      </c>
      <c r="V129" s="6">
        <f>IF(ISERROR(VLOOKUP($S$129,'TAR FIN'!$A$1:$O$93,15,0)),0,VLOOKUP($S$129,'TAR FIN'!$A$1:$O$93,15,0))</f>
        <v>0</v>
      </c>
      <c r="W129" s="6">
        <f>IF(ISERROR(VLOOKUP($T$129,'TAR FIN'!$A$1:$O$93,15,0)),0,VLOOKUP($T$129,'TAR FIN'!$A$1:$O$93,15,0))</f>
        <v>69.489999999999995</v>
      </c>
      <c r="X129" s="6">
        <f>IF(ISERROR(VLOOKUP($U$129,'TAR FIN'!$A$1:$O$93,15,0)),0,VLOOKUP($U$129,'TAR FIN'!$A$1:$O$93,15,0))</f>
        <v>0</v>
      </c>
      <c r="Y129" s="6"/>
      <c r="Z129" s="6">
        <f ca="1">('TUSD BE'!$AM$16+'TUSD BF'!$AM$16+'TUSD CVA'!$AM$16)*1</f>
        <v>92.504793470158234</v>
      </c>
      <c r="AA129" s="6"/>
      <c r="AB129" s="6">
        <f t="shared" si="6"/>
        <v>0</v>
      </c>
      <c r="AC129" s="6">
        <f t="shared" si="7"/>
        <v>0</v>
      </c>
      <c r="AD129" s="6">
        <f t="shared" si="8"/>
        <v>0</v>
      </c>
      <c r="AE129" s="6">
        <f t="shared" ca="1" si="9"/>
        <v>0</v>
      </c>
      <c r="AF129" s="4" t="s">
        <v>636</v>
      </c>
    </row>
    <row r="130" spans="1:32" ht="11.25" customHeight="1" x14ac:dyDescent="0.25">
      <c r="A130" s="4" t="s">
        <v>21</v>
      </c>
      <c r="B130" s="4" t="s">
        <v>35</v>
      </c>
      <c r="C130" s="4" t="s">
        <v>39</v>
      </c>
      <c r="D130" s="4" t="s">
        <v>34</v>
      </c>
      <c r="E130" s="4" t="s">
        <v>25</v>
      </c>
      <c r="F130" s="4" t="s">
        <v>55</v>
      </c>
      <c r="G130" s="4" t="s">
        <v>25</v>
      </c>
      <c r="H130" s="4" t="s">
        <v>38</v>
      </c>
      <c r="I130" s="5">
        <v>44621</v>
      </c>
      <c r="J130" s="6">
        <v>0</v>
      </c>
      <c r="K130" s="6">
        <v>0</v>
      </c>
      <c r="L130" s="6">
        <v>484.22300000000001</v>
      </c>
      <c r="M130" s="6">
        <v>484.22300000000001</v>
      </c>
      <c r="N130" s="6">
        <v>0</v>
      </c>
      <c r="O130" s="6">
        <v>0</v>
      </c>
      <c r="P130" s="6">
        <v>0</v>
      </c>
      <c r="Q130" s="4" t="s">
        <v>54</v>
      </c>
      <c r="R130" s="4">
        <v>0</v>
      </c>
      <c r="S130" s="4">
        <v>0</v>
      </c>
      <c r="T130" s="4">
        <v>25</v>
      </c>
      <c r="U130" s="4">
        <v>0</v>
      </c>
      <c r="V130" s="6">
        <f>IF(ISERROR(VLOOKUP($S$130,'TAR FIN'!$A$1:$O$93,15,0)),0,VLOOKUP($S$130,'TAR FIN'!$A$1:$O$93,15,0))</f>
        <v>0</v>
      </c>
      <c r="W130" s="6">
        <f>IF(ISERROR(VLOOKUP($T$130,'TAR FIN'!$A$1:$O$93,15,0)),0,VLOOKUP($T$130,'TAR FIN'!$A$1:$O$93,15,0))</f>
        <v>69.489999999999995</v>
      </c>
      <c r="X130" s="6">
        <f>IF(ISERROR(VLOOKUP($U$130,'TAR FIN'!$A$1:$O$93,15,0)),0,VLOOKUP($U$130,'TAR FIN'!$A$1:$O$93,15,0))</f>
        <v>0</v>
      </c>
      <c r="Y130" s="6"/>
      <c r="Z130" s="6">
        <f ca="1">('TUSD BE'!$AM$16+'TUSD BF'!$AM$16+'TUSD CVA'!$AM$16)*1</f>
        <v>92.504793470158234</v>
      </c>
      <c r="AA130" s="6"/>
      <c r="AB130" s="6">
        <f t="shared" ref="AB130:AB157" si="10">(J130-K130)*V130</f>
        <v>0</v>
      </c>
      <c r="AC130" s="6">
        <f t="shared" ref="AC130:AC157" si="11">(L130-M130)*W130+(N130-O130)*X130</f>
        <v>0</v>
      </c>
      <c r="AD130" s="6">
        <f t="shared" ref="AD130:AD157" si="12">(J130-K130)*Y130</f>
        <v>0</v>
      </c>
      <c r="AE130" s="6">
        <f t="shared" ref="AE130:AE157" ca="1" si="13">(L130-M130)*Z130+(N130-O130)*AA130</f>
        <v>0</v>
      </c>
      <c r="AF130" s="4" t="s">
        <v>636</v>
      </c>
    </row>
    <row r="131" spans="1:32" ht="11.25" customHeight="1" x14ac:dyDescent="0.25">
      <c r="A131" s="4" t="s">
        <v>65</v>
      </c>
      <c r="B131" s="4" t="s">
        <v>35</v>
      </c>
      <c r="C131" s="4" t="s">
        <v>39</v>
      </c>
      <c r="D131" s="4" t="s">
        <v>34</v>
      </c>
      <c r="E131" s="4" t="s">
        <v>25</v>
      </c>
      <c r="F131" s="4" t="s">
        <v>55</v>
      </c>
      <c r="G131" s="4" t="s">
        <v>25</v>
      </c>
      <c r="H131" s="4" t="s">
        <v>38</v>
      </c>
      <c r="I131" s="5">
        <v>44652</v>
      </c>
      <c r="J131" s="6">
        <v>0</v>
      </c>
      <c r="K131" s="6">
        <v>0</v>
      </c>
      <c r="L131" s="6">
        <v>484.22300000000001</v>
      </c>
      <c r="M131" s="6">
        <v>484.22300000000001</v>
      </c>
      <c r="N131" s="6">
        <v>0</v>
      </c>
      <c r="O131" s="6">
        <v>0</v>
      </c>
      <c r="P131" s="6">
        <v>0</v>
      </c>
      <c r="Q131" s="4" t="s">
        <v>54</v>
      </c>
      <c r="R131" s="4">
        <v>0</v>
      </c>
      <c r="S131" s="4">
        <v>0</v>
      </c>
      <c r="T131" s="4">
        <v>25</v>
      </c>
      <c r="U131" s="4">
        <v>0</v>
      </c>
      <c r="V131" s="6">
        <f>IF(ISERROR(VLOOKUP($S$131,'TAR FIN'!$A$1:$O$93,15,0)),0,VLOOKUP($S$131,'TAR FIN'!$A$1:$O$93,15,0))</f>
        <v>0</v>
      </c>
      <c r="W131" s="6">
        <f>IF(ISERROR(VLOOKUP($T$131,'TAR FIN'!$A$1:$O$93,15,0)),0,VLOOKUP($T$131,'TAR FIN'!$A$1:$O$93,15,0))</f>
        <v>69.489999999999995</v>
      </c>
      <c r="X131" s="6">
        <f>IF(ISERROR(VLOOKUP($U$131,'TAR FIN'!$A$1:$O$93,15,0)),0,VLOOKUP($U$131,'TAR FIN'!$A$1:$O$93,15,0))</f>
        <v>0</v>
      </c>
      <c r="Y131" s="6"/>
      <c r="Z131" s="6">
        <f ca="1">('TUSD BE'!$AM$16+'TUSD BF'!$AM$16+'TUSD CVA'!$AM$16)*1</f>
        <v>92.504793470158234</v>
      </c>
      <c r="AA131" s="6"/>
      <c r="AB131" s="6">
        <f t="shared" si="10"/>
        <v>0</v>
      </c>
      <c r="AC131" s="6">
        <f t="shared" si="11"/>
        <v>0</v>
      </c>
      <c r="AD131" s="6">
        <f t="shared" si="12"/>
        <v>0</v>
      </c>
      <c r="AE131" s="6">
        <f t="shared" ca="1" si="13"/>
        <v>0</v>
      </c>
      <c r="AF131" s="4" t="s">
        <v>636</v>
      </c>
    </row>
    <row r="132" spans="1:32" ht="11.25" customHeight="1" x14ac:dyDescent="0.25">
      <c r="A132" s="4" t="s">
        <v>21</v>
      </c>
      <c r="B132" s="4" t="s">
        <v>35</v>
      </c>
      <c r="C132" s="4" t="s">
        <v>39</v>
      </c>
      <c r="D132" s="4" t="s">
        <v>34</v>
      </c>
      <c r="E132" s="4" t="s">
        <v>25</v>
      </c>
      <c r="F132" s="4" t="s">
        <v>55</v>
      </c>
      <c r="G132" s="4" t="s">
        <v>25</v>
      </c>
      <c r="H132" s="4" t="s">
        <v>38</v>
      </c>
      <c r="I132" s="5">
        <v>44682</v>
      </c>
      <c r="J132" s="6">
        <v>0</v>
      </c>
      <c r="K132" s="6">
        <v>0</v>
      </c>
      <c r="L132" s="6">
        <v>1545.7550000000001</v>
      </c>
      <c r="M132" s="6">
        <v>1545.7550000000001</v>
      </c>
      <c r="N132" s="6">
        <v>0</v>
      </c>
      <c r="O132" s="6">
        <v>0</v>
      </c>
      <c r="P132" s="6">
        <v>0</v>
      </c>
      <c r="Q132" s="4" t="s">
        <v>54</v>
      </c>
      <c r="R132" s="4">
        <v>0</v>
      </c>
      <c r="S132" s="4">
        <v>0</v>
      </c>
      <c r="T132" s="4">
        <v>25</v>
      </c>
      <c r="U132" s="4">
        <v>0</v>
      </c>
      <c r="V132" s="6">
        <f>IF(ISERROR(VLOOKUP($S$132,'TAR FIN'!$A$1:$O$93,15,0)),0,VLOOKUP($S$132,'TAR FIN'!$A$1:$O$93,15,0))</f>
        <v>0</v>
      </c>
      <c r="W132" s="6">
        <f>IF(ISERROR(VLOOKUP($T$132,'TAR FIN'!$A$1:$O$93,15,0)),0,VLOOKUP($T$132,'TAR FIN'!$A$1:$O$93,15,0))</f>
        <v>69.489999999999995</v>
      </c>
      <c r="X132" s="6">
        <f>IF(ISERROR(VLOOKUP($U$132,'TAR FIN'!$A$1:$O$93,15,0)),0,VLOOKUP($U$132,'TAR FIN'!$A$1:$O$93,15,0))</f>
        <v>0</v>
      </c>
      <c r="Y132" s="6"/>
      <c r="Z132" s="6">
        <f ca="1">('TUSD BE'!$AM$16+'TUSD BF'!$AM$16+'TUSD CVA'!$AM$16)*1</f>
        <v>92.504793470158234</v>
      </c>
      <c r="AA132" s="6"/>
      <c r="AB132" s="6">
        <f t="shared" si="10"/>
        <v>0</v>
      </c>
      <c r="AC132" s="6">
        <f t="shared" si="11"/>
        <v>0</v>
      </c>
      <c r="AD132" s="6">
        <f t="shared" si="12"/>
        <v>0</v>
      </c>
      <c r="AE132" s="6">
        <f t="shared" ca="1" si="13"/>
        <v>0</v>
      </c>
      <c r="AF132" s="4" t="s">
        <v>636</v>
      </c>
    </row>
    <row r="133" spans="1:32" ht="11.25" customHeight="1" x14ac:dyDescent="0.25">
      <c r="A133" s="4" t="s">
        <v>21</v>
      </c>
      <c r="B133" s="4" t="s">
        <v>35</v>
      </c>
      <c r="C133" s="4" t="s">
        <v>39</v>
      </c>
      <c r="D133" s="4" t="s">
        <v>34</v>
      </c>
      <c r="E133" s="4" t="s">
        <v>25</v>
      </c>
      <c r="F133" s="4" t="s">
        <v>55</v>
      </c>
      <c r="G133" s="4" t="s">
        <v>25</v>
      </c>
      <c r="H133" s="4" t="s">
        <v>38</v>
      </c>
      <c r="I133" s="5">
        <v>44713</v>
      </c>
      <c r="J133" s="6">
        <v>0</v>
      </c>
      <c r="K133" s="6">
        <v>0</v>
      </c>
      <c r="L133" s="6">
        <v>1995.7719999999999</v>
      </c>
      <c r="M133" s="6">
        <v>1995.7719999999999</v>
      </c>
      <c r="N133" s="6">
        <v>0</v>
      </c>
      <c r="O133" s="6">
        <v>0</v>
      </c>
      <c r="P133" s="6">
        <v>0</v>
      </c>
      <c r="Q133" s="4" t="s">
        <v>54</v>
      </c>
      <c r="R133" s="4">
        <v>0</v>
      </c>
      <c r="S133" s="4">
        <v>0</v>
      </c>
      <c r="T133" s="4">
        <v>25</v>
      </c>
      <c r="U133" s="4">
        <v>0</v>
      </c>
      <c r="V133" s="6">
        <f>IF(ISERROR(VLOOKUP($S$133,'TAR FIN'!$A$1:$O$93,15,0)),0,VLOOKUP($S$133,'TAR FIN'!$A$1:$O$93,15,0))</f>
        <v>0</v>
      </c>
      <c r="W133" s="6">
        <f>IF(ISERROR(VLOOKUP($T$133,'TAR FIN'!$A$1:$O$93,15,0)),0,VLOOKUP($T$133,'TAR FIN'!$A$1:$O$93,15,0))</f>
        <v>69.489999999999995</v>
      </c>
      <c r="X133" s="6">
        <f>IF(ISERROR(VLOOKUP($U$133,'TAR FIN'!$A$1:$O$93,15,0)),0,VLOOKUP($U$133,'TAR FIN'!$A$1:$O$93,15,0))</f>
        <v>0</v>
      </c>
      <c r="Y133" s="6"/>
      <c r="Z133" s="6">
        <f ca="1">('TUSD BE'!$AM$16+'TUSD BF'!$AM$16+'TUSD CVA'!$AM$16)*1</f>
        <v>92.504793470158234</v>
      </c>
      <c r="AA133" s="6"/>
      <c r="AB133" s="6">
        <f t="shared" si="10"/>
        <v>0</v>
      </c>
      <c r="AC133" s="6">
        <f t="shared" si="11"/>
        <v>0</v>
      </c>
      <c r="AD133" s="6">
        <f t="shared" si="12"/>
        <v>0</v>
      </c>
      <c r="AE133" s="6">
        <f t="shared" ca="1" si="13"/>
        <v>0</v>
      </c>
      <c r="AF133" s="4" t="s">
        <v>636</v>
      </c>
    </row>
    <row r="134" spans="1:32" ht="11.25" customHeight="1" x14ac:dyDescent="0.25">
      <c r="A134" s="4" t="s">
        <v>21</v>
      </c>
      <c r="B134" s="4" t="s">
        <v>35</v>
      </c>
      <c r="C134" s="4" t="s">
        <v>39</v>
      </c>
      <c r="D134" s="4" t="s">
        <v>34</v>
      </c>
      <c r="E134" s="4" t="s">
        <v>25</v>
      </c>
      <c r="F134" s="4" t="s">
        <v>55</v>
      </c>
      <c r="G134" s="4" t="s">
        <v>25</v>
      </c>
      <c r="H134" s="4" t="s">
        <v>25</v>
      </c>
      <c r="I134" s="5">
        <v>44378</v>
      </c>
      <c r="J134" s="6">
        <v>1822</v>
      </c>
      <c r="K134" s="6">
        <v>652.27599999999995</v>
      </c>
      <c r="L134" s="6">
        <v>0</v>
      </c>
      <c r="M134" s="6">
        <v>0</v>
      </c>
      <c r="N134" s="6">
        <v>0</v>
      </c>
      <c r="O134" s="6">
        <v>0</v>
      </c>
      <c r="P134" s="6">
        <v>3</v>
      </c>
      <c r="Q134" s="4" t="s">
        <v>54</v>
      </c>
      <c r="R134" s="4">
        <v>0</v>
      </c>
      <c r="S134" s="4">
        <v>18</v>
      </c>
      <c r="T134" s="4">
        <v>0</v>
      </c>
      <c r="U134" s="4">
        <v>0</v>
      </c>
      <c r="V134" s="6">
        <f>IF(ISERROR(VLOOKUP($S$134,'TAR FIN'!$A$1:$O$93,15,0)),0,VLOOKUP($S$134,'TAR FIN'!$A$1:$O$93,15,0))</f>
        <v>26.17</v>
      </c>
      <c r="W134" s="6">
        <f>IF(ISERROR(VLOOKUP($T$134,'TAR FIN'!$A$1:$O$93,15,0)),0,VLOOKUP($T$134,'TAR FIN'!$A$1:$O$93,15,0))</f>
        <v>0</v>
      </c>
      <c r="X134" s="6">
        <f>IF(ISERROR(VLOOKUP($U$134,'TAR FIN'!$A$1:$O$93,15,0)),0,VLOOKUP($U$134,'TAR FIN'!$A$1:$O$93,15,0))</f>
        <v>0</v>
      </c>
      <c r="Y134" s="6">
        <f ca="1">('TUSD BE'!$AM$14+'TUSD BF'!$AM$14+'TUSD CVA'!$AM$14)*1</f>
        <v>30.453482365333407</v>
      </c>
      <c r="Z134" s="6"/>
      <c r="AA134" s="6"/>
      <c r="AB134" s="6">
        <f t="shared" si="10"/>
        <v>30611.677080000005</v>
      </c>
      <c r="AC134" s="6">
        <f t="shared" si="11"/>
        <v>0</v>
      </c>
      <c r="AD134" s="6">
        <f t="shared" ca="1" si="12"/>
        <v>35622.169206307262</v>
      </c>
      <c r="AE134" s="6">
        <f t="shared" si="13"/>
        <v>0</v>
      </c>
      <c r="AF134" s="4" t="s">
        <v>636</v>
      </c>
    </row>
    <row r="135" spans="1:32" ht="11.25" customHeight="1" x14ac:dyDescent="0.25">
      <c r="A135" s="4" t="s">
        <v>21</v>
      </c>
      <c r="B135" s="4" t="s">
        <v>35</v>
      </c>
      <c r="C135" s="4" t="s">
        <v>39</v>
      </c>
      <c r="D135" s="4" t="s">
        <v>34</v>
      </c>
      <c r="E135" s="4" t="s">
        <v>25</v>
      </c>
      <c r="F135" s="4" t="s">
        <v>55</v>
      </c>
      <c r="G135" s="4" t="s">
        <v>25</v>
      </c>
      <c r="H135" s="4" t="s">
        <v>25</v>
      </c>
      <c r="I135" s="5">
        <v>44409</v>
      </c>
      <c r="J135" s="6">
        <v>2535</v>
      </c>
      <c r="K135" s="6">
        <v>1133.145</v>
      </c>
      <c r="L135" s="6">
        <v>0</v>
      </c>
      <c r="M135" s="6">
        <v>0</v>
      </c>
      <c r="N135" s="6">
        <v>0</v>
      </c>
      <c r="O135" s="6">
        <v>0</v>
      </c>
      <c r="P135" s="6">
        <v>4</v>
      </c>
      <c r="Q135" s="4" t="s">
        <v>54</v>
      </c>
      <c r="R135" s="4">
        <v>0</v>
      </c>
      <c r="S135" s="4">
        <v>18</v>
      </c>
      <c r="T135" s="4">
        <v>0</v>
      </c>
      <c r="U135" s="4">
        <v>0</v>
      </c>
      <c r="V135" s="6">
        <f>IF(ISERROR(VLOOKUP($S$135,'TAR FIN'!$A$1:$O$93,15,0)),0,VLOOKUP($S$135,'TAR FIN'!$A$1:$O$93,15,0))</f>
        <v>26.17</v>
      </c>
      <c r="W135" s="6">
        <f>IF(ISERROR(VLOOKUP($T$135,'TAR FIN'!$A$1:$O$93,15,0)),0,VLOOKUP($T$135,'TAR FIN'!$A$1:$O$93,15,0))</f>
        <v>0</v>
      </c>
      <c r="X135" s="6">
        <f>IF(ISERROR(VLOOKUP($U$135,'TAR FIN'!$A$1:$O$93,15,0)),0,VLOOKUP($U$135,'TAR FIN'!$A$1:$O$93,15,0))</f>
        <v>0</v>
      </c>
      <c r="Y135" s="6">
        <f ca="1">('TUSD BE'!$AM$14+'TUSD BF'!$AM$14+'TUSD CVA'!$AM$14)*1</f>
        <v>30.453482365333407</v>
      </c>
      <c r="Z135" s="6"/>
      <c r="AA135" s="6"/>
      <c r="AB135" s="6">
        <f t="shared" si="10"/>
        <v>36686.54535</v>
      </c>
      <c r="AC135" s="6">
        <f t="shared" si="11"/>
        <v>0</v>
      </c>
      <c r="AD135" s="6">
        <f t="shared" ca="1" si="12"/>
        <v>42691.366521254466</v>
      </c>
      <c r="AE135" s="6">
        <f t="shared" si="13"/>
        <v>0</v>
      </c>
      <c r="AF135" s="4" t="s">
        <v>636</v>
      </c>
    </row>
    <row r="136" spans="1:32" ht="11.25" customHeight="1" x14ac:dyDescent="0.25">
      <c r="A136" s="4" t="s">
        <v>21</v>
      </c>
      <c r="B136" s="4" t="s">
        <v>35</v>
      </c>
      <c r="C136" s="4" t="s">
        <v>39</v>
      </c>
      <c r="D136" s="4" t="s">
        <v>34</v>
      </c>
      <c r="E136" s="4" t="s">
        <v>25</v>
      </c>
      <c r="F136" s="4" t="s">
        <v>55</v>
      </c>
      <c r="G136" s="4" t="s">
        <v>25</v>
      </c>
      <c r="H136" s="4" t="s">
        <v>25</v>
      </c>
      <c r="I136" s="5">
        <v>44440</v>
      </c>
      <c r="J136" s="6">
        <v>3085</v>
      </c>
      <c r="K136" s="6">
        <v>1823.2349999999999</v>
      </c>
      <c r="L136" s="6">
        <v>0</v>
      </c>
      <c r="M136" s="6">
        <v>0</v>
      </c>
      <c r="N136" s="6">
        <v>0</v>
      </c>
      <c r="O136" s="6">
        <v>0</v>
      </c>
      <c r="P136" s="6">
        <v>5</v>
      </c>
      <c r="Q136" s="4" t="s">
        <v>54</v>
      </c>
      <c r="R136" s="4">
        <v>0</v>
      </c>
      <c r="S136" s="4">
        <v>18</v>
      </c>
      <c r="T136" s="4">
        <v>0</v>
      </c>
      <c r="U136" s="4">
        <v>0</v>
      </c>
      <c r="V136" s="6">
        <f>IF(ISERROR(VLOOKUP($S$136,'TAR FIN'!$A$1:$O$93,15,0)),0,VLOOKUP($S$136,'TAR FIN'!$A$1:$O$93,15,0))</f>
        <v>26.17</v>
      </c>
      <c r="W136" s="6">
        <f>IF(ISERROR(VLOOKUP($T$136,'TAR FIN'!$A$1:$O$93,15,0)),0,VLOOKUP($T$136,'TAR FIN'!$A$1:$O$93,15,0))</f>
        <v>0</v>
      </c>
      <c r="X136" s="6">
        <f>IF(ISERROR(VLOOKUP($U$136,'TAR FIN'!$A$1:$O$93,15,0)),0,VLOOKUP($U$136,'TAR FIN'!$A$1:$O$93,15,0))</f>
        <v>0</v>
      </c>
      <c r="Y136" s="6">
        <f ca="1">('TUSD BE'!$AM$14+'TUSD BF'!$AM$14+'TUSD CVA'!$AM$14)*1</f>
        <v>30.453482365333407</v>
      </c>
      <c r="Z136" s="6"/>
      <c r="AA136" s="6"/>
      <c r="AB136" s="6">
        <f t="shared" si="10"/>
        <v>33020.390050000002</v>
      </c>
      <c r="AC136" s="6">
        <f t="shared" si="11"/>
        <v>0</v>
      </c>
      <c r="AD136" s="6">
        <f t="shared" ca="1" si="12"/>
        <v>38425.138176694913</v>
      </c>
      <c r="AE136" s="6">
        <f t="shared" si="13"/>
        <v>0</v>
      </c>
      <c r="AF136" s="4" t="s">
        <v>636</v>
      </c>
    </row>
    <row r="137" spans="1:32" ht="11.25" customHeight="1" x14ac:dyDescent="0.25">
      <c r="A137" s="4" t="s">
        <v>21</v>
      </c>
      <c r="B137" s="4" t="s">
        <v>35</v>
      </c>
      <c r="C137" s="4" t="s">
        <v>39</v>
      </c>
      <c r="D137" s="4" t="s">
        <v>34</v>
      </c>
      <c r="E137" s="4" t="s">
        <v>25</v>
      </c>
      <c r="F137" s="4" t="s">
        <v>55</v>
      </c>
      <c r="G137" s="4" t="s">
        <v>25</v>
      </c>
      <c r="H137" s="4" t="s">
        <v>25</v>
      </c>
      <c r="I137" s="5">
        <v>44470</v>
      </c>
      <c r="J137" s="6">
        <v>3172</v>
      </c>
      <c r="K137" s="6">
        <v>1665.3</v>
      </c>
      <c r="L137" s="6">
        <v>0</v>
      </c>
      <c r="M137" s="6">
        <v>0</v>
      </c>
      <c r="N137" s="6">
        <v>0</v>
      </c>
      <c r="O137" s="6">
        <v>0</v>
      </c>
      <c r="P137" s="6">
        <v>5</v>
      </c>
      <c r="Q137" s="4" t="s">
        <v>54</v>
      </c>
      <c r="R137" s="4">
        <v>0</v>
      </c>
      <c r="S137" s="4">
        <v>18</v>
      </c>
      <c r="T137" s="4">
        <v>0</v>
      </c>
      <c r="U137" s="4">
        <v>0</v>
      </c>
      <c r="V137" s="6">
        <f>IF(ISERROR(VLOOKUP($S$137,'TAR FIN'!$A$1:$O$93,15,0)),0,VLOOKUP($S$137,'TAR FIN'!$A$1:$O$93,15,0))</f>
        <v>26.17</v>
      </c>
      <c r="W137" s="6">
        <f>IF(ISERROR(VLOOKUP($T$137,'TAR FIN'!$A$1:$O$93,15,0)),0,VLOOKUP($T$137,'TAR FIN'!$A$1:$O$93,15,0))</f>
        <v>0</v>
      </c>
      <c r="X137" s="6">
        <f>IF(ISERROR(VLOOKUP($U$137,'TAR FIN'!$A$1:$O$93,15,0)),0,VLOOKUP($U$137,'TAR FIN'!$A$1:$O$93,15,0))</f>
        <v>0</v>
      </c>
      <c r="Y137" s="6">
        <f ca="1">('TUSD BE'!$AM$14+'TUSD BF'!$AM$14+'TUSD CVA'!$AM$14)*1</f>
        <v>30.453482365333407</v>
      </c>
      <c r="Z137" s="6"/>
      <c r="AA137" s="6"/>
      <c r="AB137" s="6">
        <f t="shared" si="10"/>
        <v>39430.339000000007</v>
      </c>
      <c r="AC137" s="6">
        <f t="shared" si="11"/>
        <v>0</v>
      </c>
      <c r="AD137" s="6">
        <f t="shared" ca="1" si="12"/>
        <v>45884.261879847843</v>
      </c>
      <c r="AE137" s="6">
        <f t="shared" si="13"/>
        <v>0</v>
      </c>
      <c r="AF137" s="4" t="s">
        <v>636</v>
      </c>
    </row>
    <row r="138" spans="1:32" ht="11.25" customHeight="1" x14ac:dyDescent="0.25">
      <c r="A138" s="4" t="s">
        <v>21</v>
      </c>
      <c r="B138" s="4" t="s">
        <v>35</v>
      </c>
      <c r="C138" s="4" t="s">
        <v>39</v>
      </c>
      <c r="D138" s="4" t="s">
        <v>34</v>
      </c>
      <c r="E138" s="4" t="s">
        <v>25</v>
      </c>
      <c r="F138" s="4" t="s">
        <v>55</v>
      </c>
      <c r="G138" s="4" t="s">
        <v>25</v>
      </c>
      <c r="H138" s="4" t="s">
        <v>25</v>
      </c>
      <c r="I138" s="5">
        <v>44501</v>
      </c>
      <c r="J138" s="6">
        <v>3034</v>
      </c>
      <c r="K138" s="6">
        <v>1535.204</v>
      </c>
      <c r="L138" s="6">
        <v>0</v>
      </c>
      <c r="M138" s="6">
        <v>0</v>
      </c>
      <c r="N138" s="6">
        <v>0</v>
      </c>
      <c r="O138" s="6">
        <v>0</v>
      </c>
      <c r="P138" s="6">
        <v>5</v>
      </c>
      <c r="Q138" s="4" t="s">
        <v>54</v>
      </c>
      <c r="R138" s="4">
        <v>0</v>
      </c>
      <c r="S138" s="4">
        <v>18</v>
      </c>
      <c r="T138" s="4">
        <v>0</v>
      </c>
      <c r="U138" s="4">
        <v>0</v>
      </c>
      <c r="V138" s="6">
        <f>IF(ISERROR(VLOOKUP($S$138,'TAR FIN'!$A$1:$O$93,15,0)),0,VLOOKUP($S$138,'TAR FIN'!$A$1:$O$93,15,0))</f>
        <v>26.17</v>
      </c>
      <c r="W138" s="6">
        <f>IF(ISERROR(VLOOKUP($T$138,'TAR FIN'!$A$1:$O$93,15,0)),0,VLOOKUP($T$138,'TAR FIN'!$A$1:$O$93,15,0))</f>
        <v>0</v>
      </c>
      <c r="X138" s="6">
        <f>IF(ISERROR(VLOOKUP($U$138,'TAR FIN'!$A$1:$O$93,15,0)),0,VLOOKUP($U$138,'TAR FIN'!$A$1:$O$93,15,0))</f>
        <v>0</v>
      </c>
      <c r="Y138" s="6">
        <f ca="1">('TUSD BE'!$AM$14+'TUSD BF'!$AM$14+'TUSD CVA'!$AM$14)*1</f>
        <v>30.453482365333407</v>
      </c>
      <c r="Z138" s="6"/>
      <c r="AA138" s="6"/>
      <c r="AB138" s="6">
        <f t="shared" si="10"/>
        <v>39223.491320000001</v>
      </c>
      <c r="AC138" s="6">
        <f t="shared" si="11"/>
        <v>0</v>
      </c>
      <c r="AD138" s="6">
        <f t="shared" ca="1" si="12"/>
        <v>45643.557555232248</v>
      </c>
      <c r="AE138" s="6">
        <f t="shared" si="13"/>
        <v>0</v>
      </c>
      <c r="AF138" s="4" t="s">
        <v>636</v>
      </c>
    </row>
    <row r="139" spans="1:32" ht="11.25" customHeight="1" x14ac:dyDescent="0.25">
      <c r="A139" s="4" t="s">
        <v>65</v>
      </c>
      <c r="B139" s="4" t="s">
        <v>35</v>
      </c>
      <c r="C139" s="4" t="s">
        <v>39</v>
      </c>
      <c r="D139" s="4" t="s">
        <v>34</v>
      </c>
      <c r="E139" s="4" t="s">
        <v>25</v>
      </c>
      <c r="F139" s="4" t="s">
        <v>55</v>
      </c>
      <c r="G139" s="4" t="s">
        <v>25</v>
      </c>
      <c r="H139" s="4" t="s">
        <v>25</v>
      </c>
      <c r="I139" s="5">
        <v>44531</v>
      </c>
      <c r="J139" s="6">
        <v>3034</v>
      </c>
      <c r="K139" s="6">
        <v>1535.204</v>
      </c>
      <c r="L139" s="6">
        <v>0</v>
      </c>
      <c r="M139" s="6">
        <v>0</v>
      </c>
      <c r="N139" s="6">
        <v>0</v>
      </c>
      <c r="O139" s="6">
        <v>0</v>
      </c>
      <c r="P139" s="6">
        <v>5</v>
      </c>
      <c r="Q139" s="4" t="s">
        <v>54</v>
      </c>
      <c r="R139" s="4">
        <v>0</v>
      </c>
      <c r="S139" s="4">
        <v>18</v>
      </c>
      <c r="T139" s="4">
        <v>0</v>
      </c>
      <c r="U139" s="4">
        <v>0</v>
      </c>
      <c r="V139" s="6">
        <f>IF(ISERROR(VLOOKUP($S$139,'TAR FIN'!$A$1:$O$93,15,0)),0,VLOOKUP($S$139,'TAR FIN'!$A$1:$O$93,15,0))</f>
        <v>26.17</v>
      </c>
      <c r="W139" s="6">
        <f>IF(ISERROR(VLOOKUP($T$139,'TAR FIN'!$A$1:$O$93,15,0)),0,VLOOKUP($T$139,'TAR FIN'!$A$1:$O$93,15,0))</f>
        <v>0</v>
      </c>
      <c r="X139" s="6">
        <f>IF(ISERROR(VLOOKUP($U$139,'TAR FIN'!$A$1:$O$93,15,0)),0,VLOOKUP($U$139,'TAR FIN'!$A$1:$O$93,15,0))</f>
        <v>0</v>
      </c>
      <c r="Y139" s="6">
        <f ca="1">('TUSD BE'!$AM$14+'TUSD BF'!$AM$14+'TUSD CVA'!$AM$14)*1</f>
        <v>30.453482365333407</v>
      </c>
      <c r="Z139" s="6"/>
      <c r="AA139" s="6"/>
      <c r="AB139" s="6">
        <f t="shared" si="10"/>
        <v>39223.491320000001</v>
      </c>
      <c r="AC139" s="6">
        <f t="shared" si="11"/>
        <v>0</v>
      </c>
      <c r="AD139" s="6">
        <f t="shared" ca="1" si="12"/>
        <v>45643.557555232248</v>
      </c>
      <c r="AE139" s="6">
        <f t="shared" si="13"/>
        <v>0</v>
      </c>
      <c r="AF139" s="4" t="s">
        <v>636</v>
      </c>
    </row>
    <row r="140" spans="1:32" ht="11.25" customHeight="1" x14ac:dyDescent="0.25">
      <c r="A140" s="4" t="s">
        <v>21</v>
      </c>
      <c r="B140" s="4" t="s">
        <v>35</v>
      </c>
      <c r="C140" s="4" t="s">
        <v>39</v>
      </c>
      <c r="D140" s="4" t="s">
        <v>34</v>
      </c>
      <c r="E140" s="4" t="s">
        <v>25</v>
      </c>
      <c r="F140" s="4" t="s">
        <v>55</v>
      </c>
      <c r="G140" s="4" t="s">
        <v>25</v>
      </c>
      <c r="H140" s="4" t="s">
        <v>25</v>
      </c>
      <c r="I140" s="5">
        <v>44562</v>
      </c>
      <c r="J140" s="6">
        <v>3855</v>
      </c>
      <c r="K140" s="6">
        <v>2170.3649999999998</v>
      </c>
      <c r="L140" s="6">
        <v>0</v>
      </c>
      <c r="M140" s="6">
        <v>0</v>
      </c>
      <c r="N140" s="6">
        <v>0</v>
      </c>
      <c r="O140" s="6">
        <v>0</v>
      </c>
      <c r="P140" s="6">
        <v>5</v>
      </c>
      <c r="Q140" s="4" t="s">
        <v>54</v>
      </c>
      <c r="R140" s="4">
        <v>0</v>
      </c>
      <c r="S140" s="4">
        <v>18</v>
      </c>
      <c r="T140" s="4">
        <v>0</v>
      </c>
      <c r="U140" s="4">
        <v>0</v>
      </c>
      <c r="V140" s="6">
        <f>IF(ISERROR(VLOOKUP($S$140,'TAR FIN'!$A$1:$O$93,15,0)),0,VLOOKUP($S$140,'TAR FIN'!$A$1:$O$93,15,0))</f>
        <v>26.17</v>
      </c>
      <c r="W140" s="6">
        <f>IF(ISERROR(VLOOKUP($T$140,'TAR FIN'!$A$1:$O$93,15,0)),0,VLOOKUP($T$140,'TAR FIN'!$A$1:$O$93,15,0))</f>
        <v>0</v>
      </c>
      <c r="X140" s="6">
        <f>IF(ISERROR(VLOOKUP($U$140,'TAR FIN'!$A$1:$O$93,15,0)),0,VLOOKUP($U$140,'TAR FIN'!$A$1:$O$93,15,0))</f>
        <v>0</v>
      </c>
      <c r="Y140" s="6">
        <f ca="1">('TUSD BE'!$AM$14+'TUSD BF'!$AM$14+'TUSD CVA'!$AM$14)*1</f>
        <v>30.453482365333407</v>
      </c>
      <c r="Z140" s="6"/>
      <c r="AA140" s="6"/>
      <c r="AB140" s="6">
        <f t="shared" si="10"/>
        <v>44086.897950000006</v>
      </c>
      <c r="AC140" s="6">
        <f t="shared" si="11"/>
        <v>0</v>
      </c>
      <c r="AD140" s="6">
        <f t="shared" ca="1" si="12"/>
        <v>51303.002264523449</v>
      </c>
      <c r="AE140" s="6">
        <f t="shared" si="13"/>
        <v>0</v>
      </c>
      <c r="AF140" s="4" t="s">
        <v>636</v>
      </c>
    </row>
    <row r="141" spans="1:32" ht="11.25" customHeight="1" x14ac:dyDescent="0.25">
      <c r="A141" s="4" t="s">
        <v>21</v>
      </c>
      <c r="B141" s="4" t="s">
        <v>35</v>
      </c>
      <c r="C141" s="4" t="s">
        <v>39</v>
      </c>
      <c r="D141" s="4" t="s">
        <v>34</v>
      </c>
      <c r="E141" s="4" t="s">
        <v>25</v>
      </c>
      <c r="F141" s="4" t="s">
        <v>55</v>
      </c>
      <c r="G141" s="4" t="s">
        <v>25</v>
      </c>
      <c r="H141" s="4" t="s">
        <v>25</v>
      </c>
      <c r="I141" s="5">
        <v>44593</v>
      </c>
      <c r="J141" s="6">
        <v>4613</v>
      </c>
      <c r="K141" s="6">
        <v>1942.0730000000001</v>
      </c>
      <c r="L141" s="6">
        <v>0</v>
      </c>
      <c r="M141" s="6">
        <v>0</v>
      </c>
      <c r="N141" s="6">
        <v>0</v>
      </c>
      <c r="O141" s="6">
        <v>0</v>
      </c>
      <c r="P141" s="6">
        <v>6</v>
      </c>
      <c r="Q141" s="4" t="s">
        <v>54</v>
      </c>
      <c r="R141" s="4">
        <v>0</v>
      </c>
      <c r="S141" s="4">
        <v>18</v>
      </c>
      <c r="T141" s="4">
        <v>0</v>
      </c>
      <c r="U141" s="4">
        <v>0</v>
      </c>
      <c r="V141" s="6">
        <f>IF(ISERROR(VLOOKUP($S$141,'TAR FIN'!$A$1:$O$93,15,0)),0,VLOOKUP($S$141,'TAR FIN'!$A$1:$O$93,15,0))</f>
        <v>26.17</v>
      </c>
      <c r="W141" s="6">
        <f>IF(ISERROR(VLOOKUP($T$141,'TAR FIN'!$A$1:$O$93,15,0)),0,VLOOKUP($T$141,'TAR FIN'!$A$1:$O$93,15,0))</f>
        <v>0</v>
      </c>
      <c r="X141" s="6">
        <f>IF(ISERROR(VLOOKUP($U$141,'TAR FIN'!$A$1:$O$93,15,0)),0,VLOOKUP($U$141,'TAR FIN'!$A$1:$O$93,15,0))</f>
        <v>0</v>
      </c>
      <c r="Y141" s="6">
        <f ca="1">('TUSD BE'!$AM$14+'TUSD BF'!$AM$14+'TUSD CVA'!$AM$14)*1</f>
        <v>30.453482365333407</v>
      </c>
      <c r="Z141" s="6"/>
      <c r="AA141" s="6"/>
      <c r="AB141" s="6">
        <f t="shared" si="10"/>
        <v>69898.159589999996</v>
      </c>
      <c r="AC141" s="6">
        <f t="shared" si="11"/>
        <v>0</v>
      </c>
      <c r="AD141" s="6">
        <f t="shared" ca="1" si="12"/>
        <v>81339.028293592855</v>
      </c>
      <c r="AE141" s="6">
        <f t="shared" si="13"/>
        <v>0</v>
      </c>
      <c r="AF141" s="4" t="s">
        <v>636</v>
      </c>
    </row>
    <row r="142" spans="1:32" ht="11.25" customHeight="1" x14ac:dyDescent="0.25">
      <c r="A142" s="4" t="s">
        <v>21</v>
      </c>
      <c r="B142" s="4" t="s">
        <v>35</v>
      </c>
      <c r="C142" s="4" t="s">
        <v>39</v>
      </c>
      <c r="D142" s="4" t="s">
        <v>34</v>
      </c>
      <c r="E142" s="4" t="s">
        <v>25</v>
      </c>
      <c r="F142" s="4" t="s">
        <v>55</v>
      </c>
      <c r="G142" s="4" t="s">
        <v>25</v>
      </c>
      <c r="H142" s="4" t="s">
        <v>25</v>
      </c>
      <c r="I142" s="5">
        <v>44621</v>
      </c>
      <c r="J142" s="6">
        <v>4183</v>
      </c>
      <c r="K142" s="6">
        <v>1765.2260000000001</v>
      </c>
      <c r="L142" s="6">
        <v>0</v>
      </c>
      <c r="M142" s="6">
        <v>0</v>
      </c>
      <c r="N142" s="6">
        <v>0</v>
      </c>
      <c r="O142" s="6">
        <v>0</v>
      </c>
      <c r="P142" s="6">
        <v>7</v>
      </c>
      <c r="Q142" s="4" t="s">
        <v>54</v>
      </c>
      <c r="R142" s="4">
        <v>0</v>
      </c>
      <c r="S142" s="4">
        <v>18</v>
      </c>
      <c r="T142" s="4">
        <v>0</v>
      </c>
      <c r="U142" s="4">
        <v>0</v>
      </c>
      <c r="V142" s="6">
        <f>IF(ISERROR(VLOOKUP($S$142,'TAR FIN'!$A$1:$O$93,15,0)),0,VLOOKUP($S$142,'TAR FIN'!$A$1:$O$93,15,0))</f>
        <v>26.17</v>
      </c>
      <c r="W142" s="6">
        <f>IF(ISERROR(VLOOKUP($T$142,'TAR FIN'!$A$1:$O$93,15,0)),0,VLOOKUP($T$142,'TAR FIN'!$A$1:$O$93,15,0))</f>
        <v>0</v>
      </c>
      <c r="X142" s="6">
        <f>IF(ISERROR(VLOOKUP($U$142,'TAR FIN'!$A$1:$O$93,15,0)),0,VLOOKUP($U$142,'TAR FIN'!$A$1:$O$93,15,0))</f>
        <v>0</v>
      </c>
      <c r="Y142" s="6">
        <f ca="1">('TUSD BE'!$AM$14+'TUSD BF'!$AM$14+'TUSD CVA'!$AM$14)*1</f>
        <v>30.453482365333407</v>
      </c>
      <c r="Z142" s="6"/>
      <c r="AA142" s="6"/>
      <c r="AB142" s="6">
        <f t="shared" si="10"/>
        <v>63273.145580000004</v>
      </c>
      <c r="AC142" s="6">
        <f t="shared" si="11"/>
        <v>0</v>
      </c>
      <c r="AD142" s="6">
        <f t="shared" ca="1" si="12"/>
        <v>73629.637872361607</v>
      </c>
      <c r="AE142" s="6">
        <f t="shared" si="13"/>
        <v>0</v>
      </c>
      <c r="AF142" s="4" t="s">
        <v>636</v>
      </c>
    </row>
    <row r="143" spans="1:32" ht="11.25" customHeight="1" x14ac:dyDescent="0.25">
      <c r="A143" s="4" t="s">
        <v>65</v>
      </c>
      <c r="B143" s="4" t="s">
        <v>35</v>
      </c>
      <c r="C143" s="4" t="s">
        <v>39</v>
      </c>
      <c r="D143" s="4" t="s">
        <v>34</v>
      </c>
      <c r="E143" s="4" t="s">
        <v>25</v>
      </c>
      <c r="F143" s="4" t="s">
        <v>55</v>
      </c>
      <c r="G143" s="4" t="s">
        <v>25</v>
      </c>
      <c r="H143" s="4" t="s">
        <v>25</v>
      </c>
      <c r="I143" s="5">
        <v>44652</v>
      </c>
      <c r="J143" s="6">
        <v>4183</v>
      </c>
      <c r="K143" s="6">
        <v>1765.2260000000001</v>
      </c>
      <c r="L143" s="6">
        <v>0</v>
      </c>
      <c r="M143" s="6">
        <v>0</v>
      </c>
      <c r="N143" s="6">
        <v>0</v>
      </c>
      <c r="O143" s="6">
        <v>0</v>
      </c>
      <c r="P143" s="6">
        <v>7</v>
      </c>
      <c r="Q143" s="4" t="s">
        <v>54</v>
      </c>
      <c r="R143" s="4">
        <v>0</v>
      </c>
      <c r="S143" s="4">
        <v>18</v>
      </c>
      <c r="T143" s="4">
        <v>0</v>
      </c>
      <c r="U143" s="4">
        <v>0</v>
      </c>
      <c r="V143" s="6">
        <f>IF(ISERROR(VLOOKUP($S$143,'TAR FIN'!$A$1:$O$93,15,0)),0,VLOOKUP($S$143,'TAR FIN'!$A$1:$O$93,15,0))</f>
        <v>26.17</v>
      </c>
      <c r="W143" s="6">
        <f>IF(ISERROR(VLOOKUP($T$143,'TAR FIN'!$A$1:$O$93,15,0)),0,VLOOKUP($T$143,'TAR FIN'!$A$1:$O$93,15,0))</f>
        <v>0</v>
      </c>
      <c r="X143" s="6">
        <f>IF(ISERROR(VLOOKUP($U$143,'TAR FIN'!$A$1:$O$93,15,0)),0,VLOOKUP($U$143,'TAR FIN'!$A$1:$O$93,15,0))</f>
        <v>0</v>
      </c>
      <c r="Y143" s="6">
        <f ca="1">('TUSD BE'!$AM$14+'TUSD BF'!$AM$14+'TUSD CVA'!$AM$14)*1</f>
        <v>30.453482365333407</v>
      </c>
      <c r="Z143" s="6"/>
      <c r="AA143" s="6"/>
      <c r="AB143" s="6">
        <f t="shared" si="10"/>
        <v>63273.145580000004</v>
      </c>
      <c r="AC143" s="6">
        <f t="shared" si="11"/>
        <v>0</v>
      </c>
      <c r="AD143" s="6">
        <f t="shared" ca="1" si="12"/>
        <v>73629.637872361607</v>
      </c>
      <c r="AE143" s="6">
        <f t="shared" si="13"/>
        <v>0</v>
      </c>
      <c r="AF143" s="4" t="s">
        <v>636</v>
      </c>
    </row>
    <row r="144" spans="1:32" ht="11.25" customHeight="1" x14ac:dyDescent="0.25">
      <c r="A144" s="4" t="s">
        <v>21</v>
      </c>
      <c r="B144" s="4" t="s">
        <v>35</v>
      </c>
      <c r="C144" s="4" t="s">
        <v>39</v>
      </c>
      <c r="D144" s="4" t="s">
        <v>34</v>
      </c>
      <c r="E144" s="4" t="s">
        <v>25</v>
      </c>
      <c r="F144" s="4" t="s">
        <v>55</v>
      </c>
      <c r="G144" s="4" t="s">
        <v>25</v>
      </c>
      <c r="H144" s="4" t="s">
        <v>25</v>
      </c>
      <c r="I144" s="5">
        <v>44682</v>
      </c>
      <c r="J144" s="6">
        <v>6667</v>
      </c>
      <c r="K144" s="6">
        <v>2760.1379999999999</v>
      </c>
      <c r="L144" s="6">
        <v>0</v>
      </c>
      <c r="M144" s="6">
        <v>0</v>
      </c>
      <c r="N144" s="6">
        <v>0</v>
      </c>
      <c r="O144" s="6">
        <v>0</v>
      </c>
      <c r="P144" s="6">
        <v>8</v>
      </c>
      <c r="Q144" s="4" t="s">
        <v>54</v>
      </c>
      <c r="R144" s="4">
        <v>0</v>
      </c>
      <c r="S144" s="4">
        <v>18</v>
      </c>
      <c r="T144" s="4">
        <v>0</v>
      </c>
      <c r="U144" s="4">
        <v>0</v>
      </c>
      <c r="V144" s="6">
        <f>IF(ISERROR(VLOOKUP($S$144,'TAR FIN'!$A$1:$O$93,15,0)),0,VLOOKUP($S$144,'TAR FIN'!$A$1:$O$93,15,0))</f>
        <v>26.17</v>
      </c>
      <c r="W144" s="6">
        <f>IF(ISERROR(VLOOKUP($T$144,'TAR FIN'!$A$1:$O$93,15,0)),0,VLOOKUP($T$144,'TAR FIN'!$A$1:$O$93,15,0))</f>
        <v>0</v>
      </c>
      <c r="X144" s="6">
        <f>IF(ISERROR(VLOOKUP($U$144,'TAR FIN'!$A$1:$O$93,15,0)),0,VLOOKUP($U$144,'TAR FIN'!$A$1:$O$93,15,0))</f>
        <v>0</v>
      </c>
      <c r="Y144" s="6">
        <f ca="1">('TUSD BE'!$AM$14+'TUSD BF'!$AM$14+'TUSD CVA'!$AM$14)*1</f>
        <v>30.453482365333407</v>
      </c>
      <c r="Z144" s="6"/>
      <c r="AA144" s="6"/>
      <c r="AB144" s="6">
        <f t="shared" si="10"/>
        <v>102242.57854</v>
      </c>
      <c r="AC144" s="6">
        <f t="shared" si="11"/>
        <v>0</v>
      </c>
      <c r="AD144" s="6">
        <f t="shared" ca="1" si="12"/>
        <v>118977.55302079121</v>
      </c>
      <c r="AE144" s="6">
        <f t="shared" si="13"/>
        <v>0</v>
      </c>
      <c r="AF144" s="4" t="s">
        <v>636</v>
      </c>
    </row>
    <row r="145" spans="1:32" ht="11.25" customHeight="1" x14ac:dyDescent="0.25">
      <c r="A145" s="4" t="s">
        <v>21</v>
      </c>
      <c r="B145" s="4" t="s">
        <v>35</v>
      </c>
      <c r="C145" s="4" t="s">
        <v>39</v>
      </c>
      <c r="D145" s="4" t="s">
        <v>34</v>
      </c>
      <c r="E145" s="4" t="s">
        <v>25</v>
      </c>
      <c r="F145" s="4" t="s">
        <v>55</v>
      </c>
      <c r="G145" s="4" t="s">
        <v>25</v>
      </c>
      <c r="H145" s="4" t="s">
        <v>25</v>
      </c>
      <c r="I145" s="5">
        <v>44713</v>
      </c>
      <c r="J145" s="6">
        <v>8554</v>
      </c>
      <c r="K145" s="6">
        <v>3002.4540000000002</v>
      </c>
      <c r="L145" s="6">
        <v>0</v>
      </c>
      <c r="M145" s="6">
        <v>0</v>
      </c>
      <c r="N145" s="6">
        <v>0</v>
      </c>
      <c r="O145" s="6">
        <v>0</v>
      </c>
      <c r="P145" s="6">
        <v>13</v>
      </c>
      <c r="Q145" s="4" t="s">
        <v>54</v>
      </c>
      <c r="R145" s="4">
        <v>0</v>
      </c>
      <c r="S145" s="4">
        <v>18</v>
      </c>
      <c r="T145" s="4">
        <v>0</v>
      </c>
      <c r="U145" s="4">
        <v>0</v>
      </c>
      <c r="V145" s="6">
        <f>IF(ISERROR(VLOOKUP($S$145,'TAR FIN'!$A$1:$O$93,15,0)),0,VLOOKUP($S$145,'TAR FIN'!$A$1:$O$93,15,0))</f>
        <v>26.17</v>
      </c>
      <c r="W145" s="6">
        <f>IF(ISERROR(VLOOKUP($T$145,'TAR FIN'!$A$1:$O$93,15,0)),0,VLOOKUP($T$145,'TAR FIN'!$A$1:$O$93,15,0))</f>
        <v>0</v>
      </c>
      <c r="X145" s="6">
        <f>IF(ISERROR(VLOOKUP($U$145,'TAR FIN'!$A$1:$O$93,15,0)),0,VLOOKUP($U$145,'TAR FIN'!$A$1:$O$93,15,0))</f>
        <v>0</v>
      </c>
      <c r="Y145" s="6">
        <f ca="1">('TUSD BE'!$AM$14+'TUSD BF'!$AM$14+'TUSD CVA'!$AM$14)*1</f>
        <v>30.453482365333407</v>
      </c>
      <c r="Z145" s="6"/>
      <c r="AA145" s="6"/>
      <c r="AB145" s="6">
        <f t="shared" si="10"/>
        <v>145283.95882000003</v>
      </c>
      <c r="AC145" s="6">
        <f t="shared" si="11"/>
        <v>0</v>
      </c>
      <c r="AD145" s="6">
        <f t="shared" ca="1" si="12"/>
        <v>169063.90821133723</v>
      </c>
      <c r="AE145" s="6">
        <f t="shared" si="13"/>
        <v>0</v>
      </c>
      <c r="AF145" s="4" t="s">
        <v>636</v>
      </c>
    </row>
    <row r="146" spans="1:32" ht="11.25" customHeight="1" x14ac:dyDescent="0.25">
      <c r="A146" s="4" t="s">
        <v>21</v>
      </c>
      <c r="B146" s="4" t="s">
        <v>35</v>
      </c>
      <c r="C146" s="4" t="s">
        <v>39</v>
      </c>
      <c r="D146" s="4" t="s">
        <v>34</v>
      </c>
      <c r="E146" s="4" t="s">
        <v>25</v>
      </c>
      <c r="F146" s="4" t="s">
        <v>55</v>
      </c>
      <c r="G146" s="4" t="s">
        <v>25</v>
      </c>
      <c r="H146" s="4" t="s">
        <v>37</v>
      </c>
      <c r="I146" s="5">
        <v>44378</v>
      </c>
      <c r="J146" s="6">
        <v>0</v>
      </c>
      <c r="K146" s="6">
        <v>0</v>
      </c>
      <c r="L146" s="6">
        <v>64.95</v>
      </c>
      <c r="M146" s="6">
        <v>23.252099999999999</v>
      </c>
      <c r="N146" s="6">
        <v>0</v>
      </c>
      <c r="O146" s="6">
        <v>0</v>
      </c>
      <c r="P146" s="6">
        <v>0</v>
      </c>
      <c r="Q146" s="4" t="s">
        <v>54</v>
      </c>
      <c r="R146" s="4">
        <v>0</v>
      </c>
      <c r="S146" s="4">
        <v>0</v>
      </c>
      <c r="T146" s="4">
        <v>12</v>
      </c>
      <c r="U146" s="4">
        <v>0</v>
      </c>
      <c r="V146" s="6">
        <f>IF(ISERROR(VLOOKUP($S$146,'TAR FIN'!$A$1:$O$93,15,0)),0,VLOOKUP($S$146,'TAR FIN'!$A$1:$O$93,15,0))</f>
        <v>0</v>
      </c>
      <c r="W146" s="6">
        <f>IF(ISERROR(VLOOKUP($T$146,'TAR FIN'!$A$1:$O$93,15,0)),0,VLOOKUP($T$146,'TAR FIN'!$A$1:$O$93,15,0))</f>
        <v>1124.7</v>
      </c>
      <c r="X146" s="6">
        <f>IF(ISERROR(VLOOKUP($U$146,'TAR FIN'!$A$1:$O$93,15,0)),0,VLOOKUP($U$146,'TAR FIN'!$A$1:$O$93,15,0))</f>
        <v>0</v>
      </c>
      <c r="Y146" s="6"/>
      <c r="Z146" s="6">
        <f ca="1">('TUSD BE'!$AM$15+'TUSD BF'!$AM$15+'TUSD CVA'!$AM$15)*1</f>
        <v>1302.3659842076513</v>
      </c>
      <c r="AA146" s="6"/>
      <c r="AB146" s="6">
        <f t="shared" si="10"/>
        <v>0</v>
      </c>
      <c r="AC146" s="6">
        <f t="shared" si="11"/>
        <v>46897.628130000005</v>
      </c>
      <c r="AD146" s="6">
        <f t="shared" si="12"/>
        <v>0</v>
      </c>
      <c r="AE146" s="6">
        <f t="shared" ca="1" si="13"/>
        <v>54305.926572892226</v>
      </c>
      <c r="AF146" s="4" t="s">
        <v>636</v>
      </c>
    </row>
    <row r="147" spans="1:32" ht="11.25" customHeight="1" x14ac:dyDescent="0.25">
      <c r="A147" s="4" t="s">
        <v>21</v>
      </c>
      <c r="B147" s="4" t="s">
        <v>35</v>
      </c>
      <c r="C147" s="4" t="s">
        <v>39</v>
      </c>
      <c r="D147" s="4" t="s">
        <v>34</v>
      </c>
      <c r="E147" s="4" t="s">
        <v>25</v>
      </c>
      <c r="F147" s="4" t="s">
        <v>55</v>
      </c>
      <c r="G147" s="4" t="s">
        <v>25</v>
      </c>
      <c r="H147" s="4" t="s">
        <v>37</v>
      </c>
      <c r="I147" s="5">
        <v>44409</v>
      </c>
      <c r="J147" s="6">
        <v>0</v>
      </c>
      <c r="K147" s="6">
        <v>0</v>
      </c>
      <c r="L147" s="6">
        <v>59.216999999999999</v>
      </c>
      <c r="M147" s="6">
        <v>26.647649999999999</v>
      </c>
      <c r="N147" s="6">
        <v>0</v>
      </c>
      <c r="O147" s="6">
        <v>0</v>
      </c>
      <c r="P147" s="6">
        <v>0</v>
      </c>
      <c r="Q147" s="4" t="s">
        <v>54</v>
      </c>
      <c r="R147" s="4">
        <v>0</v>
      </c>
      <c r="S147" s="4">
        <v>0</v>
      </c>
      <c r="T147" s="4">
        <v>12</v>
      </c>
      <c r="U147" s="4">
        <v>0</v>
      </c>
      <c r="V147" s="6">
        <f>IF(ISERROR(VLOOKUP($S$147,'TAR FIN'!$A$1:$O$93,15,0)),0,VLOOKUP($S$147,'TAR FIN'!$A$1:$O$93,15,0))</f>
        <v>0</v>
      </c>
      <c r="W147" s="6">
        <f>IF(ISERROR(VLOOKUP($T$147,'TAR FIN'!$A$1:$O$93,15,0)),0,VLOOKUP($T$147,'TAR FIN'!$A$1:$O$93,15,0))</f>
        <v>1124.7</v>
      </c>
      <c r="X147" s="6">
        <f>IF(ISERROR(VLOOKUP($U$147,'TAR FIN'!$A$1:$O$93,15,0)),0,VLOOKUP($U$147,'TAR FIN'!$A$1:$O$93,15,0))</f>
        <v>0</v>
      </c>
      <c r="Y147" s="6"/>
      <c r="Z147" s="6">
        <f ca="1">('TUSD BE'!$AM$15+'TUSD BF'!$AM$15+'TUSD CVA'!$AM$15)*1</f>
        <v>1302.3659842076513</v>
      </c>
      <c r="AA147" s="6"/>
      <c r="AB147" s="6">
        <f t="shared" si="10"/>
        <v>0</v>
      </c>
      <c r="AC147" s="6">
        <f t="shared" si="11"/>
        <v>36630.747945000003</v>
      </c>
      <c r="AD147" s="6">
        <f t="shared" si="12"/>
        <v>0</v>
      </c>
      <c r="AE147" s="6">
        <f t="shared" ca="1" si="13"/>
        <v>42417.213567753468</v>
      </c>
      <c r="AF147" s="4" t="s">
        <v>636</v>
      </c>
    </row>
    <row r="148" spans="1:32" ht="11.25" customHeight="1" x14ac:dyDescent="0.25">
      <c r="A148" s="4" t="s">
        <v>21</v>
      </c>
      <c r="B148" s="4" t="s">
        <v>35</v>
      </c>
      <c r="C148" s="4" t="s">
        <v>39</v>
      </c>
      <c r="D148" s="4" t="s">
        <v>34</v>
      </c>
      <c r="E148" s="4" t="s">
        <v>25</v>
      </c>
      <c r="F148" s="4" t="s">
        <v>55</v>
      </c>
      <c r="G148" s="4" t="s">
        <v>25</v>
      </c>
      <c r="H148" s="4" t="s">
        <v>37</v>
      </c>
      <c r="I148" s="5">
        <v>44440</v>
      </c>
      <c r="J148" s="6">
        <v>0</v>
      </c>
      <c r="K148" s="6">
        <v>0</v>
      </c>
      <c r="L148" s="6">
        <v>51.08</v>
      </c>
      <c r="M148" s="6">
        <v>27.103048000000001</v>
      </c>
      <c r="N148" s="6">
        <v>0</v>
      </c>
      <c r="O148" s="6">
        <v>0</v>
      </c>
      <c r="P148" s="6">
        <v>0</v>
      </c>
      <c r="Q148" s="4" t="s">
        <v>54</v>
      </c>
      <c r="R148" s="4">
        <v>0</v>
      </c>
      <c r="S148" s="4">
        <v>0</v>
      </c>
      <c r="T148" s="4">
        <v>12</v>
      </c>
      <c r="U148" s="4">
        <v>0</v>
      </c>
      <c r="V148" s="6">
        <f>IF(ISERROR(VLOOKUP($S$148,'TAR FIN'!$A$1:$O$93,15,0)),0,VLOOKUP($S$148,'TAR FIN'!$A$1:$O$93,15,0))</f>
        <v>0</v>
      </c>
      <c r="W148" s="6">
        <f>IF(ISERROR(VLOOKUP($T$148,'TAR FIN'!$A$1:$O$93,15,0)),0,VLOOKUP($T$148,'TAR FIN'!$A$1:$O$93,15,0))</f>
        <v>1124.7</v>
      </c>
      <c r="X148" s="6">
        <f>IF(ISERROR(VLOOKUP($U$148,'TAR FIN'!$A$1:$O$93,15,0)),0,VLOOKUP($U$148,'TAR FIN'!$A$1:$O$93,15,0))</f>
        <v>0</v>
      </c>
      <c r="Y148" s="6"/>
      <c r="Z148" s="6">
        <f ca="1">('TUSD BE'!$AM$15+'TUSD BF'!$AM$15+'TUSD CVA'!$AM$15)*1</f>
        <v>1302.3659842076513</v>
      </c>
      <c r="AA148" s="6"/>
      <c r="AB148" s="6">
        <f t="shared" si="10"/>
        <v>0</v>
      </c>
      <c r="AC148" s="6">
        <f t="shared" si="11"/>
        <v>26966.877914399996</v>
      </c>
      <c r="AD148" s="6">
        <f t="shared" si="12"/>
        <v>0</v>
      </c>
      <c r="AE148" s="6">
        <f t="shared" ca="1" si="13"/>
        <v>31226.766689779608</v>
      </c>
      <c r="AF148" s="4" t="s">
        <v>636</v>
      </c>
    </row>
    <row r="149" spans="1:32" ht="11.25" customHeight="1" x14ac:dyDescent="0.25">
      <c r="A149" s="4" t="s">
        <v>21</v>
      </c>
      <c r="B149" s="4" t="s">
        <v>35</v>
      </c>
      <c r="C149" s="4" t="s">
        <v>39</v>
      </c>
      <c r="D149" s="4" t="s">
        <v>34</v>
      </c>
      <c r="E149" s="4" t="s">
        <v>25</v>
      </c>
      <c r="F149" s="4" t="s">
        <v>55</v>
      </c>
      <c r="G149" s="4" t="s">
        <v>25</v>
      </c>
      <c r="H149" s="4" t="s">
        <v>37</v>
      </c>
      <c r="I149" s="5">
        <v>44470</v>
      </c>
      <c r="J149" s="6">
        <v>0</v>
      </c>
      <c r="K149" s="6">
        <v>0</v>
      </c>
      <c r="L149" s="6">
        <v>47.006</v>
      </c>
      <c r="M149" s="6">
        <v>24.678149999999999</v>
      </c>
      <c r="N149" s="6">
        <v>0</v>
      </c>
      <c r="O149" s="6">
        <v>0</v>
      </c>
      <c r="P149" s="6">
        <v>0</v>
      </c>
      <c r="Q149" s="4" t="s">
        <v>54</v>
      </c>
      <c r="R149" s="4">
        <v>0</v>
      </c>
      <c r="S149" s="4">
        <v>0</v>
      </c>
      <c r="T149" s="4">
        <v>12</v>
      </c>
      <c r="U149" s="4">
        <v>0</v>
      </c>
      <c r="V149" s="6">
        <f>IF(ISERROR(VLOOKUP($S$149,'TAR FIN'!$A$1:$O$93,15,0)),0,VLOOKUP($S$149,'TAR FIN'!$A$1:$O$93,15,0))</f>
        <v>0</v>
      </c>
      <c r="W149" s="6">
        <f>IF(ISERROR(VLOOKUP($T$149,'TAR FIN'!$A$1:$O$93,15,0)),0,VLOOKUP($T$149,'TAR FIN'!$A$1:$O$93,15,0))</f>
        <v>1124.7</v>
      </c>
      <c r="X149" s="6">
        <f>IF(ISERROR(VLOOKUP($U$149,'TAR FIN'!$A$1:$O$93,15,0)),0,VLOOKUP($U$149,'TAR FIN'!$A$1:$O$93,15,0))</f>
        <v>0</v>
      </c>
      <c r="Y149" s="6"/>
      <c r="Z149" s="6">
        <f ca="1">('TUSD BE'!$AM$15+'TUSD BF'!$AM$15+'TUSD CVA'!$AM$15)*1</f>
        <v>1302.3659842076513</v>
      </c>
      <c r="AA149" s="6"/>
      <c r="AB149" s="6">
        <f t="shared" si="10"/>
        <v>0</v>
      </c>
      <c r="AC149" s="6">
        <f t="shared" si="11"/>
        <v>25112.132895000002</v>
      </c>
      <c r="AD149" s="6">
        <f t="shared" si="12"/>
        <v>0</v>
      </c>
      <c r="AE149" s="6">
        <f t="shared" ca="1" si="13"/>
        <v>29079.032340490809</v>
      </c>
      <c r="AF149" s="4" t="s">
        <v>636</v>
      </c>
    </row>
    <row r="150" spans="1:32" ht="11.25" customHeight="1" x14ac:dyDescent="0.25">
      <c r="A150" s="4" t="s">
        <v>21</v>
      </c>
      <c r="B150" s="4" t="s">
        <v>35</v>
      </c>
      <c r="C150" s="4" t="s">
        <v>39</v>
      </c>
      <c r="D150" s="4" t="s">
        <v>34</v>
      </c>
      <c r="E150" s="4" t="s">
        <v>25</v>
      </c>
      <c r="F150" s="4" t="s">
        <v>55</v>
      </c>
      <c r="G150" s="4" t="s">
        <v>25</v>
      </c>
      <c r="H150" s="4" t="s">
        <v>37</v>
      </c>
      <c r="I150" s="5">
        <v>44501</v>
      </c>
      <c r="J150" s="6">
        <v>0</v>
      </c>
      <c r="K150" s="6">
        <v>0</v>
      </c>
      <c r="L150" s="6">
        <v>47.975000000000001</v>
      </c>
      <c r="M150" s="6">
        <v>24.27535</v>
      </c>
      <c r="N150" s="6">
        <v>0</v>
      </c>
      <c r="O150" s="6">
        <v>0</v>
      </c>
      <c r="P150" s="6">
        <v>0</v>
      </c>
      <c r="Q150" s="4" t="s">
        <v>54</v>
      </c>
      <c r="R150" s="4">
        <v>0</v>
      </c>
      <c r="S150" s="4">
        <v>0</v>
      </c>
      <c r="T150" s="4">
        <v>12</v>
      </c>
      <c r="U150" s="4">
        <v>0</v>
      </c>
      <c r="V150" s="6">
        <f>IF(ISERROR(VLOOKUP($S$150,'TAR FIN'!$A$1:$O$93,15,0)),0,VLOOKUP($S$150,'TAR FIN'!$A$1:$O$93,15,0))</f>
        <v>0</v>
      </c>
      <c r="W150" s="6">
        <f>IF(ISERROR(VLOOKUP($T$150,'TAR FIN'!$A$1:$O$93,15,0)),0,VLOOKUP($T$150,'TAR FIN'!$A$1:$O$93,15,0))</f>
        <v>1124.7</v>
      </c>
      <c r="X150" s="6">
        <f>IF(ISERROR(VLOOKUP($U$150,'TAR FIN'!$A$1:$O$93,15,0)),0,VLOOKUP($U$150,'TAR FIN'!$A$1:$O$93,15,0))</f>
        <v>0</v>
      </c>
      <c r="Y150" s="6"/>
      <c r="Z150" s="6">
        <f ca="1">('TUSD BE'!$AM$15+'TUSD BF'!$AM$15+'TUSD CVA'!$AM$15)*1</f>
        <v>1302.3659842076513</v>
      </c>
      <c r="AA150" s="6"/>
      <c r="AB150" s="6">
        <f t="shared" si="10"/>
        <v>0</v>
      </c>
      <c r="AC150" s="6">
        <f t="shared" si="11"/>
        <v>26654.996355000003</v>
      </c>
      <c r="AD150" s="6">
        <f t="shared" si="12"/>
        <v>0</v>
      </c>
      <c r="AE150" s="6">
        <f t="shared" ca="1" si="13"/>
        <v>30865.617997626865</v>
      </c>
      <c r="AF150" s="4" t="s">
        <v>636</v>
      </c>
    </row>
    <row r="151" spans="1:32" ht="11.25" customHeight="1" x14ac:dyDescent="0.25">
      <c r="A151" s="4" t="s">
        <v>65</v>
      </c>
      <c r="B151" s="4" t="s">
        <v>35</v>
      </c>
      <c r="C151" s="4" t="s">
        <v>39</v>
      </c>
      <c r="D151" s="4" t="s">
        <v>34</v>
      </c>
      <c r="E151" s="4" t="s">
        <v>25</v>
      </c>
      <c r="F151" s="4" t="s">
        <v>55</v>
      </c>
      <c r="G151" s="4" t="s">
        <v>25</v>
      </c>
      <c r="H151" s="4" t="s">
        <v>37</v>
      </c>
      <c r="I151" s="5">
        <v>44531</v>
      </c>
      <c r="J151" s="6">
        <v>0</v>
      </c>
      <c r="K151" s="6">
        <v>0</v>
      </c>
      <c r="L151" s="6">
        <v>47.975000000000001</v>
      </c>
      <c r="M151" s="6">
        <v>24.27535</v>
      </c>
      <c r="N151" s="6">
        <v>0</v>
      </c>
      <c r="O151" s="6">
        <v>0</v>
      </c>
      <c r="P151" s="6">
        <v>0</v>
      </c>
      <c r="Q151" s="4" t="s">
        <v>54</v>
      </c>
      <c r="R151" s="4">
        <v>0</v>
      </c>
      <c r="S151" s="4">
        <v>0</v>
      </c>
      <c r="T151" s="4">
        <v>12</v>
      </c>
      <c r="U151" s="4">
        <v>0</v>
      </c>
      <c r="V151" s="6">
        <f>IF(ISERROR(VLOOKUP($S$151,'TAR FIN'!$A$1:$O$93,15,0)),0,VLOOKUP($S$151,'TAR FIN'!$A$1:$O$93,15,0))</f>
        <v>0</v>
      </c>
      <c r="W151" s="6">
        <f>IF(ISERROR(VLOOKUP($T$151,'TAR FIN'!$A$1:$O$93,15,0)),0,VLOOKUP($T$151,'TAR FIN'!$A$1:$O$93,15,0))</f>
        <v>1124.7</v>
      </c>
      <c r="X151" s="6">
        <f>IF(ISERROR(VLOOKUP($U$151,'TAR FIN'!$A$1:$O$93,15,0)),0,VLOOKUP($U$151,'TAR FIN'!$A$1:$O$93,15,0))</f>
        <v>0</v>
      </c>
      <c r="Y151" s="6"/>
      <c r="Z151" s="6">
        <f ca="1">('TUSD BE'!$AM$15+'TUSD BF'!$AM$15+'TUSD CVA'!$AM$15)*1</f>
        <v>1302.3659842076513</v>
      </c>
      <c r="AA151" s="6"/>
      <c r="AB151" s="6">
        <f t="shared" si="10"/>
        <v>0</v>
      </c>
      <c r="AC151" s="6">
        <f t="shared" si="11"/>
        <v>26654.996355000003</v>
      </c>
      <c r="AD151" s="6">
        <f t="shared" si="12"/>
        <v>0</v>
      </c>
      <c r="AE151" s="6">
        <f t="shared" ca="1" si="13"/>
        <v>30865.617997626865</v>
      </c>
      <c r="AF151" s="4" t="s">
        <v>636</v>
      </c>
    </row>
    <row r="152" spans="1:32" ht="11.25" customHeight="1" x14ac:dyDescent="0.25">
      <c r="A152" s="4" t="s">
        <v>21</v>
      </c>
      <c r="B152" s="4" t="s">
        <v>35</v>
      </c>
      <c r="C152" s="4" t="s">
        <v>39</v>
      </c>
      <c r="D152" s="4" t="s">
        <v>34</v>
      </c>
      <c r="E152" s="4" t="s">
        <v>25</v>
      </c>
      <c r="F152" s="4" t="s">
        <v>55</v>
      </c>
      <c r="G152" s="4" t="s">
        <v>25</v>
      </c>
      <c r="H152" s="4" t="s">
        <v>37</v>
      </c>
      <c r="I152" s="5">
        <v>44562</v>
      </c>
      <c r="J152" s="6">
        <v>0</v>
      </c>
      <c r="K152" s="6">
        <v>0</v>
      </c>
      <c r="L152" s="6">
        <v>34.628</v>
      </c>
      <c r="M152" s="6">
        <v>19.495564000000002</v>
      </c>
      <c r="N152" s="6">
        <v>0</v>
      </c>
      <c r="O152" s="6">
        <v>0</v>
      </c>
      <c r="P152" s="6">
        <v>0</v>
      </c>
      <c r="Q152" s="4" t="s">
        <v>54</v>
      </c>
      <c r="R152" s="4">
        <v>0</v>
      </c>
      <c r="S152" s="4">
        <v>0</v>
      </c>
      <c r="T152" s="4">
        <v>12</v>
      </c>
      <c r="U152" s="4">
        <v>0</v>
      </c>
      <c r="V152" s="6">
        <f>IF(ISERROR(VLOOKUP($S$152,'TAR FIN'!$A$1:$O$93,15,0)),0,VLOOKUP($S$152,'TAR FIN'!$A$1:$O$93,15,0))</f>
        <v>0</v>
      </c>
      <c r="W152" s="6">
        <f>IF(ISERROR(VLOOKUP($T$152,'TAR FIN'!$A$1:$O$93,15,0)),0,VLOOKUP($T$152,'TAR FIN'!$A$1:$O$93,15,0))</f>
        <v>1124.7</v>
      </c>
      <c r="X152" s="6">
        <f>IF(ISERROR(VLOOKUP($U$152,'TAR FIN'!$A$1:$O$93,15,0)),0,VLOOKUP($U$152,'TAR FIN'!$A$1:$O$93,15,0))</f>
        <v>0</v>
      </c>
      <c r="Y152" s="6"/>
      <c r="Z152" s="6">
        <f ca="1">('TUSD BE'!$AM$15+'TUSD BF'!$AM$15+'TUSD CVA'!$AM$15)*1</f>
        <v>1302.3659842076513</v>
      </c>
      <c r="AA152" s="6"/>
      <c r="AB152" s="6">
        <f t="shared" si="10"/>
        <v>0</v>
      </c>
      <c r="AC152" s="6">
        <f t="shared" si="11"/>
        <v>17019.450769200001</v>
      </c>
      <c r="AD152" s="6">
        <f t="shared" si="12"/>
        <v>0</v>
      </c>
      <c r="AE152" s="6">
        <f t="shared" ca="1" si="13"/>
        <v>19707.969904599293</v>
      </c>
      <c r="AF152" s="4" t="s">
        <v>636</v>
      </c>
    </row>
    <row r="153" spans="1:32" ht="11.25" customHeight="1" x14ac:dyDescent="0.25">
      <c r="A153" s="4" t="s">
        <v>21</v>
      </c>
      <c r="B153" s="4" t="s">
        <v>35</v>
      </c>
      <c r="C153" s="4" t="s">
        <v>39</v>
      </c>
      <c r="D153" s="4" t="s">
        <v>34</v>
      </c>
      <c r="E153" s="4" t="s">
        <v>25</v>
      </c>
      <c r="F153" s="4" t="s">
        <v>55</v>
      </c>
      <c r="G153" s="4" t="s">
        <v>25</v>
      </c>
      <c r="H153" s="4" t="s">
        <v>37</v>
      </c>
      <c r="I153" s="5">
        <v>44593</v>
      </c>
      <c r="J153" s="6">
        <v>0</v>
      </c>
      <c r="K153" s="6">
        <v>0</v>
      </c>
      <c r="L153" s="6">
        <v>44.442999999999998</v>
      </c>
      <c r="M153" s="6">
        <v>23.492569799999998</v>
      </c>
      <c r="N153" s="6">
        <v>0</v>
      </c>
      <c r="O153" s="6">
        <v>0</v>
      </c>
      <c r="P153" s="6">
        <v>0</v>
      </c>
      <c r="Q153" s="4" t="s">
        <v>54</v>
      </c>
      <c r="R153" s="4">
        <v>0</v>
      </c>
      <c r="S153" s="4">
        <v>0</v>
      </c>
      <c r="T153" s="4">
        <v>12</v>
      </c>
      <c r="U153" s="4">
        <v>0</v>
      </c>
      <c r="V153" s="6">
        <f>IF(ISERROR(VLOOKUP($S$153,'TAR FIN'!$A$1:$O$93,15,0)),0,VLOOKUP($S$153,'TAR FIN'!$A$1:$O$93,15,0))</f>
        <v>0</v>
      </c>
      <c r="W153" s="6">
        <f>IF(ISERROR(VLOOKUP($T$153,'TAR FIN'!$A$1:$O$93,15,0)),0,VLOOKUP($T$153,'TAR FIN'!$A$1:$O$93,15,0))</f>
        <v>1124.7</v>
      </c>
      <c r="X153" s="6">
        <f>IF(ISERROR(VLOOKUP($U$153,'TAR FIN'!$A$1:$O$93,15,0)),0,VLOOKUP($U$153,'TAR FIN'!$A$1:$O$93,15,0))</f>
        <v>0</v>
      </c>
      <c r="Y153" s="6"/>
      <c r="Z153" s="6">
        <f ca="1">('TUSD BE'!$AM$15+'TUSD BF'!$AM$15+'TUSD CVA'!$AM$15)*1</f>
        <v>1302.3659842076513</v>
      </c>
      <c r="AA153" s="6"/>
      <c r="AB153" s="6">
        <f t="shared" si="10"/>
        <v>0</v>
      </c>
      <c r="AC153" s="6">
        <f t="shared" si="11"/>
        <v>23562.948845940002</v>
      </c>
      <c r="AD153" s="6">
        <f t="shared" si="12"/>
        <v>0</v>
      </c>
      <c r="AE153" s="6">
        <f t="shared" ca="1" si="13"/>
        <v>27285.127646996702</v>
      </c>
      <c r="AF153" s="4" t="s">
        <v>636</v>
      </c>
    </row>
    <row r="154" spans="1:32" ht="11.25" customHeight="1" x14ac:dyDescent="0.25">
      <c r="A154" s="4" t="s">
        <v>21</v>
      </c>
      <c r="B154" s="4" t="s">
        <v>35</v>
      </c>
      <c r="C154" s="4" t="s">
        <v>39</v>
      </c>
      <c r="D154" s="4" t="s">
        <v>34</v>
      </c>
      <c r="E154" s="4" t="s">
        <v>25</v>
      </c>
      <c r="F154" s="4" t="s">
        <v>55</v>
      </c>
      <c r="G154" s="4" t="s">
        <v>25</v>
      </c>
      <c r="H154" s="4" t="s">
        <v>37</v>
      </c>
      <c r="I154" s="5">
        <v>44621</v>
      </c>
      <c r="J154" s="6">
        <v>0</v>
      </c>
      <c r="K154" s="6">
        <v>0</v>
      </c>
      <c r="L154" s="6">
        <v>54.761000000000003</v>
      </c>
      <c r="M154" s="6">
        <v>23.109141999999999</v>
      </c>
      <c r="N154" s="6">
        <v>0</v>
      </c>
      <c r="O154" s="6">
        <v>0</v>
      </c>
      <c r="P154" s="6">
        <v>0</v>
      </c>
      <c r="Q154" s="4" t="s">
        <v>54</v>
      </c>
      <c r="R154" s="4">
        <v>0</v>
      </c>
      <c r="S154" s="4">
        <v>0</v>
      </c>
      <c r="T154" s="4">
        <v>12</v>
      </c>
      <c r="U154" s="4">
        <v>0</v>
      </c>
      <c r="V154" s="6">
        <f>IF(ISERROR(VLOOKUP($S$154,'TAR FIN'!$A$1:$O$93,15,0)),0,VLOOKUP($S$154,'TAR FIN'!$A$1:$O$93,15,0))</f>
        <v>0</v>
      </c>
      <c r="W154" s="6">
        <f>IF(ISERROR(VLOOKUP($T$154,'TAR FIN'!$A$1:$O$93,15,0)),0,VLOOKUP($T$154,'TAR FIN'!$A$1:$O$93,15,0))</f>
        <v>1124.7</v>
      </c>
      <c r="X154" s="6">
        <f>IF(ISERROR(VLOOKUP($U$154,'TAR FIN'!$A$1:$O$93,15,0)),0,VLOOKUP($U$154,'TAR FIN'!$A$1:$O$93,15,0))</f>
        <v>0</v>
      </c>
      <c r="Y154" s="6"/>
      <c r="Z154" s="6">
        <f ca="1">('TUSD BE'!$AM$15+'TUSD BF'!$AM$15+'TUSD CVA'!$AM$15)*1</f>
        <v>1302.3659842076513</v>
      </c>
      <c r="AA154" s="6"/>
      <c r="AB154" s="6">
        <f t="shared" si="10"/>
        <v>0</v>
      </c>
      <c r="AC154" s="6">
        <f t="shared" si="11"/>
        <v>35598.844692600003</v>
      </c>
      <c r="AD154" s="6">
        <f t="shared" si="12"/>
        <v>0</v>
      </c>
      <c r="AE154" s="6">
        <f t="shared" ca="1" si="13"/>
        <v>41222.303196170826</v>
      </c>
      <c r="AF154" s="4" t="s">
        <v>636</v>
      </c>
    </row>
    <row r="155" spans="1:32" ht="11.25" customHeight="1" x14ac:dyDescent="0.25">
      <c r="A155" s="4" t="s">
        <v>65</v>
      </c>
      <c r="B155" s="4" t="s">
        <v>35</v>
      </c>
      <c r="C155" s="4" t="s">
        <v>39</v>
      </c>
      <c r="D155" s="4" t="s">
        <v>34</v>
      </c>
      <c r="E155" s="4" t="s">
        <v>25</v>
      </c>
      <c r="F155" s="4" t="s">
        <v>55</v>
      </c>
      <c r="G155" s="4" t="s">
        <v>25</v>
      </c>
      <c r="H155" s="4" t="s">
        <v>37</v>
      </c>
      <c r="I155" s="5">
        <v>44652</v>
      </c>
      <c r="J155" s="6">
        <v>0</v>
      </c>
      <c r="K155" s="6">
        <v>0</v>
      </c>
      <c r="L155" s="6">
        <v>54.761000000000003</v>
      </c>
      <c r="M155" s="6">
        <v>23.109141999999999</v>
      </c>
      <c r="N155" s="6">
        <v>0</v>
      </c>
      <c r="O155" s="6">
        <v>0</v>
      </c>
      <c r="P155" s="6">
        <v>0</v>
      </c>
      <c r="Q155" s="4" t="s">
        <v>54</v>
      </c>
      <c r="R155" s="4">
        <v>0</v>
      </c>
      <c r="S155" s="4">
        <v>0</v>
      </c>
      <c r="T155" s="4">
        <v>12</v>
      </c>
      <c r="U155" s="4">
        <v>0</v>
      </c>
      <c r="V155" s="6">
        <f>IF(ISERROR(VLOOKUP($S$155,'TAR FIN'!$A$1:$O$93,15,0)),0,VLOOKUP($S$155,'TAR FIN'!$A$1:$O$93,15,0))</f>
        <v>0</v>
      </c>
      <c r="W155" s="6">
        <f>IF(ISERROR(VLOOKUP($T$155,'TAR FIN'!$A$1:$O$93,15,0)),0,VLOOKUP($T$155,'TAR FIN'!$A$1:$O$93,15,0))</f>
        <v>1124.7</v>
      </c>
      <c r="X155" s="6">
        <f>IF(ISERROR(VLOOKUP($U$155,'TAR FIN'!$A$1:$O$93,15,0)),0,VLOOKUP($U$155,'TAR FIN'!$A$1:$O$93,15,0))</f>
        <v>0</v>
      </c>
      <c r="Y155" s="6"/>
      <c r="Z155" s="6">
        <f ca="1">('TUSD BE'!$AM$15+'TUSD BF'!$AM$15+'TUSD CVA'!$AM$15)*1</f>
        <v>1302.3659842076513</v>
      </c>
      <c r="AA155" s="6"/>
      <c r="AB155" s="6">
        <f t="shared" si="10"/>
        <v>0</v>
      </c>
      <c r="AC155" s="6">
        <f t="shared" si="11"/>
        <v>35598.844692600003</v>
      </c>
      <c r="AD155" s="6">
        <f t="shared" si="12"/>
        <v>0</v>
      </c>
      <c r="AE155" s="6">
        <f t="shared" ca="1" si="13"/>
        <v>41222.303196170826</v>
      </c>
      <c r="AF155" s="4" t="s">
        <v>636</v>
      </c>
    </row>
    <row r="156" spans="1:32" ht="11.25" customHeight="1" x14ac:dyDescent="0.25">
      <c r="A156" s="4" t="s">
        <v>21</v>
      </c>
      <c r="B156" s="4" t="s">
        <v>35</v>
      </c>
      <c r="C156" s="4" t="s">
        <v>39</v>
      </c>
      <c r="D156" s="4" t="s">
        <v>34</v>
      </c>
      <c r="E156" s="4" t="s">
        <v>25</v>
      </c>
      <c r="F156" s="4" t="s">
        <v>55</v>
      </c>
      <c r="G156" s="4" t="s">
        <v>25</v>
      </c>
      <c r="H156" s="4" t="s">
        <v>37</v>
      </c>
      <c r="I156" s="5">
        <v>44682</v>
      </c>
      <c r="J156" s="6">
        <v>0</v>
      </c>
      <c r="K156" s="6">
        <v>0</v>
      </c>
      <c r="L156" s="6">
        <v>181.01300000000001</v>
      </c>
      <c r="M156" s="6">
        <v>101.548293</v>
      </c>
      <c r="N156" s="6">
        <v>0</v>
      </c>
      <c r="O156" s="6">
        <v>0</v>
      </c>
      <c r="P156" s="6">
        <v>0</v>
      </c>
      <c r="Q156" s="4" t="s">
        <v>54</v>
      </c>
      <c r="R156" s="4">
        <v>0</v>
      </c>
      <c r="S156" s="4">
        <v>0</v>
      </c>
      <c r="T156" s="4">
        <v>12</v>
      </c>
      <c r="U156" s="4">
        <v>0</v>
      </c>
      <c r="V156" s="6">
        <f>IF(ISERROR(VLOOKUP($S$156,'TAR FIN'!$A$1:$O$93,15,0)),0,VLOOKUP($S$156,'TAR FIN'!$A$1:$O$93,15,0))</f>
        <v>0</v>
      </c>
      <c r="W156" s="6">
        <f>IF(ISERROR(VLOOKUP($T$156,'TAR FIN'!$A$1:$O$93,15,0)),0,VLOOKUP($T$156,'TAR FIN'!$A$1:$O$93,15,0))</f>
        <v>1124.7</v>
      </c>
      <c r="X156" s="6">
        <f>IF(ISERROR(VLOOKUP($U$156,'TAR FIN'!$A$1:$O$93,15,0)),0,VLOOKUP($U$156,'TAR FIN'!$A$1:$O$93,15,0))</f>
        <v>0</v>
      </c>
      <c r="Y156" s="6"/>
      <c r="Z156" s="6">
        <f ca="1">('TUSD BE'!$AM$15+'TUSD BF'!$AM$15+'TUSD CVA'!$AM$15)*1</f>
        <v>1302.3659842076513</v>
      </c>
      <c r="AA156" s="6"/>
      <c r="AB156" s="6">
        <f t="shared" si="10"/>
        <v>0</v>
      </c>
      <c r="AC156" s="6">
        <f t="shared" si="11"/>
        <v>89373.955962900014</v>
      </c>
      <c r="AD156" s="6">
        <f t="shared" si="12"/>
        <v>0</v>
      </c>
      <c r="AE156" s="6">
        <f t="shared" ca="1" si="13"/>
        <v>103492.13134182764</v>
      </c>
      <c r="AF156" s="4" t="s">
        <v>636</v>
      </c>
    </row>
    <row r="157" spans="1:32" ht="11.25" customHeight="1" x14ac:dyDescent="0.25">
      <c r="A157" s="4" t="s">
        <v>21</v>
      </c>
      <c r="B157" s="4" t="s">
        <v>35</v>
      </c>
      <c r="C157" s="4" t="s">
        <v>39</v>
      </c>
      <c r="D157" s="4" t="s">
        <v>34</v>
      </c>
      <c r="E157" s="4" t="s">
        <v>25</v>
      </c>
      <c r="F157" s="4" t="s">
        <v>55</v>
      </c>
      <c r="G157" s="4" t="s">
        <v>25</v>
      </c>
      <c r="H157" s="4" t="s">
        <v>37</v>
      </c>
      <c r="I157" s="5">
        <v>44713</v>
      </c>
      <c r="J157" s="6">
        <v>0</v>
      </c>
      <c r="K157" s="6">
        <v>0</v>
      </c>
      <c r="L157" s="6">
        <v>229.89099999999999</v>
      </c>
      <c r="M157" s="6">
        <v>128.279178</v>
      </c>
      <c r="N157" s="6">
        <v>0</v>
      </c>
      <c r="O157" s="6">
        <v>0</v>
      </c>
      <c r="P157" s="6">
        <v>0</v>
      </c>
      <c r="Q157" s="4" t="s">
        <v>54</v>
      </c>
      <c r="R157" s="4">
        <v>0</v>
      </c>
      <c r="S157" s="4">
        <v>0</v>
      </c>
      <c r="T157" s="4">
        <v>12</v>
      </c>
      <c r="U157" s="4">
        <v>0</v>
      </c>
      <c r="V157" s="6">
        <f>IF(ISERROR(VLOOKUP($S$157,'TAR FIN'!$A$1:$O$93,15,0)),0,VLOOKUP($S$157,'TAR FIN'!$A$1:$O$93,15,0))</f>
        <v>0</v>
      </c>
      <c r="W157" s="6">
        <f>IF(ISERROR(VLOOKUP($T$157,'TAR FIN'!$A$1:$O$93,15,0)),0,VLOOKUP($T$157,'TAR FIN'!$A$1:$O$93,15,0))</f>
        <v>1124.7</v>
      </c>
      <c r="X157" s="6">
        <f>IF(ISERROR(VLOOKUP($U$157,'TAR FIN'!$A$1:$O$93,15,0)),0,VLOOKUP($U$157,'TAR FIN'!$A$1:$O$93,15,0))</f>
        <v>0</v>
      </c>
      <c r="Y157" s="6"/>
      <c r="Z157" s="6">
        <f ca="1">('TUSD BE'!$AM$15+'TUSD BF'!$AM$15+'TUSD CVA'!$AM$15)*1</f>
        <v>1302.3659842076513</v>
      </c>
      <c r="AA157" s="6"/>
      <c r="AB157" s="6">
        <f t="shared" si="10"/>
        <v>0</v>
      </c>
      <c r="AC157" s="6">
        <f t="shared" si="11"/>
        <v>114282.8162034</v>
      </c>
      <c r="AD157" s="6">
        <f t="shared" si="12"/>
        <v>0</v>
      </c>
      <c r="AE157" s="6">
        <f t="shared" ca="1" si="13"/>
        <v>132335.78056616266</v>
      </c>
      <c r="AF157" s="4" t="s">
        <v>636</v>
      </c>
    </row>
    <row r="158" spans="1:32" ht="11.25" customHeight="1" x14ac:dyDescent="0.25">
      <c r="A158" s="4" t="s">
        <v>21</v>
      </c>
      <c r="B158" s="4" t="s">
        <v>35</v>
      </c>
      <c r="C158" s="4" t="s">
        <v>39</v>
      </c>
      <c r="D158" s="4" t="s">
        <v>42</v>
      </c>
      <c r="E158" s="4" t="s">
        <v>50</v>
      </c>
      <c r="F158" s="4" t="s">
        <v>51</v>
      </c>
      <c r="G158" s="4" t="s">
        <v>25</v>
      </c>
      <c r="H158" s="4" t="s">
        <v>38</v>
      </c>
      <c r="I158" s="5">
        <v>44378</v>
      </c>
      <c r="J158" s="6">
        <v>0</v>
      </c>
      <c r="K158" s="75">
        <v>0</v>
      </c>
      <c r="L158" s="6">
        <v>123.249</v>
      </c>
      <c r="M158" s="75">
        <v>123.249</v>
      </c>
      <c r="N158" s="6">
        <v>123.249</v>
      </c>
      <c r="O158" s="75">
        <v>123.249</v>
      </c>
      <c r="P158" s="6">
        <v>0</v>
      </c>
      <c r="Q158" s="4" t="s">
        <v>26</v>
      </c>
      <c r="R158" s="4">
        <v>0</v>
      </c>
      <c r="S158" s="4">
        <v>0</v>
      </c>
      <c r="T158" s="4">
        <v>25</v>
      </c>
      <c r="U158" s="4">
        <v>59</v>
      </c>
      <c r="V158" s="75">
        <f>IF(ISERROR(VLOOKUP($S$158,'TAR FIN'!$A$1:$O$93,15,0)),0,VLOOKUP($S$158,'TAR FIN'!$A$1:$O$93,15,0))</f>
        <v>0</v>
      </c>
      <c r="W158" s="75">
        <f>IF(ISERROR(VLOOKUP($T$158,'TAR FIN'!$A$1:$O$93,15,0)),0,VLOOKUP($T$158,'TAR FIN'!$A$1:$O$93,15,0))*(1-0.04)</f>
        <v>66.710399999999993</v>
      </c>
      <c r="X158" s="75">
        <f>IF(ISERROR(VLOOKUP($U$158,'TAR FIN'!$A$1:$O$93,15,0)),0,VLOOKUP($U$158,'TAR FIN'!$A$1:$O$93,15,0))*(1-0.04)</f>
        <v>177.77279999999999</v>
      </c>
      <c r="Y158" s="75"/>
      <c r="Z158" s="75">
        <f ca="1">('TUSD BE'!$AM$16+'TUSD BF'!$AM$16+'TUSD CVA'!$AM$16)*1*(1-0.02)</f>
        <v>90.654697600755071</v>
      </c>
      <c r="AA158" s="75">
        <f>('TE BE'!$AB$8+'TE BF'!$AB$8+'TE CVA'!$AB$8)*1*(1-0.02)</f>
        <v>194.21830884065065</v>
      </c>
      <c r="AB158" s="75">
        <f>(SUBSIDIO!$J$158*SUBSIDIO!$V$158)*(0.04)/(1-0.04)</f>
        <v>0</v>
      </c>
      <c r="AC158" s="75">
        <f>((SUBSIDIO!$L$158*SUBSIDIO!$W$158)+(SUBSIDIO!$N$158*SUBSIDIO!$X$158))*(0.04)/(1-0.04)</f>
        <v>1255.5129132</v>
      </c>
      <c r="AD158" s="75">
        <f>(SUBSIDIO!$J$158*SUBSIDIO!$Y$158)*(0.02)/(1-0.02)</f>
        <v>0</v>
      </c>
      <c r="AE158" s="75">
        <f ca="1">((SUBSIDIO!$L$158*SUBSIDIO!$Z$158)+(SUBSIDIO!$N$158*SUBSIDIO!$AA$158))*(0.02)/(1-0.02)</f>
        <v>716.53700348769007</v>
      </c>
      <c r="AF158" s="4" t="s">
        <v>638</v>
      </c>
    </row>
    <row r="159" spans="1:32" ht="11.25" customHeight="1" x14ac:dyDescent="0.25">
      <c r="A159" s="4" t="s">
        <v>28</v>
      </c>
      <c r="B159" s="4" t="s">
        <v>35</v>
      </c>
      <c r="C159" s="4" t="s">
        <v>39</v>
      </c>
      <c r="D159" s="4" t="s">
        <v>42</v>
      </c>
      <c r="E159" s="4" t="s">
        <v>50</v>
      </c>
      <c r="F159" s="4" t="s">
        <v>51</v>
      </c>
      <c r="G159" s="4" t="s">
        <v>25</v>
      </c>
      <c r="H159" s="4" t="s">
        <v>38</v>
      </c>
      <c r="I159" s="5">
        <v>44378</v>
      </c>
      <c r="J159" s="6">
        <v>0</v>
      </c>
      <c r="K159" s="75">
        <v>0</v>
      </c>
      <c r="L159" s="6">
        <v>0.23699999999999999</v>
      </c>
      <c r="M159" s="75">
        <v>0.23699999999999999</v>
      </c>
      <c r="N159" s="6">
        <v>0.23699999999999999</v>
      </c>
      <c r="O159" s="75">
        <v>0.23699999999999999</v>
      </c>
      <c r="P159" s="6">
        <v>0</v>
      </c>
      <c r="Q159" s="4" t="s">
        <v>26</v>
      </c>
      <c r="R159" s="4">
        <v>0</v>
      </c>
      <c r="S159" s="4">
        <v>0</v>
      </c>
      <c r="T159" s="4">
        <v>25</v>
      </c>
      <c r="U159" s="4">
        <v>59</v>
      </c>
      <c r="V159" s="75">
        <f>IF(ISERROR(VLOOKUP($S$159,'TAR FIN'!$A$1:$O$93,15,0)),0,VLOOKUP($S$159,'TAR FIN'!$A$1:$O$93,15,0))</f>
        <v>0</v>
      </c>
      <c r="W159" s="75">
        <f>IF(ISERROR(VLOOKUP($T$159,'TAR FIN'!$A$1:$O$93,15,0)),0,VLOOKUP($T$159,'TAR FIN'!$A$1:$O$93,15,0))*(1-0.04)</f>
        <v>66.710399999999993</v>
      </c>
      <c r="X159" s="75">
        <f>IF(ISERROR(VLOOKUP($U$159,'TAR FIN'!$A$1:$O$93,15,0)),0,VLOOKUP($U$159,'TAR FIN'!$A$1:$O$93,15,0))*(1-0.04)</f>
        <v>177.77279999999999</v>
      </c>
      <c r="Y159" s="75"/>
      <c r="Z159" s="75">
        <f ca="1">('TUSD BE'!$AM$16+'TUSD BF'!$AM$16+'TUSD CVA'!$AM$16)*1*(1-0.02)</f>
        <v>90.654697600755071</v>
      </c>
      <c r="AA159" s="75">
        <f>('TE BE'!$AB$8+'TE BF'!$AB$8+'TE CVA'!$AB$8)*1*(1-0.02)</f>
        <v>194.21830884065065</v>
      </c>
      <c r="AB159" s="75">
        <f>(SUBSIDIO!$J$159*SUBSIDIO!$V$159)*(0.04)/(1-0.04)</f>
        <v>0</v>
      </c>
      <c r="AC159" s="75">
        <f>((SUBSIDIO!$L$159*SUBSIDIO!$W$159)+(SUBSIDIO!$N$159*SUBSIDIO!$X$159))*(0.04)/(1-0.04)</f>
        <v>2.4142715999999997</v>
      </c>
      <c r="AD159" s="75">
        <f>(SUBSIDIO!$J$159*SUBSIDIO!$Y$159)*(0.02)/(1-0.02)</f>
        <v>0</v>
      </c>
      <c r="AE159" s="75">
        <f ca="1">((SUBSIDIO!$L$159*SUBSIDIO!$Z$159)+(SUBSIDIO!$N$159*SUBSIDIO!$AA$159))*(0.02)/(1-0.02)</f>
        <v>1.37785515360435</v>
      </c>
      <c r="AF159" s="4" t="s">
        <v>638</v>
      </c>
    </row>
    <row r="160" spans="1:32" ht="11.25" customHeight="1" x14ac:dyDescent="0.25">
      <c r="A160" s="4" t="s">
        <v>21</v>
      </c>
      <c r="B160" s="4" t="s">
        <v>35</v>
      </c>
      <c r="C160" s="4" t="s">
        <v>39</v>
      </c>
      <c r="D160" s="4" t="s">
        <v>42</v>
      </c>
      <c r="E160" s="4" t="s">
        <v>50</v>
      </c>
      <c r="F160" s="4" t="s">
        <v>51</v>
      </c>
      <c r="G160" s="4" t="s">
        <v>25</v>
      </c>
      <c r="H160" s="4" t="s">
        <v>38</v>
      </c>
      <c r="I160" s="5">
        <v>44409</v>
      </c>
      <c r="J160" s="6">
        <v>0</v>
      </c>
      <c r="K160" s="75">
        <v>0</v>
      </c>
      <c r="L160" s="6">
        <v>209.07300000000001</v>
      </c>
      <c r="M160" s="75">
        <v>209.07300000000001</v>
      </c>
      <c r="N160" s="6">
        <v>209.07300000000001</v>
      </c>
      <c r="O160" s="75">
        <v>209.07300000000001</v>
      </c>
      <c r="P160" s="6">
        <v>0</v>
      </c>
      <c r="Q160" s="4" t="s">
        <v>26</v>
      </c>
      <c r="R160" s="4">
        <v>0</v>
      </c>
      <c r="S160" s="4">
        <v>0</v>
      </c>
      <c r="T160" s="4">
        <v>25</v>
      </c>
      <c r="U160" s="4">
        <v>59</v>
      </c>
      <c r="V160" s="75">
        <f>IF(ISERROR(VLOOKUP($S$160,'TAR FIN'!$A$1:$O$93,15,0)),0,VLOOKUP($S$160,'TAR FIN'!$A$1:$O$93,15,0))</f>
        <v>0</v>
      </c>
      <c r="W160" s="75">
        <f>IF(ISERROR(VLOOKUP($T$160,'TAR FIN'!$A$1:$O$93,15,0)),0,VLOOKUP($T$160,'TAR FIN'!$A$1:$O$93,15,0))*(1-0.04)</f>
        <v>66.710399999999993</v>
      </c>
      <c r="X160" s="75">
        <f>IF(ISERROR(VLOOKUP($U$160,'TAR FIN'!$A$1:$O$93,15,0)),0,VLOOKUP($U$160,'TAR FIN'!$A$1:$O$93,15,0))*(1-0.04)</f>
        <v>177.77279999999999</v>
      </c>
      <c r="Y160" s="75"/>
      <c r="Z160" s="75">
        <f ca="1">('TUSD BE'!$AM$16+'TUSD BF'!$AM$16+'TUSD CVA'!$AM$16)*1*(1-0.02)</f>
        <v>90.654697600755071</v>
      </c>
      <c r="AA160" s="75">
        <f>('TE BE'!$AB$8+'TE BF'!$AB$8+'TE CVA'!$AB$8)*1*(1-0.02)</f>
        <v>194.21830884065065</v>
      </c>
      <c r="AB160" s="75">
        <f>(SUBSIDIO!$J$160*SUBSIDIO!$V$160)*(0.04)/(1-0.04)</f>
        <v>0</v>
      </c>
      <c r="AC160" s="75">
        <f>((SUBSIDIO!$L$160*SUBSIDIO!$W$160)+(SUBSIDIO!$N$160*SUBSIDIO!$X$160))*(0.04)/(1-0.04)</f>
        <v>2129.7848364000001</v>
      </c>
      <c r="AD160" s="75">
        <f>(SUBSIDIO!$J$160*SUBSIDIO!$Y$160)*(0.02)/(1-0.02)</f>
        <v>0</v>
      </c>
      <c r="AE160" s="75">
        <f ca="1">((SUBSIDIO!$L$160*SUBSIDIO!$Z$160)+(SUBSIDIO!$N$160*SUBSIDIO!$AA$160))*(0.02)/(1-0.02)</f>
        <v>1215.4949811372251</v>
      </c>
      <c r="AF160" s="4" t="s">
        <v>638</v>
      </c>
    </row>
    <row r="161" spans="1:32" ht="11.25" customHeight="1" x14ac:dyDescent="0.25">
      <c r="A161" s="4" t="s">
        <v>28</v>
      </c>
      <c r="B161" s="4" t="s">
        <v>35</v>
      </c>
      <c r="C161" s="4" t="s">
        <v>39</v>
      </c>
      <c r="D161" s="4" t="s">
        <v>42</v>
      </c>
      <c r="E161" s="4" t="s">
        <v>50</v>
      </c>
      <c r="F161" s="4" t="s">
        <v>51</v>
      </c>
      <c r="G161" s="4" t="s">
        <v>25</v>
      </c>
      <c r="H161" s="4" t="s">
        <v>38</v>
      </c>
      <c r="I161" s="5">
        <v>44409</v>
      </c>
      <c r="J161" s="6">
        <v>0</v>
      </c>
      <c r="K161" s="75">
        <v>0</v>
      </c>
      <c r="L161" s="6">
        <v>8.3350000000000009</v>
      </c>
      <c r="M161" s="75">
        <v>8.3350000000000009</v>
      </c>
      <c r="N161" s="6">
        <v>8.3350000000000009</v>
      </c>
      <c r="O161" s="75">
        <v>8.3350000000000009</v>
      </c>
      <c r="P161" s="6">
        <v>0</v>
      </c>
      <c r="Q161" s="4" t="s">
        <v>26</v>
      </c>
      <c r="R161" s="4">
        <v>0</v>
      </c>
      <c r="S161" s="4">
        <v>0</v>
      </c>
      <c r="T161" s="4">
        <v>25</v>
      </c>
      <c r="U161" s="4">
        <v>59</v>
      </c>
      <c r="V161" s="75">
        <f>IF(ISERROR(VLOOKUP($S$161,'TAR FIN'!$A$1:$O$93,15,0)),0,VLOOKUP($S$161,'TAR FIN'!$A$1:$O$93,15,0))</f>
        <v>0</v>
      </c>
      <c r="W161" s="75">
        <f>IF(ISERROR(VLOOKUP($T$161,'TAR FIN'!$A$1:$O$93,15,0)),0,VLOOKUP($T$161,'TAR FIN'!$A$1:$O$93,15,0))*(1-0.04)</f>
        <v>66.710399999999993</v>
      </c>
      <c r="X161" s="75">
        <f>IF(ISERROR(VLOOKUP($U$161,'TAR FIN'!$A$1:$O$93,15,0)),0,VLOOKUP($U$161,'TAR FIN'!$A$1:$O$93,15,0))*(1-0.04)</f>
        <v>177.77279999999999</v>
      </c>
      <c r="Y161" s="75"/>
      <c r="Z161" s="75">
        <f ca="1">('TUSD BE'!$AM$16+'TUSD BF'!$AM$16+'TUSD CVA'!$AM$16)*1*(1-0.02)</f>
        <v>90.654697600755071</v>
      </c>
      <c r="AA161" s="75">
        <f>('TE BE'!$AB$8+'TE BF'!$AB$8+'TE CVA'!$AB$8)*1*(1-0.02)</f>
        <v>194.21830884065065</v>
      </c>
      <c r="AB161" s="75">
        <f>(SUBSIDIO!$J$161*SUBSIDIO!$V$161)*(0.04)/(1-0.04)</f>
        <v>0</v>
      </c>
      <c r="AC161" s="75">
        <f>((SUBSIDIO!$L$161*SUBSIDIO!$W$161)+(SUBSIDIO!$N$161*SUBSIDIO!$X$161))*(0.04)/(1-0.04)</f>
        <v>84.906978000000009</v>
      </c>
      <c r="AD161" s="75">
        <f>(SUBSIDIO!$J$161*SUBSIDIO!$Y$161)*(0.02)/(1-0.02)</f>
        <v>0</v>
      </c>
      <c r="AE161" s="75">
        <f ca="1">((SUBSIDIO!$L$161*SUBSIDIO!$Z$161)+(SUBSIDIO!$N$161*SUBSIDIO!$AA$161))*(0.02)/(1-0.02)</f>
        <v>48.457479769165658</v>
      </c>
      <c r="AF161" s="4" t="s">
        <v>638</v>
      </c>
    </row>
    <row r="162" spans="1:32" ht="11.25" customHeight="1" x14ac:dyDescent="0.25">
      <c r="A162" s="4" t="s">
        <v>21</v>
      </c>
      <c r="B162" s="4" t="s">
        <v>35</v>
      </c>
      <c r="C162" s="4" t="s">
        <v>39</v>
      </c>
      <c r="D162" s="4" t="s">
        <v>42</v>
      </c>
      <c r="E162" s="4" t="s">
        <v>50</v>
      </c>
      <c r="F162" s="4" t="s">
        <v>51</v>
      </c>
      <c r="G162" s="4" t="s">
        <v>25</v>
      </c>
      <c r="H162" s="4" t="s">
        <v>38</v>
      </c>
      <c r="I162" s="5">
        <v>44440</v>
      </c>
      <c r="J162" s="6">
        <v>0</v>
      </c>
      <c r="K162" s="75">
        <v>0</v>
      </c>
      <c r="L162" s="6">
        <v>615.45600000000002</v>
      </c>
      <c r="M162" s="75">
        <v>615.45600000000002</v>
      </c>
      <c r="N162" s="6">
        <v>615.45600000000002</v>
      </c>
      <c r="O162" s="75">
        <v>615.45600000000002</v>
      </c>
      <c r="P162" s="6">
        <v>0</v>
      </c>
      <c r="Q162" s="4" t="s">
        <v>26</v>
      </c>
      <c r="R162" s="4">
        <v>0</v>
      </c>
      <c r="S162" s="4">
        <v>0</v>
      </c>
      <c r="T162" s="4">
        <v>25</v>
      </c>
      <c r="U162" s="4">
        <v>59</v>
      </c>
      <c r="V162" s="75">
        <f>IF(ISERROR(VLOOKUP($S$162,'TAR FIN'!$A$1:$O$93,15,0)),0,VLOOKUP($S$162,'TAR FIN'!$A$1:$O$93,15,0))</f>
        <v>0</v>
      </c>
      <c r="W162" s="75">
        <f>IF(ISERROR(VLOOKUP($T$162,'TAR FIN'!$A$1:$O$93,15,0)),0,VLOOKUP($T$162,'TAR FIN'!$A$1:$O$93,15,0))*(1-0.04)</f>
        <v>66.710399999999993</v>
      </c>
      <c r="X162" s="75">
        <f>IF(ISERROR(VLOOKUP($U$162,'TAR FIN'!$A$1:$O$93,15,0)),0,VLOOKUP($U$162,'TAR FIN'!$A$1:$O$93,15,0))*(1-0.04)</f>
        <v>177.77279999999999</v>
      </c>
      <c r="Y162" s="75"/>
      <c r="Z162" s="75">
        <f ca="1">('TUSD BE'!$AM$16+'TUSD BF'!$AM$16+'TUSD CVA'!$AM$16)*1*(1-0.02)</f>
        <v>90.654697600755071</v>
      </c>
      <c r="AA162" s="75">
        <f>('TE BE'!$AB$8+'TE BF'!$AB$8+'TE CVA'!$AB$8)*1*(1-0.02)</f>
        <v>194.21830884065065</v>
      </c>
      <c r="AB162" s="75">
        <f>(SUBSIDIO!$J$162*SUBSIDIO!$V$162)*(0.04)/(1-0.04)</f>
        <v>0</v>
      </c>
      <c r="AC162" s="75">
        <f>((SUBSIDIO!$L$162*SUBSIDIO!$W$162)+(SUBSIDIO!$N$162*SUBSIDIO!$X$162))*(0.04)/(1-0.04)</f>
        <v>6269.5271808000007</v>
      </c>
      <c r="AD162" s="75">
        <f>(SUBSIDIO!$J$162*SUBSIDIO!$Y$162)*(0.02)/(1-0.02)</f>
        <v>0</v>
      </c>
      <c r="AE162" s="75">
        <f ca="1">((SUBSIDIO!$L$162*SUBSIDIO!$Z$162)+(SUBSIDIO!$N$162*SUBSIDIO!$AA$162))*(0.02)/(1-0.02)</f>
        <v>3578.0979806612613</v>
      </c>
      <c r="AF162" s="4" t="s">
        <v>638</v>
      </c>
    </row>
    <row r="163" spans="1:32" ht="11.25" customHeight="1" x14ac:dyDescent="0.25">
      <c r="A163" s="4" t="s">
        <v>28</v>
      </c>
      <c r="B163" s="4" t="s">
        <v>35</v>
      </c>
      <c r="C163" s="4" t="s">
        <v>39</v>
      </c>
      <c r="D163" s="4" t="s">
        <v>42</v>
      </c>
      <c r="E163" s="4" t="s">
        <v>50</v>
      </c>
      <c r="F163" s="4" t="s">
        <v>51</v>
      </c>
      <c r="G163" s="4" t="s">
        <v>25</v>
      </c>
      <c r="H163" s="4" t="s">
        <v>38</v>
      </c>
      <c r="I163" s="5">
        <v>44440</v>
      </c>
      <c r="J163" s="6">
        <v>0</v>
      </c>
      <c r="K163" s="75">
        <v>0</v>
      </c>
      <c r="L163" s="6">
        <v>11.565</v>
      </c>
      <c r="M163" s="75">
        <v>11.565</v>
      </c>
      <c r="N163" s="6">
        <v>11.565</v>
      </c>
      <c r="O163" s="75">
        <v>11.565</v>
      </c>
      <c r="P163" s="6">
        <v>0</v>
      </c>
      <c r="Q163" s="4" t="s">
        <v>26</v>
      </c>
      <c r="R163" s="4">
        <v>0</v>
      </c>
      <c r="S163" s="4">
        <v>0</v>
      </c>
      <c r="T163" s="4">
        <v>25</v>
      </c>
      <c r="U163" s="4">
        <v>59</v>
      </c>
      <c r="V163" s="75">
        <f>IF(ISERROR(VLOOKUP($S$163,'TAR FIN'!$A$1:$O$93,15,0)),0,VLOOKUP($S$163,'TAR FIN'!$A$1:$O$93,15,0))</f>
        <v>0</v>
      </c>
      <c r="W163" s="75">
        <f>IF(ISERROR(VLOOKUP($T$163,'TAR FIN'!$A$1:$O$93,15,0)),0,VLOOKUP($T$163,'TAR FIN'!$A$1:$O$93,15,0))*(1-0.04)</f>
        <v>66.710399999999993</v>
      </c>
      <c r="X163" s="75">
        <f>IF(ISERROR(VLOOKUP($U$163,'TAR FIN'!$A$1:$O$93,15,0)),0,VLOOKUP($U$163,'TAR FIN'!$A$1:$O$93,15,0))*(1-0.04)</f>
        <v>177.77279999999999</v>
      </c>
      <c r="Y163" s="75"/>
      <c r="Z163" s="75">
        <f ca="1">('TUSD BE'!$AM$16+'TUSD BF'!$AM$16+'TUSD CVA'!$AM$16)*1*(1-0.02)</f>
        <v>90.654697600755071</v>
      </c>
      <c r="AA163" s="75">
        <f>('TE BE'!$AB$8+'TE BF'!$AB$8+'TE CVA'!$AB$8)*1*(1-0.02)</f>
        <v>194.21830884065065</v>
      </c>
      <c r="AB163" s="75">
        <f>(SUBSIDIO!$J$163*SUBSIDIO!$V$163)*(0.04)/(1-0.04)</f>
        <v>0</v>
      </c>
      <c r="AC163" s="75">
        <f>((SUBSIDIO!$L$163*SUBSIDIO!$W$163)+(SUBSIDIO!$N$163*SUBSIDIO!$X$163))*(0.04)/(1-0.04)</f>
        <v>117.81034199999999</v>
      </c>
      <c r="AD163" s="75">
        <f>(SUBSIDIO!$J$163*SUBSIDIO!$Y$163)*(0.02)/(1-0.02)</f>
        <v>0</v>
      </c>
      <c r="AE163" s="75">
        <f ca="1">((SUBSIDIO!$L$163*SUBSIDIO!$Z$163)+(SUBSIDIO!$N$163*SUBSIDIO!$AA$163))*(0.02)/(1-0.02)</f>
        <v>67.235843254997093</v>
      </c>
      <c r="AF163" s="4" t="s">
        <v>638</v>
      </c>
    </row>
    <row r="164" spans="1:32" ht="11.25" customHeight="1" x14ac:dyDescent="0.25">
      <c r="A164" s="4" t="s">
        <v>21</v>
      </c>
      <c r="B164" s="4" t="s">
        <v>35</v>
      </c>
      <c r="C164" s="4" t="s">
        <v>39</v>
      </c>
      <c r="D164" s="4" t="s">
        <v>42</v>
      </c>
      <c r="E164" s="4" t="s">
        <v>50</v>
      </c>
      <c r="F164" s="4" t="s">
        <v>51</v>
      </c>
      <c r="G164" s="4" t="s">
        <v>25</v>
      </c>
      <c r="H164" s="4" t="s">
        <v>38</v>
      </c>
      <c r="I164" s="5">
        <v>44470</v>
      </c>
      <c r="J164" s="6">
        <v>0</v>
      </c>
      <c r="K164" s="75">
        <v>0</v>
      </c>
      <c r="L164" s="6">
        <v>315.94</v>
      </c>
      <c r="M164" s="75">
        <v>315.94</v>
      </c>
      <c r="N164" s="6">
        <v>315.94</v>
      </c>
      <c r="O164" s="75">
        <v>315.94</v>
      </c>
      <c r="P164" s="6">
        <v>0</v>
      </c>
      <c r="Q164" s="4" t="s">
        <v>26</v>
      </c>
      <c r="R164" s="4">
        <v>0</v>
      </c>
      <c r="S164" s="4">
        <v>0</v>
      </c>
      <c r="T164" s="4">
        <v>25</v>
      </c>
      <c r="U164" s="4">
        <v>59</v>
      </c>
      <c r="V164" s="75">
        <f>IF(ISERROR(VLOOKUP($S$164,'TAR FIN'!$A$1:$O$93,15,0)),0,VLOOKUP($S$164,'TAR FIN'!$A$1:$O$93,15,0))</f>
        <v>0</v>
      </c>
      <c r="W164" s="75">
        <f>IF(ISERROR(VLOOKUP($T$164,'TAR FIN'!$A$1:$O$93,15,0)),0,VLOOKUP($T$164,'TAR FIN'!$A$1:$O$93,15,0))*(1-0.04)</f>
        <v>66.710399999999993</v>
      </c>
      <c r="X164" s="75">
        <f>IF(ISERROR(VLOOKUP($U$164,'TAR FIN'!$A$1:$O$93,15,0)),0,VLOOKUP($U$164,'TAR FIN'!$A$1:$O$93,15,0))*(1-0.04)</f>
        <v>177.77279999999999</v>
      </c>
      <c r="Y164" s="75"/>
      <c r="Z164" s="75">
        <f ca="1">('TUSD BE'!$AM$16+'TUSD BF'!$AM$16+'TUSD CVA'!$AM$16)*1*(1-0.02)</f>
        <v>90.654697600755071</v>
      </c>
      <c r="AA164" s="75">
        <f>('TE BE'!$AB$8+'TE BF'!$AB$8+'TE CVA'!$AB$8)*1*(1-0.02)</f>
        <v>194.21830884065065</v>
      </c>
      <c r="AB164" s="75">
        <f>(SUBSIDIO!$J$164*SUBSIDIO!$V$164)*(0.04)/(1-0.04)</f>
        <v>0</v>
      </c>
      <c r="AC164" s="75">
        <f>((SUBSIDIO!$L$164*SUBSIDIO!$W$164)+(SUBSIDIO!$N$164*SUBSIDIO!$X$164))*(0.04)/(1-0.04)</f>
        <v>3218.4175919999998</v>
      </c>
      <c r="AD164" s="75">
        <f>(SUBSIDIO!$J$164*SUBSIDIO!$Y$164)*(0.02)/(1-0.02)</f>
        <v>0</v>
      </c>
      <c r="AE164" s="75">
        <f ca="1">((SUBSIDIO!$L$164*SUBSIDIO!$Z$164)+(SUBSIDIO!$N$164*SUBSIDIO!$AA$164))*(0.02)/(1-0.02)</f>
        <v>1836.7913807162799</v>
      </c>
      <c r="AF164" s="4" t="s">
        <v>638</v>
      </c>
    </row>
    <row r="165" spans="1:32" ht="11.25" customHeight="1" x14ac:dyDescent="0.25">
      <c r="A165" s="4" t="s">
        <v>21</v>
      </c>
      <c r="B165" s="4" t="s">
        <v>35</v>
      </c>
      <c r="C165" s="4" t="s">
        <v>39</v>
      </c>
      <c r="D165" s="4" t="s">
        <v>42</v>
      </c>
      <c r="E165" s="4" t="s">
        <v>50</v>
      </c>
      <c r="F165" s="4" t="s">
        <v>51</v>
      </c>
      <c r="G165" s="4" t="s">
        <v>25</v>
      </c>
      <c r="H165" s="4" t="s">
        <v>38</v>
      </c>
      <c r="I165" s="5">
        <v>44501</v>
      </c>
      <c r="J165" s="6">
        <v>0</v>
      </c>
      <c r="K165" s="75">
        <v>0</v>
      </c>
      <c r="L165" s="6">
        <v>584.85500000000002</v>
      </c>
      <c r="M165" s="75">
        <v>584.85500000000002</v>
      </c>
      <c r="N165" s="6">
        <v>584.85500000000002</v>
      </c>
      <c r="O165" s="75">
        <v>584.85500000000002</v>
      </c>
      <c r="P165" s="6">
        <v>0</v>
      </c>
      <c r="Q165" s="4" t="s">
        <v>26</v>
      </c>
      <c r="R165" s="4">
        <v>0</v>
      </c>
      <c r="S165" s="4">
        <v>0</v>
      </c>
      <c r="T165" s="4">
        <v>25</v>
      </c>
      <c r="U165" s="4">
        <v>59</v>
      </c>
      <c r="V165" s="75">
        <f>IF(ISERROR(VLOOKUP($S$165,'TAR FIN'!$A$1:$O$93,15,0)),0,VLOOKUP($S$165,'TAR FIN'!$A$1:$O$93,15,0))</f>
        <v>0</v>
      </c>
      <c r="W165" s="75">
        <f>IF(ISERROR(VLOOKUP($T$165,'TAR FIN'!$A$1:$O$93,15,0)),0,VLOOKUP($T$165,'TAR FIN'!$A$1:$O$93,15,0))*(1-0.04)</f>
        <v>66.710399999999993</v>
      </c>
      <c r="X165" s="75">
        <f>IF(ISERROR(VLOOKUP($U$165,'TAR FIN'!$A$1:$O$93,15,0)),0,VLOOKUP($U$165,'TAR FIN'!$A$1:$O$93,15,0))*(1-0.04)</f>
        <v>177.77279999999999</v>
      </c>
      <c r="Y165" s="75"/>
      <c r="Z165" s="75">
        <f ca="1">('TUSD BE'!$AM$16+'TUSD BF'!$AM$16+'TUSD CVA'!$AM$16)*1*(1-0.02)</f>
        <v>90.654697600755071</v>
      </c>
      <c r="AA165" s="75">
        <f>('TE BE'!$AB$8+'TE BF'!$AB$8+'TE CVA'!$AB$8)*1*(1-0.02)</f>
        <v>194.21830884065065</v>
      </c>
      <c r="AB165" s="75">
        <f>(SUBSIDIO!$J$165*SUBSIDIO!$V$165)*(0.04)/(1-0.04)</f>
        <v>0</v>
      </c>
      <c r="AC165" s="75">
        <f>((SUBSIDIO!$L$165*SUBSIDIO!$W$165)+(SUBSIDIO!$N$165*SUBSIDIO!$X$165))*(0.04)/(1-0.04)</f>
        <v>5957.8009139999995</v>
      </c>
      <c r="AD165" s="75">
        <f>(SUBSIDIO!$J$165*SUBSIDIO!$Y$165)*(0.02)/(1-0.02)</f>
        <v>0</v>
      </c>
      <c r="AE165" s="75">
        <f ca="1">((SUBSIDIO!$L$165*SUBSIDIO!$Z$165)+(SUBSIDIO!$N$165*SUBSIDIO!$AA$165))*(0.02)/(1-0.02)</f>
        <v>3400.1918812711911</v>
      </c>
      <c r="AF165" s="4" t="s">
        <v>638</v>
      </c>
    </row>
    <row r="166" spans="1:32" ht="11.25" customHeight="1" x14ac:dyDescent="0.25">
      <c r="A166" s="4" t="s">
        <v>27</v>
      </c>
      <c r="B166" s="4" t="s">
        <v>35</v>
      </c>
      <c r="C166" s="4" t="s">
        <v>39</v>
      </c>
      <c r="D166" s="4" t="s">
        <v>42</v>
      </c>
      <c r="E166" s="4" t="s">
        <v>50</v>
      </c>
      <c r="F166" s="4" t="s">
        <v>51</v>
      </c>
      <c r="G166" s="4" t="s">
        <v>25</v>
      </c>
      <c r="H166" s="4" t="s">
        <v>38</v>
      </c>
      <c r="I166" s="5">
        <v>44501</v>
      </c>
      <c r="J166" s="6">
        <v>0</v>
      </c>
      <c r="K166" s="75">
        <v>0</v>
      </c>
      <c r="L166" s="6">
        <v>-0.63300000000000001</v>
      </c>
      <c r="M166" s="75">
        <v>-0.63300000000000001</v>
      </c>
      <c r="N166" s="6">
        <v>-0.63300000000000001</v>
      </c>
      <c r="O166" s="75">
        <v>-0.63300000000000001</v>
      </c>
      <c r="P166" s="6">
        <v>0</v>
      </c>
      <c r="Q166" s="4" t="s">
        <v>26</v>
      </c>
      <c r="R166" s="4">
        <v>0</v>
      </c>
      <c r="S166" s="4">
        <v>0</v>
      </c>
      <c r="T166" s="4">
        <v>25</v>
      </c>
      <c r="U166" s="4">
        <v>59</v>
      </c>
      <c r="V166" s="75">
        <f>IF(ISERROR(VLOOKUP($S$166,'TAR FIN'!$A$1:$O$93,15,0)),0,VLOOKUP($S$166,'TAR FIN'!$A$1:$O$93,15,0))</f>
        <v>0</v>
      </c>
      <c r="W166" s="75">
        <f>IF(ISERROR(VLOOKUP($T$166,'TAR FIN'!$A$1:$O$93,15,0)),0,VLOOKUP($T$166,'TAR FIN'!$A$1:$O$93,15,0))*(1-0.04)</f>
        <v>66.710399999999993</v>
      </c>
      <c r="X166" s="75">
        <f>IF(ISERROR(VLOOKUP($U$166,'TAR FIN'!$A$1:$O$93,15,0)),0,VLOOKUP($U$166,'TAR FIN'!$A$1:$O$93,15,0))*(1-0.04)</f>
        <v>177.77279999999999</v>
      </c>
      <c r="Y166" s="75"/>
      <c r="Z166" s="75">
        <f ca="1">('TUSD BE'!$AM$16+'TUSD BF'!$AM$16+'TUSD CVA'!$AM$16)*1*(1-0.02)</f>
        <v>90.654697600755071</v>
      </c>
      <c r="AA166" s="75">
        <f>('TE BE'!$AB$8+'TE BF'!$AB$8+'TE CVA'!$AB$8)*1*(1-0.02)</f>
        <v>194.21830884065065</v>
      </c>
      <c r="AB166" s="75">
        <f>(SUBSIDIO!$J$166*SUBSIDIO!$V$166)*(0.04)/(1-0.04)</f>
        <v>0</v>
      </c>
      <c r="AC166" s="75">
        <f>((SUBSIDIO!$L$166*SUBSIDIO!$W$166)+(SUBSIDIO!$N$166*SUBSIDIO!$X$166))*(0.04)/(1-0.04)</f>
        <v>-6.4482444000000001</v>
      </c>
      <c r="AD166" s="75">
        <f>(SUBSIDIO!$J$166*SUBSIDIO!$Y$166)*(0.02)/(1-0.02)</f>
        <v>0</v>
      </c>
      <c r="AE166" s="75">
        <f ca="1">((SUBSIDIO!$L$166*SUBSIDIO!$Z$166)+(SUBSIDIO!$N$166*SUBSIDIO!$AA$166))*(0.02)/(1-0.02)</f>
        <v>-3.6800941444369353</v>
      </c>
      <c r="AF166" s="4" t="s">
        <v>638</v>
      </c>
    </row>
    <row r="167" spans="1:32" ht="11.25" customHeight="1" x14ac:dyDescent="0.25">
      <c r="A167" s="4" t="s">
        <v>28</v>
      </c>
      <c r="B167" s="4" t="s">
        <v>35</v>
      </c>
      <c r="C167" s="4" t="s">
        <v>39</v>
      </c>
      <c r="D167" s="4" t="s">
        <v>42</v>
      </c>
      <c r="E167" s="4" t="s">
        <v>50</v>
      </c>
      <c r="F167" s="4" t="s">
        <v>51</v>
      </c>
      <c r="G167" s="4" t="s">
        <v>25</v>
      </c>
      <c r="H167" s="4" t="s">
        <v>38</v>
      </c>
      <c r="I167" s="5">
        <v>44501</v>
      </c>
      <c r="J167" s="6">
        <v>0</v>
      </c>
      <c r="K167" s="75">
        <v>0</v>
      </c>
      <c r="L167" s="6">
        <v>9.1150000000000002</v>
      </c>
      <c r="M167" s="75">
        <v>9.1150000000000002</v>
      </c>
      <c r="N167" s="6">
        <v>9.1150000000000002</v>
      </c>
      <c r="O167" s="75">
        <v>9.1150000000000002</v>
      </c>
      <c r="P167" s="6">
        <v>0</v>
      </c>
      <c r="Q167" s="4" t="s">
        <v>26</v>
      </c>
      <c r="R167" s="4">
        <v>0</v>
      </c>
      <c r="S167" s="4">
        <v>0</v>
      </c>
      <c r="T167" s="4">
        <v>25</v>
      </c>
      <c r="U167" s="4">
        <v>59</v>
      </c>
      <c r="V167" s="75">
        <f>IF(ISERROR(VLOOKUP($S$167,'TAR FIN'!$A$1:$O$93,15,0)),0,VLOOKUP($S$167,'TAR FIN'!$A$1:$O$93,15,0))</f>
        <v>0</v>
      </c>
      <c r="W167" s="75">
        <f>IF(ISERROR(VLOOKUP($T$167,'TAR FIN'!$A$1:$O$93,15,0)),0,VLOOKUP($T$167,'TAR FIN'!$A$1:$O$93,15,0))*(1-0.04)</f>
        <v>66.710399999999993</v>
      </c>
      <c r="X167" s="75">
        <f>IF(ISERROR(VLOOKUP($U$167,'TAR FIN'!$A$1:$O$93,15,0)),0,VLOOKUP($U$167,'TAR FIN'!$A$1:$O$93,15,0))*(1-0.04)</f>
        <v>177.77279999999999</v>
      </c>
      <c r="Y167" s="75"/>
      <c r="Z167" s="75">
        <f ca="1">('TUSD BE'!$AM$16+'TUSD BF'!$AM$16+'TUSD CVA'!$AM$16)*1*(1-0.02)</f>
        <v>90.654697600755071</v>
      </c>
      <c r="AA167" s="75">
        <f>('TE BE'!$AB$8+'TE BF'!$AB$8+'TE CVA'!$AB$8)*1*(1-0.02)</f>
        <v>194.21830884065065</v>
      </c>
      <c r="AB167" s="75">
        <f>(SUBSIDIO!$J$167*SUBSIDIO!$V$167)*(0.04)/(1-0.04)</f>
        <v>0</v>
      </c>
      <c r="AC167" s="75">
        <f>((SUBSIDIO!$L$167*SUBSIDIO!$W$167)+(SUBSIDIO!$N$167*SUBSIDIO!$X$167))*(0.04)/(1-0.04)</f>
        <v>92.852682000000001</v>
      </c>
      <c r="AD167" s="75">
        <f>(SUBSIDIO!$J$167*SUBSIDIO!$Y$167)*(0.02)/(1-0.02)</f>
        <v>0</v>
      </c>
      <c r="AE167" s="75">
        <f ca="1">((SUBSIDIO!$L$167*SUBSIDIO!$Z$167)+(SUBSIDIO!$N$167*SUBSIDIO!$AA$167))*(0.02)/(1-0.02)</f>
        <v>52.992192932926798</v>
      </c>
      <c r="AF167" s="4" t="s">
        <v>638</v>
      </c>
    </row>
    <row r="168" spans="1:32" ht="11.25" customHeight="1" x14ac:dyDescent="0.25">
      <c r="A168" s="4" t="s">
        <v>21</v>
      </c>
      <c r="B168" s="4" t="s">
        <v>35</v>
      </c>
      <c r="C168" s="4" t="s">
        <v>39</v>
      </c>
      <c r="D168" s="4" t="s">
        <v>42</v>
      </c>
      <c r="E168" s="4" t="s">
        <v>50</v>
      </c>
      <c r="F168" s="4" t="s">
        <v>51</v>
      </c>
      <c r="G168" s="4" t="s">
        <v>25</v>
      </c>
      <c r="H168" s="4" t="s">
        <v>38</v>
      </c>
      <c r="I168" s="5">
        <v>44531</v>
      </c>
      <c r="J168" s="6">
        <v>0</v>
      </c>
      <c r="K168" s="75">
        <v>0</v>
      </c>
      <c r="L168" s="6">
        <v>5148.9059999999999</v>
      </c>
      <c r="M168" s="75">
        <v>5148.9059999999999</v>
      </c>
      <c r="N168" s="6">
        <v>5148.9059999999999</v>
      </c>
      <c r="O168" s="75">
        <v>5148.9059999999999</v>
      </c>
      <c r="P168" s="6">
        <v>0</v>
      </c>
      <c r="Q168" s="4" t="s">
        <v>26</v>
      </c>
      <c r="R168" s="4">
        <v>0</v>
      </c>
      <c r="S168" s="4">
        <v>0</v>
      </c>
      <c r="T168" s="4">
        <v>25</v>
      </c>
      <c r="U168" s="4">
        <v>59</v>
      </c>
      <c r="V168" s="75">
        <f>IF(ISERROR(VLOOKUP($S$168,'TAR FIN'!$A$1:$O$93,15,0)),0,VLOOKUP($S$168,'TAR FIN'!$A$1:$O$93,15,0))</f>
        <v>0</v>
      </c>
      <c r="W168" s="75">
        <f>IF(ISERROR(VLOOKUP($T$168,'TAR FIN'!$A$1:$O$93,15,0)),0,VLOOKUP($T$168,'TAR FIN'!$A$1:$O$93,15,0))*(1-0.04)</f>
        <v>66.710399999999993</v>
      </c>
      <c r="X168" s="75">
        <f>IF(ISERROR(VLOOKUP($U$168,'TAR FIN'!$A$1:$O$93,15,0)),0,VLOOKUP($U$168,'TAR FIN'!$A$1:$O$93,15,0))*(1-0.04)</f>
        <v>177.77279999999999</v>
      </c>
      <c r="Y168" s="75"/>
      <c r="Z168" s="75">
        <f ca="1">('TUSD BE'!$AM$16+'TUSD BF'!$AM$16+'TUSD CVA'!$AM$16)*1*(1-0.02)</f>
        <v>90.654697600755071</v>
      </c>
      <c r="AA168" s="75">
        <f>('TE BE'!$AB$8+'TE BF'!$AB$8+'TE CVA'!$AB$8)*1*(1-0.02)</f>
        <v>194.21830884065065</v>
      </c>
      <c r="AB168" s="75">
        <f>(SUBSIDIO!$J$168*SUBSIDIO!$V$168)*(0.04)/(1-0.04)</f>
        <v>0</v>
      </c>
      <c r="AC168" s="75">
        <f>((SUBSIDIO!$L$168*SUBSIDIO!$W$168)+(SUBSIDIO!$N$168*SUBSIDIO!$X$168))*(0.04)/(1-0.04)</f>
        <v>52450.87564079999</v>
      </c>
      <c r="AD168" s="75">
        <f>(SUBSIDIO!$J$168*SUBSIDIO!$Y$168)*(0.02)/(1-0.02)</f>
        <v>0</v>
      </c>
      <c r="AE168" s="75">
        <f ca="1">((SUBSIDIO!$L$168*SUBSIDIO!$Z$168)+(SUBSIDIO!$N$168*SUBSIDIO!$AA$168))*(0.02)/(1-0.02)</f>
        <v>29934.374124575359</v>
      </c>
      <c r="AF168" s="4" t="s">
        <v>638</v>
      </c>
    </row>
    <row r="169" spans="1:32" ht="11.25" customHeight="1" x14ac:dyDescent="0.25">
      <c r="A169" s="4" t="s">
        <v>21</v>
      </c>
      <c r="B169" s="4" t="s">
        <v>35</v>
      </c>
      <c r="C169" s="4" t="s">
        <v>39</v>
      </c>
      <c r="D169" s="4" t="s">
        <v>42</v>
      </c>
      <c r="E169" s="4" t="s">
        <v>50</v>
      </c>
      <c r="F169" s="4" t="s">
        <v>51</v>
      </c>
      <c r="G169" s="4" t="s">
        <v>25</v>
      </c>
      <c r="H169" s="4" t="s">
        <v>38</v>
      </c>
      <c r="I169" s="5">
        <v>44562</v>
      </c>
      <c r="J169" s="6">
        <v>0</v>
      </c>
      <c r="K169" s="75">
        <v>0</v>
      </c>
      <c r="L169" s="6">
        <v>6675.9070000000002</v>
      </c>
      <c r="M169" s="75">
        <v>6675.9070000000002</v>
      </c>
      <c r="N169" s="6">
        <v>6675.9070000000002</v>
      </c>
      <c r="O169" s="75">
        <v>6675.9070000000002</v>
      </c>
      <c r="P169" s="6">
        <v>0</v>
      </c>
      <c r="Q169" s="4" t="s">
        <v>26</v>
      </c>
      <c r="R169" s="4">
        <v>0</v>
      </c>
      <c r="S169" s="4">
        <v>0</v>
      </c>
      <c r="T169" s="4">
        <v>25</v>
      </c>
      <c r="U169" s="4">
        <v>59</v>
      </c>
      <c r="V169" s="75">
        <f>IF(ISERROR(VLOOKUP($S$169,'TAR FIN'!$A$1:$O$93,15,0)),0,VLOOKUP($S$169,'TAR FIN'!$A$1:$O$93,15,0))</f>
        <v>0</v>
      </c>
      <c r="W169" s="75">
        <f>IF(ISERROR(VLOOKUP($T$169,'TAR FIN'!$A$1:$O$93,15,0)),0,VLOOKUP($T$169,'TAR FIN'!$A$1:$O$93,15,0))*(1-0.04)</f>
        <v>66.710399999999993</v>
      </c>
      <c r="X169" s="75">
        <f>IF(ISERROR(VLOOKUP($U$169,'TAR FIN'!$A$1:$O$93,15,0)),0,VLOOKUP($U$169,'TAR FIN'!$A$1:$O$93,15,0))*(1-0.04)</f>
        <v>177.77279999999999</v>
      </c>
      <c r="Y169" s="75"/>
      <c r="Z169" s="75">
        <f ca="1">('TUSD BE'!$AM$16+'TUSD BF'!$AM$16+'TUSD CVA'!$AM$16)*1*(1-0.02)</f>
        <v>90.654697600755071</v>
      </c>
      <c r="AA169" s="75">
        <f>('TE BE'!$AB$8+'TE BF'!$AB$8+'TE CVA'!$AB$8)*1*(1-0.02)</f>
        <v>194.21830884065065</v>
      </c>
      <c r="AB169" s="75">
        <f>(SUBSIDIO!$J$169*SUBSIDIO!$V$169)*(0.04)/(1-0.04)</f>
        <v>0</v>
      </c>
      <c r="AC169" s="75">
        <f>((SUBSIDIO!$L$169*SUBSIDIO!$W$169)+(SUBSIDIO!$N$169*SUBSIDIO!$X$169))*(0.04)/(1-0.04)</f>
        <v>68006.129427599997</v>
      </c>
      <c r="AD169" s="75">
        <f>(SUBSIDIO!$J$169*SUBSIDIO!$Y$169)*(0.02)/(1-0.02)</f>
        <v>0</v>
      </c>
      <c r="AE169" s="75">
        <f ca="1">((SUBSIDIO!$L$169*SUBSIDIO!$Z$169)+(SUBSIDIO!$N$169*SUBSIDIO!$AA$169))*(0.02)/(1-0.02)</f>
        <v>38811.953016596439</v>
      </c>
      <c r="AF169" s="4" t="s">
        <v>638</v>
      </c>
    </row>
    <row r="170" spans="1:32" ht="11.25" customHeight="1" x14ac:dyDescent="0.25">
      <c r="A170" s="4" t="s">
        <v>28</v>
      </c>
      <c r="B170" s="4" t="s">
        <v>35</v>
      </c>
      <c r="C170" s="4" t="s">
        <v>39</v>
      </c>
      <c r="D170" s="4" t="s">
        <v>42</v>
      </c>
      <c r="E170" s="4" t="s">
        <v>50</v>
      </c>
      <c r="F170" s="4" t="s">
        <v>51</v>
      </c>
      <c r="G170" s="4" t="s">
        <v>25</v>
      </c>
      <c r="H170" s="4" t="s">
        <v>38</v>
      </c>
      <c r="I170" s="5">
        <v>44562</v>
      </c>
      <c r="J170" s="6">
        <v>0</v>
      </c>
      <c r="K170" s="75">
        <v>0</v>
      </c>
      <c r="L170" s="6">
        <v>181.376</v>
      </c>
      <c r="M170" s="75">
        <v>181.376</v>
      </c>
      <c r="N170" s="6">
        <v>181.376</v>
      </c>
      <c r="O170" s="75">
        <v>181.376</v>
      </c>
      <c r="P170" s="6">
        <v>0</v>
      </c>
      <c r="Q170" s="4" t="s">
        <v>26</v>
      </c>
      <c r="R170" s="4">
        <v>0</v>
      </c>
      <c r="S170" s="4">
        <v>0</v>
      </c>
      <c r="T170" s="4">
        <v>25</v>
      </c>
      <c r="U170" s="4">
        <v>59</v>
      </c>
      <c r="V170" s="75">
        <f>IF(ISERROR(VLOOKUP($S$170,'TAR FIN'!$A$1:$O$93,15,0)),0,VLOOKUP($S$170,'TAR FIN'!$A$1:$O$93,15,0))</f>
        <v>0</v>
      </c>
      <c r="W170" s="75">
        <f>IF(ISERROR(VLOOKUP($T$170,'TAR FIN'!$A$1:$O$93,15,0)),0,VLOOKUP($T$170,'TAR FIN'!$A$1:$O$93,15,0))*(1-0.04)</f>
        <v>66.710399999999993</v>
      </c>
      <c r="X170" s="75">
        <f>IF(ISERROR(VLOOKUP($U$170,'TAR FIN'!$A$1:$O$93,15,0)),0,VLOOKUP($U$170,'TAR FIN'!$A$1:$O$93,15,0))*(1-0.04)</f>
        <v>177.77279999999999</v>
      </c>
      <c r="Y170" s="75"/>
      <c r="Z170" s="75">
        <f ca="1">('TUSD BE'!$AM$16+'TUSD BF'!$AM$16+'TUSD CVA'!$AM$16)*1*(1-0.02)</f>
        <v>90.654697600755071</v>
      </c>
      <c r="AA170" s="75">
        <f>('TE BE'!$AB$8+'TE BF'!$AB$8+'TE CVA'!$AB$8)*1*(1-0.02)</f>
        <v>194.21830884065065</v>
      </c>
      <c r="AB170" s="75">
        <f>(SUBSIDIO!$J$170*SUBSIDIO!$V$170)*(0.04)/(1-0.04)</f>
        <v>0</v>
      </c>
      <c r="AC170" s="75">
        <f>((SUBSIDIO!$L$170*SUBSIDIO!$W$170)+(SUBSIDIO!$N$170*SUBSIDIO!$X$170))*(0.04)/(1-0.04)</f>
        <v>1847.6410367999999</v>
      </c>
      <c r="AD170" s="75">
        <f>(SUBSIDIO!$J$170*SUBSIDIO!$Y$170)*(0.02)/(1-0.02)</f>
        <v>0</v>
      </c>
      <c r="AE170" s="75">
        <f ca="1">((SUBSIDIO!$L$170*SUBSIDIO!$Z$170)+(SUBSIDIO!$N$170*SUBSIDIO!$AA$170))*(0.02)/(1-0.02)</f>
        <v>1054.4719676799268</v>
      </c>
      <c r="AF170" s="4" t="s">
        <v>638</v>
      </c>
    </row>
    <row r="171" spans="1:32" ht="11.25" customHeight="1" x14ac:dyDescent="0.25">
      <c r="A171" s="4" t="s">
        <v>21</v>
      </c>
      <c r="B171" s="4" t="s">
        <v>35</v>
      </c>
      <c r="C171" s="4" t="s">
        <v>39</v>
      </c>
      <c r="D171" s="4" t="s">
        <v>42</v>
      </c>
      <c r="E171" s="4" t="s">
        <v>50</v>
      </c>
      <c r="F171" s="4" t="s">
        <v>51</v>
      </c>
      <c r="G171" s="4" t="s">
        <v>25</v>
      </c>
      <c r="H171" s="4" t="s">
        <v>38</v>
      </c>
      <c r="I171" s="5">
        <v>44593</v>
      </c>
      <c r="J171" s="6">
        <v>0</v>
      </c>
      <c r="K171" s="75">
        <v>0</v>
      </c>
      <c r="L171" s="6">
        <v>5164.74</v>
      </c>
      <c r="M171" s="75">
        <v>5164.74</v>
      </c>
      <c r="N171" s="6">
        <v>5164.74</v>
      </c>
      <c r="O171" s="75">
        <v>5164.74</v>
      </c>
      <c r="P171" s="6">
        <v>0</v>
      </c>
      <c r="Q171" s="4" t="s">
        <v>26</v>
      </c>
      <c r="R171" s="4">
        <v>0</v>
      </c>
      <c r="S171" s="4">
        <v>0</v>
      </c>
      <c r="T171" s="4">
        <v>25</v>
      </c>
      <c r="U171" s="4">
        <v>59</v>
      </c>
      <c r="V171" s="75">
        <f>IF(ISERROR(VLOOKUP($S$171,'TAR FIN'!$A$1:$O$93,15,0)),0,VLOOKUP($S$171,'TAR FIN'!$A$1:$O$93,15,0))</f>
        <v>0</v>
      </c>
      <c r="W171" s="75">
        <f>IF(ISERROR(VLOOKUP($T$171,'TAR FIN'!$A$1:$O$93,15,0)),0,VLOOKUP($T$171,'TAR FIN'!$A$1:$O$93,15,0))*(1-0.04)</f>
        <v>66.710399999999993</v>
      </c>
      <c r="X171" s="75">
        <f>IF(ISERROR(VLOOKUP($U$171,'TAR FIN'!$A$1:$O$93,15,0)),0,VLOOKUP($U$171,'TAR FIN'!$A$1:$O$93,15,0))*(1-0.04)</f>
        <v>177.77279999999999</v>
      </c>
      <c r="Y171" s="75"/>
      <c r="Z171" s="75">
        <f ca="1">('TUSD BE'!$AM$16+'TUSD BF'!$AM$16+'TUSD CVA'!$AM$16)*1*(1-0.02)</f>
        <v>90.654697600755071</v>
      </c>
      <c r="AA171" s="75">
        <f>('TE BE'!$AB$8+'TE BF'!$AB$8+'TE CVA'!$AB$8)*1*(1-0.02)</f>
        <v>194.21830884065065</v>
      </c>
      <c r="AB171" s="75">
        <f>(SUBSIDIO!$J$171*SUBSIDIO!$V$171)*(0.04)/(1-0.04)</f>
        <v>0</v>
      </c>
      <c r="AC171" s="75">
        <f>((SUBSIDIO!$L$171*SUBSIDIO!$W$171)+(SUBSIDIO!$N$171*SUBSIDIO!$X$171))*(0.04)/(1-0.04)</f>
        <v>52612.173432000003</v>
      </c>
      <c r="AD171" s="75">
        <f>(SUBSIDIO!$J$171*SUBSIDIO!$Y$171)*(0.02)/(1-0.02)</f>
        <v>0</v>
      </c>
      <c r="AE171" s="75">
        <f ca="1">((SUBSIDIO!$L$171*SUBSIDIO!$Z$171)+(SUBSIDIO!$N$171*SUBSIDIO!$AA$171))*(0.02)/(1-0.02)</f>
        <v>30026.428801799713</v>
      </c>
      <c r="AF171" s="4" t="s">
        <v>638</v>
      </c>
    </row>
    <row r="172" spans="1:32" ht="11.25" customHeight="1" x14ac:dyDescent="0.25">
      <c r="A172" s="4" t="s">
        <v>27</v>
      </c>
      <c r="B172" s="4" t="s">
        <v>35</v>
      </c>
      <c r="C172" s="4" t="s">
        <v>39</v>
      </c>
      <c r="D172" s="4" t="s">
        <v>42</v>
      </c>
      <c r="E172" s="4" t="s">
        <v>50</v>
      </c>
      <c r="F172" s="4" t="s">
        <v>51</v>
      </c>
      <c r="G172" s="4" t="s">
        <v>25</v>
      </c>
      <c r="H172" s="4" t="s">
        <v>38</v>
      </c>
      <c r="I172" s="5">
        <v>44593</v>
      </c>
      <c r="J172" s="6">
        <v>0</v>
      </c>
      <c r="K172" s="75">
        <v>0</v>
      </c>
      <c r="L172" s="6">
        <v>-56.470999999999997</v>
      </c>
      <c r="M172" s="75">
        <v>-56.470999999999997</v>
      </c>
      <c r="N172" s="6">
        <v>-56.470999999999997</v>
      </c>
      <c r="O172" s="75">
        <v>-56.470999999999997</v>
      </c>
      <c r="P172" s="6">
        <v>0</v>
      </c>
      <c r="Q172" s="4" t="s">
        <v>26</v>
      </c>
      <c r="R172" s="4">
        <v>0</v>
      </c>
      <c r="S172" s="4">
        <v>0</v>
      </c>
      <c r="T172" s="4">
        <v>25</v>
      </c>
      <c r="U172" s="4">
        <v>59</v>
      </c>
      <c r="V172" s="75">
        <f>IF(ISERROR(VLOOKUP($S$172,'TAR FIN'!$A$1:$O$93,15,0)),0,VLOOKUP($S$172,'TAR FIN'!$A$1:$O$93,15,0))</f>
        <v>0</v>
      </c>
      <c r="W172" s="75">
        <f>IF(ISERROR(VLOOKUP($T$172,'TAR FIN'!$A$1:$O$93,15,0)),0,VLOOKUP($T$172,'TAR FIN'!$A$1:$O$93,15,0))*(1-0.04)</f>
        <v>66.710399999999993</v>
      </c>
      <c r="X172" s="75">
        <f>IF(ISERROR(VLOOKUP($U$172,'TAR FIN'!$A$1:$O$93,15,0)),0,VLOOKUP($U$172,'TAR FIN'!$A$1:$O$93,15,0))*(1-0.04)</f>
        <v>177.77279999999999</v>
      </c>
      <c r="Y172" s="75"/>
      <c r="Z172" s="75">
        <f ca="1">('TUSD BE'!$AM$16+'TUSD BF'!$AM$16+'TUSD CVA'!$AM$16)*1*(1-0.02)</f>
        <v>90.654697600755071</v>
      </c>
      <c r="AA172" s="75">
        <f>('TE BE'!$AB$8+'TE BF'!$AB$8+'TE CVA'!$AB$8)*1*(1-0.02)</f>
        <v>194.21830884065065</v>
      </c>
      <c r="AB172" s="75">
        <f>(SUBSIDIO!$J$172*SUBSIDIO!$V$172)*(0.04)/(1-0.04)</f>
        <v>0</v>
      </c>
      <c r="AC172" s="75">
        <f>((SUBSIDIO!$L$172*SUBSIDIO!$W$172)+(SUBSIDIO!$N$172*SUBSIDIO!$X$172))*(0.04)/(1-0.04)</f>
        <v>-575.25878279999995</v>
      </c>
      <c r="AD172" s="75">
        <f>(SUBSIDIO!$J$172*SUBSIDIO!$Y$172)*(0.02)/(1-0.02)</f>
        <v>0</v>
      </c>
      <c r="AE172" s="75">
        <f ca="1">((SUBSIDIO!$L$172*SUBSIDIO!$Z$172)+(SUBSIDIO!$N$172*SUBSIDIO!$AA$172))*(0.02)/(1-0.02)</f>
        <v>-328.30741932148209</v>
      </c>
      <c r="AF172" s="4" t="s">
        <v>638</v>
      </c>
    </row>
    <row r="173" spans="1:32" ht="11.25" customHeight="1" x14ac:dyDescent="0.25">
      <c r="A173" s="4" t="s">
        <v>28</v>
      </c>
      <c r="B173" s="4" t="s">
        <v>35</v>
      </c>
      <c r="C173" s="4" t="s">
        <v>39</v>
      </c>
      <c r="D173" s="4" t="s">
        <v>42</v>
      </c>
      <c r="E173" s="4" t="s">
        <v>50</v>
      </c>
      <c r="F173" s="4" t="s">
        <v>51</v>
      </c>
      <c r="G173" s="4" t="s">
        <v>25</v>
      </c>
      <c r="H173" s="4" t="s">
        <v>38</v>
      </c>
      <c r="I173" s="5">
        <v>44593</v>
      </c>
      <c r="J173" s="6">
        <v>0</v>
      </c>
      <c r="K173" s="75">
        <v>0</v>
      </c>
      <c r="L173" s="6">
        <v>157.94</v>
      </c>
      <c r="M173" s="75">
        <v>157.94</v>
      </c>
      <c r="N173" s="6">
        <v>157.94</v>
      </c>
      <c r="O173" s="75">
        <v>157.94</v>
      </c>
      <c r="P173" s="6">
        <v>0</v>
      </c>
      <c r="Q173" s="4" t="s">
        <v>26</v>
      </c>
      <c r="R173" s="4">
        <v>0</v>
      </c>
      <c r="S173" s="4">
        <v>0</v>
      </c>
      <c r="T173" s="4">
        <v>25</v>
      </c>
      <c r="U173" s="4">
        <v>59</v>
      </c>
      <c r="V173" s="75">
        <f>IF(ISERROR(VLOOKUP($S$173,'TAR FIN'!$A$1:$O$93,15,0)),0,VLOOKUP($S$173,'TAR FIN'!$A$1:$O$93,15,0))</f>
        <v>0</v>
      </c>
      <c r="W173" s="75">
        <f>IF(ISERROR(VLOOKUP($T$173,'TAR FIN'!$A$1:$O$93,15,0)),0,VLOOKUP($T$173,'TAR FIN'!$A$1:$O$93,15,0))*(1-0.04)</f>
        <v>66.710399999999993</v>
      </c>
      <c r="X173" s="75">
        <f>IF(ISERROR(VLOOKUP($U$173,'TAR FIN'!$A$1:$O$93,15,0)),0,VLOOKUP($U$173,'TAR FIN'!$A$1:$O$93,15,0))*(1-0.04)</f>
        <v>177.77279999999999</v>
      </c>
      <c r="Y173" s="75"/>
      <c r="Z173" s="75">
        <f ca="1">('TUSD BE'!$AM$16+'TUSD BF'!$AM$16+'TUSD CVA'!$AM$16)*1*(1-0.02)</f>
        <v>90.654697600755071</v>
      </c>
      <c r="AA173" s="75">
        <f>('TE BE'!$AB$8+'TE BF'!$AB$8+'TE CVA'!$AB$8)*1*(1-0.02)</f>
        <v>194.21830884065065</v>
      </c>
      <c r="AB173" s="75">
        <f>(SUBSIDIO!$J$173*SUBSIDIO!$V$173)*(0.04)/(1-0.04)</f>
        <v>0</v>
      </c>
      <c r="AC173" s="75">
        <f>((SUBSIDIO!$L$173*SUBSIDIO!$W$173)+(SUBSIDIO!$N$173*SUBSIDIO!$X$173))*(0.04)/(1-0.04)</f>
        <v>1608.903192</v>
      </c>
      <c r="AD173" s="75">
        <f>(SUBSIDIO!$J$173*SUBSIDIO!$Y$173)*(0.02)/(1-0.02)</f>
        <v>0</v>
      </c>
      <c r="AE173" s="75">
        <f ca="1">((SUBSIDIO!$L$173*SUBSIDIO!$Z$173)+(SUBSIDIO!$N$173*SUBSIDIO!$AA$173))*(0.02)/(1-0.02)</f>
        <v>918.22127831337991</v>
      </c>
      <c r="AF173" s="4" t="s">
        <v>638</v>
      </c>
    </row>
    <row r="174" spans="1:32" ht="11.25" customHeight="1" x14ac:dyDescent="0.25">
      <c r="A174" s="4" t="s">
        <v>21</v>
      </c>
      <c r="B174" s="4" t="s">
        <v>35</v>
      </c>
      <c r="C174" s="4" t="s">
        <v>39</v>
      </c>
      <c r="D174" s="4" t="s">
        <v>42</v>
      </c>
      <c r="E174" s="4" t="s">
        <v>50</v>
      </c>
      <c r="F174" s="4" t="s">
        <v>51</v>
      </c>
      <c r="G174" s="4" t="s">
        <v>25</v>
      </c>
      <c r="H174" s="4" t="s">
        <v>38</v>
      </c>
      <c r="I174" s="5">
        <v>44621</v>
      </c>
      <c r="J174" s="6">
        <v>0</v>
      </c>
      <c r="K174" s="75">
        <v>0</v>
      </c>
      <c r="L174" s="6">
        <v>3306.627</v>
      </c>
      <c r="M174" s="75">
        <v>3306.627</v>
      </c>
      <c r="N174" s="6">
        <v>3306.627</v>
      </c>
      <c r="O174" s="75">
        <v>3306.627</v>
      </c>
      <c r="P174" s="6">
        <v>0</v>
      </c>
      <c r="Q174" s="4" t="s">
        <v>26</v>
      </c>
      <c r="R174" s="4">
        <v>0</v>
      </c>
      <c r="S174" s="4">
        <v>0</v>
      </c>
      <c r="T174" s="4">
        <v>25</v>
      </c>
      <c r="U174" s="4">
        <v>59</v>
      </c>
      <c r="V174" s="75">
        <f>IF(ISERROR(VLOOKUP($S$174,'TAR FIN'!$A$1:$O$93,15,0)),0,VLOOKUP($S$174,'TAR FIN'!$A$1:$O$93,15,0))</f>
        <v>0</v>
      </c>
      <c r="W174" s="75">
        <f>IF(ISERROR(VLOOKUP($T$174,'TAR FIN'!$A$1:$O$93,15,0)),0,VLOOKUP($T$174,'TAR FIN'!$A$1:$O$93,15,0))*(1-0.04)</f>
        <v>66.710399999999993</v>
      </c>
      <c r="X174" s="75">
        <f>IF(ISERROR(VLOOKUP($U$174,'TAR FIN'!$A$1:$O$93,15,0)),0,VLOOKUP($U$174,'TAR FIN'!$A$1:$O$93,15,0))*(1-0.04)</f>
        <v>177.77279999999999</v>
      </c>
      <c r="Y174" s="75"/>
      <c r="Z174" s="75">
        <f ca="1">('TUSD BE'!$AM$16+'TUSD BF'!$AM$16+'TUSD CVA'!$AM$16)*1*(1-0.02)</f>
        <v>90.654697600755071</v>
      </c>
      <c r="AA174" s="75">
        <f>('TE BE'!$AB$8+'TE BF'!$AB$8+'TE CVA'!$AB$8)*1*(1-0.02)</f>
        <v>194.21830884065065</v>
      </c>
      <c r="AB174" s="75">
        <f>(SUBSIDIO!$J$174*SUBSIDIO!$V$174)*(0.04)/(1-0.04)</f>
        <v>0</v>
      </c>
      <c r="AC174" s="75">
        <f>((SUBSIDIO!$L$174*SUBSIDIO!$W$174)+(SUBSIDIO!$N$174*SUBSIDIO!$X$174))*(0.04)/(1-0.04)</f>
        <v>33683.947923599997</v>
      </c>
      <c r="AD174" s="75">
        <f>(SUBSIDIO!$J$174*SUBSIDIO!$Y$174)*(0.02)/(1-0.02)</f>
        <v>0</v>
      </c>
      <c r="AE174" s="75">
        <f ca="1">((SUBSIDIO!$L$174*SUBSIDIO!$Z$174)+(SUBSIDIO!$N$174*SUBSIDIO!$AA$174))*(0.02)/(1-0.02)</f>
        <v>19223.852544292371</v>
      </c>
      <c r="AF174" s="4" t="s">
        <v>638</v>
      </c>
    </row>
    <row r="175" spans="1:32" ht="11.25" customHeight="1" x14ac:dyDescent="0.25">
      <c r="A175" s="4" t="s">
        <v>27</v>
      </c>
      <c r="B175" s="4" t="s">
        <v>35</v>
      </c>
      <c r="C175" s="4" t="s">
        <v>39</v>
      </c>
      <c r="D175" s="4" t="s">
        <v>42</v>
      </c>
      <c r="E175" s="4" t="s">
        <v>50</v>
      </c>
      <c r="F175" s="4" t="s">
        <v>51</v>
      </c>
      <c r="G175" s="4" t="s">
        <v>25</v>
      </c>
      <c r="H175" s="4" t="s">
        <v>38</v>
      </c>
      <c r="I175" s="5">
        <v>44621</v>
      </c>
      <c r="J175" s="6">
        <v>0</v>
      </c>
      <c r="K175" s="75">
        <v>0</v>
      </c>
      <c r="L175" s="6">
        <v>-55.35</v>
      </c>
      <c r="M175" s="75">
        <v>-55.35</v>
      </c>
      <c r="N175" s="6">
        <v>-55.35</v>
      </c>
      <c r="O175" s="75">
        <v>-55.35</v>
      </c>
      <c r="P175" s="6">
        <v>0</v>
      </c>
      <c r="Q175" s="4" t="s">
        <v>26</v>
      </c>
      <c r="R175" s="4">
        <v>0</v>
      </c>
      <c r="S175" s="4">
        <v>0</v>
      </c>
      <c r="T175" s="4">
        <v>25</v>
      </c>
      <c r="U175" s="4">
        <v>59</v>
      </c>
      <c r="V175" s="75">
        <f>IF(ISERROR(VLOOKUP($S$175,'TAR FIN'!$A$1:$O$93,15,0)),0,VLOOKUP($S$175,'TAR FIN'!$A$1:$O$93,15,0))</f>
        <v>0</v>
      </c>
      <c r="W175" s="75">
        <f>IF(ISERROR(VLOOKUP($T$175,'TAR FIN'!$A$1:$O$93,15,0)),0,VLOOKUP($T$175,'TAR FIN'!$A$1:$O$93,15,0))*(1-0.04)</f>
        <v>66.710399999999993</v>
      </c>
      <c r="X175" s="75">
        <f>IF(ISERROR(VLOOKUP($U$175,'TAR FIN'!$A$1:$O$93,15,0)),0,VLOOKUP($U$175,'TAR FIN'!$A$1:$O$93,15,0))*(1-0.04)</f>
        <v>177.77279999999999</v>
      </c>
      <c r="Y175" s="75"/>
      <c r="Z175" s="75">
        <f ca="1">('TUSD BE'!$AM$16+'TUSD BF'!$AM$16+'TUSD CVA'!$AM$16)*1*(1-0.02)</f>
        <v>90.654697600755071</v>
      </c>
      <c r="AA175" s="75">
        <f>('TE BE'!$AB$8+'TE BF'!$AB$8+'TE CVA'!$AB$8)*1*(1-0.02)</f>
        <v>194.21830884065065</v>
      </c>
      <c r="AB175" s="75">
        <f>(SUBSIDIO!$J$175*SUBSIDIO!$V$175)*(0.04)/(1-0.04)</f>
        <v>0</v>
      </c>
      <c r="AC175" s="75">
        <f>((SUBSIDIO!$L$175*SUBSIDIO!$W$175)+(SUBSIDIO!$N$175*SUBSIDIO!$X$175))*(0.04)/(1-0.04)</f>
        <v>-563.83938000000001</v>
      </c>
      <c r="AD175" s="75">
        <f>(SUBSIDIO!$J$175*SUBSIDIO!$Y$175)*(0.02)/(1-0.02)</f>
        <v>0</v>
      </c>
      <c r="AE175" s="75">
        <f ca="1">((SUBSIDIO!$L$175*SUBSIDIO!$Z$175)+(SUBSIDIO!$N$175*SUBSIDIO!$AA$175))*(0.02)/(1-0.02)</f>
        <v>-321.79022258228179</v>
      </c>
      <c r="AF175" s="4" t="s">
        <v>638</v>
      </c>
    </row>
    <row r="176" spans="1:32" ht="11.25" customHeight="1" x14ac:dyDescent="0.25">
      <c r="A176" s="4" t="s">
        <v>28</v>
      </c>
      <c r="B176" s="4" t="s">
        <v>35</v>
      </c>
      <c r="C176" s="4" t="s">
        <v>39</v>
      </c>
      <c r="D176" s="4" t="s">
        <v>42</v>
      </c>
      <c r="E176" s="4" t="s">
        <v>50</v>
      </c>
      <c r="F176" s="4" t="s">
        <v>51</v>
      </c>
      <c r="G176" s="4" t="s">
        <v>25</v>
      </c>
      <c r="H176" s="4" t="s">
        <v>38</v>
      </c>
      <c r="I176" s="5">
        <v>44621</v>
      </c>
      <c r="J176" s="6">
        <v>0</v>
      </c>
      <c r="K176" s="75">
        <v>0</v>
      </c>
      <c r="L176" s="6">
        <v>100.608</v>
      </c>
      <c r="M176" s="75">
        <v>100.608</v>
      </c>
      <c r="N176" s="6">
        <v>100.608</v>
      </c>
      <c r="O176" s="75">
        <v>100.608</v>
      </c>
      <c r="P176" s="6">
        <v>0</v>
      </c>
      <c r="Q176" s="4" t="s">
        <v>26</v>
      </c>
      <c r="R176" s="4">
        <v>0</v>
      </c>
      <c r="S176" s="4">
        <v>0</v>
      </c>
      <c r="T176" s="4">
        <v>25</v>
      </c>
      <c r="U176" s="4">
        <v>59</v>
      </c>
      <c r="V176" s="75">
        <f>IF(ISERROR(VLOOKUP($S$176,'TAR FIN'!$A$1:$O$93,15,0)),0,VLOOKUP($S$176,'TAR FIN'!$A$1:$O$93,15,0))</f>
        <v>0</v>
      </c>
      <c r="W176" s="75">
        <f>IF(ISERROR(VLOOKUP($T$176,'TAR FIN'!$A$1:$O$93,15,0)),0,VLOOKUP($T$176,'TAR FIN'!$A$1:$O$93,15,0))*(1-0.04)</f>
        <v>66.710399999999993</v>
      </c>
      <c r="X176" s="75">
        <f>IF(ISERROR(VLOOKUP($U$176,'TAR FIN'!$A$1:$O$93,15,0)),0,VLOOKUP($U$176,'TAR FIN'!$A$1:$O$93,15,0))*(1-0.04)</f>
        <v>177.77279999999999</v>
      </c>
      <c r="Y176" s="75"/>
      <c r="Z176" s="75">
        <f ca="1">('TUSD BE'!$AM$16+'TUSD BF'!$AM$16+'TUSD CVA'!$AM$16)*1*(1-0.02)</f>
        <v>90.654697600755071</v>
      </c>
      <c r="AA176" s="75">
        <f>('TE BE'!$AB$8+'TE BF'!$AB$8+'TE CVA'!$AB$8)*1*(1-0.02)</f>
        <v>194.21830884065065</v>
      </c>
      <c r="AB176" s="75">
        <f>(SUBSIDIO!$J$176*SUBSIDIO!$V$176)*(0.04)/(1-0.04)</f>
        <v>0</v>
      </c>
      <c r="AC176" s="75">
        <f>((SUBSIDIO!$L$176*SUBSIDIO!$W$176)+(SUBSIDIO!$N$176*SUBSIDIO!$X$176))*(0.04)/(1-0.04)</f>
        <v>1024.8735743999998</v>
      </c>
      <c r="AD176" s="75">
        <f>(SUBSIDIO!$J$176*SUBSIDIO!$Y$176)*(0.02)/(1-0.02)</f>
        <v>0</v>
      </c>
      <c r="AE176" s="75">
        <f ca="1">((SUBSIDIO!$L$176*SUBSIDIO!$Z$176)+(SUBSIDIO!$N$176*SUBSIDIO!$AA$176))*(0.02)/(1-0.02)</f>
        <v>584.9082333072846</v>
      </c>
      <c r="AF176" s="4" t="s">
        <v>638</v>
      </c>
    </row>
    <row r="177" spans="1:32" ht="11.25" customHeight="1" x14ac:dyDescent="0.25">
      <c r="A177" s="4" t="s">
        <v>21</v>
      </c>
      <c r="B177" s="4" t="s">
        <v>35</v>
      </c>
      <c r="C177" s="4" t="s">
        <v>39</v>
      </c>
      <c r="D177" s="4" t="s">
        <v>42</v>
      </c>
      <c r="E177" s="4" t="s">
        <v>50</v>
      </c>
      <c r="F177" s="4" t="s">
        <v>51</v>
      </c>
      <c r="G177" s="4" t="s">
        <v>25</v>
      </c>
      <c r="H177" s="4" t="s">
        <v>38</v>
      </c>
      <c r="I177" s="5">
        <v>44652</v>
      </c>
      <c r="J177" s="6">
        <v>0</v>
      </c>
      <c r="K177" s="75">
        <v>0</v>
      </c>
      <c r="L177" s="6">
        <v>1019.164</v>
      </c>
      <c r="M177" s="75">
        <v>1019.164</v>
      </c>
      <c r="N177" s="6">
        <v>1019.164</v>
      </c>
      <c r="O177" s="75">
        <v>1019.164</v>
      </c>
      <c r="P177" s="6">
        <v>0</v>
      </c>
      <c r="Q177" s="4" t="s">
        <v>26</v>
      </c>
      <c r="R177" s="4">
        <v>0</v>
      </c>
      <c r="S177" s="4">
        <v>0</v>
      </c>
      <c r="T177" s="4">
        <v>25</v>
      </c>
      <c r="U177" s="4">
        <v>59</v>
      </c>
      <c r="V177" s="75">
        <f>IF(ISERROR(VLOOKUP($S$177,'TAR FIN'!$A$1:$O$93,15,0)),0,VLOOKUP($S$177,'TAR FIN'!$A$1:$O$93,15,0))</f>
        <v>0</v>
      </c>
      <c r="W177" s="75">
        <f>IF(ISERROR(VLOOKUP($T$177,'TAR FIN'!$A$1:$O$93,15,0)),0,VLOOKUP($T$177,'TAR FIN'!$A$1:$O$93,15,0))*(1-0.04)</f>
        <v>66.710399999999993</v>
      </c>
      <c r="X177" s="75">
        <f>IF(ISERROR(VLOOKUP($U$177,'TAR FIN'!$A$1:$O$93,15,0)),0,VLOOKUP($U$177,'TAR FIN'!$A$1:$O$93,15,0))*(1-0.04)</f>
        <v>177.77279999999999</v>
      </c>
      <c r="Y177" s="75"/>
      <c r="Z177" s="75">
        <f ca="1">('TUSD BE'!$AM$16+'TUSD BF'!$AM$16+'TUSD CVA'!$AM$16)*1*(1-0.02)</f>
        <v>90.654697600755071</v>
      </c>
      <c r="AA177" s="75">
        <f>('TE BE'!$AB$8+'TE BF'!$AB$8+'TE CVA'!$AB$8)*1*(1-0.02)</f>
        <v>194.21830884065065</v>
      </c>
      <c r="AB177" s="75">
        <f>(SUBSIDIO!$J$177*SUBSIDIO!$V$177)*(0.04)/(1-0.04)</f>
        <v>0</v>
      </c>
      <c r="AC177" s="75">
        <f>((SUBSIDIO!$L$177*SUBSIDIO!$W$177)+(SUBSIDIO!$N$177*SUBSIDIO!$X$177))*(0.04)/(1-0.04)</f>
        <v>10382.019835199999</v>
      </c>
      <c r="AD177" s="75">
        <f>(SUBSIDIO!$J$177*SUBSIDIO!$Y$177)*(0.02)/(1-0.02)</f>
        <v>0</v>
      </c>
      <c r="AE177" s="75">
        <f ca="1">((SUBSIDIO!$L$177*SUBSIDIO!$Z$177)+(SUBSIDIO!$N$177*SUBSIDIO!$AA$177))*(0.02)/(1-0.02)</f>
        <v>5925.1492395275272</v>
      </c>
      <c r="AF177" s="4" t="s">
        <v>638</v>
      </c>
    </row>
    <row r="178" spans="1:32" ht="11.25" customHeight="1" x14ac:dyDescent="0.25">
      <c r="A178" s="4" t="s">
        <v>27</v>
      </c>
      <c r="B178" s="4" t="s">
        <v>35</v>
      </c>
      <c r="C178" s="4" t="s">
        <v>39</v>
      </c>
      <c r="D178" s="4" t="s">
        <v>42</v>
      </c>
      <c r="E178" s="4" t="s">
        <v>50</v>
      </c>
      <c r="F178" s="4" t="s">
        <v>51</v>
      </c>
      <c r="G178" s="4" t="s">
        <v>25</v>
      </c>
      <c r="H178" s="4" t="s">
        <v>38</v>
      </c>
      <c r="I178" s="5">
        <v>44652</v>
      </c>
      <c r="J178" s="6">
        <v>0</v>
      </c>
      <c r="K178" s="75">
        <v>0</v>
      </c>
      <c r="L178" s="6">
        <v>-28.209</v>
      </c>
      <c r="M178" s="75">
        <v>-28.209</v>
      </c>
      <c r="N178" s="6">
        <v>-28.209</v>
      </c>
      <c r="O178" s="75">
        <v>-28.209</v>
      </c>
      <c r="P178" s="6">
        <v>0</v>
      </c>
      <c r="Q178" s="4" t="s">
        <v>26</v>
      </c>
      <c r="R178" s="4">
        <v>0</v>
      </c>
      <c r="S178" s="4">
        <v>0</v>
      </c>
      <c r="T178" s="4">
        <v>25</v>
      </c>
      <c r="U178" s="4">
        <v>59</v>
      </c>
      <c r="V178" s="75">
        <f>IF(ISERROR(VLOOKUP($S$178,'TAR FIN'!$A$1:$O$93,15,0)),0,VLOOKUP($S$178,'TAR FIN'!$A$1:$O$93,15,0))</f>
        <v>0</v>
      </c>
      <c r="W178" s="75">
        <f>IF(ISERROR(VLOOKUP($T$178,'TAR FIN'!$A$1:$O$93,15,0)),0,VLOOKUP($T$178,'TAR FIN'!$A$1:$O$93,15,0))*(1-0.04)</f>
        <v>66.710399999999993</v>
      </c>
      <c r="X178" s="75">
        <f>IF(ISERROR(VLOOKUP($U$178,'TAR FIN'!$A$1:$O$93,15,0)),0,VLOOKUP($U$178,'TAR FIN'!$A$1:$O$93,15,0))*(1-0.04)</f>
        <v>177.77279999999999</v>
      </c>
      <c r="Y178" s="75"/>
      <c r="Z178" s="75">
        <f ca="1">('TUSD BE'!$AM$16+'TUSD BF'!$AM$16+'TUSD CVA'!$AM$16)*1*(1-0.02)</f>
        <v>90.654697600755071</v>
      </c>
      <c r="AA178" s="75">
        <f>('TE BE'!$AB$8+'TE BF'!$AB$8+'TE CVA'!$AB$8)*1*(1-0.02)</f>
        <v>194.21830884065065</v>
      </c>
      <c r="AB178" s="75">
        <f>(SUBSIDIO!$J$178*SUBSIDIO!$V$178)*(0.04)/(1-0.04)</f>
        <v>0</v>
      </c>
      <c r="AC178" s="75">
        <f>((SUBSIDIO!$L$178*SUBSIDIO!$W$178)+(SUBSIDIO!$N$178*SUBSIDIO!$X$178))*(0.04)/(1-0.04)</f>
        <v>-287.35944119999999</v>
      </c>
      <c r="AD178" s="75">
        <f>(SUBSIDIO!$J$178*SUBSIDIO!$Y$178)*(0.02)/(1-0.02)</f>
        <v>0</v>
      </c>
      <c r="AE178" s="75">
        <f ca="1">((SUBSIDIO!$L$178*SUBSIDIO!$Z$178)+(SUBSIDIO!$N$178*SUBSIDIO!$AA$178))*(0.02)/(1-0.02)</f>
        <v>-163.99964568786967</v>
      </c>
      <c r="AF178" s="4" t="s">
        <v>638</v>
      </c>
    </row>
    <row r="179" spans="1:32" ht="11.25" customHeight="1" x14ac:dyDescent="0.25">
      <c r="A179" s="4" t="s">
        <v>28</v>
      </c>
      <c r="B179" s="4" t="s">
        <v>35</v>
      </c>
      <c r="C179" s="4" t="s">
        <v>39</v>
      </c>
      <c r="D179" s="4" t="s">
        <v>42</v>
      </c>
      <c r="E179" s="4" t="s">
        <v>50</v>
      </c>
      <c r="F179" s="4" t="s">
        <v>51</v>
      </c>
      <c r="G179" s="4" t="s">
        <v>25</v>
      </c>
      <c r="H179" s="4" t="s">
        <v>38</v>
      </c>
      <c r="I179" s="5">
        <v>44652</v>
      </c>
      <c r="J179" s="6">
        <v>0</v>
      </c>
      <c r="K179" s="75">
        <v>0</v>
      </c>
      <c r="L179" s="6">
        <v>29.965</v>
      </c>
      <c r="M179" s="75">
        <v>29.965</v>
      </c>
      <c r="N179" s="6">
        <v>29.965</v>
      </c>
      <c r="O179" s="75">
        <v>29.965</v>
      </c>
      <c r="P179" s="6">
        <v>0</v>
      </c>
      <c r="Q179" s="4" t="s">
        <v>26</v>
      </c>
      <c r="R179" s="4">
        <v>0</v>
      </c>
      <c r="S179" s="4">
        <v>0</v>
      </c>
      <c r="T179" s="4">
        <v>25</v>
      </c>
      <c r="U179" s="4">
        <v>59</v>
      </c>
      <c r="V179" s="75">
        <f>IF(ISERROR(VLOOKUP($S$179,'TAR FIN'!$A$1:$O$93,15,0)),0,VLOOKUP($S$179,'TAR FIN'!$A$1:$O$93,15,0))</f>
        <v>0</v>
      </c>
      <c r="W179" s="75">
        <f>IF(ISERROR(VLOOKUP($T$179,'TAR FIN'!$A$1:$O$93,15,0)),0,VLOOKUP($T$179,'TAR FIN'!$A$1:$O$93,15,0))*(1-0.04)</f>
        <v>66.710399999999993</v>
      </c>
      <c r="X179" s="75">
        <f>IF(ISERROR(VLOOKUP($U$179,'TAR FIN'!$A$1:$O$93,15,0)),0,VLOOKUP($U$179,'TAR FIN'!$A$1:$O$93,15,0))*(1-0.04)</f>
        <v>177.77279999999999</v>
      </c>
      <c r="Y179" s="75"/>
      <c r="Z179" s="75">
        <f ca="1">('TUSD BE'!$AM$16+'TUSD BF'!$AM$16+'TUSD CVA'!$AM$16)*1*(1-0.02)</f>
        <v>90.654697600755071</v>
      </c>
      <c r="AA179" s="75">
        <f>('TE BE'!$AB$8+'TE BF'!$AB$8+'TE CVA'!$AB$8)*1*(1-0.02)</f>
        <v>194.21830884065065</v>
      </c>
      <c r="AB179" s="75">
        <f>(SUBSIDIO!$J$179*SUBSIDIO!$V$179)*(0.04)/(1-0.04)</f>
        <v>0</v>
      </c>
      <c r="AC179" s="75">
        <f>((SUBSIDIO!$L$179*SUBSIDIO!$W$179)+(SUBSIDIO!$N$179*SUBSIDIO!$X$179))*(0.04)/(1-0.04)</f>
        <v>305.24746199999998</v>
      </c>
      <c r="AD179" s="75">
        <f>(SUBSIDIO!$J$179*SUBSIDIO!$Y$179)*(0.02)/(1-0.02)</f>
        <v>0</v>
      </c>
      <c r="AE179" s="75">
        <f ca="1">((SUBSIDIO!$L$179*SUBSIDIO!$Z$179)+(SUBSIDIO!$N$179*SUBSIDIO!$AA$179))*(0.02)/(1-0.02)</f>
        <v>174.20856404115759</v>
      </c>
      <c r="AF179" s="4" t="s">
        <v>638</v>
      </c>
    </row>
    <row r="180" spans="1:32" ht="11.25" customHeight="1" x14ac:dyDescent="0.25">
      <c r="A180" s="4" t="s">
        <v>21</v>
      </c>
      <c r="B180" s="4" t="s">
        <v>35</v>
      </c>
      <c r="C180" s="4" t="s">
        <v>39</v>
      </c>
      <c r="D180" s="4" t="s">
        <v>42</v>
      </c>
      <c r="E180" s="4" t="s">
        <v>50</v>
      </c>
      <c r="F180" s="4" t="s">
        <v>51</v>
      </c>
      <c r="G180" s="4" t="s">
        <v>25</v>
      </c>
      <c r="H180" s="4" t="s">
        <v>38</v>
      </c>
      <c r="I180" s="5">
        <v>44682</v>
      </c>
      <c r="J180" s="6">
        <v>0</v>
      </c>
      <c r="K180" s="75">
        <v>0</v>
      </c>
      <c r="L180" s="6">
        <v>369.96300000000002</v>
      </c>
      <c r="M180" s="75">
        <v>369.96300000000002</v>
      </c>
      <c r="N180" s="6">
        <v>369.96300000000002</v>
      </c>
      <c r="O180" s="75">
        <v>369.96300000000002</v>
      </c>
      <c r="P180" s="6">
        <v>0</v>
      </c>
      <c r="Q180" s="4" t="s">
        <v>26</v>
      </c>
      <c r="R180" s="4">
        <v>0</v>
      </c>
      <c r="S180" s="4">
        <v>0</v>
      </c>
      <c r="T180" s="4">
        <v>25</v>
      </c>
      <c r="U180" s="4">
        <v>59</v>
      </c>
      <c r="V180" s="75">
        <f>IF(ISERROR(VLOOKUP($S$180,'TAR FIN'!$A$1:$O$93,15,0)),0,VLOOKUP($S$180,'TAR FIN'!$A$1:$O$93,15,0))</f>
        <v>0</v>
      </c>
      <c r="W180" s="75">
        <f>IF(ISERROR(VLOOKUP($T$180,'TAR FIN'!$A$1:$O$93,15,0)),0,VLOOKUP($T$180,'TAR FIN'!$A$1:$O$93,15,0))*(1-0.04)</f>
        <v>66.710399999999993</v>
      </c>
      <c r="X180" s="75">
        <f>IF(ISERROR(VLOOKUP($U$180,'TAR FIN'!$A$1:$O$93,15,0)),0,VLOOKUP($U$180,'TAR FIN'!$A$1:$O$93,15,0))*(1-0.04)</f>
        <v>177.77279999999999</v>
      </c>
      <c r="Y180" s="75"/>
      <c r="Z180" s="75">
        <f ca="1">('TUSD BE'!$AM$16+'TUSD BF'!$AM$16+'TUSD CVA'!$AM$16)*1*(1-0.02)</f>
        <v>90.654697600755071</v>
      </c>
      <c r="AA180" s="75">
        <f>('TE BE'!$AB$8+'TE BF'!$AB$8+'TE CVA'!$AB$8)*1*(1-0.02)</f>
        <v>194.21830884065065</v>
      </c>
      <c r="AB180" s="75">
        <f>(SUBSIDIO!$J$180*SUBSIDIO!$V$180)*(0.04)/(1-0.04)</f>
        <v>0</v>
      </c>
      <c r="AC180" s="75">
        <f>((SUBSIDIO!$L$180*SUBSIDIO!$W$180)+(SUBSIDIO!$N$180*SUBSIDIO!$X$180))*(0.04)/(1-0.04)</f>
        <v>3768.7390884000006</v>
      </c>
      <c r="AD180" s="75">
        <f>(SUBSIDIO!$J$180*SUBSIDIO!$Y$180)*(0.02)/(1-0.02)</f>
        <v>0</v>
      </c>
      <c r="AE180" s="75">
        <f ca="1">((SUBSIDIO!$L$180*SUBSIDIO!$Z$180)+(SUBSIDIO!$N$180*SUBSIDIO!$AA$180))*(0.02)/(1-0.02)</f>
        <v>2150.8667771853429</v>
      </c>
      <c r="AF180" s="4" t="s">
        <v>638</v>
      </c>
    </row>
    <row r="181" spans="1:32" ht="11.25" customHeight="1" x14ac:dyDescent="0.25">
      <c r="A181" s="4" t="s">
        <v>27</v>
      </c>
      <c r="B181" s="4" t="s">
        <v>35</v>
      </c>
      <c r="C181" s="4" t="s">
        <v>39</v>
      </c>
      <c r="D181" s="4" t="s">
        <v>42</v>
      </c>
      <c r="E181" s="4" t="s">
        <v>50</v>
      </c>
      <c r="F181" s="4" t="s">
        <v>51</v>
      </c>
      <c r="G181" s="4" t="s">
        <v>25</v>
      </c>
      <c r="H181" s="4" t="s">
        <v>38</v>
      </c>
      <c r="I181" s="5">
        <v>44682</v>
      </c>
      <c r="J181" s="6">
        <v>0</v>
      </c>
      <c r="K181" s="75">
        <v>0</v>
      </c>
      <c r="L181" s="6">
        <v>-13.811999999999999</v>
      </c>
      <c r="M181" s="75">
        <v>-13.811999999999999</v>
      </c>
      <c r="N181" s="6">
        <v>-13.811999999999999</v>
      </c>
      <c r="O181" s="75">
        <v>-13.811999999999999</v>
      </c>
      <c r="P181" s="6">
        <v>0</v>
      </c>
      <c r="Q181" s="4" t="s">
        <v>26</v>
      </c>
      <c r="R181" s="4">
        <v>0</v>
      </c>
      <c r="S181" s="4">
        <v>0</v>
      </c>
      <c r="T181" s="4">
        <v>25</v>
      </c>
      <c r="U181" s="4">
        <v>59</v>
      </c>
      <c r="V181" s="75">
        <f>IF(ISERROR(VLOOKUP($S$181,'TAR FIN'!$A$1:$O$93,15,0)),0,VLOOKUP($S$181,'TAR FIN'!$A$1:$O$93,15,0))</f>
        <v>0</v>
      </c>
      <c r="W181" s="75">
        <f>IF(ISERROR(VLOOKUP($T$181,'TAR FIN'!$A$1:$O$93,15,0)),0,VLOOKUP($T$181,'TAR FIN'!$A$1:$O$93,15,0))*(1-0.04)</f>
        <v>66.710399999999993</v>
      </c>
      <c r="X181" s="75">
        <f>IF(ISERROR(VLOOKUP($U$181,'TAR FIN'!$A$1:$O$93,15,0)),0,VLOOKUP($U$181,'TAR FIN'!$A$1:$O$93,15,0))*(1-0.04)</f>
        <v>177.77279999999999</v>
      </c>
      <c r="Y181" s="75"/>
      <c r="Z181" s="75">
        <f ca="1">('TUSD BE'!$AM$16+'TUSD BF'!$AM$16+'TUSD CVA'!$AM$16)*1*(1-0.02)</f>
        <v>90.654697600755071</v>
      </c>
      <c r="AA181" s="75">
        <f>('TE BE'!$AB$8+'TE BF'!$AB$8+'TE CVA'!$AB$8)*1*(1-0.02)</f>
        <v>194.21830884065065</v>
      </c>
      <c r="AB181" s="75">
        <f>(SUBSIDIO!$J$181*SUBSIDIO!$V$181)*(0.04)/(1-0.04)</f>
        <v>0</v>
      </c>
      <c r="AC181" s="75">
        <f>((SUBSIDIO!$L$181*SUBSIDIO!$W$181)+(SUBSIDIO!$N$181*SUBSIDIO!$X$181))*(0.04)/(1-0.04)</f>
        <v>-140.70008159999998</v>
      </c>
      <c r="AD181" s="75">
        <f>(SUBSIDIO!$J$181*SUBSIDIO!$Y$181)*(0.02)/(1-0.02)</f>
        <v>0</v>
      </c>
      <c r="AE181" s="75">
        <f ca="1">((SUBSIDIO!$L$181*SUBSIDIO!$Z$181)+(SUBSIDIO!$N$181*SUBSIDIO!$AA$181))*(0.02)/(1-0.02)</f>
        <v>-80.2993054075244</v>
      </c>
      <c r="AF181" s="4" t="s">
        <v>638</v>
      </c>
    </row>
    <row r="182" spans="1:32" ht="11.25" customHeight="1" x14ac:dyDescent="0.25">
      <c r="A182" s="4" t="s">
        <v>28</v>
      </c>
      <c r="B182" s="4" t="s">
        <v>35</v>
      </c>
      <c r="C182" s="4" t="s">
        <v>39</v>
      </c>
      <c r="D182" s="4" t="s">
        <v>42</v>
      </c>
      <c r="E182" s="4" t="s">
        <v>50</v>
      </c>
      <c r="F182" s="4" t="s">
        <v>51</v>
      </c>
      <c r="G182" s="4" t="s">
        <v>25</v>
      </c>
      <c r="H182" s="4" t="s">
        <v>38</v>
      </c>
      <c r="I182" s="5">
        <v>44682</v>
      </c>
      <c r="J182" s="6">
        <v>0</v>
      </c>
      <c r="K182" s="75">
        <v>0</v>
      </c>
      <c r="L182" s="6">
        <v>1.6060000000000001</v>
      </c>
      <c r="M182" s="75">
        <v>1.6060000000000001</v>
      </c>
      <c r="N182" s="6">
        <v>1.6060000000000001</v>
      </c>
      <c r="O182" s="75">
        <v>1.6060000000000001</v>
      </c>
      <c r="P182" s="6">
        <v>0</v>
      </c>
      <c r="Q182" s="4" t="s">
        <v>26</v>
      </c>
      <c r="R182" s="4">
        <v>0</v>
      </c>
      <c r="S182" s="4">
        <v>0</v>
      </c>
      <c r="T182" s="4">
        <v>25</v>
      </c>
      <c r="U182" s="4">
        <v>59</v>
      </c>
      <c r="V182" s="75">
        <f>IF(ISERROR(VLOOKUP($S$182,'TAR FIN'!$A$1:$O$93,15,0)),0,VLOOKUP($S$182,'TAR FIN'!$A$1:$O$93,15,0))</f>
        <v>0</v>
      </c>
      <c r="W182" s="75">
        <f>IF(ISERROR(VLOOKUP($T$182,'TAR FIN'!$A$1:$O$93,15,0)),0,VLOOKUP($T$182,'TAR FIN'!$A$1:$O$93,15,0))*(1-0.04)</f>
        <v>66.710399999999993</v>
      </c>
      <c r="X182" s="75">
        <f>IF(ISERROR(VLOOKUP($U$182,'TAR FIN'!$A$1:$O$93,15,0)),0,VLOOKUP($U$182,'TAR FIN'!$A$1:$O$93,15,0))*(1-0.04)</f>
        <v>177.77279999999999</v>
      </c>
      <c r="Y182" s="75"/>
      <c r="Z182" s="75">
        <f ca="1">('TUSD BE'!$AM$16+'TUSD BF'!$AM$16+'TUSD CVA'!$AM$16)*1*(1-0.02)</f>
        <v>90.654697600755071</v>
      </c>
      <c r="AA182" s="75">
        <f>('TE BE'!$AB$8+'TE BF'!$AB$8+'TE CVA'!$AB$8)*1*(1-0.02)</f>
        <v>194.21830884065065</v>
      </c>
      <c r="AB182" s="75">
        <f>(SUBSIDIO!$J$182*SUBSIDIO!$V$182)*(0.04)/(1-0.04)</f>
        <v>0</v>
      </c>
      <c r="AC182" s="75">
        <f>((SUBSIDIO!$L$182*SUBSIDIO!$W$182)+(SUBSIDIO!$N$182*SUBSIDIO!$X$182))*(0.04)/(1-0.04)</f>
        <v>16.360000800000002</v>
      </c>
      <c r="AD182" s="75">
        <f>(SUBSIDIO!$J$182*SUBSIDIO!$Y$182)*(0.02)/(1-0.02)</f>
        <v>0</v>
      </c>
      <c r="AE182" s="75">
        <f ca="1">((SUBSIDIO!$L$182*SUBSIDIO!$Z$182)+(SUBSIDIO!$N$182*SUBSIDIO!$AA$182))*(0.02)/(1-0.02)</f>
        <v>9.3368581294877071</v>
      </c>
      <c r="AF182" s="4" t="s">
        <v>638</v>
      </c>
    </row>
    <row r="183" spans="1:32" ht="11.25" customHeight="1" x14ac:dyDescent="0.25">
      <c r="A183" s="4" t="s">
        <v>21</v>
      </c>
      <c r="B183" s="4" t="s">
        <v>35</v>
      </c>
      <c r="C183" s="4" t="s">
        <v>39</v>
      </c>
      <c r="D183" s="4" t="s">
        <v>42</v>
      </c>
      <c r="E183" s="4" t="s">
        <v>50</v>
      </c>
      <c r="F183" s="4" t="s">
        <v>51</v>
      </c>
      <c r="G183" s="4" t="s">
        <v>25</v>
      </c>
      <c r="H183" s="4" t="s">
        <v>38</v>
      </c>
      <c r="I183" s="5">
        <v>44713</v>
      </c>
      <c r="J183" s="6">
        <v>0</v>
      </c>
      <c r="K183" s="75">
        <v>0</v>
      </c>
      <c r="L183" s="6">
        <v>253.489</v>
      </c>
      <c r="M183" s="75">
        <v>253.489</v>
      </c>
      <c r="N183" s="6">
        <v>253.489</v>
      </c>
      <c r="O183" s="75">
        <v>253.489</v>
      </c>
      <c r="P183" s="6">
        <v>0</v>
      </c>
      <c r="Q183" s="4" t="s">
        <v>26</v>
      </c>
      <c r="R183" s="4">
        <v>0</v>
      </c>
      <c r="S183" s="4">
        <v>0</v>
      </c>
      <c r="T183" s="4">
        <v>25</v>
      </c>
      <c r="U183" s="4">
        <v>59</v>
      </c>
      <c r="V183" s="75">
        <f>IF(ISERROR(VLOOKUP($S$183,'TAR FIN'!$A$1:$O$93,15,0)),0,VLOOKUP($S$183,'TAR FIN'!$A$1:$O$93,15,0))</f>
        <v>0</v>
      </c>
      <c r="W183" s="75">
        <f>IF(ISERROR(VLOOKUP($T$183,'TAR FIN'!$A$1:$O$93,15,0)),0,VLOOKUP($T$183,'TAR FIN'!$A$1:$O$93,15,0))*(1-0.04)</f>
        <v>66.710399999999993</v>
      </c>
      <c r="X183" s="75">
        <f>IF(ISERROR(VLOOKUP($U$183,'TAR FIN'!$A$1:$O$93,15,0)),0,VLOOKUP($U$183,'TAR FIN'!$A$1:$O$93,15,0))*(1-0.04)</f>
        <v>177.77279999999999</v>
      </c>
      <c r="Y183" s="75"/>
      <c r="Z183" s="75">
        <f ca="1">('TUSD BE'!$AM$16+'TUSD BF'!$AM$16+'TUSD CVA'!$AM$16)*1*(1-0.02)</f>
        <v>90.654697600755071</v>
      </c>
      <c r="AA183" s="75">
        <f>('TE BE'!$AB$8+'TE BF'!$AB$8+'TE CVA'!$AB$8)*1*(1-0.02)</f>
        <v>194.21830884065065</v>
      </c>
      <c r="AB183" s="75">
        <f>(SUBSIDIO!$J$183*SUBSIDIO!$V$183)*(0.04)/(1-0.04)</f>
        <v>0</v>
      </c>
      <c r="AC183" s="75">
        <f>((SUBSIDIO!$L$183*SUBSIDIO!$W$183)+(SUBSIDIO!$N$183*SUBSIDIO!$X$183))*(0.04)/(1-0.04)</f>
        <v>2582.2417452000004</v>
      </c>
      <c r="AD183" s="75">
        <f>(SUBSIDIO!$J$183*SUBSIDIO!$Y$183)*(0.02)/(1-0.02)</f>
        <v>0</v>
      </c>
      <c r="AE183" s="75">
        <f ca="1">((SUBSIDIO!$L$183*SUBSIDIO!$Z$183)+(SUBSIDIO!$N$183*SUBSIDIO!$AA$183))*(0.02)/(1-0.02)</f>
        <v>1473.7178271392959</v>
      </c>
      <c r="AF183" s="4" t="s">
        <v>638</v>
      </c>
    </row>
    <row r="184" spans="1:32" ht="11.25" customHeight="1" x14ac:dyDescent="0.25">
      <c r="A184" s="4" t="s">
        <v>27</v>
      </c>
      <c r="B184" s="4" t="s">
        <v>35</v>
      </c>
      <c r="C184" s="4" t="s">
        <v>39</v>
      </c>
      <c r="D184" s="4" t="s">
        <v>42</v>
      </c>
      <c r="E184" s="4" t="s">
        <v>50</v>
      </c>
      <c r="F184" s="4" t="s">
        <v>51</v>
      </c>
      <c r="G184" s="4" t="s">
        <v>25</v>
      </c>
      <c r="H184" s="4" t="s">
        <v>38</v>
      </c>
      <c r="I184" s="5">
        <v>44713</v>
      </c>
      <c r="J184" s="6">
        <v>0</v>
      </c>
      <c r="K184" s="75">
        <v>0</v>
      </c>
      <c r="L184" s="6">
        <v>-0.57899999999999996</v>
      </c>
      <c r="M184" s="75">
        <v>-0.57899999999999996</v>
      </c>
      <c r="N184" s="6">
        <v>-0.57899999999999996</v>
      </c>
      <c r="O184" s="75">
        <v>-0.57899999999999996</v>
      </c>
      <c r="P184" s="6">
        <v>0</v>
      </c>
      <c r="Q184" s="4" t="s">
        <v>26</v>
      </c>
      <c r="R184" s="4">
        <v>0</v>
      </c>
      <c r="S184" s="4">
        <v>0</v>
      </c>
      <c r="T184" s="4">
        <v>25</v>
      </c>
      <c r="U184" s="4">
        <v>59</v>
      </c>
      <c r="V184" s="75">
        <f>IF(ISERROR(VLOOKUP($S$184,'TAR FIN'!$A$1:$O$93,15,0)),0,VLOOKUP($S$184,'TAR FIN'!$A$1:$O$93,15,0))</f>
        <v>0</v>
      </c>
      <c r="W184" s="75">
        <f>IF(ISERROR(VLOOKUP($T$184,'TAR FIN'!$A$1:$O$93,15,0)),0,VLOOKUP($T$184,'TAR FIN'!$A$1:$O$93,15,0))*(1-0.04)</f>
        <v>66.710399999999993</v>
      </c>
      <c r="X184" s="75">
        <f>IF(ISERROR(VLOOKUP($U$184,'TAR FIN'!$A$1:$O$93,15,0)),0,VLOOKUP($U$184,'TAR FIN'!$A$1:$O$93,15,0))*(1-0.04)</f>
        <v>177.77279999999999</v>
      </c>
      <c r="Y184" s="75"/>
      <c r="Z184" s="75">
        <f ca="1">('TUSD BE'!$AM$16+'TUSD BF'!$AM$16+'TUSD CVA'!$AM$16)*1*(1-0.02)</f>
        <v>90.654697600755071</v>
      </c>
      <c r="AA184" s="75">
        <f>('TE BE'!$AB$8+'TE BF'!$AB$8+'TE CVA'!$AB$8)*1*(1-0.02)</f>
        <v>194.21830884065065</v>
      </c>
      <c r="AB184" s="75">
        <f>(SUBSIDIO!$J$184*SUBSIDIO!$V$184)*(0.04)/(1-0.04)</f>
        <v>0</v>
      </c>
      <c r="AC184" s="75">
        <f>((SUBSIDIO!$L$184*SUBSIDIO!$W$184)+(SUBSIDIO!$N$184*SUBSIDIO!$X$184))*(0.04)/(1-0.04)</f>
        <v>-5.8981572</v>
      </c>
      <c r="AD184" s="75">
        <f>(SUBSIDIO!$J$184*SUBSIDIO!$Y$184)*(0.02)/(1-0.02)</f>
        <v>0</v>
      </c>
      <c r="AE184" s="75">
        <f ca="1">((SUBSIDIO!$L$184*SUBSIDIO!$Z$184)+(SUBSIDIO!$N$184*SUBSIDIO!$AA$184))*(0.02)/(1-0.02)</f>
        <v>-3.3661524638688554</v>
      </c>
      <c r="AF184" s="4" t="s">
        <v>638</v>
      </c>
    </row>
    <row r="185" spans="1:32" ht="11.25" customHeight="1" x14ac:dyDescent="0.25">
      <c r="A185" s="4" t="s">
        <v>21</v>
      </c>
      <c r="B185" s="4" t="s">
        <v>35</v>
      </c>
      <c r="C185" s="4" t="s">
        <v>39</v>
      </c>
      <c r="D185" s="4" t="s">
        <v>42</v>
      </c>
      <c r="E185" s="4" t="s">
        <v>50</v>
      </c>
      <c r="F185" s="4" t="s">
        <v>51</v>
      </c>
      <c r="G185" s="4" t="s">
        <v>25</v>
      </c>
      <c r="H185" s="4" t="s">
        <v>37</v>
      </c>
      <c r="I185" s="5">
        <v>44378</v>
      </c>
      <c r="J185" s="6">
        <v>0</v>
      </c>
      <c r="K185" s="75">
        <v>0</v>
      </c>
      <c r="L185" s="6">
        <v>15.003</v>
      </c>
      <c r="M185" s="75">
        <v>15.003</v>
      </c>
      <c r="N185" s="6">
        <v>15.003</v>
      </c>
      <c r="O185" s="75">
        <v>15.003</v>
      </c>
      <c r="P185" s="6">
        <v>0</v>
      </c>
      <c r="Q185" s="4" t="s">
        <v>26</v>
      </c>
      <c r="R185" s="4">
        <v>0</v>
      </c>
      <c r="S185" s="4">
        <v>0</v>
      </c>
      <c r="T185" s="4">
        <v>12</v>
      </c>
      <c r="U185" s="4">
        <v>66</v>
      </c>
      <c r="V185" s="75">
        <f>IF(ISERROR(VLOOKUP($S$185,'TAR FIN'!$A$1:$O$93,15,0)),0,VLOOKUP($S$185,'TAR FIN'!$A$1:$O$93,15,0))</f>
        <v>0</v>
      </c>
      <c r="W185" s="75">
        <f>IF(ISERROR(VLOOKUP($T$185,'TAR FIN'!$A$1:$O$93,15,0)),0,VLOOKUP($T$185,'TAR FIN'!$A$1:$O$93,15,0))*(1-0.04)</f>
        <v>1079.712</v>
      </c>
      <c r="X185" s="75">
        <f>IF(ISERROR(VLOOKUP($U$185,'TAR FIN'!$A$1:$O$93,15,0)),0,VLOOKUP($U$185,'TAR FIN'!$A$1:$O$93,15,0))*(1-0.04)</f>
        <v>177.77279999999999</v>
      </c>
      <c r="Y185" s="75"/>
      <c r="Z185" s="75">
        <f ca="1">('TUSD BE'!$AM$15+'TUSD BF'!$AM$15+'TUSD CVA'!$AM$15)*1*(1-0.02)</f>
        <v>1276.3186645234982</v>
      </c>
      <c r="AA185" s="75">
        <f>('TE BE'!$AB$7+'TE BF'!$AB$7+'TE CVA'!$AB$7)*1*(1-0.02)</f>
        <v>194.21830884065065</v>
      </c>
      <c r="AB185" s="75">
        <f>(SUBSIDIO!$J$185*SUBSIDIO!$V$185)*(0.04)/(1-0.04)</f>
        <v>0</v>
      </c>
      <c r="AC185" s="75">
        <f>((SUBSIDIO!$L$185*SUBSIDIO!$W$185)+(SUBSIDIO!$N$185*SUBSIDIO!$X$185))*(0.04)/(1-0.04)</f>
        <v>786.08518560000005</v>
      </c>
      <c r="AD185" s="75">
        <f>(SUBSIDIO!$J$185*SUBSIDIO!$Y$185)*(0.02)/(1-0.02)</f>
        <v>0</v>
      </c>
      <c r="AE185" s="75">
        <f ca="1">((SUBSIDIO!$L$185*SUBSIDIO!$Z$185)+(SUBSIDIO!$N$185*SUBSIDIO!$AA$185))*(0.02)/(1-0.02)</f>
        <v>450.25441247719033</v>
      </c>
      <c r="AF185" s="4" t="s">
        <v>638</v>
      </c>
    </row>
    <row r="186" spans="1:32" ht="11.25" customHeight="1" x14ac:dyDescent="0.25">
      <c r="A186" s="4" t="s">
        <v>21</v>
      </c>
      <c r="B186" s="4" t="s">
        <v>35</v>
      </c>
      <c r="C186" s="4" t="s">
        <v>39</v>
      </c>
      <c r="D186" s="4" t="s">
        <v>42</v>
      </c>
      <c r="E186" s="4" t="s">
        <v>50</v>
      </c>
      <c r="F186" s="4" t="s">
        <v>51</v>
      </c>
      <c r="G186" s="4" t="s">
        <v>25</v>
      </c>
      <c r="H186" s="4" t="s">
        <v>37</v>
      </c>
      <c r="I186" s="5">
        <v>44409</v>
      </c>
      <c r="J186" s="6">
        <v>0</v>
      </c>
      <c r="K186" s="75">
        <v>0</v>
      </c>
      <c r="L186" s="6">
        <v>16.64</v>
      </c>
      <c r="M186" s="75">
        <v>16.64</v>
      </c>
      <c r="N186" s="6">
        <v>16.64</v>
      </c>
      <c r="O186" s="75">
        <v>16.64</v>
      </c>
      <c r="P186" s="6">
        <v>0</v>
      </c>
      <c r="Q186" s="4" t="s">
        <v>26</v>
      </c>
      <c r="R186" s="4">
        <v>0</v>
      </c>
      <c r="S186" s="4">
        <v>0</v>
      </c>
      <c r="T186" s="4">
        <v>12</v>
      </c>
      <c r="U186" s="4">
        <v>66</v>
      </c>
      <c r="V186" s="75">
        <f>IF(ISERROR(VLOOKUP($S$186,'TAR FIN'!$A$1:$O$93,15,0)),0,VLOOKUP($S$186,'TAR FIN'!$A$1:$O$93,15,0))</f>
        <v>0</v>
      </c>
      <c r="W186" s="75">
        <f>IF(ISERROR(VLOOKUP($T$186,'TAR FIN'!$A$1:$O$93,15,0)),0,VLOOKUP($T$186,'TAR FIN'!$A$1:$O$93,15,0))*(1-0.04)</f>
        <v>1079.712</v>
      </c>
      <c r="X186" s="75">
        <f>IF(ISERROR(VLOOKUP($U$186,'TAR FIN'!$A$1:$O$93,15,0)),0,VLOOKUP($U$186,'TAR FIN'!$A$1:$O$93,15,0))*(1-0.04)</f>
        <v>177.77279999999999</v>
      </c>
      <c r="Y186" s="75"/>
      <c r="Z186" s="75">
        <f ca="1">('TUSD BE'!$AM$15+'TUSD BF'!$AM$15+'TUSD CVA'!$AM$15)*1*(1-0.02)</f>
        <v>1276.3186645234982</v>
      </c>
      <c r="AA186" s="75">
        <f>('TE BE'!$AB$7+'TE BF'!$AB$7+'TE CVA'!$AB$7)*1*(1-0.02)</f>
        <v>194.21830884065065</v>
      </c>
      <c r="AB186" s="75">
        <f>(SUBSIDIO!$J$186*SUBSIDIO!$V$186)*(0.04)/(1-0.04)</f>
        <v>0</v>
      </c>
      <c r="AC186" s="75">
        <f>((SUBSIDIO!$L$186*SUBSIDIO!$W$186)+(SUBSIDIO!$N$186*SUBSIDIO!$X$186))*(0.04)/(1-0.04)</f>
        <v>871.85612800000013</v>
      </c>
      <c r="AD186" s="75">
        <f>(SUBSIDIO!$J$186*SUBSIDIO!$Y$186)*(0.02)/(1-0.02)</f>
        <v>0</v>
      </c>
      <c r="AE186" s="75">
        <f ca="1">((SUBSIDIO!$L$186*SUBSIDIO!$Z$186)+(SUBSIDIO!$N$186*SUBSIDIO!$AA$186))*(0.02)/(1-0.02)</f>
        <v>499.38235177100893</v>
      </c>
      <c r="AF186" s="4" t="s">
        <v>638</v>
      </c>
    </row>
    <row r="187" spans="1:32" ht="11.25" customHeight="1" x14ac:dyDescent="0.25">
      <c r="A187" s="4" t="s">
        <v>28</v>
      </c>
      <c r="B187" s="4" t="s">
        <v>35</v>
      </c>
      <c r="C187" s="4" t="s">
        <v>39</v>
      </c>
      <c r="D187" s="4" t="s">
        <v>42</v>
      </c>
      <c r="E187" s="4" t="s">
        <v>50</v>
      </c>
      <c r="F187" s="4" t="s">
        <v>51</v>
      </c>
      <c r="G187" s="4" t="s">
        <v>25</v>
      </c>
      <c r="H187" s="4" t="s">
        <v>37</v>
      </c>
      <c r="I187" s="5">
        <v>44409</v>
      </c>
      <c r="J187" s="6">
        <v>0</v>
      </c>
      <c r="K187" s="75">
        <v>0</v>
      </c>
      <c r="L187" s="6">
        <v>0.32500000000000001</v>
      </c>
      <c r="M187" s="75">
        <v>0.32500000000000001</v>
      </c>
      <c r="N187" s="6">
        <v>0.32500000000000001</v>
      </c>
      <c r="O187" s="75">
        <v>0.32500000000000001</v>
      </c>
      <c r="P187" s="6">
        <v>0</v>
      </c>
      <c r="Q187" s="4" t="s">
        <v>26</v>
      </c>
      <c r="R187" s="4">
        <v>0</v>
      </c>
      <c r="S187" s="4">
        <v>0</v>
      </c>
      <c r="T187" s="4">
        <v>12</v>
      </c>
      <c r="U187" s="4">
        <v>66</v>
      </c>
      <c r="V187" s="75">
        <f>IF(ISERROR(VLOOKUP($S$187,'TAR FIN'!$A$1:$O$93,15,0)),0,VLOOKUP($S$187,'TAR FIN'!$A$1:$O$93,15,0))</f>
        <v>0</v>
      </c>
      <c r="W187" s="75">
        <f>IF(ISERROR(VLOOKUP($T$187,'TAR FIN'!$A$1:$O$93,15,0)),0,VLOOKUP($T$187,'TAR FIN'!$A$1:$O$93,15,0))*(1-0.04)</f>
        <v>1079.712</v>
      </c>
      <c r="X187" s="75">
        <f>IF(ISERROR(VLOOKUP($U$187,'TAR FIN'!$A$1:$O$93,15,0)),0,VLOOKUP($U$187,'TAR FIN'!$A$1:$O$93,15,0))*(1-0.04)</f>
        <v>177.77279999999999</v>
      </c>
      <c r="Y187" s="75"/>
      <c r="Z187" s="75">
        <f ca="1">('TUSD BE'!$AM$15+'TUSD BF'!$AM$15+'TUSD CVA'!$AM$15)*1*(1-0.02)</f>
        <v>1276.3186645234982</v>
      </c>
      <c r="AA187" s="75">
        <f>('TE BE'!$AB$7+'TE BF'!$AB$7+'TE CVA'!$AB$7)*1*(1-0.02)</f>
        <v>194.21830884065065</v>
      </c>
      <c r="AB187" s="75">
        <f>(SUBSIDIO!$J$187*SUBSIDIO!$V$187)*(0.04)/(1-0.04)</f>
        <v>0</v>
      </c>
      <c r="AC187" s="75">
        <f>((SUBSIDIO!$L$187*SUBSIDIO!$W$187)+(SUBSIDIO!$N$187*SUBSIDIO!$X$187))*(0.04)/(1-0.04)</f>
        <v>17.02844</v>
      </c>
      <c r="AD187" s="75">
        <f>(SUBSIDIO!$J$187*SUBSIDIO!$Y$187)*(0.02)/(1-0.02)</f>
        <v>0</v>
      </c>
      <c r="AE187" s="75">
        <f ca="1">((SUBSIDIO!$L$187*SUBSIDIO!$Z$187)+(SUBSIDIO!$N$187*SUBSIDIO!$AA$187))*(0.02)/(1-0.02)</f>
        <v>9.7535615580275206</v>
      </c>
      <c r="AF187" s="4" t="s">
        <v>638</v>
      </c>
    </row>
    <row r="188" spans="1:32" ht="11.25" customHeight="1" x14ac:dyDescent="0.25">
      <c r="A188" s="4" t="s">
        <v>21</v>
      </c>
      <c r="B188" s="4" t="s">
        <v>35</v>
      </c>
      <c r="C188" s="4" t="s">
        <v>39</v>
      </c>
      <c r="D188" s="4" t="s">
        <v>42</v>
      </c>
      <c r="E188" s="4" t="s">
        <v>50</v>
      </c>
      <c r="F188" s="4" t="s">
        <v>51</v>
      </c>
      <c r="G188" s="4" t="s">
        <v>25</v>
      </c>
      <c r="H188" s="4" t="s">
        <v>37</v>
      </c>
      <c r="I188" s="5">
        <v>44440</v>
      </c>
      <c r="J188" s="6">
        <v>0</v>
      </c>
      <c r="K188" s="75">
        <v>0</v>
      </c>
      <c r="L188" s="6">
        <v>21.83</v>
      </c>
      <c r="M188" s="75">
        <v>21.83</v>
      </c>
      <c r="N188" s="6">
        <v>21.83</v>
      </c>
      <c r="O188" s="75">
        <v>21.83</v>
      </c>
      <c r="P188" s="6">
        <v>0</v>
      </c>
      <c r="Q188" s="4" t="s">
        <v>26</v>
      </c>
      <c r="R188" s="4">
        <v>0</v>
      </c>
      <c r="S188" s="4">
        <v>0</v>
      </c>
      <c r="T188" s="4">
        <v>12</v>
      </c>
      <c r="U188" s="4">
        <v>66</v>
      </c>
      <c r="V188" s="75">
        <f>IF(ISERROR(VLOOKUP($S$188,'TAR FIN'!$A$1:$O$93,15,0)),0,VLOOKUP($S$188,'TAR FIN'!$A$1:$O$93,15,0))</f>
        <v>0</v>
      </c>
      <c r="W188" s="75">
        <f>IF(ISERROR(VLOOKUP($T$188,'TAR FIN'!$A$1:$O$93,15,0)),0,VLOOKUP($T$188,'TAR FIN'!$A$1:$O$93,15,0))*(1-0.04)</f>
        <v>1079.712</v>
      </c>
      <c r="X188" s="75">
        <f>IF(ISERROR(VLOOKUP($U$188,'TAR FIN'!$A$1:$O$93,15,0)),0,VLOOKUP($U$188,'TAR FIN'!$A$1:$O$93,15,0))*(1-0.04)</f>
        <v>177.77279999999999</v>
      </c>
      <c r="Y188" s="75"/>
      <c r="Z188" s="75">
        <f ca="1">('TUSD BE'!$AM$15+'TUSD BF'!$AM$15+'TUSD CVA'!$AM$15)*1*(1-0.02)</f>
        <v>1276.3186645234982</v>
      </c>
      <c r="AA188" s="75">
        <f>('TE BE'!$AB$7+'TE BF'!$AB$7+'TE CVA'!$AB$7)*1*(1-0.02)</f>
        <v>194.21830884065065</v>
      </c>
      <c r="AB188" s="75">
        <f>(SUBSIDIO!$J$188*SUBSIDIO!$V$188)*(0.04)/(1-0.04)</f>
        <v>0</v>
      </c>
      <c r="AC188" s="75">
        <f>((SUBSIDIO!$L$188*SUBSIDIO!$W$188)+(SUBSIDIO!$N$188*SUBSIDIO!$X$188))*(0.04)/(1-0.04)</f>
        <v>1143.7872159999999</v>
      </c>
      <c r="AD188" s="75">
        <f>(SUBSIDIO!$J$188*SUBSIDIO!$Y$188)*(0.02)/(1-0.02)</f>
        <v>0</v>
      </c>
      <c r="AE188" s="75">
        <f ca="1">((SUBSIDIO!$L$188*SUBSIDIO!$Z$188)+(SUBSIDIO!$N$188*SUBSIDIO!$AA$188))*(0.02)/(1-0.02)</f>
        <v>655.13922711304838</v>
      </c>
      <c r="AF188" s="4" t="s">
        <v>638</v>
      </c>
    </row>
    <row r="189" spans="1:32" ht="11.25" customHeight="1" x14ac:dyDescent="0.25">
      <c r="A189" s="4" t="s">
        <v>28</v>
      </c>
      <c r="B189" s="4" t="s">
        <v>35</v>
      </c>
      <c r="C189" s="4" t="s">
        <v>39</v>
      </c>
      <c r="D189" s="4" t="s">
        <v>42</v>
      </c>
      <c r="E189" s="4" t="s">
        <v>50</v>
      </c>
      <c r="F189" s="4" t="s">
        <v>51</v>
      </c>
      <c r="G189" s="4" t="s">
        <v>25</v>
      </c>
      <c r="H189" s="4" t="s">
        <v>37</v>
      </c>
      <c r="I189" s="5">
        <v>44440</v>
      </c>
      <c r="J189" s="6">
        <v>0</v>
      </c>
      <c r="K189" s="75">
        <v>0</v>
      </c>
      <c r="L189" s="6">
        <v>0.42799999999999999</v>
      </c>
      <c r="M189" s="75">
        <v>0.42799999999999999</v>
      </c>
      <c r="N189" s="6">
        <v>0.42799999999999999</v>
      </c>
      <c r="O189" s="75">
        <v>0.42799999999999999</v>
      </c>
      <c r="P189" s="6">
        <v>0</v>
      </c>
      <c r="Q189" s="4" t="s">
        <v>26</v>
      </c>
      <c r="R189" s="4">
        <v>0</v>
      </c>
      <c r="S189" s="4">
        <v>0</v>
      </c>
      <c r="T189" s="4">
        <v>12</v>
      </c>
      <c r="U189" s="4">
        <v>66</v>
      </c>
      <c r="V189" s="75">
        <f>IF(ISERROR(VLOOKUP($S$189,'TAR FIN'!$A$1:$O$93,15,0)),0,VLOOKUP($S$189,'TAR FIN'!$A$1:$O$93,15,0))</f>
        <v>0</v>
      </c>
      <c r="W189" s="75">
        <f>IF(ISERROR(VLOOKUP($T$189,'TAR FIN'!$A$1:$O$93,15,0)),0,VLOOKUP($T$189,'TAR FIN'!$A$1:$O$93,15,0))*(1-0.04)</f>
        <v>1079.712</v>
      </c>
      <c r="X189" s="75">
        <f>IF(ISERROR(VLOOKUP($U$189,'TAR FIN'!$A$1:$O$93,15,0)),0,VLOOKUP($U$189,'TAR FIN'!$A$1:$O$93,15,0))*(1-0.04)</f>
        <v>177.77279999999999</v>
      </c>
      <c r="Y189" s="75"/>
      <c r="Z189" s="75">
        <f ca="1">('TUSD BE'!$AM$15+'TUSD BF'!$AM$15+'TUSD CVA'!$AM$15)*1*(1-0.02)</f>
        <v>1276.3186645234982</v>
      </c>
      <c r="AA189" s="75">
        <f>('TE BE'!$AB$7+'TE BF'!$AB$7+'TE CVA'!$AB$7)*1*(1-0.02)</f>
        <v>194.21830884065065</v>
      </c>
      <c r="AB189" s="75">
        <f>(SUBSIDIO!$J$189*SUBSIDIO!$V$189)*(0.04)/(1-0.04)</f>
        <v>0</v>
      </c>
      <c r="AC189" s="75">
        <f>((SUBSIDIO!$L$189*SUBSIDIO!$W$189)+(SUBSIDIO!$N$189*SUBSIDIO!$X$189))*(0.04)/(1-0.04)</f>
        <v>22.4251456</v>
      </c>
      <c r="AD189" s="75">
        <f>(SUBSIDIO!$J$189*SUBSIDIO!$Y$189)*(0.02)/(1-0.02)</f>
        <v>0</v>
      </c>
      <c r="AE189" s="75">
        <f ca="1">((SUBSIDIO!$L$189*SUBSIDIO!$Z$189)+(SUBSIDIO!$N$189*SUBSIDIO!$AA$189))*(0.02)/(1-0.02)</f>
        <v>12.844690297956239</v>
      </c>
      <c r="AF189" s="4" t="s">
        <v>638</v>
      </c>
    </row>
    <row r="190" spans="1:32" ht="11.25" customHeight="1" x14ac:dyDescent="0.25">
      <c r="A190" s="4" t="s">
        <v>21</v>
      </c>
      <c r="B190" s="4" t="s">
        <v>35</v>
      </c>
      <c r="C190" s="4" t="s">
        <v>39</v>
      </c>
      <c r="D190" s="4" t="s">
        <v>42</v>
      </c>
      <c r="E190" s="4" t="s">
        <v>50</v>
      </c>
      <c r="F190" s="4" t="s">
        <v>51</v>
      </c>
      <c r="G190" s="4" t="s">
        <v>25</v>
      </c>
      <c r="H190" s="4" t="s">
        <v>37</v>
      </c>
      <c r="I190" s="5">
        <v>44470</v>
      </c>
      <c r="J190" s="6">
        <v>0</v>
      </c>
      <c r="K190" s="75">
        <v>0</v>
      </c>
      <c r="L190" s="6">
        <v>18.888999999999999</v>
      </c>
      <c r="M190" s="75">
        <v>18.888999999999999</v>
      </c>
      <c r="N190" s="6">
        <v>18.888999999999999</v>
      </c>
      <c r="O190" s="75">
        <v>18.888999999999999</v>
      </c>
      <c r="P190" s="6">
        <v>0</v>
      </c>
      <c r="Q190" s="4" t="s">
        <v>26</v>
      </c>
      <c r="R190" s="4">
        <v>0</v>
      </c>
      <c r="S190" s="4">
        <v>0</v>
      </c>
      <c r="T190" s="4">
        <v>12</v>
      </c>
      <c r="U190" s="4">
        <v>66</v>
      </c>
      <c r="V190" s="75">
        <f>IF(ISERROR(VLOOKUP($S$190,'TAR FIN'!$A$1:$O$93,15,0)),0,VLOOKUP($S$190,'TAR FIN'!$A$1:$O$93,15,0))</f>
        <v>0</v>
      </c>
      <c r="W190" s="75">
        <f>IF(ISERROR(VLOOKUP($T$190,'TAR FIN'!$A$1:$O$93,15,0)),0,VLOOKUP($T$190,'TAR FIN'!$A$1:$O$93,15,0))*(1-0.04)</f>
        <v>1079.712</v>
      </c>
      <c r="X190" s="75">
        <f>IF(ISERROR(VLOOKUP($U$190,'TAR FIN'!$A$1:$O$93,15,0)),0,VLOOKUP($U$190,'TAR FIN'!$A$1:$O$93,15,0))*(1-0.04)</f>
        <v>177.77279999999999</v>
      </c>
      <c r="Y190" s="75"/>
      <c r="Z190" s="75">
        <f ca="1">('TUSD BE'!$AM$15+'TUSD BF'!$AM$15+'TUSD CVA'!$AM$15)*1*(1-0.02)</f>
        <v>1276.3186645234982</v>
      </c>
      <c r="AA190" s="75">
        <f>('TE BE'!$AB$7+'TE BF'!$AB$7+'TE CVA'!$AB$7)*1*(1-0.02)</f>
        <v>194.21830884065065</v>
      </c>
      <c r="AB190" s="75">
        <f>(SUBSIDIO!$J$190*SUBSIDIO!$V$190)*(0.04)/(1-0.04)</f>
        <v>0</v>
      </c>
      <c r="AC190" s="75">
        <f>((SUBSIDIO!$L$190*SUBSIDIO!$W$190)+(SUBSIDIO!$N$190*SUBSIDIO!$X$190))*(0.04)/(1-0.04)</f>
        <v>989.69293279999999</v>
      </c>
      <c r="AD190" s="75">
        <f>(SUBSIDIO!$J$190*SUBSIDIO!$Y$190)*(0.02)/(1-0.02)</f>
        <v>0</v>
      </c>
      <c r="AE190" s="75">
        <f ca="1">((SUBSIDIO!$L$190*SUBSIDIO!$Z$190)+(SUBSIDIO!$N$190*SUBSIDIO!$AA$190))*(0.02)/(1-0.02)</f>
        <v>566.8769977525593</v>
      </c>
      <c r="AF190" s="4" t="s">
        <v>638</v>
      </c>
    </row>
    <row r="191" spans="1:32" ht="11.25" customHeight="1" x14ac:dyDescent="0.25">
      <c r="A191" s="4" t="s">
        <v>21</v>
      </c>
      <c r="B191" s="4" t="s">
        <v>35</v>
      </c>
      <c r="C191" s="4" t="s">
        <v>39</v>
      </c>
      <c r="D191" s="4" t="s">
        <v>42</v>
      </c>
      <c r="E191" s="4" t="s">
        <v>50</v>
      </c>
      <c r="F191" s="4" t="s">
        <v>51</v>
      </c>
      <c r="G191" s="4" t="s">
        <v>25</v>
      </c>
      <c r="H191" s="4" t="s">
        <v>37</v>
      </c>
      <c r="I191" s="5">
        <v>44501</v>
      </c>
      <c r="J191" s="6">
        <v>0</v>
      </c>
      <c r="K191" s="75">
        <v>0</v>
      </c>
      <c r="L191" s="6">
        <v>20.326000000000001</v>
      </c>
      <c r="M191" s="75">
        <v>20.326000000000001</v>
      </c>
      <c r="N191" s="6">
        <v>20.326000000000001</v>
      </c>
      <c r="O191" s="75">
        <v>20.326000000000001</v>
      </c>
      <c r="P191" s="6">
        <v>0</v>
      </c>
      <c r="Q191" s="4" t="s">
        <v>26</v>
      </c>
      <c r="R191" s="4">
        <v>0</v>
      </c>
      <c r="S191" s="4">
        <v>0</v>
      </c>
      <c r="T191" s="4">
        <v>12</v>
      </c>
      <c r="U191" s="4">
        <v>66</v>
      </c>
      <c r="V191" s="75">
        <f>IF(ISERROR(VLOOKUP($S$191,'TAR FIN'!$A$1:$O$93,15,0)),0,VLOOKUP($S$191,'TAR FIN'!$A$1:$O$93,15,0))</f>
        <v>0</v>
      </c>
      <c r="W191" s="75">
        <f>IF(ISERROR(VLOOKUP($T$191,'TAR FIN'!$A$1:$O$93,15,0)),0,VLOOKUP($T$191,'TAR FIN'!$A$1:$O$93,15,0))*(1-0.04)</f>
        <v>1079.712</v>
      </c>
      <c r="X191" s="75">
        <f>IF(ISERROR(VLOOKUP($U$191,'TAR FIN'!$A$1:$O$93,15,0)),0,VLOOKUP($U$191,'TAR FIN'!$A$1:$O$93,15,0))*(1-0.04)</f>
        <v>177.77279999999999</v>
      </c>
      <c r="Y191" s="75"/>
      <c r="Z191" s="75">
        <f ca="1">('TUSD BE'!$AM$15+'TUSD BF'!$AM$15+'TUSD CVA'!$AM$15)*1*(1-0.02)</f>
        <v>1276.3186645234982</v>
      </c>
      <c r="AA191" s="75">
        <f>('TE BE'!$AB$7+'TE BF'!$AB$7+'TE CVA'!$AB$7)*1*(1-0.02)</f>
        <v>194.21830884065065</v>
      </c>
      <c r="AB191" s="75">
        <f>(SUBSIDIO!$J$191*SUBSIDIO!$V$191)*(0.04)/(1-0.04)</f>
        <v>0</v>
      </c>
      <c r="AC191" s="75">
        <f>((SUBSIDIO!$L$191*SUBSIDIO!$W$191)+(SUBSIDIO!$N$191*SUBSIDIO!$X$191))*(0.04)/(1-0.04)</f>
        <v>1064.9848352000001</v>
      </c>
      <c r="AD191" s="75">
        <f>(SUBSIDIO!$J$191*SUBSIDIO!$Y$191)*(0.02)/(1-0.02)</f>
        <v>0</v>
      </c>
      <c r="AE191" s="75">
        <f ca="1">((SUBSIDIO!$L$191*SUBSIDIO!$Z$191)+(SUBSIDIO!$N$191*SUBSIDIO!$AA$191))*(0.02)/(1-0.02)</f>
        <v>610.00274531836101</v>
      </c>
      <c r="AF191" s="4" t="s">
        <v>638</v>
      </c>
    </row>
    <row r="192" spans="1:32" ht="11.25" customHeight="1" x14ac:dyDescent="0.25">
      <c r="A192" s="4" t="s">
        <v>27</v>
      </c>
      <c r="B192" s="4" t="s">
        <v>35</v>
      </c>
      <c r="C192" s="4" t="s">
        <v>39</v>
      </c>
      <c r="D192" s="4" t="s">
        <v>42</v>
      </c>
      <c r="E192" s="4" t="s">
        <v>50</v>
      </c>
      <c r="F192" s="4" t="s">
        <v>51</v>
      </c>
      <c r="G192" s="4" t="s">
        <v>25</v>
      </c>
      <c r="H192" s="4" t="s">
        <v>37</v>
      </c>
      <c r="I192" s="5">
        <v>44501</v>
      </c>
      <c r="J192" s="6">
        <v>0</v>
      </c>
      <c r="K192" s="75">
        <v>0</v>
      </c>
      <c r="L192" s="6">
        <v>-6.0999999999999999E-2</v>
      </c>
      <c r="M192" s="75">
        <v>-6.0999999999999999E-2</v>
      </c>
      <c r="N192" s="6">
        <v>-6.0999999999999999E-2</v>
      </c>
      <c r="O192" s="75">
        <v>-6.0999999999999999E-2</v>
      </c>
      <c r="P192" s="6">
        <v>0</v>
      </c>
      <c r="Q192" s="4" t="s">
        <v>26</v>
      </c>
      <c r="R192" s="4">
        <v>0</v>
      </c>
      <c r="S192" s="4">
        <v>0</v>
      </c>
      <c r="T192" s="4">
        <v>12</v>
      </c>
      <c r="U192" s="4">
        <v>66</v>
      </c>
      <c r="V192" s="75">
        <f>IF(ISERROR(VLOOKUP($S$192,'TAR FIN'!$A$1:$O$93,15,0)),0,VLOOKUP($S$192,'TAR FIN'!$A$1:$O$93,15,0))</f>
        <v>0</v>
      </c>
      <c r="W192" s="75">
        <f>IF(ISERROR(VLOOKUP($T$192,'TAR FIN'!$A$1:$O$93,15,0)),0,VLOOKUP($T$192,'TAR FIN'!$A$1:$O$93,15,0))*(1-0.04)</f>
        <v>1079.712</v>
      </c>
      <c r="X192" s="75">
        <f>IF(ISERROR(VLOOKUP($U$192,'TAR FIN'!$A$1:$O$93,15,0)),0,VLOOKUP($U$192,'TAR FIN'!$A$1:$O$93,15,0))*(1-0.04)</f>
        <v>177.77279999999999</v>
      </c>
      <c r="Y192" s="75"/>
      <c r="Z192" s="75">
        <f ca="1">('TUSD BE'!$AM$15+'TUSD BF'!$AM$15+'TUSD CVA'!$AM$15)*1*(1-0.02)</f>
        <v>1276.3186645234982</v>
      </c>
      <c r="AA192" s="75">
        <f>('TE BE'!$AB$7+'TE BF'!$AB$7+'TE CVA'!$AB$7)*1*(1-0.02)</f>
        <v>194.21830884065065</v>
      </c>
      <c r="AB192" s="75">
        <f>(SUBSIDIO!$J$192*SUBSIDIO!$V$192)*(0.04)/(1-0.04)</f>
        <v>0</v>
      </c>
      <c r="AC192" s="75">
        <f>((SUBSIDIO!$L$192*SUBSIDIO!$W$192)+(SUBSIDIO!$N$192*SUBSIDIO!$X$192))*(0.04)/(1-0.04)</f>
        <v>-3.1961072000000001</v>
      </c>
      <c r="AD192" s="75">
        <f>(SUBSIDIO!$J$192*SUBSIDIO!$Y$192)*(0.02)/(1-0.02)</f>
        <v>0</v>
      </c>
      <c r="AE192" s="75">
        <f ca="1">((SUBSIDIO!$L$192*SUBSIDIO!$Z$192)+(SUBSIDIO!$N$192*SUBSIDIO!$AA$192))*(0.02)/(1-0.02)</f>
        <v>-1.8306684770451647</v>
      </c>
      <c r="AF192" s="4" t="s">
        <v>638</v>
      </c>
    </row>
    <row r="193" spans="1:32" ht="11.25" customHeight="1" x14ac:dyDescent="0.25">
      <c r="A193" s="4" t="s">
        <v>28</v>
      </c>
      <c r="B193" s="4" t="s">
        <v>35</v>
      </c>
      <c r="C193" s="4" t="s">
        <v>39</v>
      </c>
      <c r="D193" s="4" t="s">
        <v>42</v>
      </c>
      <c r="E193" s="4" t="s">
        <v>50</v>
      </c>
      <c r="F193" s="4" t="s">
        <v>51</v>
      </c>
      <c r="G193" s="4" t="s">
        <v>25</v>
      </c>
      <c r="H193" s="4" t="s">
        <v>37</v>
      </c>
      <c r="I193" s="5">
        <v>44501</v>
      </c>
      <c r="J193" s="6">
        <v>0</v>
      </c>
      <c r="K193" s="75">
        <v>0</v>
      </c>
      <c r="L193" s="6">
        <v>0.48199999999999998</v>
      </c>
      <c r="M193" s="75">
        <v>0.48199999999999998</v>
      </c>
      <c r="N193" s="6">
        <v>0.48199999999999998</v>
      </c>
      <c r="O193" s="75">
        <v>0.48199999999999998</v>
      </c>
      <c r="P193" s="6">
        <v>0</v>
      </c>
      <c r="Q193" s="4" t="s">
        <v>26</v>
      </c>
      <c r="R193" s="4">
        <v>0</v>
      </c>
      <c r="S193" s="4">
        <v>0</v>
      </c>
      <c r="T193" s="4">
        <v>12</v>
      </c>
      <c r="U193" s="4">
        <v>66</v>
      </c>
      <c r="V193" s="75">
        <f>IF(ISERROR(VLOOKUP($S$193,'TAR FIN'!$A$1:$O$93,15,0)),0,VLOOKUP($S$193,'TAR FIN'!$A$1:$O$93,15,0))</f>
        <v>0</v>
      </c>
      <c r="W193" s="75">
        <f>IF(ISERROR(VLOOKUP($T$193,'TAR FIN'!$A$1:$O$93,15,0)),0,VLOOKUP($T$193,'TAR FIN'!$A$1:$O$93,15,0))*(1-0.04)</f>
        <v>1079.712</v>
      </c>
      <c r="X193" s="75">
        <f>IF(ISERROR(VLOOKUP($U$193,'TAR FIN'!$A$1:$O$93,15,0)),0,VLOOKUP($U$193,'TAR FIN'!$A$1:$O$93,15,0))*(1-0.04)</f>
        <v>177.77279999999999</v>
      </c>
      <c r="Y193" s="75"/>
      <c r="Z193" s="75">
        <f ca="1">('TUSD BE'!$AM$15+'TUSD BF'!$AM$15+'TUSD CVA'!$AM$15)*1*(1-0.02)</f>
        <v>1276.3186645234982</v>
      </c>
      <c r="AA193" s="75">
        <f>('TE BE'!$AB$7+'TE BF'!$AB$7+'TE CVA'!$AB$7)*1*(1-0.02)</f>
        <v>194.21830884065065</v>
      </c>
      <c r="AB193" s="75">
        <f>(SUBSIDIO!$J$193*SUBSIDIO!$V$193)*(0.04)/(1-0.04)</f>
        <v>0</v>
      </c>
      <c r="AC193" s="75">
        <f>((SUBSIDIO!$L$193*SUBSIDIO!$W$193)+(SUBSIDIO!$N$193*SUBSIDIO!$X$193))*(0.04)/(1-0.04)</f>
        <v>25.254486399999994</v>
      </c>
      <c r="AD193" s="75">
        <f>(SUBSIDIO!$J$193*SUBSIDIO!$Y$193)*(0.02)/(1-0.02)</f>
        <v>0</v>
      </c>
      <c r="AE193" s="75">
        <f ca="1">((SUBSIDIO!$L$193*SUBSIDIO!$Z$193)+(SUBSIDIO!$N$193*SUBSIDIO!$AA$193))*(0.02)/(1-0.02)</f>
        <v>14.465282064520812</v>
      </c>
      <c r="AF193" s="4" t="s">
        <v>638</v>
      </c>
    </row>
    <row r="194" spans="1:32" ht="11.25" customHeight="1" x14ac:dyDescent="0.25">
      <c r="A194" s="4" t="s">
        <v>21</v>
      </c>
      <c r="B194" s="4" t="s">
        <v>35</v>
      </c>
      <c r="C194" s="4" t="s">
        <v>39</v>
      </c>
      <c r="D194" s="4" t="s">
        <v>42</v>
      </c>
      <c r="E194" s="4" t="s">
        <v>50</v>
      </c>
      <c r="F194" s="4" t="s">
        <v>51</v>
      </c>
      <c r="G194" s="4" t="s">
        <v>25</v>
      </c>
      <c r="H194" s="4" t="s">
        <v>37</v>
      </c>
      <c r="I194" s="5">
        <v>44531</v>
      </c>
      <c r="J194" s="6">
        <v>0</v>
      </c>
      <c r="K194" s="75">
        <v>0</v>
      </c>
      <c r="L194" s="6">
        <v>60.673000000000002</v>
      </c>
      <c r="M194" s="75">
        <v>60.673000000000002</v>
      </c>
      <c r="N194" s="6">
        <v>60.673000000000002</v>
      </c>
      <c r="O194" s="75">
        <v>60.673000000000002</v>
      </c>
      <c r="P194" s="6">
        <v>0</v>
      </c>
      <c r="Q194" s="4" t="s">
        <v>26</v>
      </c>
      <c r="R194" s="4">
        <v>0</v>
      </c>
      <c r="S194" s="4">
        <v>0</v>
      </c>
      <c r="T194" s="4">
        <v>12</v>
      </c>
      <c r="U194" s="4">
        <v>66</v>
      </c>
      <c r="V194" s="75">
        <f>IF(ISERROR(VLOOKUP($S$194,'TAR FIN'!$A$1:$O$93,15,0)),0,VLOOKUP($S$194,'TAR FIN'!$A$1:$O$93,15,0))</f>
        <v>0</v>
      </c>
      <c r="W194" s="75">
        <f>IF(ISERROR(VLOOKUP($T$194,'TAR FIN'!$A$1:$O$93,15,0)),0,VLOOKUP($T$194,'TAR FIN'!$A$1:$O$93,15,0))*(1-0.04)</f>
        <v>1079.712</v>
      </c>
      <c r="X194" s="75">
        <f>IF(ISERROR(VLOOKUP($U$194,'TAR FIN'!$A$1:$O$93,15,0)),0,VLOOKUP($U$194,'TAR FIN'!$A$1:$O$93,15,0))*(1-0.04)</f>
        <v>177.77279999999999</v>
      </c>
      <c r="Y194" s="75"/>
      <c r="Z194" s="75">
        <f ca="1">('TUSD BE'!$AM$15+'TUSD BF'!$AM$15+'TUSD CVA'!$AM$15)*1*(1-0.02)</f>
        <v>1276.3186645234982</v>
      </c>
      <c r="AA194" s="75">
        <f>('TE BE'!$AB$7+'TE BF'!$AB$7+'TE CVA'!$AB$7)*1*(1-0.02)</f>
        <v>194.21830884065065</v>
      </c>
      <c r="AB194" s="75">
        <f>(SUBSIDIO!$J$194*SUBSIDIO!$V$194)*(0.04)/(1-0.04)</f>
        <v>0</v>
      </c>
      <c r="AC194" s="75">
        <f>((SUBSIDIO!$L$194*SUBSIDIO!$W$194)+(SUBSIDIO!$N$194*SUBSIDIO!$X$194))*(0.04)/(1-0.04)</f>
        <v>3178.9739696000006</v>
      </c>
      <c r="AD194" s="75">
        <f>(SUBSIDIO!$J$194*SUBSIDIO!$Y$194)*(0.02)/(1-0.02)</f>
        <v>0</v>
      </c>
      <c r="AE194" s="75">
        <f ca="1">((SUBSIDIO!$L$194*SUBSIDIO!$Z$194)+(SUBSIDIO!$N$194*SUBSIDIO!$AA$194))*(0.02)/(1-0.02)</f>
        <v>1820.854893569857</v>
      </c>
      <c r="AF194" s="4" t="s">
        <v>638</v>
      </c>
    </row>
    <row r="195" spans="1:32" ht="11.25" customHeight="1" x14ac:dyDescent="0.25">
      <c r="A195" s="4" t="s">
        <v>21</v>
      </c>
      <c r="B195" s="4" t="s">
        <v>35</v>
      </c>
      <c r="C195" s="4" t="s">
        <v>39</v>
      </c>
      <c r="D195" s="4" t="s">
        <v>42</v>
      </c>
      <c r="E195" s="4" t="s">
        <v>50</v>
      </c>
      <c r="F195" s="4" t="s">
        <v>51</v>
      </c>
      <c r="G195" s="4" t="s">
        <v>25</v>
      </c>
      <c r="H195" s="4" t="s">
        <v>37</v>
      </c>
      <c r="I195" s="5">
        <v>44562</v>
      </c>
      <c r="J195" s="6">
        <v>0</v>
      </c>
      <c r="K195" s="75">
        <v>0</v>
      </c>
      <c r="L195" s="6">
        <v>126.414</v>
      </c>
      <c r="M195" s="75">
        <v>126.414</v>
      </c>
      <c r="N195" s="6">
        <v>126.414</v>
      </c>
      <c r="O195" s="75">
        <v>126.414</v>
      </c>
      <c r="P195" s="6">
        <v>0</v>
      </c>
      <c r="Q195" s="4" t="s">
        <v>26</v>
      </c>
      <c r="R195" s="4">
        <v>0</v>
      </c>
      <c r="S195" s="4">
        <v>0</v>
      </c>
      <c r="T195" s="4">
        <v>12</v>
      </c>
      <c r="U195" s="4">
        <v>66</v>
      </c>
      <c r="V195" s="75">
        <f>IF(ISERROR(VLOOKUP($S$195,'TAR FIN'!$A$1:$O$93,15,0)),0,VLOOKUP($S$195,'TAR FIN'!$A$1:$O$93,15,0))</f>
        <v>0</v>
      </c>
      <c r="W195" s="75">
        <f>IF(ISERROR(VLOOKUP($T$195,'TAR FIN'!$A$1:$O$93,15,0)),0,VLOOKUP($T$195,'TAR FIN'!$A$1:$O$93,15,0))*(1-0.04)</f>
        <v>1079.712</v>
      </c>
      <c r="X195" s="75">
        <f>IF(ISERROR(VLOOKUP($U$195,'TAR FIN'!$A$1:$O$93,15,0)),0,VLOOKUP($U$195,'TAR FIN'!$A$1:$O$93,15,0))*(1-0.04)</f>
        <v>177.77279999999999</v>
      </c>
      <c r="Y195" s="75"/>
      <c r="Z195" s="75">
        <f ca="1">('TUSD BE'!$AM$15+'TUSD BF'!$AM$15+'TUSD CVA'!$AM$15)*1*(1-0.02)</f>
        <v>1276.3186645234982</v>
      </c>
      <c r="AA195" s="75">
        <f>('TE BE'!$AB$7+'TE BF'!$AB$7+'TE CVA'!$AB$7)*1*(1-0.02)</f>
        <v>194.21830884065065</v>
      </c>
      <c r="AB195" s="75">
        <f>(SUBSIDIO!$J$195*SUBSIDIO!$V$195)*(0.04)/(1-0.04)</f>
        <v>0</v>
      </c>
      <c r="AC195" s="75">
        <f>((SUBSIDIO!$L$195*SUBSIDIO!$W$195)+(SUBSIDIO!$N$195*SUBSIDIO!$X$195))*(0.04)/(1-0.04)</f>
        <v>6623.4868127999998</v>
      </c>
      <c r="AD195" s="75">
        <f>(SUBSIDIO!$J$195*SUBSIDIO!$Y$195)*(0.02)/(1-0.02)</f>
        <v>0</v>
      </c>
      <c r="AE195" s="75">
        <f ca="1">((SUBSIDIO!$L$195*SUBSIDIO!$Z$195)+(SUBSIDIO!$N$195*SUBSIDIO!$AA$195))*(0.02)/(1-0.02)</f>
        <v>3793.8053255276636</v>
      </c>
      <c r="AF195" s="4" t="s">
        <v>638</v>
      </c>
    </row>
    <row r="196" spans="1:32" ht="11.25" customHeight="1" x14ac:dyDescent="0.25">
      <c r="A196" s="4" t="s">
        <v>28</v>
      </c>
      <c r="B196" s="4" t="s">
        <v>35</v>
      </c>
      <c r="C196" s="4" t="s">
        <v>39</v>
      </c>
      <c r="D196" s="4" t="s">
        <v>42</v>
      </c>
      <c r="E196" s="4" t="s">
        <v>50</v>
      </c>
      <c r="F196" s="4" t="s">
        <v>51</v>
      </c>
      <c r="G196" s="4" t="s">
        <v>25</v>
      </c>
      <c r="H196" s="4" t="s">
        <v>37</v>
      </c>
      <c r="I196" s="5">
        <v>44562</v>
      </c>
      <c r="J196" s="6">
        <v>0</v>
      </c>
      <c r="K196" s="75">
        <v>0</v>
      </c>
      <c r="L196" s="6">
        <v>0.40500000000000003</v>
      </c>
      <c r="M196" s="75">
        <v>0.40500000000000003</v>
      </c>
      <c r="N196" s="6">
        <v>0.40500000000000003</v>
      </c>
      <c r="O196" s="75">
        <v>0.40500000000000003</v>
      </c>
      <c r="P196" s="6">
        <v>0</v>
      </c>
      <c r="Q196" s="4" t="s">
        <v>26</v>
      </c>
      <c r="R196" s="4">
        <v>0</v>
      </c>
      <c r="S196" s="4">
        <v>0</v>
      </c>
      <c r="T196" s="4">
        <v>12</v>
      </c>
      <c r="U196" s="4">
        <v>66</v>
      </c>
      <c r="V196" s="75">
        <f>IF(ISERROR(VLOOKUP($S$196,'TAR FIN'!$A$1:$O$93,15,0)),0,VLOOKUP($S$196,'TAR FIN'!$A$1:$O$93,15,0))</f>
        <v>0</v>
      </c>
      <c r="W196" s="75">
        <f>IF(ISERROR(VLOOKUP($T$196,'TAR FIN'!$A$1:$O$93,15,0)),0,VLOOKUP($T$196,'TAR FIN'!$A$1:$O$93,15,0))*(1-0.04)</f>
        <v>1079.712</v>
      </c>
      <c r="X196" s="75">
        <f>IF(ISERROR(VLOOKUP($U$196,'TAR FIN'!$A$1:$O$93,15,0)),0,VLOOKUP($U$196,'TAR FIN'!$A$1:$O$93,15,0))*(1-0.04)</f>
        <v>177.77279999999999</v>
      </c>
      <c r="Y196" s="75"/>
      <c r="Z196" s="75">
        <f ca="1">('TUSD BE'!$AM$15+'TUSD BF'!$AM$15+'TUSD CVA'!$AM$15)*1*(1-0.02)</f>
        <v>1276.3186645234982</v>
      </c>
      <c r="AA196" s="75">
        <f>('TE BE'!$AB$7+'TE BF'!$AB$7+'TE CVA'!$AB$7)*1*(1-0.02)</f>
        <v>194.21830884065065</v>
      </c>
      <c r="AB196" s="75">
        <f>(SUBSIDIO!$J$196*SUBSIDIO!$V$196)*(0.04)/(1-0.04)</f>
        <v>0</v>
      </c>
      <c r="AC196" s="75">
        <f>((SUBSIDIO!$L$196*SUBSIDIO!$W$196)+(SUBSIDIO!$N$196*SUBSIDIO!$X$196))*(0.04)/(1-0.04)</f>
        <v>21.220056</v>
      </c>
      <c r="AD196" s="75">
        <f>(SUBSIDIO!$J$196*SUBSIDIO!$Y$196)*(0.02)/(1-0.02)</f>
        <v>0</v>
      </c>
      <c r="AE196" s="75">
        <f ca="1">((SUBSIDIO!$L$196*SUBSIDIO!$Z$196)+(SUBSIDIO!$N$196*SUBSIDIO!$AA$196))*(0.02)/(1-0.02)</f>
        <v>12.154438249234294</v>
      </c>
      <c r="AF196" s="4" t="s">
        <v>638</v>
      </c>
    </row>
    <row r="197" spans="1:32" ht="11.25" customHeight="1" x14ac:dyDescent="0.25">
      <c r="A197" s="4" t="s">
        <v>21</v>
      </c>
      <c r="B197" s="4" t="s">
        <v>35</v>
      </c>
      <c r="C197" s="4" t="s">
        <v>39</v>
      </c>
      <c r="D197" s="4" t="s">
        <v>42</v>
      </c>
      <c r="E197" s="4" t="s">
        <v>50</v>
      </c>
      <c r="F197" s="4" t="s">
        <v>51</v>
      </c>
      <c r="G197" s="4" t="s">
        <v>25</v>
      </c>
      <c r="H197" s="4" t="s">
        <v>37</v>
      </c>
      <c r="I197" s="5">
        <v>44593</v>
      </c>
      <c r="J197" s="6">
        <v>0</v>
      </c>
      <c r="K197" s="75">
        <v>0</v>
      </c>
      <c r="L197" s="6">
        <v>79.546999999999997</v>
      </c>
      <c r="M197" s="75">
        <v>79.546999999999997</v>
      </c>
      <c r="N197" s="6">
        <v>79.546999999999997</v>
      </c>
      <c r="O197" s="75">
        <v>79.546999999999997</v>
      </c>
      <c r="P197" s="6">
        <v>0</v>
      </c>
      <c r="Q197" s="4" t="s">
        <v>26</v>
      </c>
      <c r="R197" s="4">
        <v>0</v>
      </c>
      <c r="S197" s="4">
        <v>0</v>
      </c>
      <c r="T197" s="4">
        <v>12</v>
      </c>
      <c r="U197" s="4">
        <v>66</v>
      </c>
      <c r="V197" s="75">
        <f>IF(ISERROR(VLOOKUP($S$197,'TAR FIN'!$A$1:$O$93,15,0)),0,VLOOKUP($S$197,'TAR FIN'!$A$1:$O$93,15,0))</f>
        <v>0</v>
      </c>
      <c r="W197" s="75">
        <f>IF(ISERROR(VLOOKUP($T$197,'TAR FIN'!$A$1:$O$93,15,0)),0,VLOOKUP($T$197,'TAR FIN'!$A$1:$O$93,15,0))*(1-0.04)</f>
        <v>1079.712</v>
      </c>
      <c r="X197" s="75">
        <f>IF(ISERROR(VLOOKUP($U$197,'TAR FIN'!$A$1:$O$93,15,0)),0,VLOOKUP($U$197,'TAR FIN'!$A$1:$O$93,15,0))*(1-0.04)</f>
        <v>177.77279999999999</v>
      </c>
      <c r="Y197" s="75"/>
      <c r="Z197" s="75">
        <f ca="1">('TUSD BE'!$AM$15+'TUSD BF'!$AM$15+'TUSD CVA'!$AM$15)*1*(1-0.02)</f>
        <v>1276.3186645234982</v>
      </c>
      <c r="AA197" s="75">
        <f>('TE BE'!$AB$7+'TE BF'!$AB$7+'TE CVA'!$AB$7)*1*(1-0.02)</f>
        <v>194.21830884065065</v>
      </c>
      <c r="AB197" s="75">
        <f>(SUBSIDIO!$J$197*SUBSIDIO!$V$197)*(0.04)/(1-0.04)</f>
        <v>0</v>
      </c>
      <c r="AC197" s="75">
        <f>((SUBSIDIO!$L$197*SUBSIDIO!$W$197)+(SUBSIDIO!$N$197*SUBSIDIO!$X$197))*(0.04)/(1-0.04)</f>
        <v>4167.8809744000009</v>
      </c>
      <c r="AD197" s="75">
        <f>(SUBSIDIO!$J$197*SUBSIDIO!$Y$197)*(0.02)/(1-0.02)</f>
        <v>0</v>
      </c>
      <c r="AE197" s="75">
        <f ca="1">((SUBSIDIO!$L$197*SUBSIDIO!$Z$197)+(SUBSIDIO!$N$197*SUBSIDIO!$AA$197))*(0.02)/(1-0.02)</f>
        <v>2387.2817269428156</v>
      </c>
      <c r="AF197" s="4" t="s">
        <v>638</v>
      </c>
    </row>
    <row r="198" spans="1:32" ht="11.25" customHeight="1" x14ac:dyDescent="0.25">
      <c r="A198" s="4" t="s">
        <v>27</v>
      </c>
      <c r="B198" s="4" t="s">
        <v>35</v>
      </c>
      <c r="C198" s="4" t="s">
        <v>39</v>
      </c>
      <c r="D198" s="4" t="s">
        <v>42</v>
      </c>
      <c r="E198" s="4" t="s">
        <v>50</v>
      </c>
      <c r="F198" s="4" t="s">
        <v>51</v>
      </c>
      <c r="G198" s="4" t="s">
        <v>25</v>
      </c>
      <c r="H198" s="4" t="s">
        <v>37</v>
      </c>
      <c r="I198" s="5">
        <v>44593</v>
      </c>
      <c r="J198" s="6">
        <v>0</v>
      </c>
      <c r="K198" s="75">
        <v>0</v>
      </c>
      <c r="L198" s="6">
        <v>-9.0999999999999998E-2</v>
      </c>
      <c r="M198" s="75">
        <v>-9.0999999999999998E-2</v>
      </c>
      <c r="N198" s="6">
        <v>-9.0999999999999998E-2</v>
      </c>
      <c r="O198" s="75">
        <v>-9.0999999999999998E-2</v>
      </c>
      <c r="P198" s="6">
        <v>0</v>
      </c>
      <c r="Q198" s="4" t="s">
        <v>26</v>
      </c>
      <c r="R198" s="4">
        <v>0</v>
      </c>
      <c r="S198" s="4">
        <v>0</v>
      </c>
      <c r="T198" s="4">
        <v>12</v>
      </c>
      <c r="U198" s="4">
        <v>66</v>
      </c>
      <c r="V198" s="75">
        <f>IF(ISERROR(VLOOKUP($S$198,'TAR FIN'!$A$1:$O$93,15,0)),0,VLOOKUP($S$198,'TAR FIN'!$A$1:$O$93,15,0))</f>
        <v>0</v>
      </c>
      <c r="W198" s="75">
        <f>IF(ISERROR(VLOOKUP($T$198,'TAR FIN'!$A$1:$O$93,15,0)),0,VLOOKUP($T$198,'TAR FIN'!$A$1:$O$93,15,0))*(1-0.04)</f>
        <v>1079.712</v>
      </c>
      <c r="X198" s="75">
        <f>IF(ISERROR(VLOOKUP($U$198,'TAR FIN'!$A$1:$O$93,15,0)),0,VLOOKUP($U$198,'TAR FIN'!$A$1:$O$93,15,0))*(1-0.04)</f>
        <v>177.77279999999999</v>
      </c>
      <c r="Y198" s="75"/>
      <c r="Z198" s="75">
        <f ca="1">('TUSD BE'!$AM$15+'TUSD BF'!$AM$15+'TUSD CVA'!$AM$15)*1*(1-0.02)</f>
        <v>1276.3186645234982</v>
      </c>
      <c r="AA198" s="75">
        <f>('TE BE'!$AB$7+'TE BF'!$AB$7+'TE CVA'!$AB$7)*1*(1-0.02)</f>
        <v>194.21830884065065</v>
      </c>
      <c r="AB198" s="75">
        <f>(SUBSIDIO!$J$198*SUBSIDIO!$V$198)*(0.04)/(1-0.04)</f>
        <v>0</v>
      </c>
      <c r="AC198" s="75">
        <f>((SUBSIDIO!$L$198*SUBSIDIO!$W$198)+(SUBSIDIO!$N$198*SUBSIDIO!$X$198))*(0.04)/(1-0.04)</f>
        <v>-4.7679631999999996</v>
      </c>
      <c r="AD198" s="75">
        <f>(SUBSIDIO!$J$198*SUBSIDIO!$Y$198)*(0.02)/(1-0.02)</f>
        <v>0</v>
      </c>
      <c r="AE198" s="75">
        <f ca="1">((SUBSIDIO!$L$198*SUBSIDIO!$Z$198)+(SUBSIDIO!$N$198*SUBSIDIO!$AA$198))*(0.02)/(1-0.02)</f>
        <v>-2.7309972362477049</v>
      </c>
      <c r="AF198" s="4" t="s">
        <v>638</v>
      </c>
    </row>
    <row r="199" spans="1:32" ht="11.25" customHeight="1" x14ac:dyDescent="0.25">
      <c r="A199" s="4" t="s">
        <v>28</v>
      </c>
      <c r="B199" s="4" t="s">
        <v>35</v>
      </c>
      <c r="C199" s="4" t="s">
        <v>39</v>
      </c>
      <c r="D199" s="4" t="s">
        <v>42</v>
      </c>
      <c r="E199" s="4" t="s">
        <v>50</v>
      </c>
      <c r="F199" s="4" t="s">
        <v>51</v>
      </c>
      <c r="G199" s="4" t="s">
        <v>25</v>
      </c>
      <c r="H199" s="4" t="s">
        <v>37</v>
      </c>
      <c r="I199" s="5">
        <v>44593</v>
      </c>
      <c r="J199" s="6">
        <v>0</v>
      </c>
      <c r="K199" s="75">
        <v>0</v>
      </c>
      <c r="L199" s="6">
        <v>0.38600000000000001</v>
      </c>
      <c r="M199" s="75">
        <v>0.38600000000000001</v>
      </c>
      <c r="N199" s="6">
        <v>0.38600000000000001</v>
      </c>
      <c r="O199" s="75">
        <v>0.38600000000000001</v>
      </c>
      <c r="P199" s="6">
        <v>0</v>
      </c>
      <c r="Q199" s="4" t="s">
        <v>26</v>
      </c>
      <c r="R199" s="4">
        <v>0</v>
      </c>
      <c r="S199" s="4">
        <v>0</v>
      </c>
      <c r="T199" s="4">
        <v>12</v>
      </c>
      <c r="U199" s="4">
        <v>66</v>
      </c>
      <c r="V199" s="75">
        <f>IF(ISERROR(VLOOKUP($S$199,'TAR FIN'!$A$1:$O$93,15,0)),0,VLOOKUP($S$199,'TAR FIN'!$A$1:$O$93,15,0))</f>
        <v>0</v>
      </c>
      <c r="W199" s="75">
        <f>IF(ISERROR(VLOOKUP($T$199,'TAR FIN'!$A$1:$O$93,15,0)),0,VLOOKUP($T$199,'TAR FIN'!$A$1:$O$93,15,0))*(1-0.04)</f>
        <v>1079.712</v>
      </c>
      <c r="X199" s="75">
        <f>IF(ISERROR(VLOOKUP($U$199,'TAR FIN'!$A$1:$O$93,15,0)),0,VLOOKUP($U$199,'TAR FIN'!$A$1:$O$93,15,0))*(1-0.04)</f>
        <v>177.77279999999999</v>
      </c>
      <c r="Y199" s="75"/>
      <c r="Z199" s="75">
        <f ca="1">('TUSD BE'!$AM$15+'TUSD BF'!$AM$15+'TUSD CVA'!$AM$15)*1*(1-0.02)</f>
        <v>1276.3186645234982</v>
      </c>
      <c r="AA199" s="75">
        <f>('TE BE'!$AB$7+'TE BF'!$AB$7+'TE CVA'!$AB$7)*1*(1-0.02)</f>
        <v>194.21830884065065</v>
      </c>
      <c r="AB199" s="75">
        <f>(SUBSIDIO!$J$199*SUBSIDIO!$V$199)*(0.04)/(1-0.04)</f>
        <v>0</v>
      </c>
      <c r="AC199" s="75">
        <f>((SUBSIDIO!$L$199*SUBSIDIO!$W$199)+(SUBSIDIO!$N$199*SUBSIDIO!$X$199))*(0.04)/(1-0.04)</f>
        <v>20.224547200000003</v>
      </c>
      <c r="AD199" s="75">
        <f>(SUBSIDIO!$J$199*SUBSIDIO!$Y$199)*(0.02)/(1-0.02)</f>
        <v>0</v>
      </c>
      <c r="AE199" s="75">
        <f ca="1">((SUBSIDIO!$L$199*SUBSIDIO!$Z$199)+(SUBSIDIO!$N$199*SUBSIDIO!$AA$199))*(0.02)/(1-0.02)</f>
        <v>11.584230035072684</v>
      </c>
      <c r="AF199" s="4" t="s">
        <v>638</v>
      </c>
    </row>
    <row r="200" spans="1:32" ht="11.25" customHeight="1" x14ac:dyDescent="0.25">
      <c r="A200" s="4" t="s">
        <v>21</v>
      </c>
      <c r="B200" s="4" t="s">
        <v>35</v>
      </c>
      <c r="C200" s="4" t="s">
        <v>39</v>
      </c>
      <c r="D200" s="4" t="s">
        <v>42</v>
      </c>
      <c r="E200" s="4" t="s">
        <v>50</v>
      </c>
      <c r="F200" s="4" t="s">
        <v>51</v>
      </c>
      <c r="G200" s="4" t="s">
        <v>25</v>
      </c>
      <c r="H200" s="4" t="s">
        <v>37</v>
      </c>
      <c r="I200" s="5">
        <v>44621</v>
      </c>
      <c r="J200" s="6">
        <v>0</v>
      </c>
      <c r="K200" s="75">
        <v>0</v>
      </c>
      <c r="L200" s="6">
        <v>83.45</v>
      </c>
      <c r="M200" s="75">
        <v>83.45</v>
      </c>
      <c r="N200" s="6">
        <v>83.45</v>
      </c>
      <c r="O200" s="75">
        <v>83.45</v>
      </c>
      <c r="P200" s="6">
        <v>0</v>
      </c>
      <c r="Q200" s="4" t="s">
        <v>26</v>
      </c>
      <c r="R200" s="4">
        <v>0</v>
      </c>
      <c r="S200" s="4">
        <v>0</v>
      </c>
      <c r="T200" s="4">
        <v>12</v>
      </c>
      <c r="U200" s="4">
        <v>66</v>
      </c>
      <c r="V200" s="75">
        <f>IF(ISERROR(VLOOKUP($S$200,'TAR FIN'!$A$1:$O$93,15,0)),0,VLOOKUP($S$200,'TAR FIN'!$A$1:$O$93,15,0))</f>
        <v>0</v>
      </c>
      <c r="W200" s="75">
        <f>IF(ISERROR(VLOOKUP($T$200,'TAR FIN'!$A$1:$O$93,15,0)),0,VLOOKUP($T$200,'TAR FIN'!$A$1:$O$93,15,0))*(1-0.04)</f>
        <v>1079.712</v>
      </c>
      <c r="X200" s="75">
        <f>IF(ISERROR(VLOOKUP($U$200,'TAR FIN'!$A$1:$O$93,15,0)),0,VLOOKUP($U$200,'TAR FIN'!$A$1:$O$93,15,0))*(1-0.04)</f>
        <v>177.77279999999999</v>
      </c>
      <c r="Y200" s="75"/>
      <c r="Z200" s="75">
        <f ca="1">('TUSD BE'!$AM$15+'TUSD BF'!$AM$15+'TUSD CVA'!$AM$15)*1*(1-0.02)</f>
        <v>1276.3186645234982</v>
      </c>
      <c r="AA200" s="75">
        <f>('TE BE'!$AB$7+'TE BF'!$AB$7+'TE CVA'!$AB$7)*1*(1-0.02)</f>
        <v>194.21830884065065</v>
      </c>
      <c r="AB200" s="75">
        <f>(SUBSIDIO!$J$200*SUBSIDIO!$V$200)*(0.04)/(1-0.04)</f>
        <v>0</v>
      </c>
      <c r="AC200" s="75">
        <f>((SUBSIDIO!$L$200*SUBSIDIO!$W$200)+(SUBSIDIO!$N$200*SUBSIDIO!$X$200))*(0.04)/(1-0.04)</f>
        <v>4372.3794400000006</v>
      </c>
      <c r="AD200" s="75">
        <f>(SUBSIDIO!$J$200*SUBSIDIO!$Y$200)*(0.02)/(1-0.02)</f>
        <v>0</v>
      </c>
      <c r="AE200" s="75">
        <f ca="1">((SUBSIDIO!$L$200*SUBSIDIO!$Z$200)+(SUBSIDIO!$N$200*SUBSIDIO!$AA$200))*(0.02)/(1-0.02)</f>
        <v>2504.414498515066</v>
      </c>
      <c r="AF200" s="4" t="s">
        <v>638</v>
      </c>
    </row>
    <row r="201" spans="1:32" ht="11.25" customHeight="1" x14ac:dyDescent="0.25">
      <c r="A201" s="4" t="s">
        <v>27</v>
      </c>
      <c r="B201" s="4" t="s">
        <v>35</v>
      </c>
      <c r="C201" s="4" t="s">
        <v>39</v>
      </c>
      <c r="D201" s="4" t="s">
        <v>42</v>
      </c>
      <c r="E201" s="4" t="s">
        <v>50</v>
      </c>
      <c r="F201" s="4" t="s">
        <v>51</v>
      </c>
      <c r="G201" s="4" t="s">
        <v>25</v>
      </c>
      <c r="H201" s="4" t="s">
        <v>37</v>
      </c>
      <c r="I201" s="5">
        <v>44621</v>
      </c>
      <c r="J201" s="6">
        <v>0</v>
      </c>
      <c r="K201" s="75">
        <v>0</v>
      </c>
      <c r="L201" s="6">
        <v>-0.88600000000000001</v>
      </c>
      <c r="M201" s="75">
        <v>-0.88600000000000001</v>
      </c>
      <c r="N201" s="6">
        <v>-0.88600000000000001</v>
      </c>
      <c r="O201" s="75">
        <v>-0.88600000000000001</v>
      </c>
      <c r="P201" s="6">
        <v>0</v>
      </c>
      <c r="Q201" s="4" t="s">
        <v>26</v>
      </c>
      <c r="R201" s="4">
        <v>0</v>
      </c>
      <c r="S201" s="4">
        <v>0</v>
      </c>
      <c r="T201" s="4">
        <v>12</v>
      </c>
      <c r="U201" s="4">
        <v>66</v>
      </c>
      <c r="V201" s="75">
        <f>IF(ISERROR(VLOOKUP($S$201,'TAR FIN'!$A$1:$O$93,15,0)),0,VLOOKUP($S$201,'TAR FIN'!$A$1:$O$93,15,0))</f>
        <v>0</v>
      </c>
      <c r="W201" s="75">
        <f>IF(ISERROR(VLOOKUP($T$201,'TAR FIN'!$A$1:$O$93,15,0)),0,VLOOKUP($T$201,'TAR FIN'!$A$1:$O$93,15,0))*(1-0.04)</f>
        <v>1079.712</v>
      </c>
      <c r="X201" s="75">
        <f>IF(ISERROR(VLOOKUP($U$201,'TAR FIN'!$A$1:$O$93,15,0)),0,VLOOKUP($U$201,'TAR FIN'!$A$1:$O$93,15,0))*(1-0.04)</f>
        <v>177.77279999999999</v>
      </c>
      <c r="Y201" s="75"/>
      <c r="Z201" s="75">
        <f ca="1">('TUSD BE'!$AM$15+'TUSD BF'!$AM$15+'TUSD CVA'!$AM$15)*1*(1-0.02)</f>
        <v>1276.3186645234982</v>
      </c>
      <c r="AA201" s="75">
        <f>('TE BE'!$AB$7+'TE BF'!$AB$7+'TE CVA'!$AB$7)*1*(1-0.02)</f>
        <v>194.21830884065065</v>
      </c>
      <c r="AB201" s="75">
        <f>(SUBSIDIO!$J$201*SUBSIDIO!$V$201)*(0.04)/(1-0.04)</f>
        <v>0</v>
      </c>
      <c r="AC201" s="75">
        <f>((SUBSIDIO!$L$201*SUBSIDIO!$W$201)+(SUBSIDIO!$N$201*SUBSIDIO!$X$201))*(0.04)/(1-0.04)</f>
        <v>-46.422147200000005</v>
      </c>
      <c r="AD201" s="75">
        <f>(SUBSIDIO!$J$201*SUBSIDIO!$Y$201)*(0.02)/(1-0.02)</f>
        <v>0</v>
      </c>
      <c r="AE201" s="75">
        <f ca="1">((SUBSIDIO!$L$201*SUBSIDIO!$Z$201)+(SUBSIDIO!$N$201*SUBSIDIO!$AA$201))*(0.02)/(1-0.02)</f>
        <v>-26.589709355115016</v>
      </c>
      <c r="AF201" s="4" t="s">
        <v>638</v>
      </c>
    </row>
    <row r="202" spans="1:32" ht="11.25" customHeight="1" x14ac:dyDescent="0.25">
      <c r="A202" s="4" t="s">
        <v>28</v>
      </c>
      <c r="B202" s="4" t="s">
        <v>35</v>
      </c>
      <c r="C202" s="4" t="s">
        <v>39</v>
      </c>
      <c r="D202" s="4" t="s">
        <v>42</v>
      </c>
      <c r="E202" s="4" t="s">
        <v>50</v>
      </c>
      <c r="F202" s="4" t="s">
        <v>51</v>
      </c>
      <c r="G202" s="4" t="s">
        <v>25</v>
      </c>
      <c r="H202" s="4" t="s">
        <v>37</v>
      </c>
      <c r="I202" s="5">
        <v>44621</v>
      </c>
      <c r="J202" s="6">
        <v>0</v>
      </c>
      <c r="K202" s="75">
        <v>0</v>
      </c>
      <c r="L202" s="6">
        <v>0.25800000000000001</v>
      </c>
      <c r="M202" s="75">
        <v>0.25800000000000001</v>
      </c>
      <c r="N202" s="6">
        <v>0.25800000000000001</v>
      </c>
      <c r="O202" s="75">
        <v>0.25800000000000001</v>
      </c>
      <c r="P202" s="6">
        <v>0</v>
      </c>
      <c r="Q202" s="4" t="s">
        <v>26</v>
      </c>
      <c r="R202" s="4">
        <v>0</v>
      </c>
      <c r="S202" s="4">
        <v>0</v>
      </c>
      <c r="T202" s="4">
        <v>12</v>
      </c>
      <c r="U202" s="4">
        <v>66</v>
      </c>
      <c r="V202" s="75">
        <f>IF(ISERROR(VLOOKUP($S$202,'TAR FIN'!$A$1:$O$93,15,0)),0,VLOOKUP($S$202,'TAR FIN'!$A$1:$O$93,15,0))</f>
        <v>0</v>
      </c>
      <c r="W202" s="75">
        <f>IF(ISERROR(VLOOKUP($T$202,'TAR FIN'!$A$1:$O$93,15,0)),0,VLOOKUP($T$202,'TAR FIN'!$A$1:$O$93,15,0))*(1-0.04)</f>
        <v>1079.712</v>
      </c>
      <c r="X202" s="75">
        <f>IF(ISERROR(VLOOKUP($U$202,'TAR FIN'!$A$1:$O$93,15,0)),0,VLOOKUP($U$202,'TAR FIN'!$A$1:$O$93,15,0))*(1-0.04)</f>
        <v>177.77279999999999</v>
      </c>
      <c r="Y202" s="75"/>
      <c r="Z202" s="75">
        <f ca="1">('TUSD BE'!$AM$15+'TUSD BF'!$AM$15+'TUSD CVA'!$AM$15)*1*(1-0.02)</f>
        <v>1276.3186645234982</v>
      </c>
      <c r="AA202" s="75">
        <f>('TE BE'!$AB$7+'TE BF'!$AB$7+'TE CVA'!$AB$7)*1*(1-0.02)</f>
        <v>194.21830884065065</v>
      </c>
      <c r="AB202" s="75">
        <f>(SUBSIDIO!$J$202*SUBSIDIO!$V$202)*(0.04)/(1-0.04)</f>
        <v>0</v>
      </c>
      <c r="AC202" s="75">
        <f>((SUBSIDIO!$L$202*SUBSIDIO!$W$202)+(SUBSIDIO!$N$202*SUBSIDIO!$X$202))*(0.04)/(1-0.04)</f>
        <v>13.517961600000001</v>
      </c>
      <c r="AD202" s="75">
        <f>(SUBSIDIO!$J$202*SUBSIDIO!$Y$202)*(0.02)/(1-0.02)</f>
        <v>0</v>
      </c>
      <c r="AE202" s="75">
        <f ca="1">((SUBSIDIO!$L$202*SUBSIDIO!$Z$202)+(SUBSIDIO!$N$202*SUBSIDIO!$AA$202))*(0.02)/(1-0.02)</f>
        <v>7.7428273291418455</v>
      </c>
      <c r="AF202" s="4" t="s">
        <v>638</v>
      </c>
    </row>
    <row r="203" spans="1:32" ht="11.25" customHeight="1" x14ac:dyDescent="0.25">
      <c r="A203" s="4" t="s">
        <v>21</v>
      </c>
      <c r="B203" s="4" t="s">
        <v>35</v>
      </c>
      <c r="C203" s="4" t="s">
        <v>39</v>
      </c>
      <c r="D203" s="4" t="s">
        <v>42</v>
      </c>
      <c r="E203" s="4" t="s">
        <v>50</v>
      </c>
      <c r="F203" s="4" t="s">
        <v>51</v>
      </c>
      <c r="G203" s="4" t="s">
        <v>25</v>
      </c>
      <c r="H203" s="4" t="s">
        <v>37</v>
      </c>
      <c r="I203" s="5">
        <v>44652</v>
      </c>
      <c r="J203" s="6">
        <v>0</v>
      </c>
      <c r="K203" s="75">
        <v>0</v>
      </c>
      <c r="L203" s="6">
        <v>31.059000000000001</v>
      </c>
      <c r="M203" s="75">
        <v>31.059000000000001</v>
      </c>
      <c r="N203" s="6">
        <v>31.059000000000001</v>
      </c>
      <c r="O203" s="75">
        <v>31.059000000000001</v>
      </c>
      <c r="P203" s="6">
        <v>0</v>
      </c>
      <c r="Q203" s="4" t="s">
        <v>26</v>
      </c>
      <c r="R203" s="4">
        <v>0</v>
      </c>
      <c r="S203" s="4">
        <v>0</v>
      </c>
      <c r="T203" s="4">
        <v>12</v>
      </c>
      <c r="U203" s="4">
        <v>66</v>
      </c>
      <c r="V203" s="75">
        <f>IF(ISERROR(VLOOKUP($S$203,'TAR FIN'!$A$1:$O$93,15,0)),0,VLOOKUP($S$203,'TAR FIN'!$A$1:$O$93,15,0))</f>
        <v>0</v>
      </c>
      <c r="W203" s="75">
        <f>IF(ISERROR(VLOOKUP($T$203,'TAR FIN'!$A$1:$O$93,15,0)),0,VLOOKUP($T$203,'TAR FIN'!$A$1:$O$93,15,0))*(1-0.04)</f>
        <v>1079.712</v>
      </c>
      <c r="X203" s="75">
        <f>IF(ISERROR(VLOOKUP($U$203,'TAR FIN'!$A$1:$O$93,15,0)),0,VLOOKUP($U$203,'TAR FIN'!$A$1:$O$93,15,0))*(1-0.04)</f>
        <v>177.77279999999999</v>
      </c>
      <c r="Y203" s="75"/>
      <c r="Z203" s="75">
        <f ca="1">('TUSD BE'!$AM$15+'TUSD BF'!$AM$15+'TUSD CVA'!$AM$15)*1*(1-0.02)</f>
        <v>1276.3186645234982</v>
      </c>
      <c r="AA203" s="75">
        <f>('TE BE'!$AB$7+'TE BF'!$AB$7+'TE CVA'!$AB$7)*1*(1-0.02)</f>
        <v>194.21830884065065</v>
      </c>
      <c r="AB203" s="75">
        <f>(SUBSIDIO!$J$203*SUBSIDIO!$V$203)*(0.04)/(1-0.04)</f>
        <v>0</v>
      </c>
      <c r="AC203" s="75">
        <f>((SUBSIDIO!$L$203*SUBSIDIO!$W$203)+(SUBSIDIO!$N$203*SUBSIDIO!$X$203))*(0.04)/(1-0.04)</f>
        <v>1627.3425168000001</v>
      </c>
      <c r="AD203" s="75">
        <f>(SUBSIDIO!$J$203*SUBSIDIO!$Y$203)*(0.02)/(1-0.02)</f>
        <v>0</v>
      </c>
      <c r="AE203" s="75">
        <f ca="1">((SUBSIDIO!$L$203*SUBSIDIO!$Z$203)+(SUBSIDIO!$N$203*SUBSIDIO!$AA$203))*(0.02)/(1-0.02)</f>
        <v>932.11036440238979</v>
      </c>
      <c r="AF203" s="4" t="s">
        <v>638</v>
      </c>
    </row>
    <row r="204" spans="1:32" ht="11.25" customHeight="1" x14ac:dyDescent="0.25">
      <c r="A204" s="4" t="s">
        <v>27</v>
      </c>
      <c r="B204" s="4" t="s">
        <v>35</v>
      </c>
      <c r="C204" s="4" t="s">
        <v>39</v>
      </c>
      <c r="D204" s="4" t="s">
        <v>42</v>
      </c>
      <c r="E204" s="4" t="s">
        <v>50</v>
      </c>
      <c r="F204" s="4" t="s">
        <v>51</v>
      </c>
      <c r="G204" s="4" t="s">
        <v>25</v>
      </c>
      <c r="H204" s="4" t="s">
        <v>37</v>
      </c>
      <c r="I204" s="5">
        <v>44652</v>
      </c>
      <c r="J204" s="6">
        <v>0</v>
      </c>
      <c r="K204" s="75">
        <v>0</v>
      </c>
      <c r="L204" s="6">
        <v>-2.99</v>
      </c>
      <c r="M204" s="75">
        <v>-2.99</v>
      </c>
      <c r="N204" s="6">
        <v>-2.99</v>
      </c>
      <c r="O204" s="75">
        <v>-2.99</v>
      </c>
      <c r="P204" s="6">
        <v>0</v>
      </c>
      <c r="Q204" s="4" t="s">
        <v>26</v>
      </c>
      <c r="R204" s="4">
        <v>0</v>
      </c>
      <c r="S204" s="4">
        <v>0</v>
      </c>
      <c r="T204" s="4">
        <v>12</v>
      </c>
      <c r="U204" s="4">
        <v>66</v>
      </c>
      <c r="V204" s="75">
        <f>IF(ISERROR(VLOOKUP($S$204,'TAR FIN'!$A$1:$O$93,15,0)),0,VLOOKUP($S$204,'TAR FIN'!$A$1:$O$93,15,0))</f>
        <v>0</v>
      </c>
      <c r="W204" s="75">
        <f>IF(ISERROR(VLOOKUP($T$204,'TAR FIN'!$A$1:$O$93,15,0)),0,VLOOKUP($T$204,'TAR FIN'!$A$1:$O$93,15,0))*(1-0.04)</f>
        <v>1079.712</v>
      </c>
      <c r="X204" s="75">
        <f>IF(ISERROR(VLOOKUP($U$204,'TAR FIN'!$A$1:$O$93,15,0)),0,VLOOKUP($U$204,'TAR FIN'!$A$1:$O$93,15,0))*(1-0.04)</f>
        <v>177.77279999999999</v>
      </c>
      <c r="Y204" s="75"/>
      <c r="Z204" s="75">
        <f ca="1">('TUSD BE'!$AM$15+'TUSD BF'!$AM$15+'TUSD CVA'!$AM$15)*1*(1-0.02)</f>
        <v>1276.3186645234982</v>
      </c>
      <c r="AA204" s="75">
        <f>('TE BE'!$AB$7+'TE BF'!$AB$7+'TE CVA'!$AB$7)*1*(1-0.02)</f>
        <v>194.21830884065065</v>
      </c>
      <c r="AB204" s="75">
        <f>(SUBSIDIO!$J$204*SUBSIDIO!$V$204)*(0.04)/(1-0.04)</f>
        <v>0</v>
      </c>
      <c r="AC204" s="75">
        <f>((SUBSIDIO!$L$204*SUBSIDIO!$W$204)+(SUBSIDIO!$N$204*SUBSIDIO!$X$204))*(0.04)/(1-0.04)</f>
        <v>-156.66164800000001</v>
      </c>
      <c r="AD204" s="75">
        <f>(SUBSIDIO!$J$204*SUBSIDIO!$Y$204)*(0.02)/(1-0.02)</f>
        <v>0</v>
      </c>
      <c r="AE204" s="75">
        <f ca="1">((SUBSIDIO!$L$204*SUBSIDIO!$Z$204)+(SUBSIDIO!$N$204*SUBSIDIO!$AA$204))*(0.02)/(1-0.02)</f>
        <v>-89.732766333853164</v>
      </c>
      <c r="AF204" s="4" t="s">
        <v>638</v>
      </c>
    </row>
    <row r="205" spans="1:32" ht="11.25" customHeight="1" x14ac:dyDescent="0.25">
      <c r="A205" s="4" t="s">
        <v>28</v>
      </c>
      <c r="B205" s="4" t="s">
        <v>35</v>
      </c>
      <c r="C205" s="4" t="s">
        <v>39</v>
      </c>
      <c r="D205" s="4" t="s">
        <v>42</v>
      </c>
      <c r="E205" s="4" t="s">
        <v>50</v>
      </c>
      <c r="F205" s="4" t="s">
        <v>51</v>
      </c>
      <c r="G205" s="4" t="s">
        <v>25</v>
      </c>
      <c r="H205" s="4" t="s">
        <v>37</v>
      </c>
      <c r="I205" s="5">
        <v>44652</v>
      </c>
      <c r="J205" s="6">
        <v>0</v>
      </c>
      <c r="K205" s="75">
        <v>0</v>
      </c>
      <c r="L205" s="6">
        <v>0.32</v>
      </c>
      <c r="M205" s="75">
        <v>0.32</v>
      </c>
      <c r="N205" s="6">
        <v>0.32</v>
      </c>
      <c r="O205" s="75">
        <v>0.32</v>
      </c>
      <c r="P205" s="6">
        <v>0</v>
      </c>
      <c r="Q205" s="4" t="s">
        <v>26</v>
      </c>
      <c r="R205" s="4">
        <v>0</v>
      </c>
      <c r="S205" s="4">
        <v>0</v>
      </c>
      <c r="T205" s="4">
        <v>12</v>
      </c>
      <c r="U205" s="4">
        <v>66</v>
      </c>
      <c r="V205" s="75">
        <f>IF(ISERROR(VLOOKUP($S$205,'TAR FIN'!$A$1:$O$93,15,0)),0,VLOOKUP($S$205,'TAR FIN'!$A$1:$O$93,15,0))</f>
        <v>0</v>
      </c>
      <c r="W205" s="75">
        <f>IF(ISERROR(VLOOKUP($T$205,'TAR FIN'!$A$1:$O$93,15,0)),0,VLOOKUP($T$205,'TAR FIN'!$A$1:$O$93,15,0))*(1-0.04)</f>
        <v>1079.712</v>
      </c>
      <c r="X205" s="75">
        <f>IF(ISERROR(VLOOKUP($U$205,'TAR FIN'!$A$1:$O$93,15,0)),0,VLOOKUP($U$205,'TAR FIN'!$A$1:$O$93,15,0))*(1-0.04)</f>
        <v>177.77279999999999</v>
      </c>
      <c r="Y205" s="75"/>
      <c r="Z205" s="75">
        <f ca="1">('TUSD BE'!$AM$15+'TUSD BF'!$AM$15+'TUSD CVA'!$AM$15)*1*(1-0.02)</f>
        <v>1276.3186645234982</v>
      </c>
      <c r="AA205" s="75">
        <f>('TE BE'!$AB$7+'TE BF'!$AB$7+'TE CVA'!$AB$7)*1*(1-0.02)</f>
        <v>194.21830884065065</v>
      </c>
      <c r="AB205" s="75">
        <f>(SUBSIDIO!$J$205*SUBSIDIO!$V$205)*(0.04)/(1-0.04)</f>
        <v>0</v>
      </c>
      <c r="AC205" s="75">
        <f>((SUBSIDIO!$L$205*SUBSIDIO!$W$205)+(SUBSIDIO!$N$205*SUBSIDIO!$X$205))*(0.04)/(1-0.04)</f>
        <v>16.766463999999999</v>
      </c>
      <c r="AD205" s="75">
        <f>(SUBSIDIO!$J$205*SUBSIDIO!$Y$205)*(0.02)/(1-0.02)</f>
        <v>0</v>
      </c>
      <c r="AE205" s="75">
        <f ca="1">((SUBSIDIO!$L$205*SUBSIDIO!$Z$205)+(SUBSIDIO!$N$205*SUBSIDIO!$AA$205))*(0.02)/(1-0.02)</f>
        <v>9.6035067648270953</v>
      </c>
      <c r="AF205" s="4" t="s">
        <v>638</v>
      </c>
    </row>
    <row r="206" spans="1:32" ht="11.25" customHeight="1" x14ac:dyDescent="0.25">
      <c r="A206" s="4" t="s">
        <v>21</v>
      </c>
      <c r="B206" s="4" t="s">
        <v>35</v>
      </c>
      <c r="C206" s="4" t="s">
        <v>39</v>
      </c>
      <c r="D206" s="4" t="s">
        <v>42</v>
      </c>
      <c r="E206" s="4" t="s">
        <v>50</v>
      </c>
      <c r="F206" s="4" t="s">
        <v>51</v>
      </c>
      <c r="G206" s="4" t="s">
        <v>25</v>
      </c>
      <c r="H206" s="4" t="s">
        <v>37</v>
      </c>
      <c r="I206" s="5">
        <v>44682</v>
      </c>
      <c r="J206" s="6">
        <v>0</v>
      </c>
      <c r="K206" s="75">
        <v>0</v>
      </c>
      <c r="L206" s="6">
        <v>18.913</v>
      </c>
      <c r="M206" s="75">
        <v>18.913</v>
      </c>
      <c r="N206" s="6">
        <v>18.913</v>
      </c>
      <c r="O206" s="75">
        <v>18.913</v>
      </c>
      <c r="P206" s="6">
        <v>0</v>
      </c>
      <c r="Q206" s="4" t="s">
        <v>26</v>
      </c>
      <c r="R206" s="4">
        <v>0</v>
      </c>
      <c r="S206" s="4">
        <v>0</v>
      </c>
      <c r="T206" s="4">
        <v>12</v>
      </c>
      <c r="U206" s="4">
        <v>66</v>
      </c>
      <c r="V206" s="75">
        <f>IF(ISERROR(VLOOKUP($S$206,'TAR FIN'!$A$1:$O$93,15,0)),0,VLOOKUP($S$206,'TAR FIN'!$A$1:$O$93,15,0))</f>
        <v>0</v>
      </c>
      <c r="W206" s="75">
        <f>IF(ISERROR(VLOOKUP($T$206,'TAR FIN'!$A$1:$O$93,15,0)),0,VLOOKUP($T$206,'TAR FIN'!$A$1:$O$93,15,0))*(1-0.04)</f>
        <v>1079.712</v>
      </c>
      <c r="X206" s="75">
        <f>IF(ISERROR(VLOOKUP($U$206,'TAR FIN'!$A$1:$O$93,15,0)),0,VLOOKUP($U$206,'TAR FIN'!$A$1:$O$93,15,0))*(1-0.04)</f>
        <v>177.77279999999999</v>
      </c>
      <c r="Y206" s="75"/>
      <c r="Z206" s="75">
        <f ca="1">('TUSD BE'!$AM$15+'TUSD BF'!$AM$15+'TUSD CVA'!$AM$15)*1*(1-0.02)</f>
        <v>1276.3186645234982</v>
      </c>
      <c r="AA206" s="75">
        <f>('TE BE'!$AB$7+'TE BF'!$AB$7+'TE CVA'!$AB$7)*1*(1-0.02)</f>
        <v>194.21830884065065</v>
      </c>
      <c r="AB206" s="75">
        <f>(SUBSIDIO!$J$206*SUBSIDIO!$V$206)*(0.04)/(1-0.04)</f>
        <v>0</v>
      </c>
      <c r="AC206" s="75">
        <f>((SUBSIDIO!$L$206*SUBSIDIO!$W$206)+(SUBSIDIO!$N$206*SUBSIDIO!$X$206))*(0.04)/(1-0.04)</f>
        <v>990.95041760000015</v>
      </c>
      <c r="AD206" s="75">
        <f>(SUBSIDIO!$J$206*SUBSIDIO!$Y$206)*(0.02)/(1-0.02)</f>
        <v>0</v>
      </c>
      <c r="AE206" s="75">
        <f ca="1">((SUBSIDIO!$L$206*SUBSIDIO!$Z$206)+(SUBSIDIO!$N$206*SUBSIDIO!$AA$206))*(0.02)/(1-0.02)</f>
        <v>567.59726075992137</v>
      </c>
      <c r="AF206" s="4" t="s">
        <v>638</v>
      </c>
    </row>
    <row r="207" spans="1:32" ht="11.25" customHeight="1" x14ac:dyDescent="0.25">
      <c r="A207" s="4" t="s">
        <v>27</v>
      </c>
      <c r="B207" s="4" t="s">
        <v>35</v>
      </c>
      <c r="C207" s="4" t="s">
        <v>39</v>
      </c>
      <c r="D207" s="4" t="s">
        <v>42</v>
      </c>
      <c r="E207" s="4" t="s">
        <v>50</v>
      </c>
      <c r="F207" s="4" t="s">
        <v>51</v>
      </c>
      <c r="G207" s="4" t="s">
        <v>25</v>
      </c>
      <c r="H207" s="4" t="s">
        <v>37</v>
      </c>
      <c r="I207" s="5">
        <v>44682</v>
      </c>
      <c r="J207" s="6">
        <v>0</v>
      </c>
      <c r="K207" s="75">
        <v>0</v>
      </c>
      <c r="L207" s="6">
        <v>-0.38</v>
      </c>
      <c r="M207" s="75">
        <v>-0.38</v>
      </c>
      <c r="N207" s="6">
        <v>-0.38</v>
      </c>
      <c r="O207" s="75">
        <v>-0.38</v>
      </c>
      <c r="P207" s="6">
        <v>0</v>
      </c>
      <c r="Q207" s="4" t="s">
        <v>26</v>
      </c>
      <c r="R207" s="4">
        <v>0</v>
      </c>
      <c r="S207" s="4">
        <v>0</v>
      </c>
      <c r="T207" s="4">
        <v>12</v>
      </c>
      <c r="U207" s="4">
        <v>66</v>
      </c>
      <c r="V207" s="75">
        <f>IF(ISERROR(VLOOKUP($S$207,'TAR FIN'!$A$1:$O$93,15,0)),0,VLOOKUP($S$207,'TAR FIN'!$A$1:$O$93,15,0))</f>
        <v>0</v>
      </c>
      <c r="W207" s="75">
        <f>IF(ISERROR(VLOOKUP($T$207,'TAR FIN'!$A$1:$O$93,15,0)),0,VLOOKUP($T$207,'TAR FIN'!$A$1:$O$93,15,0))*(1-0.04)</f>
        <v>1079.712</v>
      </c>
      <c r="X207" s="75">
        <f>IF(ISERROR(VLOOKUP($U$207,'TAR FIN'!$A$1:$O$93,15,0)),0,VLOOKUP($U$207,'TAR FIN'!$A$1:$O$93,15,0))*(1-0.04)</f>
        <v>177.77279999999999</v>
      </c>
      <c r="Y207" s="75"/>
      <c r="Z207" s="75">
        <f ca="1">('TUSD BE'!$AM$15+'TUSD BF'!$AM$15+'TUSD CVA'!$AM$15)*1*(1-0.02)</f>
        <v>1276.3186645234982</v>
      </c>
      <c r="AA207" s="75">
        <f>('TE BE'!$AB$7+'TE BF'!$AB$7+'TE CVA'!$AB$7)*1*(1-0.02)</f>
        <v>194.21830884065065</v>
      </c>
      <c r="AB207" s="75">
        <f>(SUBSIDIO!$J$207*SUBSIDIO!$V$207)*(0.04)/(1-0.04)</f>
        <v>0</v>
      </c>
      <c r="AC207" s="75">
        <f>((SUBSIDIO!$L$207*SUBSIDIO!$W$207)+(SUBSIDIO!$N$207*SUBSIDIO!$X$207))*(0.04)/(1-0.04)</f>
        <v>-19.910176000000003</v>
      </c>
      <c r="AD207" s="75">
        <f>(SUBSIDIO!$J$207*SUBSIDIO!$Y$207)*(0.02)/(1-0.02)</f>
        <v>0</v>
      </c>
      <c r="AE207" s="75">
        <f ca="1">((SUBSIDIO!$L$207*SUBSIDIO!$Z$207)+(SUBSIDIO!$N$207*SUBSIDIO!$AA$207))*(0.02)/(1-0.02)</f>
        <v>-11.404164283232177</v>
      </c>
      <c r="AF207" s="4" t="s">
        <v>638</v>
      </c>
    </row>
    <row r="208" spans="1:32" ht="11.25" customHeight="1" x14ac:dyDescent="0.25">
      <c r="A208" s="4" t="s">
        <v>21</v>
      </c>
      <c r="B208" s="4" t="s">
        <v>35</v>
      </c>
      <c r="C208" s="4" t="s">
        <v>39</v>
      </c>
      <c r="D208" s="4" t="s">
        <v>42</v>
      </c>
      <c r="E208" s="4" t="s">
        <v>50</v>
      </c>
      <c r="F208" s="4" t="s">
        <v>51</v>
      </c>
      <c r="G208" s="4" t="s">
        <v>25</v>
      </c>
      <c r="H208" s="4" t="s">
        <v>37</v>
      </c>
      <c r="I208" s="5">
        <v>44713</v>
      </c>
      <c r="J208" s="6">
        <v>0</v>
      </c>
      <c r="K208" s="75">
        <v>0</v>
      </c>
      <c r="L208" s="6">
        <v>19.396999999999998</v>
      </c>
      <c r="M208" s="75">
        <v>19.396999999999998</v>
      </c>
      <c r="N208" s="6">
        <v>19.396999999999998</v>
      </c>
      <c r="O208" s="75">
        <v>19.396999999999998</v>
      </c>
      <c r="P208" s="6">
        <v>0</v>
      </c>
      <c r="Q208" s="4" t="s">
        <v>26</v>
      </c>
      <c r="R208" s="4">
        <v>0</v>
      </c>
      <c r="S208" s="4">
        <v>0</v>
      </c>
      <c r="T208" s="4">
        <v>12</v>
      </c>
      <c r="U208" s="4">
        <v>66</v>
      </c>
      <c r="V208" s="75">
        <f>IF(ISERROR(VLOOKUP($S$208,'TAR FIN'!$A$1:$O$93,15,0)),0,VLOOKUP($S$208,'TAR FIN'!$A$1:$O$93,15,0))</f>
        <v>0</v>
      </c>
      <c r="W208" s="75">
        <f>IF(ISERROR(VLOOKUP($T$208,'TAR FIN'!$A$1:$O$93,15,0)),0,VLOOKUP($T$208,'TAR FIN'!$A$1:$O$93,15,0))*(1-0.04)</f>
        <v>1079.712</v>
      </c>
      <c r="X208" s="75">
        <f>IF(ISERROR(VLOOKUP($U$208,'TAR FIN'!$A$1:$O$93,15,0)),0,VLOOKUP($U$208,'TAR FIN'!$A$1:$O$93,15,0))*(1-0.04)</f>
        <v>177.77279999999999</v>
      </c>
      <c r="Y208" s="75"/>
      <c r="Z208" s="75">
        <f ca="1">('TUSD BE'!$AM$15+'TUSD BF'!$AM$15+'TUSD CVA'!$AM$15)*1*(1-0.02)</f>
        <v>1276.3186645234982</v>
      </c>
      <c r="AA208" s="75">
        <f>('TE BE'!$AB$7+'TE BF'!$AB$7+'TE CVA'!$AB$7)*1*(1-0.02)</f>
        <v>194.21830884065065</v>
      </c>
      <c r="AB208" s="75">
        <f>(SUBSIDIO!$J$208*SUBSIDIO!$V$208)*(0.04)/(1-0.04)</f>
        <v>0</v>
      </c>
      <c r="AC208" s="75">
        <f>((SUBSIDIO!$L$208*SUBSIDIO!$W$208)+(SUBSIDIO!$N$208*SUBSIDIO!$X$208))*(0.04)/(1-0.04)</f>
        <v>1016.3096944</v>
      </c>
      <c r="AD208" s="75">
        <f>(SUBSIDIO!$J$208*SUBSIDIO!$Y$208)*(0.02)/(1-0.02)</f>
        <v>0</v>
      </c>
      <c r="AE208" s="75">
        <f ca="1">((SUBSIDIO!$L$208*SUBSIDIO!$Z$208)+(SUBSIDIO!$N$208*SUBSIDIO!$AA$208))*(0.02)/(1-0.02)</f>
        <v>582.12256474172239</v>
      </c>
      <c r="AF208" s="4" t="s">
        <v>638</v>
      </c>
    </row>
    <row r="209" spans="1:32" ht="11.25" customHeight="1" x14ac:dyDescent="0.25">
      <c r="A209" s="4" t="s">
        <v>27</v>
      </c>
      <c r="B209" s="4" t="s">
        <v>35</v>
      </c>
      <c r="C209" s="4" t="s">
        <v>39</v>
      </c>
      <c r="D209" s="4" t="s">
        <v>42</v>
      </c>
      <c r="E209" s="4" t="s">
        <v>50</v>
      </c>
      <c r="F209" s="4" t="s">
        <v>51</v>
      </c>
      <c r="G209" s="4" t="s">
        <v>25</v>
      </c>
      <c r="H209" s="4" t="s">
        <v>37</v>
      </c>
      <c r="I209" s="5">
        <v>44713</v>
      </c>
      <c r="J209" s="6">
        <v>0</v>
      </c>
      <c r="K209" s="75">
        <v>0</v>
      </c>
      <c r="L209" s="6">
        <v>-0.09</v>
      </c>
      <c r="M209" s="75">
        <v>-0.09</v>
      </c>
      <c r="N209" s="6">
        <v>-0.09</v>
      </c>
      <c r="O209" s="75">
        <v>-0.09</v>
      </c>
      <c r="P209" s="6">
        <v>0</v>
      </c>
      <c r="Q209" s="4" t="s">
        <v>26</v>
      </c>
      <c r="R209" s="4">
        <v>0</v>
      </c>
      <c r="S209" s="4">
        <v>0</v>
      </c>
      <c r="T209" s="4">
        <v>12</v>
      </c>
      <c r="U209" s="4">
        <v>66</v>
      </c>
      <c r="V209" s="75">
        <f>IF(ISERROR(VLOOKUP($S$209,'TAR FIN'!$A$1:$O$93,15,0)),0,VLOOKUP($S$209,'TAR FIN'!$A$1:$O$93,15,0))</f>
        <v>0</v>
      </c>
      <c r="W209" s="75">
        <f>IF(ISERROR(VLOOKUP($T$209,'TAR FIN'!$A$1:$O$93,15,0)),0,VLOOKUP($T$209,'TAR FIN'!$A$1:$O$93,15,0))*(1-0.04)</f>
        <v>1079.712</v>
      </c>
      <c r="X209" s="75">
        <f>IF(ISERROR(VLOOKUP($U$209,'TAR FIN'!$A$1:$O$93,15,0)),0,VLOOKUP($U$209,'TAR FIN'!$A$1:$O$93,15,0))*(1-0.04)</f>
        <v>177.77279999999999</v>
      </c>
      <c r="Y209" s="75"/>
      <c r="Z209" s="75">
        <f ca="1">('TUSD BE'!$AM$15+'TUSD BF'!$AM$15+'TUSD CVA'!$AM$15)*1*(1-0.02)</f>
        <v>1276.3186645234982</v>
      </c>
      <c r="AA209" s="75">
        <f>('TE BE'!$AB$7+'TE BF'!$AB$7+'TE CVA'!$AB$7)*1*(1-0.02)</f>
        <v>194.21830884065065</v>
      </c>
      <c r="AB209" s="75">
        <f>(SUBSIDIO!$J$209*SUBSIDIO!$V$209)*(0.04)/(1-0.04)</f>
        <v>0</v>
      </c>
      <c r="AC209" s="75">
        <f>((SUBSIDIO!$L$209*SUBSIDIO!$W$209)+(SUBSIDIO!$N$209*SUBSIDIO!$X$209))*(0.04)/(1-0.04)</f>
        <v>-4.7155680000000002</v>
      </c>
      <c r="AD209" s="75">
        <f>(SUBSIDIO!$J$209*SUBSIDIO!$Y$209)*(0.02)/(1-0.02)</f>
        <v>0</v>
      </c>
      <c r="AE209" s="75">
        <f ca="1">((SUBSIDIO!$L$209*SUBSIDIO!$Z$209)+(SUBSIDIO!$N$209*SUBSIDIO!$AA$209))*(0.02)/(1-0.02)</f>
        <v>-2.7009862776076203</v>
      </c>
      <c r="AF209" s="4" t="s">
        <v>638</v>
      </c>
    </row>
    <row r="210" spans="1:32" ht="11.25" customHeight="1" x14ac:dyDescent="0.25">
      <c r="A210" s="4" t="s">
        <v>21</v>
      </c>
      <c r="B210" s="4" t="s">
        <v>35</v>
      </c>
      <c r="C210" s="4" t="s">
        <v>39</v>
      </c>
      <c r="D210" s="4" t="s">
        <v>42</v>
      </c>
      <c r="E210" s="4" t="s">
        <v>50</v>
      </c>
      <c r="F210" s="4" t="s">
        <v>52</v>
      </c>
      <c r="G210" s="4" t="s">
        <v>25</v>
      </c>
      <c r="H210" s="4" t="s">
        <v>38</v>
      </c>
      <c r="I210" s="5">
        <v>44378</v>
      </c>
      <c r="J210" s="6">
        <v>0</v>
      </c>
      <c r="K210" s="6">
        <v>0</v>
      </c>
      <c r="L210" s="6">
        <v>84.168000000000006</v>
      </c>
      <c r="M210" s="6">
        <v>25.250399999999999</v>
      </c>
      <c r="N210" s="6">
        <v>84.168000000000006</v>
      </c>
      <c r="O210" s="6">
        <v>25.250399999999999</v>
      </c>
      <c r="P210" s="6">
        <v>0</v>
      </c>
      <c r="Q210" s="4" t="s">
        <v>26</v>
      </c>
      <c r="R210" s="4">
        <v>0</v>
      </c>
      <c r="S210" s="4">
        <v>0</v>
      </c>
      <c r="T210" s="4">
        <v>25</v>
      </c>
      <c r="U210" s="4">
        <v>59</v>
      </c>
      <c r="V210" s="6">
        <f>IF(ISERROR(VLOOKUP($S$210,'TAR FIN'!$A$1:$O$93,15,0)),0,VLOOKUP($S$210,'TAR FIN'!$A$1:$O$93,15,0))</f>
        <v>0</v>
      </c>
      <c r="W210" s="6">
        <f>IF(ISERROR(VLOOKUP($T$210,'TAR FIN'!$A$1:$O$93,15,0)),0,VLOOKUP($T$210,'TAR FIN'!$A$1:$O$93,15,0))</f>
        <v>69.489999999999995</v>
      </c>
      <c r="X210" s="6">
        <f>IF(ISERROR(VLOOKUP($U$210,'TAR FIN'!$A$1:$O$93,15,0)),0,VLOOKUP($U$210,'TAR FIN'!$A$1:$O$93,15,0))</f>
        <v>185.18</v>
      </c>
      <c r="Y210" s="6"/>
      <c r="Z210" s="6">
        <f ca="1">('TUSD BE'!$AM$16+'TUSD BF'!$AM$16+'TUSD CVA'!$AM$16)*1</f>
        <v>92.504793470158234</v>
      </c>
      <c r="AA210" s="6">
        <f>('TE BE'!$AB$8+'TE BF'!$AB$8+'TE CVA'!$AB$8)*1</f>
        <v>198.18194779658231</v>
      </c>
      <c r="AB210" s="6">
        <f t="shared" ref="AB210:AB235" si="14">(J210-K210)*V210</f>
        <v>0</v>
      </c>
      <c r="AC210" s="6">
        <f t="shared" ref="AC210:AC235" si="15">(L210-M210)*W210+(N210-O210)*X210</f>
        <v>15004.545192000001</v>
      </c>
      <c r="AD210" s="6">
        <f t="shared" ref="AD210:AD235" si="16">(J210-K210)*Y210</f>
        <v>0</v>
      </c>
      <c r="AE210" s="6">
        <f t="shared" ref="AE210:AE235" ca="1" si="17">(L210-M210)*Z210+(N210-O210)*AA210</f>
        <v>17126.565147257315</v>
      </c>
      <c r="AF210" s="4" t="s">
        <v>639</v>
      </c>
    </row>
    <row r="211" spans="1:32" ht="11.25" customHeight="1" x14ac:dyDescent="0.25">
      <c r="A211" s="4" t="s">
        <v>21</v>
      </c>
      <c r="B211" s="4" t="s">
        <v>35</v>
      </c>
      <c r="C211" s="4" t="s">
        <v>39</v>
      </c>
      <c r="D211" s="4" t="s">
        <v>42</v>
      </c>
      <c r="E211" s="4" t="s">
        <v>50</v>
      </c>
      <c r="F211" s="4" t="s">
        <v>52</v>
      </c>
      <c r="G211" s="4" t="s">
        <v>25</v>
      </c>
      <c r="H211" s="4" t="s">
        <v>38</v>
      </c>
      <c r="I211" s="5">
        <v>44409</v>
      </c>
      <c r="J211" s="6">
        <v>0</v>
      </c>
      <c r="K211" s="6">
        <v>0</v>
      </c>
      <c r="L211" s="6">
        <v>151.08000000000001</v>
      </c>
      <c r="M211" s="6">
        <v>45.323999999999998</v>
      </c>
      <c r="N211" s="6">
        <v>151.08000000000001</v>
      </c>
      <c r="O211" s="6">
        <v>45.323999999999998</v>
      </c>
      <c r="P211" s="6">
        <v>0</v>
      </c>
      <c r="Q211" s="4" t="s">
        <v>26</v>
      </c>
      <c r="R211" s="4">
        <v>0</v>
      </c>
      <c r="S211" s="4">
        <v>0</v>
      </c>
      <c r="T211" s="4">
        <v>25</v>
      </c>
      <c r="U211" s="4">
        <v>59</v>
      </c>
      <c r="V211" s="6">
        <f>IF(ISERROR(VLOOKUP($S$211,'TAR FIN'!$A$1:$O$93,15,0)),0,VLOOKUP($S$211,'TAR FIN'!$A$1:$O$93,15,0))</f>
        <v>0</v>
      </c>
      <c r="W211" s="6">
        <f>IF(ISERROR(VLOOKUP($T$211,'TAR FIN'!$A$1:$O$93,15,0)),0,VLOOKUP($T$211,'TAR FIN'!$A$1:$O$93,15,0))</f>
        <v>69.489999999999995</v>
      </c>
      <c r="X211" s="6">
        <f>IF(ISERROR(VLOOKUP($U$211,'TAR FIN'!$A$1:$O$93,15,0)),0,VLOOKUP($U$211,'TAR FIN'!$A$1:$O$93,15,0))</f>
        <v>185.18</v>
      </c>
      <c r="Y211" s="6"/>
      <c r="Z211" s="6">
        <f ca="1">('TUSD BE'!$AM$16+'TUSD BF'!$AM$16+'TUSD CVA'!$AM$16)*1</f>
        <v>92.504793470158234</v>
      </c>
      <c r="AA211" s="6">
        <f>('TE BE'!$AB$8+'TE BF'!$AB$8+'TE CVA'!$AB$8)*1</f>
        <v>198.18194779658231</v>
      </c>
      <c r="AB211" s="6">
        <f t="shared" si="14"/>
        <v>0</v>
      </c>
      <c r="AC211" s="6">
        <f t="shared" si="15"/>
        <v>26932.880520000002</v>
      </c>
      <c r="AD211" s="6">
        <f t="shared" si="16"/>
        <v>0</v>
      </c>
      <c r="AE211" s="6">
        <f t="shared" ca="1" si="17"/>
        <v>30741.867009405418</v>
      </c>
      <c r="AF211" s="4" t="s">
        <v>639</v>
      </c>
    </row>
    <row r="212" spans="1:32" ht="11.25" customHeight="1" x14ac:dyDescent="0.25">
      <c r="A212" s="4" t="s">
        <v>28</v>
      </c>
      <c r="B212" s="4" t="s">
        <v>35</v>
      </c>
      <c r="C212" s="4" t="s">
        <v>39</v>
      </c>
      <c r="D212" s="4" t="s">
        <v>42</v>
      </c>
      <c r="E212" s="4" t="s">
        <v>50</v>
      </c>
      <c r="F212" s="4" t="s">
        <v>52</v>
      </c>
      <c r="G212" s="4" t="s">
        <v>25</v>
      </c>
      <c r="H212" s="4" t="s">
        <v>38</v>
      </c>
      <c r="I212" s="5">
        <v>44409</v>
      </c>
      <c r="J212" s="6">
        <v>0</v>
      </c>
      <c r="K212" s="6">
        <v>0</v>
      </c>
      <c r="L212" s="6">
        <v>13.695</v>
      </c>
      <c r="M212" s="6">
        <v>4.1085000000000003</v>
      </c>
      <c r="N212" s="6">
        <v>13.695</v>
      </c>
      <c r="O212" s="6">
        <v>4.1085000000000003</v>
      </c>
      <c r="P212" s="6">
        <v>0</v>
      </c>
      <c r="Q212" s="4" t="s">
        <v>26</v>
      </c>
      <c r="R212" s="4">
        <v>0</v>
      </c>
      <c r="S212" s="4">
        <v>0</v>
      </c>
      <c r="T212" s="4">
        <v>25</v>
      </c>
      <c r="U212" s="4">
        <v>59</v>
      </c>
      <c r="V212" s="6">
        <f>IF(ISERROR(VLOOKUP($S$212,'TAR FIN'!$A$1:$O$93,15,0)),0,VLOOKUP($S$212,'TAR FIN'!$A$1:$O$93,15,0))</f>
        <v>0</v>
      </c>
      <c r="W212" s="6">
        <f>IF(ISERROR(VLOOKUP($T$212,'TAR FIN'!$A$1:$O$93,15,0)),0,VLOOKUP($T$212,'TAR FIN'!$A$1:$O$93,15,0))</f>
        <v>69.489999999999995</v>
      </c>
      <c r="X212" s="6">
        <f>IF(ISERROR(VLOOKUP($U$212,'TAR FIN'!$A$1:$O$93,15,0)),0,VLOOKUP($U$212,'TAR FIN'!$A$1:$O$93,15,0))</f>
        <v>185.18</v>
      </c>
      <c r="Y212" s="6"/>
      <c r="Z212" s="6">
        <f ca="1">('TUSD BE'!$AM$16+'TUSD BF'!$AM$16+'TUSD CVA'!$AM$16)*1</f>
        <v>92.504793470158234</v>
      </c>
      <c r="AA212" s="6">
        <f>('TE BE'!$AB$8+'TE BF'!$AB$8+'TE CVA'!$AB$8)*1</f>
        <v>198.18194779658231</v>
      </c>
      <c r="AB212" s="6">
        <f t="shared" si="14"/>
        <v>0</v>
      </c>
      <c r="AC212" s="6">
        <f t="shared" si="15"/>
        <v>2441.3939550000005</v>
      </c>
      <c r="AD212" s="6">
        <f t="shared" si="16"/>
        <v>0</v>
      </c>
      <c r="AE212" s="6">
        <f t="shared" ca="1" si="17"/>
        <v>2786.6684451536084</v>
      </c>
      <c r="AF212" s="4" t="s">
        <v>639</v>
      </c>
    </row>
    <row r="213" spans="1:32" ht="11.25" customHeight="1" x14ac:dyDescent="0.25">
      <c r="A213" s="4" t="s">
        <v>21</v>
      </c>
      <c r="B213" s="4" t="s">
        <v>35</v>
      </c>
      <c r="C213" s="4" t="s">
        <v>39</v>
      </c>
      <c r="D213" s="4" t="s">
        <v>42</v>
      </c>
      <c r="E213" s="4" t="s">
        <v>50</v>
      </c>
      <c r="F213" s="4" t="s">
        <v>52</v>
      </c>
      <c r="G213" s="4" t="s">
        <v>25</v>
      </c>
      <c r="H213" s="4" t="s">
        <v>38</v>
      </c>
      <c r="I213" s="5">
        <v>44440</v>
      </c>
      <c r="J213" s="6">
        <v>0</v>
      </c>
      <c r="K213" s="6">
        <v>0</v>
      </c>
      <c r="L213" s="6">
        <v>516.85</v>
      </c>
      <c r="M213" s="6">
        <v>155.05500000000001</v>
      </c>
      <c r="N213" s="6">
        <v>516.85</v>
      </c>
      <c r="O213" s="6">
        <v>155.05500000000001</v>
      </c>
      <c r="P213" s="6">
        <v>0</v>
      </c>
      <c r="Q213" s="4" t="s">
        <v>26</v>
      </c>
      <c r="R213" s="4">
        <v>0</v>
      </c>
      <c r="S213" s="4">
        <v>0</v>
      </c>
      <c r="T213" s="4">
        <v>25</v>
      </c>
      <c r="U213" s="4">
        <v>59</v>
      </c>
      <c r="V213" s="6">
        <f>IF(ISERROR(VLOOKUP($S$213,'TAR FIN'!$A$1:$O$93,15,0)),0,VLOOKUP($S$213,'TAR FIN'!$A$1:$O$93,15,0))</f>
        <v>0</v>
      </c>
      <c r="W213" s="6">
        <f>IF(ISERROR(VLOOKUP($T$213,'TAR FIN'!$A$1:$O$93,15,0)),0,VLOOKUP($T$213,'TAR FIN'!$A$1:$O$93,15,0))</f>
        <v>69.489999999999995</v>
      </c>
      <c r="X213" s="6">
        <f>IF(ISERROR(VLOOKUP($U$213,'TAR FIN'!$A$1:$O$93,15,0)),0,VLOOKUP($U$213,'TAR FIN'!$A$1:$O$93,15,0))</f>
        <v>185.18</v>
      </c>
      <c r="Y213" s="6"/>
      <c r="Z213" s="6">
        <f ca="1">('TUSD BE'!$AM$16+'TUSD BF'!$AM$16+'TUSD CVA'!$AM$16)*1</f>
        <v>92.504793470158234</v>
      </c>
      <c r="AA213" s="6">
        <f>('TE BE'!$AB$8+'TE BF'!$AB$8+'TE CVA'!$AB$8)*1</f>
        <v>198.18194779658231</v>
      </c>
      <c r="AB213" s="6">
        <f t="shared" si="14"/>
        <v>0</v>
      </c>
      <c r="AC213" s="6">
        <f t="shared" si="15"/>
        <v>92138.332650000011</v>
      </c>
      <c r="AD213" s="6">
        <f t="shared" si="16"/>
        <v>0</v>
      </c>
      <c r="AE213" s="6">
        <f t="shared" ca="1" si="17"/>
        <v>105169.0095566004</v>
      </c>
      <c r="AF213" s="4" t="s">
        <v>639</v>
      </c>
    </row>
    <row r="214" spans="1:32" ht="11.25" customHeight="1" x14ac:dyDescent="0.25">
      <c r="A214" s="4" t="s">
        <v>28</v>
      </c>
      <c r="B214" s="4" t="s">
        <v>35</v>
      </c>
      <c r="C214" s="4" t="s">
        <v>39</v>
      </c>
      <c r="D214" s="4" t="s">
        <v>42</v>
      </c>
      <c r="E214" s="4" t="s">
        <v>50</v>
      </c>
      <c r="F214" s="4" t="s">
        <v>52</v>
      </c>
      <c r="G214" s="4" t="s">
        <v>25</v>
      </c>
      <c r="H214" s="4" t="s">
        <v>38</v>
      </c>
      <c r="I214" s="5">
        <v>44440</v>
      </c>
      <c r="J214" s="6">
        <v>0</v>
      </c>
      <c r="K214" s="6">
        <v>0</v>
      </c>
      <c r="L214" s="6">
        <v>16.559000000000001</v>
      </c>
      <c r="M214" s="6">
        <v>4.9676999999999998</v>
      </c>
      <c r="N214" s="6">
        <v>16.559000000000001</v>
      </c>
      <c r="O214" s="6">
        <v>4.9676999999999998</v>
      </c>
      <c r="P214" s="6">
        <v>0</v>
      </c>
      <c r="Q214" s="4" t="s">
        <v>26</v>
      </c>
      <c r="R214" s="4">
        <v>0</v>
      </c>
      <c r="S214" s="4">
        <v>0</v>
      </c>
      <c r="T214" s="4">
        <v>25</v>
      </c>
      <c r="U214" s="4">
        <v>59</v>
      </c>
      <c r="V214" s="6">
        <f>IF(ISERROR(VLOOKUP($S$214,'TAR FIN'!$A$1:$O$93,15,0)),0,VLOOKUP($S$214,'TAR FIN'!$A$1:$O$93,15,0))</f>
        <v>0</v>
      </c>
      <c r="W214" s="6">
        <f>IF(ISERROR(VLOOKUP($T$214,'TAR FIN'!$A$1:$O$93,15,0)),0,VLOOKUP($T$214,'TAR FIN'!$A$1:$O$93,15,0))</f>
        <v>69.489999999999995</v>
      </c>
      <c r="X214" s="6">
        <f>IF(ISERROR(VLOOKUP($U$214,'TAR FIN'!$A$1:$O$93,15,0)),0,VLOOKUP($U$214,'TAR FIN'!$A$1:$O$93,15,0))</f>
        <v>185.18</v>
      </c>
      <c r="Y214" s="6"/>
      <c r="Z214" s="6">
        <f ca="1">('TUSD BE'!$AM$16+'TUSD BF'!$AM$16+'TUSD CVA'!$AM$16)*1</f>
        <v>92.504793470158234</v>
      </c>
      <c r="AA214" s="6">
        <f>('TE BE'!$AB$8+'TE BF'!$AB$8+'TE CVA'!$AB$8)*1</f>
        <v>198.18194779658231</v>
      </c>
      <c r="AB214" s="6">
        <f t="shared" si="14"/>
        <v>0</v>
      </c>
      <c r="AC214" s="6">
        <f t="shared" si="15"/>
        <v>2951.9563710000002</v>
      </c>
      <c r="AD214" s="6">
        <f t="shared" si="16"/>
        <v>0</v>
      </c>
      <c r="AE214" s="6">
        <f t="shared" ca="1" si="17"/>
        <v>3369.4372240451698</v>
      </c>
      <c r="AF214" s="4" t="s">
        <v>639</v>
      </c>
    </row>
    <row r="215" spans="1:32" ht="11.25" customHeight="1" x14ac:dyDescent="0.25">
      <c r="A215" s="4" t="s">
        <v>21</v>
      </c>
      <c r="B215" s="4" t="s">
        <v>35</v>
      </c>
      <c r="C215" s="4" t="s">
        <v>39</v>
      </c>
      <c r="D215" s="4" t="s">
        <v>42</v>
      </c>
      <c r="E215" s="4" t="s">
        <v>50</v>
      </c>
      <c r="F215" s="4" t="s">
        <v>52</v>
      </c>
      <c r="G215" s="4" t="s">
        <v>25</v>
      </c>
      <c r="H215" s="4" t="s">
        <v>38</v>
      </c>
      <c r="I215" s="5">
        <v>44470</v>
      </c>
      <c r="J215" s="6">
        <v>0</v>
      </c>
      <c r="K215" s="6">
        <v>0</v>
      </c>
      <c r="L215" s="6">
        <v>249.75800000000001</v>
      </c>
      <c r="M215" s="6">
        <v>74.927400000000006</v>
      </c>
      <c r="N215" s="6">
        <v>249.75800000000001</v>
      </c>
      <c r="O215" s="6">
        <v>74.927400000000006</v>
      </c>
      <c r="P215" s="6">
        <v>0</v>
      </c>
      <c r="Q215" s="4" t="s">
        <v>26</v>
      </c>
      <c r="R215" s="4">
        <v>0</v>
      </c>
      <c r="S215" s="4">
        <v>0</v>
      </c>
      <c r="T215" s="4">
        <v>25</v>
      </c>
      <c r="U215" s="4">
        <v>59</v>
      </c>
      <c r="V215" s="6">
        <f>IF(ISERROR(VLOOKUP($S$215,'TAR FIN'!$A$1:$O$93,15,0)),0,VLOOKUP($S$215,'TAR FIN'!$A$1:$O$93,15,0))</f>
        <v>0</v>
      </c>
      <c r="W215" s="6">
        <f>IF(ISERROR(VLOOKUP($T$215,'TAR FIN'!$A$1:$O$93,15,0)),0,VLOOKUP($T$215,'TAR FIN'!$A$1:$O$93,15,0))</f>
        <v>69.489999999999995</v>
      </c>
      <c r="X215" s="6">
        <f>IF(ISERROR(VLOOKUP($U$215,'TAR FIN'!$A$1:$O$93,15,0)),0,VLOOKUP($U$215,'TAR FIN'!$A$1:$O$93,15,0))</f>
        <v>185.18</v>
      </c>
      <c r="Y215" s="6"/>
      <c r="Z215" s="6">
        <f ca="1">('TUSD BE'!$AM$16+'TUSD BF'!$AM$16+'TUSD CVA'!$AM$16)*1</f>
        <v>92.504793470158234</v>
      </c>
      <c r="AA215" s="6">
        <f>('TE BE'!$AB$8+'TE BF'!$AB$8+'TE CVA'!$AB$8)*1</f>
        <v>198.18194779658231</v>
      </c>
      <c r="AB215" s="6">
        <f t="shared" si="14"/>
        <v>0</v>
      </c>
      <c r="AC215" s="6">
        <f t="shared" si="15"/>
        <v>44524.108902</v>
      </c>
      <c r="AD215" s="6">
        <f t="shared" si="16"/>
        <v>0</v>
      </c>
      <c r="AE215" s="6">
        <f t="shared" ca="1" si="17"/>
        <v>50820.937387709011</v>
      </c>
      <c r="AF215" s="4" t="s">
        <v>639</v>
      </c>
    </row>
    <row r="216" spans="1:32" ht="11.25" customHeight="1" x14ac:dyDescent="0.25">
      <c r="A216" s="4" t="s">
        <v>21</v>
      </c>
      <c r="B216" s="4" t="s">
        <v>35</v>
      </c>
      <c r="C216" s="4" t="s">
        <v>39</v>
      </c>
      <c r="D216" s="4" t="s">
        <v>42</v>
      </c>
      <c r="E216" s="4" t="s">
        <v>50</v>
      </c>
      <c r="F216" s="4" t="s">
        <v>52</v>
      </c>
      <c r="G216" s="4" t="s">
        <v>25</v>
      </c>
      <c r="H216" s="4" t="s">
        <v>38</v>
      </c>
      <c r="I216" s="5">
        <v>44501</v>
      </c>
      <c r="J216" s="6">
        <v>0</v>
      </c>
      <c r="K216" s="6">
        <v>0</v>
      </c>
      <c r="L216" s="6">
        <v>495.33699999999999</v>
      </c>
      <c r="M216" s="6">
        <v>148.6011</v>
      </c>
      <c r="N216" s="6">
        <v>495.33699999999999</v>
      </c>
      <c r="O216" s="6">
        <v>148.6011</v>
      </c>
      <c r="P216" s="6">
        <v>0</v>
      </c>
      <c r="Q216" s="4" t="s">
        <v>26</v>
      </c>
      <c r="R216" s="4">
        <v>0</v>
      </c>
      <c r="S216" s="4">
        <v>0</v>
      </c>
      <c r="T216" s="4">
        <v>25</v>
      </c>
      <c r="U216" s="4">
        <v>59</v>
      </c>
      <c r="V216" s="6">
        <f>IF(ISERROR(VLOOKUP($S$216,'TAR FIN'!$A$1:$O$93,15,0)),0,VLOOKUP($S$216,'TAR FIN'!$A$1:$O$93,15,0))</f>
        <v>0</v>
      </c>
      <c r="W216" s="6">
        <f>IF(ISERROR(VLOOKUP($T$216,'TAR FIN'!$A$1:$O$93,15,0)),0,VLOOKUP($T$216,'TAR FIN'!$A$1:$O$93,15,0))</f>
        <v>69.489999999999995</v>
      </c>
      <c r="X216" s="6">
        <f>IF(ISERROR(VLOOKUP($U$216,'TAR FIN'!$A$1:$O$93,15,0)),0,VLOOKUP($U$216,'TAR FIN'!$A$1:$O$93,15,0))</f>
        <v>185.18</v>
      </c>
      <c r="Y216" s="6"/>
      <c r="Z216" s="6">
        <f ca="1">('TUSD BE'!$AM$16+'TUSD BF'!$AM$16+'TUSD CVA'!$AM$16)*1</f>
        <v>92.504793470158234</v>
      </c>
      <c r="AA216" s="6">
        <f>('TE BE'!$AB$8+'TE BF'!$AB$8+'TE CVA'!$AB$8)*1</f>
        <v>198.18194779658231</v>
      </c>
      <c r="AB216" s="6">
        <f t="shared" si="14"/>
        <v>0</v>
      </c>
      <c r="AC216" s="6">
        <f t="shared" si="15"/>
        <v>88303.23165300001</v>
      </c>
      <c r="AD216" s="6">
        <f t="shared" si="16"/>
        <v>0</v>
      </c>
      <c r="AE216" s="6">
        <f t="shared" ca="1" si="17"/>
        <v>100791.52885119042</v>
      </c>
      <c r="AF216" s="4" t="s">
        <v>639</v>
      </c>
    </row>
    <row r="217" spans="1:32" ht="11.25" customHeight="1" x14ac:dyDescent="0.25">
      <c r="A217" s="4" t="s">
        <v>27</v>
      </c>
      <c r="B217" s="4" t="s">
        <v>35</v>
      </c>
      <c r="C217" s="4" t="s">
        <v>39</v>
      </c>
      <c r="D217" s="4" t="s">
        <v>42</v>
      </c>
      <c r="E217" s="4" t="s">
        <v>50</v>
      </c>
      <c r="F217" s="4" t="s">
        <v>52</v>
      </c>
      <c r="G217" s="4" t="s">
        <v>25</v>
      </c>
      <c r="H217" s="4" t="s">
        <v>38</v>
      </c>
      <c r="I217" s="5">
        <v>44501</v>
      </c>
      <c r="J217" s="6">
        <v>0</v>
      </c>
      <c r="K217" s="6">
        <v>0</v>
      </c>
      <c r="L217" s="6">
        <v>-3.9289999999999998</v>
      </c>
      <c r="M217" s="6">
        <v>-1.1787000000000001</v>
      </c>
      <c r="N217" s="6">
        <v>-3.9289999999999998</v>
      </c>
      <c r="O217" s="6">
        <v>-1.1787000000000001</v>
      </c>
      <c r="P217" s="6">
        <v>0</v>
      </c>
      <c r="Q217" s="4" t="s">
        <v>26</v>
      </c>
      <c r="R217" s="4">
        <v>0</v>
      </c>
      <c r="S217" s="4">
        <v>0</v>
      </c>
      <c r="T217" s="4">
        <v>25</v>
      </c>
      <c r="U217" s="4">
        <v>59</v>
      </c>
      <c r="V217" s="6">
        <f>IF(ISERROR(VLOOKUP($S$217,'TAR FIN'!$A$1:$O$93,15,0)),0,VLOOKUP($S$217,'TAR FIN'!$A$1:$O$93,15,0))</f>
        <v>0</v>
      </c>
      <c r="W217" s="6">
        <f>IF(ISERROR(VLOOKUP($T$217,'TAR FIN'!$A$1:$O$93,15,0)),0,VLOOKUP($T$217,'TAR FIN'!$A$1:$O$93,15,0))</f>
        <v>69.489999999999995</v>
      </c>
      <c r="X217" s="6">
        <f>IF(ISERROR(VLOOKUP($U$217,'TAR FIN'!$A$1:$O$93,15,0)),0,VLOOKUP($U$217,'TAR FIN'!$A$1:$O$93,15,0))</f>
        <v>185.18</v>
      </c>
      <c r="Y217" s="6"/>
      <c r="Z217" s="6">
        <f ca="1">('TUSD BE'!$AM$16+'TUSD BF'!$AM$16+'TUSD CVA'!$AM$16)*1</f>
        <v>92.504793470158234</v>
      </c>
      <c r="AA217" s="6">
        <f>('TE BE'!$AB$8+'TE BF'!$AB$8+'TE CVA'!$AB$8)*1</f>
        <v>198.18194779658231</v>
      </c>
      <c r="AB217" s="6">
        <f t="shared" si="14"/>
        <v>0</v>
      </c>
      <c r="AC217" s="6">
        <f t="shared" si="15"/>
        <v>-700.41890100000001</v>
      </c>
      <c r="AD217" s="6">
        <f t="shared" si="16"/>
        <v>0</v>
      </c>
      <c r="AE217" s="6">
        <f t="shared" ca="1" si="17"/>
        <v>-799.4757445059164</v>
      </c>
      <c r="AF217" s="4" t="s">
        <v>639</v>
      </c>
    </row>
    <row r="218" spans="1:32" ht="11.25" customHeight="1" x14ac:dyDescent="0.25">
      <c r="A218" s="4" t="s">
        <v>28</v>
      </c>
      <c r="B218" s="4" t="s">
        <v>35</v>
      </c>
      <c r="C218" s="4" t="s">
        <v>39</v>
      </c>
      <c r="D218" s="4" t="s">
        <v>42</v>
      </c>
      <c r="E218" s="4" t="s">
        <v>50</v>
      </c>
      <c r="F218" s="4" t="s">
        <v>52</v>
      </c>
      <c r="G218" s="4" t="s">
        <v>25</v>
      </c>
      <c r="H218" s="4" t="s">
        <v>38</v>
      </c>
      <c r="I218" s="5">
        <v>44501</v>
      </c>
      <c r="J218" s="6">
        <v>0</v>
      </c>
      <c r="K218" s="6">
        <v>0</v>
      </c>
      <c r="L218" s="6">
        <v>8.8059999999999992</v>
      </c>
      <c r="M218" s="6">
        <v>2.6417999999999999</v>
      </c>
      <c r="N218" s="6">
        <v>8.8059999999999992</v>
      </c>
      <c r="O218" s="6">
        <v>2.6417999999999999</v>
      </c>
      <c r="P218" s="6">
        <v>0</v>
      </c>
      <c r="Q218" s="4" t="s">
        <v>26</v>
      </c>
      <c r="R218" s="4">
        <v>0</v>
      </c>
      <c r="S218" s="4">
        <v>0</v>
      </c>
      <c r="T218" s="4">
        <v>25</v>
      </c>
      <c r="U218" s="4">
        <v>59</v>
      </c>
      <c r="V218" s="6">
        <f>IF(ISERROR(VLOOKUP($S$218,'TAR FIN'!$A$1:$O$93,15,0)),0,VLOOKUP($S$218,'TAR FIN'!$A$1:$O$93,15,0))</f>
        <v>0</v>
      </c>
      <c r="W218" s="6">
        <f>IF(ISERROR(VLOOKUP($T$218,'TAR FIN'!$A$1:$O$93,15,0)),0,VLOOKUP($T$218,'TAR FIN'!$A$1:$O$93,15,0))</f>
        <v>69.489999999999995</v>
      </c>
      <c r="X218" s="6">
        <f>IF(ISERROR(VLOOKUP($U$218,'TAR FIN'!$A$1:$O$93,15,0)),0,VLOOKUP($U$218,'TAR FIN'!$A$1:$O$93,15,0))</f>
        <v>185.18</v>
      </c>
      <c r="Y218" s="6"/>
      <c r="Z218" s="6">
        <f ca="1">('TUSD BE'!$AM$16+'TUSD BF'!$AM$16+'TUSD CVA'!$AM$16)*1</f>
        <v>92.504793470158234</v>
      </c>
      <c r="AA218" s="6">
        <f>('TE BE'!$AB$8+'TE BF'!$AB$8+'TE CVA'!$AB$8)*1</f>
        <v>198.18194779658231</v>
      </c>
      <c r="AB218" s="6">
        <f t="shared" si="14"/>
        <v>0</v>
      </c>
      <c r="AC218" s="6">
        <f t="shared" si="15"/>
        <v>1569.8368139999998</v>
      </c>
      <c r="AD218" s="6">
        <f t="shared" si="16"/>
        <v>0</v>
      </c>
      <c r="AE218" s="6">
        <f t="shared" ca="1" si="17"/>
        <v>1791.8512105164418</v>
      </c>
      <c r="AF218" s="4" t="s">
        <v>639</v>
      </c>
    </row>
    <row r="219" spans="1:32" ht="11.25" customHeight="1" x14ac:dyDescent="0.25">
      <c r="A219" s="4" t="s">
        <v>21</v>
      </c>
      <c r="B219" s="4" t="s">
        <v>35</v>
      </c>
      <c r="C219" s="4" t="s">
        <v>39</v>
      </c>
      <c r="D219" s="4" t="s">
        <v>42</v>
      </c>
      <c r="E219" s="4" t="s">
        <v>50</v>
      </c>
      <c r="F219" s="4" t="s">
        <v>52</v>
      </c>
      <c r="G219" s="4" t="s">
        <v>25</v>
      </c>
      <c r="H219" s="4" t="s">
        <v>38</v>
      </c>
      <c r="I219" s="5">
        <v>44531</v>
      </c>
      <c r="J219" s="6">
        <v>0</v>
      </c>
      <c r="K219" s="6">
        <v>0</v>
      </c>
      <c r="L219" s="6">
        <v>4394.9979999999996</v>
      </c>
      <c r="M219" s="6">
        <v>1318.4993999999999</v>
      </c>
      <c r="N219" s="6">
        <v>4394.9979999999996</v>
      </c>
      <c r="O219" s="6">
        <v>1318.4993999999999</v>
      </c>
      <c r="P219" s="6">
        <v>0</v>
      </c>
      <c r="Q219" s="4" t="s">
        <v>26</v>
      </c>
      <c r="R219" s="4">
        <v>0</v>
      </c>
      <c r="S219" s="4">
        <v>0</v>
      </c>
      <c r="T219" s="4">
        <v>25</v>
      </c>
      <c r="U219" s="4">
        <v>59</v>
      </c>
      <c r="V219" s="6">
        <f>IF(ISERROR(VLOOKUP($S$219,'TAR FIN'!$A$1:$O$93,15,0)),0,VLOOKUP($S$219,'TAR FIN'!$A$1:$O$93,15,0))</f>
        <v>0</v>
      </c>
      <c r="W219" s="6">
        <f>IF(ISERROR(VLOOKUP($T$219,'TAR FIN'!$A$1:$O$93,15,0)),0,VLOOKUP($T$219,'TAR FIN'!$A$1:$O$93,15,0))</f>
        <v>69.489999999999995</v>
      </c>
      <c r="X219" s="6">
        <f>IF(ISERROR(VLOOKUP($U$219,'TAR FIN'!$A$1:$O$93,15,0)),0,VLOOKUP($U$219,'TAR FIN'!$A$1:$O$93,15,0))</f>
        <v>185.18</v>
      </c>
      <c r="Y219" s="6"/>
      <c r="Z219" s="6">
        <f ca="1">('TUSD BE'!$AM$16+'TUSD BF'!$AM$16+'TUSD CVA'!$AM$16)*1</f>
        <v>92.504793470158234</v>
      </c>
      <c r="AA219" s="6">
        <f>('TE BE'!$AB$8+'TE BF'!$AB$8+'TE CVA'!$AB$8)*1</f>
        <v>198.18194779658231</v>
      </c>
      <c r="AB219" s="6">
        <f t="shared" si="14"/>
        <v>0</v>
      </c>
      <c r="AC219" s="6">
        <f t="shared" si="15"/>
        <v>783491.89846199995</v>
      </c>
      <c r="AD219" s="6">
        <f t="shared" si="16"/>
        <v>0</v>
      </c>
      <c r="AE219" s="6">
        <f t="shared" ca="1" si="17"/>
        <v>894297.35254568956</v>
      </c>
      <c r="AF219" s="4" t="s">
        <v>639</v>
      </c>
    </row>
    <row r="220" spans="1:32" ht="11.25" customHeight="1" x14ac:dyDescent="0.25">
      <c r="A220" s="4" t="s">
        <v>21</v>
      </c>
      <c r="B220" s="4" t="s">
        <v>35</v>
      </c>
      <c r="C220" s="4" t="s">
        <v>39</v>
      </c>
      <c r="D220" s="4" t="s">
        <v>42</v>
      </c>
      <c r="E220" s="4" t="s">
        <v>50</v>
      </c>
      <c r="F220" s="4" t="s">
        <v>52</v>
      </c>
      <c r="G220" s="4" t="s">
        <v>25</v>
      </c>
      <c r="H220" s="4" t="s">
        <v>38</v>
      </c>
      <c r="I220" s="5">
        <v>44562</v>
      </c>
      <c r="J220" s="6">
        <v>0</v>
      </c>
      <c r="K220" s="6">
        <v>0</v>
      </c>
      <c r="L220" s="6">
        <v>6187.6310000000003</v>
      </c>
      <c r="M220" s="6">
        <v>1856.2892999999999</v>
      </c>
      <c r="N220" s="6">
        <v>6187.6310000000003</v>
      </c>
      <c r="O220" s="6">
        <v>1856.2892999999999</v>
      </c>
      <c r="P220" s="6">
        <v>0</v>
      </c>
      <c r="Q220" s="4" t="s">
        <v>26</v>
      </c>
      <c r="R220" s="4">
        <v>0</v>
      </c>
      <c r="S220" s="4">
        <v>0</v>
      </c>
      <c r="T220" s="4">
        <v>25</v>
      </c>
      <c r="U220" s="4">
        <v>59</v>
      </c>
      <c r="V220" s="6">
        <f>IF(ISERROR(VLOOKUP($S$220,'TAR FIN'!$A$1:$O$93,15,0)),0,VLOOKUP($S$220,'TAR FIN'!$A$1:$O$93,15,0))</f>
        <v>0</v>
      </c>
      <c r="W220" s="6">
        <f>IF(ISERROR(VLOOKUP($T$220,'TAR FIN'!$A$1:$O$93,15,0)),0,VLOOKUP($T$220,'TAR FIN'!$A$1:$O$93,15,0))</f>
        <v>69.489999999999995</v>
      </c>
      <c r="X220" s="6">
        <f>IF(ISERROR(VLOOKUP($U$220,'TAR FIN'!$A$1:$O$93,15,0)),0,VLOOKUP($U$220,'TAR FIN'!$A$1:$O$93,15,0))</f>
        <v>185.18</v>
      </c>
      <c r="Y220" s="6"/>
      <c r="Z220" s="6">
        <f ca="1">('TUSD BE'!$AM$16+'TUSD BF'!$AM$16+'TUSD CVA'!$AM$16)*1</f>
        <v>92.504793470158234</v>
      </c>
      <c r="AA220" s="6">
        <f>('TE BE'!$AB$8+'TE BF'!$AB$8+'TE CVA'!$AB$8)*1</f>
        <v>198.18194779658231</v>
      </c>
      <c r="AB220" s="6">
        <f t="shared" si="14"/>
        <v>0</v>
      </c>
      <c r="AC220" s="6">
        <f t="shared" si="15"/>
        <v>1103062.7907390003</v>
      </c>
      <c r="AD220" s="6">
        <f t="shared" si="16"/>
        <v>0</v>
      </c>
      <c r="AE220" s="6">
        <f t="shared" ca="1" si="17"/>
        <v>1259063.6040857444</v>
      </c>
      <c r="AF220" s="4" t="s">
        <v>639</v>
      </c>
    </row>
    <row r="221" spans="1:32" ht="11.25" customHeight="1" x14ac:dyDescent="0.25">
      <c r="A221" s="4" t="s">
        <v>28</v>
      </c>
      <c r="B221" s="4" t="s">
        <v>35</v>
      </c>
      <c r="C221" s="4" t="s">
        <v>39</v>
      </c>
      <c r="D221" s="4" t="s">
        <v>42</v>
      </c>
      <c r="E221" s="4" t="s">
        <v>50</v>
      </c>
      <c r="F221" s="4" t="s">
        <v>52</v>
      </c>
      <c r="G221" s="4" t="s">
        <v>25</v>
      </c>
      <c r="H221" s="4" t="s">
        <v>38</v>
      </c>
      <c r="I221" s="5">
        <v>44562</v>
      </c>
      <c r="J221" s="6">
        <v>0</v>
      </c>
      <c r="K221" s="6">
        <v>0</v>
      </c>
      <c r="L221" s="6">
        <v>94.134</v>
      </c>
      <c r="M221" s="6">
        <v>28.240200000000002</v>
      </c>
      <c r="N221" s="6">
        <v>94.134</v>
      </c>
      <c r="O221" s="6">
        <v>28.240200000000002</v>
      </c>
      <c r="P221" s="6">
        <v>0</v>
      </c>
      <c r="Q221" s="4" t="s">
        <v>26</v>
      </c>
      <c r="R221" s="4">
        <v>0</v>
      </c>
      <c r="S221" s="4">
        <v>0</v>
      </c>
      <c r="T221" s="4">
        <v>25</v>
      </c>
      <c r="U221" s="4">
        <v>59</v>
      </c>
      <c r="V221" s="6">
        <f>IF(ISERROR(VLOOKUP($S$221,'TAR FIN'!$A$1:$O$93,15,0)),0,VLOOKUP($S$221,'TAR FIN'!$A$1:$O$93,15,0))</f>
        <v>0</v>
      </c>
      <c r="W221" s="6">
        <f>IF(ISERROR(VLOOKUP($T$221,'TAR FIN'!$A$1:$O$93,15,0)),0,VLOOKUP($T$221,'TAR FIN'!$A$1:$O$93,15,0))</f>
        <v>69.489999999999995</v>
      </c>
      <c r="X221" s="6">
        <f>IF(ISERROR(VLOOKUP($U$221,'TAR FIN'!$A$1:$O$93,15,0)),0,VLOOKUP($U$221,'TAR FIN'!$A$1:$O$93,15,0))</f>
        <v>185.18</v>
      </c>
      <c r="Y221" s="6"/>
      <c r="Z221" s="6">
        <f ca="1">('TUSD BE'!$AM$16+'TUSD BF'!$AM$16+'TUSD CVA'!$AM$16)*1</f>
        <v>92.504793470158234</v>
      </c>
      <c r="AA221" s="6">
        <f>('TE BE'!$AB$8+'TE BF'!$AB$8+'TE CVA'!$AB$8)*1</f>
        <v>198.18194779658231</v>
      </c>
      <c r="AB221" s="6">
        <f t="shared" si="14"/>
        <v>0</v>
      </c>
      <c r="AC221" s="6">
        <f t="shared" si="15"/>
        <v>16781.174046</v>
      </c>
      <c r="AD221" s="6">
        <f t="shared" si="16"/>
        <v>0</v>
      </c>
      <c r="AE221" s="6">
        <f t="shared" ca="1" si="17"/>
        <v>19154.453991682349</v>
      </c>
      <c r="AF221" s="4" t="s">
        <v>639</v>
      </c>
    </row>
    <row r="222" spans="1:32" ht="11.25" customHeight="1" x14ac:dyDescent="0.25">
      <c r="A222" s="4" t="s">
        <v>21</v>
      </c>
      <c r="B222" s="4" t="s">
        <v>35</v>
      </c>
      <c r="C222" s="4" t="s">
        <v>39</v>
      </c>
      <c r="D222" s="4" t="s">
        <v>42</v>
      </c>
      <c r="E222" s="4" t="s">
        <v>50</v>
      </c>
      <c r="F222" s="4" t="s">
        <v>52</v>
      </c>
      <c r="G222" s="4" t="s">
        <v>25</v>
      </c>
      <c r="H222" s="4" t="s">
        <v>38</v>
      </c>
      <c r="I222" s="5">
        <v>44593</v>
      </c>
      <c r="J222" s="6">
        <v>0</v>
      </c>
      <c r="K222" s="6">
        <v>0</v>
      </c>
      <c r="L222" s="6">
        <v>4719.0860000000002</v>
      </c>
      <c r="M222" s="6">
        <v>1415.7257999999999</v>
      </c>
      <c r="N222" s="6">
        <v>4719.0860000000002</v>
      </c>
      <c r="O222" s="6">
        <v>1415.7257999999999</v>
      </c>
      <c r="P222" s="6">
        <v>0</v>
      </c>
      <c r="Q222" s="4" t="s">
        <v>26</v>
      </c>
      <c r="R222" s="4">
        <v>0</v>
      </c>
      <c r="S222" s="4">
        <v>0</v>
      </c>
      <c r="T222" s="4">
        <v>25</v>
      </c>
      <c r="U222" s="4">
        <v>59</v>
      </c>
      <c r="V222" s="6">
        <f>IF(ISERROR(VLOOKUP($S$222,'TAR FIN'!$A$1:$O$93,15,0)),0,VLOOKUP($S$222,'TAR FIN'!$A$1:$O$93,15,0))</f>
        <v>0</v>
      </c>
      <c r="W222" s="6">
        <f>IF(ISERROR(VLOOKUP($T$222,'TAR FIN'!$A$1:$O$93,15,0)),0,VLOOKUP($T$222,'TAR FIN'!$A$1:$O$93,15,0))</f>
        <v>69.489999999999995</v>
      </c>
      <c r="X222" s="6">
        <f>IF(ISERROR(VLOOKUP($U$222,'TAR FIN'!$A$1:$O$93,15,0)),0,VLOOKUP($U$222,'TAR FIN'!$A$1:$O$93,15,0))</f>
        <v>185.18</v>
      </c>
      <c r="Y222" s="6"/>
      <c r="Z222" s="6">
        <f ca="1">('TUSD BE'!$AM$16+'TUSD BF'!$AM$16+'TUSD CVA'!$AM$16)*1</f>
        <v>92.504793470158234</v>
      </c>
      <c r="AA222" s="6">
        <f>('TE BE'!$AB$8+'TE BF'!$AB$8+'TE CVA'!$AB$8)*1</f>
        <v>198.18194779658231</v>
      </c>
      <c r="AB222" s="6">
        <f t="shared" si="14"/>
        <v>0</v>
      </c>
      <c r="AC222" s="6">
        <f t="shared" si="15"/>
        <v>841266.74213399994</v>
      </c>
      <c r="AD222" s="6">
        <f t="shared" si="16"/>
        <v>0</v>
      </c>
      <c r="AE222" s="6">
        <f t="shared" ca="1" si="17"/>
        <v>960243.0117682484</v>
      </c>
      <c r="AF222" s="4" t="s">
        <v>639</v>
      </c>
    </row>
    <row r="223" spans="1:32" ht="11.25" customHeight="1" x14ac:dyDescent="0.25">
      <c r="A223" s="4" t="s">
        <v>27</v>
      </c>
      <c r="B223" s="4" t="s">
        <v>35</v>
      </c>
      <c r="C223" s="4" t="s">
        <v>39</v>
      </c>
      <c r="D223" s="4" t="s">
        <v>42</v>
      </c>
      <c r="E223" s="4" t="s">
        <v>50</v>
      </c>
      <c r="F223" s="4" t="s">
        <v>52</v>
      </c>
      <c r="G223" s="4" t="s">
        <v>25</v>
      </c>
      <c r="H223" s="4" t="s">
        <v>38</v>
      </c>
      <c r="I223" s="5">
        <v>44593</v>
      </c>
      <c r="J223" s="6">
        <v>0</v>
      </c>
      <c r="K223" s="6">
        <v>0</v>
      </c>
      <c r="L223" s="6">
        <v>-59.923999999999999</v>
      </c>
      <c r="M223" s="6">
        <v>-17.9772</v>
      </c>
      <c r="N223" s="6">
        <v>-59.923999999999999</v>
      </c>
      <c r="O223" s="6">
        <v>-17.9772</v>
      </c>
      <c r="P223" s="6">
        <v>0</v>
      </c>
      <c r="Q223" s="4" t="s">
        <v>26</v>
      </c>
      <c r="R223" s="4">
        <v>0</v>
      </c>
      <c r="S223" s="4">
        <v>0</v>
      </c>
      <c r="T223" s="4">
        <v>25</v>
      </c>
      <c r="U223" s="4">
        <v>59</v>
      </c>
      <c r="V223" s="6">
        <f>IF(ISERROR(VLOOKUP($S$223,'TAR FIN'!$A$1:$O$93,15,0)),0,VLOOKUP($S$223,'TAR FIN'!$A$1:$O$93,15,0))</f>
        <v>0</v>
      </c>
      <c r="W223" s="6">
        <f>IF(ISERROR(VLOOKUP($T$223,'TAR FIN'!$A$1:$O$93,15,0)),0,VLOOKUP($T$223,'TAR FIN'!$A$1:$O$93,15,0))</f>
        <v>69.489999999999995</v>
      </c>
      <c r="X223" s="6">
        <f>IF(ISERROR(VLOOKUP($U$223,'TAR FIN'!$A$1:$O$93,15,0)),0,VLOOKUP($U$223,'TAR FIN'!$A$1:$O$93,15,0))</f>
        <v>185.18</v>
      </c>
      <c r="Y223" s="6"/>
      <c r="Z223" s="6">
        <f ca="1">('TUSD BE'!$AM$16+'TUSD BF'!$AM$16+'TUSD CVA'!$AM$16)*1</f>
        <v>92.504793470158234</v>
      </c>
      <c r="AA223" s="6">
        <f>('TE BE'!$AB$8+'TE BF'!$AB$8+'TE CVA'!$AB$8)*1</f>
        <v>198.18194779658231</v>
      </c>
      <c r="AB223" s="6">
        <f t="shared" si="14"/>
        <v>0</v>
      </c>
      <c r="AC223" s="6">
        <f t="shared" si="15"/>
        <v>-10682.591555999999</v>
      </c>
      <c r="AD223" s="6">
        <f t="shared" si="16"/>
        <v>0</v>
      </c>
      <c r="AE223" s="6">
        <f t="shared" ca="1" si="17"/>
        <v>-12193.37859856771</v>
      </c>
      <c r="AF223" s="4" t="s">
        <v>639</v>
      </c>
    </row>
    <row r="224" spans="1:32" ht="11.25" customHeight="1" x14ac:dyDescent="0.25">
      <c r="A224" s="4" t="s">
        <v>28</v>
      </c>
      <c r="B224" s="4" t="s">
        <v>35</v>
      </c>
      <c r="C224" s="4" t="s">
        <v>39</v>
      </c>
      <c r="D224" s="4" t="s">
        <v>42</v>
      </c>
      <c r="E224" s="4" t="s">
        <v>50</v>
      </c>
      <c r="F224" s="4" t="s">
        <v>52</v>
      </c>
      <c r="G224" s="4" t="s">
        <v>25</v>
      </c>
      <c r="H224" s="4" t="s">
        <v>38</v>
      </c>
      <c r="I224" s="5">
        <v>44593</v>
      </c>
      <c r="J224" s="6">
        <v>0</v>
      </c>
      <c r="K224" s="6">
        <v>0</v>
      </c>
      <c r="L224" s="6">
        <v>93.962999999999994</v>
      </c>
      <c r="M224" s="6">
        <v>28.1889</v>
      </c>
      <c r="N224" s="6">
        <v>93.962999999999994</v>
      </c>
      <c r="O224" s="6">
        <v>28.1889</v>
      </c>
      <c r="P224" s="6">
        <v>0</v>
      </c>
      <c r="Q224" s="4" t="s">
        <v>26</v>
      </c>
      <c r="R224" s="4">
        <v>0</v>
      </c>
      <c r="S224" s="4">
        <v>0</v>
      </c>
      <c r="T224" s="4">
        <v>25</v>
      </c>
      <c r="U224" s="4">
        <v>59</v>
      </c>
      <c r="V224" s="6">
        <f>IF(ISERROR(VLOOKUP($S$224,'TAR FIN'!$A$1:$O$93,15,0)),0,VLOOKUP($S$224,'TAR FIN'!$A$1:$O$93,15,0))</f>
        <v>0</v>
      </c>
      <c r="W224" s="6">
        <f>IF(ISERROR(VLOOKUP($T$224,'TAR FIN'!$A$1:$O$93,15,0)),0,VLOOKUP($T$224,'TAR FIN'!$A$1:$O$93,15,0))</f>
        <v>69.489999999999995</v>
      </c>
      <c r="X224" s="6">
        <f>IF(ISERROR(VLOOKUP($U$224,'TAR FIN'!$A$1:$O$93,15,0)),0,VLOOKUP($U$224,'TAR FIN'!$A$1:$O$93,15,0))</f>
        <v>185.18</v>
      </c>
      <c r="Y224" s="6"/>
      <c r="Z224" s="6">
        <f ca="1">('TUSD BE'!$AM$16+'TUSD BF'!$AM$16+'TUSD CVA'!$AM$16)*1</f>
        <v>92.504793470158234</v>
      </c>
      <c r="AA224" s="6">
        <f>('TE BE'!$AB$8+'TE BF'!$AB$8+'TE CVA'!$AB$8)*1</f>
        <v>198.18194779658231</v>
      </c>
      <c r="AB224" s="6">
        <f t="shared" si="14"/>
        <v>0</v>
      </c>
      <c r="AC224" s="6">
        <f t="shared" si="15"/>
        <v>16750.690046999996</v>
      </c>
      <c r="AD224" s="6">
        <f t="shared" si="16"/>
        <v>0</v>
      </c>
      <c r="AE224" s="6">
        <f t="shared" ca="1" si="17"/>
        <v>19119.658788752717</v>
      </c>
      <c r="AF224" s="4" t="s">
        <v>639</v>
      </c>
    </row>
    <row r="225" spans="1:32" ht="11.25" customHeight="1" x14ac:dyDescent="0.25">
      <c r="A225" s="4" t="s">
        <v>21</v>
      </c>
      <c r="B225" s="4" t="s">
        <v>35</v>
      </c>
      <c r="C225" s="4" t="s">
        <v>39</v>
      </c>
      <c r="D225" s="4" t="s">
        <v>42</v>
      </c>
      <c r="E225" s="4" t="s">
        <v>50</v>
      </c>
      <c r="F225" s="4" t="s">
        <v>52</v>
      </c>
      <c r="G225" s="4" t="s">
        <v>25</v>
      </c>
      <c r="H225" s="4" t="s">
        <v>38</v>
      </c>
      <c r="I225" s="5">
        <v>44621</v>
      </c>
      <c r="J225" s="6">
        <v>0</v>
      </c>
      <c r="K225" s="6">
        <v>0</v>
      </c>
      <c r="L225" s="6">
        <v>3626.3319999999999</v>
      </c>
      <c r="M225" s="6">
        <v>1087.8996</v>
      </c>
      <c r="N225" s="6">
        <v>3626.3319999999999</v>
      </c>
      <c r="O225" s="6">
        <v>1087.8996</v>
      </c>
      <c r="P225" s="6">
        <v>0</v>
      </c>
      <c r="Q225" s="4" t="s">
        <v>26</v>
      </c>
      <c r="R225" s="4">
        <v>0</v>
      </c>
      <c r="S225" s="4">
        <v>0</v>
      </c>
      <c r="T225" s="4">
        <v>25</v>
      </c>
      <c r="U225" s="4">
        <v>59</v>
      </c>
      <c r="V225" s="6">
        <f>IF(ISERROR(VLOOKUP($S$225,'TAR FIN'!$A$1:$O$93,15,0)),0,VLOOKUP($S$225,'TAR FIN'!$A$1:$O$93,15,0))</f>
        <v>0</v>
      </c>
      <c r="W225" s="6">
        <f>IF(ISERROR(VLOOKUP($T$225,'TAR FIN'!$A$1:$O$93,15,0)),0,VLOOKUP($T$225,'TAR FIN'!$A$1:$O$93,15,0))</f>
        <v>69.489999999999995</v>
      </c>
      <c r="X225" s="6">
        <f>IF(ISERROR(VLOOKUP($U$225,'TAR FIN'!$A$1:$O$93,15,0)),0,VLOOKUP($U$225,'TAR FIN'!$A$1:$O$93,15,0))</f>
        <v>185.18</v>
      </c>
      <c r="Y225" s="6"/>
      <c r="Z225" s="6">
        <f ca="1">('TUSD BE'!$AM$16+'TUSD BF'!$AM$16+'TUSD CVA'!$AM$16)*1</f>
        <v>92.504793470158234</v>
      </c>
      <c r="AA225" s="6">
        <f>('TE BE'!$AB$8+'TE BF'!$AB$8+'TE CVA'!$AB$8)*1</f>
        <v>198.18194779658231</v>
      </c>
      <c r="AB225" s="6">
        <f t="shared" si="14"/>
        <v>0</v>
      </c>
      <c r="AC225" s="6">
        <f t="shared" si="15"/>
        <v>646462.57930799993</v>
      </c>
      <c r="AD225" s="6">
        <f t="shared" si="16"/>
        <v>0</v>
      </c>
      <c r="AE225" s="6">
        <f t="shared" ca="1" si="17"/>
        <v>737888.6422819111</v>
      </c>
      <c r="AF225" s="4" t="s">
        <v>639</v>
      </c>
    </row>
    <row r="226" spans="1:32" ht="11.25" customHeight="1" x14ac:dyDescent="0.25">
      <c r="A226" s="4" t="s">
        <v>27</v>
      </c>
      <c r="B226" s="4" t="s">
        <v>35</v>
      </c>
      <c r="C226" s="4" t="s">
        <v>39</v>
      </c>
      <c r="D226" s="4" t="s">
        <v>42</v>
      </c>
      <c r="E226" s="4" t="s">
        <v>50</v>
      </c>
      <c r="F226" s="4" t="s">
        <v>52</v>
      </c>
      <c r="G226" s="4" t="s">
        <v>25</v>
      </c>
      <c r="H226" s="4" t="s">
        <v>38</v>
      </c>
      <c r="I226" s="5">
        <v>44621</v>
      </c>
      <c r="J226" s="6">
        <v>0</v>
      </c>
      <c r="K226" s="6">
        <v>0</v>
      </c>
      <c r="L226" s="6">
        <v>-98.995000000000005</v>
      </c>
      <c r="M226" s="6">
        <v>-29.698499999999999</v>
      </c>
      <c r="N226" s="6">
        <v>-98.995000000000005</v>
      </c>
      <c r="O226" s="6">
        <v>-29.698499999999999</v>
      </c>
      <c r="P226" s="6">
        <v>0</v>
      </c>
      <c r="Q226" s="4" t="s">
        <v>26</v>
      </c>
      <c r="R226" s="4">
        <v>0</v>
      </c>
      <c r="S226" s="4">
        <v>0</v>
      </c>
      <c r="T226" s="4">
        <v>25</v>
      </c>
      <c r="U226" s="4">
        <v>59</v>
      </c>
      <c r="V226" s="6">
        <f>IF(ISERROR(VLOOKUP($S$226,'TAR FIN'!$A$1:$O$93,15,0)),0,VLOOKUP($S$226,'TAR FIN'!$A$1:$O$93,15,0))</f>
        <v>0</v>
      </c>
      <c r="W226" s="6">
        <f>IF(ISERROR(VLOOKUP($T$226,'TAR FIN'!$A$1:$O$93,15,0)),0,VLOOKUP($T$226,'TAR FIN'!$A$1:$O$93,15,0))</f>
        <v>69.489999999999995</v>
      </c>
      <c r="X226" s="6">
        <f>IF(ISERROR(VLOOKUP($U$226,'TAR FIN'!$A$1:$O$93,15,0)),0,VLOOKUP($U$226,'TAR FIN'!$A$1:$O$93,15,0))</f>
        <v>185.18</v>
      </c>
      <c r="Y226" s="6"/>
      <c r="Z226" s="6">
        <f ca="1">('TUSD BE'!$AM$16+'TUSD BF'!$AM$16+'TUSD CVA'!$AM$16)*1</f>
        <v>92.504793470158234</v>
      </c>
      <c r="AA226" s="6">
        <f>('TE BE'!$AB$8+'TE BF'!$AB$8+'TE CVA'!$AB$8)*1</f>
        <v>198.18194779658231</v>
      </c>
      <c r="AB226" s="6">
        <f t="shared" si="14"/>
        <v>0</v>
      </c>
      <c r="AC226" s="6">
        <f t="shared" si="15"/>
        <v>-17647.739655000005</v>
      </c>
      <c r="AD226" s="6">
        <f t="shared" si="16"/>
        <v>0</v>
      </c>
      <c r="AE226" s="6">
        <f t="shared" ca="1" si="17"/>
        <v>-20143.57376619069</v>
      </c>
      <c r="AF226" s="4" t="s">
        <v>639</v>
      </c>
    </row>
    <row r="227" spans="1:32" ht="11.25" customHeight="1" x14ac:dyDescent="0.25">
      <c r="A227" s="4" t="s">
        <v>28</v>
      </c>
      <c r="B227" s="4" t="s">
        <v>35</v>
      </c>
      <c r="C227" s="4" t="s">
        <v>39</v>
      </c>
      <c r="D227" s="4" t="s">
        <v>42</v>
      </c>
      <c r="E227" s="4" t="s">
        <v>50</v>
      </c>
      <c r="F227" s="4" t="s">
        <v>52</v>
      </c>
      <c r="G227" s="4" t="s">
        <v>25</v>
      </c>
      <c r="H227" s="4" t="s">
        <v>38</v>
      </c>
      <c r="I227" s="5">
        <v>44621</v>
      </c>
      <c r="J227" s="6">
        <v>0</v>
      </c>
      <c r="K227" s="6">
        <v>0</v>
      </c>
      <c r="L227" s="6">
        <v>43.478000000000002</v>
      </c>
      <c r="M227" s="6">
        <v>13.0434</v>
      </c>
      <c r="N227" s="6">
        <v>43.478000000000002</v>
      </c>
      <c r="O227" s="6">
        <v>13.0434</v>
      </c>
      <c r="P227" s="6">
        <v>0</v>
      </c>
      <c r="Q227" s="4" t="s">
        <v>26</v>
      </c>
      <c r="R227" s="4">
        <v>0</v>
      </c>
      <c r="S227" s="4">
        <v>0</v>
      </c>
      <c r="T227" s="4">
        <v>25</v>
      </c>
      <c r="U227" s="4">
        <v>59</v>
      </c>
      <c r="V227" s="6">
        <f>IF(ISERROR(VLOOKUP($S$227,'TAR FIN'!$A$1:$O$93,15,0)),0,VLOOKUP($S$227,'TAR FIN'!$A$1:$O$93,15,0))</f>
        <v>0</v>
      </c>
      <c r="W227" s="6">
        <f>IF(ISERROR(VLOOKUP($T$227,'TAR FIN'!$A$1:$O$93,15,0)),0,VLOOKUP($T$227,'TAR FIN'!$A$1:$O$93,15,0))</f>
        <v>69.489999999999995</v>
      </c>
      <c r="X227" s="6">
        <f>IF(ISERROR(VLOOKUP($U$227,'TAR FIN'!$A$1:$O$93,15,0)),0,VLOOKUP($U$227,'TAR FIN'!$A$1:$O$93,15,0))</f>
        <v>185.18</v>
      </c>
      <c r="Y227" s="6"/>
      <c r="Z227" s="6">
        <f ca="1">('TUSD BE'!$AM$16+'TUSD BF'!$AM$16+'TUSD CVA'!$AM$16)*1</f>
        <v>92.504793470158234</v>
      </c>
      <c r="AA227" s="6">
        <f>('TE BE'!$AB$8+'TE BF'!$AB$8+'TE CVA'!$AB$8)*1</f>
        <v>198.18194779658231</v>
      </c>
      <c r="AB227" s="6">
        <f t="shared" si="14"/>
        <v>0</v>
      </c>
      <c r="AC227" s="6">
        <f t="shared" si="15"/>
        <v>7750.779582000001</v>
      </c>
      <c r="AD227" s="6">
        <f t="shared" si="16"/>
        <v>0</v>
      </c>
      <c r="AE227" s="6">
        <f t="shared" ca="1" si="17"/>
        <v>8846.9346957567432</v>
      </c>
      <c r="AF227" s="4" t="s">
        <v>639</v>
      </c>
    </row>
    <row r="228" spans="1:32" ht="11.25" customHeight="1" x14ac:dyDescent="0.25">
      <c r="A228" s="4" t="s">
        <v>21</v>
      </c>
      <c r="B228" s="4" t="s">
        <v>35</v>
      </c>
      <c r="C228" s="4" t="s">
        <v>39</v>
      </c>
      <c r="D228" s="4" t="s">
        <v>42</v>
      </c>
      <c r="E228" s="4" t="s">
        <v>50</v>
      </c>
      <c r="F228" s="4" t="s">
        <v>52</v>
      </c>
      <c r="G228" s="4" t="s">
        <v>25</v>
      </c>
      <c r="H228" s="4" t="s">
        <v>38</v>
      </c>
      <c r="I228" s="5">
        <v>44652</v>
      </c>
      <c r="J228" s="6">
        <v>0</v>
      </c>
      <c r="K228" s="6">
        <v>0</v>
      </c>
      <c r="L228" s="6">
        <v>891.06500000000005</v>
      </c>
      <c r="M228" s="6">
        <v>267.31950000000001</v>
      </c>
      <c r="N228" s="6">
        <v>891.06500000000005</v>
      </c>
      <c r="O228" s="6">
        <v>267.31950000000001</v>
      </c>
      <c r="P228" s="6">
        <v>0</v>
      </c>
      <c r="Q228" s="4" t="s">
        <v>26</v>
      </c>
      <c r="R228" s="4">
        <v>0</v>
      </c>
      <c r="S228" s="4">
        <v>0</v>
      </c>
      <c r="T228" s="4">
        <v>25</v>
      </c>
      <c r="U228" s="4">
        <v>59</v>
      </c>
      <c r="V228" s="6">
        <f>IF(ISERROR(VLOOKUP($S$228,'TAR FIN'!$A$1:$O$93,15,0)),0,VLOOKUP($S$228,'TAR FIN'!$A$1:$O$93,15,0))</f>
        <v>0</v>
      </c>
      <c r="W228" s="6">
        <f>IF(ISERROR(VLOOKUP($T$228,'TAR FIN'!$A$1:$O$93,15,0)),0,VLOOKUP($T$228,'TAR FIN'!$A$1:$O$93,15,0))</f>
        <v>69.489999999999995</v>
      </c>
      <c r="X228" s="6">
        <f>IF(ISERROR(VLOOKUP($U$228,'TAR FIN'!$A$1:$O$93,15,0)),0,VLOOKUP($U$228,'TAR FIN'!$A$1:$O$93,15,0))</f>
        <v>185.18</v>
      </c>
      <c r="Y228" s="6"/>
      <c r="Z228" s="6">
        <f ca="1">('TUSD BE'!$AM$16+'TUSD BF'!$AM$16+'TUSD CVA'!$AM$16)*1</f>
        <v>92.504793470158234</v>
      </c>
      <c r="AA228" s="6">
        <f>('TE BE'!$AB$8+'TE BF'!$AB$8+'TE CVA'!$AB$8)*1</f>
        <v>198.18194779658231</v>
      </c>
      <c r="AB228" s="6">
        <f t="shared" si="14"/>
        <v>0</v>
      </c>
      <c r="AC228" s="6">
        <f t="shared" si="15"/>
        <v>158849.266485</v>
      </c>
      <c r="AD228" s="6">
        <f t="shared" si="16"/>
        <v>0</v>
      </c>
      <c r="AE228" s="6">
        <f t="shared" ca="1" si="17"/>
        <v>181314.54677479371</v>
      </c>
      <c r="AF228" s="4" t="s">
        <v>639</v>
      </c>
    </row>
    <row r="229" spans="1:32" ht="11.25" customHeight="1" x14ac:dyDescent="0.25">
      <c r="A229" s="4" t="s">
        <v>27</v>
      </c>
      <c r="B229" s="4" t="s">
        <v>35</v>
      </c>
      <c r="C229" s="4" t="s">
        <v>39</v>
      </c>
      <c r="D229" s="4" t="s">
        <v>42</v>
      </c>
      <c r="E229" s="4" t="s">
        <v>50</v>
      </c>
      <c r="F229" s="4" t="s">
        <v>52</v>
      </c>
      <c r="G229" s="4" t="s">
        <v>25</v>
      </c>
      <c r="H229" s="4" t="s">
        <v>38</v>
      </c>
      <c r="I229" s="5">
        <v>44652</v>
      </c>
      <c r="J229" s="6">
        <v>0</v>
      </c>
      <c r="K229" s="6">
        <v>0</v>
      </c>
      <c r="L229" s="6">
        <v>-29.437000000000001</v>
      </c>
      <c r="M229" s="6">
        <v>-8.8310999999999993</v>
      </c>
      <c r="N229" s="6">
        <v>-29.437000000000001</v>
      </c>
      <c r="O229" s="6">
        <v>-8.8310999999999993</v>
      </c>
      <c r="P229" s="6">
        <v>0</v>
      </c>
      <c r="Q229" s="4" t="s">
        <v>26</v>
      </c>
      <c r="R229" s="4">
        <v>0</v>
      </c>
      <c r="S229" s="4">
        <v>0</v>
      </c>
      <c r="T229" s="4">
        <v>25</v>
      </c>
      <c r="U229" s="4">
        <v>59</v>
      </c>
      <c r="V229" s="6">
        <f>IF(ISERROR(VLOOKUP($S$229,'TAR FIN'!$A$1:$O$93,15,0)),0,VLOOKUP($S$229,'TAR FIN'!$A$1:$O$93,15,0))</f>
        <v>0</v>
      </c>
      <c r="W229" s="6">
        <f>IF(ISERROR(VLOOKUP($T$229,'TAR FIN'!$A$1:$O$93,15,0)),0,VLOOKUP($T$229,'TAR FIN'!$A$1:$O$93,15,0))</f>
        <v>69.489999999999995</v>
      </c>
      <c r="X229" s="6">
        <f>IF(ISERROR(VLOOKUP($U$229,'TAR FIN'!$A$1:$O$93,15,0)),0,VLOOKUP($U$229,'TAR FIN'!$A$1:$O$93,15,0))</f>
        <v>185.18</v>
      </c>
      <c r="Y229" s="6"/>
      <c r="Z229" s="6">
        <f ca="1">('TUSD BE'!$AM$16+'TUSD BF'!$AM$16+'TUSD CVA'!$AM$16)*1</f>
        <v>92.504793470158234</v>
      </c>
      <c r="AA229" s="6">
        <f>('TE BE'!$AB$8+'TE BF'!$AB$8+'TE CVA'!$AB$8)*1</f>
        <v>198.18194779658231</v>
      </c>
      <c r="AB229" s="6">
        <f t="shared" si="14"/>
        <v>0</v>
      </c>
      <c r="AC229" s="6">
        <f t="shared" si="15"/>
        <v>-5247.7045530000005</v>
      </c>
      <c r="AD229" s="6">
        <f t="shared" si="16"/>
        <v>0</v>
      </c>
      <c r="AE229" s="6">
        <f t="shared" ca="1" si="17"/>
        <v>-5989.8619218683298</v>
      </c>
      <c r="AF229" s="4" t="s">
        <v>639</v>
      </c>
    </row>
    <row r="230" spans="1:32" ht="11.25" customHeight="1" x14ac:dyDescent="0.25">
      <c r="A230" s="4" t="s">
        <v>28</v>
      </c>
      <c r="B230" s="4" t="s">
        <v>35</v>
      </c>
      <c r="C230" s="4" t="s">
        <v>39</v>
      </c>
      <c r="D230" s="4" t="s">
        <v>42</v>
      </c>
      <c r="E230" s="4" t="s">
        <v>50</v>
      </c>
      <c r="F230" s="4" t="s">
        <v>52</v>
      </c>
      <c r="G230" s="4" t="s">
        <v>25</v>
      </c>
      <c r="H230" s="4" t="s">
        <v>38</v>
      </c>
      <c r="I230" s="5">
        <v>44652</v>
      </c>
      <c r="J230" s="6">
        <v>0</v>
      </c>
      <c r="K230" s="6">
        <v>0</v>
      </c>
      <c r="L230" s="6">
        <v>15.882</v>
      </c>
      <c r="M230" s="6">
        <v>4.7645999999999997</v>
      </c>
      <c r="N230" s="6">
        <v>15.882</v>
      </c>
      <c r="O230" s="6">
        <v>4.7645999999999997</v>
      </c>
      <c r="P230" s="6">
        <v>0</v>
      </c>
      <c r="Q230" s="4" t="s">
        <v>26</v>
      </c>
      <c r="R230" s="4">
        <v>0</v>
      </c>
      <c r="S230" s="4">
        <v>0</v>
      </c>
      <c r="T230" s="4">
        <v>25</v>
      </c>
      <c r="U230" s="4">
        <v>59</v>
      </c>
      <c r="V230" s="6">
        <f>IF(ISERROR(VLOOKUP($S$230,'TAR FIN'!$A$1:$O$93,15,0)),0,VLOOKUP($S$230,'TAR FIN'!$A$1:$O$93,15,0))</f>
        <v>0</v>
      </c>
      <c r="W230" s="6">
        <f>IF(ISERROR(VLOOKUP($T$230,'TAR FIN'!$A$1:$O$93,15,0)),0,VLOOKUP($T$230,'TAR FIN'!$A$1:$O$93,15,0))</f>
        <v>69.489999999999995</v>
      </c>
      <c r="X230" s="6">
        <f>IF(ISERROR(VLOOKUP($U$230,'TAR FIN'!$A$1:$O$93,15,0)),0,VLOOKUP($U$230,'TAR FIN'!$A$1:$O$93,15,0))</f>
        <v>185.18</v>
      </c>
      <c r="Y230" s="6"/>
      <c r="Z230" s="6">
        <f ca="1">('TUSD BE'!$AM$16+'TUSD BF'!$AM$16+'TUSD CVA'!$AM$16)*1</f>
        <v>92.504793470158234</v>
      </c>
      <c r="AA230" s="6">
        <f>('TE BE'!$AB$8+'TE BF'!$AB$8+'TE CVA'!$AB$8)*1</f>
        <v>198.18194779658231</v>
      </c>
      <c r="AB230" s="6">
        <f t="shared" si="14"/>
        <v>0</v>
      </c>
      <c r="AC230" s="6">
        <f t="shared" si="15"/>
        <v>2831.2682580000001</v>
      </c>
      <c r="AD230" s="6">
        <f t="shared" si="16"/>
        <v>0</v>
      </c>
      <c r="AE230" s="6">
        <f t="shared" ca="1" si="17"/>
        <v>3231.6807773588616</v>
      </c>
      <c r="AF230" s="4" t="s">
        <v>639</v>
      </c>
    </row>
    <row r="231" spans="1:32" ht="11.25" customHeight="1" x14ac:dyDescent="0.25">
      <c r="A231" s="4" t="s">
        <v>21</v>
      </c>
      <c r="B231" s="4" t="s">
        <v>35</v>
      </c>
      <c r="C231" s="4" t="s">
        <v>39</v>
      </c>
      <c r="D231" s="4" t="s">
        <v>42</v>
      </c>
      <c r="E231" s="4" t="s">
        <v>50</v>
      </c>
      <c r="F231" s="4" t="s">
        <v>52</v>
      </c>
      <c r="G231" s="4" t="s">
        <v>25</v>
      </c>
      <c r="H231" s="4" t="s">
        <v>38</v>
      </c>
      <c r="I231" s="5">
        <v>44682</v>
      </c>
      <c r="J231" s="6">
        <v>0</v>
      </c>
      <c r="K231" s="6">
        <v>0</v>
      </c>
      <c r="L231" s="6">
        <v>287.714</v>
      </c>
      <c r="M231" s="6">
        <v>86.3142</v>
      </c>
      <c r="N231" s="6">
        <v>287.714</v>
      </c>
      <c r="O231" s="6">
        <v>86.3142</v>
      </c>
      <c r="P231" s="6">
        <v>0</v>
      </c>
      <c r="Q231" s="4" t="s">
        <v>26</v>
      </c>
      <c r="R231" s="4">
        <v>0</v>
      </c>
      <c r="S231" s="4">
        <v>0</v>
      </c>
      <c r="T231" s="4">
        <v>25</v>
      </c>
      <c r="U231" s="4">
        <v>59</v>
      </c>
      <c r="V231" s="6">
        <f>IF(ISERROR(VLOOKUP($S$231,'TAR FIN'!$A$1:$O$93,15,0)),0,VLOOKUP($S$231,'TAR FIN'!$A$1:$O$93,15,0))</f>
        <v>0</v>
      </c>
      <c r="W231" s="6">
        <f>IF(ISERROR(VLOOKUP($T$231,'TAR FIN'!$A$1:$O$93,15,0)),0,VLOOKUP($T$231,'TAR FIN'!$A$1:$O$93,15,0))</f>
        <v>69.489999999999995</v>
      </c>
      <c r="X231" s="6">
        <f>IF(ISERROR(VLOOKUP($U$231,'TAR FIN'!$A$1:$O$93,15,0)),0,VLOOKUP($U$231,'TAR FIN'!$A$1:$O$93,15,0))</f>
        <v>185.18</v>
      </c>
      <c r="Y231" s="6"/>
      <c r="Z231" s="6">
        <f ca="1">('TUSD BE'!$AM$16+'TUSD BF'!$AM$16+'TUSD CVA'!$AM$16)*1</f>
        <v>92.504793470158234</v>
      </c>
      <c r="AA231" s="6">
        <f>('TE BE'!$AB$8+'TE BF'!$AB$8+'TE CVA'!$AB$8)*1</f>
        <v>198.18194779658231</v>
      </c>
      <c r="AB231" s="6">
        <f t="shared" si="14"/>
        <v>0</v>
      </c>
      <c r="AC231" s="6">
        <f t="shared" si="15"/>
        <v>51290.487066000002</v>
      </c>
      <c r="AD231" s="6">
        <f t="shared" si="16"/>
        <v>0</v>
      </c>
      <c r="AE231" s="6">
        <f t="shared" ca="1" si="17"/>
        <v>58544.251553773291</v>
      </c>
      <c r="AF231" s="4" t="s">
        <v>639</v>
      </c>
    </row>
    <row r="232" spans="1:32" ht="11.25" customHeight="1" x14ac:dyDescent="0.25">
      <c r="A232" s="4" t="s">
        <v>27</v>
      </c>
      <c r="B232" s="4" t="s">
        <v>35</v>
      </c>
      <c r="C232" s="4" t="s">
        <v>39</v>
      </c>
      <c r="D232" s="4" t="s">
        <v>42</v>
      </c>
      <c r="E232" s="4" t="s">
        <v>50</v>
      </c>
      <c r="F232" s="4" t="s">
        <v>52</v>
      </c>
      <c r="G232" s="4" t="s">
        <v>25</v>
      </c>
      <c r="H232" s="4" t="s">
        <v>38</v>
      </c>
      <c r="I232" s="5">
        <v>44682</v>
      </c>
      <c r="J232" s="6">
        <v>0</v>
      </c>
      <c r="K232" s="6">
        <v>0</v>
      </c>
      <c r="L232" s="6">
        <v>-6.31</v>
      </c>
      <c r="M232" s="6">
        <v>-1.893</v>
      </c>
      <c r="N232" s="6">
        <v>-6.31</v>
      </c>
      <c r="O232" s="6">
        <v>-1.893</v>
      </c>
      <c r="P232" s="6">
        <v>0</v>
      </c>
      <c r="Q232" s="4" t="s">
        <v>26</v>
      </c>
      <c r="R232" s="4">
        <v>0</v>
      </c>
      <c r="S232" s="4">
        <v>0</v>
      </c>
      <c r="T232" s="4">
        <v>25</v>
      </c>
      <c r="U232" s="4">
        <v>59</v>
      </c>
      <c r="V232" s="6">
        <f>IF(ISERROR(VLOOKUP($S$232,'TAR FIN'!$A$1:$O$93,15,0)),0,VLOOKUP($S$232,'TAR FIN'!$A$1:$O$93,15,0))</f>
        <v>0</v>
      </c>
      <c r="W232" s="6">
        <f>IF(ISERROR(VLOOKUP($T$232,'TAR FIN'!$A$1:$O$93,15,0)),0,VLOOKUP($T$232,'TAR FIN'!$A$1:$O$93,15,0))</f>
        <v>69.489999999999995</v>
      </c>
      <c r="X232" s="6">
        <f>IF(ISERROR(VLOOKUP($U$232,'TAR FIN'!$A$1:$O$93,15,0)),0,VLOOKUP($U$232,'TAR FIN'!$A$1:$O$93,15,0))</f>
        <v>185.18</v>
      </c>
      <c r="Y232" s="6"/>
      <c r="Z232" s="6">
        <f ca="1">('TUSD BE'!$AM$16+'TUSD BF'!$AM$16+'TUSD CVA'!$AM$16)*1</f>
        <v>92.504793470158234</v>
      </c>
      <c r="AA232" s="6">
        <f>('TE BE'!$AB$8+'TE BF'!$AB$8+'TE CVA'!$AB$8)*1</f>
        <v>198.18194779658231</v>
      </c>
      <c r="AB232" s="6">
        <f t="shared" si="14"/>
        <v>0</v>
      </c>
      <c r="AC232" s="6">
        <f t="shared" si="15"/>
        <v>-1124.8773900000001</v>
      </c>
      <c r="AD232" s="6">
        <f t="shared" si="16"/>
        <v>0</v>
      </c>
      <c r="AE232" s="6">
        <f t="shared" ca="1" si="17"/>
        <v>-1283.963336175193</v>
      </c>
      <c r="AF232" s="4" t="s">
        <v>639</v>
      </c>
    </row>
    <row r="233" spans="1:32" ht="11.25" customHeight="1" x14ac:dyDescent="0.25">
      <c r="A233" s="4" t="s">
        <v>21</v>
      </c>
      <c r="B233" s="4" t="s">
        <v>35</v>
      </c>
      <c r="C233" s="4" t="s">
        <v>39</v>
      </c>
      <c r="D233" s="4" t="s">
        <v>42</v>
      </c>
      <c r="E233" s="4" t="s">
        <v>50</v>
      </c>
      <c r="F233" s="4" t="s">
        <v>52</v>
      </c>
      <c r="G233" s="4" t="s">
        <v>25</v>
      </c>
      <c r="H233" s="4" t="s">
        <v>38</v>
      </c>
      <c r="I233" s="5">
        <v>44713</v>
      </c>
      <c r="J233" s="6">
        <v>0</v>
      </c>
      <c r="K233" s="6">
        <v>0</v>
      </c>
      <c r="L233" s="6">
        <v>222.86099999999999</v>
      </c>
      <c r="M233" s="6">
        <v>66.8583</v>
      </c>
      <c r="N233" s="6">
        <v>222.86099999999999</v>
      </c>
      <c r="O233" s="6">
        <v>66.8583</v>
      </c>
      <c r="P233" s="6">
        <v>0</v>
      </c>
      <c r="Q233" s="4" t="s">
        <v>26</v>
      </c>
      <c r="R233" s="4">
        <v>0</v>
      </c>
      <c r="S233" s="4">
        <v>0</v>
      </c>
      <c r="T233" s="4">
        <v>25</v>
      </c>
      <c r="U233" s="4">
        <v>59</v>
      </c>
      <c r="V233" s="6">
        <f>IF(ISERROR(VLOOKUP($S$233,'TAR FIN'!$A$1:$O$93,15,0)),0,VLOOKUP($S$233,'TAR FIN'!$A$1:$O$93,15,0))</f>
        <v>0</v>
      </c>
      <c r="W233" s="6">
        <f>IF(ISERROR(VLOOKUP($T$233,'TAR FIN'!$A$1:$O$93,15,0)),0,VLOOKUP($T$233,'TAR FIN'!$A$1:$O$93,15,0))</f>
        <v>69.489999999999995</v>
      </c>
      <c r="X233" s="6">
        <f>IF(ISERROR(VLOOKUP($U$233,'TAR FIN'!$A$1:$O$93,15,0)),0,VLOOKUP($U$233,'TAR FIN'!$A$1:$O$93,15,0))</f>
        <v>185.18</v>
      </c>
      <c r="Y233" s="6"/>
      <c r="Z233" s="6">
        <f ca="1">('TUSD BE'!$AM$16+'TUSD BF'!$AM$16+'TUSD CVA'!$AM$16)*1</f>
        <v>92.504793470158234</v>
      </c>
      <c r="AA233" s="6">
        <f>('TE BE'!$AB$8+'TE BF'!$AB$8+'TE CVA'!$AB$8)*1</f>
        <v>198.18194779658231</v>
      </c>
      <c r="AB233" s="6">
        <f t="shared" si="14"/>
        <v>0</v>
      </c>
      <c r="AC233" s="6">
        <f t="shared" si="15"/>
        <v>39729.207609000005</v>
      </c>
      <c r="AD233" s="6">
        <f t="shared" si="16"/>
        <v>0</v>
      </c>
      <c r="AE233" s="6">
        <f t="shared" ca="1" si="17"/>
        <v>45347.916491812946</v>
      </c>
      <c r="AF233" s="4" t="s">
        <v>639</v>
      </c>
    </row>
    <row r="234" spans="1:32" ht="11.25" customHeight="1" x14ac:dyDescent="0.25">
      <c r="A234" s="4" t="s">
        <v>27</v>
      </c>
      <c r="B234" s="4" t="s">
        <v>35</v>
      </c>
      <c r="C234" s="4" t="s">
        <v>39</v>
      </c>
      <c r="D234" s="4" t="s">
        <v>42</v>
      </c>
      <c r="E234" s="4" t="s">
        <v>50</v>
      </c>
      <c r="F234" s="4" t="s">
        <v>52</v>
      </c>
      <c r="G234" s="4" t="s">
        <v>25</v>
      </c>
      <c r="H234" s="4" t="s">
        <v>38</v>
      </c>
      <c r="I234" s="5">
        <v>44713</v>
      </c>
      <c r="J234" s="6">
        <v>0</v>
      </c>
      <c r="K234" s="6">
        <v>0</v>
      </c>
      <c r="L234" s="6">
        <v>-0.36299999999999999</v>
      </c>
      <c r="M234" s="6">
        <v>-0.1089</v>
      </c>
      <c r="N234" s="6">
        <v>-0.36299999999999999</v>
      </c>
      <c r="O234" s="6">
        <v>-0.1089</v>
      </c>
      <c r="P234" s="6">
        <v>0</v>
      </c>
      <c r="Q234" s="4" t="s">
        <v>26</v>
      </c>
      <c r="R234" s="4">
        <v>0</v>
      </c>
      <c r="S234" s="4">
        <v>0</v>
      </c>
      <c r="T234" s="4">
        <v>25</v>
      </c>
      <c r="U234" s="4">
        <v>59</v>
      </c>
      <c r="V234" s="6">
        <f>IF(ISERROR(VLOOKUP($S$234,'TAR FIN'!$A$1:$O$93,15,0)),0,VLOOKUP($S$234,'TAR FIN'!$A$1:$O$93,15,0))</f>
        <v>0</v>
      </c>
      <c r="W234" s="6">
        <f>IF(ISERROR(VLOOKUP($T$234,'TAR FIN'!$A$1:$O$93,15,0)),0,VLOOKUP($T$234,'TAR FIN'!$A$1:$O$93,15,0))</f>
        <v>69.489999999999995</v>
      </c>
      <c r="X234" s="6">
        <f>IF(ISERROR(VLOOKUP($U$234,'TAR FIN'!$A$1:$O$93,15,0)),0,VLOOKUP($U$234,'TAR FIN'!$A$1:$O$93,15,0))</f>
        <v>185.18</v>
      </c>
      <c r="Y234" s="6"/>
      <c r="Z234" s="6">
        <f ca="1">('TUSD BE'!$AM$16+'TUSD BF'!$AM$16+'TUSD CVA'!$AM$16)*1</f>
        <v>92.504793470158234</v>
      </c>
      <c r="AA234" s="6">
        <f>('TE BE'!$AB$8+'TE BF'!$AB$8+'TE CVA'!$AB$8)*1</f>
        <v>198.18194779658231</v>
      </c>
      <c r="AB234" s="6">
        <f t="shared" si="14"/>
        <v>0</v>
      </c>
      <c r="AC234" s="6">
        <f t="shared" si="15"/>
        <v>-64.711646999999999</v>
      </c>
      <c r="AD234" s="6">
        <f t="shared" si="16"/>
        <v>0</v>
      </c>
      <c r="AE234" s="6">
        <f t="shared" ca="1" si="17"/>
        <v>-73.863500955878763</v>
      </c>
      <c r="AF234" s="4" t="s">
        <v>639</v>
      </c>
    </row>
    <row r="235" spans="1:32" ht="11.25" customHeight="1" x14ac:dyDescent="0.25">
      <c r="A235" s="4" t="s">
        <v>28</v>
      </c>
      <c r="B235" s="4" t="s">
        <v>35</v>
      </c>
      <c r="C235" s="4" t="s">
        <v>39</v>
      </c>
      <c r="D235" s="4" t="s">
        <v>42</v>
      </c>
      <c r="E235" s="4" t="s">
        <v>50</v>
      </c>
      <c r="F235" s="4" t="s">
        <v>52</v>
      </c>
      <c r="G235" s="4" t="s">
        <v>25</v>
      </c>
      <c r="H235" s="4" t="s">
        <v>38</v>
      </c>
      <c r="I235" s="5">
        <v>44713</v>
      </c>
      <c r="J235" s="6">
        <v>0</v>
      </c>
      <c r="K235" s="6">
        <v>0</v>
      </c>
      <c r="L235" s="6">
        <v>2E-3</v>
      </c>
      <c r="M235" s="6">
        <v>5.9999999999999995E-4</v>
      </c>
      <c r="N235" s="6">
        <v>2E-3</v>
      </c>
      <c r="O235" s="6">
        <v>5.9999999999999995E-4</v>
      </c>
      <c r="P235" s="6">
        <v>0</v>
      </c>
      <c r="Q235" s="4" t="s">
        <v>26</v>
      </c>
      <c r="R235" s="4">
        <v>0</v>
      </c>
      <c r="S235" s="4">
        <v>0</v>
      </c>
      <c r="T235" s="4">
        <v>25</v>
      </c>
      <c r="U235" s="4">
        <v>59</v>
      </c>
      <c r="V235" s="6">
        <f>IF(ISERROR(VLOOKUP($S$235,'TAR FIN'!$A$1:$O$93,15,0)),0,VLOOKUP($S$235,'TAR FIN'!$A$1:$O$93,15,0))</f>
        <v>0</v>
      </c>
      <c r="W235" s="6">
        <f>IF(ISERROR(VLOOKUP($T$235,'TAR FIN'!$A$1:$O$93,15,0)),0,VLOOKUP($T$235,'TAR FIN'!$A$1:$O$93,15,0))</f>
        <v>69.489999999999995</v>
      </c>
      <c r="X235" s="6">
        <f>IF(ISERROR(VLOOKUP($U$235,'TAR FIN'!$A$1:$O$93,15,0)),0,VLOOKUP($U$235,'TAR FIN'!$A$1:$O$93,15,0))</f>
        <v>185.18</v>
      </c>
      <c r="Y235" s="6"/>
      <c r="Z235" s="6">
        <f ca="1">('TUSD BE'!$AM$16+'TUSD BF'!$AM$16+'TUSD CVA'!$AM$16)*1</f>
        <v>92.504793470158234</v>
      </c>
      <c r="AA235" s="6">
        <f>('TE BE'!$AB$8+'TE BF'!$AB$8+'TE CVA'!$AB$8)*1</f>
        <v>198.18194779658231</v>
      </c>
      <c r="AB235" s="6">
        <f t="shared" si="14"/>
        <v>0</v>
      </c>
      <c r="AC235" s="6">
        <f t="shared" si="15"/>
        <v>0.35653800000000002</v>
      </c>
      <c r="AD235" s="6">
        <f t="shared" si="16"/>
        <v>0</v>
      </c>
      <c r="AE235" s="6">
        <f t="shared" ca="1" si="17"/>
        <v>0.40696143777343685</v>
      </c>
      <c r="AF235" s="4" t="s">
        <v>639</v>
      </c>
    </row>
    <row r="236" spans="1:32" ht="11.25" customHeight="1" x14ac:dyDescent="0.25">
      <c r="A236" s="4" t="s">
        <v>21</v>
      </c>
      <c r="B236" s="4" t="s">
        <v>35</v>
      </c>
      <c r="C236" s="4" t="s">
        <v>39</v>
      </c>
      <c r="D236" s="4" t="s">
        <v>42</v>
      </c>
      <c r="E236" s="4" t="s">
        <v>50</v>
      </c>
      <c r="F236" s="4" t="s">
        <v>25</v>
      </c>
      <c r="G236" s="4" t="s">
        <v>25</v>
      </c>
      <c r="H236" s="4" t="s">
        <v>25</v>
      </c>
      <c r="I236" s="5">
        <v>44378</v>
      </c>
      <c r="J236" s="6">
        <v>5208</v>
      </c>
      <c r="K236" s="75">
        <v>5208</v>
      </c>
      <c r="L236" s="6">
        <v>0</v>
      </c>
      <c r="M236" s="75">
        <v>0</v>
      </c>
      <c r="N236" s="6">
        <v>0</v>
      </c>
      <c r="O236" s="75">
        <v>0</v>
      </c>
      <c r="P236" s="6">
        <v>146</v>
      </c>
      <c r="Q236" s="4" t="s">
        <v>26</v>
      </c>
      <c r="R236" s="4">
        <v>0</v>
      </c>
      <c r="S236" s="4">
        <v>18</v>
      </c>
      <c r="T236" s="4">
        <v>0</v>
      </c>
      <c r="U236" s="4">
        <v>0</v>
      </c>
      <c r="V236" s="75">
        <f>IF(ISERROR(VLOOKUP($S$236,'TAR FIN'!$A$1:$O$93,15,0)),0,VLOOKUP($S$236,'TAR FIN'!$A$1:$O$93,15,0))*(1-0.04)</f>
        <v>25.123200000000001</v>
      </c>
      <c r="W236" s="75">
        <f>IF(ISERROR(VLOOKUP($T$236,'TAR FIN'!$A$1:$O$93,15,0)),0,VLOOKUP($T$236,'TAR FIN'!$A$1:$O$93,15,0))</f>
        <v>0</v>
      </c>
      <c r="X236" s="75">
        <f>IF(ISERROR(VLOOKUP($U$236,'TAR FIN'!$A$1:$O$93,15,0)),0,VLOOKUP($U$236,'TAR FIN'!$A$1:$O$93,15,0))</f>
        <v>0</v>
      </c>
      <c r="Y236" s="75">
        <f ca="1">('TUSD BE'!$AM$14+'TUSD BF'!$AM$14+'TUSD CVA'!$AM$14)*1*(1-0.02)</f>
        <v>29.844412718026739</v>
      </c>
      <c r="Z236" s="75"/>
      <c r="AA236" s="75"/>
      <c r="AB236" s="75">
        <f>(SUBSIDIO!$J$236*SUBSIDIO!$V$236)*(0.04)/(1-0.04)</f>
        <v>5451.7344000000003</v>
      </c>
      <c r="AC236" s="75">
        <f>((SUBSIDIO!$L$236*SUBSIDIO!$W$236)+(SUBSIDIO!$N$236*SUBSIDIO!$X$236))*(0.04)/(1-0.04)</f>
        <v>0</v>
      </c>
      <c r="AD236" s="75">
        <f ca="1">(SUBSIDIO!$J$236*SUBSIDIO!$Y$236)*(0.02)/(1-0.02)</f>
        <v>3172.034723173128</v>
      </c>
      <c r="AE236" s="75">
        <f>((SUBSIDIO!$L$236*SUBSIDIO!$Z$236)+(SUBSIDIO!$N$236*SUBSIDIO!$AA$236))*(0.02)/(1-0.02)</f>
        <v>0</v>
      </c>
      <c r="AF236" s="4" t="s">
        <v>638</v>
      </c>
    </row>
    <row r="237" spans="1:32" ht="11.25" customHeight="1" x14ac:dyDescent="0.25">
      <c r="A237" s="4" t="s">
        <v>28</v>
      </c>
      <c r="B237" s="4" t="s">
        <v>35</v>
      </c>
      <c r="C237" s="4" t="s">
        <v>39</v>
      </c>
      <c r="D237" s="4" t="s">
        <v>42</v>
      </c>
      <c r="E237" s="4" t="s">
        <v>50</v>
      </c>
      <c r="F237" s="4" t="s">
        <v>25</v>
      </c>
      <c r="G237" s="4" t="s">
        <v>25</v>
      </c>
      <c r="H237" s="4" t="s">
        <v>25</v>
      </c>
      <c r="I237" s="5">
        <v>44378</v>
      </c>
      <c r="J237" s="6">
        <v>1170</v>
      </c>
      <c r="K237" s="75">
        <v>1170</v>
      </c>
      <c r="L237" s="6">
        <v>0</v>
      </c>
      <c r="M237" s="75">
        <v>0</v>
      </c>
      <c r="N237" s="6">
        <v>0</v>
      </c>
      <c r="O237" s="75">
        <v>0</v>
      </c>
      <c r="P237" s="6">
        <v>5</v>
      </c>
      <c r="Q237" s="4" t="s">
        <v>26</v>
      </c>
      <c r="R237" s="4">
        <v>0</v>
      </c>
      <c r="S237" s="4">
        <v>18</v>
      </c>
      <c r="T237" s="4">
        <v>0</v>
      </c>
      <c r="U237" s="4">
        <v>0</v>
      </c>
      <c r="V237" s="75">
        <f>IF(ISERROR(VLOOKUP($S$237,'TAR FIN'!$A$1:$O$93,15,0)),0,VLOOKUP($S$237,'TAR FIN'!$A$1:$O$93,15,0))*(1-0.04)</f>
        <v>25.123200000000001</v>
      </c>
      <c r="W237" s="75">
        <f>IF(ISERROR(VLOOKUP($T$237,'TAR FIN'!$A$1:$O$93,15,0)),0,VLOOKUP($T$237,'TAR FIN'!$A$1:$O$93,15,0))</f>
        <v>0</v>
      </c>
      <c r="X237" s="75">
        <f>IF(ISERROR(VLOOKUP($U$237,'TAR FIN'!$A$1:$O$93,15,0)),0,VLOOKUP($U$237,'TAR FIN'!$A$1:$O$93,15,0))</f>
        <v>0</v>
      </c>
      <c r="Y237" s="75">
        <f ca="1">('TUSD BE'!$AM$14+'TUSD BF'!$AM$14+'TUSD CVA'!$AM$14)*1*(1-0.02)</f>
        <v>29.844412718026739</v>
      </c>
      <c r="Z237" s="75"/>
      <c r="AA237" s="75"/>
      <c r="AB237" s="75">
        <f>(SUBSIDIO!$J$237*SUBSIDIO!$V$237)*(0.04)/(1-0.04)</f>
        <v>1224.7560000000001</v>
      </c>
      <c r="AC237" s="75">
        <f>((SUBSIDIO!$L$237*SUBSIDIO!$W$237)+(SUBSIDIO!$N$237*SUBSIDIO!$X$237))*(0.04)/(1-0.04)</f>
        <v>0</v>
      </c>
      <c r="AD237" s="75">
        <f ca="1">(SUBSIDIO!$J$237*SUBSIDIO!$Y$237)*(0.02)/(1-0.02)</f>
        <v>712.61148734880169</v>
      </c>
      <c r="AE237" s="75">
        <f>((SUBSIDIO!$L$237*SUBSIDIO!$Z$237)+(SUBSIDIO!$N$237*SUBSIDIO!$AA$237))*(0.02)/(1-0.02)</f>
        <v>0</v>
      </c>
      <c r="AF237" s="4" t="s">
        <v>638</v>
      </c>
    </row>
    <row r="238" spans="1:32" ht="11.25" customHeight="1" x14ac:dyDescent="0.25">
      <c r="A238" s="4" t="s">
        <v>21</v>
      </c>
      <c r="B238" s="4" t="s">
        <v>35</v>
      </c>
      <c r="C238" s="4" t="s">
        <v>39</v>
      </c>
      <c r="D238" s="4" t="s">
        <v>42</v>
      </c>
      <c r="E238" s="4" t="s">
        <v>50</v>
      </c>
      <c r="F238" s="4" t="s">
        <v>25</v>
      </c>
      <c r="G238" s="4" t="s">
        <v>25</v>
      </c>
      <c r="H238" s="4" t="s">
        <v>25</v>
      </c>
      <c r="I238" s="5">
        <v>44409</v>
      </c>
      <c r="J238" s="6">
        <v>7146</v>
      </c>
      <c r="K238" s="75">
        <v>7146</v>
      </c>
      <c r="L238" s="6">
        <v>0</v>
      </c>
      <c r="M238" s="75">
        <v>0</v>
      </c>
      <c r="N238" s="6">
        <v>0</v>
      </c>
      <c r="O238" s="75">
        <v>0</v>
      </c>
      <c r="P238" s="6">
        <v>151</v>
      </c>
      <c r="Q238" s="4" t="s">
        <v>26</v>
      </c>
      <c r="R238" s="4">
        <v>0</v>
      </c>
      <c r="S238" s="4">
        <v>18</v>
      </c>
      <c r="T238" s="4">
        <v>0</v>
      </c>
      <c r="U238" s="4">
        <v>0</v>
      </c>
      <c r="V238" s="75">
        <f>IF(ISERROR(VLOOKUP($S$238,'TAR FIN'!$A$1:$O$93,15,0)),0,VLOOKUP($S$238,'TAR FIN'!$A$1:$O$93,15,0))*(1-0.04)</f>
        <v>25.123200000000001</v>
      </c>
      <c r="W238" s="75">
        <f>IF(ISERROR(VLOOKUP($T$238,'TAR FIN'!$A$1:$O$93,15,0)),0,VLOOKUP($T$238,'TAR FIN'!$A$1:$O$93,15,0))</f>
        <v>0</v>
      </c>
      <c r="X238" s="75">
        <f>IF(ISERROR(VLOOKUP($U$238,'TAR FIN'!$A$1:$O$93,15,0)),0,VLOOKUP($U$238,'TAR FIN'!$A$1:$O$93,15,0))</f>
        <v>0</v>
      </c>
      <c r="Y238" s="75">
        <f ca="1">('TUSD BE'!$AM$14+'TUSD BF'!$AM$14+'TUSD CVA'!$AM$14)*1*(1-0.02)</f>
        <v>29.844412718026739</v>
      </c>
      <c r="Z238" s="75"/>
      <c r="AA238" s="75"/>
      <c r="AB238" s="75">
        <f>(SUBSIDIO!$J$238*SUBSIDIO!$V$238)*(0.04)/(1-0.04)</f>
        <v>7480.4328000000005</v>
      </c>
      <c r="AC238" s="75">
        <f>((SUBSIDIO!$L$238*SUBSIDIO!$W$238)+(SUBSIDIO!$N$238*SUBSIDIO!$X$238))*(0.04)/(1-0.04)</f>
        <v>0</v>
      </c>
      <c r="AD238" s="75">
        <f ca="1">(SUBSIDIO!$J$238*SUBSIDIO!$Y$238)*(0.02)/(1-0.02)</f>
        <v>4352.4116996534513</v>
      </c>
      <c r="AE238" s="75">
        <f>((SUBSIDIO!$L$238*SUBSIDIO!$Z$238)+(SUBSIDIO!$N$238*SUBSIDIO!$AA$238))*(0.02)/(1-0.02)</f>
        <v>0</v>
      </c>
      <c r="AF238" s="4" t="s">
        <v>638</v>
      </c>
    </row>
    <row r="239" spans="1:32" ht="11.25" customHeight="1" x14ac:dyDescent="0.25">
      <c r="A239" s="4" t="s">
        <v>28</v>
      </c>
      <c r="B239" s="4" t="s">
        <v>35</v>
      </c>
      <c r="C239" s="4" t="s">
        <v>39</v>
      </c>
      <c r="D239" s="4" t="s">
        <v>42</v>
      </c>
      <c r="E239" s="4" t="s">
        <v>50</v>
      </c>
      <c r="F239" s="4" t="s">
        <v>25</v>
      </c>
      <c r="G239" s="4" t="s">
        <v>25</v>
      </c>
      <c r="H239" s="4" t="s">
        <v>25</v>
      </c>
      <c r="I239" s="5">
        <v>44409</v>
      </c>
      <c r="J239" s="6">
        <v>1170</v>
      </c>
      <c r="K239" s="75">
        <v>1170</v>
      </c>
      <c r="L239" s="6">
        <v>0</v>
      </c>
      <c r="M239" s="75">
        <v>0</v>
      </c>
      <c r="N239" s="6">
        <v>0</v>
      </c>
      <c r="O239" s="75">
        <v>0</v>
      </c>
      <c r="P239" s="6">
        <v>5</v>
      </c>
      <c r="Q239" s="4" t="s">
        <v>26</v>
      </c>
      <c r="R239" s="4">
        <v>0</v>
      </c>
      <c r="S239" s="4">
        <v>18</v>
      </c>
      <c r="T239" s="4">
        <v>0</v>
      </c>
      <c r="U239" s="4">
        <v>0</v>
      </c>
      <c r="V239" s="75">
        <f>IF(ISERROR(VLOOKUP($S$239,'TAR FIN'!$A$1:$O$93,15,0)),0,VLOOKUP($S$239,'TAR FIN'!$A$1:$O$93,15,0))*(1-0.04)</f>
        <v>25.123200000000001</v>
      </c>
      <c r="W239" s="75">
        <f>IF(ISERROR(VLOOKUP($T$239,'TAR FIN'!$A$1:$O$93,15,0)),0,VLOOKUP($T$239,'TAR FIN'!$A$1:$O$93,15,0))</f>
        <v>0</v>
      </c>
      <c r="X239" s="75">
        <f>IF(ISERROR(VLOOKUP($U$239,'TAR FIN'!$A$1:$O$93,15,0)),0,VLOOKUP($U$239,'TAR FIN'!$A$1:$O$93,15,0))</f>
        <v>0</v>
      </c>
      <c r="Y239" s="75">
        <f ca="1">('TUSD BE'!$AM$14+'TUSD BF'!$AM$14+'TUSD CVA'!$AM$14)*1*(1-0.02)</f>
        <v>29.844412718026739</v>
      </c>
      <c r="Z239" s="75"/>
      <c r="AA239" s="75"/>
      <c r="AB239" s="75">
        <f>(SUBSIDIO!$J$239*SUBSIDIO!$V$239)*(0.04)/(1-0.04)</f>
        <v>1224.7560000000001</v>
      </c>
      <c r="AC239" s="75">
        <f>((SUBSIDIO!$L$239*SUBSIDIO!$W$239)+(SUBSIDIO!$N$239*SUBSIDIO!$X$239))*(0.04)/(1-0.04)</f>
        <v>0</v>
      </c>
      <c r="AD239" s="75">
        <f ca="1">(SUBSIDIO!$J$239*SUBSIDIO!$Y$239)*(0.02)/(1-0.02)</f>
        <v>712.61148734880169</v>
      </c>
      <c r="AE239" s="75">
        <f>((SUBSIDIO!$L$239*SUBSIDIO!$Z$239)+(SUBSIDIO!$N$239*SUBSIDIO!$AA$239))*(0.02)/(1-0.02)</f>
        <v>0</v>
      </c>
      <c r="AF239" s="4" t="s">
        <v>638</v>
      </c>
    </row>
    <row r="240" spans="1:32" ht="11.25" customHeight="1" x14ac:dyDescent="0.25">
      <c r="A240" s="4" t="s">
        <v>21</v>
      </c>
      <c r="B240" s="4" t="s">
        <v>35</v>
      </c>
      <c r="C240" s="4" t="s">
        <v>39</v>
      </c>
      <c r="D240" s="4" t="s">
        <v>42</v>
      </c>
      <c r="E240" s="4" t="s">
        <v>50</v>
      </c>
      <c r="F240" s="4" t="s">
        <v>25</v>
      </c>
      <c r="G240" s="4" t="s">
        <v>25</v>
      </c>
      <c r="H240" s="4" t="s">
        <v>25</v>
      </c>
      <c r="I240" s="5">
        <v>44440</v>
      </c>
      <c r="J240" s="6">
        <v>15970</v>
      </c>
      <c r="K240" s="75">
        <v>15970</v>
      </c>
      <c r="L240" s="6">
        <v>0</v>
      </c>
      <c r="M240" s="75">
        <v>0</v>
      </c>
      <c r="N240" s="6">
        <v>0</v>
      </c>
      <c r="O240" s="75">
        <v>0</v>
      </c>
      <c r="P240" s="6">
        <v>157</v>
      </c>
      <c r="Q240" s="4" t="s">
        <v>26</v>
      </c>
      <c r="R240" s="4">
        <v>0</v>
      </c>
      <c r="S240" s="4">
        <v>18</v>
      </c>
      <c r="T240" s="4">
        <v>0</v>
      </c>
      <c r="U240" s="4">
        <v>0</v>
      </c>
      <c r="V240" s="75">
        <f>IF(ISERROR(VLOOKUP($S$240,'TAR FIN'!$A$1:$O$93,15,0)),0,VLOOKUP($S$240,'TAR FIN'!$A$1:$O$93,15,0))*(1-0.04)</f>
        <v>25.123200000000001</v>
      </c>
      <c r="W240" s="75">
        <f>IF(ISERROR(VLOOKUP($T$240,'TAR FIN'!$A$1:$O$93,15,0)),0,VLOOKUP($T$240,'TAR FIN'!$A$1:$O$93,15,0))</f>
        <v>0</v>
      </c>
      <c r="X240" s="75">
        <f>IF(ISERROR(VLOOKUP($U$240,'TAR FIN'!$A$1:$O$93,15,0)),0,VLOOKUP($U$240,'TAR FIN'!$A$1:$O$93,15,0))</f>
        <v>0</v>
      </c>
      <c r="Y240" s="75">
        <f ca="1">('TUSD BE'!$AM$14+'TUSD BF'!$AM$14+'TUSD CVA'!$AM$14)*1*(1-0.02)</f>
        <v>29.844412718026739</v>
      </c>
      <c r="Z240" s="75"/>
      <c r="AA240" s="75"/>
      <c r="AB240" s="75">
        <f>(SUBSIDIO!$J$240*SUBSIDIO!$V$240)*(0.04)/(1-0.04)</f>
        <v>16717.396000000001</v>
      </c>
      <c r="AC240" s="75">
        <f>((SUBSIDIO!$L$240*SUBSIDIO!$W$240)+(SUBSIDIO!$N$240*SUBSIDIO!$X$240))*(0.04)/(1-0.04)</f>
        <v>0</v>
      </c>
      <c r="AD240" s="75">
        <f ca="1">(SUBSIDIO!$J$240*SUBSIDIO!$Y$240)*(0.02)/(1-0.02)</f>
        <v>9726.842267487491</v>
      </c>
      <c r="AE240" s="75">
        <f>((SUBSIDIO!$L$240*SUBSIDIO!$Z$240)+(SUBSIDIO!$N$240*SUBSIDIO!$AA$240))*(0.02)/(1-0.02)</f>
        <v>0</v>
      </c>
      <c r="AF240" s="4" t="s">
        <v>638</v>
      </c>
    </row>
    <row r="241" spans="1:32" ht="11.25" customHeight="1" x14ac:dyDescent="0.25">
      <c r="A241" s="4" t="s">
        <v>28</v>
      </c>
      <c r="B241" s="4" t="s">
        <v>35</v>
      </c>
      <c r="C241" s="4" t="s">
        <v>39</v>
      </c>
      <c r="D241" s="4" t="s">
        <v>42</v>
      </c>
      <c r="E241" s="4" t="s">
        <v>50</v>
      </c>
      <c r="F241" s="4" t="s">
        <v>25</v>
      </c>
      <c r="G241" s="4" t="s">
        <v>25</v>
      </c>
      <c r="H241" s="4" t="s">
        <v>25</v>
      </c>
      <c r="I241" s="5">
        <v>44440</v>
      </c>
      <c r="J241" s="6">
        <v>1170</v>
      </c>
      <c r="K241" s="75">
        <v>1170</v>
      </c>
      <c r="L241" s="6">
        <v>0</v>
      </c>
      <c r="M241" s="75">
        <v>0</v>
      </c>
      <c r="N241" s="6">
        <v>0</v>
      </c>
      <c r="O241" s="75">
        <v>0</v>
      </c>
      <c r="P241" s="6">
        <v>5</v>
      </c>
      <c r="Q241" s="4" t="s">
        <v>26</v>
      </c>
      <c r="R241" s="4">
        <v>0</v>
      </c>
      <c r="S241" s="4">
        <v>18</v>
      </c>
      <c r="T241" s="4">
        <v>0</v>
      </c>
      <c r="U241" s="4">
        <v>0</v>
      </c>
      <c r="V241" s="75">
        <f>IF(ISERROR(VLOOKUP($S$241,'TAR FIN'!$A$1:$O$93,15,0)),0,VLOOKUP($S$241,'TAR FIN'!$A$1:$O$93,15,0))*(1-0.04)</f>
        <v>25.123200000000001</v>
      </c>
      <c r="W241" s="75">
        <f>IF(ISERROR(VLOOKUP($T$241,'TAR FIN'!$A$1:$O$93,15,0)),0,VLOOKUP($T$241,'TAR FIN'!$A$1:$O$93,15,0))</f>
        <v>0</v>
      </c>
      <c r="X241" s="75">
        <f>IF(ISERROR(VLOOKUP($U$241,'TAR FIN'!$A$1:$O$93,15,0)),0,VLOOKUP($U$241,'TAR FIN'!$A$1:$O$93,15,0))</f>
        <v>0</v>
      </c>
      <c r="Y241" s="75">
        <f ca="1">('TUSD BE'!$AM$14+'TUSD BF'!$AM$14+'TUSD CVA'!$AM$14)*1*(1-0.02)</f>
        <v>29.844412718026739</v>
      </c>
      <c r="Z241" s="75"/>
      <c r="AA241" s="75"/>
      <c r="AB241" s="75">
        <f>(SUBSIDIO!$J$241*SUBSIDIO!$V$241)*(0.04)/(1-0.04)</f>
        <v>1224.7560000000001</v>
      </c>
      <c r="AC241" s="75">
        <f>((SUBSIDIO!$L$241*SUBSIDIO!$W$241)+(SUBSIDIO!$N$241*SUBSIDIO!$X$241))*(0.04)/(1-0.04)</f>
        <v>0</v>
      </c>
      <c r="AD241" s="75">
        <f ca="1">(SUBSIDIO!$J$241*SUBSIDIO!$Y$241)*(0.02)/(1-0.02)</f>
        <v>712.61148734880169</v>
      </c>
      <c r="AE241" s="75">
        <f>((SUBSIDIO!$L$241*SUBSIDIO!$Z$241)+(SUBSIDIO!$N$241*SUBSIDIO!$AA$241))*(0.02)/(1-0.02)</f>
        <v>0</v>
      </c>
      <c r="AF241" s="4" t="s">
        <v>638</v>
      </c>
    </row>
    <row r="242" spans="1:32" ht="11.25" customHeight="1" x14ac:dyDescent="0.25">
      <c r="A242" s="4" t="s">
        <v>21</v>
      </c>
      <c r="B242" s="4" t="s">
        <v>35</v>
      </c>
      <c r="C242" s="4" t="s">
        <v>39</v>
      </c>
      <c r="D242" s="4" t="s">
        <v>42</v>
      </c>
      <c r="E242" s="4" t="s">
        <v>50</v>
      </c>
      <c r="F242" s="4" t="s">
        <v>25</v>
      </c>
      <c r="G242" s="4" t="s">
        <v>25</v>
      </c>
      <c r="H242" s="4" t="s">
        <v>25</v>
      </c>
      <c r="I242" s="5">
        <v>44470</v>
      </c>
      <c r="J242" s="6">
        <v>14507</v>
      </c>
      <c r="K242" s="75">
        <v>14507</v>
      </c>
      <c r="L242" s="6">
        <v>0</v>
      </c>
      <c r="M242" s="75">
        <v>0</v>
      </c>
      <c r="N242" s="6">
        <v>0</v>
      </c>
      <c r="O242" s="75">
        <v>0</v>
      </c>
      <c r="P242" s="6">
        <v>159</v>
      </c>
      <c r="Q242" s="4" t="s">
        <v>26</v>
      </c>
      <c r="R242" s="4">
        <v>0</v>
      </c>
      <c r="S242" s="4">
        <v>18</v>
      </c>
      <c r="T242" s="4">
        <v>0</v>
      </c>
      <c r="U242" s="4">
        <v>0</v>
      </c>
      <c r="V242" s="75">
        <f>IF(ISERROR(VLOOKUP($S$242,'TAR FIN'!$A$1:$O$93,15,0)),0,VLOOKUP($S$242,'TAR FIN'!$A$1:$O$93,15,0))*(1-0.04)</f>
        <v>25.123200000000001</v>
      </c>
      <c r="W242" s="75">
        <f>IF(ISERROR(VLOOKUP($T$242,'TAR FIN'!$A$1:$O$93,15,0)),0,VLOOKUP($T$242,'TAR FIN'!$A$1:$O$93,15,0))</f>
        <v>0</v>
      </c>
      <c r="X242" s="75">
        <f>IF(ISERROR(VLOOKUP($U$242,'TAR FIN'!$A$1:$O$93,15,0)),0,VLOOKUP($U$242,'TAR FIN'!$A$1:$O$93,15,0))</f>
        <v>0</v>
      </c>
      <c r="Y242" s="75">
        <f ca="1">('TUSD BE'!$AM$14+'TUSD BF'!$AM$14+'TUSD CVA'!$AM$14)*1*(1-0.02)</f>
        <v>29.844412718026739</v>
      </c>
      <c r="Z242" s="75"/>
      <c r="AA242" s="75"/>
      <c r="AB242" s="75">
        <f>(SUBSIDIO!$J$242*SUBSIDIO!$V$242)*(0.04)/(1-0.04)</f>
        <v>15185.927600000001</v>
      </c>
      <c r="AC242" s="75">
        <f>((SUBSIDIO!$L$242*SUBSIDIO!$W$242)+(SUBSIDIO!$N$242*SUBSIDIO!$X$242))*(0.04)/(1-0.04)</f>
        <v>0</v>
      </c>
      <c r="AD242" s="75">
        <f ca="1">(SUBSIDIO!$J$242*SUBSIDIO!$Y$242)*(0.02)/(1-0.02)</f>
        <v>8835.7733734778358</v>
      </c>
      <c r="AE242" s="75">
        <f>((SUBSIDIO!$L$242*SUBSIDIO!$Z$242)+(SUBSIDIO!$N$242*SUBSIDIO!$AA$242))*(0.02)/(1-0.02)</f>
        <v>0</v>
      </c>
      <c r="AF242" s="4" t="s">
        <v>638</v>
      </c>
    </row>
    <row r="243" spans="1:32" ht="11.25" customHeight="1" x14ac:dyDescent="0.25">
      <c r="A243" s="4" t="s">
        <v>28</v>
      </c>
      <c r="B243" s="4" t="s">
        <v>35</v>
      </c>
      <c r="C243" s="4" t="s">
        <v>39</v>
      </c>
      <c r="D243" s="4" t="s">
        <v>42</v>
      </c>
      <c r="E243" s="4" t="s">
        <v>50</v>
      </c>
      <c r="F243" s="4" t="s">
        <v>25</v>
      </c>
      <c r="G243" s="4" t="s">
        <v>25</v>
      </c>
      <c r="H243" s="4" t="s">
        <v>25</v>
      </c>
      <c r="I243" s="5">
        <v>44470</v>
      </c>
      <c r="J243" s="6">
        <v>1354</v>
      </c>
      <c r="K243" s="75">
        <v>1354</v>
      </c>
      <c r="L243" s="6">
        <v>0</v>
      </c>
      <c r="M243" s="75">
        <v>0</v>
      </c>
      <c r="N243" s="6">
        <v>0</v>
      </c>
      <c r="O243" s="75">
        <v>0</v>
      </c>
      <c r="P243" s="6">
        <v>5</v>
      </c>
      <c r="Q243" s="4" t="s">
        <v>26</v>
      </c>
      <c r="R243" s="4">
        <v>0</v>
      </c>
      <c r="S243" s="4">
        <v>18</v>
      </c>
      <c r="T243" s="4">
        <v>0</v>
      </c>
      <c r="U243" s="4">
        <v>0</v>
      </c>
      <c r="V243" s="75">
        <f>IF(ISERROR(VLOOKUP($S$243,'TAR FIN'!$A$1:$O$93,15,0)),0,VLOOKUP($S$243,'TAR FIN'!$A$1:$O$93,15,0))*(1-0.04)</f>
        <v>25.123200000000001</v>
      </c>
      <c r="W243" s="75">
        <f>IF(ISERROR(VLOOKUP($T$243,'TAR FIN'!$A$1:$O$93,15,0)),0,VLOOKUP($T$243,'TAR FIN'!$A$1:$O$93,15,0))</f>
        <v>0</v>
      </c>
      <c r="X243" s="75">
        <f>IF(ISERROR(VLOOKUP($U$243,'TAR FIN'!$A$1:$O$93,15,0)),0,VLOOKUP($U$243,'TAR FIN'!$A$1:$O$93,15,0))</f>
        <v>0</v>
      </c>
      <c r="Y243" s="75">
        <f ca="1">('TUSD BE'!$AM$14+'TUSD BF'!$AM$14+'TUSD CVA'!$AM$14)*1*(1-0.02)</f>
        <v>29.844412718026739</v>
      </c>
      <c r="Z243" s="75"/>
      <c r="AA243" s="75"/>
      <c r="AB243" s="75">
        <f>(SUBSIDIO!$J$243*SUBSIDIO!$V$243)*(0.04)/(1-0.04)</f>
        <v>1417.3672000000001</v>
      </c>
      <c r="AC243" s="75">
        <f>((SUBSIDIO!$L$243*SUBSIDIO!$W$243)+(SUBSIDIO!$N$243*SUBSIDIO!$X$243))*(0.04)/(1-0.04)</f>
        <v>0</v>
      </c>
      <c r="AD243" s="75">
        <f ca="1">(SUBSIDIO!$J$243*SUBSIDIO!$Y$243)*(0.02)/(1-0.02)</f>
        <v>824.68030245322871</v>
      </c>
      <c r="AE243" s="75">
        <f>((SUBSIDIO!$L$243*SUBSIDIO!$Z$243)+(SUBSIDIO!$N$243*SUBSIDIO!$AA$243))*(0.02)/(1-0.02)</f>
        <v>0</v>
      </c>
      <c r="AF243" s="4" t="s">
        <v>638</v>
      </c>
    </row>
    <row r="244" spans="1:32" ht="11.25" customHeight="1" x14ac:dyDescent="0.25">
      <c r="A244" s="4" t="s">
        <v>21</v>
      </c>
      <c r="B244" s="4" t="s">
        <v>35</v>
      </c>
      <c r="C244" s="4" t="s">
        <v>39</v>
      </c>
      <c r="D244" s="4" t="s">
        <v>42</v>
      </c>
      <c r="E244" s="4" t="s">
        <v>50</v>
      </c>
      <c r="F244" s="4" t="s">
        <v>25</v>
      </c>
      <c r="G244" s="4" t="s">
        <v>25</v>
      </c>
      <c r="H244" s="4" t="s">
        <v>25</v>
      </c>
      <c r="I244" s="5">
        <v>44501</v>
      </c>
      <c r="J244" s="6">
        <v>22271</v>
      </c>
      <c r="K244" s="75">
        <v>22271</v>
      </c>
      <c r="L244" s="6">
        <v>0</v>
      </c>
      <c r="M244" s="75">
        <v>0</v>
      </c>
      <c r="N244" s="6">
        <v>0</v>
      </c>
      <c r="O244" s="75">
        <v>0</v>
      </c>
      <c r="P244" s="6">
        <v>161</v>
      </c>
      <c r="Q244" s="4" t="s">
        <v>26</v>
      </c>
      <c r="R244" s="4">
        <v>0</v>
      </c>
      <c r="S244" s="4">
        <v>18</v>
      </c>
      <c r="T244" s="4">
        <v>0</v>
      </c>
      <c r="U244" s="4">
        <v>0</v>
      </c>
      <c r="V244" s="75">
        <f>IF(ISERROR(VLOOKUP($S$244,'TAR FIN'!$A$1:$O$93,15,0)),0,VLOOKUP($S$244,'TAR FIN'!$A$1:$O$93,15,0))*(1-0.04)</f>
        <v>25.123200000000001</v>
      </c>
      <c r="W244" s="75">
        <f>IF(ISERROR(VLOOKUP($T$244,'TAR FIN'!$A$1:$O$93,15,0)),0,VLOOKUP($T$244,'TAR FIN'!$A$1:$O$93,15,0))</f>
        <v>0</v>
      </c>
      <c r="X244" s="75">
        <f>IF(ISERROR(VLOOKUP($U$244,'TAR FIN'!$A$1:$O$93,15,0)),0,VLOOKUP($U$244,'TAR FIN'!$A$1:$O$93,15,0))</f>
        <v>0</v>
      </c>
      <c r="Y244" s="75">
        <f ca="1">('TUSD BE'!$AM$14+'TUSD BF'!$AM$14+'TUSD CVA'!$AM$14)*1*(1-0.02)</f>
        <v>29.844412718026739</v>
      </c>
      <c r="Z244" s="75"/>
      <c r="AA244" s="75"/>
      <c r="AB244" s="75">
        <f>(SUBSIDIO!$J$244*SUBSIDIO!$V$244)*(0.04)/(1-0.04)</f>
        <v>23313.282800000001</v>
      </c>
      <c r="AC244" s="75">
        <f>((SUBSIDIO!$L$244*SUBSIDIO!$W$244)+(SUBSIDIO!$N$244*SUBSIDIO!$X$244))*(0.04)/(1-0.04)</f>
        <v>0</v>
      </c>
      <c r="AD244" s="75">
        <f ca="1">(SUBSIDIO!$J$244*SUBSIDIO!$Y$244)*(0.02)/(1-0.02)</f>
        <v>13564.590115166806</v>
      </c>
      <c r="AE244" s="75">
        <f>((SUBSIDIO!$L$244*SUBSIDIO!$Z$244)+(SUBSIDIO!$N$244*SUBSIDIO!$AA$244))*(0.02)/(1-0.02)</f>
        <v>0</v>
      </c>
      <c r="AF244" s="4" t="s">
        <v>638</v>
      </c>
    </row>
    <row r="245" spans="1:32" ht="11.25" customHeight="1" x14ac:dyDescent="0.25">
      <c r="A245" s="4" t="s">
        <v>27</v>
      </c>
      <c r="B245" s="4" t="s">
        <v>35</v>
      </c>
      <c r="C245" s="4" t="s">
        <v>39</v>
      </c>
      <c r="D245" s="4" t="s">
        <v>42</v>
      </c>
      <c r="E245" s="4" t="s">
        <v>50</v>
      </c>
      <c r="F245" s="4" t="s">
        <v>25</v>
      </c>
      <c r="G245" s="4" t="s">
        <v>25</v>
      </c>
      <c r="H245" s="4" t="s">
        <v>25</v>
      </c>
      <c r="I245" s="5">
        <v>44501</v>
      </c>
      <c r="J245" s="6">
        <v>-241</v>
      </c>
      <c r="K245" s="75">
        <v>-241</v>
      </c>
      <c r="L245" s="6">
        <v>0</v>
      </c>
      <c r="M245" s="75">
        <v>0</v>
      </c>
      <c r="N245" s="6">
        <v>0</v>
      </c>
      <c r="O245" s="75">
        <v>0</v>
      </c>
      <c r="P245" s="6">
        <v>-1</v>
      </c>
      <c r="Q245" s="4" t="s">
        <v>26</v>
      </c>
      <c r="R245" s="4">
        <v>0</v>
      </c>
      <c r="S245" s="4">
        <v>18</v>
      </c>
      <c r="T245" s="4">
        <v>0</v>
      </c>
      <c r="U245" s="4">
        <v>0</v>
      </c>
      <c r="V245" s="75">
        <f>IF(ISERROR(VLOOKUP($S$245,'TAR FIN'!$A$1:$O$93,15,0)),0,VLOOKUP($S$245,'TAR FIN'!$A$1:$O$93,15,0))*(1-0.04)</f>
        <v>25.123200000000001</v>
      </c>
      <c r="W245" s="75">
        <f>IF(ISERROR(VLOOKUP($T$245,'TAR FIN'!$A$1:$O$93,15,0)),0,VLOOKUP($T$245,'TAR FIN'!$A$1:$O$93,15,0))</f>
        <v>0</v>
      </c>
      <c r="X245" s="75">
        <f>IF(ISERROR(VLOOKUP($U$245,'TAR FIN'!$A$1:$O$93,15,0)),0,VLOOKUP($U$245,'TAR FIN'!$A$1:$O$93,15,0))</f>
        <v>0</v>
      </c>
      <c r="Y245" s="75">
        <f ca="1">('TUSD BE'!$AM$14+'TUSD BF'!$AM$14+'TUSD CVA'!$AM$14)*1*(1-0.02)</f>
        <v>29.844412718026739</v>
      </c>
      <c r="Z245" s="75"/>
      <c r="AA245" s="75"/>
      <c r="AB245" s="75">
        <f>(SUBSIDIO!$J$245*SUBSIDIO!$V$245)*(0.04)/(1-0.04)</f>
        <v>-252.27880000000005</v>
      </c>
      <c r="AC245" s="75">
        <f>((SUBSIDIO!$L$245*SUBSIDIO!$W$245)+(SUBSIDIO!$N$245*SUBSIDIO!$X$245))*(0.04)/(1-0.04)</f>
        <v>0</v>
      </c>
      <c r="AD245" s="75">
        <f ca="1">(SUBSIDIO!$J$245*SUBSIDIO!$Y$245)*(0.02)/(1-0.02)</f>
        <v>-146.78578500090703</v>
      </c>
      <c r="AE245" s="75">
        <f>((SUBSIDIO!$L$245*SUBSIDIO!$Z$245)+(SUBSIDIO!$N$245*SUBSIDIO!$AA$245))*(0.02)/(1-0.02)</f>
        <v>0</v>
      </c>
      <c r="AF245" s="4" t="s">
        <v>638</v>
      </c>
    </row>
    <row r="246" spans="1:32" ht="11.25" customHeight="1" x14ac:dyDescent="0.25">
      <c r="A246" s="4" t="s">
        <v>28</v>
      </c>
      <c r="B246" s="4" t="s">
        <v>35</v>
      </c>
      <c r="C246" s="4" t="s">
        <v>39</v>
      </c>
      <c r="D246" s="4" t="s">
        <v>42</v>
      </c>
      <c r="E246" s="4" t="s">
        <v>50</v>
      </c>
      <c r="F246" s="4" t="s">
        <v>25</v>
      </c>
      <c r="G246" s="4" t="s">
        <v>25</v>
      </c>
      <c r="H246" s="4" t="s">
        <v>25</v>
      </c>
      <c r="I246" s="5">
        <v>44501</v>
      </c>
      <c r="J246" s="6">
        <v>1343</v>
      </c>
      <c r="K246" s="75">
        <v>1343</v>
      </c>
      <c r="L246" s="6">
        <v>0</v>
      </c>
      <c r="M246" s="75">
        <v>0</v>
      </c>
      <c r="N246" s="6">
        <v>0</v>
      </c>
      <c r="O246" s="75">
        <v>0</v>
      </c>
      <c r="P246" s="6">
        <v>5</v>
      </c>
      <c r="Q246" s="4" t="s">
        <v>26</v>
      </c>
      <c r="R246" s="4">
        <v>0</v>
      </c>
      <c r="S246" s="4">
        <v>18</v>
      </c>
      <c r="T246" s="4">
        <v>0</v>
      </c>
      <c r="U246" s="4">
        <v>0</v>
      </c>
      <c r="V246" s="75">
        <f>IF(ISERROR(VLOOKUP($S$246,'TAR FIN'!$A$1:$O$93,15,0)),0,VLOOKUP($S$246,'TAR FIN'!$A$1:$O$93,15,0))*(1-0.04)</f>
        <v>25.123200000000001</v>
      </c>
      <c r="W246" s="75">
        <f>IF(ISERROR(VLOOKUP($T$246,'TAR FIN'!$A$1:$O$93,15,0)),0,VLOOKUP($T$246,'TAR FIN'!$A$1:$O$93,15,0))</f>
        <v>0</v>
      </c>
      <c r="X246" s="75">
        <f>IF(ISERROR(VLOOKUP($U$246,'TAR FIN'!$A$1:$O$93,15,0)),0,VLOOKUP($U$246,'TAR FIN'!$A$1:$O$93,15,0))</f>
        <v>0</v>
      </c>
      <c r="Y246" s="75">
        <f ca="1">('TUSD BE'!$AM$14+'TUSD BF'!$AM$14+'TUSD CVA'!$AM$14)*1*(1-0.02)</f>
        <v>29.844412718026739</v>
      </c>
      <c r="Z246" s="75"/>
      <c r="AA246" s="75"/>
      <c r="AB246" s="75">
        <f>(SUBSIDIO!$J$246*SUBSIDIO!$V$246)*(0.04)/(1-0.04)</f>
        <v>1405.8524000000002</v>
      </c>
      <c r="AC246" s="75">
        <f>((SUBSIDIO!$L$246*SUBSIDIO!$W$246)+(SUBSIDIO!$N$246*SUBSIDIO!$X$246))*(0.04)/(1-0.04)</f>
        <v>0</v>
      </c>
      <c r="AD246" s="75">
        <f ca="1">(SUBSIDIO!$J$246*SUBSIDIO!$Y$246)*(0.02)/(1-0.02)</f>
        <v>817.98053633285531</v>
      </c>
      <c r="AE246" s="75">
        <f>((SUBSIDIO!$L$246*SUBSIDIO!$Z$246)+(SUBSIDIO!$N$246*SUBSIDIO!$AA$246))*(0.02)/(1-0.02)</f>
        <v>0</v>
      </c>
      <c r="AF246" s="4" t="s">
        <v>638</v>
      </c>
    </row>
    <row r="247" spans="1:32" ht="11.25" customHeight="1" x14ac:dyDescent="0.25">
      <c r="A247" s="4" t="s">
        <v>21</v>
      </c>
      <c r="B247" s="4" t="s">
        <v>35</v>
      </c>
      <c r="C247" s="4" t="s">
        <v>39</v>
      </c>
      <c r="D247" s="4" t="s">
        <v>42</v>
      </c>
      <c r="E247" s="4" t="s">
        <v>50</v>
      </c>
      <c r="F247" s="4" t="s">
        <v>25</v>
      </c>
      <c r="G247" s="4" t="s">
        <v>25</v>
      </c>
      <c r="H247" s="4" t="s">
        <v>25</v>
      </c>
      <c r="I247" s="5">
        <v>44531</v>
      </c>
      <c r="J247" s="6">
        <v>41191</v>
      </c>
      <c r="K247" s="75">
        <v>41191</v>
      </c>
      <c r="L247" s="6">
        <v>0</v>
      </c>
      <c r="M247" s="75">
        <v>0</v>
      </c>
      <c r="N247" s="6">
        <v>0</v>
      </c>
      <c r="O247" s="75">
        <v>0</v>
      </c>
      <c r="P247" s="6">
        <v>160</v>
      </c>
      <c r="Q247" s="4" t="s">
        <v>26</v>
      </c>
      <c r="R247" s="4">
        <v>0</v>
      </c>
      <c r="S247" s="4">
        <v>18</v>
      </c>
      <c r="T247" s="4">
        <v>0</v>
      </c>
      <c r="U247" s="4">
        <v>0</v>
      </c>
      <c r="V247" s="75">
        <f>IF(ISERROR(VLOOKUP($S$247,'TAR FIN'!$A$1:$O$93,15,0)),0,VLOOKUP($S$247,'TAR FIN'!$A$1:$O$93,15,0))*(1-0.04)</f>
        <v>25.123200000000001</v>
      </c>
      <c r="W247" s="75">
        <f>IF(ISERROR(VLOOKUP($T$247,'TAR FIN'!$A$1:$O$93,15,0)),0,VLOOKUP($T$247,'TAR FIN'!$A$1:$O$93,15,0))</f>
        <v>0</v>
      </c>
      <c r="X247" s="75">
        <f>IF(ISERROR(VLOOKUP($U$247,'TAR FIN'!$A$1:$O$93,15,0)),0,VLOOKUP($U$247,'TAR FIN'!$A$1:$O$93,15,0))</f>
        <v>0</v>
      </c>
      <c r="Y247" s="75">
        <f ca="1">('TUSD BE'!$AM$14+'TUSD BF'!$AM$14+'TUSD CVA'!$AM$14)*1*(1-0.02)</f>
        <v>29.844412718026739</v>
      </c>
      <c r="Z247" s="75"/>
      <c r="AA247" s="75"/>
      <c r="AB247" s="75">
        <f>(SUBSIDIO!$J$247*SUBSIDIO!$V$247)*(0.04)/(1-0.04)</f>
        <v>43118.738800000006</v>
      </c>
      <c r="AC247" s="75">
        <f>((SUBSIDIO!$L$247*SUBSIDIO!$W$247)+(SUBSIDIO!$N$247*SUBSIDIO!$X$247))*(0.04)/(1-0.04)</f>
        <v>0</v>
      </c>
      <c r="AD247" s="75">
        <f ca="1">(SUBSIDIO!$J$247*SUBSIDIO!$Y$247)*(0.02)/(1-0.02)</f>
        <v>25088.187842208969</v>
      </c>
      <c r="AE247" s="75">
        <f>((SUBSIDIO!$L$247*SUBSIDIO!$Z$247)+(SUBSIDIO!$N$247*SUBSIDIO!$AA$247))*(0.02)/(1-0.02)</f>
        <v>0</v>
      </c>
      <c r="AF247" s="4" t="s">
        <v>638</v>
      </c>
    </row>
    <row r="248" spans="1:32" ht="11.25" customHeight="1" x14ac:dyDescent="0.25">
      <c r="A248" s="4" t="s">
        <v>21</v>
      </c>
      <c r="B248" s="4" t="s">
        <v>35</v>
      </c>
      <c r="C248" s="4" t="s">
        <v>39</v>
      </c>
      <c r="D248" s="4" t="s">
        <v>42</v>
      </c>
      <c r="E248" s="4" t="s">
        <v>50</v>
      </c>
      <c r="F248" s="4" t="s">
        <v>25</v>
      </c>
      <c r="G248" s="4" t="s">
        <v>25</v>
      </c>
      <c r="H248" s="4" t="s">
        <v>25</v>
      </c>
      <c r="I248" s="5">
        <v>44562</v>
      </c>
      <c r="J248" s="6">
        <v>45076</v>
      </c>
      <c r="K248" s="75">
        <v>45076</v>
      </c>
      <c r="L248" s="6">
        <v>0</v>
      </c>
      <c r="M248" s="75">
        <v>0</v>
      </c>
      <c r="N248" s="6">
        <v>0</v>
      </c>
      <c r="O248" s="75">
        <v>0</v>
      </c>
      <c r="P248" s="6">
        <v>162</v>
      </c>
      <c r="Q248" s="4" t="s">
        <v>26</v>
      </c>
      <c r="R248" s="4">
        <v>0</v>
      </c>
      <c r="S248" s="4">
        <v>18</v>
      </c>
      <c r="T248" s="4">
        <v>0</v>
      </c>
      <c r="U248" s="4">
        <v>0</v>
      </c>
      <c r="V248" s="75">
        <f>IF(ISERROR(VLOOKUP($S$248,'TAR FIN'!$A$1:$O$93,15,0)),0,VLOOKUP($S$248,'TAR FIN'!$A$1:$O$93,15,0))*(1-0.04)</f>
        <v>25.123200000000001</v>
      </c>
      <c r="W248" s="75">
        <f>IF(ISERROR(VLOOKUP($T$248,'TAR FIN'!$A$1:$O$93,15,0)),0,VLOOKUP($T$248,'TAR FIN'!$A$1:$O$93,15,0))</f>
        <v>0</v>
      </c>
      <c r="X248" s="75">
        <f>IF(ISERROR(VLOOKUP($U$248,'TAR FIN'!$A$1:$O$93,15,0)),0,VLOOKUP($U$248,'TAR FIN'!$A$1:$O$93,15,0))</f>
        <v>0</v>
      </c>
      <c r="Y248" s="75">
        <f ca="1">('TUSD BE'!$AM$14+'TUSD BF'!$AM$14+'TUSD CVA'!$AM$14)*1*(1-0.02)</f>
        <v>29.844412718026739</v>
      </c>
      <c r="Z248" s="75"/>
      <c r="AA248" s="75"/>
      <c r="AB248" s="75">
        <f>(SUBSIDIO!$J$248*SUBSIDIO!$V$248)*(0.04)/(1-0.04)</f>
        <v>47185.556800000006</v>
      </c>
      <c r="AC248" s="75">
        <f>((SUBSIDIO!$L$248*SUBSIDIO!$W$248)+(SUBSIDIO!$N$248*SUBSIDIO!$X$248))*(0.04)/(1-0.04)</f>
        <v>0</v>
      </c>
      <c r="AD248" s="75">
        <f ca="1">(SUBSIDIO!$J$248*SUBSIDIO!$Y$248)*(0.02)/(1-0.02)</f>
        <v>27454.423421995376</v>
      </c>
      <c r="AE248" s="75">
        <f>((SUBSIDIO!$L$248*SUBSIDIO!$Z$248)+(SUBSIDIO!$N$248*SUBSIDIO!$AA$248))*(0.02)/(1-0.02)</f>
        <v>0</v>
      </c>
      <c r="AF248" s="4" t="s">
        <v>638</v>
      </c>
    </row>
    <row r="249" spans="1:32" ht="11.25" customHeight="1" x14ac:dyDescent="0.25">
      <c r="A249" s="4" t="s">
        <v>28</v>
      </c>
      <c r="B249" s="4" t="s">
        <v>35</v>
      </c>
      <c r="C249" s="4" t="s">
        <v>39</v>
      </c>
      <c r="D249" s="4" t="s">
        <v>42</v>
      </c>
      <c r="E249" s="4" t="s">
        <v>50</v>
      </c>
      <c r="F249" s="4" t="s">
        <v>25</v>
      </c>
      <c r="G249" s="4" t="s">
        <v>25</v>
      </c>
      <c r="H249" s="4" t="s">
        <v>25</v>
      </c>
      <c r="I249" s="5">
        <v>44562</v>
      </c>
      <c r="J249" s="6">
        <v>1394</v>
      </c>
      <c r="K249" s="75">
        <v>1394</v>
      </c>
      <c r="L249" s="6">
        <v>0</v>
      </c>
      <c r="M249" s="75">
        <v>0</v>
      </c>
      <c r="N249" s="6">
        <v>0</v>
      </c>
      <c r="O249" s="75">
        <v>0</v>
      </c>
      <c r="P249" s="6">
        <v>5</v>
      </c>
      <c r="Q249" s="4" t="s">
        <v>26</v>
      </c>
      <c r="R249" s="4">
        <v>0</v>
      </c>
      <c r="S249" s="4">
        <v>18</v>
      </c>
      <c r="T249" s="4">
        <v>0</v>
      </c>
      <c r="U249" s="4">
        <v>0</v>
      </c>
      <c r="V249" s="75">
        <f>IF(ISERROR(VLOOKUP($S$249,'TAR FIN'!$A$1:$O$93,15,0)),0,VLOOKUP($S$249,'TAR FIN'!$A$1:$O$93,15,0))*(1-0.04)</f>
        <v>25.123200000000001</v>
      </c>
      <c r="W249" s="75">
        <f>IF(ISERROR(VLOOKUP($T$249,'TAR FIN'!$A$1:$O$93,15,0)),0,VLOOKUP($T$249,'TAR FIN'!$A$1:$O$93,15,0))</f>
        <v>0</v>
      </c>
      <c r="X249" s="75">
        <f>IF(ISERROR(VLOOKUP($U$249,'TAR FIN'!$A$1:$O$93,15,0)),0,VLOOKUP($U$249,'TAR FIN'!$A$1:$O$93,15,0))</f>
        <v>0</v>
      </c>
      <c r="Y249" s="75">
        <f ca="1">('TUSD BE'!$AM$14+'TUSD BF'!$AM$14+'TUSD CVA'!$AM$14)*1*(1-0.02)</f>
        <v>29.844412718026739</v>
      </c>
      <c r="Z249" s="75"/>
      <c r="AA249" s="75"/>
      <c r="AB249" s="75">
        <f>(SUBSIDIO!$J$249*SUBSIDIO!$V$249)*(0.04)/(1-0.04)</f>
        <v>1459.2392</v>
      </c>
      <c r="AC249" s="75">
        <f>((SUBSIDIO!$L$249*SUBSIDIO!$W$249)+(SUBSIDIO!$N$249*SUBSIDIO!$X$249))*(0.04)/(1-0.04)</f>
        <v>0</v>
      </c>
      <c r="AD249" s="75">
        <f ca="1">(SUBSIDIO!$J$249*SUBSIDIO!$Y$249)*(0.02)/(1-0.02)</f>
        <v>849.04308834549545</v>
      </c>
      <c r="AE249" s="75">
        <f>((SUBSIDIO!$L$249*SUBSIDIO!$Z$249)+(SUBSIDIO!$N$249*SUBSIDIO!$AA$249))*(0.02)/(1-0.02)</f>
        <v>0</v>
      </c>
      <c r="AF249" s="4" t="s">
        <v>638</v>
      </c>
    </row>
    <row r="250" spans="1:32" ht="11.25" customHeight="1" x14ac:dyDescent="0.25">
      <c r="A250" s="4" t="s">
        <v>21</v>
      </c>
      <c r="B250" s="4" t="s">
        <v>35</v>
      </c>
      <c r="C250" s="4" t="s">
        <v>39</v>
      </c>
      <c r="D250" s="4" t="s">
        <v>42</v>
      </c>
      <c r="E250" s="4" t="s">
        <v>50</v>
      </c>
      <c r="F250" s="4" t="s">
        <v>25</v>
      </c>
      <c r="G250" s="4" t="s">
        <v>25</v>
      </c>
      <c r="H250" s="4" t="s">
        <v>25</v>
      </c>
      <c r="I250" s="5">
        <v>44593</v>
      </c>
      <c r="J250" s="6">
        <v>44486</v>
      </c>
      <c r="K250" s="75">
        <v>44486</v>
      </c>
      <c r="L250" s="6">
        <v>0</v>
      </c>
      <c r="M250" s="75">
        <v>0</v>
      </c>
      <c r="N250" s="6">
        <v>0</v>
      </c>
      <c r="O250" s="75">
        <v>0</v>
      </c>
      <c r="P250" s="6">
        <v>170</v>
      </c>
      <c r="Q250" s="4" t="s">
        <v>26</v>
      </c>
      <c r="R250" s="4">
        <v>0</v>
      </c>
      <c r="S250" s="4">
        <v>18</v>
      </c>
      <c r="T250" s="4">
        <v>0</v>
      </c>
      <c r="U250" s="4">
        <v>0</v>
      </c>
      <c r="V250" s="75">
        <f>IF(ISERROR(VLOOKUP($S$250,'TAR FIN'!$A$1:$O$93,15,0)),0,VLOOKUP($S$250,'TAR FIN'!$A$1:$O$93,15,0))*(1-0.04)</f>
        <v>25.123200000000001</v>
      </c>
      <c r="W250" s="75">
        <f>IF(ISERROR(VLOOKUP($T$250,'TAR FIN'!$A$1:$O$93,15,0)),0,VLOOKUP($T$250,'TAR FIN'!$A$1:$O$93,15,0))</f>
        <v>0</v>
      </c>
      <c r="X250" s="75">
        <f>IF(ISERROR(VLOOKUP($U$250,'TAR FIN'!$A$1:$O$93,15,0)),0,VLOOKUP($U$250,'TAR FIN'!$A$1:$O$93,15,0))</f>
        <v>0</v>
      </c>
      <c r="Y250" s="75">
        <f ca="1">('TUSD BE'!$AM$14+'TUSD BF'!$AM$14+'TUSD CVA'!$AM$14)*1*(1-0.02)</f>
        <v>29.844412718026739</v>
      </c>
      <c r="Z250" s="75"/>
      <c r="AA250" s="75"/>
      <c r="AB250" s="75">
        <f>(SUBSIDIO!$J$250*SUBSIDIO!$V$250)*(0.04)/(1-0.04)</f>
        <v>46567.944800000005</v>
      </c>
      <c r="AC250" s="75">
        <f>((SUBSIDIO!$L$250*SUBSIDIO!$W$250)+(SUBSIDIO!$N$250*SUBSIDIO!$X$250))*(0.04)/(1-0.04)</f>
        <v>0</v>
      </c>
      <c r="AD250" s="75">
        <f ca="1">(SUBSIDIO!$J$250*SUBSIDIO!$Y$250)*(0.02)/(1-0.02)</f>
        <v>27095.07233008444</v>
      </c>
      <c r="AE250" s="75">
        <f>((SUBSIDIO!$L$250*SUBSIDIO!$Z$250)+(SUBSIDIO!$N$250*SUBSIDIO!$AA$250))*(0.02)/(1-0.02)</f>
        <v>0</v>
      </c>
      <c r="AF250" s="4" t="s">
        <v>638</v>
      </c>
    </row>
    <row r="251" spans="1:32" ht="11.25" customHeight="1" x14ac:dyDescent="0.25">
      <c r="A251" s="4" t="s">
        <v>27</v>
      </c>
      <c r="B251" s="4" t="s">
        <v>35</v>
      </c>
      <c r="C251" s="4" t="s">
        <v>39</v>
      </c>
      <c r="D251" s="4" t="s">
        <v>42</v>
      </c>
      <c r="E251" s="4" t="s">
        <v>50</v>
      </c>
      <c r="F251" s="4" t="s">
        <v>25</v>
      </c>
      <c r="G251" s="4" t="s">
        <v>25</v>
      </c>
      <c r="H251" s="4" t="s">
        <v>25</v>
      </c>
      <c r="I251" s="5">
        <v>44593</v>
      </c>
      <c r="J251" s="6">
        <v>-431</v>
      </c>
      <c r="K251" s="75">
        <v>-431</v>
      </c>
      <c r="L251" s="6">
        <v>0</v>
      </c>
      <c r="M251" s="75">
        <v>0</v>
      </c>
      <c r="N251" s="6">
        <v>0</v>
      </c>
      <c r="O251" s="75">
        <v>0</v>
      </c>
      <c r="P251" s="6">
        <v>-3</v>
      </c>
      <c r="Q251" s="4" t="s">
        <v>26</v>
      </c>
      <c r="R251" s="4">
        <v>0</v>
      </c>
      <c r="S251" s="4">
        <v>18</v>
      </c>
      <c r="T251" s="4">
        <v>0</v>
      </c>
      <c r="U251" s="4">
        <v>0</v>
      </c>
      <c r="V251" s="75">
        <f>IF(ISERROR(VLOOKUP($S$251,'TAR FIN'!$A$1:$O$93,15,0)),0,VLOOKUP($S$251,'TAR FIN'!$A$1:$O$93,15,0))*(1-0.04)</f>
        <v>25.123200000000001</v>
      </c>
      <c r="W251" s="75">
        <f>IF(ISERROR(VLOOKUP($T$251,'TAR FIN'!$A$1:$O$93,15,0)),0,VLOOKUP($T$251,'TAR FIN'!$A$1:$O$93,15,0))</f>
        <v>0</v>
      </c>
      <c r="X251" s="75">
        <f>IF(ISERROR(VLOOKUP($U$251,'TAR FIN'!$A$1:$O$93,15,0)),0,VLOOKUP($U$251,'TAR FIN'!$A$1:$O$93,15,0))</f>
        <v>0</v>
      </c>
      <c r="Y251" s="75">
        <f ca="1">('TUSD BE'!$AM$14+'TUSD BF'!$AM$14+'TUSD CVA'!$AM$14)*1*(1-0.02)</f>
        <v>29.844412718026739</v>
      </c>
      <c r="Z251" s="75"/>
      <c r="AA251" s="75"/>
      <c r="AB251" s="75">
        <f>(SUBSIDIO!$J$251*SUBSIDIO!$V$251)*(0.04)/(1-0.04)</f>
        <v>-451.17080000000004</v>
      </c>
      <c r="AC251" s="75">
        <f>((SUBSIDIO!$L$251*SUBSIDIO!$W$251)+(SUBSIDIO!$N$251*SUBSIDIO!$X$251))*(0.04)/(1-0.04)</f>
        <v>0</v>
      </c>
      <c r="AD251" s="75">
        <f ca="1">(SUBSIDIO!$J$251*SUBSIDIO!$Y$251)*(0.02)/(1-0.02)</f>
        <v>-262.50901798917397</v>
      </c>
      <c r="AE251" s="75">
        <f>((SUBSIDIO!$L$251*SUBSIDIO!$Z$251)+(SUBSIDIO!$N$251*SUBSIDIO!$AA$251))*(0.02)/(1-0.02)</f>
        <v>0</v>
      </c>
      <c r="AF251" s="4" t="s">
        <v>638</v>
      </c>
    </row>
    <row r="252" spans="1:32" ht="11.25" customHeight="1" x14ac:dyDescent="0.25">
      <c r="A252" s="4" t="s">
        <v>28</v>
      </c>
      <c r="B252" s="4" t="s">
        <v>35</v>
      </c>
      <c r="C252" s="4" t="s">
        <v>39</v>
      </c>
      <c r="D252" s="4" t="s">
        <v>42</v>
      </c>
      <c r="E252" s="4" t="s">
        <v>50</v>
      </c>
      <c r="F252" s="4" t="s">
        <v>25</v>
      </c>
      <c r="G252" s="4" t="s">
        <v>25</v>
      </c>
      <c r="H252" s="4" t="s">
        <v>25</v>
      </c>
      <c r="I252" s="5">
        <v>44593</v>
      </c>
      <c r="J252" s="6">
        <v>1582</v>
      </c>
      <c r="K252" s="75">
        <v>1582</v>
      </c>
      <c r="L252" s="6">
        <v>0</v>
      </c>
      <c r="M252" s="75">
        <v>0</v>
      </c>
      <c r="N252" s="6">
        <v>0</v>
      </c>
      <c r="O252" s="75">
        <v>0</v>
      </c>
      <c r="P252" s="6">
        <v>6</v>
      </c>
      <c r="Q252" s="4" t="s">
        <v>26</v>
      </c>
      <c r="R252" s="4">
        <v>0</v>
      </c>
      <c r="S252" s="4">
        <v>18</v>
      </c>
      <c r="T252" s="4">
        <v>0</v>
      </c>
      <c r="U252" s="4">
        <v>0</v>
      </c>
      <c r="V252" s="75">
        <f>IF(ISERROR(VLOOKUP($S$252,'TAR FIN'!$A$1:$O$93,15,0)),0,VLOOKUP($S$252,'TAR FIN'!$A$1:$O$93,15,0))*(1-0.04)</f>
        <v>25.123200000000001</v>
      </c>
      <c r="W252" s="75">
        <f>IF(ISERROR(VLOOKUP($T$252,'TAR FIN'!$A$1:$O$93,15,0)),0,VLOOKUP($T$252,'TAR FIN'!$A$1:$O$93,15,0))</f>
        <v>0</v>
      </c>
      <c r="X252" s="75">
        <f>IF(ISERROR(VLOOKUP($U$252,'TAR FIN'!$A$1:$O$93,15,0)),0,VLOOKUP($U$252,'TAR FIN'!$A$1:$O$93,15,0))</f>
        <v>0</v>
      </c>
      <c r="Y252" s="75">
        <f ca="1">('TUSD BE'!$AM$14+'TUSD BF'!$AM$14+'TUSD CVA'!$AM$14)*1*(1-0.02)</f>
        <v>29.844412718026739</v>
      </c>
      <c r="Z252" s="75"/>
      <c r="AA252" s="75"/>
      <c r="AB252" s="75">
        <f>(SUBSIDIO!$J$252*SUBSIDIO!$V$252)*(0.04)/(1-0.04)</f>
        <v>1656.0376000000001</v>
      </c>
      <c r="AC252" s="75">
        <f>((SUBSIDIO!$L$252*SUBSIDIO!$W$252)+(SUBSIDIO!$N$252*SUBSIDIO!$X$252))*(0.04)/(1-0.04)</f>
        <v>0</v>
      </c>
      <c r="AD252" s="75">
        <f ca="1">(SUBSIDIO!$J$252*SUBSIDIO!$Y$252)*(0.02)/(1-0.02)</f>
        <v>963.54818203914897</v>
      </c>
      <c r="AE252" s="75">
        <f>((SUBSIDIO!$L$252*SUBSIDIO!$Z$252)+(SUBSIDIO!$N$252*SUBSIDIO!$AA$252))*(0.02)/(1-0.02)</f>
        <v>0</v>
      </c>
      <c r="AF252" s="4" t="s">
        <v>638</v>
      </c>
    </row>
    <row r="253" spans="1:32" ht="11.25" customHeight="1" x14ac:dyDescent="0.25">
      <c r="A253" s="4" t="s">
        <v>21</v>
      </c>
      <c r="B253" s="4" t="s">
        <v>35</v>
      </c>
      <c r="C253" s="4" t="s">
        <v>39</v>
      </c>
      <c r="D253" s="4" t="s">
        <v>42</v>
      </c>
      <c r="E253" s="4" t="s">
        <v>50</v>
      </c>
      <c r="F253" s="4" t="s">
        <v>25</v>
      </c>
      <c r="G253" s="4" t="s">
        <v>25</v>
      </c>
      <c r="H253" s="4" t="s">
        <v>25</v>
      </c>
      <c r="I253" s="5">
        <v>44621</v>
      </c>
      <c r="J253" s="6">
        <v>42453</v>
      </c>
      <c r="K253" s="75">
        <v>42453</v>
      </c>
      <c r="L253" s="6">
        <v>0</v>
      </c>
      <c r="M253" s="75">
        <v>0</v>
      </c>
      <c r="N253" s="6">
        <v>0</v>
      </c>
      <c r="O253" s="75">
        <v>0</v>
      </c>
      <c r="P253" s="6">
        <v>171</v>
      </c>
      <c r="Q253" s="4" t="s">
        <v>26</v>
      </c>
      <c r="R253" s="4">
        <v>0</v>
      </c>
      <c r="S253" s="4">
        <v>18</v>
      </c>
      <c r="T253" s="4">
        <v>0</v>
      </c>
      <c r="U253" s="4">
        <v>0</v>
      </c>
      <c r="V253" s="75">
        <f>IF(ISERROR(VLOOKUP($S$253,'TAR FIN'!$A$1:$O$93,15,0)),0,VLOOKUP($S$253,'TAR FIN'!$A$1:$O$93,15,0))*(1-0.04)</f>
        <v>25.123200000000001</v>
      </c>
      <c r="W253" s="75">
        <f>IF(ISERROR(VLOOKUP($T$253,'TAR FIN'!$A$1:$O$93,15,0)),0,VLOOKUP($T$253,'TAR FIN'!$A$1:$O$93,15,0))</f>
        <v>0</v>
      </c>
      <c r="X253" s="75">
        <f>IF(ISERROR(VLOOKUP($U$253,'TAR FIN'!$A$1:$O$93,15,0)),0,VLOOKUP($U$253,'TAR FIN'!$A$1:$O$93,15,0))</f>
        <v>0</v>
      </c>
      <c r="Y253" s="75">
        <f ca="1">('TUSD BE'!$AM$14+'TUSD BF'!$AM$14+'TUSD CVA'!$AM$14)*1*(1-0.02)</f>
        <v>29.844412718026739</v>
      </c>
      <c r="Z253" s="75"/>
      <c r="AA253" s="75"/>
      <c r="AB253" s="75">
        <f>(SUBSIDIO!$J$253*SUBSIDIO!$V$253)*(0.04)/(1-0.04)</f>
        <v>44439.8004</v>
      </c>
      <c r="AC253" s="75">
        <f>((SUBSIDIO!$L$253*SUBSIDIO!$W$253)+(SUBSIDIO!$N$253*SUBSIDIO!$X$253))*(0.04)/(1-0.04)</f>
        <v>0</v>
      </c>
      <c r="AD253" s="75">
        <f ca="1">(SUBSIDIO!$J$253*SUBSIDIO!$Y$253)*(0.02)/(1-0.02)</f>
        <v>25856.833737109984</v>
      </c>
      <c r="AE253" s="75">
        <f>((SUBSIDIO!$L$253*SUBSIDIO!$Z$253)+(SUBSIDIO!$N$253*SUBSIDIO!$AA$253))*(0.02)/(1-0.02)</f>
        <v>0</v>
      </c>
      <c r="AF253" s="4" t="s">
        <v>638</v>
      </c>
    </row>
    <row r="254" spans="1:32" ht="11.25" customHeight="1" x14ac:dyDescent="0.25">
      <c r="A254" s="4" t="s">
        <v>27</v>
      </c>
      <c r="B254" s="4" t="s">
        <v>35</v>
      </c>
      <c r="C254" s="4" t="s">
        <v>39</v>
      </c>
      <c r="D254" s="4" t="s">
        <v>42</v>
      </c>
      <c r="E254" s="4" t="s">
        <v>50</v>
      </c>
      <c r="F254" s="4" t="s">
        <v>25</v>
      </c>
      <c r="G254" s="4" t="s">
        <v>25</v>
      </c>
      <c r="H254" s="4" t="s">
        <v>25</v>
      </c>
      <c r="I254" s="5">
        <v>44621</v>
      </c>
      <c r="J254" s="6">
        <v>-1086</v>
      </c>
      <c r="K254" s="75">
        <v>-1086</v>
      </c>
      <c r="L254" s="6">
        <v>0</v>
      </c>
      <c r="M254" s="75">
        <v>0</v>
      </c>
      <c r="N254" s="6">
        <v>0</v>
      </c>
      <c r="O254" s="75">
        <v>0</v>
      </c>
      <c r="P254" s="6">
        <v>-4</v>
      </c>
      <c r="Q254" s="4" t="s">
        <v>26</v>
      </c>
      <c r="R254" s="4">
        <v>0</v>
      </c>
      <c r="S254" s="4">
        <v>18</v>
      </c>
      <c r="T254" s="4">
        <v>0</v>
      </c>
      <c r="U254" s="4">
        <v>0</v>
      </c>
      <c r="V254" s="75">
        <f>IF(ISERROR(VLOOKUP($S$254,'TAR FIN'!$A$1:$O$93,15,0)),0,VLOOKUP($S$254,'TAR FIN'!$A$1:$O$93,15,0))*(1-0.04)</f>
        <v>25.123200000000001</v>
      </c>
      <c r="W254" s="75">
        <f>IF(ISERROR(VLOOKUP($T$254,'TAR FIN'!$A$1:$O$93,15,0)),0,VLOOKUP($T$254,'TAR FIN'!$A$1:$O$93,15,0))</f>
        <v>0</v>
      </c>
      <c r="X254" s="75">
        <f>IF(ISERROR(VLOOKUP($U$254,'TAR FIN'!$A$1:$O$93,15,0)),0,VLOOKUP($U$254,'TAR FIN'!$A$1:$O$93,15,0))</f>
        <v>0</v>
      </c>
      <c r="Y254" s="75">
        <f ca="1">('TUSD BE'!$AM$14+'TUSD BF'!$AM$14+'TUSD CVA'!$AM$14)*1*(1-0.02)</f>
        <v>29.844412718026739</v>
      </c>
      <c r="Z254" s="75"/>
      <c r="AA254" s="75"/>
      <c r="AB254" s="75">
        <f>(SUBSIDIO!$J$254*SUBSIDIO!$V$254)*(0.04)/(1-0.04)</f>
        <v>-1136.8248000000001</v>
      </c>
      <c r="AC254" s="75">
        <f>((SUBSIDIO!$L$254*SUBSIDIO!$W$254)+(SUBSIDIO!$N$254*SUBSIDIO!$X$254))*(0.04)/(1-0.04)</f>
        <v>0</v>
      </c>
      <c r="AD254" s="75">
        <f ca="1">(SUBSIDIO!$J$254*SUBSIDIO!$Y$254)*(0.02)/(1-0.02)</f>
        <v>-661.4496369750417</v>
      </c>
      <c r="AE254" s="75">
        <f>((SUBSIDIO!$L$254*SUBSIDIO!$Z$254)+(SUBSIDIO!$N$254*SUBSIDIO!$AA$254))*(0.02)/(1-0.02)</f>
        <v>0</v>
      </c>
      <c r="AF254" s="4" t="s">
        <v>638</v>
      </c>
    </row>
    <row r="255" spans="1:32" ht="11.25" customHeight="1" x14ac:dyDescent="0.25">
      <c r="A255" s="4" t="s">
        <v>28</v>
      </c>
      <c r="B255" s="4" t="s">
        <v>35</v>
      </c>
      <c r="C255" s="4" t="s">
        <v>39</v>
      </c>
      <c r="D255" s="4" t="s">
        <v>42</v>
      </c>
      <c r="E255" s="4" t="s">
        <v>50</v>
      </c>
      <c r="F255" s="4" t="s">
        <v>25</v>
      </c>
      <c r="G255" s="4" t="s">
        <v>25</v>
      </c>
      <c r="H255" s="4" t="s">
        <v>25</v>
      </c>
      <c r="I255" s="5">
        <v>44621</v>
      </c>
      <c r="J255" s="6">
        <v>1803</v>
      </c>
      <c r="K255" s="75">
        <v>1803</v>
      </c>
      <c r="L255" s="6">
        <v>0</v>
      </c>
      <c r="M255" s="75">
        <v>0</v>
      </c>
      <c r="N255" s="6">
        <v>0</v>
      </c>
      <c r="O255" s="75">
        <v>0</v>
      </c>
      <c r="P255" s="6">
        <v>7</v>
      </c>
      <c r="Q255" s="4" t="s">
        <v>26</v>
      </c>
      <c r="R255" s="4">
        <v>0</v>
      </c>
      <c r="S255" s="4">
        <v>18</v>
      </c>
      <c r="T255" s="4">
        <v>0</v>
      </c>
      <c r="U255" s="4">
        <v>0</v>
      </c>
      <c r="V255" s="75">
        <f>IF(ISERROR(VLOOKUP($S$255,'TAR FIN'!$A$1:$O$93,15,0)),0,VLOOKUP($S$255,'TAR FIN'!$A$1:$O$93,15,0))*(1-0.04)</f>
        <v>25.123200000000001</v>
      </c>
      <c r="W255" s="75">
        <f>IF(ISERROR(VLOOKUP($T$255,'TAR FIN'!$A$1:$O$93,15,0)),0,VLOOKUP($T$255,'TAR FIN'!$A$1:$O$93,15,0))</f>
        <v>0</v>
      </c>
      <c r="X255" s="75">
        <f>IF(ISERROR(VLOOKUP($U$255,'TAR FIN'!$A$1:$O$93,15,0)),0,VLOOKUP($U$255,'TAR FIN'!$A$1:$O$93,15,0))</f>
        <v>0</v>
      </c>
      <c r="Y255" s="75">
        <f ca="1">('TUSD BE'!$AM$14+'TUSD BF'!$AM$14+'TUSD CVA'!$AM$14)*1*(1-0.02)</f>
        <v>29.844412718026739</v>
      </c>
      <c r="Z255" s="75"/>
      <c r="AA255" s="75"/>
      <c r="AB255" s="75">
        <f>(SUBSIDIO!$J$255*SUBSIDIO!$V$255)*(0.04)/(1-0.04)</f>
        <v>1887.3804</v>
      </c>
      <c r="AC255" s="75">
        <f>((SUBSIDIO!$L$255*SUBSIDIO!$W$255)+(SUBSIDIO!$N$255*SUBSIDIO!$X$255))*(0.04)/(1-0.04)</f>
        <v>0</v>
      </c>
      <c r="AD255" s="75">
        <f ca="1">(SUBSIDIO!$J$255*SUBSIDIO!$Y$255)*(0.02)/(1-0.02)</f>
        <v>1098.1525740939228</v>
      </c>
      <c r="AE255" s="75">
        <f>((SUBSIDIO!$L$255*SUBSIDIO!$Z$255)+(SUBSIDIO!$N$255*SUBSIDIO!$AA$255))*(0.02)/(1-0.02)</f>
        <v>0</v>
      </c>
      <c r="AF255" s="4" t="s">
        <v>638</v>
      </c>
    </row>
    <row r="256" spans="1:32" ht="11.25" customHeight="1" x14ac:dyDescent="0.25">
      <c r="A256" s="4" t="s">
        <v>21</v>
      </c>
      <c r="B256" s="4" t="s">
        <v>35</v>
      </c>
      <c r="C256" s="4" t="s">
        <v>39</v>
      </c>
      <c r="D256" s="4" t="s">
        <v>42</v>
      </c>
      <c r="E256" s="4" t="s">
        <v>50</v>
      </c>
      <c r="F256" s="4" t="s">
        <v>25</v>
      </c>
      <c r="G256" s="4" t="s">
        <v>25</v>
      </c>
      <c r="H256" s="4" t="s">
        <v>25</v>
      </c>
      <c r="I256" s="5">
        <v>44652</v>
      </c>
      <c r="J256" s="6">
        <v>28500</v>
      </c>
      <c r="K256" s="75">
        <v>28500</v>
      </c>
      <c r="L256" s="6">
        <v>0</v>
      </c>
      <c r="M256" s="75">
        <v>0</v>
      </c>
      <c r="N256" s="6">
        <v>0</v>
      </c>
      <c r="O256" s="75">
        <v>0</v>
      </c>
      <c r="P256" s="6">
        <v>171</v>
      </c>
      <c r="Q256" s="4" t="s">
        <v>26</v>
      </c>
      <c r="R256" s="4">
        <v>0</v>
      </c>
      <c r="S256" s="4">
        <v>18</v>
      </c>
      <c r="T256" s="4">
        <v>0</v>
      </c>
      <c r="U256" s="4">
        <v>0</v>
      </c>
      <c r="V256" s="75">
        <f>IF(ISERROR(VLOOKUP($S$256,'TAR FIN'!$A$1:$O$93,15,0)),0,VLOOKUP($S$256,'TAR FIN'!$A$1:$O$93,15,0))*(1-0.04)</f>
        <v>25.123200000000001</v>
      </c>
      <c r="W256" s="75">
        <f>IF(ISERROR(VLOOKUP($T$256,'TAR FIN'!$A$1:$O$93,15,0)),0,VLOOKUP($T$256,'TAR FIN'!$A$1:$O$93,15,0))</f>
        <v>0</v>
      </c>
      <c r="X256" s="75">
        <f>IF(ISERROR(VLOOKUP($U$256,'TAR FIN'!$A$1:$O$93,15,0)),0,VLOOKUP($U$256,'TAR FIN'!$A$1:$O$93,15,0))</f>
        <v>0</v>
      </c>
      <c r="Y256" s="75">
        <f ca="1">('TUSD BE'!$AM$14+'TUSD BF'!$AM$14+'TUSD CVA'!$AM$14)*1*(1-0.02)</f>
        <v>29.844412718026739</v>
      </c>
      <c r="Z256" s="75"/>
      <c r="AA256" s="75"/>
      <c r="AB256" s="75">
        <f>(SUBSIDIO!$J$256*SUBSIDIO!$V$256)*(0.04)/(1-0.04)</f>
        <v>29833.800000000007</v>
      </c>
      <c r="AC256" s="75">
        <f>((SUBSIDIO!$L$256*SUBSIDIO!$W$256)+(SUBSIDIO!$N$256*SUBSIDIO!$X$256))*(0.04)/(1-0.04)</f>
        <v>0</v>
      </c>
      <c r="AD256" s="75">
        <f ca="1">(SUBSIDIO!$J$256*SUBSIDIO!$Y$256)*(0.02)/(1-0.02)</f>
        <v>17358.484948240042</v>
      </c>
      <c r="AE256" s="75">
        <f>((SUBSIDIO!$L$256*SUBSIDIO!$Z$256)+(SUBSIDIO!$N$256*SUBSIDIO!$AA$256))*(0.02)/(1-0.02)</f>
        <v>0</v>
      </c>
      <c r="AF256" s="4" t="s">
        <v>638</v>
      </c>
    </row>
    <row r="257" spans="1:32" ht="11.25" customHeight="1" x14ac:dyDescent="0.25">
      <c r="A257" s="4" t="s">
        <v>27</v>
      </c>
      <c r="B257" s="4" t="s">
        <v>35</v>
      </c>
      <c r="C257" s="4" t="s">
        <v>39</v>
      </c>
      <c r="D257" s="4" t="s">
        <v>42</v>
      </c>
      <c r="E257" s="4" t="s">
        <v>50</v>
      </c>
      <c r="F257" s="4" t="s">
        <v>25</v>
      </c>
      <c r="G257" s="4" t="s">
        <v>25</v>
      </c>
      <c r="H257" s="4" t="s">
        <v>25</v>
      </c>
      <c r="I257" s="5">
        <v>44652</v>
      </c>
      <c r="J257" s="6">
        <v>-1819</v>
      </c>
      <c r="K257" s="75">
        <v>-1819</v>
      </c>
      <c r="L257" s="6">
        <v>0</v>
      </c>
      <c r="M257" s="75">
        <v>0</v>
      </c>
      <c r="N257" s="6">
        <v>0</v>
      </c>
      <c r="O257" s="75">
        <v>0</v>
      </c>
      <c r="P257" s="6">
        <v>-2</v>
      </c>
      <c r="Q257" s="4" t="s">
        <v>26</v>
      </c>
      <c r="R257" s="4">
        <v>0</v>
      </c>
      <c r="S257" s="4">
        <v>18</v>
      </c>
      <c r="T257" s="4">
        <v>0</v>
      </c>
      <c r="U257" s="4">
        <v>0</v>
      </c>
      <c r="V257" s="75">
        <f>IF(ISERROR(VLOOKUP($S$257,'TAR FIN'!$A$1:$O$93,15,0)),0,VLOOKUP($S$257,'TAR FIN'!$A$1:$O$93,15,0))*(1-0.04)</f>
        <v>25.123200000000001</v>
      </c>
      <c r="W257" s="75">
        <f>IF(ISERROR(VLOOKUP($T$257,'TAR FIN'!$A$1:$O$93,15,0)),0,VLOOKUP($T$257,'TAR FIN'!$A$1:$O$93,15,0))</f>
        <v>0</v>
      </c>
      <c r="X257" s="75">
        <f>IF(ISERROR(VLOOKUP($U$257,'TAR FIN'!$A$1:$O$93,15,0)),0,VLOOKUP($U$257,'TAR FIN'!$A$1:$O$93,15,0))</f>
        <v>0</v>
      </c>
      <c r="Y257" s="75">
        <f ca="1">('TUSD BE'!$AM$14+'TUSD BF'!$AM$14+'TUSD CVA'!$AM$14)*1*(1-0.02)</f>
        <v>29.844412718026739</v>
      </c>
      <c r="Z257" s="75"/>
      <c r="AA257" s="75"/>
      <c r="AB257" s="75">
        <f>(SUBSIDIO!$J$257*SUBSIDIO!$V$257)*(0.04)/(1-0.04)</f>
        <v>-1904.1292000000001</v>
      </c>
      <c r="AC257" s="75">
        <f>((SUBSIDIO!$L$257*SUBSIDIO!$W$257)+(SUBSIDIO!$N$257*SUBSIDIO!$X$257))*(0.04)/(1-0.04)</f>
        <v>0</v>
      </c>
      <c r="AD257" s="75">
        <f ca="1">(SUBSIDIO!$J$257*SUBSIDIO!$Y$257)*(0.02)/(1-0.02)</f>
        <v>-1107.8976884508293</v>
      </c>
      <c r="AE257" s="75">
        <f>((SUBSIDIO!$L$257*SUBSIDIO!$Z$257)+(SUBSIDIO!$N$257*SUBSIDIO!$AA$257))*(0.02)/(1-0.02)</f>
        <v>0</v>
      </c>
      <c r="AF257" s="4" t="s">
        <v>638</v>
      </c>
    </row>
    <row r="258" spans="1:32" ht="11.25" customHeight="1" x14ac:dyDescent="0.25">
      <c r="A258" s="4" t="s">
        <v>28</v>
      </c>
      <c r="B258" s="4" t="s">
        <v>35</v>
      </c>
      <c r="C258" s="4" t="s">
        <v>39</v>
      </c>
      <c r="D258" s="4" t="s">
        <v>42</v>
      </c>
      <c r="E258" s="4" t="s">
        <v>50</v>
      </c>
      <c r="F258" s="4" t="s">
        <v>25</v>
      </c>
      <c r="G258" s="4" t="s">
        <v>25</v>
      </c>
      <c r="H258" s="4" t="s">
        <v>25</v>
      </c>
      <c r="I258" s="5">
        <v>44652</v>
      </c>
      <c r="J258" s="6">
        <v>1711</v>
      </c>
      <c r="K258" s="75">
        <v>1711</v>
      </c>
      <c r="L258" s="6">
        <v>0</v>
      </c>
      <c r="M258" s="75">
        <v>0</v>
      </c>
      <c r="N258" s="6">
        <v>0</v>
      </c>
      <c r="O258" s="75">
        <v>0</v>
      </c>
      <c r="P258" s="6">
        <v>7</v>
      </c>
      <c r="Q258" s="4" t="s">
        <v>26</v>
      </c>
      <c r="R258" s="4">
        <v>0</v>
      </c>
      <c r="S258" s="4">
        <v>18</v>
      </c>
      <c r="T258" s="4">
        <v>0</v>
      </c>
      <c r="U258" s="4">
        <v>0</v>
      </c>
      <c r="V258" s="75">
        <f>IF(ISERROR(VLOOKUP($S$258,'TAR FIN'!$A$1:$O$93,15,0)),0,VLOOKUP($S$258,'TAR FIN'!$A$1:$O$93,15,0))*(1-0.04)</f>
        <v>25.123200000000001</v>
      </c>
      <c r="W258" s="75">
        <f>IF(ISERROR(VLOOKUP($T$258,'TAR FIN'!$A$1:$O$93,15,0)),0,VLOOKUP($T$258,'TAR FIN'!$A$1:$O$93,15,0))</f>
        <v>0</v>
      </c>
      <c r="X258" s="75">
        <f>IF(ISERROR(VLOOKUP($U$258,'TAR FIN'!$A$1:$O$93,15,0)),0,VLOOKUP($U$258,'TAR FIN'!$A$1:$O$93,15,0))</f>
        <v>0</v>
      </c>
      <c r="Y258" s="75">
        <f ca="1">('TUSD BE'!$AM$14+'TUSD BF'!$AM$14+'TUSD CVA'!$AM$14)*1*(1-0.02)</f>
        <v>29.844412718026739</v>
      </c>
      <c r="Z258" s="75"/>
      <c r="AA258" s="75"/>
      <c r="AB258" s="75">
        <f>(SUBSIDIO!$J$258*SUBSIDIO!$V$258)*(0.04)/(1-0.04)</f>
        <v>1791.0748000000001</v>
      </c>
      <c r="AC258" s="75">
        <f>((SUBSIDIO!$L$258*SUBSIDIO!$W$258)+(SUBSIDIO!$N$258*SUBSIDIO!$X$258))*(0.04)/(1-0.04)</f>
        <v>0</v>
      </c>
      <c r="AD258" s="75">
        <f ca="1">(SUBSIDIO!$J$258*SUBSIDIO!$Y$258)*(0.02)/(1-0.02)</f>
        <v>1042.1181665417093</v>
      </c>
      <c r="AE258" s="75">
        <f>((SUBSIDIO!$L$258*SUBSIDIO!$Z$258)+(SUBSIDIO!$N$258*SUBSIDIO!$AA$258))*(0.02)/(1-0.02)</f>
        <v>0</v>
      </c>
      <c r="AF258" s="4" t="s">
        <v>638</v>
      </c>
    </row>
    <row r="259" spans="1:32" ht="11.25" customHeight="1" x14ac:dyDescent="0.25">
      <c r="A259" s="4" t="s">
        <v>21</v>
      </c>
      <c r="B259" s="4" t="s">
        <v>35</v>
      </c>
      <c r="C259" s="4" t="s">
        <v>39</v>
      </c>
      <c r="D259" s="4" t="s">
        <v>42</v>
      </c>
      <c r="E259" s="4" t="s">
        <v>50</v>
      </c>
      <c r="F259" s="4" t="s">
        <v>25</v>
      </c>
      <c r="G259" s="4" t="s">
        <v>25</v>
      </c>
      <c r="H259" s="4" t="s">
        <v>25</v>
      </c>
      <c r="I259" s="5">
        <v>44682</v>
      </c>
      <c r="J259" s="6">
        <v>11500</v>
      </c>
      <c r="K259" s="75">
        <v>11500</v>
      </c>
      <c r="L259" s="6">
        <v>0</v>
      </c>
      <c r="M259" s="75">
        <v>0</v>
      </c>
      <c r="N259" s="6">
        <v>0</v>
      </c>
      <c r="O259" s="75">
        <v>0</v>
      </c>
      <c r="P259" s="6">
        <v>172</v>
      </c>
      <c r="Q259" s="4" t="s">
        <v>26</v>
      </c>
      <c r="R259" s="4">
        <v>0</v>
      </c>
      <c r="S259" s="4">
        <v>18</v>
      </c>
      <c r="T259" s="4">
        <v>0</v>
      </c>
      <c r="U259" s="4">
        <v>0</v>
      </c>
      <c r="V259" s="75">
        <f>IF(ISERROR(VLOOKUP($S$259,'TAR FIN'!$A$1:$O$93,15,0)),0,VLOOKUP($S$259,'TAR FIN'!$A$1:$O$93,15,0))*(1-0.04)</f>
        <v>25.123200000000001</v>
      </c>
      <c r="W259" s="75">
        <f>IF(ISERROR(VLOOKUP($T$259,'TAR FIN'!$A$1:$O$93,15,0)),0,VLOOKUP($T$259,'TAR FIN'!$A$1:$O$93,15,0))</f>
        <v>0</v>
      </c>
      <c r="X259" s="75">
        <f>IF(ISERROR(VLOOKUP($U$259,'TAR FIN'!$A$1:$O$93,15,0)),0,VLOOKUP($U$259,'TAR FIN'!$A$1:$O$93,15,0))</f>
        <v>0</v>
      </c>
      <c r="Y259" s="75">
        <f ca="1">('TUSD BE'!$AM$14+'TUSD BF'!$AM$14+'TUSD CVA'!$AM$14)*1*(1-0.02)</f>
        <v>29.844412718026739</v>
      </c>
      <c r="Z259" s="75"/>
      <c r="AA259" s="75"/>
      <c r="AB259" s="75">
        <f>(SUBSIDIO!$J$259*SUBSIDIO!$V$259)*(0.04)/(1-0.04)</f>
        <v>12038.2</v>
      </c>
      <c r="AC259" s="75">
        <f>((SUBSIDIO!$L$259*SUBSIDIO!$W$259)+(SUBSIDIO!$N$259*SUBSIDIO!$X$259))*(0.04)/(1-0.04)</f>
        <v>0</v>
      </c>
      <c r="AD259" s="75">
        <f ca="1">(SUBSIDIO!$J$259*SUBSIDIO!$Y$259)*(0.02)/(1-0.02)</f>
        <v>7004.3009440266833</v>
      </c>
      <c r="AE259" s="75">
        <f>((SUBSIDIO!$L$259*SUBSIDIO!$Z$259)+(SUBSIDIO!$N$259*SUBSIDIO!$AA$259))*(0.02)/(1-0.02)</f>
        <v>0</v>
      </c>
      <c r="AF259" s="4" t="s">
        <v>638</v>
      </c>
    </row>
    <row r="260" spans="1:32" ht="11.25" customHeight="1" x14ac:dyDescent="0.25">
      <c r="A260" s="4" t="s">
        <v>27</v>
      </c>
      <c r="B260" s="4" t="s">
        <v>35</v>
      </c>
      <c r="C260" s="4" t="s">
        <v>39</v>
      </c>
      <c r="D260" s="4" t="s">
        <v>42</v>
      </c>
      <c r="E260" s="4" t="s">
        <v>50</v>
      </c>
      <c r="F260" s="4" t="s">
        <v>25</v>
      </c>
      <c r="G260" s="4" t="s">
        <v>25</v>
      </c>
      <c r="H260" s="4" t="s">
        <v>25</v>
      </c>
      <c r="I260" s="5">
        <v>44682</v>
      </c>
      <c r="J260" s="6">
        <v>-803</v>
      </c>
      <c r="K260" s="75">
        <v>-803</v>
      </c>
      <c r="L260" s="6">
        <v>0</v>
      </c>
      <c r="M260" s="75">
        <v>0</v>
      </c>
      <c r="N260" s="6">
        <v>0</v>
      </c>
      <c r="O260" s="75">
        <v>0</v>
      </c>
      <c r="P260" s="6">
        <v>-3</v>
      </c>
      <c r="Q260" s="4" t="s">
        <v>26</v>
      </c>
      <c r="R260" s="4">
        <v>0</v>
      </c>
      <c r="S260" s="4">
        <v>18</v>
      </c>
      <c r="T260" s="4">
        <v>0</v>
      </c>
      <c r="U260" s="4">
        <v>0</v>
      </c>
      <c r="V260" s="75">
        <f>IF(ISERROR(VLOOKUP($S$260,'TAR FIN'!$A$1:$O$93,15,0)),0,VLOOKUP($S$260,'TAR FIN'!$A$1:$O$93,15,0))*(1-0.04)</f>
        <v>25.123200000000001</v>
      </c>
      <c r="W260" s="75">
        <f>IF(ISERROR(VLOOKUP($T$260,'TAR FIN'!$A$1:$O$93,15,0)),0,VLOOKUP($T$260,'TAR FIN'!$A$1:$O$93,15,0))</f>
        <v>0</v>
      </c>
      <c r="X260" s="75">
        <f>IF(ISERROR(VLOOKUP($U$260,'TAR FIN'!$A$1:$O$93,15,0)),0,VLOOKUP($U$260,'TAR FIN'!$A$1:$O$93,15,0))</f>
        <v>0</v>
      </c>
      <c r="Y260" s="75">
        <f ca="1">('TUSD BE'!$AM$14+'TUSD BF'!$AM$14+'TUSD CVA'!$AM$14)*1*(1-0.02)</f>
        <v>29.844412718026739</v>
      </c>
      <c r="Z260" s="75"/>
      <c r="AA260" s="75"/>
      <c r="AB260" s="75">
        <f>(SUBSIDIO!$J$260*SUBSIDIO!$V$260)*(0.04)/(1-0.04)</f>
        <v>-840.58040000000005</v>
      </c>
      <c r="AC260" s="75">
        <f>((SUBSIDIO!$L$260*SUBSIDIO!$W$260)+(SUBSIDIO!$N$260*SUBSIDIO!$X$260))*(0.04)/(1-0.04)</f>
        <v>0</v>
      </c>
      <c r="AD260" s="75">
        <f ca="1">(SUBSIDIO!$J$260*SUBSIDIO!$Y$260)*(0.02)/(1-0.02)</f>
        <v>-489.08292678725451</v>
      </c>
      <c r="AE260" s="75">
        <f>((SUBSIDIO!$L$260*SUBSIDIO!$Z$260)+(SUBSIDIO!$N$260*SUBSIDIO!$AA$260))*(0.02)/(1-0.02)</f>
        <v>0</v>
      </c>
      <c r="AF260" s="4" t="s">
        <v>638</v>
      </c>
    </row>
    <row r="261" spans="1:32" ht="11.25" customHeight="1" x14ac:dyDescent="0.25">
      <c r="A261" s="4" t="s">
        <v>28</v>
      </c>
      <c r="B261" s="4" t="s">
        <v>35</v>
      </c>
      <c r="C261" s="4" t="s">
        <v>39</v>
      </c>
      <c r="D261" s="4" t="s">
        <v>42</v>
      </c>
      <c r="E261" s="4" t="s">
        <v>50</v>
      </c>
      <c r="F261" s="4" t="s">
        <v>25</v>
      </c>
      <c r="G261" s="4" t="s">
        <v>25</v>
      </c>
      <c r="H261" s="4" t="s">
        <v>25</v>
      </c>
      <c r="I261" s="5">
        <v>44682</v>
      </c>
      <c r="J261" s="6">
        <v>1450</v>
      </c>
      <c r="K261" s="75">
        <v>1450</v>
      </c>
      <c r="L261" s="6">
        <v>0</v>
      </c>
      <c r="M261" s="75">
        <v>0</v>
      </c>
      <c r="N261" s="6">
        <v>0</v>
      </c>
      <c r="O261" s="75">
        <v>0</v>
      </c>
      <c r="P261" s="6">
        <v>7</v>
      </c>
      <c r="Q261" s="4" t="s">
        <v>26</v>
      </c>
      <c r="R261" s="4">
        <v>0</v>
      </c>
      <c r="S261" s="4">
        <v>18</v>
      </c>
      <c r="T261" s="4">
        <v>0</v>
      </c>
      <c r="U261" s="4">
        <v>0</v>
      </c>
      <c r="V261" s="75">
        <f>IF(ISERROR(VLOOKUP($S$261,'TAR FIN'!$A$1:$O$93,15,0)),0,VLOOKUP($S$261,'TAR FIN'!$A$1:$O$93,15,0))*(1-0.04)</f>
        <v>25.123200000000001</v>
      </c>
      <c r="W261" s="75">
        <f>IF(ISERROR(VLOOKUP($T$261,'TAR FIN'!$A$1:$O$93,15,0)),0,VLOOKUP($T$261,'TAR FIN'!$A$1:$O$93,15,0))</f>
        <v>0</v>
      </c>
      <c r="X261" s="75">
        <f>IF(ISERROR(VLOOKUP($U$261,'TAR FIN'!$A$1:$O$93,15,0)),0,VLOOKUP($U$261,'TAR FIN'!$A$1:$O$93,15,0))</f>
        <v>0</v>
      </c>
      <c r="Y261" s="75">
        <f ca="1">('TUSD BE'!$AM$14+'TUSD BF'!$AM$14+'TUSD CVA'!$AM$14)*1*(1-0.02)</f>
        <v>29.844412718026739</v>
      </c>
      <c r="Z261" s="75"/>
      <c r="AA261" s="75"/>
      <c r="AB261" s="75">
        <f>(SUBSIDIO!$J$261*SUBSIDIO!$V$261)*(0.04)/(1-0.04)</f>
        <v>1517.8600000000001</v>
      </c>
      <c r="AC261" s="75">
        <f>((SUBSIDIO!$L$261*SUBSIDIO!$W$261)+(SUBSIDIO!$N$261*SUBSIDIO!$X$261))*(0.04)/(1-0.04)</f>
        <v>0</v>
      </c>
      <c r="AD261" s="75">
        <f ca="1">(SUBSIDIO!$J$261*SUBSIDIO!$Y$261)*(0.02)/(1-0.02)</f>
        <v>883.15098859466877</v>
      </c>
      <c r="AE261" s="75">
        <f>((SUBSIDIO!$L$261*SUBSIDIO!$Z$261)+(SUBSIDIO!$N$261*SUBSIDIO!$AA$261))*(0.02)/(1-0.02)</f>
        <v>0</v>
      </c>
      <c r="AF261" s="4" t="s">
        <v>638</v>
      </c>
    </row>
    <row r="262" spans="1:32" ht="11.25" customHeight="1" x14ac:dyDescent="0.25">
      <c r="A262" s="4" t="s">
        <v>21</v>
      </c>
      <c r="B262" s="4" t="s">
        <v>35</v>
      </c>
      <c r="C262" s="4" t="s">
        <v>39</v>
      </c>
      <c r="D262" s="4" t="s">
        <v>42</v>
      </c>
      <c r="E262" s="4" t="s">
        <v>50</v>
      </c>
      <c r="F262" s="4" t="s">
        <v>25</v>
      </c>
      <c r="G262" s="4" t="s">
        <v>25</v>
      </c>
      <c r="H262" s="4" t="s">
        <v>25</v>
      </c>
      <c r="I262" s="5">
        <v>44713</v>
      </c>
      <c r="J262" s="6">
        <v>6121</v>
      </c>
      <c r="K262" s="75">
        <v>6121</v>
      </c>
      <c r="L262" s="6">
        <v>0</v>
      </c>
      <c r="M262" s="75">
        <v>0</v>
      </c>
      <c r="N262" s="6">
        <v>0</v>
      </c>
      <c r="O262" s="75">
        <v>0</v>
      </c>
      <c r="P262" s="6">
        <v>170</v>
      </c>
      <c r="Q262" s="4" t="s">
        <v>26</v>
      </c>
      <c r="R262" s="4">
        <v>0</v>
      </c>
      <c r="S262" s="4">
        <v>18</v>
      </c>
      <c r="T262" s="4">
        <v>0</v>
      </c>
      <c r="U262" s="4">
        <v>0</v>
      </c>
      <c r="V262" s="75">
        <f>IF(ISERROR(VLOOKUP($S$262,'TAR FIN'!$A$1:$O$93,15,0)),0,VLOOKUP($S$262,'TAR FIN'!$A$1:$O$93,15,0))*(1-0.04)</f>
        <v>25.123200000000001</v>
      </c>
      <c r="W262" s="75">
        <f>IF(ISERROR(VLOOKUP($T$262,'TAR FIN'!$A$1:$O$93,15,0)),0,VLOOKUP($T$262,'TAR FIN'!$A$1:$O$93,15,0))</f>
        <v>0</v>
      </c>
      <c r="X262" s="75">
        <f>IF(ISERROR(VLOOKUP($U$262,'TAR FIN'!$A$1:$O$93,15,0)),0,VLOOKUP($U$262,'TAR FIN'!$A$1:$O$93,15,0))</f>
        <v>0</v>
      </c>
      <c r="Y262" s="75">
        <f ca="1">('TUSD BE'!$AM$14+'TUSD BF'!$AM$14+'TUSD CVA'!$AM$14)*1*(1-0.02)</f>
        <v>29.844412718026739</v>
      </c>
      <c r="Z262" s="75"/>
      <c r="AA262" s="75"/>
      <c r="AB262" s="75">
        <f>(SUBSIDIO!$J$262*SUBSIDIO!$V$262)*(0.04)/(1-0.04)</f>
        <v>6407.4628000000002</v>
      </c>
      <c r="AC262" s="75">
        <f>((SUBSIDIO!$L$262*SUBSIDIO!$W$262)+(SUBSIDIO!$N$262*SUBSIDIO!$X$262))*(0.04)/(1-0.04)</f>
        <v>0</v>
      </c>
      <c r="AD262" s="75">
        <f ca="1">(SUBSIDIO!$J$262*SUBSIDIO!$Y$262)*(0.02)/(1-0.02)</f>
        <v>3728.1153111641161</v>
      </c>
      <c r="AE262" s="75">
        <f>((SUBSIDIO!$L$262*SUBSIDIO!$Z$262)+(SUBSIDIO!$N$262*SUBSIDIO!$AA$262))*(0.02)/(1-0.02)</f>
        <v>0</v>
      </c>
      <c r="AF262" s="4" t="s">
        <v>638</v>
      </c>
    </row>
    <row r="263" spans="1:32" ht="11.25" customHeight="1" x14ac:dyDescent="0.25">
      <c r="A263" s="4" t="s">
        <v>27</v>
      </c>
      <c r="B263" s="4" t="s">
        <v>35</v>
      </c>
      <c r="C263" s="4" t="s">
        <v>39</v>
      </c>
      <c r="D263" s="4" t="s">
        <v>42</v>
      </c>
      <c r="E263" s="4" t="s">
        <v>50</v>
      </c>
      <c r="F263" s="4" t="s">
        <v>25</v>
      </c>
      <c r="G263" s="4" t="s">
        <v>25</v>
      </c>
      <c r="H263" s="4" t="s">
        <v>25</v>
      </c>
      <c r="I263" s="5">
        <v>44713</v>
      </c>
      <c r="J263" s="6">
        <v>-77</v>
      </c>
      <c r="K263" s="75">
        <v>-77</v>
      </c>
      <c r="L263" s="6">
        <v>0</v>
      </c>
      <c r="M263" s="75">
        <v>0</v>
      </c>
      <c r="N263" s="6">
        <v>0</v>
      </c>
      <c r="O263" s="75">
        <v>0</v>
      </c>
      <c r="P263" s="6">
        <v>-1</v>
      </c>
      <c r="Q263" s="4" t="s">
        <v>26</v>
      </c>
      <c r="R263" s="4">
        <v>0</v>
      </c>
      <c r="S263" s="4">
        <v>18</v>
      </c>
      <c r="T263" s="4">
        <v>0</v>
      </c>
      <c r="U263" s="4">
        <v>0</v>
      </c>
      <c r="V263" s="75">
        <f>IF(ISERROR(VLOOKUP($S$263,'TAR FIN'!$A$1:$O$93,15,0)),0,VLOOKUP($S$263,'TAR FIN'!$A$1:$O$93,15,0))*(1-0.04)</f>
        <v>25.123200000000001</v>
      </c>
      <c r="W263" s="75">
        <f>IF(ISERROR(VLOOKUP($T$263,'TAR FIN'!$A$1:$O$93,15,0)),0,VLOOKUP($T$263,'TAR FIN'!$A$1:$O$93,15,0))</f>
        <v>0</v>
      </c>
      <c r="X263" s="75">
        <f>IF(ISERROR(VLOOKUP($U$263,'TAR FIN'!$A$1:$O$93,15,0)),0,VLOOKUP($U$263,'TAR FIN'!$A$1:$O$93,15,0))</f>
        <v>0</v>
      </c>
      <c r="Y263" s="75">
        <f ca="1">('TUSD BE'!$AM$14+'TUSD BF'!$AM$14+'TUSD CVA'!$AM$14)*1*(1-0.02)</f>
        <v>29.844412718026739</v>
      </c>
      <c r="Z263" s="75"/>
      <c r="AA263" s="75"/>
      <c r="AB263" s="75">
        <f>(SUBSIDIO!$J$263*SUBSIDIO!$V$263)*(0.04)/(1-0.04)</f>
        <v>-80.603600000000014</v>
      </c>
      <c r="AC263" s="75">
        <f>((SUBSIDIO!$L$263*SUBSIDIO!$W$263)+(SUBSIDIO!$N$263*SUBSIDIO!$X$263))*(0.04)/(1-0.04)</f>
        <v>0</v>
      </c>
      <c r="AD263" s="75">
        <f ca="1">(SUBSIDIO!$J$263*SUBSIDIO!$Y$263)*(0.02)/(1-0.02)</f>
        <v>-46.898362842613452</v>
      </c>
      <c r="AE263" s="75">
        <f>((SUBSIDIO!$L$263*SUBSIDIO!$Z$263)+(SUBSIDIO!$N$263*SUBSIDIO!$AA$263))*(0.02)/(1-0.02)</f>
        <v>0</v>
      </c>
      <c r="AF263" s="4" t="s">
        <v>638</v>
      </c>
    </row>
    <row r="264" spans="1:32" ht="11.25" customHeight="1" x14ac:dyDescent="0.25">
      <c r="A264" s="4" t="s">
        <v>28</v>
      </c>
      <c r="B264" s="4" t="s">
        <v>35</v>
      </c>
      <c r="C264" s="4" t="s">
        <v>39</v>
      </c>
      <c r="D264" s="4" t="s">
        <v>42</v>
      </c>
      <c r="E264" s="4" t="s">
        <v>50</v>
      </c>
      <c r="F264" s="4" t="s">
        <v>25</v>
      </c>
      <c r="G264" s="4" t="s">
        <v>25</v>
      </c>
      <c r="H264" s="4" t="s">
        <v>25</v>
      </c>
      <c r="I264" s="5">
        <v>44713</v>
      </c>
      <c r="J264" s="6">
        <v>1265</v>
      </c>
      <c r="K264" s="75">
        <v>1265</v>
      </c>
      <c r="L264" s="6">
        <v>0</v>
      </c>
      <c r="M264" s="75">
        <v>0</v>
      </c>
      <c r="N264" s="6">
        <v>0</v>
      </c>
      <c r="O264" s="75">
        <v>0</v>
      </c>
      <c r="P264" s="6">
        <v>7</v>
      </c>
      <c r="Q264" s="4" t="s">
        <v>26</v>
      </c>
      <c r="R264" s="4">
        <v>0</v>
      </c>
      <c r="S264" s="4">
        <v>18</v>
      </c>
      <c r="T264" s="4">
        <v>0</v>
      </c>
      <c r="U264" s="4">
        <v>0</v>
      </c>
      <c r="V264" s="75">
        <f>IF(ISERROR(VLOOKUP($S$264,'TAR FIN'!$A$1:$O$93,15,0)),0,VLOOKUP($S$264,'TAR FIN'!$A$1:$O$93,15,0))*(1-0.04)</f>
        <v>25.123200000000001</v>
      </c>
      <c r="W264" s="75">
        <f>IF(ISERROR(VLOOKUP($T$264,'TAR FIN'!$A$1:$O$93,15,0)),0,VLOOKUP($T$264,'TAR FIN'!$A$1:$O$93,15,0))</f>
        <v>0</v>
      </c>
      <c r="X264" s="75">
        <f>IF(ISERROR(VLOOKUP($U$264,'TAR FIN'!$A$1:$O$93,15,0)),0,VLOOKUP($U$264,'TAR FIN'!$A$1:$O$93,15,0))</f>
        <v>0</v>
      </c>
      <c r="Y264" s="75">
        <f ca="1">('TUSD BE'!$AM$14+'TUSD BF'!$AM$14+'TUSD CVA'!$AM$14)*1*(1-0.02)</f>
        <v>29.844412718026739</v>
      </c>
      <c r="Z264" s="75"/>
      <c r="AA264" s="75"/>
      <c r="AB264" s="75">
        <f>(SUBSIDIO!$J$264*SUBSIDIO!$V$264)*(0.04)/(1-0.04)</f>
        <v>1324.2020000000002</v>
      </c>
      <c r="AC264" s="75">
        <f>((SUBSIDIO!$L$264*SUBSIDIO!$W$264)+(SUBSIDIO!$N$264*SUBSIDIO!$X$264))*(0.04)/(1-0.04)</f>
        <v>0</v>
      </c>
      <c r="AD264" s="75">
        <f ca="1">(SUBSIDIO!$J$264*SUBSIDIO!$Y$264)*(0.02)/(1-0.02)</f>
        <v>770.47310384293519</v>
      </c>
      <c r="AE264" s="75">
        <f>((SUBSIDIO!$L$264*SUBSIDIO!$Z$264)+(SUBSIDIO!$N$264*SUBSIDIO!$AA$264))*(0.02)/(1-0.02)</f>
        <v>0</v>
      </c>
      <c r="AF264" s="4" t="s">
        <v>638</v>
      </c>
    </row>
    <row r="265" spans="1:32" ht="11.25" customHeight="1" x14ac:dyDescent="0.25">
      <c r="A265" s="4" t="s">
        <v>21</v>
      </c>
      <c r="B265" s="4" t="s">
        <v>35</v>
      </c>
      <c r="C265" s="4" t="s">
        <v>39</v>
      </c>
      <c r="D265" s="4" t="s">
        <v>42</v>
      </c>
      <c r="E265" s="4" t="s">
        <v>25</v>
      </c>
      <c r="F265" s="4" t="s">
        <v>25</v>
      </c>
      <c r="G265" s="4" t="s">
        <v>25</v>
      </c>
      <c r="H265" s="4" t="s">
        <v>38</v>
      </c>
      <c r="I265" s="5">
        <v>44378</v>
      </c>
      <c r="J265" s="6">
        <v>0</v>
      </c>
      <c r="K265" s="75">
        <v>0</v>
      </c>
      <c r="L265" s="6">
        <v>1481.367</v>
      </c>
      <c r="M265" s="75">
        <v>1481.367</v>
      </c>
      <c r="N265" s="6">
        <v>1481.367</v>
      </c>
      <c r="O265" s="75">
        <v>1481.367</v>
      </c>
      <c r="P265" s="6">
        <v>0</v>
      </c>
      <c r="Q265" s="4" t="s">
        <v>26</v>
      </c>
      <c r="R265" s="4">
        <v>0</v>
      </c>
      <c r="S265" s="4">
        <v>0</v>
      </c>
      <c r="T265" s="4">
        <v>25</v>
      </c>
      <c r="U265" s="4">
        <v>59</v>
      </c>
      <c r="V265" s="75">
        <f>IF(ISERROR(VLOOKUP($S$265,'TAR FIN'!$A$1:$O$93,15,0)),0,VLOOKUP($S$265,'TAR FIN'!$A$1:$O$93,15,0))</f>
        <v>0</v>
      </c>
      <c r="W265" s="75">
        <f>IF(ISERROR(VLOOKUP($T$265,'TAR FIN'!$A$1:$O$93,15,0)),0,VLOOKUP($T$265,'TAR FIN'!$A$1:$O$93,15,0))*(1-0.04)</f>
        <v>66.710399999999993</v>
      </c>
      <c r="X265" s="75">
        <f>IF(ISERROR(VLOOKUP($U$265,'TAR FIN'!$A$1:$O$93,15,0)),0,VLOOKUP($U$265,'TAR FIN'!$A$1:$O$93,15,0))*(1-0.04)</f>
        <v>177.77279999999999</v>
      </c>
      <c r="Y265" s="75"/>
      <c r="Z265" s="75">
        <f ca="1">('TUSD BE'!$AM$16+'TUSD BF'!$AM$16+'TUSD CVA'!$AM$16)*1*(1-0.02)</f>
        <v>90.654697600755071</v>
      </c>
      <c r="AA265" s="75">
        <f>('TE BE'!$AB$8+'TE BF'!$AB$8+'TE CVA'!$AB$8)*1*(1-0.02)</f>
        <v>194.21830884065065</v>
      </c>
      <c r="AB265" s="75">
        <f>(SUBSIDIO!$J$265*SUBSIDIO!$V$265)*(0.04)/(1-0.04)</f>
        <v>0</v>
      </c>
      <c r="AC265" s="75">
        <f>((SUBSIDIO!$L$265*SUBSIDIO!$W$265)+(SUBSIDIO!$N$265*SUBSIDIO!$X$265))*(0.04)/(1-0.04)</f>
        <v>15090.3893556</v>
      </c>
      <c r="AD265" s="75">
        <f>(SUBSIDIO!$J$265*SUBSIDIO!$Y$265)*(0.02)/(1-0.02)</f>
        <v>0</v>
      </c>
      <c r="AE265" s="75">
        <f ca="1">((SUBSIDIO!$L$265*SUBSIDIO!$Z$265)+(SUBSIDIO!$N$265*SUBSIDIO!$AA$265))*(0.02)/(1-0.02)</f>
        <v>8612.2749170017523</v>
      </c>
      <c r="AF265" s="4" t="s">
        <v>638</v>
      </c>
    </row>
    <row r="266" spans="1:32" ht="11.25" customHeight="1" x14ac:dyDescent="0.25">
      <c r="A266" s="4" t="s">
        <v>28</v>
      </c>
      <c r="B266" s="4" t="s">
        <v>35</v>
      </c>
      <c r="C266" s="4" t="s">
        <v>39</v>
      </c>
      <c r="D266" s="4" t="s">
        <v>42</v>
      </c>
      <c r="E266" s="4" t="s">
        <v>25</v>
      </c>
      <c r="F266" s="4" t="s">
        <v>25</v>
      </c>
      <c r="G266" s="4" t="s">
        <v>25</v>
      </c>
      <c r="H266" s="4" t="s">
        <v>38</v>
      </c>
      <c r="I266" s="5">
        <v>44378</v>
      </c>
      <c r="J266" s="6">
        <v>0</v>
      </c>
      <c r="K266" s="75">
        <v>0</v>
      </c>
      <c r="L266" s="6">
        <v>46.137</v>
      </c>
      <c r="M266" s="75">
        <v>46.137</v>
      </c>
      <c r="N266" s="6">
        <v>46.137</v>
      </c>
      <c r="O266" s="75">
        <v>46.137</v>
      </c>
      <c r="P266" s="6">
        <v>0</v>
      </c>
      <c r="Q266" s="4" t="s">
        <v>26</v>
      </c>
      <c r="R266" s="4">
        <v>0</v>
      </c>
      <c r="S266" s="4">
        <v>0</v>
      </c>
      <c r="T266" s="4">
        <v>25</v>
      </c>
      <c r="U266" s="4">
        <v>59</v>
      </c>
      <c r="V266" s="75">
        <f>IF(ISERROR(VLOOKUP($S$266,'TAR FIN'!$A$1:$O$93,15,0)),0,VLOOKUP($S$266,'TAR FIN'!$A$1:$O$93,15,0))</f>
        <v>0</v>
      </c>
      <c r="W266" s="75">
        <f>IF(ISERROR(VLOOKUP($T$266,'TAR FIN'!$A$1:$O$93,15,0)),0,VLOOKUP($T$266,'TAR FIN'!$A$1:$O$93,15,0))*(1-0.04)</f>
        <v>66.710399999999993</v>
      </c>
      <c r="X266" s="75">
        <f>IF(ISERROR(VLOOKUP($U$266,'TAR FIN'!$A$1:$O$93,15,0)),0,VLOOKUP($U$266,'TAR FIN'!$A$1:$O$93,15,0))*(1-0.04)</f>
        <v>177.77279999999999</v>
      </c>
      <c r="Y266" s="75"/>
      <c r="Z266" s="75">
        <f ca="1">('TUSD BE'!$AM$16+'TUSD BF'!$AM$16+'TUSD CVA'!$AM$16)*1*(1-0.02)</f>
        <v>90.654697600755071</v>
      </c>
      <c r="AA266" s="75">
        <f>('TE BE'!$AB$8+'TE BF'!$AB$8+'TE CVA'!$AB$8)*1*(1-0.02)</f>
        <v>194.21830884065065</v>
      </c>
      <c r="AB266" s="75">
        <f>(SUBSIDIO!$J$266*SUBSIDIO!$V$266)*(0.04)/(1-0.04)</f>
        <v>0</v>
      </c>
      <c r="AC266" s="75">
        <f>((SUBSIDIO!$L$266*SUBSIDIO!$W$266)+(SUBSIDIO!$N$266*SUBSIDIO!$X$266))*(0.04)/(1-0.04)</f>
        <v>469.9883916</v>
      </c>
      <c r="AD266" s="75">
        <f>(SUBSIDIO!$J$266*SUBSIDIO!$Y$266)*(0.02)/(1-0.02)</f>
        <v>0</v>
      </c>
      <c r="AE266" s="75">
        <f ca="1">((SUBSIDIO!$L$266*SUBSIDIO!$Z$266)+(SUBSIDIO!$N$266*SUBSIDIO!$AA$266))*(0.02)/(1-0.02)</f>
        <v>268.22828363647221</v>
      </c>
      <c r="AF266" s="4" t="s">
        <v>638</v>
      </c>
    </row>
    <row r="267" spans="1:32" ht="11.25" customHeight="1" x14ac:dyDescent="0.25">
      <c r="A267" s="4" t="s">
        <v>21</v>
      </c>
      <c r="B267" s="4" t="s">
        <v>35</v>
      </c>
      <c r="C267" s="4" t="s">
        <v>39</v>
      </c>
      <c r="D267" s="4" t="s">
        <v>42</v>
      </c>
      <c r="E267" s="4" t="s">
        <v>25</v>
      </c>
      <c r="F267" s="4" t="s">
        <v>25</v>
      </c>
      <c r="G267" s="4" t="s">
        <v>25</v>
      </c>
      <c r="H267" s="4" t="s">
        <v>38</v>
      </c>
      <c r="I267" s="5">
        <v>44409</v>
      </c>
      <c r="J267" s="6">
        <v>0</v>
      </c>
      <c r="K267" s="75">
        <v>0</v>
      </c>
      <c r="L267" s="6">
        <v>1533.671</v>
      </c>
      <c r="M267" s="75">
        <v>1533.671</v>
      </c>
      <c r="N267" s="6">
        <v>1533.671</v>
      </c>
      <c r="O267" s="75">
        <v>1533.671</v>
      </c>
      <c r="P267" s="6">
        <v>0</v>
      </c>
      <c r="Q267" s="4" t="s">
        <v>26</v>
      </c>
      <c r="R267" s="4">
        <v>0</v>
      </c>
      <c r="S267" s="4">
        <v>0</v>
      </c>
      <c r="T267" s="4">
        <v>25</v>
      </c>
      <c r="U267" s="4">
        <v>59</v>
      </c>
      <c r="V267" s="75">
        <f>IF(ISERROR(VLOOKUP($S$267,'TAR FIN'!$A$1:$O$93,15,0)),0,VLOOKUP($S$267,'TAR FIN'!$A$1:$O$93,15,0))</f>
        <v>0</v>
      </c>
      <c r="W267" s="75">
        <f>IF(ISERROR(VLOOKUP($T$267,'TAR FIN'!$A$1:$O$93,15,0)),0,VLOOKUP($T$267,'TAR FIN'!$A$1:$O$93,15,0))*(1-0.04)</f>
        <v>66.710399999999993</v>
      </c>
      <c r="X267" s="75">
        <f>IF(ISERROR(VLOOKUP($U$267,'TAR FIN'!$A$1:$O$93,15,0)),0,VLOOKUP($U$267,'TAR FIN'!$A$1:$O$93,15,0))*(1-0.04)</f>
        <v>177.77279999999999</v>
      </c>
      <c r="Y267" s="75"/>
      <c r="Z267" s="75">
        <f ca="1">('TUSD BE'!$AM$16+'TUSD BF'!$AM$16+'TUSD CVA'!$AM$16)*1*(1-0.02)</f>
        <v>90.654697600755071</v>
      </c>
      <c r="AA267" s="75">
        <f>('TE BE'!$AB$8+'TE BF'!$AB$8+'TE CVA'!$AB$8)*1*(1-0.02)</f>
        <v>194.21830884065065</v>
      </c>
      <c r="AB267" s="75">
        <f>(SUBSIDIO!$J$267*SUBSIDIO!$V$267)*(0.04)/(1-0.04)</f>
        <v>0</v>
      </c>
      <c r="AC267" s="75">
        <f>((SUBSIDIO!$L$267*SUBSIDIO!$W$267)+(SUBSIDIO!$N$267*SUBSIDIO!$X$267))*(0.04)/(1-0.04)</f>
        <v>15623.1997428</v>
      </c>
      <c r="AD267" s="75">
        <f>(SUBSIDIO!$J$267*SUBSIDIO!$Y$267)*(0.02)/(1-0.02)</f>
        <v>0</v>
      </c>
      <c r="AE267" s="75">
        <f ca="1">((SUBSIDIO!$L$267*SUBSIDIO!$Z$267)+(SUBSIDIO!$N$267*SUBSIDIO!$AA$267))*(0.02)/(1-0.02)</f>
        <v>8916.3565033060659</v>
      </c>
      <c r="AF267" s="4" t="s">
        <v>638</v>
      </c>
    </row>
    <row r="268" spans="1:32" ht="11.25" customHeight="1" x14ac:dyDescent="0.25">
      <c r="A268" s="4" t="s">
        <v>28</v>
      </c>
      <c r="B268" s="4" t="s">
        <v>35</v>
      </c>
      <c r="C268" s="4" t="s">
        <v>39</v>
      </c>
      <c r="D268" s="4" t="s">
        <v>42</v>
      </c>
      <c r="E268" s="4" t="s">
        <v>25</v>
      </c>
      <c r="F268" s="4" t="s">
        <v>25</v>
      </c>
      <c r="G268" s="4" t="s">
        <v>25</v>
      </c>
      <c r="H268" s="4" t="s">
        <v>38</v>
      </c>
      <c r="I268" s="5">
        <v>44409</v>
      </c>
      <c r="J268" s="6">
        <v>0</v>
      </c>
      <c r="K268" s="75">
        <v>0</v>
      </c>
      <c r="L268" s="6">
        <v>32.774000000000001</v>
      </c>
      <c r="M268" s="75">
        <v>32.774000000000001</v>
      </c>
      <c r="N268" s="6">
        <v>32.774000000000001</v>
      </c>
      <c r="O268" s="75">
        <v>32.774000000000001</v>
      </c>
      <c r="P268" s="6">
        <v>0</v>
      </c>
      <c r="Q268" s="4" t="s">
        <v>26</v>
      </c>
      <c r="R268" s="4">
        <v>0</v>
      </c>
      <c r="S268" s="4">
        <v>0</v>
      </c>
      <c r="T268" s="4">
        <v>25</v>
      </c>
      <c r="U268" s="4">
        <v>59</v>
      </c>
      <c r="V268" s="75">
        <f>IF(ISERROR(VLOOKUP($S$268,'TAR FIN'!$A$1:$O$93,15,0)),0,VLOOKUP($S$268,'TAR FIN'!$A$1:$O$93,15,0))</f>
        <v>0</v>
      </c>
      <c r="W268" s="75">
        <f>IF(ISERROR(VLOOKUP($T$268,'TAR FIN'!$A$1:$O$93,15,0)),0,VLOOKUP($T$268,'TAR FIN'!$A$1:$O$93,15,0))*(1-0.04)</f>
        <v>66.710399999999993</v>
      </c>
      <c r="X268" s="75">
        <f>IF(ISERROR(VLOOKUP($U$268,'TAR FIN'!$A$1:$O$93,15,0)),0,VLOOKUP($U$268,'TAR FIN'!$A$1:$O$93,15,0))*(1-0.04)</f>
        <v>177.77279999999999</v>
      </c>
      <c r="Y268" s="75"/>
      <c r="Z268" s="75">
        <f ca="1">('TUSD BE'!$AM$16+'TUSD BF'!$AM$16+'TUSD CVA'!$AM$16)*1*(1-0.02)</f>
        <v>90.654697600755071</v>
      </c>
      <c r="AA268" s="75">
        <f>('TE BE'!$AB$8+'TE BF'!$AB$8+'TE CVA'!$AB$8)*1*(1-0.02)</f>
        <v>194.21830884065065</v>
      </c>
      <c r="AB268" s="75">
        <f>(SUBSIDIO!$J$268*SUBSIDIO!$V$268)*(0.04)/(1-0.04)</f>
        <v>0</v>
      </c>
      <c r="AC268" s="75">
        <f>((SUBSIDIO!$L$268*SUBSIDIO!$W$268)+(SUBSIDIO!$N$268*SUBSIDIO!$X$268))*(0.04)/(1-0.04)</f>
        <v>333.8621832</v>
      </c>
      <c r="AD268" s="75">
        <f>(SUBSIDIO!$J$268*SUBSIDIO!$Y$268)*(0.02)/(1-0.02)</f>
        <v>0</v>
      </c>
      <c r="AE268" s="75">
        <f ca="1">((SUBSIDIO!$L$268*SUBSIDIO!$Z$268)+(SUBSIDIO!$N$268*SUBSIDIO!$AA$268))*(0.02)/(1-0.02)</f>
        <v>190.53934516552306</v>
      </c>
      <c r="AF268" s="4" t="s">
        <v>638</v>
      </c>
    </row>
    <row r="269" spans="1:32" ht="11.25" customHeight="1" x14ac:dyDescent="0.25">
      <c r="A269" s="4" t="s">
        <v>28</v>
      </c>
      <c r="B269" s="4" t="s">
        <v>35</v>
      </c>
      <c r="C269" s="4" t="s">
        <v>39</v>
      </c>
      <c r="D269" s="4" t="s">
        <v>42</v>
      </c>
      <c r="E269" s="4" t="s">
        <v>25</v>
      </c>
      <c r="F269" s="4" t="s">
        <v>25</v>
      </c>
      <c r="G269" s="4" t="s">
        <v>25</v>
      </c>
      <c r="H269" s="4" t="s">
        <v>38</v>
      </c>
      <c r="I269" s="5">
        <v>44409</v>
      </c>
      <c r="J269" s="6">
        <v>0</v>
      </c>
      <c r="K269" s="75">
        <v>0</v>
      </c>
      <c r="L269" s="6">
        <v>-14.188000000000001</v>
      </c>
      <c r="M269" s="75">
        <v>-14.188000000000001</v>
      </c>
      <c r="N269" s="6">
        <v>-14.188000000000001</v>
      </c>
      <c r="O269" s="75">
        <v>-14.188000000000001</v>
      </c>
      <c r="P269" s="6">
        <v>0</v>
      </c>
      <c r="Q269" s="4" t="s">
        <v>26</v>
      </c>
      <c r="R269" s="4">
        <v>0</v>
      </c>
      <c r="S269" s="4">
        <v>0</v>
      </c>
      <c r="T269" s="4">
        <v>25</v>
      </c>
      <c r="U269" s="4">
        <v>59</v>
      </c>
      <c r="V269" s="75">
        <f>IF(ISERROR(VLOOKUP($S$269,'TAR FIN'!$A$1:$O$93,15,0)),0,VLOOKUP($S$269,'TAR FIN'!$A$1:$O$93,15,0))</f>
        <v>0</v>
      </c>
      <c r="W269" s="75">
        <f>IF(ISERROR(VLOOKUP($T$269,'TAR FIN'!$A$1:$O$93,15,0)),0,VLOOKUP($T$269,'TAR FIN'!$A$1:$O$93,15,0))*(1-0.04)</f>
        <v>66.710399999999993</v>
      </c>
      <c r="X269" s="75">
        <f>IF(ISERROR(VLOOKUP($U$269,'TAR FIN'!$A$1:$O$93,15,0)),0,VLOOKUP($U$269,'TAR FIN'!$A$1:$O$93,15,0))*(1-0.04)</f>
        <v>177.77279999999999</v>
      </c>
      <c r="Y269" s="75"/>
      <c r="Z269" s="75">
        <f ca="1">('TUSD BE'!$AM$16+'TUSD BF'!$AM$16+'TUSD CVA'!$AM$16)*1*(1-0.02)</f>
        <v>90.654697600755071</v>
      </c>
      <c r="AA269" s="75">
        <f>('TE BE'!$AB$8+'TE BF'!$AB$8+'TE CVA'!$AB$8)*1*(1-0.02)</f>
        <v>194.21830884065065</v>
      </c>
      <c r="AB269" s="75">
        <f>(SUBSIDIO!$J$269*SUBSIDIO!$V$269)*(0.04)/(1-0.04)</f>
        <v>0</v>
      </c>
      <c r="AC269" s="75">
        <f>((SUBSIDIO!$L$269*SUBSIDIO!$W$269)+(SUBSIDIO!$N$269*SUBSIDIO!$X$269))*(0.04)/(1-0.04)</f>
        <v>-144.53031840000003</v>
      </c>
      <c r="AD269" s="75">
        <f>(SUBSIDIO!$J$269*SUBSIDIO!$Y$269)*(0.02)/(1-0.02)</f>
        <v>0</v>
      </c>
      <c r="AE269" s="75">
        <f ca="1">((SUBSIDIO!$L$269*SUBSIDIO!$Z$269)+(SUBSIDIO!$N$269*SUBSIDIO!$AA$269))*(0.02)/(1-0.02)</f>
        <v>-82.485269701850314</v>
      </c>
      <c r="AF269" s="4" t="s">
        <v>638</v>
      </c>
    </row>
    <row r="270" spans="1:32" ht="11.25" customHeight="1" x14ac:dyDescent="0.25">
      <c r="A270" s="4" t="s">
        <v>21</v>
      </c>
      <c r="B270" s="4" t="s">
        <v>35</v>
      </c>
      <c r="C270" s="4" t="s">
        <v>39</v>
      </c>
      <c r="D270" s="4" t="s">
        <v>42</v>
      </c>
      <c r="E270" s="4" t="s">
        <v>25</v>
      </c>
      <c r="F270" s="4" t="s">
        <v>25</v>
      </c>
      <c r="G270" s="4" t="s">
        <v>25</v>
      </c>
      <c r="H270" s="4" t="s">
        <v>38</v>
      </c>
      <c r="I270" s="5">
        <v>44440</v>
      </c>
      <c r="J270" s="6">
        <v>0</v>
      </c>
      <c r="K270" s="75">
        <v>0</v>
      </c>
      <c r="L270" s="6">
        <v>1383.1130000000001</v>
      </c>
      <c r="M270" s="75">
        <v>1383.1130000000001</v>
      </c>
      <c r="N270" s="6">
        <v>1383.1130000000001</v>
      </c>
      <c r="O270" s="75">
        <v>1383.1130000000001</v>
      </c>
      <c r="P270" s="6">
        <v>0</v>
      </c>
      <c r="Q270" s="4" t="s">
        <v>26</v>
      </c>
      <c r="R270" s="4">
        <v>0</v>
      </c>
      <c r="S270" s="4">
        <v>0</v>
      </c>
      <c r="T270" s="4">
        <v>25</v>
      </c>
      <c r="U270" s="4">
        <v>59</v>
      </c>
      <c r="V270" s="75">
        <f>IF(ISERROR(VLOOKUP($S$270,'TAR FIN'!$A$1:$O$93,15,0)),0,VLOOKUP($S$270,'TAR FIN'!$A$1:$O$93,15,0))</f>
        <v>0</v>
      </c>
      <c r="W270" s="75">
        <f>IF(ISERROR(VLOOKUP($T$270,'TAR FIN'!$A$1:$O$93,15,0)),0,VLOOKUP($T$270,'TAR FIN'!$A$1:$O$93,15,0))*(1-0.04)</f>
        <v>66.710399999999993</v>
      </c>
      <c r="X270" s="75">
        <f>IF(ISERROR(VLOOKUP($U$270,'TAR FIN'!$A$1:$O$93,15,0)),0,VLOOKUP($U$270,'TAR FIN'!$A$1:$O$93,15,0))*(1-0.04)</f>
        <v>177.77279999999999</v>
      </c>
      <c r="Y270" s="75"/>
      <c r="Z270" s="75">
        <f ca="1">('TUSD BE'!$AM$16+'TUSD BF'!$AM$16+'TUSD CVA'!$AM$16)*1*(1-0.02)</f>
        <v>90.654697600755071</v>
      </c>
      <c r="AA270" s="75">
        <f>('TE BE'!$AB$8+'TE BF'!$AB$8+'TE CVA'!$AB$8)*1*(1-0.02)</f>
        <v>194.21830884065065</v>
      </c>
      <c r="AB270" s="75">
        <f>(SUBSIDIO!$J$270*SUBSIDIO!$V$270)*(0.04)/(1-0.04)</f>
        <v>0</v>
      </c>
      <c r="AC270" s="75">
        <f>((SUBSIDIO!$L$270*SUBSIDIO!$W$270)+(SUBSIDIO!$N$270*SUBSIDIO!$X$270))*(0.04)/(1-0.04)</f>
        <v>14089.495508400001</v>
      </c>
      <c r="AD270" s="75">
        <f>(SUBSIDIO!$J$270*SUBSIDIO!$Y$270)*(0.02)/(1-0.02)</f>
        <v>0</v>
      </c>
      <c r="AE270" s="75">
        <f ca="1">((SUBSIDIO!$L$270*SUBSIDIO!$Z$270)+(SUBSIDIO!$N$270*SUBSIDIO!$AA$270))*(0.02)/(1-0.02)</f>
        <v>8041.0522154733062</v>
      </c>
      <c r="AF270" s="4" t="s">
        <v>638</v>
      </c>
    </row>
    <row r="271" spans="1:32" ht="11.25" customHeight="1" x14ac:dyDescent="0.25">
      <c r="A271" s="4" t="s">
        <v>28</v>
      </c>
      <c r="B271" s="4" t="s">
        <v>35</v>
      </c>
      <c r="C271" s="4" t="s">
        <v>39</v>
      </c>
      <c r="D271" s="4" t="s">
        <v>42</v>
      </c>
      <c r="E271" s="4" t="s">
        <v>25</v>
      </c>
      <c r="F271" s="4" t="s">
        <v>25</v>
      </c>
      <c r="G271" s="4" t="s">
        <v>25</v>
      </c>
      <c r="H271" s="4" t="s">
        <v>38</v>
      </c>
      <c r="I271" s="5">
        <v>44440</v>
      </c>
      <c r="J271" s="6">
        <v>0</v>
      </c>
      <c r="K271" s="75">
        <v>0</v>
      </c>
      <c r="L271" s="6">
        <v>9.8070000000000004</v>
      </c>
      <c r="M271" s="75">
        <v>9.8070000000000004</v>
      </c>
      <c r="N271" s="6">
        <v>9.8070000000000004</v>
      </c>
      <c r="O271" s="75">
        <v>9.8070000000000004</v>
      </c>
      <c r="P271" s="6">
        <v>0</v>
      </c>
      <c r="Q271" s="4" t="s">
        <v>26</v>
      </c>
      <c r="R271" s="4">
        <v>0</v>
      </c>
      <c r="S271" s="4">
        <v>0</v>
      </c>
      <c r="T271" s="4">
        <v>25</v>
      </c>
      <c r="U271" s="4">
        <v>59</v>
      </c>
      <c r="V271" s="75">
        <f>IF(ISERROR(VLOOKUP($S$271,'TAR FIN'!$A$1:$O$93,15,0)),0,VLOOKUP($S$271,'TAR FIN'!$A$1:$O$93,15,0))</f>
        <v>0</v>
      </c>
      <c r="W271" s="75">
        <f>IF(ISERROR(VLOOKUP($T$271,'TAR FIN'!$A$1:$O$93,15,0)),0,VLOOKUP($T$271,'TAR FIN'!$A$1:$O$93,15,0))*(1-0.04)</f>
        <v>66.710399999999993</v>
      </c>
      <c r="X271" s="75">
        <f>IF(ISERROR(VLOOKUP($U$271,'TAR FIN'!$A$1:$O$93,15,0)),0,VLOOKUP($U$271,'TAR FIN'!$A$1:$O$93,15,0))*(1-0.04)</f>
        <v>177.77279999999999</v>
      </c>
      <c r="Y271" s="75"/>
      <c r="Z271" s="75">
        <f ca="1">('TUSD BE'!$AM$16+'TUSD BF'!$AM$16+'TUSD CVA'!$AM$16)*1*(1-0.02)</f>
        <v>90.654697600755071</v>
      </c>
      <c r="AA271" s="75">
        <f>('TE BE'!$AB$8+'TE BF'!$AB$8+'TE CVA'!$AB$8)*1*(1-0.02)</f>
        <v>194.21830884065065</v>
      </c>
      <c r="AB271" s="75">
        <f>(SUBSIDIO!$J$271*SUBSIDIO!$V$271)*(0.04)/(1-0.04)</f>
        <v>0</v>
      </c>
      <c r="AC271" s="75">
        <f>((SUBSIDIO!$L$271*SUBSIDIO!$W$271)+(SUBSIDIO!$N$271*SUBSIDIO!$X$271))*(0.04)/(1-0.04)</f>
        <v>99.9019476</v>
      </c>
      <c r="AD271" s="75">
        <f>(SUBSIDIO!$J$271*SUBSIDIO!$Y$271)*(0.02)/(1-0.02)</f>
        <v>0</v>
      </c>
      <c r="AE271" s="75">
        <f ca="1">((SUBSIDIO!$L$271*SUBSIDIO!$Z$271)+(SUBSIDIO!$N$271*SUBSIDIO!$AA$271))*(0.02)/(1-0.02)</f>
        <v>57.015297432058489</v>
      </c>
      <c r="AF271" s="4" t="s">
        <v>638</v>
      </c>
    </row>
    <row r="272" spans="1:32" ht="11.25" customHeight="1" x14ac:dyDescent="0.25">
      <c r="A272" s="4" t="s">
        <v>21</v>
      </c>
      <c r="B272" s="4" t="s">
        <v>35</v>
      </c>
      <c r="C272" s="4" t="s">
        <v>39</v>
      </c>
      <c r="D272" s="4" t="s">
        <v>42</v>
      </c>
      <c r="E272" s="4" t="s">
        <v>25</v>
      </c>
      <c r="F272" s="4" t="s">
        <v>25</v>
      </c>
      <c r="G272" s="4" t="s">
        <v>25</v>
      </c>
      <c r="H272" s="4" t="s">
        <v>38</v>
      </c>
      <c r="I272" s="5">
        <v>44470</v>
      </c>
      <c r="J272" s="6">
        <v>0</v>
      </c>
      <c r="K272" s="75">
        <v>0</v>
      </c>
      <c r="L272" s="6">
        <v>1257.8399999999999</v>
      </c>
      <c r="M272" s="75">
        <v>1257.8399999999999</v>
      </c>
      <c r="N272" s="6">
        <v>1257.8399999999999</v>
      </c>
      <c r="O272" s="75">
        <v>1257.8399999999999</v>
      </c>
      <c r="P272" s="6">
        <v>0</v>
      </c>
      <c r="Q272" s="4" t="s">
        <v>26</v>
      </c>
      <c r="R272" s="4">
        <v>0</v>
      </c>
      <c r="S272" s="4">
        <v>0</v>
      </c>
      <c r="T272" s="4">
        <v>25</v>
      </c>
      <c r="U272" s="4">
        <v>59</v>
      </c>
      <c r="V272" s="75">
        <f>IF(ISERROR(VLOOKUP($S$272,'TAR FIN'!$A$1:$O$93,15,0)),0,VLOOKUP($S$272,'TAR FIN'!$A$1:$O$93,15,0))</f>
        <v>0</v>
      </c>
      <c r="W272" s="75">
        <f>IF(ISERROR(VLOOKUP($T$272,'TAR FIN'!$A$1:$O$93,15,0)),0,VLOOKUP($T$272,'TAR FIN'!$A$1:$O$93,15,0))*(1-0.04)</f>
        <v>66.710399999999993</v>
      </c>
      <c r="X272" s="75">
        <f>IF(ISERROR(VLOOKUP($U$272,'TAR FIN'!$A$1:$O$93,15,0)),0,VLOOKUP($U$272,'TAR FIN'!$A$1:$O$93,15,0))*(1-0.04)</f>
        <v>177.77279999999999</v>
      </c>
      <c r="Y272" s="75"/>
      <c r="Z272" s="75">
        <f ca="1">('TUSD BE'!$AM$16+'TUSD BF'!$AM$16+'TUSD CVA'!$AM$16)*1*(1-0.02)</f>
        <v>90.654697600755071</v>
      </c>
      <c r="AA272" s="75">
        <f>('TE BE'!$AB$8+'TE BF'!$AB$8+'TE CVA'!$AB$8)*1*(1-0.02)</f>
        <v>194.21830884065065</v>
      </c>
      <c r="AB272" s="75">
        <f>(SUBSIDIO!$J$272*SUBSIDIO!$V$272)*(0.04)/(1-0.04)</f>
        <v>0</v>
      </c>
      <c r="AC272" s="75">
        <f>((SUBSIDIO!$L$272*SUBSIDIO!$W$272)+(SUBSIDIO!$N$272*SUBSIDIO!$X$272))*(0.04)/(1-0.04)</f>
        <v>12813.364511999998</v>
      </c>
      <c r="AD272" s="75">
        <f>(SUBSIDIO!$J$272*SUBSIDIO!$Y$272)*(0.02)/(1-0.02)</f>
        <v>0</v>
      </c>
      <c r="AE272" s="75">
        <f ca="1">((SUBSIDIO!$L$272*SUBSIDIO!$Z$272)+(SUBSIDIO!$N$272*SUBSIDIO!$AA$272))*(0.02)/(1-0.02)</f>
        <v>7312.7482126991381</v>
      </c>
      <c r="AF272" s="4" t="s">
        <v>638</v>
      </c>
    </row>
    <row r="273" spans="1:32" ht="11.25" customHeight="1" x14ac:dyDescent="0.25">
      <c r="A273" s="4" t="s">
        <v>28</v>
      </c>
      <c r="B273" s="4" t="s">
        <v>35</v>
      </c>
      <c r="C273" s="4" t="s">
        <v>39</v>
      </c>
      <c r="D273" s="4" t="s">
        <v>42</v>
      </c>
      <c r="E273" s="4" t="s">
        <v>25</v>
      </c>
      <c r="F273" s="4" t="s">
        <v>25</v>
      </c>
      <c r="G273" s="4" t="s">
        <v>25</v>
      </c>
      <c r="H273" s="4" t="s">
        <v>38</v>
      </c>
      <c r="I273" s="5">
        <v>44470</v>
      </c>
      <c r="J273" s="6">
        <v>0</v>
      </c>
      <c r="K273" s="75">
        <v>0</v>
      </c>
      <c r="L273" s="6">
        <v>13.04</v>
      </c>
      <c r="M273" s="75">
        <v>13.04</v>
      </c>
      <c r="N273" s="6">
        <v>13.04</v>
      </c>
      <c r="O273" s="75">
        <v>13.04</v>
      </c>
      <c r="P273" s="6">
        <v>0</v>
      </c>
      <c r="Q273" s="4" t="s">
        <v>26</v>
      </c>
      <c r="R273" s="4">
        <v>0</v>
      </c>
      <c r="S273" s="4">
        <v>0</v>
      </c>
      <c r="T273" s="4">
        <v>25</v>
      </c>
      <c r="U273" s="4">
        <v>59</v>
      </c>
      <c r="V273" s="75">
        <f>IF(ISERROR(VLOOKUP($S$273,'TAR FIN'!$A$1:$O$93,15,0)),0,VLOOKUP($S$273,'TAR FIN'!$A$1:$O$93,15,0))</f>
        <v>0</v>
      </c>
      <c r="W273" s="75">
        <f>IF(ISERROR(VLOOKUP($T$273,'TAR FIN'!$A$1:$O$93,15,0)),0,VLOOKUP($T$273,'TAR FIN'!$A$1:$O$93,15,0))*(1-0.04)</f>
        <v>66.710399999999993</v>
      </c>
      <c r="X273" s="75">
        <f>IF(ISERROR(VLOOKUP($U$273,'TAR FIN'!$A$1:$O$93,15,0)),0,VLOOKUP($U$273,'TAR FIN'!$A$1:$O$93,15,0))*(1-0.04)</f>
        <v>177.77279999999999</v>
      </c>
      <c r="Y273" s="75"/>
      <c r="Z273" s="75">
        <f ca="1">('TUSD BE'!$AM$16+'TUSD BF'!$AM$16+'TUSD CVA'!$AM$16)*1*(1-0.02)</f>
        <v>90.654697600755071</v>
      </c>
      <c r="AA273" s="75">
        <f>('TE BE'!$AB$8+'TE BF'!$AB$8+'TE CVA'!$AB$8)*1*(1-0.02)</f>
        <v>194.21830884065065</v>
      </c>
      <c r="AB273" s="75">
        <f>(SUBSIDIO!$J$273*SUBSIDIO!$V$273)*(0.04)/(1-0.04)</f>
        <v>0</v>
      </c>
      <c r="AC273" s="75">
        <f>((SUBSIDIO!$L$273*SUBSIDIO!$W$273)+(SUBSIDIO!$N$273*SUBSIDIO!$X$273))*(0.04)/(1-0.04)</f>
        <v>132.83587199999999</v>
      </c>
      <c r="AD273" s="75">
        <f>(SUBSIDIO!$J$273*SUBSIDIO!$Y$273)*(0.02)/(1-0.02)</f>
        <v>0</v>
      </c>
      <c r="AE273" s="75">
        <f ca="1">((SUBSIDIO!$L$273*SUBSIDIO!$Z$273)+(SUBSIDIO!$N$273*SUBSIDIO!$AA$273))*(0.02)/(1-0.02)</f>
        <v>75.811102122365924</v>
      </c>
      <c r="AF273" s="4" t="s">
        <v>638</v>
      </c>
    </row>
    <row r="274" spans="1:32" ht="11.25" customHeight="1" x14ac:dyDescent="0.25">
      <c r="A274" s="4" t="s">
        <v>21</v>
      </c>
      <c r="B274" s="4" t="s">
        <v>35</v>
      </c>
      <c r="C274" s="4" t="s">
        <v>39</v>
      </c>
      <c r="D274" s="4" t="s">
        <v>42</v>
      </c>
      <c r="E274" s="4" t="s">
        <v>25</v>
      </c>
      <c r="F274" s="4" t="s">
        <v>25</v>
      </c>
      <c r="G274" s="4" t="s">
        <v>25</v>
      </c>
      <c r="H274" s="4" t="s">
        <v>38</v>
      </c>
      <c r="I274" s="5">
        <v>44501</v>
      </c>
      <c r="J274" s="6">
        <v>0</v>
      </c>
      <c r="K274" s="75">
        <v>0</v>
      </c>
      <c r="L274" s="6">
        <v>1432.9179999999999</v>
      </c>
      <c r="M274" s="75">
        <v>1432.9179999999999</v>
      </c>
      <c r="N274" s="6">
        <v>1432.9179999999999</v>
      </c>
      <c r="O274" s="75">
        <v>1432.9179999999999</v>
      </c>
      <c r="P274" s="6">
        <v>0</v>
      </c>
      <c r="Q274" s="4" t="s">
        <v>26</v>
      </c>
      <c r="R274" s="4">
        <v>0</v>
      </c>
      <c r="S274" s="4">
        <v>0</v>
      </c>
      <c r="T274" s="4">
        <v>25</v>
      </c>
      <c r="U274" s="4">
        <v>59</v>
      </c>
      <c r="V274" s="75">
        <f>IF(ISERROR(VLOOKUP($S$274,'TAR FIN'!$A$1:$O$93,15,0)),0,VLOOKUP($S$274,'TAR FIN'!$A$1:$O$93,15,0))</f>
        <v>0</v>
      </c>
      <c r="W274" s="75">
        <f>IF(ISERROR(VLOOKUP($T$274,'TAR FIN'!$A$1:$O$93,15,0)),0,VLOOKUP($T$274,'TAR FIN'!$A$1:$O$93,15,0))*(1-0.04)</f>
        <v>66.710399999999993</v>
      </c>
      <c r="X274" s="75">
        <f>IF(ISERROR(VLOOKUP($U$274,'TAR FIN'!$A$1:$O$93,15,0)),0,VLOOKUP($U$274,'TAR FIN'!$A$1:$O$93,15,0))*(1-0.04)</f>
        <v>177.77279999999999</v>
      </c>
      <c r="Y274" s="75"/>
      <c r="Z274" s="75">
        <f ca="1">('TUSD BE'!$AM$16+'TUSD BF'!$AM$16+'TUSD CVA'!$AM$16)*1*(1-0.02)</f>
        <v>90.654697600755071</v>
      </c>
      <c r="AA274" s="75">
        <f>('TE BE'!$AB$8+'TE BF'!$AB$8+'TE CVA'!$AB$8)*1*(1-0.02)</f>
        <v>194.21830884065065</v>
      </c>
      <c r="AB274" s="75">
        <f>(SUBSIDIO!$J$274*SUBSIDIO!$V$274)*(0.04)/(1-0.04)</f>
        <v>0</v>
      </c>
      <c r="AC274" s="75">
        <f>((SUBSIDIO!$L$274*SUBSIDIO!$W$274)+(SUBSIDIO!$N$274*SUBSIDIO!$X$274))*(0.04)/(1-0.04)</f>
        <v>14596.8490824</v>
      </c>
      <c r="AD274" s="75">
        <f>(SUBSIDIO!$J$274*SUBSIDIO!$Y$274)*(0.02)/(1-0.02)</f>
        <v>0</v>
      </c>
      <c r="AE274" s="75">
        <f ca="1">((SUBSIDIO!$L$274*SUBSIDIO!$Z$274)+(SUBSIDIO!$N$274*SUBSIDIO!$AA$274))*(0.02)/(1-0.02)</f>
        <v>8330.6052784491058</v>
      </c>
      <c r="AF274" s="4" t="s">
        <v>638</v>
      </c>
    </row>
    <row r="275" spans="1:32" ht="11.25" customHeight="1" x14ac:dyDescent="0.25">
      <c r="A275" s="4" t="s">
        <v>28</v>
      </c>
      <c r="B275" s="4" t="s">
        <v>35</v>
      </c>
      <c r="C275" s="4" t="s">
        <v>39</v>
      </c>
      <c r="D275" s="4" t="s">
        <v>42</v>
      </c>
      <c r="E275" s="4" t="s">
        <v>25</v>
      </c>
      <c r="F275" s="4" t="s">
        <v>25</v>
      </c>
      <c r="G275" s="4" t="s">
        <v>25</v>
      </c>
      <c r="H275" s="4" t="s">
        <v>38</v>
      </c>
      <c r="I275" s="5">
        <v>44501</v>
      </c>
      <c r="J275" s="6">
        <v>0</v>
      </c>
      <c r="K275" s="75">
        <v>0</v>
      </c>
      <c r="L275" s="6">
        <v>9.89</v>
      </c>
      <c r="M275" s="75">
        <v>9.89</v>
      </c>
      <c r="N275" s="6">
        <v>9.89</v>
      </c>
      <c r="O275" s="75">
        <v>9.89</v>
      </c>
      <c r="P275" s="6">
        <v>0</v>
      </c>
      <c r="Q275" s="4" t="s">
        <v>26</v>
      </c>
      <c r="R275" s="4">
        <v>0</v>
      </c>
      <c r="S275" s="4">
        <v>0</v>
      </c>
      <c r="T275" s="4">
        <v>25</v>
      </c>
      <c r="U275" s="4">
        <v>59</v>
      </c>
      <c r="V275" s="75">
        <f>IF(ISERROR(VLOOKUP($S$275,'TAR FIN'!$A$1:$O$93,15,0)),0,VLOOKUP($S$275,'TAR FIN'!$A$1:$O$93,15,0))</f>
        <v>0</v>
      </c>
      <c r="W275" s="75">
        <f>IF(ISERROR(VLOOKUP($T$275,'TAR FIN'!$A$1:$O$93,15,0)),0,VLOOKUP($T$275,'TAR FIN'!$A$1:$O$93,15,0))*(1-0.04)</f>
        <v>66.710399999999993</v>
      </c>
      <c r="X275" s="75">
        <f>IF(ISERROR(VLOOKUP($U$275,'TAR FIN'!$A$1:$O$93,15,0)),0,VLOOKUP($U$275,'TAR FIN'!$A$1:$O$93,15,0))*(1-0.04)</f>
        <v>177.77279999999999</v>
      </c>
      <c r="Y275" s="75"/>
      <c r="Z275" s="75">
        <f ca="1">('TUSD BE'!$AM$16+'TUSD BF'!$AM$16+'TUSD CVA'!$AM$16)*1*(1-0.02)</f>
        <v>90.654697600755071</v>
      </c>
      <c r="AA275" s="75">
        <f>('TE BE'!$AB$8+'TE BF'!$AB$8+'TE CVA'!$AB$8)*1*(1-0.02)</f>
        <v>194.21830884065065</v>
      </c>
      <c r="AB275" s="75">
        <f>(SUBSIDIO!$J$275*SUBSIDIO!$V$275)*(0.04)/(1-0.04)</f>
        <v>0</v>
      </c>
      <c r="AC275" s="75">
        <f>((SUBSIDIO!$L$275*SUBSIDIO!$W$275)+(SUBSIDIO!$N$275*SUBSIDIO!$X$275))*(0.04)/(1-0.04)</f>
        <v>100.74745200000001</v>
      </c>
      <c r="AD275" s="75">
        <f>(SUBSIDIO!$J$275*SUBSIDIO!$Y$275)*(0.02)/(1-0.02)</f>
        <v>0</v>
      </c>
      <c r="AE275" s="75">
        <f ca="1">((SUBSIDIO!$L$275*SUBSIDIO!$Z$275)+(SUBSIDIO!$N$275*SUBSIDIO!$AA$275))*(0.02)/(1-0.02)</f>
        <v>57.497837422561282</v>
      </c>
      <c r="AF275" s="4" t="s">
        <v>638</v>
      </c>
    </row>
    <row r="276" spans="1:32" ht="11.25" customHeight="1" x14ac:dyDescent="0.25">
      <c r="A276" s="4" t="s">
        <v>21</v>
      </c>
      <c r="B276" s="4" t="s">
        <v>35</v>
      </c>
      <c r="C276" s="4" t="s">
        <v>39</v>
      </c>
      <c r="D276" s="4" t="s">
        <v>42</v>
      </c>
      <c r="E276" s="4" t="s">
        <v>25</v>
      </c>
      <c r="F276" s="4" t="s">
        <v>25</v>
      </c>
      <c r="G276" s="4" t="s">
        <v>25</v>
      </c>
      <c r="H276" s="4" t="s">
        <v>38</v>
      </c>
      <c r="I276" s="5">
        <v>44531</v>
      </c>
      <c r="J276" s="6">
        <v>0</v>
      </c>
      <c r="K276" s="75">
        <v>0</v>
      </c>
      <c r="L276" s="6">
        <v>1923.298</v>
      </c>
      <c r="M276" s="75">
        <v>1923.298</v>
      </c>
      <c r="N276" s="6">
        <v>1923.298</v>
      </c>
      <c r="O276" s="75">
        <v>1923.298</v>
      </c>
      <c r="P276" s="6">
        <v>0</v>
      </c>
      <c r="Q276" s="4" t="s">
        <v>26</v>
      </c>
      <c r="R276" s="4">
        <v>0</v>
      </c>
      <c r="S276" s="4">
        <v>0</v>
      </c>
      <c r="T276" s="4">
        <v>25</v>
      </c>
      <c r="U276" s="4">
        <v>59</v>
      </c>
      <c r="V276" s="75">
        <f>IF(ISERROR(VLOOKUP($S$276,'TAR FIN'!$A$1:$O$93,15,0)),0,VLOOKUP($S$276,'TAR FIN'!$A$1:$O$93,15,0))</f>
        <v>0</v>
      </c>
      <c r="W276" s="75">
        <f>IF(ISERROR(VLOOKUP($T$276,'TAR FIN'!$A$1:$O$93,15,0)),0,VLOOKUP($T$276,'TAR FIN'!$A$1:$O$93,15,0))*(1-0.04)</f>
        <v>66.710399999999993</v>
      </c>
      <c r="X276" s="75">
        <f>IF(ISERROR(VLOOKUP($U$276,'TAR FIN'!$A$1:$O$93,15,0)),0,VLOOKUP($U$276,'TAR FIN'!$A$1:$O$93,15,0))*(1-0.04)</f>
        <v>177.77279999999999</v>
      </c>
      <c r="Y276" s="75"/>
      <c r="Z276" s="75">
        <f ca="1">('TUSD BE'!$AM$16+'TUSD BF'!$AM$16+'TUSD CVA'!$AM$16)*1*(1-0.02)</f>
        <v>90.654697600755071</v>
      </c>
      <c r="AA276" s="75">
        <f>('TE BE'!$AB$8+'TE BF'!$AB$8+'TE CVA'!$AB$8)*1*(1-0.02)</f>
        <v>194.21830884065065</v>
      </c>
      <c r="AB276" s="75">
        <f>(SUBSIDIO!$J$276*SUBSIDIO!$V$276)*(0.04)/(1-0.04)</f>
        <v>0</v>
      </c>
      <c r="AC276" s="75">
        <f>((SUBSIDIO!$L$276*SUBSIDIO!$W$276)+(SUBSIDIO!$N$276*SUBSIDIO!$X$276))*(0.04)/(1-0.04)</f>
        <v>19592.2520664</v>
      </c>
      <c r="AD276" s="75">
        <f>(SUBSIDIO!$J$276*SUBSIDIO!$Y$276)*(0.02)/(1-0.02)</f>
        <v>0</v>
      </c>
      <c r="AE276" s="75">
        <f ca="1">((SUBSIDIO!$L$276*SUBSIDIO!$Z$276)+(SUBSIDIO!$N$276*SUBSIDIO!$AA$276))*(0.02)/(1-0.02)</f>
        <v>11181.544562096791</v>
      </c>
      <c r="AF276" s="4" t="s">
        <v>638</v>
      </c>
    </row>
    <row r="277" spans="1:32" ht="11.25" customHeight="1" x14ac:dyDescent="0.25">
      <c r="A277" s="4" t="s">
        <v>21</v>
      </c>
      <c r="B277" s="4" t="s">
        <v>35</v>
      </c>
      <c r="C277" s="4" t="s">
        <v>39</v>
      </c>
      <c r="D277" s="4" t="s">
        <v>42</v>
      </c>
      <c r="E277" s="4" t="s">
        <v>25</v>
      </c>
      <c r="F277" s="4" t="s">
        <v>25</v>
      </c>
      <c r="G277" s="4" t="s">
        <v>25</v>
      </c>
      <c r="H277" s="4" t="s">
        <v>38</v>
      </c>
      <c r="I277" s="5">
        <v>44562</v>
      </c>
      <c r="J277" s="6">
        <v>0</v>
      </c>
      <c r="K277" s="75">
        <v>0</v>
      </c>
      <c r="L277" s="6">
        <v>1558.232</v>
      </c>
      <c r="M277" s="75">
        <v>1558.232</v>
      </c>
      <c r="N277" s="6">
        <v>1558.232</v>
      </c>
      <c r="O277" s="75">
        <v>1558.232</v>
      </c>
      <c r="P277" s="6">
        <v>0</v>
      </c>
      <c r="Q277" s="4" t="s">
        <v>26</v>
      </c>
      <c r="R277" s="4">
        <v>0</v>
      </c>
      <c r="S277" s="4">
        <v>0</v>
      </c>
      <c r="T277" s="4">
        <v>25</v>
      </c>
      <c r="U277" s="4">
        <v>59</v>
      </c>
      <c r="V277" s="75">
        <f>IF(ISERROR(VLOOKUP($S$277,'TAR FIN'!$A$1:$O$93,15,0)),0,VLOOKUP($S$277,'TAR FIN'!$A$1:$O$93,15,0))</f>
        <v>0</v>
      </c>
      <c r="W277" s="75">
        <f>IF(ISERROR(VLOOKUP($T$277,'TAR FIN'!$A$1:$O$93,15,0)),0,VLOOKUP($T$277,'TAR FIN'!$A$1:$O$93,15,0))*(1-0.04)</f>
        <v>66.710399999999993</v>
      </c>
      <c r="X277" s="75">
        <f>IF(ISERROR(VLOOKUP($U$277,'TAR FIN'!$A$1:$O$93,15,0)),0,VLOOKUP($U$277,'TAR FIN'!$A$1:$O$93,15,0))*(1-0.04)</f>
        <v>177.77279999999999</v>
      </c>
      <c r="Y277" s="75"/>
      <c r="Z277" s="75">
        <f ca="1">('TUSD BE'!$AM$16+'TUSD BF'!$AM$16+'TUSD CVA'!$AM$16)*1*(1-0.02)</f>
        <v>90.654697600755071</v>
      </c>
      <c r="AA277" s="75">
        <f>('TE BE'!$AB$8+'TE BF'!$AB$8+'TE CVA'!$AB$8)*1*(1-0.02)</f>
        <v>194.21830884065065</v>
      </c>
      <c r="AB277" s="75">
        <f>(SUBSIDIO!$J$277*SUBSIDIO!$V$277)*(0.04)/(1-0.04)</f>
        <v>0</v>
      </c>
      <c r="AC277" s="75">
        <f>((SUBSIDIO!$L$277*SUBSIDIO!$W$277)+(SUBSIDIO!$N$277*SUBSIDIO!$X$277))*(0.04)/(1-0.04)</f>
        <v>15873.397737599997</v>
      </c>
      <c r="AD277" s="75">
        <f>(SUBSIDIO!$J$277*SUBSIDIO!$Y$277)*(0.02)/(1-0.02)</f>
        <v>0</v>
      </c>
      <c r="AE277" s="75">
        <f ca="1">((SUBSIDIO!$L$277*SUBSIDIO!$Z$277)+(SUBSIDIO!$N$277*SUBSIDIO!$AA$277))*(0.02)/(1-0.02)</f>
        <v>9059.1476443511128</v>
      </c>
      <c r="AF277" s="4" t="s">
        <v>638</v>
      </c>
    </row>
    <row r="278" spans="1:32" ht="11.25" customHeight="1" x14ac:dyDescent="0.25">
      <c r="A278" s="4" t="s">
        <v>27</v>
      </c>
      <c r="B278" s="4" t="s">
        <v>35</v>
      </c>
      <c r="C278" s="4" t="s">
        <v>39</v>
      </c>
      <c r="D278" s="4" t="s">
        <v>42</v>
      </c>
      <c r="E278" s="4" t="s">
        <v>25</v>
      </c>
      <c r="F278" s="4" t="s">
        <v>25</v>
      </c>
      <c r="G278" s="4" t="s">
        <v>25</v>
      </c>
      <c r="H278" s="4" t="s">
        <v>38</v>
      </c>
      <c r="I278" s="5">
        <v>44562</v>
      </c>
      <c r="J278" s="6">
        <v>0</v>
      </c>
      <c r="K278" s="75">
        <v>0</v>
      </c>
      <c r="L278" s="6">
        <v>-38.384999999999998</v>
      </c>
      <c r="M278" s="75">
        <v>-38.384999999999998</v>
      </c>
      <c r="N278" s="6">
        <v>-38.384999999999998</v>
      </c>
      <c r="O278" s="75">
        <v>-38.384999999999998</v>
      </c>
      <c r="P278" s="6">
        <v>0</v>
      </c>
      <c r="Q278" s="4" t="s">
        <v>26</v>
      </c>
      <c r="R278" s="4">
        <v>0</v>
      </c>
      <c r="S278" s="4">
        <v>0</v>
      </c>
      <c r="T278" s="4">
        <v>25</v>
      </c>
      <c r="U278" s="4">
        <v>59</v>
      </c>
      <c r="V278" s="75">
        <f>IF(ISERROR(VLOOKUP($S$278,'TAR FIN'!$A$1:$O$93,15,0)),0,VLOOKUP($S$278,'TAR FIN'!$A$1:$O$93,15,0))</f>
        <v>0</v>
      </c>
      <c r="W278" s="75">
        <f>IF(ISERROR(VLOOKUP($T$278,'TAR FIN'!$A$1:$O$93,15,0)),0,VLOOKUP($T$278,'TAR FIN'!$A$1:$O$93,15,0))*(1-0.04)</f>
        <v>66.710399999999993</v>
      </c>
      <c r="X278" s="75">
        <f>IF(ISERROR(VLOOKUP($U$278,'TAR FIN'!$A$1:$O$93,15,0)),0,VLOOKUP($U$278,'TAR FIN'!$A$1:$O$93,15,0))*(1-0.04)</f>
        <v>177.77279999999999</v>
      </c>
      <c r="Y278" s="75"/>
      <c r="Z278" s="75">
        <f ca="1">('TUSD BE'!$AM$16+'TUSD BF'!$AM$16+'TUSD CVA'!$AM$16)*1*(1-0.02)</f>
        <v>90.654697600755071</v>
      </c>
      <c r="AA278" s="75">
        <f>('TE BE'!$AB$8+'TE BF'!$AB$8+'TE CVA'!$AB$8)*1*(1-0.02)</f>
        <v>194.21830884065065</v>
      </c>
      <c r="AB278" s="75">
        <f>(SUBSIDIO!$J$278*SUBSIDIO!$V$278)*(0.04)/(1-0.04)</f>
        <v>0</v>
      </c>
      <c r="AC278" s="75">
        <f>((SUBSIDIO!$L$278*SUBSIDIO!$W$278)+(SUBSIDIO!$N$278*SUBSIDIO!$X$278))*(0.04)/(1-0.04)</f>
        <v>-391.02031799999992</v>
      </c>
      <c r="AD278" s="75">
        <f>(SUBSIDIO!$J$278*SUBSIDIO!$Y$278)*(0.02)/(1-0.02)</f>
        <v>0</v>
      </c>
      <c r="AE278" s="75">
        <f ca="1">((SUBSIDIO!$L$278*SUBSIDIO!$Z$278)+(SUBSIDIO!$N$278*SUBSIDIO!$AA$278))*(0.02)/(1-0.02)</f>
        <v>-223.16021127047668</v>
      </c>
      <c r="AF278" s="4" t="s">
        <v>638</v>
      </c>
    </row>
    <row r="279" spans="1:32" ht="11.25" customHeight="1" x14ac:dyDescent="0.25">
      <c r="A279" s="4" t="s">
        <v>28</v>
      </c>
      <c r="B279" s="4" t="s">
        <v>35</v>
      </c>
      <c r="C279" s="4" t="s">
        <v>39</v>
      </c>
      <c r="D279" s="4" t="s">
        <v>42</v>
      </c>
      <c r="E279" s="4" t="s">
        <v>25</v>
      </c>
      <c r="F279" s="4" t="s">
        <v>25</v>
      </c>
      <c r="G279" s="4" t="s">
        <v>25</v>
      </c>
      <c r="H279" s="4" t="s">
        <v>38</v>
      </c>
      <c r="I279" s="5">
        <v>44562</v>
      </c>
      <c r="J279" s="6">
        <v>0</v>
      </c>
      <c r="K279" s="75">
        <v>0</v>
      </c>
      <c r="L279" s="6">
        <v>11.084</v>
      </c>
      <c r="M279" s="75">
        <v>11.084</v>
      </c>
      <c r="N279" s="6">
        <v>11.084</v>
      </c>
      <c r="O279" s="75">
        <v>11.084</v>
      </c>
      <c r="P279" s="6">
        <v>0</v>
      </c>
      <c r="Q279" s="4" t="s">
        <v>26</v>
      </c>
      <c r="R279" s="4">
        <v>0</v>
      </c>
      <c r="S279" s="4">
        <v>0</v>
      </c>
      <c r="T279" s="4">
        <v>25</v>
      </c>
      <c r="U279" s="4">
        <v>59</v>
      </c>
      <c r="V279" s="75">
        <f>IF(ISERROR(VLOOKUP($S$279,'TAR FIN'!$A$1:$O$93,15,0)),0,VLOOKUP($S$279,'TAR FIN'!$A$1:$O$93,15,0))</f>
        <v>0</v>
      </c>
      <c r="W279" s="75">
        <f>IF(ISERROR(VLOOKUP($T$279,'TAR FIN'!$A$1:$O$93,15,0)),0,VLOOKUP($T$279,'TAR FIN'!$A$1:$O$93,15,0))*(1-0.04)</f>
        <v>66.710399999999993</v>
      </c>
      <c r="X279" s="75">
        <f>IF(ISERROR(VLOOKUP($U$279,'TAR FIN'!$A$1:$O$93,15,0)),0,VLOOKUP($U$279,'TAR FIN'!$A$1:$O$93,15,0))*(1-0.04)</f>
        <v>177.77279999999999</v>
      </c>
      <c r="Y279" s="75"/>
      <c r="Z279" s="75">
        <f ca="1">('TUSD BE'!$AM$16+'TUSD BF'!$AM$16+'TUSD CVA'!$AM$16)*1*(1-0.02)</f>
        <v>90.654697600755071</v>
      </c>
      <c r="AA279" s="75">
        <f>('TE BE'!$AB$8+'TE BF'!$AB$8+'TE CVA'!$AB$8)*1*(1-0.02)</f>
        <v>194.21830884065065</v>
      </c>
      <c r="AB279" s="75">
        <f>(SUBSIDIO!$J$279*SUBSIDIO!$V$279)*(0.04)/(1-0.04)</f>
        <v>0</v>
      </c>
      <c r="AC279" s="75">
        <f>((SUBSIDIO!$L$279*SUBSIDIO!$W$279)+(SUBSIDIO!$N$279*SUBSIDIO!$X$279))*(0.04)/(1-0.04)</f>
        <v>112.9104912</v>
      </c>
      <c r="AD279" s="75">
        <f>(SUBSIDIO!$J$279*SUBSIDIO!$Y$279)*(0.02)/(1-0.02)</f>
        <v>0</v>
      </c>
      <c r="AE279" s="75">
        <f ca="1">((SUBSIDIO!$L$279*SUBSIDIO!$Z$279)+(SUBSIDIO!$N$279*SUBSIDIO!$AA$279))*(0.02)/(1-0.02)</f>
        <v>64.439436804011038</v>
      </c>
      <c r="AF279" s="4" t="s">
        <v>638</v>
      </c>
    </row>
    <row r="280" spans="1:32" ht="11.25" customHeight="1" x14ac:dyDescent="0.25">
      <c r="A280" s="4" t="s">
        <v>21</v>
      </c>
      <c r="B280" s="4" t="s">
        <v>35</v>
      </c>
      <c r="C280" s="4" t="s">
        <v>39</v>
      </c>
      <c r="D280" s="4" t="s">
        <v>42</v>
      </c>
      <c r="E280" s="4" t="s">
        <v>25</v>
      </c>
      <c r="F280" s="4" t="s">
        <v>25</v>
      </c>
      <c r="G280" s="4" t="s">
        <v>25</v>
      </c>
      <c r="H280" s="4" t="s">
        <v>38</v>
      </c>
      <c r="I280" s="5">
        <v>44593</v>
      </c>
      <c r="J280" s="6">
        <v>0</v>
      </c>
      <c r="K280" s="75">
        <v>0</v>
      </c>
      <c r="L280" s="6">
        <v>2249.62</v>
      </c>
      <c r="M280" s="75">
        <v>2249.62</v>
      </c>
      <c r="N280" s="6">
        <v>2249.62</v>
      </c>
      <c r="O280" s="75">
        <v>2249.62</v>
      </c>
      <c r="P280" s="6">
        <v>0</v>
      </c>
      <c r="Q280" s="4" t="s">
        <v>26</v>
      </c>
      <c r="R280" s="4">
        <v>0</v>
      </c>
      <c r="S280" s="4">
        <v>0</v>
      </c>
      <c r="T280" s="4">
        <v>25</v>
      </c>
      <c r="U280" s="4">
        <v>59</v>
      </c>
      <c r="V280" s="75">
        <f>IF(ISERROR(VLOOKUP($S$280,'TAR FIN'!$A$1:$O$93,15,0)),0,VLOOKUP($S$280,'TAR FIN'!$A$1:$O$93,15,0))</f>
        <v>0</v>
      </c>
      <c r="W280" s="75">
        <f>IF(ISERROR(VLOOKUP($T$280,'TAR FIN'!$A$1:$O$93,15,0)),0,VLOOKUP($T$280,'TAR FIN'!$A$1:$O$93,15,0))*(1-0.04)</f>
        <v>66.710399999999993</v>
      </c>
      <c r="X280" s="75">
        <f>IF(ISERROR(VLOOKUP($U$280,'TAR FIN'!$A$1:$O$93,15,0)),0,VLOOKUP($U$280,'TAR FIN'!$A$1:$O$93,15,0))*(1-0.04)</f>
        <v>177.77279999999999</v>
      </c>
      <c r="Y280" s="75"/>
      <c r="Z280" s="75">
        <f ca="1">('TUSD BE'!$AM$16+'TUSD BF'!$AM$16+'TUSD CVA'!$AM$16)*1*(1-0.02)</f>
        <v>90.654697600755071</v>
      </c>
      <c r="AA280" s="75">
        <f>('TE BE'!$AB$8+'TE BF'!$AB$8+'TE CVA'!$AB$8)*1*(1-0.02)</f>
        <v>194.21830884065065</v>
      </c>
      <c r="AB280" s="75">
        <f>(SUBSIDIO!$J$280*SUBSIDIO!$V$280)*(0.04)/(1-0.04)</f>
        <v>0</v>
      </c>
      <c r="AC280" s="75">
        <f>((SUBSIDIO!$L$280*SUBSIDIO!$W$280)+(SUBSIDIO!$N$280*SUBSIDIO!$X$280))*(0.04)/(1-0.04)</f>
        <v>22916.429015999998</v>
      </c>
      <c r="AD280" s="75">
        <f>(SUBSIDIO!$J$280*SUBSIDIO!$Y$280)*(0.02)/(1-0.02)</f>
        <v>0</v>
      </c>
      <c r="AE280" s="75">
        <f ca="1">((SUBSIDIO!$L$280*SUBSIDIO!$Z$280)+(SUBSIDIO!$N$280*SUBSIDIO!$AA$280))*(0.02)/(1-0.02)</f>
        <v>13078.694137769697</v>
      </c>
      <c r="AF280" s="4" t="s">
        <v>638</v>
      </c>
    </row>
    <row r="281" spans="1:32" ht="11.25" customHeight="1" x14ac:dyDescent="0.25">
      <c r="A281" s="4" t="s">
        <v>27</v>
      </c>
      <c r="B281" s="4" t="s">
        <v>35</v>
      </c>
      <c r="C281" s="4" t="s">
        <v>39</v>
      </c>
      <c r="D281" s="4" t="s">
        <v>42</v>
      </c>
      <c r="E281" s="4" t="s">
        <v>25</v>
      </c>
      <c r="F281" s="4" t="s">
        <v>25</v>
      </c>
      <c r="G281" s="4" t="s">
        <v>25</v>
      </c>
      <c r="H281" s="4" t="s">
        <v>38</v>
      </c>
      <c r="I281" s="5">
        <v>44593</v>
      </c>
      <c r="J281" s="6">
        <v>0</v>
      </c>
      <c r="K281" s="75">
        <v>0</v>
      </c>
      <c r="L281" s="6">
        <v>-82.99</v>
      </c>
      <c r="M281" s="75">
        <v>-82.99</v>
      </c>
      <c r="N281" s="6">
        <v>-82.99</v>
      </c>
      <c r="O281" s="75">
        <v>-82.99</v>
      </c>
      <c r="P281" s="6">
        <v>0</v>
      </c>
      <c r="Q281" s="4" t="s">
        <v>26</v>
      </c>
      <c r="R281" s="4">
        <v>0</v>
      </c>
      <c r="S281" s="4">
        <v>0</v>
      </c>
      <c r="T281" s="4">
        <v>25</v>
      </c>
      <c r="U281" s="4">
        <v>59</v>
      </c>
      <c r="V281" s="75">
        <f>IF(ISERROR(VLOOKUP($S$281,'TAR FIN'!$A$1:$O$93,15,0)),0,VLOOKUP($S$281,'TAR FIN'!$A$1:$O$93,15,0))</f>
        <v>0</v>
      </c>
      <c r="W281" s="75">
        <f>IF(ISERROR(VLOOKUP($T$281,'TAR FIN'!$A$1:$O$93,15,0)),0,VLOOKUP($T$281,'TAR FIN'!$A$1:$O$93,15,0))*(1-0.04)</f>
        <v>66.710399999999993</v>
      </c>
      <c r="X281" s="75">
        <f>IF(ISERROR(VLOOKUP($U$281,'TAR FIN'!$A$1:$O$93,15,0)),0,VLOOKUP($U$281,'TAR FIN'!$A$1:$O$93,15,0))*(1-0.04)</f>
        <v>177.77279999999999</v>
      </c>
      <c r="Y281" s="75"/>
      <c r="Z281" s="75">
        <f ca="1">('TUSD BE'!$AM$16+'TUSD BF'!$AM$16+'TUSD CVA'!$AM$16)*1*(1-0.02)</f>
        <v>90.654697600755071</v>
      </c>
      <c r="AA281" s="75">
        <f>('TE BE'!$AB$8+'TE BF'!$AB$8+'TE CVA'!$AB$8)*1*(1-0.02)</f>
        <v>194.21830884065065</v>
      </c>
      <c r="AB281" s="75">
        <f>(SUBSIDIO!$J$281*SUBSIDIO!$V$281)*(0.04)/(1-0.04)</f>
        <v>0</v>
      </c>
      <c r="AC281" s="75">
        <f>((SUBSIDIO!$L$281*SUBSIDIO!$W$281)+(SUBSIDIO!$N$281*SUBSIDIO!$X$281))*(0.04)/(1-0.04)</f>
        <v>-845.40253199999995</v>
      </c>
      <c r="AD281" s="75">
        <f>(SUBSIDIO!$J$281*SUBSIDIO!$Y$281)*(0.02)/(1-0.02)</f>
        <v>0</v>
      </c>
      <c r="AE281" s="75">
        <f ca="1">((SUBSIDIO!$L$281*SUBSIDIO!$Z$281)+(SUBSIDIO!$N$281*SUBSIDIO!$AA$281))*(0.02)/(1-0.02)</f>
        <v>-482.48185315453588</v>
      </c>
      <c r="AF281" s="4" t="s">
        <v>638</v>
      </c>
    </row>
    <row r="282" spans="1:32" ht="11.25" customHeight="1" x14ac:dyDescent="0.25">
      <c r="A282" s="4" t="s">
        <v>28</v>
      </c>
      <c r="B282" s="4" t="s">
        <v>35</v>
      </c>
      <c r="C282" s="4" t="s">
        <v>39</v>
      </c>
      <c r="D282" s="4" t="s">
        <v>42</v>
      </c>
      <c r="E282" s="4" t="s">
        <v>25</v>
      </c>
      <c r="F282" s="4" t="s">
        <v>25</v>
      </c>
      <c r="G282" s="4" t="s">
        <v>25</v>
      </c>
      <c r="H282" s="4" t="s">
        <v>38</v>
      </c>
      <c r="I282" s="5">
        <v>44593</v>
      </c>
      <c r="J282" s="6">
        <v>0</v>
      </c>
      <c r="K282" s="75">
        <v>0</v>
      </c>
      <c r="L282" s="6">
        <v>47.274000000000001</v>
      </c>
      <c r="M282" s="75">
        <v>47.274000000000001</v>
      </c>
      <c r="N282" s="6">
        <v>47.274000000000001</v>
      </c>
      <c r="O282" s="75">
        <v>47.274000000000001</v>
      </c>
      <c r="P282" s="6">
        <v>0</v>
      </c>
      <c r="Q282" s="4" t="s">
        <v>26</v>
      </c>
      <c r="R282" s="4">
        <v>0</v>
      </c>
      <c r="S282" s="4">
        <v>0</v>
      </c>
      <c r="T282" s="4">
        <v>25</v>
      </c>
      <c r="U282" s="4">
        <v>59</v>
      </c>
      <c r="V282" s="75">
        <f>IF(ISERROR(VLOOKUP($S$282,'TAR FIN'!$A$1:$O$93,15,0)),0,VLOOKUP($S$282,'TAR FIN'!$A$1:$O$93,15,0))</f>
        <v>0</v>
      </c>
      <c r="W282" s="75">
        <f>IF(ISERROR(VLOOKUP($T$282,'TAR FIN'!$A$1:$O$93,15,0)),0,VLOOKUP($T$282,'TAR FIN'!$A$1:$O$93,15,0))*(1-0.04)</f>
        <v>66.710399999999993</v>
      </c>
      <c r="X282" s="75">
        <f>IF(ISERROR(VLOOKUP($U$282,'TAR FIN'!$A$1:$O$93,15,0)),0,VLOOKUP($U$282,'TAR FIN'!$A$1:$O$93,15,0))*(1-0.04)</f>
        <v>177.77279999999999</v>
      </c>
      <c r="Y282" s="75"/>
      <c r="Z282" s="75">
        <f ca="1">('TUSD BE'!$AM$16+'TUSD BF'!$AM$16+'TUSD CVA'!$AM$16)*1*(1-0.02)</f>
        <v>90.654697600755071</v>
      </c>
      <c r="AA282" s="75">
        <f>('TE BE'!$AB$8+'TE BF'!$AB$8+'TE CVA'!$AB$8)*1*(1-0.02)</f>
        <v>194.21830884065065</v>
      </c>
      <c r="AB282" s="75">
        <f>(SUBSIDIO!$J$282*SUBSIDIO!$V$282)*(0.04)/(1-0.04)</f>
        <v>0</v>
      </c>
      <c r="AC282" s="75">
        <f>((SUBSIDIO!$L$282*SUBSIDIO!$W$282)+(SUBSIDIO!$N$282*SUBSIDIO!$X$282))*(0.04)/(1-0.04)</f>
        <v>481.57078319999999</v>
      </c>
      <c r="AD282" s="75">
        <f>(SUBSIDIO!$J$282*SUBSIDIO!$Y$282)*(0.02)/(1-0.02)</f>
        <v>0</v>
      </c>
      <c r="AE282" s="75">
        <f ca="1">((SUBSIDIO!$L$282*SUBSIDIO!$Z$282)+(SUBSIDIO!$N$282*SUBSIDIO!$AA$282))*(0.02)/(1-0.02)</f>
        <v>274.83850013287787</v>
      </c>
      <c r="AF282" s="4" t="s">
        <v>638</v>
      </c>
    </row>
    <row r="283" spans="1:32" ht="11.25" customHeight="1" x14ac:dyDescent="0.25">
      <c r="A283" s="4" t="s">
        <v>21</v>
      </c>
      <c r="B283" s="4" t="s">
        <v>35</v>
      </c>
      <c r="C283" s="4" t="s">
        <v>39</v>
      </c>
      <c r="D283" s="4" t="s">
        <v>42</v>
      </c>
      <c r="E283" s="4" t="s">
        <v>25</v>
      </c>
      <c r="F283" s="4" t="s">
        <v>25</v>
      </c>
      <c r="G283" s="4" t="s">
        <v>25</v>
      </c>
      <c r="H283" s="4" t="s">
        <v>38</v>
      </c>
      <c r="I283" s="5">
        <v>44621</v>
      </c>
      <c r="J283" s="6">
        <v>0</v>
      </c>
      <c r="K283" s="75">
        <v>0</v>
      </c>
      <c r="L283" s="6">
        <v>1768.328</v>
      </c>
      <c r="M283" s="75">
        <v>1768.328</v>
      </c>
      <c r="N283" s="6">
        <v>1768.328</v>
      </c>
      <c r="O283" s="75">
        <v>1768.328</v>
      </c>
      <c r="P283" s="6">
        <v>0</v>
      </c>
      <c r="Q283" s="4" t="s">
        <v>26</v>
      </c>
      <c r="R283" s="4">
        <v>0</v>
      </c>
      <c r="S283" s="4">
        <v>0</v>
      </c>
      <c r="T283" s="4">
        <v>25</v>
      </c>
      <c r="U283" s="4">
        <v>59</v>
      </c>
      <c r="V283" s="75">
        <f>IF(ISERROR(VLOOKUP($S$283,'TAR FIN'!$A$1:$O$93,15,0)),0,VLOOKUP($S$283,'TAR FIN'!$A$1:$O$93,15,0))</f>
        <v>0</v>
      </c>
      <c r="W283" s="75">
        <f>IF(ISERROR(VLOOKUP($T$283,'TAR FIN'!$A$1:$O$93,15,0)),0,VLOOKUP($T$283,'TAR FIN'!$A$1:$O$93,15,0))*(1-0.04)</f>
        <v>66.710399999999993</v>
      </c>
      <c r="X283" s="75">
        <f>IF(ISERROR(VLOOKUP($U$283,'TAR FIN'!$A$1:$O$93,15,0)),0,VLOOKUP($U$283,'TAR FIN'!$A$1:$O$93,15,0))*(1-0.04)</f>
        <v>177.77279999999999</v>
      </c>
      <c r="Y283" s="75"/>
      <c r="Z283" s="75">
        <f ca="1">('TUSD BE'!$AM$16+'TUSD BF'!$AM$16+'TUSD CVA'!$AM$16)*1*(1-0.02)</f>
        <v>90.654697600755071</v>
      </c>
      <c r="AA283" s="75">
        <f>('TE BE'!$AB$8+'TE BF'!$AB$8+'TE CVA'!$AB$8)*1*(1-0.02)</f>
        <v>194.21830884065065</v>
      </c>
      <c r="AB283" s="75">
        <f>(SUBSIDIO!$J$283*SUBSIDIO!$V$283)*(0.04)/(1-0.04)</f>
        <v>0</v>
      </c>
      <c r="AC283" s="75">
        <f>((SUBSIDIO!$L$283*SUBSIDIO!$W$283)+(SUBSIDIO!$N$283*SUBSIDIO!$X$283))*(0.04)/(1-0.04)</f>
        <v>18013.603670400003</v>
      </c>
      <c r="AD283" s="75">
        <f>(SUBSIDIO!$J$283*SUBSIDIO!$Y$283)*(0.02)/(1-0.02)</f>
        <v>0</v>
      </c>
      <c r="AE283" s="75">
        <f ca="1">((SUBSIDIO!$L$283*SUBSIDIO!$Z$283)+(SUBSIDIO!$N$283*SUBSIDIO!$AA$283))*(0.02)/(1-0.02)</f>
        <v>10280.590076214656</v>
      </c>
      <c r="AF283" s="4" t="s">
        <v>638</v>
      </c>
    </row>
    <row r="284" spans="1:32" ht="11.25" customHeight="1" x14ac:dyDescent="0.25">
      <c r="A284" s="4" t="s">
        <v>27</v>
      </c>
      <c r="B284" s="4" t="s">
        <v>35</v>
      </c>
      <c r="C284" s="4" t="s">
        <v>39</v>
      </c>
      <c r="D284" s="4" t="s">
        <v>42</v>
      </c>
      <c r="E284" s="4" t="s">
        <v>25</v>
      </c>
      <c r="F284" s="4" t="s">
        <v>25</v>
      </c>
      <c r="G284" s="4" t="s">
        <v>25</v>
      </c>
      <c r="H284" s="4" t="s">
        <v>38</v>
      </c>
      <c r="I284" s="5">
        <v>44621</v>
      </c>
      <c r="J284" s="6">
        <v>0</v>
      </c>
      <c r="K284" s="75">
        <v>0</v>
      </c>
      <c r="L284" s="6">
        <v>-48.512999999999998</v>
      </c>
      <c r="M284" s="75">
        <v>-48.512999999999998</v>
      </c>
      <c r="N284" s="6">
        <v>-48.512999999999998</v>
      </c>
      <c r="O284" s="75">
        <v>-48.512999999999998</v>
      </c>
      <c r="P284" s="6">
        <v>0</v>
      </c>
      <c r="Q284" s="4" t="s">
        <v>26</v>
      </c>
      <c r="R284" s="4">
        <v>0</v>
      </c>
      <c r="S284" s="4">
        <v>0</v>
      </c>
      <c r="T284" s="4">
        <v>25</v>
      </c>
      <c r="U284" s="4">
        <v>59</v>
      </c>
      <c r="V284" s="75">
        <f>IF(ISERROR(VLOOKUP($S$284,'TAR FIN'!$A$1:$O$93,15,0)),0,VLOOKUP($S$284,'TAR FIN'!$A$1:$O$93,15,0))</f>
        <v>0</v>
      </c>
      <c r="W284" s="75">
        <f>IF(ISERROR(VLOOKUP($T$284,'TAR FIN'!$A$1:$O$93,15,0)),0,VLOOKUP($T$284,'TAR FIN'!$A$1:$O$93,15,0))*(1-0.04)</f>
        <v>66.710399999999993</v>
      </c>
      <c r="X284" s="75">
        <f>IF(ISERROR(VLOOKUP($U$284,'TAR FIN'!$A$1:$O$93,15,0)),0,VLOOKUP($U$284,'TAR FIN'!$A$1:$O$93,15,0))*(1-0.04)</f>
        <v>177.77279999999999</v>
      </c>
      <c r="Y284" s="75"/>
      <c r="Z284" s="75">
        <f ca="1">('TUSD BE'!$AM$16+'TUSD BF'!$AM$16+'TUSD CVA'!$AM$16)*1*(1-0.02)</f>
        <v>90.654697600755071</v>
      </c>
      <c r="AA284" s="75">
        <f>('TE BE'!$AB$8+'TE BF'!$AB$8+'TE CVA'!$AB$8)*1*(1-0.02)</f>
        <v>194.21830884065065</v>
      </c>
      <c r="AB284" s="75">
        <f>(SUBSIDIO!$J$284*SUBSIDIO!$V$284)*(0.04)/(1-0.04)</f>
        <v>0</v>
      </c>
      <c r="AC284" s="75">
        <f>((SUBSIDIO!$L$284*SUBSIDIO!$W$284)+(SUBSIDIO!$N$284*SUBSIDIO!$X$284))*(0.04)/(1-0.04)</f>
        <v>-494.19222839999998</v>
      </c>
      <c r="AD284" s="75">
        <f>(SUBSIDIO!$J$284*SUBSIDIO!$Y$284)*(0.02)/(1-0.02)</f>
        <v>0</v>
      </c>
      <c r="AE284" s="75">
        <f ca="1">((SUBSIDIO!$L$284*SUBSIDIO!$Z$284)+(SUBSIDIO!$N$284*SUBSIDIO!$AA$284))*(0.02)/(1-0.02)</f>
        <v>-282.04171758146765</v>
      </c>
      <c r="AF284" s="4" t="s">
        <v>638</v>
      </c>
    </row>
    <row r="285" spans="1:32" ht="11.25" customHeight="1" x14ac:dyDescent="0.25">
      <c r="A285" s="4" t="s">
        <v>28</v>
      </c>
      <c r="B285" s="4" t="s">
        <v>35</v>
      </c>
      <c r="C285" s="4" t="s">
        <v>39</v>
      </c>
      <c r="D285" s="4" t="s">
        <v>42</v>
      </c>
      <c r="E285" s="4" t="s">
        <v>25</v>
      </c>
      <c r="F285" s="4" t="s">
        <v>25</v>
      </c>
      <c r="G285" s="4" t="s">
        <v>25</v>
      </c>
      <c r="H285" s="4" t="s">
        <v>38</v>
      </c>
      <c r="I285" s="5">
        <v>44621</v>
      </c>
      <c r="J285" s="6">
        <v>0</v>
      </c>
      <c r="K285" s="75">
        <v>0</v>
      </c>
      <c r="L285" s="6">
        <v>75.542000000000002</v>
      </c>
      <c r="M285" s="75">
        <v>75.542000000000002</v>
      </c>
      <c r="N285" s="6">
        <v>75.542000000000002</v>
      </c>
      <c r="O285" s="75">
        <v>75.542000000000002</v>
      </c>
      <c r="P285" s="6">
        <v>0</v>
      </c>
      <c r="Q285" s="4" t="s">
        <v>26</v>
      </c>
      <c r="R285" s="4">
        <v>0</v>
      </c>
      <c r="S285" s="4">
        <v>0</v>
      </c>
      <c r="T285" s="4">
        <v>25</v>
      </c>
      <c r="U285" s="4">
        <v>59</v>
      </c>
      <c r="V285" s="75">
        <f>IF(ISERROR(VLOOKUP($S$285,'TAR FIN'!$A$1:$O$93,15,0)),0,VLOOKUP($S$285,'TAR FIN'!$A$1:$O$93,15,0))</f>
        <v>0</v>
      </c>
      <c r="W285" s="75">
        <f>IF(ISERROR(VLOOKUP($T$285,'TAR FIN'!$A$1:$O$93,15,0)),0,VLOOKUP($T$285,'TAR FIN'!$A$1:$O$93,15,0))*(1-0.04)</f>
        <v>66.710399999999993</v>
      </c>
      <c r="X285" s="75">
        <f>IF(ISERROR(VLOOKUP($U$285,'TAR FIN'!$A$1:$O$93,15,0)),0,VLOOKUP($U$285,'TAR FIN'!$A$1:$O$93,15,0))*(1-0.04)</f>
        <v>177.77279999999999</v>
      </c>
      <c r="Y285" s="75"/>
      <c r="Z285" s="75">
        <f ca="1">('TUSD BE'!$AM$16+'TUSD BF'!$AM$16+'TUSD CVA'!$AM$16)*1*(1-0.02)</f>
        <v>90.654697600755071</v>
      </c>
      <c r="AA285" s="75">
        <f>('TE BE'!$AB$8+'TE BF'!$AB$8+'TE CVA'!$AB$8)*1*(1-0.02)</f>
        <v>194.21830884065065</v>
      </c>
      <c r="AB285" s="75">
        <f>(SUBSIDIO!$J$285*SUBSIDIO!$V$285)*(0.04)/(1-0.04)</f>
        <v>0</v>
      </c>
      <c r="AC285" s="75">
        <f>((SUBSIDIO!$L$285*SUBSIDIO!$W$285)+(SUBSIDIO!$N$285*SUBSIDIO!$X$285))*(0.04)/(1-0.04)</f>
        <v>769.53124560000003</v>
      </c>
      <c r="AD285" s="75">
        <f>(SUBSIDIO!$J$285*SUBSIDIO!$Y$285)*(0.02)/(1-0.02)</f>
        <v>0</v>
      </c>
      <c r="AE285" s="75">
        <f ca="1">((SUBSIDIO!$L$285*SUBSIDIO!$Z$285)+(SUBSIDIO!$N$285*SUBSIDIO!$AA$285))*(0.02)/(1-0.02)</f>
        <v>439.18115617544225</v>
      </c>
      <c r="AF285" s="4" t="s">
        <v>638</v>
      </c>
    </row>
    <row r="286" spans="1:32" ht="11.25" customHeight="1" x14ac:dyDescent="0.25">
      <c r="A286" s="4" t="s">
        <v>21</v>
      </c>
      <c r="B286" s="4" t="s">
        <v>35</v>
      </c>
      <c r="C286" s="4" t="s">
        <v>39</v>
      </c>
      <c r="D286" s="4" t="s">
        <v>42</v>
      </c>
      <c r="E286" s="4" t="s">
        <v>25</v>
      </c>
      <c r="F286" s="4" t="s">
        <v>25</v>
      </c>
      <c r="G286" s="4" t="s">
        <v>25</v>
      </c>
      <c r="H286" s="4" t="s">
        <v>38</v>
      </c>
      <c r="I286" s="5">
        <v>44652</v>
      </c>
      <c r="J286" s="6">
        <v>0</v>
      </c>
      <c r="K286" s="75">
        <v>0</v>
      </c>
      <c r="L286" s="6">
        <v>1720.4949999999999</v>
      </c>
      <c r="M286" s="75">
        <v>1720.4949999999999</v>
      </c>
      <c r="N286" s="6">
        <v>1720.4949999999999</v>
      </c>
      <c r="O286" s="75">
        <v>1720.4949999999999</v>
      </c>
      <c r="P286" s="6">
        <v>0</v>
      </c>
      <c r="Q286" s="4" t="s">
        <v>26</v>
      </c>
      <c r="R286" s="4">
        <v>0</v>
      </c>
      <c r="S286" s="4">
        <v>0</v>
      </c>
      <c r="T286" s="4">
        <v>25</v>
      </c>
      <c r="U286" s="4">
        <v>59</v>
      </c>
      <c r="V286" s="75">
        <f>IF(ISERROR(VLOOKUP($S$286,'TAR FIN'!$A$1:$O$93,15,0)),0,VLOOKUP($S$286,'TAR FIN'!$A$1:$O$93,15,0))</f>
        <v>0</v>
      </c>
      <c r="W286" s="75">
        <f>IF(ISERROR(VLOOKUP($T$286,'TAR FIN'!$A$1:$O$93,15,0)),0,VLOOKUP($T$286,'TAR FIN'!$A$1:$O$93,15,0))*(1-0.04)</f>
        <v>66.710399999999993</v>
      </c>
      <c r="X286" s="75">
        <f>IF(ISERROR(VLOOKUP($U$286,'TAR FIN'!$A$1:$O$93,15,0)),0,VLOOKUP($U$286,'TAR FIN'!$A$1:$O$93,15,0))*(1-0.04)</f>
        <v>177.77279999999999</v>
      </c>
      <c r="Y286" s="75"/>
      <c r="Z286" s="75">
        <f ca="1">('TUSD BE'!$AM$16+'TUSD BF'!$AM$16+'TUSD CVA'!$AM$16)*1*(1-0.02)</f>
        <v>90.654697600755071</v>
      </c>
      <c r="AA286" s="75">
        <f>('TE BE'!$AB$8+'TE BF'!$AB$8+'TE CVA'!$AB$8)*1*(1-0.02)</f>
        <v>194.21830884065065</v>
      </c>
      <c r="AB286" s="75">
        <f>(SUBSIDIO!$J$286*SUBSIDIO!$V$286)*(0.04)/(1-0.04)</f>
        <v>0</v>
      </c>
      <c r="AC286" s="75">
        <f>((SUBSIDIO!$L$286*SUBSIDIO!$W$286)+(SUBSIDIO!$N$286*SUBSIDIO!$X$286))*(0.04)/(1-0.04)</f>
        <v>17526.338465999997</v>
      </c>
      <c r="AD286" s="75">
        <f>(SUBSIDIO!$J$286*SUBSIDIO!$Y$286)*(0.02)/(1-0.02)</f>
        <v>0</v>
      </c>
      <c r="AE286" s="75">
        <f ca="1">((SUBSIDIO!$L$286*SUBSIDIO!$Z$286)+(SUBSIDIO!$N$286*SUBSIDIO!$AA$286))*(0.02)/(1-0.02)</f>
        <v>10002.501698314414</v>
      </c>
      <c r="AF286" s="4" t="s">
        <v>638</v>
      </c>
    </row>
    <row r="287" spans="1:32" ht="11.25" customHeight="1" x14ac:dyDescent="0.25">
      <c r="A287" s="4" t="s">
        <v>28</v>
      </c>
      <c r="B287" s="4" t="s">
        <v>35</v>
      </c>
      <c r="C287" s="4" t="s">
        <v>39</v>
      </c>
      <c r="D287" s="4" t="s">
        <v>42</v>
      </c>
      <c r="E287" s="4" t="s">
        <v>25</v>
      </c>
      <c r="F287" s="4" t="s">
        <v>25</v>
      </c>
      <c r="G287" s="4" t="s">
        <v>25</v>
      </c>
      <c r="H287" s="4" t="s">
        <v>38</v>
      </c>
      <c r="I287" s="5">
        <v>44652</v>
      </c>
      <c r="J287" s="6">
        <v>0</v>
      </c>
      <c r="K287" s="75">
        <v>0</v>
      </c>
      <c r="L287" s="6">
        <v>37.835000000000001</v>
      </c>
      <c r="M287" s="75">
        <v>37.835000000000001</v>
      </c>
      <c r="N287" s="6">
        <v>37.835000000000001</v>
      </c>
      <c r="O287" s="75">
        <v>37.835000000000001</v>
      </c>
      <c r="P287" s="6">
        <v>0</v>
      </c>
      <c r="Q287" s="4" t="s">
        <v>26</v>
      </c>
      <c r="R287" s="4">
        <v>0</v>
      </c>
      <c r="S287" s="4">
        <v>0</v>
      </c>
      <c r="T287" s="4">
        <v>25</v>
      </c>
      <c r="U287" s="4">
        <v>59</v>
      </c>
      <c r="V287" s="75">
        <f>IF(ISERROR(VLOOKUP($S$287,'TAR FIN'!$A$1:$O$93,15,0)),0,VLOOKUP($S$287,'TAR FIN'!$A$1:$O$93,15,0))</f>
        <v>0</v>
      </c>
      <c r="W287" s="75">
        <f>IF(ISERROR(VLOOKUP($T$287,'TAR FIN'!$A$1:$O$93,15,0)),0,VLOOKUP($T$287,'TAR FIN'!$A$1:$O$93,15,0))*(1-0.04)</f>
        <v>66.710399999999993</v>
      </c>
      <c r="X287" s="75">
        <f>IF(ISERROR(VLOOKUP($U$287,'TAR FIN'!$A$1:$O$93,15,0)),0,VLOOKUP($U$287,'TAR FIN'!$A$1:$O$93,15,0))*(1-0.04)</f>
        <v>177.77279999999999</v>
      </c>
      <c r="Y287" s="75"/>
      <c r="Z287" s="75">
        <f ca="1">('TUSD BE'!$AM$16+'TUSD BF'!$AM$16+'TUSD CVA'!$AM$16)*1*(1-0.02)</f>
        <v>90.654697600755071</v>
      </c>
      <c r="AA287" s="75">
        <f>('TE BE'!$AB$8+'TE BF'!$AB$8+'TE CVA'!$AB$8)*1*(1-0.02)</f>
        <v>194.21830884065065</v>
      </c>
      <c r="AB287" s="75">
        <f>(SUBSIDIO!$J$287*SUBSIDIO!$V$287)*(0.04)/(1-0.04)</f>
        <v>0</v>
      </c>
      <c r="AC287" s="75">
        <f>((SUBSIDIO!$L$287*SUBSIDIO!$W$287)+(SUBSIDIO!$N$287*SUBSIDIO!$X$287))*(0.04)/(1-0.04)</f>
        <v>385.41757799999999</v>
      </c>
      <c r="AD287" s="75">
        <f>(SUBSIDIO!$J$287*SUBSIDIO!$Y$287)*(0.02)/(1-0.02)</f>
        <v>0</v>
      </c>
      <c r="AE287" s="75">
        <f ca="1">((SUBSIDIO!$L$287*SUBSIDIO!$Z$287)+(SUBSIDIO!$N$287*SUBSIDIO!$AA$287))*(0.02)/(1-0.02)</f>
        <v>219.96265711654257</v>
      </c>
      <c r="AF287" s="4" t="s">
        <v>638</v>
      </c>
    </row>
    <row r="288" spans="1:32" ht="11.25" customHeight="1" x14ac:dyDescent="0.25">
      <c r="A288" s="4" t="s">
        <v>21</v>
      </c>
      <c r="B288" s="4" t="s">
        <v>35</v>
      </c>
      <c r="C288" s="4" t="s">
        <v>39</v>
      </c>
      <c r="D288" s="4" t="s">
        <v>42</v>
      </c>
      <c r="E288" s="4" t="s">
        <v>25</v>
      </c>
      <c r="F288" s="4" t="s">
        <v>25</v>
      </c>
      <c r="G288" s="4" t="s">
        <v>25</v>
      </c>
      <c r="H288" s="4" t="s">
        <v>38</v>
      </c>
      <c r="I288" s="5">
        <v>44682</v>
      </c>
      <c r="J288" s="6">
        <v>0</v>
      </c>
      <c r="K288" s="75">
        <v>0</v>
      </c>
      <c r="L288" s="6">
        <v>2034.04</v>
      </c>
      <c r="M288" s="75">
        <v>2034.04</v>
      </c>
      <c r="N288" s="6">
        <v>2034.04</v>
      </c>
      <c r="O288" s="75">
        <v>2034.04</v>
      </c>
      <c r="P288" s="6">
        <v>0</v>
      </c>
      <c r="Q288" s="4" t="s">
        <v>26</v>
      </c>
      <c r="R288" s="4">
        <v>0</v>
      </c>
      <c r="S288" s="4">
        <v>0</v>
      </c>
      <c r="T288" s="4">
        <v>25</v>
      </c>
      <c r="U288" s="4">
        <v>59</v>
      </c>
      <c r="V288" s="75">
        <f>IF(ISERROR(VLOOKUP($S$288,'TAR FIN'!$A$1:$O$93,15,0)),0,VLOOKUP($S$288,'TAR FIN'!$A$1:$O$93,15,0))</f>
        <v>0</v>
      </c>
      <c r="W288" s="75">
        <f>IF(ISERROR(VLOOKUP($T$288,'TAR FIN'!$A$1:$O$93,15,0)),0,VLOOKUP($T$288,'TAR FIN'!$A$1:$O$93,15,0))*(1-0.04)</f>
        <v>66.710399999999993</v>
      </c>
      <c r="X288" s="75">
        <f>IF(ISERROR(VLOOKUP($U$288,'TAR FIN'!$A$1:$O$93,15,0)),0,VLOOKUP($U$288,'TAR FIN'!$A$1:$O$93,15,0))*(1-0.04)</f>
        <v>177.77279999999999</v>
      </c>
      <c r="Y288" s="75"/>
      <c r="Z288" s="75">
        <f ca="1">('TUSD BE'!$AM$16+'TUSD BF'!$AM$16+'TUSD CVA'!$AM$16)*1*(1-0.02)</f>
        <v>90.654697600755071</v>
      </c>
      <c r="AA288" s="75">
        <f>('TE BE'!$AB$8+'TE BF'!$AB$8+'TE CVA'!$AB$8)*1*(1-0.02)</f>
        <v>194.21830884065065</v>
      </c>
      <c r="AB288" s="75">
        <f>(SUBSIDIO!$J$288*SUBSIDIO!$V$288)*(0.04)/(1-0.04)</f>
        <v>0</v>
      </c>
      <c r="AC288" s="75">
        <f>((SUBSIDIO!$L$288*SUBSIDIO!$W$288)+(SUBSIDIO!$N$288*SUBSIDIO!$X$288))*(0.04)/(1-0.04)</f>
        <v>20720.358671999998</v>
      </c>
      <c r="AD288" s="75">
        <f>(SUBSIDIO!$J$288*SUBSIDIO!$Y$288)*(0.02)/(1-0.02)</f>
        <v>0</v>
      </c>
      <c r="AE288" s="75">
        <f ca="1">((SUBSIDIO!$L$288*SUBSIDIO!$Z$288)+(SUBSIDIO!$N$288*SUBSIDIO!$AA$288))*(0.02)/(1-0.02)</f>
        <v>11825.369184124018</v>
      </c>
      <c r="AF288" s="4" t="s">
        <v>638</v>
      </c>
    </row>
    <row r="289" spans="1:32" ht="11.25" customHeight="1" x14ac:dyDescent="0.25">
      <c r="A289" s="4" t="s">
        <v>27</v>
      </c>
      <c r="B289" s="4" t="s">
        <v>35</v>
      </c>
      <c r="C289" s="4" t="s">
        <v>39</v>
      </c>
      <c r="D289" s="4" t="s">
        <v>42</v>
      </c>
      <c r="E289" s="4" t="s">
        <v>25</v>
      </c>
      <c r="F289" s="4" t="s">
        <v>25</v>
      </c>
      <c r="G289" s="4" t="s">
        <v>25</v>
      </c>
      <c r="H289" s="4" t="s">
        <v>38</v>
      </c>
      <c r="I289" s="5">
        <v>44682</v>
      </c>
      <c r="J289" s="6">
        <v>0</v>
      </c>
      <c r="K289" s="75">
        <v>0</v>
      </c>
      <c r="L289" s="6">
        <v>-41.206000000000003</v>
      </c>
      <c r="M289" s="75">
        <v>-41.206000000000003</v>
      </c>
      <c r="N289" s="6">
        <v>-41.206000000000003</v>
      </c>
      <c r="O289" s="75">
        <v>-41.206000000000003</v>
      </c>
      <c r="P289" s="6">
        <v>0</v>
      </c>
      <c r="Q289" s="4" t="s">
        <v>26</v>
      </c>
      <c r="R289" s="4">
        <v>0</v>
      </c>
      <c r="S289" s="4">
        <v>0</v>
      </c>
      <c r="T289" s="4">
        <v>25</v>
      </c>
      <c r="U289" s="4">
        <v>59</v>
      </c>
      <c r="V289" s="75">
        <f>IF(ISERROR(VLOOKUP($S$289,'TAR FIN'!$A$1:$O$93,15,0)),0,VLOOKUP($S$289,'TAR FIN'!$A$1:$O$93,15,0))</f>
        <v>0</v>
      </c>
      <c r="W289" s="75">
        <f>IF(ISERROR(VLOOKUP($T$289,'TAR FIN'!$A$1:$O$93,15,0)),0,VLOOKUP($T$289,'TAR FIN'!$A$1:$O$93,15,0))*(1-0.04)</f>
        <v>66.710399999999993</v>
      </c>
      <c r="X289" s="75">
        <f>IF(ISERROR(VLOOKUP($U$289,'TAR FIN'!$A$1:$O$93,15,0)),0,VLOOKUP($U$289,'TAR FIN'!$A$1:$O$93,15,0))*(1-0.04)</f>
        <v>177.77279999999999</v>
      </c>
      <c r="Y289" s="75"/>
      <c r="Z289" s="75">
        <f ca="1">('TUSD BE'!$AM$16+'TUSD BF'!$AM$16+'TUSD CVA'!$AM$16)*1*(1-0.02)</f>
        <v>90.654697600755071</v>
      </c>
      <c r="AA289" s="75">
        <f>('TE BE'!$AB$8+'TE BF'!$AB$8+'TE CVA'!$AB$8)*1*(1-0.02)</f>
        <v>194.21830884065065</v>
      </c>
      <c r="AB289" s="75">
        <f>(SUBSIDIO!$J$289*SUBSIDIO!$V$289)*(0.04)/(1-0.04)</f>
        <v>0</v>
      </c>
      <c r="AC289" s="75">
        <f>((SUBSIDIO!$L$289*SUBSIDIO!$W$289)+(SUBSIDIO!$N$289*SUBSIDIO!$X$289))*(0.04)/(1-0.04)</f>
        <v>-419.75728079999999</v>
      </c>
      <c r="AD289" s="75">
        <f>(SUBSIDIO!$J$289*SUBSIDIO!$Y$289)*(0.02)/(1-0.02)</f>
        <v>0</v>
      </c>
      <c r="AE289" s="75">
        <f ca="1">((SUBSIDIO!$L$289*SUBSIDIO!$Z$289)+(SUBSIDIO!$N$289*SUBSIDIO!$AA$289))*(0.02)/(1-0.02)</f>
        <v>-239.56075721274624</v>
      </c>
      <c r="AF289" s="4" t="s">
        <v>638</v>
      </c>
    </row>
    <row r="290" spans="1:32" ht="11.25" customHeight="1" x14ac:dyDescent="0.25">
      <c r="A290" s="4" t="s">
        <v>28</v>
      </c>
      <c r="B290" s="4" t="s">
        <v>35</v>
      </c>
      <c r="C290" s="4" t="s">
        <v>39</v>
      </c>
      <c r="D290" s="4" t="s">
        <v>42</v>
      </c>
      <c r="E290" s="4" t="s">
        <v>25</v>
      </c>
      <c r="F290" s="4" t="s">
        <v>25</v>
      </c>
      <c r="G290" s="4" t="s">
        <v>25</v>
      </c>
      <c r="H290" s="4" t="s">
        <v>38</v>
      </c>
      <c r="I290" s="5">
        <v>44682</v>
      </c>
      <c r="J290" s="6">
        <v>0</v>
      </c>
      <c r="K290" s="75">
        <v>0</v>
      </c>
      <c r="L290" s="6">
        <v>102.774</v>
      </c>
      <c r="M290" s="75">
        <v>102.774</v>
      </c>
      <c r="N290" s="6">
        <v>102.774</v>
      </c>
      <c r="O290" s="75">
        <v>102.774</v>
      </c>
      <c r="P290" s="6">
        <v>0</v>
      </c>
      <c r="Q290" s="4" t="s">
        <v>26</v>
      </c>
      <c r="R290" s="4">
        <v>0</v>
      </c>
      <c r="S290" s="4">
        <v>0</v>
      </c>
      <c r="T290" s="4">
        <v>25</v>
      </c>
      <c r="U290" s="4">
        <v>59</v>
      </c>
      <c r="V290" s="75">
        <f>IF(ISERROR(VLOOKUP($S$290,'TAR FIN'!$A$1:$O$93,15,0)),0,VLOOKUP($S$290,'TAR FIN'!$A$1:$O$93,15,0))</f>
        <v>0</v>
      </c>
      <c r="W290" s="75">
        <f>IF(ISERROR(VLOOKUP($T$290,'TAR FIN'!$A$1:$O$93,15,0)),0,VLOOKUP($T$290,'TAR FIN'!$A$1:$O$93,15,0))*(1-0.04)</f>
        <v>66.710399999999993</v>
      </c>
      <c r="X290" s="75">
        <f>IF(ISERROR(VLOOKUP($U$290,'TAR FIN'!$A$1:$O$93,15,0)),0,VLOOKUP($U$290,'TAR FIN'!$A$1:$O$93,15,0))*(1-0.04)</f>
        <v>177.77279999999999</v>
      </c>
      <c r="Y290" s="75"/>
      <c r="Z290" s="75">
        <f ca="1">('TUSD BE'!$AM$16+'TUSD BF'!$AM$16+'TUSD CVA'!$AM$16)*1*(1-0.02)</f>
        <v>90.654697600755071</v>
      </c>
      <c r="AA290" s="75">
        <f>('TE BE'!$AB$8+'TE BF'!$AB$8+'TE CVA'!$AB$8)*1*(1-0.02)</f>
        <v>194.21830884065065</v>
      </c>
      <c r="AB290" s="75">
        <f>(SUBSIDIO!$J$290*SUBSIDIO!$V$290)*(0.04)/(1-0.04)</f>
        <v>0</v>
      </c>
      <c r="AC290" s="75">
        <f>((SUBSIDIO!$L$290*SUBSIDIO!$W$290)+(SUBSIDIO!$N$290*SUBSIDIO!$X$290))*(0.04)/(1-0.04)</f>
        <v>1046.9381831999999</v>
      </c>
      <c r="AD290" s="75">
        <f>(SUBSIDIO!$J$290*SUBSIDIO!$Y$290)*(0.02)/(1-0.02)</f>
        <v>0</v>
      </c>
      <c r="AE290" s="75">
        <f ca="1">((SUBSIDIO!$L$290*SUBSIDIO!$Z$290)+(SUBSIDIO!$N$290*SUBSIDIO!$AA$290))*(0.02)/(1-0.02)</f>
        <v>597.5007829389599</v>
      </c>
      <c r="AF290" s="4" t="s">
        <v>638</v>
      </c>
    </row>
    <row r="291" spans="1:32" ht="11.25" customHeight="1" x14ac:dyDescent="0.25">
      <c r="A291" s="4" t="s">
        <v>28</v>
      </c>
      <c r="B291" s="4" t="s">
        <v>35</v>
      </c>
      <c r="C291" s="4" t="s">
        <v>39</v>
      </c>
      <c r="D291" s="4" t="s">
        <v>42</v>
      </c>
      <c r="E291" s="4" t="s">
        <v>25</v>
      </c>
      <c r="F291" s="4" t="s">
        <v>25</v>
      </c>
      <c r="G291" s="4" t="s">
        <v>25</v>
      </c>
      <c r="H291" s="4" t="s">
        <v>38</v>
      </c>
      <c r="I291" s="5">
        <v>44682</v>
      </c>
      <c r="J291" s="6">
        <v>0</v>
      </c>
      <c r="K291" s="75">
        <v>0</v>
      </c>
      <c r="L291" s="6">
        <v>-10.106</v>
      </c>
      <c r="M291" s="75">
        <v>-10.106</v>
      </c>
      <c r="N291" s="6">
        <v>-10.106</v>
      </c>
      <c r="O291" s="75">
        <v>-10.106</v>
      </c>
      <c r="P291" s="6">
        <v>0</v>
      </c>
      <c r="Q291" s="4" t="s">
        <v>26</v>
      </c>
      <c r="R291" s="4">
        <v>0</v>
      </c>
      <c r="S291" s="4">
        <v>0</v>
      </c>
      <c r="T291" s="4">
        <v>25</v>
      </c>
      <c r="U291" s="4">
        <v>59</v>
      </c>
      <c r="V291" s="75">
        <f>IF(ISERROR(VLOOKUP($S$291,'TAR FIN'!$A$1:$O$93,15,0)),0,VLOOKUP($S$291,'TAR FIN'!$A$1:$O$93,15,0))</f>
        <v>0</v>
      </c>
      <c r="W291" s="75">
        <f>IF(ISERROR(VLOOKUP($T$291,'TAR FIN'!$A$1:$O$93,15,0)),0,VLOOKUP($T$291,'TAR FIN'!$A$1:$O$93,15,0))*(1-0.04)</f>
        <v>66.710399999999993</v>
      </c>
      <c r="X291" s="75">
        <f>IF(ISERROR(VLOOKUP($U$291,'TAR FIN'!$A$1:$O$93,15,0)),0,VLOOKUP($U$291,'TAR FIN'!$A$1:$O$93,15,0))*(1-0.04)</f>
        <v>177.77279999999999</v>
      </c>
      <c r="Y291" s="75"/>
      <c r="Z291" s="75">
        <f ca="1">('TUSD BE'!$AM$16+'TUSD BF'!$AM$16+'TUSD CVA'!$AM$16)*1*(1-0.02)</f>
        <v>90.654697600755071</v>
      </c>
      <c r="AA291" s="75">
        <f>('TE BE'!$AB$8+'TE BF'!$AB$8+'TE CVA'!$AB$8)*1*(1-0.02)</f>
        <v>194.21830884065065</v>
      </c>
      <c r="AB291" s="75">
        <f>(SUBSIDIO!$J$291*SUBSIDIO!$V$291)*(0.04)/(1-0.04)</f>
        <v>0</v>
      </c>
      <c r="AC291" s="75">
        <f>((SUBSIDIO!$L$291*SUBSIDIO!$W$291)+(SUBSIDIO!$N$291*SUBSIDIO!$X$291))*(0.04)/(1-0.04)</f>
        <v>-102.9478008</v>
      </c>
      <c r="AD291" s="75">
        <f>(SUBSIDIO!$J$291*SUBSIDIO!$Y$291)*(0.02)/(1-0.02)</f>
        <v>0</v>
      </c>
      <c r="AE291" s="75">
        <f ca="1">((SUBSIDIO!$L$291*SUBSIDIO!$Z$291)+(SUBSIDIO!$N$291*SUBSIDIO!$AA$291))*(0.02)/(1-0.02)</f>
        <v>-58.753604144833609</v>
      </c>
      <c r="AF291" s="4" t="s">
        <v>638</v>
      </c>
    </row>
    <row r="292" spans="1:32" ht="11.25" customHeight="1" x14ac:dyDescent="0.25">
      <c r="A292" s="4" t="s">
        <v>21</v>
      </c>
      <c r="B292" s="4" t="s">
        <v>35</v>
      </c>
      <c r="C292" s="4" t="s">
        <v>39</v>
      </c>
      <c r="D292" s="4" t="s">
        <v>42</v>
      </c>
      <c r="E292" s="4" t="s">
        <v>25</v>
      </c>
      <c r="F292" s="4" t="s">
        <v>25</v>
      </c>
      <c r="G292" s="4" t="s">
        <v>25</v>
      </c>
      <c r="H292" s="4" t="s">
        <v>38</v>
      </c>
      <c r="I292" s="5">
        <v>44713</v>
      </c>
      <c r="J292" s="6">
        <v>0</v>
      </c>
      <c r="K292" s="75">
        <v>0</v>
      </c>
      <c r="L292" s="6">
        <v>1914.43</v>
      </c>
      <c r="M292" s="75">
        <v>1914.43</v>
      </c>
      <c r="N292" s="6">
        <v>1914.43</v>
      </c>
      <c r="O292" s="75">
        <v>1914.43</v>
      </c>
      <c r="P292" s="6">
        <v>0</v>
      </c>
      <c r="Q292" s="4" t="s">
        <v>26</v>
      </c>
      <c r="R292" s="4">
        <v>0</v>
      </c>
      <c r="S292" s="4">
        <v>0</v>
      </c>
      <c r="T292" s="4">
        <v>25</v>
      </c>
      <c r="U292" s="4">
        <v>59</v>
      </c>
      <c r="V292" s="75">
        <f>IF(ISERROR(VLOOKUP($S$292,'TAR FIN'!$A$1:$O$93,15,0)),0,VLOOKUP($S$292,'TAR FIN'!$A$1:$O$93,15,0))</f>
        <v>0</v>
      </c>
      <c r="W292" s="75">
        <f>IF(ISERROR(VLOOKUP($T$292,'TAR FIN'!$A$1:$O$93,15,0)),0,VLOOKUP($T$292,'TAR FIN'!$A$1:$O$93,15,0))*(1-0.04)</f>
        <v>66.710399999999993</v>
      </c>
      <c r="X292" s="75">
        <f>IF(ISERROR(VLOOKUP($U$292,'TAR FIN'!$A$1:$O$93,15,0)),0,VLOOKUP($U$292,'TAR FIN'!$A$1:$O$93,15,0))*(1-0.04)</f>
        <v>177.77279999999999</v>
      </c>
      <c r="Y292" s="75"/>
      <c r="Z292" s="75">
        <f ca="1">('TUSD BE'!$AM$16+'TUSD BF'!$AM$16+'TUSD CVA'!$AM$16)*1*(1-0.02)</f>
        <v>90.654697600755071</v>
      </c>
      <c r="AA292" s="75">
        <f>('TE BE'!$AB$8+'TE BF'!$AB$8+'TE CVA'!$AB$8)*1*(1-0.02)</f>
        <v>194.21830884065065</v>
      </c>
      <c r="AB292" s="75">
        <f>(SUBSIDIO!$J$292*SUBSIDIO!$V$292)*(0.04)/(1-0.04)</f>
        <v>0</v>
      </c>
      <c r="AC292" s="75">
        <f>((SUBSIDIO!$L$292*SUBSIDIO!$W$292)+(SUBSIDIO!$N$292*SUBSIDIO!$X$292))*(0.04)/(1-0.04)</f>
        <v>19501.915524</v>
      </c>
      <c r="AD292" s="75">
        <f>(SUBSIDIO!$J$292*SUBSIDIO!$Y$292)*(0.02)/(1-0.02)</f>
        <v>0</v>
      </c>
      <c r="AE292" s="75">
        <f ca="1">((SUBSIDIO!$L$292*SUBSIDIO!$Z$292)+(SUBSIDIO!$N$292*SUBSIDIO!$AA$292))*(0.02)/(1-0.02)</f>
        <v>11129.988361665723</v>
      </c>
      <c r="AF292" s="4" t="s">
        <v>638</v>
      </c>
    </row>
    <row r="293" spans="1:32" ht="11.25" customHeight="1" x14ac:dyDescent="0.25">
      <c r="A293" s="4" t="s">
        <v>27</v>
      </c>
      <c r="B293" s="4" t="s">
        <v>35</v>
      </c>
      <c r="C293" s="4" t="s">
        <v>39</v>
      </c>
      <c r="D293" s="4" t="s">
        <v>42</v>
      </c>
      <c r="E293" s="4" t="s">
        <v>25</v>
      </c>
      <c r="F293" s="4" t="s">
        <v>25</v>
      </c>
      <c r="G293" s="4" t="s">
        <v>25</v>
      </c>
      <c r="H293" s="4" t="s">
        <v>38</v>
      </c>
      <c r="I293" s="5">
        <v>44713</v>
      </c>
      <c r="J293" s="6">
        <v>0</v>
      </c>
      <c r="K293" s="75">
        <v>0</v>
      </c>
      <c r="L293" s="6">
        <v>-19.802</v>
      </c>
      <c r="M293" s="75">
        <v>-19.802</v>
      </c>
      <c r="N293" s="6">
        <v>-19.802</v>
      </c>
      <c r="O293" s="75">
        <v>-19.802</v>
      </c>
      <c r="P293" s="6">
        <v>0</v>
      </c>
      <c r="Q293" s="4" t="s">
        <v>26</v>
      </c>
      <c r="R293" s="4">
        <v>0</v>
      </c>
      <c r="S293" s="4">
        <v>0</v>
      </c>
      <c r="T293" s="4">
        <v>25</v>
      </c>
      <c r="U293" s="4">
        <v>59</v>
      </c>
      <c r="V293" s="75">
        <f>IF(ISERROR(VLOOKUP($S$293,'TAR FIN'!$A$1:$O$93,15,0)),0,VLOOKUP($S$293,'TAR FIN'!$A$1:$O$93,15,0))</f>
        <v>0</v>
      </c>
      <c r="W293" s="75">
        <f>IF(ISERROR(VLOOKUP($T$293,'TAR FIN'!$A$1:$O$93,15,0)),0,VLOOKUP($T$293,'TAR FIN'!$A$1:$O$93,15,0))*(1-0.04)</f>
        <v>66.710399999999993</v>
      </c>
      <c r="X293" s="75">
        <f>IF(ISERROR(VLOOKUP($U$293,'TAR FIN'!$A$1:$O$93,15,0)),0,VLOOKUP($U$293,'TAR FIN'!$A$1:$O$93,15,0))*(1-0.04)</f>
        <v>177.77279999999999</v>
      </c>
      <c r="Y293" s="75"/>
      <c r="Z293" s="75">
        <f ca="1">('TUSD BE'!$AM$16+'TUSD BF'!$AM$16+'TUSD CVA'!$AM$16)*1*(1-0.02)</f>
        <v>90.654697600755071</v>
      </c>
      <c r="AA293" s="75">
        <f>('TE BE'!$AB$8+'TE BF'!$AB$8+'TE CVA'!$AB$8)*1*(1-0.02)</f>
        <v>194.21830884065065</v>
      </c>
      <c r="AB293" s="75">
        <f>(SUBSIDIO!$J$293*SUBSIDIO!$V$293)*(0.04)/(1-0.04)</f>
        <v>0</v>
      </c>
      <c r="AC293" s="75">
        <f>((SUBSIDIO!$L$293*SUBSIDIO!$W$293)+(SUBSIDIO!$N$293*SUBSIDIO!$X$293))*(0.04)/(1-0.04)</f>
        <v>-201.71901359999998</v>
      </c>
      <c r="AD293" s="75">
        <f>(SUBSIDIO!$J$293*SUBSIDIO!$Y$293)*(0.02)/(1-0.02)</f>
        <v>0</v>
      </c>
      <c r="AE293" s="75">
        <f ca="1">((SUBSIDIO!$L$293*SUBSIDIO!$Z$293)+(SUBSIDIO!$N$293*SUBSIDIO!$AA$293))*(0.02)/(1-0.02)</f>
        <v>-115.12357701127992</v>
      </c>
      <c r="AF293" s="4" t="s">
        <v>638</v>
      </c>
    </row>
    <row r="294" spans="1:32" ht="11.25" customHeight="1" x14ac:dyDescent="0.25">
      <c r="A294" s="4" t="s">
        <v>28</v>
      </c>
      <c r="B294" s="4" t="s">
        <v>35</v>
      </c>
      <c r="C294" s="4" t="s">
        <v>39</v>
      </c>
      <c r="D294" s="4" t="s">
        <v>42</v>
      </c>
      <c r="E294" s="4" t="s">
        <v>25</v>
      </c>
      <c r="F294" s="4" t="s">
        <v>25</v>
      </c>
      <c r="G294" s="4" t="s">
        <v>25</v>
      </c>
      <c r="H294" s="4" t="s">
        <v>38</v>
      </c>
      <c r="I294" s="5">
        <v>44713</v>
      </c>
      <c r="J294" s="6">
        <v>0</v>
      </c>
      <c r="K294" s="75">
        <v>0</v>
      </c>
      <c r="L294" s="6">
        <v>191.12200000000001</v>
      </c>
      <c r="M294" s="75">
        <v>191.12200000000001</v>
      </c>
      <c r="N294" s="6">
        <v>191.12200000000001</v>
      </c>
      <c r="O294" s="75">
        <v>191.12200000000001</v>
      </c>
      <c r="P294" s="6">
        <v>0</v>
      </c>
      <c r="Q294" s="4" t="s">
        <v>26</v>
      </c>
      <c r="R294" s="4">
        <v>0</v>
      </c>
      <c r="S294" s="4">
        <v>0</v>
      </c>
      <c r="T294" s="4">
        <v>25</v>
      </c>
      <c r="U294" s="4">
        <v>59</v>
      </c>
      <c r="V294" s="75">
        <f>IF(ISERROR(VLOOKUP($S$294,'TAR FIN'!$A$1:$O$93,15,0)),0,VLOOKUP($S$294,'TAR FIN'!$A$1:$O$93,15,0))</f>
        <v>0</v>
      </c>
      <c r="W294" s="75">
        <f>IF(ISERROR(VLOOKUP($T$294,'TAR FIN'!$A$1:$O$93,15,0)),0,VLOOKUP($T$294,'TAR FIN'!$A$1:$O$93,15,0))*(1-0.04)</f>
        <v>66.710399999999993</v>
      </c>
      <c r="X294" s="75">
        <f>IF(ISERROR(VLOOKUP($U$294,'TAR FIN'!$A$1:$O$93,15,0)),0,VLOOKUP($U$294,'TAR FIN'!$A$1:$O$93,15,0))*(1-0.04)</f>
        <v>177.77279999999999</v>
      </c>
      <c r="Y294" s="75"/>
      <c r="Z294" s="75">
        <f ca="1">('TUSD BE'!$AM$16+'TUSD BF'!$AM$16+'TUSD CVA'!$AM$16)*1*(1-0.02)</f>
        <v>90.654697600755071</v>
      </c>
      <c r="AA294" s="75">
        <f>('TE BE'!$AB$8+'TE BF'!$AB$8+'TE CVA'!$AB$8)*1*(1-0.02)</f>
        <v>194.21830884065065</v>
      </c>
      <c r="AB294" s="75">
        <f>(SUBSIDIO!$J$294*SUBSIDIO!$V$294)*(0.04)/(1-0.04)</f>
        <v>0</v>
      </c>
      <c r="AC294" s="75">
        <f>((SUBSIDIO!$L$294*SUBSIDIO!$W$294)+(SUBSIDIO!$N$294*SUBSIDIO!$X$294))*(0.04)/(1-0.04)</f>
        <v>1946.9215896000001</v>
      </c>
      <c r="AD294" s="75">
        <f>(SUBSIDIO!$J$294*SUBSIDIO!$Y$294)*(0.02)/(1-0.02)</f>
        <v>0</v>
      </c>
      <c r="AE294" s="75">
        <f ca="1">((SUBSIDIO!$L$294*SUBSIDIO!$Z$294)+(SUBSIDIO!$N$294*SUBSIDIO!$AA$294))*(0.02)/(1-0.02)</f>
        <v>1111.1326272876399</v>
      </c>
      <c r="AF294" s="4" t="s">
        <v>638</v>
      </c>
    </row>
    <row r="295" spans="1:32" ht="11.25" customHeight="1" x14ac:dyDescent="0.25">
      <c r="A295" s="4" t="s">
        <v>21</v>
      </c>
      <c r="B295" s="4" t="s">
        <v>35</v>
      </c>
      <c r="C295" s="4" t="s">
        <v>39</v>
      </c>
      <c r="D295" s="4" t="s">
        <v>42</v>
      </c>
      <c r="E295" s="4" t="s">
        <v>25</v>
      </c>
      <c r="F295" s="4" t="s">
        <v>25</v>
      </c>
      <c r="G295" s="4" t="s">
        <v>25</v>
      </c>
      <c r="H295" s="4" t="s">
        <v>25</v>
      </c>
      <c r="I295" s="5">
        <v>44378</v>
      </c>
      <c r="J295" s="6">
        <v>8787</v>
      </c>
      <c r="K295" s="75">
        <v>8787</v>
      </c>
      <c r="L295" s="6">
        <v>0</v>
      </c>
      <c r="M295" s="75">
        <v>0</v>
      </c>
      <c r="N295" s="6">
        <v>0</v>
      </c>
      <c r="O295" s="75">
        <v>0</v>
      </c>
      <c r="P295" s="6">
        <v>106</v>
      </c>
      <c r="Q295" s="4" t="s">
        <v>26</v>
      </c>
      <c r="R295" s="4">
        <v>0</v>
      </c>
      <c r="S295" s="4">
        <v>18</v>
      </c>
      <c r="T295" s="4">
        <v>0</v>
      </c>
      <c r="U295" s="4">
        <v>0</v>
      </c>
      <c r="V295" s="75">
        <f>IF(ISERROR(VLOOKUP($S$295,'TAR FIN'!$A$1:$O$93,15,0)),0,VLOOKUP($S$295,'TAR FIN'!$A$1:$O$93,15,0))*(1-0.04)</f>
        <v>25.123200000000001</v>
      </c>
      <c r="W295" s="75">
        <f>IF(ISERROR(VLOOKUP($T$295,'TAR FIN'!$A$1:$O$93,15,0)),0,VLOOKUP($T$295,'TAR FIN'!$A$1:$O$93,15,0))</f>
        <v>0</v>
      </c>
      <c r="X295" s="75">
        <f>IF(ISERROR(VLOOKUP($U$295,'TAR FIN'!$A$1:$O$93,15,0)),0,VLOOKUP($U$295,'TAR FIN'!$A$1:$O$93,15,0))</f>
        <v>0</v>
      </c>
      <c r="Y295" s="75">
        <f ca="1">('TUSD BE'!$AM$14+'TUSD BF'!$AM$14+'TUSD CVA'!$AM$14)*1*(1-0.02)</f>
        <v>29.844412718026739</v>
      </c>
      <c r="Z295" s="75"/>
      <c r="AA295" s="75"/>
      <c r="AB295" s="75">
        <f>(SUBSIDIO!$J$295*SUBSIDIO!$V$295)*(0.04)/(1-0.04)</f>
        <v>9198.231600000001</v>
      </c>
      <c r="AC295" s="75">
        <f>((SUBSIDIO!$L$295*SUBSIDIO!$W$295)+(SUBSIDIO!$N$295*SUBSIDIO!$X$295))*(0.04)/(1-0.04)</f>
        <v>0</v>
      </c>
      <c r="AD295" s="75">
        <f ca="1">(SUBSIDIO!$J$295*SUBSIDIO!$Y$295)*(0.02)/(1-0.02)</f>
        <v>5351.894990883693</v>
      </c>
      <c r="AE295" s="75">
        <f>((SUBSIDIO!$L$295*SUBSIDIO!$Z$295)+(SUBSIDIO!$N$295*SUBSIDIO!$AA$295))*(0.02)/(1-0.02)</f>
        <v>0</v>
      </c>
      <c r="AF295" s="4" t="s">
        <v>638</v>
      </c>
    </row>
    <row r="296" spans="1:32" ht="11.25" customHeight="1" x14ac:dyDescent="0.25">
      <c r="A296" s="4" t="s">
        <v>28</v>
      </c>
      <c r="B296" s="4" t="s">
        <v>35</v>
      </c>
      <c r="C296" s="4" t="s">
        <v>39</v>
      </c>
      <c r="D296" s="4" t="s">
        <v>42</v>
      </c>
      <c r="E296" s="4" t="s">
        <v>25</v>
      </c>
      <c r="F296" s="4" t="s">
        <v>25</v>
      </c>
      <c r="G296" s="4" t="s">
        <v>25</v>
      </c>
      <c r="H296" s="4" t="s">
        <v>25</v>
      </c>
      <c r="I296" s="5">
        <v>44378</v>
      </c>
      <c r="J296" s="6">
        <v>1106</v>
      </c>
      <c r="K296" s="75">
        <v>1106</v>
      </c>
      <c r="L296" s="6">
        <v>0</v>
      </c>
      <c r="M296" s="75">
        <v>0</v>
      </c>
      <c r="N296" s="6">
        <v>0</v>
      </c>
      <c r="O296" s="75">
        <v>0</v>
      </c>
      <c r="P296" s="6">
        <v>10</v>
      </c>
      <c r="Q296" s="4" t="s">
        <v>26</v>
      </c>
      <c r="R296" s="4">
        <v>0</v>
      </c>
      <c r="S296" s="4">
        <v>18</v>
      </c>
      <c r="T296" s="4">
        <v>0</v>
      </c>
      <c r="U296" s="4">
        <v>0</v>
      </c>
      <c r="V296" s="75">
        <f>IF(ISERROR(VLOOKUP($S$296,'TAR FIN'!$A$1:$O$93,15,0)),0,VLOOKUP($S$296,'TAR FIN'!$A$1:$O$93,15,0))*(1-0.04)</f>
        <v>25.123200000000001</v>
      </c>
      <c r="W296" s="75">
        <f>IF(ISERROR(VLOOKUP($T$296,'TAR FIN'!$A$1:$O$93,15,0)),0,VLOOKUP($T$296,'TAR FIN'!$A$1:$O$93,15,0))</f>
        <v>0</v>
      </c>
      <c r="X296" s="75">
        <f>IF(ISERROR(VLOOKUP($U$296,'TAR FIN'!$A$1:$O$93,15,0)),0,VLOOKUP($U$296,'TAR FIN'!$A$1:$O$93,15,0))</f>
        <v>0</v>
      </c>
      <c r="Y296" s="75">
        <f ca="1">('TUSD BE'!$AM$14+'TUSD BF'!$AM$14+'TUSD CVA'!$AM$14)*1*(1-0.02)</f>
        <v>29.844412718026739</v>
      </c>
      <c r="Z296" s="75"/>
      <c r="AA296" s="75"/>
      <c r="AB296" s="75">
        <f>(SUBSIDIO!$J$296*SUBSIDIO!$V$296)*(0.04)/(1-0.04)</f>
        <v>1157.7608</v>
      </c>
      <c r="AC296" s="75">
        <f>((SUBSIDIO!$L$296*SUBSIDIO!$W$296)+(SUBSIDIO!$N$296*SUBSIDIO!$X$296))*(0.04)/(1-0.04)</f>
        <v>0</v>
      </c>
      <c r="AD296" s="75">
        <f ca="1">(SUBSIDIO!$J$296*SUBSIDIO!$Y$296)*(0.02)/(1-0.02)</f>
        <v>673.6310299211749</v>
      </c>
      <c r="AE296" s="75">
        <f>((SUBSIDIO!$L$296*SUBSIDIO!$Z$296)+(SUBSIDIO!$N$296*SUBSIDIO!$AA$296))*(0.02)/(1-0.02)</f>
        <v>0</v>
      </c>
      <c r="AF296" s="4" t="s">
        <v>638</v>
      </c>
    </row>
    <row r="297" spans="1:32" ht="11.25" customHeight="1" x14ac:dyDescent="0.25">
      <c r="A297" s="4" t="s">
        <v>21</v>
      </c>
      <c r="B297" s="4" t="s">
        <v>35</v>
      </c>
      <c r="C297" s="4" t="s">
        <v>39</v>
      </c>
      <c r="D297" s="4" t="s">
        <v>42</v>
      </c>
      <c r="E297" s="4" t="s">
        <v>25</v>
      </c>
      <c r="F297" s="4" t="s">
        <v>25</v>
      </c>
      <c r="G297" s="4" t="s">
        <v>25</v>
      </c>
      <c r="H297" s="4" t="s">
        <v>25</v>
      </c>
      <c r="I297" s="5">
        <v>44409</v>
      </c>
      <c r="J297" s="6">
        <v>8162</v>
      </c>
      <c r="K297" s="75">
        <v>8162</v>
      </c>
      <c r="L297" s="6">
        <v>0</v>
      </c>
      <c r="M297" s="75">
        <v>0</v>
      </c>
      <c r="N297" s="6">
        <v>0</v>
      </c>
      <c r="O297" s="75">
        <v>0</v>
      </c>
      <c r="P297" s="6">
        <v>107</v>
      </c>
      <c r="Q297" s="4" t="s">
        <v>26</v>
      </c>
      <c r="R297" s="4">
        <v>0</v>
      </c>
      <c r="S297" s="4">
        <v>18</v>
      </c>
      <c r="T297" s="4">
        <v>0</v>
      </c>
      <c r="U297" s="4">
        <v>0</v>
      </c>
      <c r="V297" s="75">
        <f>IF(ISERROR(VLOOKUP($S$297,'TAR FIN'!$A$1:$O$93,15,0)),0,VLOOKUP($S$297,'TAR FIN'!$A$1:$O$93,15,0))*(1-0.04)</f>
        <v>25.123200000000001</v>
      </c>
      <c r="W297" s="75">
        <f>IF(ISERROR(VLOOKUP($T$297,'TAR FIN'!$A$1:$O$93,15,0)),0,VLOOKUP($T$297,'TAR FIN'!$A$1:$O$93,15,0))</f>
        <v>0</v>
      </c>
      <c r="X297" s="75">
        <f>IF(ISERROR(VLOOKUP($U$297,'TAR FIN'!$A$1:$O$93,15,0)),0,VLOOKUP($U$297,'TAR FIN'!$A$1:$O$93,15,0))</f>
        <v>0</v>
      </c>
      <c r="Y297" s="75">
        <f ca="1">('TUSD BE'!$AM$14+'TUSD BF'!$AM$14+'TUSD CVA'!$AM$14)*1*(1-0.02)</f>
        <v>29.844412718026739</v>
      </c>
      <c r="Z297" s="75"/>
      <c r="AA297" s="75"/>
      <c r="AB297" s="75">
        <f>(SUBSIDIO!$J$297*SUBSIDIO!$V$297)*(0.04)/(1-0.04)</f>
        <v>8543.981600000001</v>
      </c>
      <c r="AC297" s="75">
        <f>((SUBSIDIO!$L$297*SUBSIDIO!$W$297)+(SUBSIDIO!$N$297*SUBSIDIO!$X$297))*(0.04)/(1-0.04)</f>
        <v>0</v>
      </c>
      <c r="AD297" s="75">
        <f ca="1">(SUBSIDIO!$J$297*SUBSIDIO!$Y$297)*(0.02)/(1-0.02)</f>
        <v>4971.2264613170255</v>
      </c>
      <c r="AE297" s="75">
        <f>((SUBSIDIO!$L$297*SUBSIDIO!$Z$297)+(SUBSIDIO!$N$297*SUBSIDIO!$AA$297))*(0.02)/(1-0.02)</f>
        <v>0</v>
      </c>
      <c r="AF297" s="4" t="s">
        <v>638</v>
      </c>
    </row>
    <row r="298" spans="1:32" ht="11.25" customHeight="1" x14ac:dyDescent="0.25">
      <c r="A298" s="4" t="s">
        <v>28</v>
      </c>
      <c r="B298" s="4" t="s">
        <v>35</v>
      </c>
      <c r="C298" s="4" t="s">
        <v>39</v>
      </c>
      <c r="D298" s="4" t="s">
        <v>42</v>
      </c>
      <c r="E298" s="4" t="s">
        <v>25</v>
      </c>
      <c r="F298" s="4" t="s">
        <v>25</v>
      </c>
      <c r="G298" s="4" t="s">
        <v>25</v>
      </c>
      <c r="H298" s="4" t="s">
        <v>25</v>
      </c>
      <c r="I298" s="5">
        <v>44409</v>
      </c>
      <c r="J298" s="6">
        <v>1277</v>
      </c>
      <c r="K298" s="75">
        <v>1277</v>
      </c>
      <c r="L298" s="6">
        <v>0</v>
      </c>
      <c r="M298" s="75">
        <v>0</v>
      </c>
      <c r="N298" s="6">
        <v>0</v>
      </c>
      <c r="O298" s="75">
        <v>0</v>
      </c>
      <c r="P298" s="6">
        <v>12</v>
      </c>
      <c r="Q298" s="4" t="s">
        <v>26</v>
      </c>
      <c r="R298" s="4">
        <v>0</v>
      </c>
      <c r="S298" s="4">
        <v>18</v>
      </c>
      <c r="T298" s="4">
        <v>0</v>
      </c>
      <c r="U298" s="4">
        <v>0</v>
      </c>
      <c r="V298" s="75">
        <f>IF(ISERROR(VLOOKUP($S$298,'TAR FIN'!$A$1:$O$93,15,0)),0,VLOOKUP($S$298,'TAR FIN'!$A$1:$O$93,15,0))*(1-0.04)</f>
        <v>25.123200000000001</v>
      </c>
      <c r="W298" s="75">
        <f>IF(ISERROR(VLOOKUP($T$298,'TAR FIN'!$A$1:$O$93,15,0)),0,VLOOKUP($T$298,'TAR FIN'!$A$1:$O$93,15,0))</f>
        <v>0</v>
      </c>
      <c r="X298" s="75">
        <f>IF(ISERROR(VLOOKUP($U$298,'TAR FIN'!$A$1:$O$93,15,0)),0,VLOOKUP($U$298,'TAR FIN'!$A$1:$O$93,15,0))</f>
        <v>0</v>
      </c>
      <c r="Y298" s="75">
        <f ca="1">('TUSD BE'!$AM$14+'TUSD BF'!$AM$14+'TUSD CVA'!$AM$14)*1*(1-0.02)</f>
        <v>29.844412718026739</v>
      </c>
      <c r="Z298" s="75"/>
      <c r="AA298" s="75"/>
      <c r="AB298" s="75">
        <f>(SUBSIDIO!$J$298*SUBSIDIO!$V$298)*(0.04)/(1-0.04)</f>
        <v>1336.7636000000002</v>
      </c>
      <c r="AC298" s="75">
        <f>((SUBSIDIO!$L$298*SUBSIDIO!$W$298)+(SUBSIDIO!$N$298*SUBSIDIO!$X$298))*(0.04)/(1-0.04)</f>
        <v>0</v>
      </c>
      <c r="AD298" s="75">
        <f ca="1">(SUBSIDIO!$J$298*SUBSIDIO!$Y$298)*(0.02)/(1-0.02)</f>
        <v>777.78193961061527</v>
      </c>
      <c r="AE298" s="75">
        <f>((SUBSIDIO!$L$298*SUBSIDIO!$Z$298)+(SUBSIDIO!$N$298*SUBSIDIO!$AA$298))*(0.02)/(1-0.02)</f>
        <v>0</v>
      </c>
      <c r="AF298" s="4" t="s">
        <v>638</v>
      </c>
    </row>
    <row r="299" spans="1:32" ht="11.25" customHeight="1" x14ac:dyDescent="0.25">
      <c r="A299" s="4" t="s">
        <v>28</v>
      </c>
      <c r="B299" s="4" t="s">
        <v>35</v>
      </c>
      <c r="C299" s="4" t="s">
        <v>39</v>
      </c>
      <c r="D299" s="4" t="s">
        <v>42</v>
      </c>
      <c r="E299" s="4" t="s">
        <v>25</v>
      </c>
      <c r="F299" s="4" t="s">
        <v>25</v>
      </c>
      <c r="G299" s="4" t="s">
        <v>25</v>
      </c>
      <c r="H299" s="4" t="s">
        <v>25</v>
      </c>
      <c r="I299" s="5">
        <v>44409</v>
      </c>
      <c r="J299" s="6">
        <v>-150</v>
      </c>
      <c r="K299" s="75">
        <v>-150</v>
      </c>
      <c r="L299" s="6">
        <v>0</v>
      </c>
      <c r="M299" s="75">
        <v>0</v>
      </c>
      <c r="N299" s="6">
        <v>0</v>
      </c>
      <c r="O299" s="75">
        <v>0</v>
      </c>
      <c r="P299" s="6">
        <v>-2</v>
      </c>
      <c r="Q299" s="4" t="s">
        <v>26</v>
      </c>
      <c r="R299" s="4">
        <v>0</v>
      </c>
      <c r="S299" s="4">
        <v>18</v>
      </c>
      <c r="T299" s="4">
        <v>0</v>
      </c>
      <c r="U299" s="4">
        <v>0</v>
      </c>
      <c r="V299" s="75">
        <f>IF(ISERROR(VLOOKUP($S$299,'TAR FIN'!$A$1:$O$93,15,0)),0,VLOOKUP($S$299,'TAR FIN'!$A$1:$O$93,15,0))*(1-0.04)</f>
        <v>25.123200000000001</v>
      </c>
      <c r="W299" s="75">
        <f>IF(ISERROR(VLOOKUP($T$299,'TAR FIN'!$A$1:$O$93,15,0)),0,VLOOKUP($T$299,'TAR FIN'!$A$1:$O$93,15,0))</f>
        <v>0</v>
      </c>
      <c r="X299" s="75">
        <f>IF(ISERROR(VLOOKUP($U$299,'TAR FIN'!$A$1:$O$93,15,0)),0,VLOOKUP($U$299,'TAR FIN'!$A$1:$O$93,15,0))</f>
        <v>0</v>
      </c>
      <c r="Y299" s="75">
        <f ca="1">('TUSD BE'!$AM$14+'TUSD BF'!$AM$14+'TUSD CVA'!$AM$14)*1*(1-0.02)</f>
        <v>29.844412718026739</v>
      </c>
      <c r="Z299" s="75"/>
      <c r="AA299" s="75"/>
      <c r="AB299" s="75">
        <f>(SUBSIDIO!$J$299*SUBSIDIO!$V$299)*(0.04)/(1-0.04)</f>
        <v>-157.02000000000001</v>
      </c>
      <c r="AC299" s="75">
        <f>((SUBSIDIO!$L$299*SUBSIDIO!$W$299)+(SUBSIDIO!$N$299*SUBSIDIO!$X$299))*(0.04)/(1-0.04)</f>
        <v>0</v>
      </c>
      <c r="AD299" s="75">
        <f ca="1">(SUBSIDIO!$J$299*SUBSIDIO!$Y$299)*(0.02)/(1-0.02)</f>
        <v>-91.360447096000215</v>
      </c>
      <c r="AE299" s="75">
        <f>((SUBSIDIO!$L$299*SUBSIDIO!$Z$299)+(SUBSIDIO!$N$299*SUBSIDIO!$AA$299))*(0.02)/(1-0.02)</f>
        <v>0</v>
      </c>
      <c r="AF299" s="4" t="s">
        <v>638</v>
      </c>
    </row>
    <row r="300" spans="1:32" ht="11.25" customHeight="1" x14ac:dyDescent="0.25">
      <c r="A300" s="4" t="s">
        <v>21</v>
      </c>
      <c r="B300" s="4" t="s">
        <v>35</v>
      </c>
      <c r="C300" s="4" t="s">
        <v>39</v>
      </c>
      <c r="D300" s="4" t="s">
        <v>42</v>
      </c>
      <c r="E300" s="4" t="s">
        <v>25</v>
      </c>
      <c r="F300" s="4" t="s">
        <v>25</v>
      </c>
      <c r="G300" s="4" t="s">
        <v>25</v>
      </c>
      <c r="H300" s="4" t="s">
        <v>25</v>
      </c>
      <c r="I300" s="5">
        <v>44440</v>
      </c>
      <c r="J300" s="6">
        <v>7599</v>
      </c>
      <c r="K300" s="75">
        <v>7599</v>
      </c>
      <c r="L300" s="6">
        <v>0</v>
      </c>
      <c r="M300" s="75">
        <v>0</v>
      </c>
      <c r="N300" s="6">
        <v>0</v>
      </c>
      <c r="O300" s="75">
        <v>0</v>
      </c>
      <c r="P300" s="6">
        <v>107</v>
      </c>
      <c r="Q300" s="4" t="s">
        <v>26</v>
      </c>
      <c r="R300" s="4">
        <v>0</v>
      </c>
      <c r="S300" s="4">
        <v>18</v>
      </c>
      <c r="T300" s="4">
        <v>0</v>
      </c>
      <c r="U300" s="4">
        <v>0</v>
      </c>
      <c r="V300" s="75">
        <f>IF(ISERROR(VLOOKUP($S$300,'TAR FIN'!$A$1:$O$93,15,0)),0,VLOOKUP($S$300,'TAR FIN'!$A$1:$O$93,15,0))*(1-0.04)</f>
        <v>25.123200000000001</v>
      </c>
      <c r="W300" s="75">
        <f>IF(ISERROR(VLOOKUP($T$300,'TAR FIN'!$A$1:$O$93,15,0)),0,VLOOKUP($T$300,'TAR FIN'!$A$1:$O$93,15,0))</f>
        <v>0</v>
      </c>
      <c r="X300" s="75">
        <f>IF(ISERROR(VLOOKUP($U$300,'TAR FIN'!$A$1:$O$93,15,0)),0,VLOOKUP($U$300,'TAR FIN'!$A$1:$O$93,15,0))</f>
        <v>0</v>
      </c>
      <c r="Y300" s="75">
        <f ca="1">('TUSD BE'!$AM$14+'TUSD BF'!$AM$14+'TUSD CVA'!$AM$14)*1*(1-0.02)</f>
        <v>29.844412718026739</v>
      </c>
      <c r="Z300" s="75"/>
      <c r="AA300" s="75"/>
      <c r="AB300" s="75">
        <f>(SUBSIDIO!$J$300*SUBSIDIO!$V$300)*(0.04)/(1-0.04)</f>
        <v>7954.6332000000011</v>
      </c>
      <c r="AC300" s="75">
        <f>((SUBSIDIO!$L$300*SUBSIDIO!$W$300)+(SUBSIDIO!$N$300*SUBSIDIO!$X$300))*(0.04)/(1-0.04)</f>
        <v>0</v>
      </c>
      <c r="AD300" s="75">
        <f ca="1">(SUBSIDIO!$J$300*SUBSIDIO!$Y$300)*(0.02)/(1-0.02)</f>
        <v>4628.3202498833716</v>
      </c>
      <c r="AE300" s="75">
        <f>((SUBSIDIO!$L$300*SUBSIDIO!$Z$300)+(SUBSIDIO!$N$300*SUBSIDIO!$AA$300))*(0.02)/(1-0.02)</f>
        <v>0</v>
      </c>
      <c r="AF300" s="4" t="s">
        <v>638</v>
      </c>
    </row>
    <row r="301" spans="1:32" ht="11.25" customHeight="1" x14ac:dyDescent="0.25">
      <c r="A301" s="4" t="s">
        <v>28</v>
      </c>
      <c r="B301" s="4" t="s">
        <v>35</v>
      </c>
      <c r="C301" s="4" t="s">
        <v>39</v>
      </c>
      <c r="D301" s="4" t="s">
        <v>42</v>
      </c>
      <c r="E301" s="4" t="s">
        <v>25</v>
      </c>
      <c r="F301" s="4" t="s">
        <v>25</v>
      </c>
      <c r="G301" s="4" t="s">
        <v>25</v>
      </c>
      <c r="H301" s="4" t="s">
        <v>25</v>
      </c>
      <c r="I301" s="5">
        <v>44440</v>
      </c>
      <c r="J301" s="6">
        <v>1110</v>
      </c>
      <c r="K301" s="75">
        <v>1110</v>
      </c>
      <c r="L301" s="6">
        <v>0</v>
      </c>
      <c r="M301" s="75">
        <v>0</v>
      </c>
      <c r="N301" s="6">
        <v>0</v>
      </c>
      <c r="O301" s="75">
        <v>0</v>
      </c>
      <c r="P301" s="6">
        <v>10</v>
      </c>
      <c r="Q301" s="4" t="s">
        <v>26</v>
      </c>
      <c r="R301" s="4">
        <v>0</v>
      </c>
      <c r="S301" s="4">
        <v>18</v>
      </c>
      <c r="T301" s="4">
        <v>0</v>
      </c>
      <c r="U301" s="4">
        <v>0</v>
      </c>
      <c r="V301" s="75">
        <f>IF(ISERROR(VLOOKUP($S$301,'TAR FIN'!$A$1:$O$93,15,0)),0,VLOOKUP($S$301,'TAR FIN'!$A$1:$O$93,15,0))*(1-0.04)</f>
        <v>25.123200000000001</v>
      </c>
      <c r="W301" s="75">
        <f>IF(ISERROR(VLOOKUP($T$301,'TAR FIN'!$A$1:$O$93,15,0)),0,VLOOKUP($T$301,'TAR FIN'!$A$1:$O$93,15,0))</f>
        <v>0</v>
      </c>
      <c r="X301" s="75">
        <f>IF(ISERROR(VLOOKUP($U$301,'TAR FIN'!$A$1:$O$93,15,0)),0,VLOOKUP($U$301,'TAR FIN'!$A$1:$O$93,15,0))</f>
        <v>0</v>
      </c>
      <c r="Y301" s="75">
        <f ca="1">('TUSD BE'!$AM$14+'TUSD BF'!$AM$14+'TUSD CVA'!$AM$14)*1*(1-0.02)</f>
        <v>29.844412718026739</v>
      </c>
      <c r="Z301" s="75"/>
      <c r="AA301" s="75"/>
      <c r="AB301" s="75">
        <f>(SUBSIDIO!$J$301*SUBSIDIO!$V$301)*(0.04)/(1-0.04)</f>
        <v>1161.9480000000001</v>
      </c>
      <c r="AC301" s="75">
        <f>((SUBSIDIO!$L$301*SUBSIDIO!$W$301)+(SUBSIDIO!$N$301*SUBSIDIO!$X$301))*(0.04)/(1-0.04)</f>
        <v>0</v>
      </c>
      <c r="AD301" s="75">
        <f ca="1">(SUBSIDIO!$J$301*SUBSIDIO!$Y$301)*(0.02)/(1-0.02)</f>
        <v>676.06730851040174</v>
      </c>
      <c r="AE301" s="75">
        <f>((SUBSIDIO!$L$301*SUBSIDIO!$Z$301)+(SUBSIDIO!$N$301*SUBSIDIO!$AA$301))*(0.02)/(1-0.02)</f>
        <v>0</v>
      </c>
      <c r="AF301" s="4" t="s">
        <v>638</v>
      </c>
    </row>
    <row r="302" spans="1:32" ht="11.25" customHeight="1" x14ac:dyDescent="0.25">
      <c r="A302" s="4" t="s">
        <v>21</v>
      </c>
      <c r="B302" s="4" t="s">
        <v>35</v>
      </c>
      <c r="C302" s="4" t="s">
        <v>39</v>
      </c>
      <c r="D302" s="4" t="s">
        <v>42</v>
      </c>
      <c r="E302" s="4" t="s">
        <v>25</v>
      </c>
      <c r="F302" s="4" t="s">
        <v>25</v>
      </c>
      <c r="G302" s="4" t="s">
        <v>25</v>
      </c>
      <c r="H302" s="4" t="s">
        <v>25</v>
      </c>
      <c r="I302" s="5">
        <v>44470</v>
      </c>
      <c r="J302" s="6">
        <v>7273</v>
      </c>
      <c r="K302" s="75">
        <v>7273</v>
      </c>
      <c r="L302" s="6">
        <v>0</v>
      </c>
      <c r="M302" s="75">
        <v>0</v>
      </c>
      <c r="N302" s="6">
        <v>0</v>
      </c>
      <c r="O302" s="75">
        <v>0</v>
      </c>
      <c r="P302" s="6">
        <v>107</v>
      </c>
      <c r="Q302" s="4" t="s">
        <v>26</v>
      </c>
      <c r="R302" s="4">
        <v>0</v>
      </c>
      <c r="S302" s="4">
        <v>18</v>
      </c>
      <c r="T302" s="4">
        <v>0</v>
      </c>
      <c r="U302" s="4">
        <v>0</v>
      </c>
      <c r="V302" s="75">
        <f>IF(ISERROR(VLOOKUP($S$302,'TAR FIN'!$A$1:$O$93,15,0)),0,VLOOKUP($S$302,'TAR FIN'!$A$1:$O$93,15,0))*(1-0.04)</f>
        <v>25.123200000000001</v>
      </c>
      <c r="W302" s="75">
        <f>IF(ISERROR(VLOOKUP($T$302,'TAR FIN'!$A$1:$O$93,15,0)),0,VLOOKUP($T$302,'TAR FIN'!$A$1:$O$93,15,0))</f>
        <v>0</v>
      </c>
      <c r="X302" s="75">
        <f>IF(ISERROR(VLOOKUP($U$302,'TAR FIN'!$A$1:$O$93,15,0)),0,VLOOKUP($U$302,'TAR FIN'!$A$1:$O$93,15,0))</f>
        <v>0</v>
      </c>
      <c r="Y302" s="75">
        <f ca="1">('TUSD BE'!$AM$14+'TUSD BF'!$AM$14+'TUSD CVA'!$AM$14)*1*(1-0.02)</f>
        <v>29.844412718026739</v>
      </c>
      <c r="Z302" s="75"/>
      <c r="AA302" s="75"/>
      <c r="AB302" s="75">
        <f>(SUBSIDIO!$J$302*SUBSIDIO!$V$302)*(0.04)/(1-0.04)</f>
        <v>7613.376400000001</v>
      </c>
      <c r="AC302" s="75">
        <f>((SUBSIDIO!$L$302*SUBSIDIO!$W$302)+(SUBSIDIO!$N$302*SUBSIDIO!$X$302))*(0.04)/(1-0.04)</f>
        <v>0</v>
      </c>
      <c r="AD302" s="75">
        <f ca="1">(SUBSIDIO!$J$302*SUBSIDIO!$Y$302)*(0.02)/(1-0.02)</f>
        <v>4429.7635448613973</v>
      </c>
      <c r="AE302" s="75">
        <f>((SUBSIDIO!$L$302*SUBSIDIO!$Z$302)+(SUBSIDIO!$N$302*SUBSIDIO!$AA$302))*(0.02)/(1-0.02)</f>
        <v>0</v>
      </c>
      <c r="AF302" s="4" t="s">
        <v>638</v>
      </c>
    </row>
    <row r="303" spans="1:32" ht="11.25" customHeight="1" x14ac:dyDescent="0.25">
      <c r="A303" s="4" t="s">
        <v>28</v>
      </c>
      <c r="B303" s="4" t="s">
        <v>35</v>
      </c>
      <c r="C303" s="4" t="s">
        <v>39</v>
      </c>
      <c r="D303" s="4" t="s">
        <v>42</v>
      </c>
      <c r="E303" s="4" t="s">
        <v>25</v>
      </c>
      <c r="F303" s="4" t="s">
        <v>25</v>
      </c>
      <c r="G303" s="4" t="s">
        <v>25</v>
      </c>
      <c r="H303" s="4" t="s">
        <v>25</v>
      </c>
      <c r="I303" s="5">
        <v>44470</v>
      </c>
      <c r="J303" s="6">
        <v>1138</v>
      </c>
      <c r="K303" s="75">
        <v>1138</v>
      </c>
      <c r="L303" s="6">
        <v>0</v>
      </c>
      <c r="M303" s="75">
        <v>0</v>
      </c>
      <c r="N303" s="6">
        <v>0</v>
      </c>
      <c r="O303" s="75">
        <v>0</v>
      </c>
      <c r="P303" s="6">
        <v>10</v>
      </c>
      <c r="Q303" s="4" t="s">
        <v>26</v>
      </c>
      <c r="R303" s="4">
        <v>0</v>
      </c>
      <c r="S303" s="4">
        <v>18</v>
      </c>
      <c r="T303" s="4">
        <v>0</v>
      </c>
      <c r="U303" s="4">
        <v>0</v>
      </c>
      <c r="V303" s="75">
        <f>IF(ISERROR(VLOOKUP($S$303,'TAR FIN'!$A$1:$O$93,15,0)),0,VLOOKUP($S$303,'TAR FIN'!$A$1:$O$93,15,0))*(1-0.04)</f>
        <v>25.123200000000001</v>
      </c>
      <c r="W303" s="75">
        <f>IF(ISERROR(VLOOKUP($T$303,'TAR FIN'!$A$1:$O$93,15,0)),0,VLOOKUP($T$303,'TAR FIN'!$A$1:$O$93,15,0))</f>
        <v>0</v>
      </c>
      <c r="X303" s="75">
        <f>IF(ISERROR(VLOOKUP($U$303,'TAR FIN'!$A$1:$O$93,15,0)),0,VLOOKUP($U$303,'TAR FIN'!$A$1:$O$93,15,0))</f>
        <v>0</v>
      </c>
      <c r="Y303" s="75">
        <f ca="1">('TUSD BE'!$AM$14+'TUSD BF'!$AM$14+'TUSD CVA'!$AM$14)*1*(1-0.02)</f>
        <v>29.844412718026739</v>
      </c>
      <c r="Z303" s="75"/>
      <c r="AA303" s="75"/>
      <c r="AB303" s="75">
        <f>(SUBSIDIO!$J$303*SUBSIDIO!$V$303)*(0.04)/(1-0.04)</f>
        <v>1191.2584000000002</v>
      </c>
      <c r="AC303" s="75">
        <f>((SUBSIDIO!$L$303*SUBSIDIO!$W$303)+(SUBSIDIO!$N$303*SUBSIDIO!$X$303))*(0.04)/(1-0.04)</f>
        <v>0</v>
      </c>
      <c r="AD303" s="75">
        <f ca="1">(SUBSIDIO!$J$303*SUBSIDIO!$Y$303)*(0.02)/(1-0.02)</f>
        <v>693.12125863498841</v>
      </c>
      <c r="AE303" s="75">
        <f>((SUBSIDIO!$L$303*SUBSIDIO!$Z$303)+(SUBSIDIO!$N$303*SUBSIDIO!$AA$303))*(0.02)/(1-0.02)</f>
        <v>0</v>
      </c>
      <c r="AF303" s="4" t="s">
        <v>638</v>
      </c>
    </row>
    <row r="304" spans="1:32" ht="11.25" customHeight="1" x14ac:dyDescent="0.25">
      <c r="A304" s="4" t="s">
        <v>21</v>
      </c>
      <c r="B304" s="4" t="s">
        <v>35</v>
      </c>
      <c r="C304" s="4" t="s">
        <v>39</v>
      </c>
      <c r="D304" s="4" t="s">
        <v>42</v>
      </c>
      <c r="E304" s="4" t="s">
        <v>25</v>
      </c>
      <c r="F304" s="4" t="s">
        <v>25</v>
      </c>
      <c r="G304" s="4" t="s">
        <v>25</v>
      </c>
      <c r="H304" s="4" t="s">
        <v>25</v>
      </c>
      <c r="I304" s="5">
        <v>44501</v>
      </c>
      <c r="J304" s="6">
        <v>8501</v>
      </c>
      <c r="K304" s="75">
        <v>8501</v>
      </c>
      <c r="L304" s="6">
        <v>0</v>
      </c>
      <c r="M304" s="75">
        <v>0</v>
      </c>
      <c r="N304" s="6">
        <v>0</v>
      </c>
      <c r="O304" s="75">
        <v>0</v>
      </c>
      <c r="P304" s="6">
        <v>107</v>
      </c>
      <c r="Q304" s="4" t="s">
        <v>26</v>
      </c>
      <c r="R304" s="4">
        <v>0</v>
      </c>
      <c r="S304" s="4">
        <v>18</v>
      </c>
      <c r="T304" s="4">
        <v>0</v>
      </c>
      <c r="U304" s="4">
        <v>0</v>
      </c>
      <c r="V304" s="75">
        <f>IF(ISERROR(VLOOKUP($S$304,'TAR FIN'!$A$1:$O$93,15,0)),0,VLOOKUP($S$304,'TAR FIN'!$A$1:$O$93,15,0))*(1-0.04)</f>
        <v>25.123200000000001</v>
      </c>
      <c r="W304" s="75">
        <f>IF(ISERROR(VLOOKUP($T$304,'TAR FIN'!$A$1:$O$93,15,0)),0,VLOOKUP($T$304,'TAR FIN'!$A$1:$O$93,15,0))</f>
        <v>0</v>
      </c>
      <c r="X304" s="75">
        <f>IF(ISERROR(VLOOKUP($U$304,'TAR FIN'!$A$1:$O$93,15,0)),0,VLOOKUP($U$304,'TAR FIN'!$A$1:$O$93,15,0))</f>
        <v>0</v>
      </c>
      <c r="Y304" s="75">
        <f ca="1">('TUSD BE'!$AM$14+'TUSD BF'!$AM$14+'TUSD CVA'!$AM$14)*1*(1-0.02)</f>
        <v>29.844412718026739</v>
      </c>
      <c r="Z304" s="75"/>
      <c r="AA304" s="75"/>
      <c r="AB304" s="75">
        <f>(SUBSIDIO!$J$304*SUBSIDIO!$V$304)*(0.04)/(1-0.04)</f>
        <v>8898.8468000000012</v>
      </c>
      <c r="AC304" s="75">
        <f>((SUBSIDIO!$L$304*SUBSIDIO!$W$304)+(SUBSIDIO!$N$304*SUBSIDIO!$X$304))*(0.04)/(1-0.04)</f>
        <v>0</v>
      </c>
      <c r="AD304" s="75">
        <f ca="1">(SUBSIDIO!$J$304*SUBSIDIO!$Y$304)*(0.02)/(1-0.02)</f>
        <v>5177.7010717539852</v>
      </c>
      <c r="AE304" s="75">
        <f>((SUBSIDIO!$L$304*SUBSIDIO!$Z$304)+(SUBSIDIO!$N$304*SUBSIDIO!$AA$304))*(0.02)/(1-0.02)</f>
        <v>0</v>
      </c>
      <c r="AF304" s="4" t="s">
        <v>638</v>
      </c>
    </row>
    <row r="305" spans="1:32" ht="11.25" customHeight="1" x14ac:dyDescent="0.25">
      <c r="A305" s="4" t="s">
        <v>28</v>
      </c>
      <c r="B305" s="4" t="s">
        <v>35</v>
      </c>
      <c r="C305" s="4" t="s">
        <v>39</v>
      </c>
      <c r="D305" s="4" t="s">
        <v>42</v>
      </c>
      <c r="E305" s="4" t="s">
        <v>25</v>
      </c>
      <c r="F305" s="4" t="s">
        <v>25</v>
      </c>
      <c r="G305" s="4" t="s">
        <v>25</v>
      </c>
      <c r="H305" s="4" t="s">
        <v>25</v>
      </c>
      <c r="I305" s="5">
        <v>44501</v>
      </c>
      <c r="J305" s="6">
        <v>1298</v>
      </c>
      <c r="K305" s="75">
        <v>1298</v>
      </c>
      <c r="L305" s="6">
        <v>0</v>
      </c>
      <c r="M305" s="75">
        <v>0</v>
      </c>
      <c r="N305" s="6">
        <v>0</v>
      </c>
      <c r="O305" s="75">
        <v>0</v>
      </c>
      <c r="P305" s="6">
        <v>10</v>
      </c>
      <c r="Q305" s="4" t="s">
        <v>26</v>
      </c>
      <c r="R305" s="4">
        <v>0</v>
      </c>
      <c r="S305" s="4">
        <v>18</v>
      </c>
      <c r="T305" s="4">
        <v>0</v>
      </c>
      <c r="U305" s="4">
        <v>0</v>
      </c>
      <c r="V305" s="75">
        <f>IF(ISERROR(VLOOKUP($S$305,'TAR FIN'!$A$1:$O$93,15,0)),0,VLOOKUP($S$305,'TAR FIN'!$A$1:$O$93,15,0))*(1-0.04)</f>
        <v>25.123200000000001</v>
      </c>
      <c r="W305" s="75">
        <f>IF(ISERROR(VLOOKUP($T$305,'TAR FIN'!$A$1:$O$93,15,0)),0,VLOOKUP($T$305,'TAR FIN'!$A$1:$O$93,15,0))</f>
        <v>0</v>
      </c>
      <c r="X305" s="75">
        <f>IF(ISERROR(VLOOKUP($U$305,'TAR FIN'!$A$1:$O$93,15,0)),0,VLOOKUP($U$305,'TAR FIN'!$A$1:$O$93,15,0))</f>
        <v>0</v>
      </c>
      <c r="Y305" s="75">
        <f ca="1">('TUSD BE'!$AM$14+'TUSD BF'!$AM$14+'TUSD CVA'!$AM$14)*1*(1-0.02)</f>
        <v>29.844412718026739</v>
      </c>
      <c r="Z305" s="75"/>
      <c r="AA305" s="75"/>
      <c r="AB305" s="75">
        <f>(SUBSIDIO!$J$305*SUBSIDIO!$V$305)*(0.04)/(1-0.04)</f>
        <v>1358.7464</v>
      </c>
      <c r="AC305" s="75">
        <f>((SUBSIDIO!$L$305*SUBSIDIO!$W$305)+(SUBSIDIO!$N$305*SUBSIDIO!$X$305))*(0.04)/(1-0.04)</f>
        <v>0</v>
      </c>
      <c r="AD305" s="75">
        <f ca="1">(SUBSIDIO!$J$305*SUBSIDIO!$Y$305)*(0.02)/(1-0.02)</f>
        <v>790.57240220405527</v>
      </c>
      <c r="AE305" s="75">
        <f>((SUBSIDIO!$L$305*SUBSIDIO!$Z$305)+(SUBSIDIO!$N$305*SUBSIDIO!$AA$305))*(0.02)/(1-0.02)</f>
        <v>0</v>
      </c>
      <c r="AF305" s="4" t="s">
        <v>638</v>
      </c>
    </row>
    <row r="306" spans="1:32" ht="11.25" customHeight="1" x14ac:dyDescent="0.25">
      <c r="A306" s="4" t="s">
        <v>21</v>
      </c>
      <c r="B306" s="4" t="s">
        <v>35</v>
      </c>
      <c r="C306" s="4" t="s">
        <v>39</v>
      </c>
      <c r="D306" s="4" t="s">
        <v>42</v>
      </c>
      <c r="E306" s="4" t="s">
        <v>25</v>
      </c>
      <c r="F306" s="4" t="s">
        <v>25</v>
      </c>
      <c r="G306" s="4" t="s">
        <v>25</v>
      </c>
      <c r="H306" s="4" t="s">
        <v>25</v>
      </c>
      <c r="I306" s="5">
        <v>44531</v>
      </c>
      <c r="J306" s="6">
        <v>10613</v>
      </c>
      <c r="K306" s="75">
        <v>10613</v>
      </c>
      <c r="L306" s="6">
        <v>0</v>
      </c>
      <c r="M306" s="75">
        <v>0</v>
      </c>
      <c r="N306" s="6">
        <v>0</v>
      </c>
      <c r="O306" s="75">
        <v>0</v>
      </c>
      <c r="P306" s="6">
        <v>107</v>
      </c>
      <c r="Q306" s="4" t="s">
        <v>26</v>
      </c>
      <c r="R306" s="4">
        <v>0</v>
      </c>
      <c r="S306" s="4">
        <v>18</v>
      </c>
      <c r="T306" s="4">
        <v>0</v>
      </c>
      <c r="U306" s="4">
        <v>0</v>
      </c>
      <c r="V306" s="75">
        <f>IF(ISERROR(VLOOKUP($S$306,'TAR FIN'!$A$1:$O$93,15,0)),0,VLOOKUP($S$306,'TAR FIN'!$A$1:$O$93,15,0))*(1-0.04)</f>
        <v>25.123200000000001</v>
      </c>
      <c r="W306" s="75">
        <f>IF(ISERROR(VLOOKUP($T$306,'TAR FIN'!$A$1:$O$93,15,0)),0,VLOOKUP($T$306,'TAR FIN'!$A$1:$O$93,15,0))</f>
        <v>0</v>
      </c>
      <c r="X306" s="75">
        <f>IF(ISERROR(VLOOKUP($U$306,'TAR FIN'!$A$1:$O$93,15,0)),0,VLOOKUP($U$306,'TAR FIN'!$A$1:$O$93,15,0))</f>
        <v>0</v>
      </c>
      <c r="Y306" s="75">
        <f ca="1">('TUSD BE'!$AM$14+'TUSD BF'!$AM$14+'TUSD CVA'!$AM$14)*1*(1-0.02)</f>
        <v>29.844412718026739</v>
      </c>
      <c r="Z306" s="75"/>
      <c r="AA306" s="75"/>
      <c r="AB306" s="75">
        <f>(SUBSIDIO!$J$306*SUBSIDIO!$V$306)*(0.04)/(1-0.04)</f>
        <v>11109.688399999999</v>
      </c>
      <c r="AC306" s="75">
        <f>((SUBSIDIO!$L$306*SUBSIDIO!$W$306)+(SUBSIDIO!$N$306*SUBSIDIO!$X$306))*(0.04)/(1-0.04)</f>
        <v>0</v>
      </c>
      <c r="AD306" s="75">
        <f ca="1">(SUBSIDIO!$J$306*SUBSIDIO!$Y$306)*(0.02)/(1-0.02)</f>
        <v>6464.0561668656692</v>
      </c>
      <c r="AE306" s="75">
        <f>((SUBSIDIO!$L$306*SUBSIDIO!$Z$306)+(SUBSIDIO!$N$306*SUBSIDIO!$AA$306))*(0.02)/(1-0.02)</f>
        <v>0</v>
      </c>
      <c r="AF306" s="4" t="s">
        <v>638</v>
      </c>
    </row>
    <row r="307" spans="1:32" ht="11.25" customHeight="1" x14ac:dyDescent="0.25">
      <c r="A307" s="4" t="s">
        <v>21</v>
      </c>
      <c r="B307" s="4" t="s">
        <v>35</v>
      </c>
      <c r="C307" s="4" t="s">
        <v>39</v>
      </c>
      <c r="D307" s="4" t="s">
        <v>42</v>
      </c>
      <c r="E307" s="4" t="s">
        <v>25</v>
      </c>
      <c r="F307" s="4" t="s">
        <v>25</v>
      </c>
      <c r="G307" s="4" t="s">
        <v>25</v>
      </c>
      <c r="H307" s="4" t="s">
        <v>25</v>
      </c>
      <c r="I307" s="5">
        <v>44562</v>
      </c>
      <c r="J307" s="6">
        <v>8788</v>
      </c>
      <c r="K307" s="75">
        <v>8788</v>
      </c>
      <c r="L307" s="6">
        <v>0</v>
      </c>
      <c r="M307" s="75">
        <v>0</v>
      </c>
      <c r="N307" s="6">
        <v>0</v>
      </c>
      <c r="O307" s="75">
        <v>0</v>
      </c>
      <c r="P307" s="6">
        <v>108</v>
      </c>
      <c r="Q307" s="4" t="s">
        <v>26</v>
      </c>
      <c r="R307" s="4">
        <v>0</v>
      </c>
      <c r="S307" s="4">
        <v>18</v>
      </c>
      <c r="T307" s="4">
        <v>0</v>
      </c>
      <c r="U307" s="4">
        <v>0</v>
      </c>
      <c r="V307" s="75">
        <f>IF(ISERROR(VLOOKUP($S$307,'TAR FIN'!$A$1:$O$93,15,0)),0,VLOOKUP($S$307,'TAR FIN'!$A$1:$O$93,15,0))*(1-0.04)</f>
        <v>25.123200000000001</v>
      </c>
      <c r="W307" s="75">
        <f>IF(ISERROR(VLOOKUP($T$307,'TAR FIN'!$A$1:$O$93,15,0)),0,VLOOKUP($T$307,'TAR FIN'!$A$1:$O$93,15,0))</f>
        <v>0</v>
      </c>
      <c r="X307" s="75">
        <f>IF(ISERROR(VLOOKUP($U$307,'TAR FIN'!$A$1:$O$93,15,0)),0,VLOOKUP($U$307,'TAR FIN'!$A$1:$O$93,15,0))</f>
        <v>0</v>
      </c>
      <c r="Y307" s="75">
        <f ca="1">('TUSD BE'!$AM$14+'TUSD BF'!$AM$14+'TUSD CVA'!$AM$14)*1*(1-0.02)</f>
        <v>29.844412718026739</v>
      </c>
      <c r="Z307" s="75"/>
      <c r="AA307" s="75"/>
      <c r="AB307" s="75">
        <f>(SUBSIDIO!$J$307*SUBSIDIO!$V$307)*(0.04)/(1-0.04)</f>
        <v>9199.2784000000011</v>
      </c>
      <c r="AC307" s="75">
        <f>((SUBSIDIO!$L$307*SUBSIDIO!$W$307)+(SUBSIDIO!$N$307*SUBSIDIO!$X$307))*(0.04)/(1-0.04)</f>
        <v>0</v>
      </c>
      <c r="AD307" s="75">
        <f ca="1">(SUBSIDIO!$J$307*SUBSIDIO!$Y$307)*(0.02)/(1-0.02)</f>
        <v>5352.5040605309996</v>
      </c>
      <c r="AE307" s="75">
        <f>((SUBSIDIO!$L$307*SUBSIDIO!$Z$307)+(SUBSIDIO!$N$307*SUBSIDIO!$AA$307))*(0.02)/(1-0.02)</f>
        <v>0</v>
      </c>
      <c r="AF307" s="4" t="s">
        <v>638</v>
      </c>
    </row>
    <row r="308" spans="1:32" ht="11.25" customHeight="1" x14ac:dyDescent="0.25">
      <c r="A308" s="4" t="s">
        <v>27</v>
      </c>
      <c r="B308" s="4" t="s">
        <v>35</v>
      </c>
      <c r="C308" s="4" t="s">
        <v>39</v>
      </c>
      <c r="D308" s="4" t="s">
        <v>42</v>
      </c>
      <c r="E308" s="4" t="s">
        <v>25</v>
      </c>
      <c r="F308" s="4" t="s">
        <v>25</v>
      </c>
      <c r="G308" s="4" t="s">
        <v>25</v>
      </c>
      <c r="H308" s="4" t="s">
        <v>25</v>
      </c>
      <c r="I308" s="5">
        <v>44562</v>
      </c>
      <c r="J308" s="6">
        <v>-291</v>
      </c>
      <c r="K308" s="75">
        <v>-291</v>
      </c>
      <c r="L308" s="6">
        <v>0</v>
      </c>
      <c r="M308" s="75">
        <v>0</v>
      </c>
      <c r="N308" s="6">
        <v>0</v>
      </c>
      <c r="O308" s="75">
        <v>0</v>
      </c>
      <c r="P308" s="6">
        <v>-1</v>
      </c>
      <c r="Q308" s="4" t="s">
        <v>26</v>
      </c>
      <c r="R308" s="4">
        <v>0</v>
      </c>
      <c r="S308" s="4">
        <v>18</v>
      </c>
      <c r="T308" s="4">
        <v>0</v>
      </c>
      <c r="U308" s="4">
        <v>0</v>
      </c>
      <c r="V308" s="75">
        <f>IF(ISERROR(VLOOKUP($S$308,'TAR FIN'!$A$1:$O$93,15,0)),0,VLOOKUP($S$308,'TAR FIN'!$A$1:$O$93,15,0))*(1-0.04)</f>
        <v>25.123200000000001</v>
      </c>
      <c r="W308" s="75">
        <f>IF(ISERROR(VLOOKUP($T$308,'TAR FIN'!$A$1:$O$93,15,0)),0,VLOOKUP($T$308,'TAR FIN'!$A$1:$O$93,15,0))</f>
        <v>0</v>
      </c>
      <c r="X308" s="75">
        <f>IF(ISERROR(VLOOKUP($U$308,'TAR FIN'!$A$1:$O$93,15,0)),0,VLOOKUP($U$308,'TAR FIN'!$A$1:$O$93,15,0))</f>
        <v>0</v>
      </c>
      <c r="Y308" s="75">
        <f ca="1">('TUSD BE'!$AM$14+'TUSD BF'!$AM$14+'TUSD CVA'!$AM$14)*1*(1-0.02)</f>
        <v>29.844412718026739</v>
      </c>
      <c r="Z308" s="75"/>
      <c r="AA308" s="75"/>
      <c r="AB308" s="75">
        <f>(SUBSIDIO!$J$308*SUBSIDIO!$V$308)*(0.04)/(1-0.04)</f>
        <v>-304.61880000000002</v>
      </c>
      <c r="AC308" s="75">
        <f>((SUBSIDIO!$L$308*SUBSIDIO!$W$308)+(SUBSIDIO!$N$308*SUBSIDIO!$X$308))*(0.04)/(1-0.04)</f>
        <v>0</v>
      </c>
      <c r="AD308" s="75">
        <f ca="1">(SUBSIDIO!$J$308*SUBSIDIO!$Y$308)*(0.02)/(1-0.02)</f>
        <v>-177.23926736624045</v>
      </c>
      <c r="AE308" s="75">
        <f>((SUBSIDIO!$L$308*SUBSIDIO!$Z$308)+(SUBSIDIO!$N$308*SUBSIDIO!$AA$308))*(0.02)/(1-0.02)</f>
        <v>0</v>
      </c>
      <c r="AF308" s="4" t="s">
        <v>638</v>
      </c>
    </row>
    <row r="309" spans="1:32" ht="11.25" customHeight="1" x14ac:dyDescent="0.25">
      <c r="A309" s="4" t="s">
        <v>28</v>
      </c>
      <c r="B309" s="4" t="s">
        <v>35</v>
      </c>
      <c r="C309" s="4" t="s">
        <v>39</v>
      </c>
      <c r="D309" s="4" t="s">
        <v>42</v>
      </c>
      <c r="E309" s="4" t="s">
        <v>25</v>
      </c>
      <c r="F309" s="4" t="s">
        <v>25</v>
      </c>
      <c r="G309" s="4" t="s">
        <v>25</v>
      </c>
      <c r="H309" s="4" t="s">
        <v>25</v>
      </c>
      <c r="I309" s="5">
        <v>44562</v>
      </c>
      <c r="J309" s="6">
        <v>1117</v>
      </c>
      <c r="K309" s="75">
        <v>1117</v>
      </c>
      <c r="L309" s="6">
        <v>0</v>
      </c>
      <c r="M309" s="75">
        <v>0</v>
      </c>
      <c r="N309" s="6">
        <v>0</v>
      </c>
      <c r="O309" s="75">
        <v>0</v>
      </c>
      <c r="P309" s="6">
        <v>10</v>
      </c>
      <c r="Q309" s="4" t="s">
        <v>26</v>
      </c>
      <c r="R309" s="4">
        <v>0</v>
      </c>
      <c r="S309" s="4">
        <v>18</v>
      </c>
      <c r="T309" s="4">
        <v>0</v>
      </c>
      <c r="U309" s="4">
        <v>0</v>
      </c>
      <c r="V309" s="75">
        <f>IF(ISERROR(VLOOKUP($S$309,'TAR FIN'!$A$1:$O$93,15,0)),0,VLOOKUP($S$309,'TAR FIN'!$A$1:$O$93,15,0))*(1-0.04)</f>
        <v>25.123200000000001</v>
      </c>
      <c r="W309" s="75">
        <f>IF(ISERROR(VLOOKUP($T$309,'TAR FIN'!$A$1:$O$93,15,0)),0,VLOOKUP($T$309,'TAR FIN'!$A$1:$O$93,15,0))</f>
        <v>0</v>
      </c>
      <c r="X309" s="75">
        <f>IF(ISERROR(VLOOKUP($U$309,'TAR FIN'!$A$1:$O$93,15,0)),0,VLOOKUP($U$309,'TAR FIN'!$A$1:$O$93,15,0))</f>
        <v>0</v>
      </c>
      <c r="Y309" s="75">
        <f ca="1">('TUSD BE'!$AM$14+'TUSD BF'!$AM$14+'TUSD CVA'!$AM$14)*1*(1-0.02)</f>
        <v>29.844412718026739</v>
      </c>
      <c r="Z309" s="75"/>
      <c r="AA309" s="75"/>
      <c r="AB309" s="75">
        <f>(SUBSIDIO!$J$309*SUBSIDIO!$V$309)*(0.04)/(1-0.04)</f>
        <v>1169.2756000000002</v>
      </c>
      <c r="AC309" s="75">
        <f>((SUBSIDIO!$L$309*SUBSIDIO!$W$309)+(SUBSIDIO!$N$309*SUBSIDIO!$X$309))*(0.04)/(1-0.04)</f>
        <v>0</v>
      </c>
      <c r="AD309" s="75">
        <f ca="1">(SUBSIDIO!$J$309*SUBSIDIO!$Y$309)*(0.02)/(1-0.02)</f>
        <v>680.33079604154841</v>
      </c>
      <c r="AE309" s="75">
        <f>((SUBSIDIO!$L$309*SUBSIDIO!$Z$309)+(SUBSIDIO!$N$309*SUBSIDIO!$AA$309))*(0.02)/(1-0.02)</f>
        <v>0</v>
      </c>
      <c r="AF309" s="4" t="s">
        <v>638</v>
      </c>
    </row>
    <row r="310" spans="1:32" ht="11.25" customHeight="1" x14ac:dyDescent="0.25">
      <c r="A310" s="4" t="s">
        <v>21</v>
      </c>
      <c r="B310" s="4" t="s">
        <v>35</v>
      </c>
      <c r="C310" s="4" t="s">
        <v>39</v>
      </c>
      <c r="D310" s="4" t="s">
        <v>42</v>
      </c>
      <c r="E310" s="4" t="s">
        <v>25</v>
      </c>
      <c r="F310" s="4" t="s">
        <v>25</v>
      </c>
      <c r="G310" s="4" t="s">
        <v>25</v>
      </c>
      <c r="H310" s="4" t="s">
        <v>25</v>
      </c>
      <c r="I310" s="5">
        <v>44593</v>
      </c>
      <c r="J310" s="6">
        <v>10922</v>
      </c>
      <c r="K310" s="75">
        <v>10922</v>
      </c>
      <c r="L310" s="6">
        <v>0</v>
      </c>
      <c r="M310" s="75">
        <v>0</v>
      </c>
      <c r="N310" s="6">
        <v>0</v>
      </c>
      <c r="O310" s="75">
        <v>0</v>
      </c>
      <c r="P310" s="6">
        <v>108</v>
      </c>
      <c r="Q310" s="4" t="s">
        <v>26</v>
      </c>
      <c r="R310" s="4">
        <v>0</v>
      </c>
      <c r="S310" s="4">
        <v>18</v>
      </c>
      <c r="T310" s="4">
        <v>0</v>
      </c>
      <c r="U310" s="4">
        <v>0</v>
      </c>
      <c r="V310" s="75">
        <f>IF(ISERROR(VLOOKUP($S$310,'TAR FIN'!$A$1:$O$93,15,0)),0,VLOOKUP($S$310,'TAR FIN'!$A$1:$O$93,15,0))*(1-0.04)</f>
        <v>25.123200000000001</v>
      </c>
      <c r="W310" s="75">
        <f>IF(ISERROR(VLOOKUP($T$310,'TAR FIN'!$A$1:$O$93,15,0)),0,VLOOKUP($T$310,'TAR FIN'!$A$1:$O$93,15,0))</f>
        <v>0</v>
      </c>
      <c r="X310" s="75">
        <f>IF(ISERROR(VLOOKUP($U$310,'TAR FIN'!$A$1:$O$93,15,0)),0,VLOOKUP($U$310,'TAR FIN'!$A$1:$O$93,15,0))</f>
        <v>0</v>
      </c>
      <c r="Y310" s="75">
        <f ca="1">('TUSD BE'!$AM$14+'TUSD BF'!$AM$14+'TUSD CVA'!$AM$14)*1*(1-0.02)</f>
        <v>29.844412718026739</v>
      </c>
      <c r="Z310" s="75"/>
      <c r="AA310" s="75"/>
      <c r="AB310" s="75">
        <f>(SUBSIDIO!$J$310*SUBSIDIO!$V$310)*(0.04)/(1-0.04)</f>
        <v>11433.149600000001</v>
      </c>
      <c r="AC310" s="75">
        <f>((SUBSIDIO!$L$310*SUBSIDIO!$W$310)+(SUBSIDIO!$N$310*SUBSIDIO!$X$310))*(0.04)/(1-0.04)</f>
        <v>0</v>
      </c>
      <c r="AD310" s="75">
        <f ca="1">(SUBSIDIO!$J$310*SUBSIDIO!$Y$310)*(0.02)/(1-0.02)</f>
        <v>6652.258687883429</v>
      </c>
      <c r="AE310" s="75">
        <f>((SUBSIDIO!$L$310*SUBSIDIO!$Z$310)+(SUBSIDIO!$N$310*SUBSIDIO!$AA$310))*(0.02)/(1-0.02)</f>
        <v>0</v>
      </c>
      <c r="AF310" s="4" t="s">
        <v>638</v>
      </c>
    </row>
    <row r="311" spans="1:32" ht="11.25" customHeight="1" x14ac:dyDescent="0.25">
      <c r="A311" s="4" t="s">
        <v>27</v>
      </c>
      <c r="B311" s="4" t="s">
        <v>35</v>
      </c>
      <c r="C311" s="4" t="s">
        <v>39</v>
      </c>
      <c r="D311" s="4" t="s">
        <v>42</v>
      </c>
      <c r="E311" s="4" t="s">
        <v>25</v>
      </c>
      <c r="F311" s="4" t="s">
        <v>25</v>
      </c>
      <c r="G311" s="4" t="s">
        <v>25</v>
      </c>
      <c r="H311" s="4" t="s">
        <v>25</v>
      </c>
      <c r="I311" s="5">
        <v>44593</v>
      </c>
      <c r="J311" s="6">
        <v>-340</v>
      </c>
      <c r="K311" s="75">
        <v>-340</v>
      </c>
      <c r="L311" s="6">
        <v>0</v>
      </c>
      <c r="M311" s="75">
        <v>0</v>
      </c>
      <c r="N311" s="6">
        <v>0</v>
      </c>
      <c r="O311" s="75">
        <v>0</v>
      </c>
      <c r="P311" s="6">
        <v>-1</v>
      </c>
      <c r="Q311" s="4" t="s">
        <v>26</v>
      </c>
      <c r="R311" s="4">
        <v>0</v>
      </c>
      <c r="S311" s="4">
        <v>18</v>
      </c>
      <c r="T311" s="4">
        <v>0</v>
      </c>
      <c r="U311" s="4">
        <v>0</v>
      </c>
      <c r="V311" s="75">
        <f>IF(ISERROR(VLOOKUP($S$311,'TAR FIN'!$A$1:$O$93,15,0)),0,VLOOKUP($S$311,'TAR FIN'!$A$1:$O$93,15,0))*(1-0.04)</f>
        <v>25.123200000000001</v>
      </c>
      <c r="W311" s="75">
        <f>IF(ISERROR(VLOOKUP($T$311,'TAR FIN'!$A$1:$O$93,15,0)),0,VLOOKUP($T$311,'TAR FIN'!$A$1:$O$93,15,0))</f>
        <v>0</v>
      </c>
      <c r="X311" s="75">
        <f>IF(ISERROR(VLOOKUP($U$311,'TAR FIN'!$A$1:$O$93,15,0)),0,VLOOKUP($U$311,'TAR FIN'!$A$1:$O$93,15,0))</f>
        <v>0</v>
      </c>
      <c r="Y311" s="75">
        <f ca="1">('TUSD BE'!$AM$14+'TUSD BF'!$AM$14+'TUSD CVA'!$AM$14)*1*(1-0.02)</f>
        <v>29.844412718026739</v>
      </c>
      <c r="Z311" s="75"/>
      <c r="AA311" s="75"/>
      <c r="AB311" s="75">
        <f>(SUBSIDIO!$J$311*SUBSIDIO!$V$311)*(0.04)/(1-0.04)</f>
        <v>-355.91200000000009</v>
      </c>
      <c r="AC311" s="75">
        <f>((SUBSIDIO!$L$311*SUBSIDIO!$W$311)+(SUBSIDIO!$N$311*SUBSIDIO!$X$311))*(0.04)/(1-0.04)</f>
        <v>0</v>
      </c>
      <c r="AD311" s="75">
        <f ca="1">(SUBSIDIO!$J$311*SUBSIDIO!$Y$311)*(0.02)/(1-0.02)</f>
        <v>-207.08368008426717</v>
      </c>
      <c r="AE311" s="75">
        <f>((SUBSIDIO!$L$311*SUBSIDIO!$Z$311)+(SUBSIDIO!$N$311*SUBSIDIO!$AA$311))*(0.02)/(1-0.02)</f>
        <v>0</v>
      </c>
      <c r="AF311" s="4" t="s">
        <v>638</v>
      </c>
    </row>
    <row r="312" spans="1:32" ht="11.25" customHeight="1" x14ac:dyDescent="0.25">
      <c r="A312" s="4" t="s">
        <v>28</v>
      </c>
      <c r="B312" s="4" t="s">
        <v>35</v>
      </c>
      <c r="C312" s="4" t="s">
        <v>39</v>
      </c>
      <c r="D312" s="4" t="s">
        <v>42</v>
      </c>
      <c r="E312" s="4" t="s">
        <v>25</v>
      </c>
      <c r="F312" s="4" t="s">
        <v>25</v>
      </c>
      <c r="G312" s="4" t="s">
        <v>25</v>
      </c>
      <c r="H312" s="4" t="s">
        <v>25</v>
      </c>
      <c r="I312" s="5">
        <v>44593</v>
      </c>
      <c r="J312" s="6">
        <v>1569</v>
      </c>
      <c r="K312" s="75">
        <v>1569</v>
      </c>
      <c r="L312" s="6">
        <v>0</v>
      </c>
      <c r="M312" s="75">
        <v>0</v>
      </c>
      <c r="N312" s="6">
        <v>0</v>
      </c>
      <c r="O312" s="75">
        <v>0</v>
      </c>
      <c r="P312" s="6">
        <v>11</v>
      </c>
      <c r="Q312" s="4" t="s">
        <v>26</v>
      </c>
      <c r="R312" s="4">
        <v>0</v>
      </c>
      <c r="S312" s="4">
        <v>18</v>
      </c>
      <c r="T312" s="4">
        <v>0</v>
      </c>
      <c r="U312" s="4">
        <v>0</v>
      </c>
      <c r="V312" s="75">
        <f>IF(ISERROR(VLOOKUP($S$312,'TAR FIN'!$A$1:$O$93,15,0)),0,VLOOKUP($S$312,'TAR FIN'!$A$1:$O$93,15,0))*(1-0.04)</f>
        <v>25.123200000000001</v>
      </c>
      <c r="W312" s="75">
        <f>IF(ISERROR(VLOOKUP($T$312,'TAR FIN'!$A$1:$O$93,15,0)),0,VLOOKUP($T$312,'TAR FIN'!$A$1:$O$93,15,0))</f>
        <v>0</v>
      </c>
      <c r="X312" s="75">
        <f>IF(ISERROR(VLOOKUP($U$312,'TAR FIN'!$A$1:$O$93,15,0)),0,VLOOKUP($U$312,'TAR FIN'!$A$1:$O$93,15,0))</f>
        <v>0</v>
      </c>
      <c r="Y312" s="75">
        <f ca="1">('TUSD BE'!$AM$14+'TUSD BF'!$AM$14+'TUSD CVA'!$AM$14)*1*(1-0.02)</f>
        <v>29.844412718026739</v>
      </c>
      <c r="Z312" s="75"/>
      <c r="AA312" s="75"/>
      <c r="AB312" s="75">
        <f>(SUBSIDIO!$J$312*SUBSIDIO!$V$312)*(0.04)/(1-0.04)</f>
        <v>1642.4292000000003</v>
      </c>
      <c r="AC312" s="75">
        <f>((SUBSIDIO!$L$312*SUBSIDIO!$W$312)+(SUBSIDIO!$N$312*SUBSIDIO!$X$312))*(0.04)/(1-0.04)</f>
        <v>0</v>
      </c>
      <c r="AD312" s="75">
        <f ca="1">(SUBSIDIO!$J$312*SUBSIDIO!$Y$312)*(0.02)/(1-0.02)</f>
        <v>955.63027662416232</v>
      </c>
      <c r="AE312" s="75">
        <f>((SUBSIDIO!$L$312*SUBSIDIO!$Z$312)+(SUBSIDIO!$N$312*SUBSIDIO!$AA$312))*(0.02)/(1-0.02)</f>
        <v>0</v>
      </c>
      <c r="AF312" s="4" t="s">
        <v>638</v>
      </c>
    </row>
    <row r="313" spans="1:32" ht="11.25" customHeight="1" x14ac:dyDescent="0.25">
      <c r="A313" s="4" t="s">
        <v>21</v>
      </c>
      <c r="B313" s="4" t="s">
        <v>35</v>
      </c>
      <c r="C313" s="4" t="s">
        <v>39</v>
      </c>
      <c r="D313" s="4" t="s">
        <v>42</v>
      </c>
      <c r="E313" s="4" t="s">
        <v>25</v>
      </c>
      <c r="F313" s="4" t="s">
        <v>25</v>
      </c>
      <c r="G313" s="4" t="s">
        <v>25</v>
      </c>
      <c r="H313" s="4" t="s">
        <v>25</v>
      </c>
      <c r="I313" s="5">
        <v>44621</v>
      </c>
      <c r="J313" s="6">
        <v>10321</v>
      </c>
      <c r="K313" s="75">
        <v>10321</v>
      </c>
      <c r="L313" s="6">
        <v>0</v>
      </c>
      <c r="M313" s="75">
        <v>0</v>
      </c>
      <c r="N313" s="6">
        <v>0</v>
      </c>
      <c r="O313" s="75">
        <v>0</v>
      </c>
      <c r="P313" s="6">
        <v>111</v>
      </c>
      <c r="Q313" s="4" t="s">
        <v>26</v>
      </c>
      <c r="R313" s="4">
        <v>0</v>
      </c>
      <c r="S313" s="4">
        <v>18</v>
      </c>
      <c r="T313" s="4">
        <v>0</v>
      </c>
      <c r="U313" s="4">
        <v>0</v>
      </c>
      <c r="V313" s="75">
        <f>IF(ISERROR(VLOOKUP($S$313,'TAR FIN'!$A$1:$O$93,15,0)),0,VLOOKUP($S$313,'TAR FIN'!$A$1:$O$93,15,0))*(1-0.04)</f>
        <v>25.123200000000001</v>
      </c>
      <c r="W313" s="75">
        <f>IF(ISERROR(VLOOKUP($T$313,'TAR FIN'!$A$1:$O$93,15,0)),0,VLOOKUP($T$313,'TAR FIN'!$A$1:$O$93,15,0))</f>
        <v>0</v>
      </c>
      <c r="X313" s="75">
        <f>IF(ISERROR(VLOOKUP($U$313,'TAR FIN'!$A$1:$O$93,15,0)),0,VLOOKUP($U$313,'TAR FIN'!$A$1:$O$93,15,0))</f>
        <v>0</v>
      </c>
      <c r="Y313" s="75">
        <f ca="1">('TUSD BE'!$AM$14+'TUSD BF'!$AM$14+'TUSD CVA'!$AM$14)*1*(1-0.02)</f>
        <v>29.844412718026739</v>
      </c>
      <c r="Z313" s="75"/>
      <c r="AA313" s="75"/>
      <c r="AB313" s="75">
        <f>(SUBSIDIO!$J$313*SUBSIDIO!$V$313)*(0.04)/(1-0.04)</f>
        <v>10804.022800000001</v>
      </c>
      <c r="AC313" s="75">
        <f>((SUBSIDIO!$L$313*SUBSIDIO!$W$313)+(SUBSIDIO!$N$313*SUBSIDIO!$X$313))*(0.04)/(1-0.04)</f>
        <v>0</v>
      </c>
      <c r="AD313" s="75">
        <f ca="1">(SUBSIDIO!$J$313*SUBSIDIO!$Y$313)*(0.02)/(1-0.02)</f>
        <v>6286.2078298521219</v>
      </c>
      <c r="AE313" s="75">
        <f>((SUBSIDIO!$L$313*SUBSIDIO!$Z$313)+(SUBSIDIO!$N$313*SUBSIDIO!$AA$313))*(0.02)/(1-0.02)</f>
        <v>0</v>
      </c>
      <c r="AF313" s="4" t="s">
        <v>638</v>
      </c>
    </row>
    <row r="314" spans="1:32" ht="11.25" customHeight="1" x14ac:dyDescent="0.25">
      <c r="A314" s="4" t="s">
        <v>27</v>
      </c>
      <c r="B314" s="4" t="s">
        <v>35</v>
      </c>
      <c r="C314" s="4" t="s">
        <v>39</v>
      </c>
      <c r="D314" s="4" t="s">
        <v>42</v>
      </c>
      <c r="E314" s="4" t="s">
        <v>25</v>
      </c>
      <c r="F314" s="4" t="s">
        <v>25</v>
      </c>
      <c r="G314" s="4" t="s">
        <v>25</v>
      </c>
      <c r="H314" s="4" t="s">
        <v>25</v>
      </c>
      <c r="I314" s="5">
        <v>44621</v>
      </c>
      <c r="J314" s="6">
        <v>-328</v>
      </c>
      <c r="K314" s="75">
        <v>-328</v>
      </c>
      <c r="L314" s="6">
        <v>0</v>
      </c>
      <c r="M314" s="75">
        <v>0</v>
      </c>
      <c r="N314" s="6">
        <v>0</v>
      </c>
      <c r="O314" s="75">
        <v>0</v>
      </c>
      <c r="P314" s="6">
        <v>-5</v>
      </c>
      <c r="Q314" s="4" t="s">
        <v>26</v>
      </c>
      <c r="R314" s="4">
        <v>0</v>
      </c>
      <c r="S314" s="4">
        <v>18</v>
      </c>
      <c r="T314" s="4">
        <v>0</v>
      </c>
      <c r="U314" s="4">
        <v>0</v>
      </c>
      <c r="V314" s="75">
        <f>IF(ISERROR(VLOOKUP($S$314,'TAR FIN'!$A$1:$O$93,15,0)),0,VLOOKUP($S$314,'TAR FIN'!$A$1:$O$93,15,0))*(1-0.04)</f>
        <v>25.123200000000001</v>
      </c>
      <c r="W314" s="75">
        <f>IF(ISERROR(VLOOKUP($T$314,'TAR FIN'!$A$1:$O$93,15,0)),0,VLOOKUP($T$314,'TAR FIN'!$A$1:$O$93,15,0))</f>
        <v>0</v>
      </c>
      <c r="X314" s="75">
        <f>IF(ISERROR(VLOOKUP($U$314,'TAR FIN'!$A$1:$O$93,15,0)),0,VLOOKUP($U$314,'TAR FIN'!$A$1:$O$93,15,0))</f>
        <v>0</v>
      </c>
      <c r="Y314" s="75">
        <f ca="1">('TUSD BE'!$AM$14+'TUSD BF'!$AM$14+'TUSD CVA'!$AM$14)*1*(1-0.02)</f>
        <v>29.844412718026739</v>
      </c>
      <c r="Z314" s="75"/>
      <c r="AA314" s="75"/>
      <c r="AB314" s="75">
        <f>(SUBSIDIO!$J$314*SUBSIDIO!$V$314)*(0.04)/(1-0.04)</f>
        <v>-343.35040000000004</v>
      </c>
      <c r="AC314" s="75">
        <f>((SUBSIDIO!$L$314*SUBSIDIO!$W$314)+(SUBSIDIO!$N$314*SUBSIDIO!$X$314))*(0.04)/(1-0.04)</f>
        <v>0</v>
      </c>
      <c r="AD314" s="75">
        <f ca="1">(SUBSIDIO!$J$314*SUBSIDIO!$Y$314)*(0.02)/(1-0.02)</f>
        <v>-199.77484431658715</v>
      </c>
      <c r="AE314" s="75">
        <f>((SUBSIDIO!$L$314*SUBSIDIO!$Z$314)+(SUBSIDIO!$N$314*SUBSIDIO!$AA$314))*(0.02)/(1-0.02)</f>
        <v>0</v>
      </c>
      <c r="AF314" s="4" t="s">
        <v>638</v>
      </c>
    </row>
    <row r="315" spans="1:32" ht="11.25" customHeight="1" x14ac:dyDescent="0.25">
      <c r="A315" s="4" t="s">
        <v>28</v>
      </c>
      <c r="B315" s="4" t="s">
        <v>35</v>
      </c>
      <c r="C315" s="4" t="s">
        <v>39</v>
      </c>
      <c r="D315" s="4" t="s">
        <v>42</v>
      </c>
      <c r="E315" s="4" t="s">
        <v>25</v>
      </c>
      <c r="F315" s="4" t="s">
        <v>25</v>
      </c>
      <c r="G315" s="4" t="s">
        <v>25</v>
      </c>
      <c r="H315" s="4" t="s">
        <v>25</v>
      </c>
      <c r="I315" s="5">
        <v>44621</v>
      </c>
      <c r="J315" s="6">
        <v>1903</v>
      </c>
      <c r="K315" s="75">
        <v>1903</v>
      </c>
      <c r="L315" s="6">
        <v>0</v>
      </c>
      <c r="M315" s="75">
        <v>0</v>
      </c>
      <c r="N315" s="6">
        <v>0</v>
      </c>
      <c r="O315" s="75">
        <v>0</v>
      </c>
      <c r="P315" s="6">
        <v>13</v>
      </c>
      <c r="Q315" s="4" t="s">
        <v>26</v>
      </c>
      <c r="R315" s="4">
        <v>0</v>
      </c>
      <c r="S315" s="4">
        <v>18</v>
      </c>
      <c r="T315" s="4">
        <v>0</v>
      </c>
      <c r="U315" s="4">
        <v>0</v>
      </c>
      <c r="V315" s="75">
        <f>IF(ISERROR(VLOOKUP($S$315,'TAR FIN'!$A$1:$O$93,15,0)),0,VLOOKUP($S$315,'TAR FIN'!$A$1:$O$93,15,0))*(1-0.04)</f>
        <v>25.123200000000001</v>
      </c>
      <c r="W315" s="75">
        <f>IF(ISERROR(VLOOKUP($T$315,'TAR FIN'!$A$1:$O$93,15,0)),0,VLOOKUP($T$315,'TAR FIN'!$A$1:$O$93,15,0))</f>
        <v>0</v>
      </c>
      <c r="X315" s="75">
        <f>IF(ISERROR(VLOOKUP($U$315,'TAR FIN'!$A$1:$O$93,15,0)),0,VLOOKUP($U$315,'TAR FIN'!$A$1:$O$93,15,0))</f>
        <v>0</v>
      </c>
      <c r="Y315" s="75">
        <f ca="1">('TUSD BE'!$AM$14+'TUSD BF'!$AM$14+'TUSD CVA'!$AM$14)*1*(1-0.02)</f>
        <v>29.844412718026739</v>
      </c>
      <c r="Z315" s="75"/>
      <c r="AA315" s="75"/>
      <c r="AB315" s="75">
        <f>(SUBSIDIO!$J$315*SUBSIDIO!$V$315)*(0.04)/(1-0.04)</f>
        <v>1992.0604000000001</v>
      </c>
      <c r="AC315" s="75">
        <f>((SUBSIDIO!$L$315*SUBSIDIO!$W$315)+(SUBSIDIO!$N$315*SUBSIDIO!$X$315))*(0.04)/(1-0.04)</f>
        <v>0</v>
      </c>
      <c r="AD315" s="75">
        <f ca="1">(SUBSIDIO!$J$315*SUBSIDIO!$Y$315)*(0.02)/(1-0.02)</f>
        <v>1159.0595388245895</v>
      </c>
      <c r="AE315" s="75">
        <f>((SUBSIDIO!$L$315*SUBSIDIO!$Z$315)+(SUBSIDIO!$N$315*SUBSIDIO!$AA$315))*(0.02)/(1-0.02)</f>
        <v>0</v>
      </c>
      <c r="AF315" s="4" t="s">
        <v>638</v>
      </c>
    </row>
    <row r="316" spans="1:32" ht="11.25" customHeight="1" x14ac:dyDescent="0.25">
      <c r="A316" s="4" t="s">
        <v>21</v>
      </c>
      <c r="B316" s="4" t="s">
        <v>35</v>
      </c>
      <c r="C316" s="4" t="s">
        <v>39</v>
      </c>
      <c r="D316" s="4" t="s">
        <v>42</v>
      </c>
      <c r="E316" s="4" t="s">
        <v>25</v>
      </c>
      <c r="F316" s="4" t="s">
        <v>25</v>
      </c>
      <c r="G316" s="4" t="s">
        <v>25</v>
      </c>
      <c r="H316" s="4" t="s">
        <v>25</v>
      </c>
      <c r="I316" s="5">
        <v>44652</v>
      </c>
      <c r="J316" s="6">
        <v>10116</v>
      </c>
      <c r="K316" s="75">
        <v>10116</v>
      </c>
      <c r="L316" s="6">
        <v>0</v>
      </c>
      <c r="M316" s="75">
        <v>0</v>
      </c>
      <c r="N316" s="6">
        <v>0</v>
      </c>
      <c r="O316" s="75">
        <v>0</v>
      </c>
      <c r="P316" s="6">
        <v>107</v>
      </c>
      <c r="Q316" s="4" t="s">
        <v>26</v>
      </c>
      <c r="R316" s="4">
        <v>0</v>
      </c>
      <c r="S316" s="4">
        <v>18</v>
      </c>
      <c r="T316" s="4">
        <v>0</v>
      </c>
      <c r="U316" s="4">
        <v>0</v>
      </c>
      <c r="V316" s="75">
        <f>IF(ISERROR(VLOOKUP($S$316,'TAR FIN'!$A$1:$O$93,15,0)),0,VLOOKUP($S$316,'TAR FIN'!$A$1:$O$93,15,0))*(1-0.04)</f>
        <v>25.123200000000001</v>
      </c>
      <c r="W316" s="75">
        <f>IF(ISERROR(VLOOKUP($T$316,'TAR FIN'!$A$1:$O$93,15,0)),0,VLOOKUP($T$316,'TAR FIN'!$A$1:$O$93,15,0))</f>
        <v>0</v>
      </c>
      <c r="X316" s="75">
        <f>IF(ISERROR(VLOOKUP($U$316,'TAR FIN'!$A$1:$O$93,15,0)),0,VLOOKUP($U$316,'TAR FIN'!$A$1:$O$93,15,0))</f>
        <v>0</v>
      </c>
      <c r="Y316" s="75">
        <f ca="1">('TUSD BE'!$AM$14+'TUSD BF'!$AM$14+'TUSD CVA'!$AM$14)*1*(1-0.02)</f>
        <v>29.844412718026739</v>
      </c>
      <c r="Z316" s="75"/>
      <c r="AA316" s="75"/>
      <c r="AB316" s="75">
        <f>(SUBSIDIO!$J$316*SUBSIDIO!$V$316)*(0.04)/(1-0.04)</f>
        <v>10589.4288</v>
      </c>
      <c r="AC316" s="75">
        <f>((SUBSIDIO!$L$316*SUBSIDIO!$W$316)+(SUBSIDIO!$N$316*SUBSIDIO!$X$316))*(0.04)/(1-0.04)</f>
        <v>0</v>
      </c>
      <c r="AD316" s="75">
        <f ca="1">(SUBSIDIO!$J$316*SUBSIDIO!$Y$316)*(0.02)/(1-0.02)</f>
        <v>6161.3485521542552</v>
      </c>
      <c r="AE316" s="75">
        <f>((SUBSIDIO!$L$316*SUBSIDIO!$Z$316)+(SUBSIDIO!$N$316*SUBSIDIO!$AA$316))*(0.02)/(1-0.02)</f>
        <v>0</v>
      </c>
      <c r="AF316" s="4" t="s">
        <v>638</v>
      </c>
    </row>
    <row r="317" spans="1:32" ht="11.25" customHeight="1" x14ac:dyDescent="0.25">
      <c r="A317" s="4" t="s">
        <v>28</v>
      </c>
      <c r="B317" s="4" t="s">
        <v>35</v>
      </c>
      <c r="C317" s="4" t="s">
        <v>39</v>
      </c>
      <c r="D317" s="4" t="s">
        <v>42</v>
      </c>
      <c r="E317" s="4" t="s">
        <v>25</v>
      </c>
      <c r="F317" s="4" t="s">
        <v>25</v>
      </c>
      <c r="G317" s="4" t="s">
        <v>25</v>
      </c>
      <c r="H317" s="4" t="s">
        <v>25</v>
      </c>
      <c r="I317" s="5">
        <v>44652</v>
      </c>
      <c r="J317" s="6">
        <v>1989</v>
      </c>
      <c r="K317" s="75">
        <v>1989</v>
      </c>
      <c r="L317" s="6">
        <v>0</v>
      </c>
      <c r="M317" s="75">
        <v>0</v>
      </c>
      <c r="N317" s="6">
        <v>0</v>
      </c>
      <c r="O317" s="75">
        <v>0</v>
      </c>
      <c r="P317" s="6">
        <v>14</v>
      </c>
      <c r="Q317" s="4" t="s">
        <v>26</v>
      </c>
      <c r="R317" s="4">
        <v>0</v>
      </c>
      <c r="S317" s="4">
        <v>18</v>
      </c>
      <c r="T317" s="4">
        <v>0</v>
      </c>
      <c r="U317" s="4">
        <v>0</v>
      </c>
      <c r="V317" s="75">
        <f>IF(ISERROR(VLOOKUP($S$317,'TAR FIN'!$A$1:$O$93,15,0)),0,VLOOKUP($S$317,'TAR FIN'!$A$1:$O$93,15,0))*(1-0.04)</f>
        <v>25.123200000000001</v>
      </c>
      <c r="W317" s="75">
        <f>IF(ISERROR(VLOOKUP($T$317,'TAR FIN'!$A$1:$O$93,15,0)),0,VLOOKUP($T$317,'TAR FIN'!$A$1:$O$93,15,0))</f>
        <v>0</v>
      </c>
      <c r="X317" s="75">
        <f>IF(ISERROR(VLOOKUP($U$317,'TAR FIN'!$A$1:$O$93,15,0)),0,VLOOKUP($U$317,'TAR FIN'!$A$1:$O$93,15,0))</f>
        <v>0</v>
      </c>
      <c r="Y317" s="75">
        <f ca="1">('TUSD BE'!$AM$14+'TUSD BF'!$AM$14+'TUSD CVA'!$AM$14)*1*(1-0.02)</f>
        <v>29.844412718026739</v>
      </c>
      <c r="Z317" s="75"/>
      <c r="AA317" s="75"/>
      <c r="AB317" s="75">
        <f>(SUBSIDIO!$J$317*SUBSIDIO!$V$317)*(0.04)/(1-0.04)</f>
        <v>2082.0852000000004</v>
      </c>
      <c r="AC317" s="75">
        <f>((SUBSIDIO!$L$317*SUBSIDIO!$W$317)+(SUBSIDIO!$N$317*SUBSIDIO!$X$317))*(0.04)/(1-0.04)</f>
        <v>0</v>
      </c>
      <c r="AD317" s="75">
        <f ca="1">(SUBSIDIO!$J$317*SUBSIDIO!$Y$317)*(0.02)/(1-0.02)</f>
        <v>1211.4395284929631</v>
      </c>
      <c r="AE317" s="75">
        <f>((SUBSIDIO!$L$317*SUBSIDIO!$Z$317)+(SUBSIDIO!$N$317*SUBSIDIO!$AA$317))*(0.02)/(1-0.02)</f>
        <v>0</v>
      </c>
      <c r="AF317" s="4" t="s">
        <v>638</v>
      </c>
    </row>
    <row r="318" spans="1:32" ht="11.25" customHeight="1" x14ac:dyDescent="0.25">
      <c r="A318" s="4" t="s">
        <v>21</v>
      </c>
      <c r="B318" s="4" t="s">
        <v>35</v>
      </c>
      <c r="C318" s="4" t="s">
        <v>39</v>
      </c>
      <c r="D318" s="4" t="s">
        <v>42</v>
      </c>
      <c r="E318" s="4" t="s">
        <v>25</v>
      </c>
      <c r="F318" s="4" t="s">
        <v>25</v>
      </c>
      <c r="G318" s="4" t="s">
        <v>25</v>
      </c>
      <c r="H318" s="4" t="s">
        <v>25</v>
      </c>
      <c r="I318" s="5">
        <v>44682</v>
      </c>
      <c r="J318" s="6">
        <v>11615</v>
      </c>
      <c r="K318" s="75">
        <v>11615</v>
      </c>
      <c r="L318" s="6">
        <v>0</v>
      </c>
      <c r="M318" s="75">
        <v>0</v>
      </c>
      <c r="N318" s="6">
        <v>0</v>
      </c>
      <c r="O318" s="75">
        <v>0</v>
      </c>
      <c r="P318" s="6">
        <v>110</v>
      </c>
      <c r="Q318" s="4" t="s">
        <v>26</v>
      </c>
      <c r="R318" s="4">
        <v>0</v>
      </c>
      <c r="S318" s="4">
        <v>18</v>
      </c>
      <c r="T318" s="4">
        <v>0</v>
      </c>
      <c r="U318" s="4">
        <v>0</v>
      </c>
      <c r="V318" s="75">
        <f>IF(ISERROR(VLOOKUP($S$318,'TAR FIN'!$A$1:$O$93,15,0)),0,VLOOKUP($S$318,'TAR FIN'!$A$1:$O$93,15,0))*(1-0.04)</f>
        <v>25.123200000000001</v>
      </c>
      <c r="W318" s="75">
        <f>IF(ISERROR(VLOOKUP($T$318,'TAR FIN'!$A$1:$O$93,15,0)),0,VLOOKUP($T$318,'TAR FIN'!$A$1:$O$93,15,0))</f>
        <v>0</v>
      </c>
      <c r="X318" s="75">
        <f>IF(ISERROR(VLOOKUP($U$318,'TAR FIN'!$A$1:$O$93,15,0)),0,VLOOKUP($U$318,'TAR FIN'!$A$1:$O$93,15,0))</f>
        <v>0</v>
      </c>
      <c r="Y318" s="75">
        <f ca="1">('TUSD BE'!$AM$14+'TUSD BF'!$AM$14+'TUSD CVA'!$AM$14)*1*(1-0.02)</f>
        <v>29.844412718026739</v>
      </c>
      <c r="Z318" s="75"/>
      <c r="AA318" s="75"/>
      <c r="AB318" s="75">
        <f>(SUBSIDIO!$J$318*SUBSIDIO!$V$318)*(0.04)/(1-0.04)</f>
        <v>12158.582</v>
      </c>
      <c r="AC318" s="75">
        <f>((SUBSIDIO!$L$318*SUBSIDIO!$W$318)+(SUBSIDIO!$N$318*SUBSIDIO!$X$318))*(0.04)/(1-0.04)</f>
        <v>0</v>
      </c>
      <c r="AD318" s="75">
        <f ca="1">(SUBSIDIO!$J$318*SUBSIDIO!$Y$318)*(0.02)/(1-0.02)</f>
        <v>7074.3439534669506</v>
      </c>
      <c r="AE318" s="75">
        <f>((SUBSIDIO!$L$318*SUBSIDIO!$Z$318)+(SUBSIDIO!$N$318*SUBSIDIO!$AA$318))*(0.02)/(1-0.02)</f>
        <v>0</v>
      </c>
      <c r="AF318" s="4" t="s">
        <v>638</v>
      </c>
    </row>
    <row r="319" spans="1:32" ht="11.25" customHeight="1" x14ac:dyDescent="0.25">
      <c r="A319" s="4" t="s">
        <v>27</v>
      </c>
      <c r="B319" s="4" t="s">
        <v>35</v>
      </c>
      <c r="C319" s="4" t="s">
        <v>39</v>
      </c>
      <c r="D319" s="4" t="s">
        <v>42</v>
      </c>
      <c r="E319" s="4" t="s">
        <v>25</v>
      </c>
      <c r="F319" s="4" t="s">
        <v>25</v>
      </c>
      <c r="G319" s="4" t="s">
        <v>25</v>
      </c>
      <c r="H319" s="4" t="s">
        <v>25</v>
      </c>
      <c r="I319" s="5">
        <v>44682</v>
      </c>
      <c r="J319" s="6">
        <v>-304</v>
      </c>
      <c r="K319" s="75">
        <v>-304</v>
      </c>
      <c r="L319" s="6">
        <v>0</v>
      </c>
      <c r="M319" s="75">
        <v>0</v>
      </c>
      <c r="N319" s="6">
        <v>0</v>
      </c>
      <c r="O319" s="75">
        <v>0</v>
      </c>
      <c r="P319" s="6">
        <v>-3</v>
      </c>
      <c r="Q319" s="4" t="s">
        <v>26</v>
      </c>
      <c r="R319" s="4">
        <v>0</v>
      </c>
      <c r="S319" s="4">
        <v>18</v>
      </c>
      <c r="T319" s="4">
        <v>0</v>
      </c>
      <c r="U319" s="4">
        <v>0</v>
      </c>
      <c r="V319" s="75">
        <f>IF(ISERROR(VLOOKUP($S$319,'TAR FIN'!$A$1:$O$93,15,0)),0,VLOOKUP($S$319,'TAR FIN'!$A$1:$O$93,15,0))*(1-0.04)</f>
        <v>25.123200000000001</v>
      </c>
      <c r="W319" s="75">
        <f>IF(ISERROR(VLOOKUP($T$319,'TAR FIN'!$A$1:$O$93,15,0)),0,VLOOKUP($T$319,'TAR FIN'!$A$1:$O$93,15,0))</f>
        <v>0</v>
      </c>
      <c r="X319" s="75">
        <f>IF(ISERROR(VLOOKUP($U$319,'TAR FIN'!$A$1:$O$93,15,0)),0,VLOOKUP($U$319,'TAR FIN'!$A$1:$O$93,15,0))</f>
        <v>0</v>
      </c>
      <c r="Y319" s="75">
        <f ca="1">('TUSD BE'!$AM$14+'TUSD BF'!$AM$14+'TUSD CVA'!$AM$14)*1*(1-0.02)</f>
        <v>29.844412718026739</v>
      </c>
      <c r="Z319" s="75"/>
      <c r="AA319" s="75"/>
      <c r="AB319" s="75">
        <f>(SUBSIDIO!$J$319*SUBSIDIO!$V$319)*(0.04)/(1-0.04)</f>
        <v>-318.22719999999998</v>
      </c>
      <c r="AC319" s="75">
        <f>((SUBSIDIO!$L$319*SUBSIDIO!$W$319)+(SUBSIDIO!$N$319*SUBSIDIO!$X$319))*(0.04)/(1-0.04)</f>
        <v>0</v>
      </c>
      <c r="AD319" s="75">
        <f ca="1">(SUBSIDIO!$J$319*SUBSIDIO!$Y$319)*(0.02)/(1-0.02)</f>
        <v>-185.1571727812271</v>
      </c>
      <c r="AE319" s="75">
        <f>((SUBSIDIO!$L$319*SUBSIDIO!$Z$319)+(SUBSIDIO!$N$319*SUBSIDIO!$AA$319))*(0.02)/(1-0.02)</f>
        <v>0</v>
      </c>
      <c r="AF319" s="4" t="s">
        <v>638</v>
      </c>
    </row>
    <row r="320" spans="1:32" ht="11.25" customHeight="1" x14ac:dyDescent="0.25">
      <c r="A320" s="4" t="s">
        <v>28</v>
      </c>
      <c r="B320" s="4" t="s">
        <v>35</v>
      </c>
      <c r="C320" s="4" t="s">
        <v>39</v>
      </c>
      <c r="D320" s="4" t="s">
        <v>42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44682</v>
      </c>
      <c r="J320" s="6">
        <v>2388</v>
      </c>
      <c r="K320" s="75">
        <v>2388</v>
      </c>
      <c r="L320" s="6">
        <v>0</v>
      </c>
      <c r="M320" s="75">
        <v>0</v>
      </c>
      <c r="N320" s="6">
        <v>0</v>
      </c>
      <c r="O320" s="75">
        <v>0</v>
      </c>
      <c r="P320" s="6">
        <v>16</v>
      </c>
      <c r="Q320" s="4" t="s">
        <v>26</v>
      </c>
      <c r="R320" s="4">
        <v>0</v>
      </c>
      <c r="S320" s="4">
        <v>18</v>
      </c>
      <c r="T320" s="4">
        <v>0</v>
      </c>
      <c r="U320" s="4">
        <v>0</v>
      </c>
      <c r="V320" s="75">
        <f>IF(ISERROR(VLOOKUP($S$320,'TAR FIN'!$A$1:$O$93,15,0)),0,VLOOKUP($S$320,'TAR FIN'!$A$1:$O$93,15,0))*(1-0.04)</f>
        <v>25.123200000000001</v>
      </c>
      <c r="W320" s="75">
        <f>IF(ISERROR(VLOOKUP($T$320,'TAR FIN'!$A$1:$O$93,15,0)),0,VLOOKUP($T$320,'TAR FIN'!$A$1:$O$93,15,0))</f>
        <v>0</v>
      </c>
      <c r="X320" s="75">
        <f>IF(ISERROR(VLOOKUP($U$320,'TAR FIN'!$A$1:$O$93,15,0)),0,VLOOKUP($U$320,'TAR FIN'!$A$1:$O$93,15,0))</f>
        <v>0</v>
      </c>
      <c r="Y320" s="75">
        <f ca="1">('TUSD BE'!$AM$14+'TUSD BF'!$AM$14+'TUSD CVA'!$AM$14)*1*(1-0.02)</f>
        <v>29.844412718026739</v>
      </c>
      <c r="Z320" s="75"/>
      <c r="AA320" s="75"/>
      <c r="AB320" s="75">
        <f>(SUBSIDIO!$J$320*SUBSIDIO!$V$320)*(0.04)/(1-0.04)</f>
        <v>2499.7584000000002</v>
      </c>
      <c r="AC320" s="75">
        <f>((SUBSIDIO!$L$320*SUBSIDIO!$W$320)+(SUBSIDIO!$N$320*SUBSIDIO!$X$320))*(0.04)/(1-0.04)</f>
        <v>0</v>
      </c>
      <c r="AD320" s="75">
        <f ca="1">(SUBSIDIO!$J$320*SUBSIDIO!$Y$320)*(0.02)/(1-0.02)</f>
        <v>1454.4583177683235</v>
      </c>
      <c r="AE320" s="75">
        <f>((SUBSIDIO!$L$320*SUBSIDIO!$Z$320)+(SUBSIDIO!$N$320*SUBSIDIO!$AA$320))*(0.02)/(1-0.02)</f>
        <v>0</v>
      </c>
      <c r="AF320" s="4" t="s">
        <v>638</v>
      </c>
    </row>
    <row r="321" spans="1:32" ht="11.25" customHeight="1" x14ac:dyDescent="0.25">
      <c r="A321" s="4" t="s">
        <v>28</v>
      </c>
      <c r="B321" s="4" t="s">
        <v>35</v>
      </c>
      <c r="C321" s="4" t="s">
        <v>39</v>
      </c>
      <c r="D321" s="4" t="s">
        <v>42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44682</v>
      </c>
      <c r="J321" s="6">
        <v>-266</v>
      </c>
      <c r="K321" s="75">
        <v>-266</v>
      </c>
      <c r="L321" s="6">
        <v>0</v>
      </c>
      <c r="M321" s="75">
        <v>0</v>
      </c>
      <c r="N321" s="6">
        <v>0</v>
      </c>
      <c r="O321" s="75">
        <v>0</v>
      </c>
      <c r="P321" s="6">
        <v>-1</v>
      </c>
      <c r="Q321" s="4" t="s">
        <v>26</v>
      </c>
      <c r="R321" s="4">
        <v>0</v>
      </c>
      <c r="S321" s="4">
        <v>18</v>
      </c>
      <c r="T321" s="4">
        <v>0</v>
      </c>
      <c r="U321" s="4">
        <v>0</v>
      </c>
      <c r="V321" s="75">
        <f>IF(ISERROR(VLOOKUP($S$321,'TAR FIN'!$A$1:$O$93,15,0)),0,VLOOKUP($S$321,'TAR FIN'!$A$1:$O$93,15,0))*(1-0.04)</f>
        <v>25.123200000000001</v>
      </c>
      <c r="W321" s="75">
        <f>IF(ISERROR(VLOOKUP($T$321,'TAR FIN'!$A$1:$O$93,15,0)),0,VLOOKUP($T$321,'TAR FIN'!$A$1:$O$93,15,0))</f>
        <v>0</v>
      </c>
      <c r="X321" s="75">
        <f>IF(ISERROR(VLOOKUP($U$321,'TAR FIN'!$A$1:$O$93,15,0)),0,VLOOKUP($U$321,'TAR FIN'!$A$1:$O$93,15,0))</f>
        <v>0</v>
      </c>
      <c r="Y321" s="75">
        <f ca="1">('TUSD BE'!$AM$14+'TUSD BF'!$AM$14+'TUSD CVA'!$AM$14)*1*(1-0.02)</f>
        <v>29.844412718026739</v>
      </c>
      <c r="Z321" s="75"/>
      <c r="AA321" s="75"/>
      <c r="AB321" s="75">
        <f>(SUBSIDIO!$J$321*SUBSIDIO!$V$321)*(0.04)/(1-0.04)</f>
        <v>-278.44880000000001</v>
      </c>
      <c r="AC321" s="75">
        <f>((SUBSIDIO!$L$321*SUBSIDIO!$W$321)+(SUBSIDIO!$N$321*SUBSIDIO!$X$321))*(0.04)/(1-0.04)</f>
        <v>0</v>
      </c>
      <c r="AD321" s="75">
        <f ca="1">(SUBSIDIO!$J$321*SUBSIDIO!$Y$321)*(0.02)/(1-0.02)</f>
        <v>-162.01252618357373</v>
      </c>
      <c r="AE321" s="75">
        <f>((SUBSIDIO!$L$321*SUBSIDIO!$Z$321)+(SUBSIDIO!$N$321*SUBSIDIO!$AA$321))*(0.02)/(1-0.02)</f>
        <v>0</v>
      </c>
      <c r="AF321" s="4" t="s">
        <v>638</v>
      </c>
    </row>
    <row r="322" spans="1:32" ht="11.25" customHeight="1" x14ac:dyDescent="0.25">
      <c r="A322" s="4" t="s">
        <v>21</v>
      </c>
      <c r="B322" s="4" t="s">
        <v>35</v>
      </c>
      <c r="C322" s="4" t="s">
        <v>39</v>
      </c>
      <c r="D322" s="4" t="s">
        <v>42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44713</v>
      </c>
      <c r="J322" s="6">
        <v>11142</v>
      </c>
      <c r="K322" s="75">
        <v>11142</v>
      </c>
      <c r="L322" s="6">
        <v>0</v>
      </c>
      <c r="M322" s="75">
        <v>0</v>
      </c>
      <c r="N322" s="6">
        <v>0</v>
      </c>
      <c r="O322" s="75">
        <v>0</v>
      </c>
      <c r="P322" s="6">
        <v>107</v>
      </c>
      <c r="Q322" s="4" t="s">
        <v>26</v>
      </c>
      <c r="R322" s="4">
        <v>0</v>
      </c>
      <c r="S322" s="4">
        <v>18</v>
      </c>
      <c r="T322" s="4">
        <v>0</v>
      </c>
      <c r="U322" s="4">
        <v>0</v>
      </c>
      <c r="V322" s="75">
        <f>IF(ISERROR(VLOOKUP($S$322,'TAR FIN'!$A$1:$O$93,15,0)),0,VLOOKUP($S$322,'TAR FIN'!$A$1:$O$93,15,0))*(1-0.04)</f>
        <v>25.123200000000001</v>
      </c>
      <c r="W322" s="75">
        <f>IF(ISERROR(VLOOKUP($T$322,'TAR FIN'!$A$1:$O$93,15,0)),0,VLOOKUP($T$322,'TAR FIN'!$A$1:$O$93,15,0))</f>
        <v>0</v>
      </c>
      <c r="X322" s="75">
        <f>IF(ISERROR(VLOOKUP($U$322,'TAR FIN'!$A$1:$O$93,15,0)),0,VLOOKUP($U$322,'TAR FIN'!$A$1:$O$93,15,0))</f>
        <v>0</v>
      </c>
      <c r="Y322" s="75">
        <f ca="1">('TUSD BE'!$AM$14+'TUSD BF'!$AM$14+'TUSD CVA'!$AM$14)*1*(1-0.02)</f>
        <v>29.844412718026739</v>
      </c>
      <c r="Z322" s="75"/>
      <c r="AA322" s="75"/>
      <c r="AB322" s="75">
        <f>(SUBSIDIO!$J$322*SUBSIDIO!$V$322)*(0.04)/(1-0.04)</f>
        <v>11663.445600000001</v>
      </c>
      <c r="AC322" s="75">
        <f>((SUBSIDIO!$L$322*SUBSIDIO!$W$322)+(SUBSIDIO!$N$322*SUBSIDIO!$X$322))*(0.04)/(1-0.04)</f>
        <v>0</v>
      </c>
      <c r="AD322" s="75">
        <f ca="1">(SUBSIDIO!$J$322*SUBSIDIO!$Y$322)*(0.02)/(1-0.02)</f>
        <v>6786.2540102908961</v>
      </c>
      <c r="AE322" s="75">
        <f>((SUBSIDIO!$L$322*SUBSIDIO!$Z$322)+(SUBSIDIO!$N$322*SUBSIDIO!$AA$322))*(0.02)/(1-0.02)</f>
        <v>0</v>
      </c>
      <c r="AF322" s="4" t="s">
        <v>638</v>
      </c>
    </row>
    <row r="323" spans="1:32" ht="11.25" customHeight="1" x14ac:dyDescent="0.25">
      <c r="A323" s="4" t="s">
        <v>27</v>
      </c>
      <c r="B323" s="4" t="s">
        <v>35</v>
      </c>
      <c r="C323" s="4" t="s">
        <v>39</v>
      </c>
      <c r="D323" s="4" t="s">
        <v>42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44713</v>
      </c>
      <c r="J323" s="6">
        <v>-91</v>
      </c>
      <c r="K323" s="75">
        <v>-91</v>
      </c>
      <c r="L323" s="6">
        <v>0</v>
      </c>
      <c r="M323" s="75">
        <v>0</v>
      </c>
      <c r="N323" s="6">
        <v>0</v>
      </c>
      <c r="O323" s="75">
        <v>0</v>
      </c>
      <c r="P323" s="6">
        <v>-1</v>
      </c>
      <c r="Q323" s="4" t="s">
        <v>26</v>
      </c>
      <c r="R323" s="4">
        <v>0</v>
      </c>
      <c r="S323" s="4">
        <v>18</v>
      </c>
      <c r="T323" s="4">
        <v>0</v>
      </c>
      <c r="U323" s="4">
        <v>0</v>
      </c>
      <c r="V323" s="75">
        <f>IF(ISERROR(VLOOKUP($S$323,'TAR FIN'!$A$1:$O$93,15,0)),0,VLOOKUP($S$323,'TAR FIN'!$A$1:$O$93,15,0))*(1-0.04)</f>
        <v>25.123200000000001</v>
      </c>
      <c r="W323" s="75">
        <f>IF(ISERROR(VLOOKUP($T$323,'TAR FIN'!$A$1:$O$93,15,0)),0,VLOOKUP($T$323,'TAR FIN'!$A$1:$O$93,15,0))</f>
        <v>0</v>
      </c>
      <c r="X323" s="75">
        <f>IF(ISERROR(VLOOKUP($U$323,'TAR FIN'!$A$1:$O$93,15,0)),0,VLOOKUP($U$323,'TAR FIN'!$A$1:$O$93,15,0))</f>
        <v>0</v>
      </c>
      <c r="Y323" s="75">
        <f ca="1">('TUSD BE'!$AM$14+'TUSD BF'!$AM$14+'TUSD CVA'!$AM$14)*1*(1-0.02)</f>
        <v>29.844412718026739</v>
      </c>
      <c r="Z323" s="75"/>
      <c r="AA323" s="75"/>
      <c r="AB323" s="75">
        <f>(SUBSIDIO!$J$323*SUBSIDIO!$V$323)*(0.04)/(1-0.04)</f>
        <v>-95.258800000000022</v>
      </c>
      <c r="AC323" s="75">
        <f>((SUBSIDIO!$L$323*SUBSIDIO!$W$323)+(SUBSIDIO!$N$323*SUBSIDIO!$X$323))*(0.04)/(1-0.04)</f>
        <v>0</v>
      </c>
      <c r="AD323" s="75">
        <f ca="1">(SUBSIDIO!$J$323*SUBSIDIO!$Y$323)*(0.02)/(1-0.02)</f>
        <v>-55.425337904906804</v>
      </c>
      <c r="AE323" s="75">
        <f>((SUBSIDIO!$L$323*SUBSIDIO!$Z$323)+(SUBSIDIO!$N$323*SUBSIDIO!$AA$323))*(0.02)/(1-0.02)</f>
        <v>0</v>
      </c>
      <c r="AF323" s="4" t="s">
        <v>638</v>
      </c>
    </row>
    <row r="324" spans="1:32" ht="11.25" customHeight="1" x14ac:dyDescent="0.25">
      <c r="A324" s="4" t="s">
        <v>28</v>
      </c>
      <c r="B324" s="4" t="s">
        <v>35</v>
      </c>
      <c r="C324" s="4" t="s">
        <v>39</v>
      </c>
      <c r="D324" s="4" t="s">
        <v>42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44713</v>
      </c>
      <c r="J324" s="6">
        <v>2531</v>
      </c>
      <c r="K324" s="75">
        <v>2531</v>
      </c>
      <c r="L324" s="6">
        <v>0</v>
      </c>
      <c r="M324" s="75">
        <v>0</v>
      </c>
      <c r="N324" s="6">
        <v>0</v>
      </c>
      <c r="O324" s="75">
        <v>0</v>
      </c>
      <c r="P324" s="6">
        <v>16</v>
      </c>
      <c r="Q324" s="4" t="s">
        <v>26</v>
      </c>
      <c r="R324" s="4">
        <v>0</v>
      </c>
      <c r="S324" s="4">
        <v>18</v>
      </c>
      <c r="T324" s="4">
        <v>0</v>
      </c>
      <c r="U324" s="4">
        <v>0</v>
      </c>
      <c r="V324" s="75">
        <f>IF(ISERROR(VLOOKUP($S$324,'TAR FIN'!$A$1:$O$93,15,0)),0,VLOOKUP($S$324,'TAR FIN'!$A$1:$O$93,15,0))*(1-0.04)</f>
        <v>25.123200000000001</v>
      </c>
      <c r="W324" s="75">
        <f>IF(ISERROR(VLOOKUP($T$324,'TAR FIN'!$A$1:$O$93,15,0)),0,VLOOKUP($T$324,'TAR FIN'!$A$1:$O$93,15,0))</f>
        <v>0</v>
      </c>
      <c r="X324" s="75">
        <f>IF(ISERROR(VLOOKUP($U$324,'TAR FIN'!$A$1:$O$93,15,0)),0,VLOOKUP($U$324,'TAR FIN'!$A$1:$O$93,15,0))</f>
        <v>0</v>
      </c>
      <c r="Y324" s="75">
        <f ca="1">('TUSD BE'!$AM$14+'TUSD BF'!$AM$14+'TUSD CVA'!$AM$14)*1*(1-0.02)</f>
        <v>29.844412718026739</v>
      </c>
      <c r="Z324" s="75"/>
      <c r="AA324" s="75"/>
      <c r="AB324" s="75">
        <f>(SUBSIDIO!$J$324*SUBSIDIO!$V$324)*(0.04)/(1-0.04)</f>
        <v>2649.4508000000001</v>
      </c>
      <c r="AC324" s="75">
        <f>((SUBSIDIO!$L$324*SUBSIDIO!$W$324)+(SUBSIDIO!$N$324*SUBSIDIO!$X$324))*(0.04)/(1-0.04)</f>
        <v>0</v>
      </c>
      <c r="AD324" s="75">
        <f ca="1">(SUBSIDIO!$J$324*SUBSIDIO!$Y$324)*(0.02)/(1-0.02)</f>
        <v>1541.5552773331772</v>
      </c>
      <c r="AE324" s="75">
        <f>((SUBSIDIO!$L$324*SUBSIDIO!$Z$324)+(SUBSIDIO!$N$324*SUBSIDIO!$AA$324))*(0.02)/(1-0.02)</f>
        <v>0</v>
      </c>
      <c r="AF324" s="4" t="s">
        <v>638</v>
      </c>
    </row>
    <row r="325" spans="1:32" ht="11.25" customHeight="1" x14ac:dyDescent="0.25">
      <c r="A325" s="4" t="s">
        <v>21</v>
      </c>
      <c r="B325" s="4" t="s">
        <v>35</v>
      </c>
      <c r="C325" s="4" t="s">
        <v>39</v>
      </c>
      <c r="D325" s="4" t="s">
        <v>42</v>
      </c>
      <c r="E325" s="4" t="s">
        <v>25</v>
      </c>
      <c r="F325" s="4" t="s">
        <v>25</v>
      </c>
      <c r="G325" s="4" t="s">
        <v>25</v>
      </c>
      <c r="H325" s="4" t="s">
        <v>37</v>
      </c>
      <c r="I325" s="5">
        <v>44378</v>
      </c>
      <c r="J325" s="6">
        <v>0</v>
      </c>
      <c r="K325" s="75">
        <v>0</v>
      </c>
      <c r="L325" s="6">
        <v>146.107</v>
      </c>
      <c r="M325" s="75">
        <v>146.107</v>
      </c>
      <c r="N325" s="6">
        <v>146.107</v>
      </c>
      <c r="O325" s="75">
        <v>146.107</v>
      </c>
      <c r="P325" s="6">
        <v>0</v>
      </c>
      <c r="Q325" s="4" t="s">
        <v>26</v>
      </c>
      <c r="R325" s="4">
        <v>0</v>
      </c>
      <c r="S325" s="4">
        <v>0</v>
      </c>
      <c r="T325" s="4">
        <v>12</v>
      </c>
      <c r="U325" s="4">
        <v>66</v>
      </c>
      <c r="V325" s="75">
        <f>IF(ISERROR(VLOOKUP($S$325,'TAR FIN'!$A$1:$O$93,15,0)),0,VLOOKUP($S$325,'TAR FIN'!$A$1:$O$93,15,0))</f>
        <v>0</v>
      </c>
      <c r="W325" s="75">
        <f>IF(ISERROR(VLOOKUP($T$325,'TAR FIN'!$A$1:$O$93,15,0)),0,VLOOKUP($T$325,'TAR FIN'!$A$1:$O$93,15,0))*(1-0.04)</f>
        <v>1079.712</v>
      </c>
      <c r="X325" s="75">
        <f>IF(ISERROR(VLOOKUP($U$325,'TAR FIN'!$A$1:$O$93,15,0)),0,VLOOKUP($U$325,'TAR FIN'!$A$1:$O$93,15,0))*(1-0.04)</f>
        <v>177.77279999999999</v>
      </c>
      <c r="Y325" s="75"/>
      <c r="Z325" s="75">
        <f ca="1">('TUSD BE'!$AM$15+'TUSD BF'!$AM$15+'TUSD CVA'!$AM$15)*1*(1-0.02)</f>
        <v>1276.3186645234982</v>
      </c>
      <c r="AA325" s="75">
        <f>('TE BE'!$AB$7+'TE BF'!$AB$7+'TE CVA'!$AB$7)*1*(1-0.02)</f>
        <v>194.21830884065065</v>
      </c>
      <c r="AB325" s="75">
        <f>(SUBSIDIO!$J$325*SUBSIDIO!$V$325)*(0.04)/(1-0.04)</f>
        <v>0</v>
      </c>
      <c r="AC325" s="75">
        <f>((SUBSIDIO!$L$325*SUBSIDIO!$W$325)+(SUBSIDIO!$N$325*SUBSIDIO!$X$325))*(0.04)/(1-0.04)</f>
        <v>7655.3054864000014</v>
      </c>
      <c r="AD325" s="75">
        <f>(SUBSIDIO!$J$325*SUBSIDIO!$Y$325)*(0.02)/(1-0.02)</f>
        <v>0</v>
      </c>
      <c r="AE325" s="75">
        <f ca="1">((SUBSIDIO!$L$325*SUBSIDIO!$Z$325)+(SUBSIDIO!$N$325*SUBSIDIO!$AA$325))*(0.02)/(1-0.02)</f>
        <v>4384.8111340268515</v>
      </c>
      <c r="AF325" s="4" t="s">
        <v>638</v>
      </c>
    </row>
    <row r="326" spans="1:32" ht="11.25" customHeight="1" x14ac:dyDescent="0.25">
      <c r="A326" s="4" t="s">
        <v>21</v>
      </c>
      <c r="B326" s="4" t="s">
        <v>35</v>
      </c>
      <c r="C326" s="4" t="s">
        <v>39</v>
      </c>
      <c r="D326" s="4" t="s">
        <v>42</v>
      </c>
      <c r="E326" s="4" t="s">
        <v>25</v>
      </c>
      <c r="F326" s="4" t="s">
        <v>25</v>
      </c>
      <c r="G326" s="4" t="s">
        <v>25</v>
      </c>
      <c r="H326" s="4" t="s">
        <v>37</v>
      </c>
      <c r="I326" s="5">
        <v>44409</v>
      </c>
      <c r="J326" s="6">
        <v>0</v>
      </c>
      <c r="K326" s="75">
        <v>0</v>
      </c>
      <c r="L326" s="6">
        <v>155.256</v>
      </c>
      <c r="M326" s="75">
        <v>155.256</v>
      </c>
      <c r="N326" s="6">
        <v>155.256</v>
      </c>
      <c r="O326" s="75">
        <v>155.256</v>
      </c>
      <c r="P326" s="6">
        <v>0</v>
      </c>
      <c r="Q326" s="4" t="s">
        <v>26</v>
      </c>
      <c r="R326" s="4">
        <v>0</v>
      </c>
      <c r="S326" s="4">
        <v>0</v>
      </c>
      <c r="T326" s="4">
        <v>12</v>
      </c>
      <c r="U326" s="4">
        <v>66</v>
      </c>
      <c r="V326" s="75">
        <f>IF(ISERROR(VLOOKUP($S$326,'TAR FIN'!$A$1:$O$93,15,0)),0,VLOOKUP($S$326,'TAR FIN'!$A$1:$O$93,15,0))</f>
        <v>0</v>
      </c>
      <c r="W326" s="75">
        <f>IF(ISERROR(VLOOKUP($T$326,'TAR FIN'!$A$1:$O$93,15,0)),0,VLOOKUP($T$326,'TAR FIN'!$A$1:$O$93,15,0))*(1-0.04)</f>
        <v>1079.712</v>
      </c>
      <c r="X326" s="75">
        <f>IF(ISERROR(VLOOKUP($U$326,'TAR FIN'!$A$1:$O$93,15,0)),0,VLOOKUP($U$326,'TAR FIN'!$A$1:$O$93,15,0))*(1-0.04)</f>
        <v>177.77279999999999</v>
      </c>
      <c r="Y326" s="75"/>
      <c r="Z326" s="75">
        <f ca="1">('TUSD BE'!$AM$15+'TUSD BF'!$AM$15+'TUSD CVA'!$AM$15)*1*(1-0.02)</f>
        <v>1276.3186645234982</v>
      </c>
      <c r="AA326" s="75">
        <f>('TE BE'!$AB$7+'TE BF'!$AB$7+'TE CVA'!$AB$7)*1*(1-0.02)</f>
        <v>194.21830884065065</v>
      </c>
      <c r="AB326" s="75">
        <f>(SUBSIDIO!$J$326*SUBSIDIO!$V$326)*(0.04)/(1-0.04)</f>
        <v>0</v>
      </c>
      <c r="AC326" s="75">
        <f>((SUBSIDIO!$L$326*SUBSIDIO!$W$326)+(SUBSIDIO!$N$326*SUBSIDIO!$X$326))*(0.04)/(1-0.04)</f>
        <v>8134.6691712000011</v>
      </c>
      <c r="AD326" s="75">
        <f>(SUBSIDIO!$J$326*SUBSIDIO!$Y$326)*(0.02)/(1-0.02)</f>
        <v>0</v>
      </c>
      <c r="AE326" s="75">
        <f ca="1">((SUBSIDIO!$L$326*SUBSIDIO!$Z$326)+(SUBSIDIO!$N$326*SUBSIDIO!$AA$326))*(0.02)/(1-0.02)</f>
        <v>4659.3813946249866</v>
      </c>
      <c r="AF326" s="4" t="s">
        <v>638</v>
      </c>
    </row>
    <row r="327" spans="1:32" ht="11.25" customHeight="1" x14ac:dyDescent="0.25">
      <c r="A327" s="4" t="s">
        <v>28</v>
      </c>
      <c r="B327" s="4" t="s">
        <v>35</v>
      </c>
      <c r="C327" s="4" t="s">
        <v>39</v>
      </c>
      <c r="D327" s="4" t="s">
        <v>42</v>
      </c>
      <c r="E327" s="4" t="s">
        <v>25</v>
      </c>
      <c r="F327" s="4" t="s">
        <v>25</v>
      </c>
      <c r="G327" s="4" t="s">
        <v>25</v>
      </c>
      <c r="H327" s="4" t="s">
        <v>37</v>
      </c>
      <c r="I327" s="5">
        <v>44409</v>
      </c>
      <c r="J327" s="6">
        <v>0</v>
      </c>
      <c r="K327" s="75">
        <v>0</v>
      </c>
      <c r="L327" s="6">
        <v>3.5670000000000002</v>
      </c>
      <c r="M327" s="75">
        <v>3.5670000000000002</v>
      </c>
      <c r="N327" s="6">
        <v>3.5670000000000002</v>
      </c>
      <c r="O327" s="75">
        <v>3.5670000000000002</v>
      </c>
      <c r="P327" s="6">
        <v>0</v>
      </c>
      <c r="Q327" s="4" t="s">
        <v>26</v>
      </c>
      <c r="R327" s="4">
        <v>0</v>
      </c>
      <c r="S327" s="4">
        <v>0</v>
      </c>
      <c r="T327" s="4">
        <v>12</v>
      </c>
      <c r="U327" s="4">
        <v>66</v>
      </c>
      <c r="V327" s="75">
        <f>IF(ISERROR(VLOOKUP($S$327,'TAR FIN'!$A$1:$O$93,15,0)),0,VLOOKUP($S$327,'TAR FIN'!$A$1:$O$93,15,0))</f>
        <v>0</v>
      </c>
      <c r="W327" s="75">
        <f>IF(ISERROR(VLOOKUP($T$327,'TAR FIN'!$A$1:$O$93,15,0)),0,VLOOKUP($T$327,'TAR FIN'!$A$1:$O$93,15,0))*(1-0.04)</f>
        <v>1079.712</v>
      </c>
      <c r="X327" s="75">
        <f>IF(ISERROR(VLOOKUP($U$327,'TAR FIN'!$A$1:$O$93,15,0)),0,VLOOKUP($U$327,'TAR FIN'!$A$1:$O$93,15,0))*(1-0.04)</f>
        <v>177.77279999999999</v>
      </c>
      <c r="Y327" s="75"/>
      <c r="Z327" s="75">
        <f ca="1">('TUSD BE'!$AM$15+'TUSD BF'!$AM$15+'TUSD CVA'!$AM$15)*1*(1-0.02)</f>
        <v>1276.3186645234982</v>
      </c>
      <c r="AA327" s="75">
        <f>('TE BE'!$AB$7+'TE BF'!$AB$7+'TE CVA'!$AB$7)*1*(1-0.02)</f>
        <v>194.21830884065065</v>
      </c>
      <c r="AB327" s="75">
        <f>(SUBSIDIO!$J$327*SUBSIDIO!$V$327)*(0.04)/(1-0.04)</f>
        <v>0</v>
      </c>
      <c r="AC327" s="75">
        <f>((SUBSIDIO!$L$327*SUBSIDIO!$W$327)+(SUBSIDIO!$N$327*SUBSIDIO!$X$327))*(0.04)/(1-0.04)</f>
        <v>186.8936784</v>
      </c>
      <c r="AD327" s="75">
        <f>(SUBSIDIO!$J$327*SUBSIDIO!$Y$327)*(0.02)/(1-0.02)</f>
        <v>0</v>
      </c>
      <c r="AE327" s="75">
        <f ca="1">((SUBSIDIO!$L$327*SUBSIDIO!$Z$327)+(SUBSIDIO!$N$327*SUBSIDIO!$AA$327))*(0.02)/(1-0.02)</f>
        <v>107.04908946918202</v>
      </c>
      <c r="AF327" s="4" t="s">
        <v>638</v>
      </c>
    </row>
    <row r="328" spans="1:32" ht="11.25" customHeight="1" x14ac:dyDescent="0.25">
      <c r="A328" s="4" t="s">
        <v>28</v>
      </c>
      <c r="B328" s="4" t="s">
        <v>35</v>
      </c>
      <c r="C328" s="4" t="s">
        <v>39</v>
      </c>
      <c r="D328" s="4" t="s">
        <v>42</v>
      </c>
      <c r="E328" s="4" t="s">
        <v>25</v>
      </c>
      <c r="F328" s="4" t="s">
        <v>25</v>
      </c>
      <c r="G328" s="4" t="s">
        <v>25</v>
      </c>
      <c r="H328" s="4" t="s">
        <v>37</v>
      </c>
      <c r="I328" s="5">
        <v>44409</v>
      </c>
      <c r="J328" s="6">
        <v>0</v>
      </c>
      <c r="K328" s="75">
        <v>0</v>
      </c>
      <c r="L328" s="6">
        <v>-0.67200000000000004</v>
      </c>
      <c r="M328" s="75">
        <v>-0.67200000000000004</v>
      </c>
      <c r="N328" s="6">
        <v>-0.67200000000000004</v>
      </c>
      <c r="O328" s="75">
        <v>-0.67200000000000004</v>
      </c>
      <c r="P328" s="6">
        <v>0</v>
      </c>
      <c r="Q328" s="4" t="s">
        <v>26</v>
      </c>
      <c r="R328" s="4">
        <v>0</v>
      </c>
      <c r="S328" s="4">
        <v>0</v>
      </c>
      <c r="T328" s="4">
        <v>12</v>
      </c>
      <c r="U328" s="4">
        <v>66</v>
      </c>
      <c r="V328" s="75">
        <f>IF(ISERROR(VLOOKUP($S$328,'TAR FIN'!$A$1:$O$93,15,0)),0,VLOOKUP($S$328,'TAR FIN'!$A$1:$O$93,15,0))</f>
        <v>0</v>
      </c>
      <c r="W328" s="75">
        <f>IF(ISERROR(VLOOKUP($T$328,'TAR FIN'!$A$1:$O$93,15,0)),0,VLOOKUP($T$328,'TAR FIN'!$A$1:$O$93,15,0))*(1-0.04)</f>
        <v>1079.712</v>
      </c>
      <c r="X328" s="75">
        <f>IF(ISERROR(VLOOKUP($U$328,'TAR FIN'!$A$1:$O$93,15,0)),0,VLOOKUP($U$328,'TAR FIN'!$A$1:$O$93,15,0))*(1-0.04)</f>
        <v>177.77279999999999</v>
      </c>
      <c r="Y328" s="75"/>
      <c r="Z328" s="75">
        <f ca="1">('TUSD BE'!$AM$15+'TUSD BF'!$AM$15+'TUSD CVA'!$AM$15)*1*(1-0.02)</f>
        <v>1276.3186645234982</v>
      </c>
      <c r="AA328" s="75">
        <f>('TE BE'!$AB$7+'TE BF'!$AB$7+'TE CVA'!$AB$7)*1*(1-0.02)</f>
        <v>194.21830884065065</v>
      </c>
      <c r="AB328" s="75">
        <f>(SUBSIDIO!$J$328*SUBSIDIO!$V$328)*(0.04)/(1-0.04)</f>
        <v>0</v>
      </c>
      <c r="AC328" s="75">
        <f>((SUBSIDIO!$L$328*SUBSIDIO!$W$328)+(SUBSIDIO!$N$328*SUBSIDIO!$X$328))*(0.04)/(1-0.04)</f>
        <v>-35.209574400000001</v>
      </c>
      <c r="AD328" s="75">
        <f>(SUBSIDIO!$J$328*SUBSIDIO!$Y$328)*(0.02)/(1-0.02)</f>
        <v>0</v>
      </c>
      <c r="AE328" s="75">
        <f ca="1">((SUBSIDIO!$L$328*SUBSIDIO!$Z$328)+(SUBSIDIO!$N$328*SUBSIDIO!$AA$328))*(0.02)/(1-0.02)</f>
        <v>-20.167364206136899</v>
      </c>
      <c r="AF328" s="4" t="s">
        <v>638</v>
      </c>
    </row>
    <row r="329" spans="1:32" ht="11.25" customHeight="1" x14ac:dyDescent="0.25">
      <c r="A329" s="4" t="s">
        <v>21</v>
      </c>
      <c r="B329" s="4" t="s">
        <v>35</v>
      </c>
      <c r="C329" s="4" t="s">
        <v>39</v>
      </c>
      <c r="D329" s="4" t="s">
        <v>42</v>
      </c>
      <c r="E329" s="4" t="s">
        <v>25</v>
      </c>
      <c r="F329" s="4" t="s">
        <v>25</v>
      </c>
      <c r="G329" s="4" t="s">
        <v>25</v>
      </c>
      <c r="H329" s="4" t="s">
        <v>37</v>
      </c>
      <c r="I329" s="5">
        <v>44440</v>
      </c>
      <c r="J329" s="6">
        <v>0</v>
      </c>
      <c r="K329" s="75">
        <v>0</v>
      </c>
      <c r="L329" s="6">
        <v>136.102</v>
      </c>
      <c r="M329" s="75">
        <v>136.102</v>
      </c>
      <c r="N329" s="6">
        <v>136.102</v>
      </c>
      <c r="O329" s="75">
        <v>136.102</v>
      </c>
      <c r="P329" s="6">
        <v>0</v>
      </c>
      <c r="Q329" s="4" t="s">
        <v>26</v>
      </c>
      <c r="R329" s="4">
        <v>0</v>
      </c>
      <c r="S329" s="4">
        <v>0</v>
      </c>
      <c r="T329" s="4">
        <v>12</v>
      </c>
      <c r="U329" s="4">
        <v>66</v>
      </c>
      <c r="V329" s="75">
        <f>IF(ISERROR(VLOOKUP($S$329,'TAR FIN'!$A$1:$O$93,15,0)),0,VLOOKUP($S$329,'TAR FIN'!$A$1:$O$93,15,0))</f>
        <v>0</v>
      </c>
      <c r="W329" s="75">
        <f>IF(ISERROR(VLOOKUP($T$329,'TAR FIN'!$A$1:$O$93,15,0)),0,VLOOKUP($T$329,'TAR FIN'!$A$1:$O$93,15,0))*(1-0.04)</f>
        <v>1079.712</v>
      </c>
      <c r="X329" s="75">
        <f>IF(ISERROR(VLOOKUP($U$329,'TAR FIN'!$A$1:$O$93,15,0)),0,VLOOKUP($U$329,'TAR FIN'!$A$1:$O$93,15,0))*(1-0.04)</f>
        <v>177.77279999999999</v>
      </c>
      <c r="Y329" s="75"/>
      <c r="Z329" s="75">
        <f ca="1">('TUSD BE'!$AM$15+'TUSD BF'!$AM$15+'TUSD CVA'!$AM$15)*1*(1-0.02)</f>
        <v>1276.3186645234982</v>
      </c>
      <c r="AA329" s="75">
        <f>('TE BE'!$AB$7+'TE BF'!$AB$7+'TE CVA'!$AB$7)*1*(1-0.02)</f>
        <v>194.21830884065065</v>
      </c>
      <c r="AB329" s="75">
        <f>(SUBSIDIO!$J$329*SUBSIDIO!$V$329)*(0.04)/(1-0.04)</f>
        <v>0</v>
      </c>
      <c r="AC329" s="75">
        <f>((SUBSIDIO!$L$329*SUBSIDIO!$W$329)+(SUBSIDIO!$N$329*SUBSIDIO!$X$329))*(0.04)/(1-0.04)</f>
        <v>7131.0915104000005</v>
      </c>
      <c r="AD329" s="75">
        <f>(SUBSIDIO!$J$329*SUBSIDIO!$Y$329)*(0.02)/(1-0.02)</f>
        <v>0</v>
      </c>
      <c r="AE329" s="75">
        <f ca="1">((SUBSIDIO!$L$329*SUBSIDIO!$Z$329)+(SUBSIDIO!$N$329*SUBSIDIO!$AA$329))*(0.02)/(1-0.02)</f>
        <v>4084.5514928328039</v>
      </c>
      <c r="AF329" s="4" t="s">
        <v>638</v>
      </c>
    </row>
    <row r="330" spans="1:32" ht="11.25" customHeight="1" x14ac:dyDescent="0.25">
      <c r="A330" s="4" t="s">
        <v>28</v>
      </c>
      <c r="B330" s="4" t="s">
        <v>35</v>
      </c>
      <c r="C330" s="4" t="s">
        <v>39</v>
      </c>
      <c r="D330" s="4" t="s">
        <v>42</v>
      </c>
      <c r="E330" s="4" t="s">
        <v>25</v>
      </c>
      <c r="F330" s="4" t="s">
        <v>25</v>
      </c>
      <c r="G330" s="4" t="s">
        <v>25</v>
      </c>
      <c r="H330" s="4" t="s">
        <v>37</v>
      </c>
      <c r="I330" s="5">
        <v>44440</v>
      </c>
      <c r="J330" s="6">
        <v>0</v>
      </c>
      <c r="K330" s="75">
        <v>0</v>
      </c>
      <c r="L330" s="6">
        <v>2.2999999999999998</v>
      </c>
      <c r="M330" s="75">
        <v>2.2999999999999998</v>
      </c>
      <c r="N330" s="6">
        <v>2.2999999999999998</v>
      </c>
      <c r="O330" s="75">
        <v>2.2999999999999998</v>
      </c>
      <c r="P330" s="6">
        <v>0</v>
      </c>
      <c r="Q330" s="4" t="s">
        <v>26</v>
      </c>
      <c r="R330" s="4">
        <v>0</v>
      </c>
      <c r="S330" s="4">
        <v>0</v>
      </c>
      <c r="T330" s="4">
        <v>12</v>
      </c>
      <c r="U330" s="4">
        <v>66</v>
      </c>
      <c r="V330" s="75">
        <f>IF(ISERROR(VLOOKUP($S$330,'TAR FIN'!$A$1:$O$93,15,0)),0,VLOOKUP($S$330,'TAR FIN'!$A$1:$O$93,15,0))</f>
        <v>0</v>
      </c>
      <c r="W330" s="75">
        <f>IF(ISERROR(VLOOKUP($T$330,'TAR FIN'!$A$1:$O$93,15,0)),0,VLOOKUP($T$330,'TAR FIN'!$A$1:$O$93,15,0))*(1-0.04)</f>
        <v>1079.712</v>
      </c>
      <c r="X330" s="75">
        <f>IF(ISERROR(VLOOKUP($U$330,'TAR FIN'!$A$1:$O$93,15,0)),0,VLOOKUP($U$330,'TAR FIN'!$A$1:$O$93,15,0))*(1-0.04)</f>
        <v>177.77279999999999</v>
      </c>
      <c r="Y330" s="75"/>
      <c r="Z330" s="75">
        <f ca="1">('TUSD BE'!$AM$15+'TUSD BF'!$AM$15+'TUSD CVA'!$AM$15)*1*(1-0.02)</f>
        <v>1276.3186645234982</v>
      </c>
      <c r="AA330" s="75">
        <f>('TE BE'!$AB$7+'TE BF'!$AB$7+'TE CVA'!$AB$7)*1*(1-0.02)</f>
        <v>194.21830884065065</v>
      </c>
      <c r="AB330" s="75">
        <f>(SUBSIDIO!$J$330*SUBSIDIO!$V$330)*(0.04)/(1-0.04)</f>
        <v>0</v>
      </c>
      <c r="AC330" s="75">
        <f>((SUBSIDIO!$L$330*SUBSIDIO!$W$330)+(SUBSIDIO!$N$330*SUBSIDIO!$X$330))*(0.04)/(1-0.04)</f>
        <v>120.50895999999999</v>
      </c>
      <c r="AD330" s="75">
        <f>(SUBSIDIO!$J$330*SUBSIDIO!$Y$330)*(0.02)/(1-0.02)</f>
        <v>0</v>
      </c>
      <c r="AE330" s="75">
        <f ca="1">((SUBSIDIO!$L$330*SUBSIDIO!$Z$330)+(SUBSIDIO!$N$330*SUBSIDIO!$AA$330))*(0.02)/(1-0.02)</f>
        <v>69.025204872194735</v>
      </c>
      <c r="AF330" s="4" t="s">
        <v>638</v>
      </c>
    </row>
    <row r="331" spans="1:32" ht="11.25" customHeight="1" x14ac:dyDescent="0.25">
      <c r="A331" s="4" t="s">
        <v>21</v>
      </c>
      <c r="B331" s="4" t="s">
        <v>35</v>
      </c>
      <c r="C331" s="4" t="s">
        <v>39</v>
      </c>
      <c r="D331" s="4" t="s">
        <v>42</v>
      </c>
      <c r="E331" s="4" t="s">
        <v>25</v>
      </c>
      <c r="F331" s="4" t="s">
        <v>25</v>
      </c>
      <c r="G331" s="4" t="s">
        <v>25</v>
      </c>
      <c r="H331" s="4" t="s">
        <v>37</v>
      </c>
      <c r="I331" s="5">
        <v>44470</v>
      </c>
      <c r="J331" s="6">
        <v>0</v>
      </c>
      <c r="K331" s="75">
        <v>0</v>
      </c>
      <c r="L331" s="6">
        <v>120.999</v>
      </c>
      <c r="M331" s="75">
        <v>120.999</v>
      </c>
      <c r="N331" s="6">
        <v>120.999</v>
      </c>
      <c r="O331" s="75">
        <v>120.999</v>
      </c>
      <c r="P331" s="6">
        <v>0</v>
      </c>
      <c r="Q331" s="4" t="s">
        <v>26</v>
      </c>
      <c r="R331" s="4">
        <v>0</v>
      </c>
      <c r="S331" s="4">
        <v>0</v>
      </c>
      <c r="T331" s="4">
        <v>12</v>
      </c>
      <c r="U331" s="4">
        <v>66</v>
      </c>
      <c r="V331" s="75">
        <f>IF(ISERROR(VLOOKUP($S$331,'TAR FIN'!$A$1:$O$93,15,0)),0,VLOOKUP($S$331,'TAR FIN'!$A$1:$O$93,15,0))</f>
        <v>0</v>
      </c>
      <c r="W331" s="75">
        <f>IF(ISERROR(VLOOKUP($T$331,'TAR FIN'!$A$1:$O$93,15,0)),0,VLOOKUP($T$331,'TAR FIN'!$A$1:$O$93,15,0))*(1-0.04)</f>
        <v>1079.712</v>
      </c>
      <c r="X331" s="75">
        <f>IF(ISERROR(VLOOKUP($U$331,'TAR FIN'!$A$1:$O$93,15,0)),0,VLOOKUP($U$331,'TAR FIN'!$A$1:$O$93,15,0))*(1-0.04)</f>
        <v>177.77279999999999</v>
      </c>
      <c r="Y331" s="75"/>
      <c r="Z331" s="75">
        <f ca="1">('TUSD BE'!$AM$15+'TUSD BF'!$AM$15+'TUSD CVA'!$AM$15)*1*(1-0.02)</f>
        <v>1276.3186645234982</v>
      </c>
      <c r="AA331" s="75">
        <f>('TE BE'!$AB$7+'TE BF'!$AB$7+'TE CVA'!$AB$7)*1*(1-0.02)</f>
        <v>194.21830884065065</v>
      </c>
      <c r="AB331" s="75">
        <f>(SUBSIDIO!$J$331*SUBSIDIO!$V$331)*(0.04)/(1-0.04)</f>
        <v>0</v>
      </c>
      <c r="AC331" s="75">
        <f>((SUBSIDIO!$L$331*SUBSIDIO!$W$331)+(SUBSIDIO!$N$331*SUBSIDIO!$X$331))*(0.04)/(1-0.04)</f>
        <v>6339.7668048000005</v>
      </c>
      <c r="AD331" s="75">
        <f>(SUBSIDIO!$J$331*SUBSIDIO!$Y$331)*(0.02)/(1-0.02)</f>
        <v>0</v>
      </c>
      <c r="AE331" s="75">
        <f ca="1">((SUBSIDIO!$L$331*SUBSIDIO!$Z$331)+(SUBSIDIO!$N$331*SUBSIDIO!$AA$331))*(0.02)/(1-0.02)</f>
        <v>3631.2959844916049</v>
      </c>
      <c r="AF331" s="4" t="s">
        <v>638</v>
      </c>
    </row>
    <row r="332" spans="1:32" ht="11.25" customHeight="1" x14ac:dyDescent="0.25">
      <c r="A332" s="4" t="s">
        <v>28</v>
      </c>
      <c r="B332" s="4" t="s">
        <v>35</v>
      </c>
      <c r="C332" s="4" t="s">
        <v>39</v>
      </c>
      <c r="D332" s="4" t="s">
        <v>42</v>
      </c>
      <c r="E332" s="4" t="s">
        <v>25</v>
      </c>
      <c r="F332" s="4" t="s">
        <v>25</v>
      </c>
      <c r="G332" s="4" t="s">
        <v>25</v>
      </c>
      <c r="H332" s="4" t="s">
        <v>37</v>
      </c>
      <c r="I332" s="5">
        <v>44470</v>
      </c>
      <c r="J332" s="6">
        <v>0</v>
      </c>
      <c r="K332" s="75">
        <v>0</v>
      </c>
      <c r="L332" s="6">
        <v>2.38</v>
      </c>
      <c r="M332" s="75">
        <v>2.38</v>
      </c>
      <c r="N332" s="6">
        <v>2.38</v>
      </c>
      <c r="O332" s="75">
        <v>2.38</v>
      </c>
      <c r="P332" s="6">
        <v>0</v>
      </c>
      <c r="Q332" s="4" t="s">
        <v>26</v>
      </c>
      <c r="R332" s="4">
        <v>0</v>
      </c>
      <c r="S332" s="4">
        <v>0</v>
      </c>
      <c r="T332" s="4">
        <v>12</v>
      </c>
      <c r="U332" s="4">
        <v>66</v>
      </c>
      <c r="V332" s="75">
        <f>IF(ISERROR(VLOOKUP($S$332,'TAR FIN'!$A$1:$O$93,15,0)),0,VLOOKUP($S$332,'TAR FIN'!$A$1:$O$93,15,0))</f>
        <v>0</v>
      </c>
      <c r="W332" s="75">
        <f>IF(ISERROR(VLOOKUP($T$332,'TAR FIN'!$A$1:$O$93,15,0)),0,VLOOKUP($T$332,'TAR FIN'!$A$1:$O$93,15,0))*(1-0.04)</f>
        <v>1079.712</v>
      </c>
      <c r="X332" s="75">
        <f>IF(ISERROR(VLOOKUP($U$332,'TAR FIN'!$A$1:$O$93,15,0)),0,VLOOKUP($U$332,'TAR FIN'!$A$1:$O$93,15,0))*(1-0.04)</f>
        <v>177.77279999999999</v>
      </c>
      <c r="Y332" s="75"/>
      <c r="Z332" s="75">
        <f ca="1">('TUSD BE'!$AM$15+'TUSD BF'!$AM$15+'TUSD CVA'!$AM$15)*1*(1-0.02)</f>
        <v>1276.3186645234982</v>
      </c>
      <c r="AA332" s="75">
        <f>('TE BE'!$AB$7+'TE BF'!$AB$7+'TE CVA'!$AB$7)*1*(1-0.02)</f>
        <v>194.21830884065065</v>
      </c>
      <c r="AB332" s="75">
        <f>(SUBSIDIO!$J$332*SUBSIDIO!$V$332)*(0.04)/(1-0.04)</f>
        <v>0</v>
      </c>
      <c r="AC332" s="75">
        <f>((SUBSIDIO!$L$332*SUBSIDIO!$W$332)+(SUBSIDIO!$N$332*SUBSIDIO!$X$332))*(0.04)/(1-0.04)</f>
        <v>124.700576</v>
      </c>
      <c r="AD332" s="75">
        <f>(SUBSIDIO!$J$332*SUBSIDIO!$Y$332)*(0.02)/(1-0.02)</f>
        <v>0</v>
      </c>
      <c r="AE332" s="75">
        <f ca="1">((SUBSIDIO!$L$332*SUBSIDIO!$Z$332)+(SUBSIDIO!$N$332*SUBSIDIO!$AA$332))*(0.02)/(1-0.02)</f>
        <v>71.42608156340151</v>
      </c>
      <c r="AF332" s="4" t="s">
        <v>638</v>
      </c>
    </row>
    <row r="333" spans="1:32" ht="11.25" customHeight="1" x14ac:dyDescent="0.25">
      <c r="A333" s="4" t="s">
        <v>21</v>
      </c>
      <c r="B333" s="4" t="s">
        <v>35</v>
      </c>
      <c r="C333" s="4" t="s">
        <v>39</v>
      </c>
      <c r="D333" s="4" t="s">
        <v>42</v>
      </c>
      <c r="E333" s="4" t="s">
        <v>25</v>
      </c>
      <c r="F333" s="4" t="s">
        <v>25</v>
      </c>
      <c r="G333" s="4" t="s">
        <v>25</v>
      </c>
      <c r="H333" s="4" t="s">
        <v>37</v>
      </c>
      <c r="I333" s="5">
        <v>44501</v>
      </c>
      <c r="J333" s="6">
        <v>0</v>
      </c>
      <c r="K333" s="75">
        <v>0</v>
      </c>
      <c r="L333" s="6">
        <v>132.96199999999999</v>
      </c>
      <c r="M333" s="75">
        <v>132.96199999999999</v>
      </c>
      <c r="N333" s="6">
        <v>132.96199999999999</v>
      </c>
      <c r="O333" s="75">
        <v>132.96199999999999</v>
      </c>
      <c r="P333" s="6">
        <v>0</v>
      </c>
      <c r="Q333" s="4" t="s">
        <v>26</v>
      </c>
      <c r="R333" s="4">
        <v>0</v>
      </c>
      <c r="S333" s="4">
        <v>0</v>
      </c>
      <c r="T333" s="4">
        <v>12</v>
      </c>
      <c r="U333" s="4">
        <v>66</v>
      </c>
      <c r="V333" s="75">
        <f>IF(ISERROR(VLOOKUP($S$333,'TAR FIN'!$A$1:$O$93,15,0)),0,VLOOKUP($S$333,'TAR FIN'!$A$1:$O$93,15,0))</f>
        <v>0</v>
      </c>
      <c r="W333" s="75">
        <f>IF(ISERROR(VLOOKUP($T$333,'TAR FIN'!$A$1:$O$93,15,0)),0,VLOOKUP($T$333,'TAR FIN'!$A$1:$O$93,15,0))*(1-0.04)</f>
        <v>1079.712</v>
      </c>
      <c r="X333" s="75">
        <f>IF(ISERROR(VLOOKUP($U$333,'TAR FIN'!$A$1:$O$93,15,0)),0,VLOOKUP($U$333,'TAR FIN'!$A$1:$O$93,15,0))*(1-0.04)</f>
        <v>177.77279999999999</v>
      </c>
      <c r="Y333" s="75"/>
      <c r="Z333" s="75">
        <f ca="1">('TUSD BE'!$AM$15+'TUSD BF'!$AM$15+'TUSD CVA'!$AM$15)*1*(1-0.02)</f>
        <v>1276.3186645234982</v>
      </c>
      <c r="AA333" s="75">
        <f>('TE BE'!$AB$7+'TE BF'!$AB$7+'TE CVA'!$AB$7)*1*(1-0.02)</f>
        <v>194.21830884065065</v>
      </c>
      <c r="AB333" s="75">
        <f>(SUBSIDIO!$J$333*SUBSIDIO!$V$333)*(0.04)/(1-0.04)</f>
        <v>0</v>
      </c>
      <c r="AC333" s="75">
        <f>((SUBSIDIO!$L$333*SUBSIDIO!$W$333)+(SUBSIDIO!$N$333*SUBSIDIO!$X$333))*(0.04)/(1-0.04)</f>
        <v>6966.5705823999997</v>
      </c>
      <c r="AD333" s="75">
        <f>(SUBSIDIO!$J$333*SUBSIDIO!$Y$333)*(0.02)/(1-0.02)</f>
        <v>0</v>
      </c>
      <c r="AE333" s="75">
        <f ca="1">((SUBSIDIO!$L$333*SUBSIDIO!$Z$333)+(SUBSIDIO!$N$333*SUBSIDIO!$AA$333))*(0.02)/(1-0.02)</f>
        <v>3990.317082702938</v>
      </c>
      <c r="AF333" s="4" t="s">
        <v>638</v>
      </c>
    </row>
    <row r="334" spans="1:32" ht="11.25" customHeight="1" x14ac:dyDescent="0.25">
      <c r="A334" s="4" t="s">
        <v>28</v>
      </c>
      <c r="B334" s="4" t="s">
        <v>35</v>
      </c>
      <c r="C334" s="4" t="s">
        <v>39</v>
      </c>
      <c r="D334" s="4" t="s">
        <v>42</v>
      </c>
      <c r="E334" s="4" t="s">
        <v>25</v>
      </c>
      <c r="F334" s="4" t="s">
        <v>25</v>
      </c>
      <c r="G334" s="4" t="s">
        <v>25</v>
      </c>
      <c r="H334" s="4" t="s">
        <v>37</v>
      </c>
      <c r="I334" s="5">
        <v>44501</v>
      </c>
      <c r="J334" s="6">
        <v>0</v>
      </c>
      <c r="K334" s="75">
        <v>0</v>
      </c>
      <c r="L334" s="6">
        <v>1.77</v>
      </c>
      <c r="M334" s="75">
        <v>1.77</v>
      </c>
      <c r="N334" s="6">
        <v>1.77</v>
      </c>
      <c r="O334" s="75">
        <v>1.77</v>
      </c>
      <c r="P334" s="6">
        <v>0</v>
      </c>
      <c r="Q334" s="4" t="s">
        <v>26</v>
      </c>
      <c r="R334" s="4">
        <v>0</v>
      </c>
      <c r="S334" s="4">
        <v>0</v>
      </c>
      <c r="T334" s="4">
        <v>12</v>
      </c>
      <c r="U334" s="4">
        <v>66</v>
      </c>
      <c r="V334" s="75">
        <f>IF(ISERROR(VLOOKUP($S$334,'TAR FIN'!$A$1:$O$93,15,0)),0,VLOOKUP($S$334,'TAR FIN'!$A$1:$O$93,15,0))</f>
        <v>0</v>
      </c>
      <c r="W334" s="75">
        <f>IF(ISERROR(VLOOKUP($T$334,'TAR FIN'!$A$1:$O$93,15,0)),0,VLOOKUP($T$334,'TAR FIN'!$A$1:$O$93,15,0))*(1-0.04)</f>
        <v>1079.712</v>
      </c>
      <c r="X334" s="75">
        <f>IF(ISERROR(VLOOKUP($U$334,'TAR FIN'!$A$1:$O$93,15,0)),0,VLOOKUP($U$334,'TAR FIN'!$A$1:$O$93,15,0))*(1-0.04)</f>
        <v>177.77279999999999</v>
      </c>
      <c r="Y334" s="75"/>
      <c r="Z334" s="75">
        <f ca="1">('TUSD BE'!$AM$15+'TUSD BF'!$AM$15+'TUSD CVA'!$AM$15)*1*(1-0.02)</f>
        <v>1276.3186645234982</v>
      </c>
      <c r="AA334" s="75">
        <f>('TE BE'!$AB$7+'TE BF'!$AB$7+'TE CVA'!$AB$7)*1*(1-0.02)</f>
        <v>194.21830884065065</v>
      </c>
      <c r="AB334" s="75">
        <f>(SUBSIDIO!$J$334*SUBSIDIO!$V$334)*(0.04)/(1-0.04)</f>
        <v>0</v>
      </c>
      <c r="AC334" s="75">
        <f>((SUBSIDIO!$L$334*SUBSIDIO!$W$334)+(SUBSIDIO!$N$334*SUBSIDIO!$X$334))*(0.04)/(1-0.04)</f>
        <v>92.739503999999997</v>
      </c>
      <c r="AD334" s="75">
        <f>(SUBSIDIO!$J$334*SUBSIDIO!$Y$334)*(0.02)/(1-0.02)</f>
        <v>0</v>
      </c>
      <c r="AE334" s="75">
        <f ca="1">((SUBSIDIO!$L$334*SUBSIDIO!$Z$334)+(SUBSIDIO!$N$334*SUBSIDIO!$AA$334))*(0.02)/(1-0.02)</f>
        <v>53.119396792949871</v>
      </c>
      <c r="AF334" s="4" t="s">
        <v>638</v>
      </c>
    </row>
    <row r="335" spans="1:32" ht="11.25" customHeight="1" x14ac:dyDescent="0.25">
      <c r="A335" s="4" t="s">
        <v>21</v>
      </c>
      <c r="B335" s="4" t="s">
        <v>35</v>
      </c>
      <c r="C335" s="4" t="s">
        <v>39</v>
      </c>
      <c r="D335" s="4" t="s">
        <v>42</v>
      </c>
      <c r="E335" s="4" t="s">
        <v>25</v>
      </c>
      <c r="F335" s="4" t="s">
        <v>25</v>
      </c>
      <c r="G335" s="4" t="s">
        <v>25</v>
      </c>
      <c r="H335" s="4" t="s">
        <v>37</v>
      </c>
      <c r="I335" s="5">
        <v>44531</v>
      </c>
      <c r="J335" s="6">
        <v>0</v>
      </c>
      <c r="K335" s="75">
        <v>0</v>
      </c>
      <c r="L335" s="6">
        <v>180.17500000000001</v>
      </c>
      <c r="M335" s="75">
        <v>180.17500000000001</v>
      </c>
      <c r="N335" s="6">
        <v>180.17500000000001</v>
      </c>
      <c r="O335" s="75">
        <v>180.17500000000001</v>
      </c>
      <c r="P335" s="6">
        <v>0</v>
      </c>
      <c r="Q335" s="4" t="s">
        <v>26</v>
      </c>
      <c r="R335" s="4">
        <v>0</v>
      </c>
      <c r="S335" s="4">
        <v>0</v>
      </c>
      <c r="T335" s="4">
        <v>12</v>
      </c>
      <c r="U335" s="4">
        <v>66</v>
      </c>
      <c r="V335" s="75">
        <f>IF(ISERROR(VLOOKUP($S$335,'TAR FIN'!$A$1:$O$93,15,0)),0,VLOOKUP($S$335,'TAR FIN'!$A$1:$O$93,15,0))</f>
        <v>0</v>
      </c>
      <c r="W335" s="75">
        <f>IF(ISERROR(VLOOKUP($T$335,'TAR FIN'!$A$1:$O$93,15,0)),0,VLOOKUP($T$335,'TAR FIN'!$A$1:$O$93,15,0))*(1-0.04)</f>
        <v>1079.712</v>
      </c>
      <c r="X335" s="75">
        <f>IF(ISERROR(VLOOKUP($U$335,'TAR FIN'!$A$1:$O$93,15,0)),0,VLOOKUP($U$335,'TAR FIN'!$A$1:$O$93,15,0))*(1-0.04)</f>
        <v>177.77279999999999</v>
      </c>
      <c r="Y335" s="75"/>
      <c r="Z335" s="75">
        <f ca="1">('TUSD BE'!$AM$15+'TUSD BF'!$AM$15+'TUSD CVA'!$AM$15)*1*(1-0.02)</f>
        <v>1276.3186645234982</v>
      </c>
      <c r="AA335" s="75">
        <f>('TE BE'!$AB$7+'TE BF'!$AB$7+'TE CVA'!$AB$7)*1*(1-0.02)</f>
        <v>194.21830884065065</v>
      </c>
      <c r="AB335" s="75">
        <f>(SUBSIDIO!$J$335*SUBSIDIO!$V$335)*(0.04)/(1-0.04)</f>
        <v>0</v>
      </c>
      <c r="AC335" s="75">
        <f>((SUBSIDIO!$L$335*SUBSIDIO!$W$335)+(SUBSIDIO!$N$335*SUBSIDIO!$X$335))*(0.04)/(1-0.04)</f>
        <v>9440.3051600000017</v>
      </c>
      <c r="AD335" s="75">
        <f>(SUBSIDIO!$J$335*SUBSIDIO!$Y$335)*(0.02)/(1-0.02)</f>
        <v>0</v>
      </c>
      <c r="AE335" s="75">
        <f ca="1">((SUBSIDIO!$L$335*SUBSIDIO!$Z$335)+(SUBSIDIO!$N$335*SUBSIDIO!$AA$335))*(0.02)/(1-0.02)</f>
        <v>5407.2244729772565</v>
      </c>
      <c r="AF335" s="4" t="s">
        <v>638</v>
      </c>
    </row>
    <row r="336" spans="1:32" ht="11.25" customHeight="1" x14ac:dyDescent="0.25">
      <c r="A336" s="4" t="s">
        <v>21</v>
      </c>
      <c r="B336" s="4" t="s">
        <v>35</v>
      </c>
      <c r="C336" s="4" t="s">
        <v>39</v>
      </c>
      <c r="D336" s="4" t="s">
        <v>42</v>
      </c>
      <c r="E336" s="4" t="s">
        <v>25</v>
      </c>
      <c r="F336" s="4" t="s">
        <v>25</v>
      </c>
      <c r="G336" s="4" t="s">
        <v>25</v>
      </c>
      <c r="H336" s="4" t="s">
        <v>37</v>
      </c>
      <c r="I336" s="5">
        <v>44562</v>
      </c>
      <c r="J336" s="6">
        <v>0</v>
      </c>
      <c r="K336" s="75">
        <v>0</v>
      </c>
      <c r="L336" s="6">
        <v>152.501</v>
      </c>
      <c r="M336" s="75">
        <v>152.501</v>
      </c>
      <c r="N336" s="6">
        <v>152.501</v>
      </c>
      <c r="O336" s="75">
        <v>152.501</v>
      </c>
      <c r="P336" s="6">
        <v>0</v>
      </c>
      <c r="Q336" s="4" t="s">
        <v>26</v>
      </c>
      <c r="R336" s="4">
        <v>0</v>
      </c>
      <c r="S336" s="4">
        <v>0</v>
      </c>
      <c r="T336" s="4">
        <v>12</v>
      </c>
      <c r="U336" s="4">
        <v>66</v>
      </c>
      <c r="V336" s="75">
        <f>IF(ISERROR(VLOOKUP($S$336,'TAR FIN'!$A$1:$O$93,15,0)),0,VLOOKUP($S$336,'TAR FIN'!$A$1:$O$93,15,0))</f>
        <v>0</v>
      </c>
      <c r="W336" s="75">
        <f>IF(ISERROR(VLOOKUP($T$336,'TAR FIN'!$A$1:$O$93,15,0)),0,VLOOKUP($T$336,'TAR FIN'!$A$1:$O$93,15,0))*(1-0.04)</f>
        <v>1079.712</v>
      </c>
      <c r="X336" s="75">
        <f>IF(ISERROR(VLOOKUP($U$336,'TAR FIN'!$A$1:$O$93,15,0)),0,VLOOKUP($U$336,'TAR FIN'!$A$1:$O$93,15,0))*(1-0.04)</f>
        <v>177.77279999999999</v>
      </c>
      <c r="Y336" s="75"/>
      <c r="Z336" s="75">
        <f ca="1">('TUSD BE'!$AM$15+'TUSD BF'!$AM$15+'TUSD CVA'!$AM$15)*1*(1-0.02)</f>
        <v>1276.3186645234982</v>
      </c>
      <c r="AA336" s="75">
        <f>('TE BE'!$AB$7+'TE BF'!$AB$7+'TE CVA'!$AB$7)*1*(1-0.02)</f>
        <v>194.21830884065065</v>
      </c>
      <c r="AB336" s="75">
        <f>(SUBSIDIO!$J$336*SUBSIDIO!$V$336)*(0.04)/(1-0.04)</f>
        <v>0</v>
      </c>
      <c r="AC336" s="75">
        <f>((SUBSIDIO!$L$336*SUBSIDIO!$W$336)+(SUBSIDIO!$N$336*SUBSIDIO!$X$336))*(0.04)/(1-0.04)</f>
        <v>7990.3203951999994</v>
      </c>
      <c r="AD336" s="75">
        <f>(SUBSIDIO!$J$336*SUBSIDIO!$Y$336)*(0.02)/(1-0.02)</f>
        <v>0</v>
      </c>
      <c r="AE336" s="75">
        <f ca="1">((SUBSIDIO!$L$336*SUBSIDIO!$Z$336)+(SUBSIDIO!$N$336*SUBSIDIO!$AA$336))*(0.02)/(1-0.02)</f>
        <v>4576.7012035715525</v>
      </c>
      <c r="AF336" s="4" t="s">
        <v>638</v>
      </c>
    </row>
    <row r="337" spans="1:32" ht="11.25" customHeight="1" x14ac:dyDescent="0.25">
      <c r="A337" s="4" t="s">
        <v>27</v>
      </c>
      <c r="B337" s="4" t="s">
        <v>35</v>
      </c>
      <c r="C337" s="4" t="s">
        <v>39</v>
      </c>
      <c r="D337" s="4" t="s">
        <v>42</v>
      </c>
      <c r="E337" s="4" t="s">
        <v>25</v>
      </c>
      <c r="F337" s="4" t="s">
        <v>25</v>
      </c>
      <c r="G337" s="4" t="s">
        <v>25</v>
      </c>
      <c r="H337" s="4" t="s">
        <v>37</v>
      </c>
      <c r="I337" s="5">
        <v>44562</v>
      </c>
      <c r="J337" s="6">
        <v>0</v>
      </c>
      <c r="K337" s="75">
        <v>0</v>
      </c>
      <c r="L337" s="6">
        <v>-6.407</v>
      </c>
      <c r="M337" s="75">
        <v>-6.407</v>
      </c>
      <c r="N337" s="6">
        <v>-6.407</v>
      </c>
      <c r="O337" s="75">
        <v>-6.407</v>
      </c>
      <c r="P337" s="6">
        <v>0</v>
      </c>
      <c r="Q337" s="4" t="s">
        <v>26</v>
      </c>
      <c r="R337" s="4">
        <v>0</v>
      </c>
      <c r="S337" s="4">
        <v>0</v>
      </c>
      <c r="T337" s="4">
        <v>12</v>
      </c>
      <c r="U337" s="4">
        <v>66</v>
      </c>
      <c r="V337" s="75">
        <f>IF(ISERROR(VLOOKUP($S$337,'TAR FIN'!$A$1:$O$93,15,0)),0,VLOOKUP($S$337,'TAR FIN'!$A$1:$O$93,15,0))</f>
        <v>0</v>
      </c>
      <c r="W337" s="75">
        <f>IF(ISERROR(VLOOKUP($T$337,'TAR FIN'!$A$1:$O$93,15,0)),0,VLOOKUP($T$337,'TAR FIN'!$A$1:$O$93,15,0))*(1-0.04)</f>
        <v>1079.712</v>
      </c>
      <c r="X337" s="75">
        <f>IF(ISERROR(VLOOKUP($U$337,'TAR FIN'!$A$1:$O$93,15,0)),0,VLOOKUP($U$337,'TAR FIN'!$A$1:$O$93,15,0))*(1-0.04)</f>
        <v>177.77279999999999</v>
      </c>
      <c r="Y337" s="75"/>
      <c r="Z337" s="75">
        <f ca="1">('TUSD BE'!$AM$15+'TUSD BF'!$AM$15+'TUSD CVA'!$AM$15)*1*(1-0.02)</f>
        <v>1276.3186645234982</v>
      </c>
      <c r="AA337" s="75">
        <f>('TE BE'!$AB$7+'TE BF'!$AB$7+'TE CVA'!$AB$7)*1*(1-0.02)</f>
        <v>194.21830884065065</v>
      </c>
      <c r="AB337" s="75">
        <f>(SUBSIDIO!$J$337*SUBSIDIO!$V$337)*(0.04)/(1-0.04)</f>
        <v>0</v>
      </c>
      <c r="AC337" s="75">
        <f>((SUBSIDIO!$L$337*SUBSIDIO!$W$337)+(SUBSIDIO!$N$337*SUBSIDIO!$X$337))*(0.04)/(1-0.04)</f>
        <v>-335.6960464</v>
      </c>
      <c r="AD337" s="75">
        <f>(SUBSIDIO!$J$337*SUBSIDIO!$Y$337)*(0.02)/(1-0.02)</f>
        <v>0</v>
      </c>
      <c r="AE337" s="75">
        <f ca="1">((SUBSIDIO!$L$337*SUBSIDIO!$Z$337)+(SUBSIDIO!$N$337*SUBSIDIO!$AA$337))*(0.02)/(1-0.02)</f>
        <v>-192.2802120070225</v>
      </c>
      <c r="AF337" s="4" t="s">
        <v>638</v>
      </c>
    </row>
    <row r="338" spans="1:32" ht="11.25" customHeight="1" x14ac:dyDescent="0.25">
      <c r="A338" s="4" t="s">
        <v>28</v>
      </c>
      <c r="B338" s="4" t="s">
        <v>35</v>
      </c>
      <c r="C338" s="4" t="s">
        <v>39</v>
      </c>
      <c r="D338" s="4" t="s">
        <v>42</v>
      </c>
      <c r="E338" s="4" t="s">
        <v>25</v>
      </c>
      <c r="F338" s="4" t="s">
        <v>25</v>
      </c>
      <c r="G338" s="4" t="s">
        <v>25</v>
      </c>
      <c r="H338" s="4" t="s">
        <v>37</v>
      </c>
      <c r="I338" s="5">
        <v>44562</v>
      </c>
      <c r="J338" s="6">
        <v>0</v>
      </c>
      <c r="K338" s="75">
        <v>0</v>
      </c>
      <c r="L338" s="6">
        <v>1.26</v>
      </c>
      <c r="M338" s="75">
        <v>1.26</v>
      </c>
      <c r="N338" s="6">
        <v>1.26</v>
      </c>
      <c r="O338" s="75">
        <v>1.26</v>
      </c>
      <c r="P338" s="6">
        <v>0</v>
      </c>
      <c r="Q338" s="4" t="s">
        <v>26</v>
      </c>
      <c r="R338" s="4">
        <v>0</v>
      </c>
      <c r="S338" s="4">
        <v>0</v>
      </c>
      <c r="T338" s="4">
        <v>12</v>
      </c>
      <c r="U338" s="4">
        <v>66</v>
      </c>
      <c r="V338" s="75">
        <f>IF(ISERROR(VLOOKUP($S$338,'TAR FIN'!$A$1:$O$93,15,0)),0,VLOOKUP($S$338,'TAR FIN'!$A$1:$O$93,15,0))</f>
        <v>0</v>
      </c>
      <c r="W338" s="75">
        <f>IF(ISERROR(VLOOKUP($T$338,'TAR FIN'!$A$1:$O$93,15,0)),0,VLOOKUP($T$338,'TAR FIN'!$A$1:$O$93,15,0))*(1-0.04)</f>
        <v>1079.712</v>
      </c>
      <c r="X338" s="75">
        <f>IF(ISERROR(VLOOKUP($U$338,'TAR FIN'!$A$1:$O$93,15,0)),0,VLOOKUP($U$338,'TAR FIN'!$A$1:$O$93,15,0))*(1-0.04)</f>
        <v>177.77279999999999</v>
      </c>
      <c r="Y338" s="75"/>
      <c r="Z338" s="75">
        <f ca="1">('TUSD BE'!$AM$15+'TUSD BF'!$AM$15+'TUSD CVA'!$AM$15)*1*(1-0.02)</f>
        <v>1276.3186645234982</v>
      </c>
      <c r="AA338" s="75">
        <f>('TE BE'!$AB$7+'TE BF'!$AB$7+'TE CVA'!$AB$7)*1*(1-0.02)</f>
        <v>194.21830884065065</v>
      </c>
      <c r="AB338" s="75">
        <f>(SUBSIDIO!$J$338*SUBSIDIO!$V$338)*(0.04)/(1-0.04)</f>
        <v>0</v>
      </c>
      <c r="AC338" s="75">
        <f>((SUBSIDIO!$L$338*SUBSIDIO!$W$338)+(SUBSIDIO!$N$338*SUBSIDIO!$X$338))*(0.04)/(1-0.04)</f>
        <v>66.017952000000008</v>
      </c>
      <c r="AD338" s="75">
        <f>(SUBSIDIO!$J$338*SUBSIDIO!$Y$338)*(0.02)/(1-0.02)</f>
        <v>0</v>
      </c>
      <c r="AE338" s="75">
        <f ca="1">((SUBSIDIO!$L$338*SUBSIDIO!$Z$338)+(SUBSIDIO!$N$338*SUBSIDIO!$AA$338))*(0.02)/(1-0.02)</f>
        <v>37.813807886506687</v>
      </c>
      <c r="AF338" s="4" t="s">
        <v>638</v>
      </c>
    </row>
    <row r="339" spans="1:32" ht="11.25" customHeight="1" x14ac:dyDescent="0.25">
      <c r="A339" s="4" t="s">
        <v>21</v>
      </c>
      <c r="B339" s="4" t="s">
        <v>35</v>
      </c>
      <c r="C339" s="4" t="s">
        <v>39</v>
      </c>
      <c r="D339" s="4" t="s">
        <v>42</v>
      </c>
      <c r="E339" s="4" t="s">
        <v>25</v>
      </c>
      <c r="F339" s="4" t="s">
        <v>25</v>
      </c>
      <c r="G339" s="4" t="s">
        <v>25</v>
      </c>
      <c r="H339" s="4" t="s">
        <v>37</v>
      </c>
      <c r="I339" s="5">
        <v>44593</v>
      </c>
      <c r="J339" s="6">
        <v>0</v>
      </c>
      <c r="K339" s="75">
        <v>0</v>
      </c>
      <c r="L339" s="6">
        <v>221.345</v>
      </c>
      <c r="M339" s="75">
        <v>221.345</v>
      </c>
      <c r="N339" s="6">
        <v>221.345</v>
      </c>
      <c r="O339" s="75">
        <v>221.345</v>
      </c>
      <c r="P339" s="6">
        <v>0</v>
      </c>
      <c r="Q339" s="4" t="s">
        <v>26</v>
      </c>
      <c r="R339" s="4">
        <v>0</v>
      </c>
      <c r="S339" s="4">
        <v>0</v>
      </c>
      <c r="T339" s="4">
        <v>12</v>
      </c>
      <c r="U339" s="4">
        <v>66</v>
      </c>
      <c r="V339" s="75">
        <f>IF(ISERROR(VLOOKUP($S$339,'TAR FIN'!$A$1:$O$93,15,0)),0,VLOOKUP($S$339,'TAR FIN'!$A$1:$O$93,15,0))</f>
        <v>0</v>
      </c>
      <c r="W339" s="75">
        <f>IF(ISERROR(VLOOKUP($T$339,'TAR FIN'!$A$1:$O$93,15,0)),0,VLOOKUP($T$339,'TAR FIN'!$A$1:$O$93,15,0))*(1-0.04)</f>
        <v>1079.712</v>
      </c>
      <c r="X339" s="75">
        <f>IF(ISERROR(VLOOKUP($U$339,'TAR FIN'!$A$1:$O$93,15,0)),0,VLOOKUP($U$339,'TAR FIN'!$A$1:$O$93,15,0))*(1-0.04)</f>
        <v>177.77279999999999</v>
      </c>
      <c r="Y339" s="75"/>
      <c r="Z339" s="75">
        <f ca="1">('TUSD BE'!$AM$15+'TUSD BF'!$AM$15+'TUSD CVA'!$AM$15)*1*(1-0.02)</f>
        <v>1276.3186645234982</v>
      </c>
      <c r="AA339" s="75">
        <f>('TE BE'!$AB$7+'TE BF'!$AB$7+'TE CVA'!$AB$7)*1*(1-0.02)</f>
        <v>194.21830884065065</v>
      </c>
      <c r="AB339" s="75">
        <f>(SUBSIDIO!$J$339*SUBSIDIO!$V$339)*(0.04)/(1-0.04)</f>
        <v>0</v>
      </c>
      <c r="AC339" s="75">
        <f>((SUBSIDIO!$L$339*SUBSIDIO!$W$339)+(SUBSIDIO!$N$339*SUBSIDIO!$X$339))*(0.04)/(1-0.04)</f>
        <v>11597.415544000001</v>
      </c>
      <c r="AD339" s="75">
        <f>(SUBSIDIO!$J$339*SUBSIDIO!$Y$339)*(0.02)/(1-0.02)</f>
        <v>0</v>
      </c>
      <c r="AE339" s="75">
        <f ca="1">((SUBSIDIO!$L$339*SUBSIDIO!$Z$339)+(SUBSIDIO!$N$339*SUBSIDIO!$AA$339))*(0.02)/(1-0.02)</f>
        <v>6642.7756401895422</v>
      </c>
      <c r="AF339" s="4" t="s">
        <v>638</v>
      </c>
    </row>
    <row r="340" spans="1:32" ht="11.25" customHeight="1" x14ac:dyDescent="0.25">
      <c r="A340" s="4" t="s">
        <v>27</v>
      </c>
      <c r="B340" s="4" t="s">
        <v>35</v>
      </c>
      <c r="C340" s="4" t="s">
        <v>39</v>
      </c>
      <c r="D340" s="4" t="s">
        <v>42</v>
      </c>
      <c r="E340" s="4" t="s">
        <v>25</v>
      </c>
      <c r="F340" s="4" t="s">
        <v>25</v>
      </c>
      <c r="G340" s="4" t="s">
        <v>25</v>
      </c>
      <c r="H340" s="4" t="s">
        <v>37</v>
      </c>
      <c r="I340" s="5">
        <v>44593</v>
      </c>
      <c r="J340" s="6">
        <v>0</v>
      </c>
      <c r="K340" s="75">
        <v>0</v>
      </c>
      <c r="L340" s="6">
        <v>-11.286</v>
      </c>
      <c r="M340" s="75">
        <v>-11.286</v>
      </c>
      <c r="N340" s="6">
        <v>-11.286</v>
      </c>
      <c r="O340" s="75">
        <v>-11.286</v>
      </c>
      <c r="P340" s="6">
        <v>0</v>
      </c>
      <c r="Q340" s="4" t="s">
        <v>26</v>
      </c>
      <c r="R340" s="4">
        <v>0</v>
      </c>
      <c r="S340" s="4">
        <v>0</v>
      </c>
      <c r="T340" s="4">
        <v>12</v>
      </c>
      <c r="U340" s="4">
        <v>66</v>
      </c>
      <c r="V340" s="75">
        <f>IF(ISERROR(VLOOKUP($S$340,'TAR FIN'!$A$1:$O$93,15,0)),0,VLOOKUP($S$340,'TAR FIN'!$A$1:$O$93,15,0))</f>
        <v>0</v>
      </c>
      <c r="W340" s="75">
        <f>IF(ISERROR(VLOOKUP($T$340,'TAR FIN'!$A$1:$O$93,15,0)),0,VLOOKUP($T$340,'TAR FIN'!$A$1:$O$93,15,0))*(1-0.04)</f>
        <v>1079.712</v>
      </c>
      <c r="X340" s="75">
        <f>IF(ISERROR(VLOOKUP($U$340,'TAR FIN'!$A$1:$O$93,15,0)),0,VLOOKUP($U$340,'TAR FIN'!$A$1:$O$93,15,0))*(1-0.04)</f>
        <v>177.77279999999999</v>
      </c>
      <c r="Y340" s="75"/>
      <c r="Z340" s="75">
        <f ca="1">('TUSD BE'!$AM$15+'TUSD BF'!$AM$15+'TUSD CVA'!$AM$15)*1*(1-0.02)</f>
        <v>1276.3186645234982</v>
      </c>
      <c r="AA340" s="75">
        <f>('TE BE'!$AB$7+'TE BF'!$AB$7+'TE CVA'!$AB$7)*1*(1-0.02)</f>
        <v>194.21830884065065</v>
      </c>
      <c r="AB340" s="75">
        <f>(SUBSIDIO!$J$340*SUBSIDIO!$V$340)*(0.04)/(1-0.04)</f>
        <v>0</v>
      </c>
      <c r="AC340" s="75">
        <f>((SUBSIDIO!$L$340*SUBSIDIO!$W$340)+(SUBSIDIO!$N$340*SUBSIDIO!$X$340))*(0.04)/(1-0.04)</f>
        <v>-591.33222720000015</v>
      </c>
      <c r="AD340" s="75">
        <f>(SUBSIDIO!$J$340*SUBSIDIO!$Y$340)*(0.02)/(1-0.02)</f>
        <v>0</v>
      </c>
      <c r="AE340" s="75">
        <f ca="1">((SUBSIDIO!$L$340*SUBSIDIO!$Z$340)+(SUBSIDIO!$N$340*SUBSIDIO!$AA$340))*(0.02)/(1-0.02)</f>
        <v>-338.70367921199562</v>
      </c>
      <c r="AF340" s="4" t="s">
        <v>638</v>
      </c>
    </row>
    <row r="341" spans="1:32" ht="11.25" customHeight="1" x14ac:dyDescent="0.25">
      <c r="A341" s="4" t="s">
        <v>28</v>
      </c>
      <c r="B341" s="4" t="s">
        <v>35</v>
      </c>
      <c r="C341" s="4" t="s">
        <v>39</v>
      </c>
      <c r="D341" s="4" t="s">
        <v>42</v>
      </c>
      <c r="E341" s="4" t="s">
        <v>25</v>
      </c>
      <c r="F341" s="4" t="s">
        <v>25</v>
      </c>
      <c r="G341" s="4" t="s">
        <v>25</v>
      </c>
      <c r="H341" s="4" t="s">
        <v>37</v>
      </c>
      <c r="I341" s="5">
        <v>44593</v>
      </c>
      <c r="J341" s="6">
        <v>0</v>
      </c>
      <c r="K341" s="75">
        <v>0</v>
      </c>
      <c r="L341" s="6">
        <v>3.6779999999999999</v>
      </c>
      <c r="M341" s="75">
        <v>3.6779999999999999</v>
      </c>
      <c r="N341" s="6">
        <v>3.6779999999999999</v>
      </c>
      <c r="O341" s="75">
        <v>3.6779999999999999</v>
      </c>
      <c r="P341" s="6">
        <v>0</v>
      </c>
      <c r="Q341" s="4" t="s">
        <v>26</v>
      </c>
      <c r="R341" s="4">
        <v>0</v>
      </c>
      <c r="S341" s="4">
        <v>0</v>
      </c>
      <c r="T341" s="4">
        <v>12</v>
      </c>
      <c r="U341" s="4">
        <v>66</v>
      </c>
      <c r="V341" s="75">
        <f>IF(ISERROR(VLOOKUP($S$341,'TAR FIN'!$A$1:$O$93,15,0)),0,VLOOKUP($S$341,'TAR FIN'!$A$1:$O$93,15,0))</f>
        <v>0</v>
      </c>
      <c r="W341" s="75">
        <f>IF(ISERROR(VLOOKUP($T$341,'TAR FIN'!$A$1:$O$93,15,0)),0,VLOOKUP($T$341,'TAR FIN'!$A$1:$O$93,15,0))*(1-0.04)</f>
        <v>1079.712</v>
      </c>
      <c r="X341" s="75">
        <f>IF(ISERROR(VLOOKUP($U$341,'TAR FIN'!$A$1:$O$93,15,0)),0,VLOOKUP($U$341,'TAR FIN'!$A$1:$O$93,15,0))*(1-0.04)</f>
        <v>177.77279999999999</v>
      </c>
      <c r="Y341" s="75"/>
      <c r="Z341" s="75">
        <f ca="1">('TUSD BE'!$AM$15+'TUSD BF'!$AM$15+'TUSD CVA'!$AM$15)*1*(1-0.02)</f>
        <v>1276.3186645234982</v>
      </c>
      <c r="AA341" s="75">
        <f>('TE BE'!$AB$7+'TE BF'!$AB$7+'TE CVA'!$AB$7)*1*(1-0.02)</f>
        <v>194.21830884065065</v>
      </c>
      <c r="AB341" s="75">
        <f>(SUBSIDIO!$J$341*SUBSIDIO!$V$341)*(0.04)/(1-0.04)</f>
        <v>0</v>
      </c>
      <c r="AC341" s="75">
        <f>((SUBSIDIO!$L$341*SUBSIDIO!$W$341)+(SUBSIDIO!$N$341*SUBSIDIO!$X$341))*(0.04)/(1-0.04)</f>
        <v>192.70954560000001</v>
      </c>
      <c r="AD341" s="75">
        <f>(SUBSIDIO!$J$341*SUBSIDIO!$Y$341)*(0.02)/(1-0.02)</f>
        <v>0</v>
      </c>
      <c r="AE341" s="75">
        <f ca="1">((SUBSIDIO!$L$341*SUBSIDIO!$Z$341)+(SUBSIDIO!$N$341*SUBSIDIO!$AA$341))*(0.02)/(1-0.02)</f>
        <v>110.38030587823144</v>
      </c>
      <c r="AF341" s="4" t="s">
        <v>638</v>
      </c>
    </row>
    <row r="342" spans="1:32" ht="11.25" customHeight="1" x14ac:dyDescent="0.25">
      <c r="A342" s="4" t="s">
        <v>21</v>
      </c>
      <c r="B342" s="4" t="s">
        <v>35</v>
      </c>
      <c r="C342" s="4" t="s">
        <v>39</v>
      </c>
      <c r="D342" s="4" t="s">
        <v>42</v>
      </c>
      <c r="E342" s="4" t="s">
        <v>25</v>
      </c>
      <c r="F342" s="4" t="s">
        <v>25</v>
      </c>
      <c r="G342" s="4" t="s">
        <v>25</v>
      </c>
      <c r="H342" s="4" t="s">
        <v>37</v>
      </c>
      <c r="I342" s="5">
        <v>44621</v>
      </c>
      <c r="J342" s="6">
        <v>0</v>
      </c>
      <c r="K342" s="75">
        <v>0</v>
      </c>
      <c r="L342" s="6">
        <v>175.97300000000001</v>
      </c>
      <c r="M342" s="75">
        <v>175.97300000000001</v>
      </c>
      <c r="N342" s="6">
        <v>175.97300000000001</v>
      </c>
      <c r="O342" s="75">
        <v>175.97300000000001</v>
      </c>
      <c r="P342" s="6">
        <v>0</v>
      </c>
      <c r="Q342" s="4" t="s">
        <v>26</v>
      </c>
      <c r="R342" s="4">
        <v>0</v>
      </c>
      <c r="S342" s="4">
        <v>0</v>
      </c>
      <c r="T342" s="4">
        <v>12</v>
      </c>
      <c r="U342" s="4">
        <v>66</v>
      </c>
      <c r="V342" s="75">
        <f>IF(ISERROR(VLOOKUP($S$342,'TAR FIN'!$A$1:$O$93,15,0)),0,VLOOKUP($S$342,'TAR FIN'!$A$1:$O$93,15,0))</f>
        <v>0</v>
      </c>
      <c r="W342" s="75">
        <f>IF(ISERROR(VLOOKUP($T$342,'TAR FIN'!$A$1:$O$93,15,0)),0,VLOOKUP($T$342,'TAR FIN'!$A$1:$O$93,15,0))*(1-0.04)</f>
        <v>1079.712</v>
      </c>
      <c r="X342" s="75">
        <f>IF(ISERROR(VLOOKUP($U$342,'TAR FIN'!$A$1:$O$93,15,0)),0,VLOOKUP($U$342,'TAR FIN'!$A$1:$O$93,15,0))*(1-0.04)</f>
        <v>177.77279999999999</v>
      </c>
      <c r="Y342" s="75"/>
      <c r="Z342" s="75">
        <f ca="1">('TUSD BE'!$AM$15+'TUSD BF'!$AM$15+'TUSD CVA'!$AM$15)*1*(1-0.02)</f>
        <v>1276.3186645234982</v>
      </c>
      <c r="AA342" s="75">
        <f>('TE BE'!$AB$7+'TE BF'!$AB$7+'TE CVA'!$AB$7)*1*(1-0.02)</f>
        <v>194.21830884065065</v>
      </c>
      <c r="AB342" s="75">
        <f>(SUBSIDIO!$J$342*SUBSIDIO!$V$342)*(0.04)/(1-0.04)</f>
        <v>0</v>
      </c>
      <c r="AC342" s="75">
        <f>((SUBSIDIO!$L$342*SUBSIDIO!$W$342)+(SUBSIDIO!$N$342*SUBSIDIO!$X$342))*(0.04)/(1-0.04)</f>
        <v>9220.140529600003</v>
      </c>
      <c r="AD342" s="75">
        <f>(SUBSIDIO!$J$342*SUBSIDIO!$Y$342)*(0.02)/(1-0.02)</f>
        <v>0</v>
      </c>
      <c r="AE342" s="75">
        <f ca="1">((SUBSIDIO!$L$342*SUBSIDIO!$Z$342)+(SUBSIDIO!$N$342*SUBSIDIO!$AA$342))*(0.02)/(1-0.02)</f>
        <v>5281.1184247716201</v>
      </c>
      <c r="AF342" s="4" t="s">
        <v>638</v>
      </c>
    </row>
    <row r="343" spans="1:32" ht="11.25" customHeight="1" x14ac:dyDescent="0.25">
      <c r="A343" s="4" t="s">
        <v>27</v>
      </c>
      <c r="B343" s="4" t="s">
        <v>35</v>
      </c>
      <c r="C343" s="4" t="s">
        <v>39</v>
      </c>
      <c r="D343" s="4" t="s">
        <v>42</v>
      </c>
      <c r="E343" s="4" t="s">
        <v>25</v>
      </c>
      <c r="F343" s="4" t="s">
        <v>25</v>
      </c>
      <c r="G343" s="4" t="s">
        <v>25</v>
      </c>
      <c r="H343" s="4" t="s">
        <v>37</v>
      </c>
      <c r="I343" s="5">
        <v>44621</v>
      </c>
      <c r="J343" s="6">
        <v>0</v>
      </c>
      <c r="K343" s="75">
        <v>0</v>
      </c>
      <c r="L343" s="6">
        <v>-5.3170000000000002</v>
      </c>
      <c r="M343" s="75">
        <v>-5.3170000000000002</v>
      </c>
      <c r="N343" s="6">
        <v>-5.3170000000000002</v>
      </c>
      <c r="O343" s="75">
        <v>-5.3170000000000002</v>
      </c>
      <c r="P343" s="6">
        <v>0</v>
      </c>
      <c r="Q343" s="4" t="s">
        <v>26</v>
      </c>
      <c r="R343" s="4">
        <v>0</v>
      </c>
      <c r="S343" s="4">
        <v>0</v>
      </c>
      <c r="T343" s="4">
        <v>12</v>
      </c>
      <c r="U343" s="4">
        <v>66</v>
      </c>
      <c r="V343" s="75">
        <f>IF(ISERROR(VLOOKUP($S$343,'TAR FIN'!$A$1:$O$93,15,0)),0,VLOOKUP($S$343,'TAR FIN'!$A$1:$O$93,15,0))</f>
        <v>0</v>
      </c>
      <c r="W343" s="75">
        <f>IF(ISERROR(VLOOKUP($T$343,'TAR FIN'!$A$1:$O$93,15,0)),0,VLOOKUP($T$343,'TAR FIN'!$A$1:$O$93,15,0))*(1-0.04)</f>
        <v>1079.712</v>
      </c>
      <c r="X343" s="75">
        <f>IF(ISERROR(VLOOKUP($U$343,'TAR FIN'!$A$1:$O$93,15,0)),0,VLOOKUP($U$343,'TAR FIN'!$A$1:$O$93,15,0))*(1-0.04)</f>
        <v>177.77279999999999</v>
      </c>
      <c r="Y343" s="75"/>
      <c r="Z343" s="75">
        <f ca="1">('TUSD BE'!$AM$15+'TUSD BF'!$AM$15+'TUSD CVA'!$AM$15)*1*(1-0.02)</f>
        <v>1276.3186645234982</v>
      </c>
      <c r="AA343" s="75">
        <f>('TE BE'!$AB$7+'TE BF'!$AB$7+'TE CVA'!$AB$7)*1*(1-0.02)</f>
        <v>194.21830884065065</v>
      </c>
      <c r="AB343" s="75">
        <f>(SUBSIDIO!$J$343*SUBSIDIO!$V$343)*(0.04)/(1-0.04)</f>
        <v>0</v>
      </c>
      <c r="AC343" s="75">
        <f>((SUBSIDIO!$L$343*SUBSIDIO!$W$343)+(SUBSIDIO!$N$343*SUBSIDIO!$X$343))*(0.04)/(1-0.04)</f>
        <v>-278.58527840000005</v>
      </c>
      <c r="AD343" s="75">
        <f>(SUBSIDIO!$J$343*SUBSIDIO!$Y$343)*(0.02)/(1-0.02)</f>
        <v>0</v>
      </c>
      <c r="AE343" s="75">
        <f ca="1">((SUBSIDIO!$L$343*SUBSIDIO!$Z$343)+(SUBSIDIO!$N$343*SUBSIDIO!$AA$343))*(0.02)/(1-0.02)</f>
        <v>-159.56826708933019</v>
      </c>
      <c r="AF343" s="4" t="s">
        <v>638</v>
      </c>
    </row>
    <row r="344" spans="1:32" ht="11.25" customHeight="1" x14ac:dyDescent="0.25">
      <c r="A344" s="4" t="s">
        <v>28</v>
      </c>
      <c r="B344" s="4" t="s">
        <v>35</v>
      </c>
      <c r="C344" s="4" t="s">
        <v>39</v>
      </c>
      <c r="D344" s="4" t="s">
        <v>42</v>
      </c>
      <c r="E344" s="4" t="s">
        <v>25</v>
      </c>
      <c r="F344" s="4" t="s">
        <v>25</v>
      </c>
      <c r="G344" s="4" t="s">
        <v>25</v>
      </c>
      <c r="H344" s="4" t="s">
        <v>37</v>
      </c>
      <c r="I344" s="5">
        <v>44621</v>
      </c>
      <c r="J344" s="6">
        <v>0</v>
      </c>
      <c r="K344" s="75">
        <v>0</v>
      </c>
      <c r="L344" s="6">
        <v>13.201000000000001</v>
      </c>
      <c r="M344" s="75">
        <v>13.201000000000001</v>
      </c>
      <c r="N344" s="6">
        <v>13.201000000000001</v>
      </c>
      <c r="O344" s="75">
        <v>13.201000000000001</v>
      </c>
      <c r="P344" s="6">
        <v>0</v>
      </c>
      <c r="Q344" s="4" t="s">
        <v>26</v>
      </c>
      <c r="R344" s="4">
        <v>0</v>
      </c>
      <c r="S344" s="4">
        <v>0</v>
      </c>
      <c r="T344" s="4">
        <v>12</v>
      </c>
      <c r="U344" s="4">
        <v>66</v>
      </c>
      <c r="V344" s="75">
        <f>IF(ISERROR(VLOOKUP($S$344,'TAR FIN'!$A$1:$O$93,15,0)),0,VLOOKUP($S$344,'TAR FIN'!$A$1:$O$93,15,0))</f>
        <v>0</v>
      </c>
      <c r="W344" s="75">
        <f>IF(ISERROR(VLOOKUP($T$344,'TAR FIN'!$A$1:$O$93,15,0)),0,VLOOKUP($T$344,'TAR FIN'!$A$1:$O$93,15,0))*(1-0.04)</f>
        <v>1079.712</v>
      </c>
      <c r="X344" s="75">
        <f>IF(ISERROR(VLOOKUP($U$344,'TAR FIN'!$A$1:$O$93,15,0)),0,VLOOKUP($U$344,'TAR FIN'!$A$1:$O$93,15,0))*(1-0.04)</f>
        <v>177.77279999999999</v>
      </c>
      <c r="Y344" s="75"/>
      <c r="Z344" s="75">
        <f ca="1">('TUSD BE'!$AM$15+'TUSD BF'!$AM$15+'TUSD CVA'!$AM$15)*1*(1-0.02)</f>
        <v>1276.3186645234982</v>
      </c>
      <c r="AA344" s="75">
        <f>('TE BE'!$AB$7+'TE BF'!$AB$7+'TE CVA'!$AB$7)*1*(1-0.02)</f>
        <v>194.21830884065065</v>
      </c>
      <c r="AB344" s="75">
        <f>(SUBSIDIO!$J$344*SUBSIDIO!$V$344)*(0.04)/(1-0.04)</f>
        <v>0</v>
      </c>
      <c r="AC344" s="75">
        <f>((SUBSIDIO!$L$344*SUBSIDIO!$W$344)+(SUBSIDIO!$N$344*SUBSIDIO!$X$344))*(0.04)/(1-0.04)</f>
        <v>691.66903520000017</v>
      </c>
      <c r="AD344" s="75">
        <f>(SUBSIDIO!$J$344*SUBSIDIO!$Y$344)*(0.02)/(1-0.02)</f>
        <v>0</v>
      </c>
      <c r="AE344" s="75">
        <f ca="1">((SUBSIDIO!$L$344*SUBSIDIO!$Z$344)+(SUBSIDIO!$N$344*SUBSIDIO!$AA$344))*(0.02)/(1-0.02)</f>
        <v>396.17466500775777</v>
      </c>
      <c r="AF344" s="4" t="s">
        <v>638</v>
      </c>
    </row>
    <row r="345" spans="1:32" ht="11.25" customHeight="1" x14ac:dyDescent="0.25">
      <c r="A345" s="4" t="s">
        <v>21</v>
      </c>
      <c r="B345" s="4" t="s">
        <v>35</v>
      </c>
      <c r="C345" s="4" t="s">
        <v>39</v>
      </c>
      <c r="D345" s="4" t="s">
        <v>42</v>
      </c>
      <c r="E345" s="4" t="s">
        <v>25</v>
      </c>
      <c r="F345" s="4" t="s">
        <v>25</v>
      </c>
      <c r="G345" s="4" t="s">
        <v>25</v>
      </c>
      <c r="H345" s="4" t="s">
        <v>37</v>
      </c>
      <c r="I345" s="5">
        <v>44652</v>
      </c>
      <c r="J345" s="6">
        <v>0</v>
      </c>
      <c r="K345" s="75">
        <v>0</v>
      </c>
      <c r="L345" s="6">
        <v>176.60400000000001</v>
      </c>
      <c r="M345" s="75">
        <v>176.60400000000001</v>
      </c>
      <c r="N345" s="6">
        <v>176.60400000000001</v>
      </c>
      <c r="O345" s="75">
        <v>176.60400000000001</v>
      </c>
      <c r="P345" s="6">
        <v>0</v>
      </c>
      <c r="Q345" s="4" t="s">
        <v>26</v>
      </c>
      <c r="R345" s="4">
        <v>0</v>
      </c>
      <c r="S345" s="4">
        <v>0</v>
      </c>
      <c r="T345" s="4">
        <v>12</v>
      </c>
      <c r="U345" s="4">
        <v>66</v>
      </c>
      <c r="V345" s="75">
        <f>IF(ISERROR(VLOOKUP($S$345,'TAR FIN'!$A$1:$O$93,15,0)),0,VLOOKUP($S$345,'TAR FIN'!$A$1:$O$93,15,0))</f>
        <v>0</v>
      </c>
      <c r="W345" s="75">
        <f>IF(ISERROR(VLOOKUP($T$345,'TAR FIN'!$A$1:$O$93,15,0)),0,VLOOKUP($T$345,'TAR FIN'!$A$1:$O$93,15,0))*(1-0.04)</f>
        <v>1079.712</v>
      </c>
      <c r="X345" s="75">
        <f>IF(ISERROR(VLOOKUP($U$345,'TAR FIN'!$A$1:$O$93,15,0)),0,VLOOKUP($U$345,'TAR FIN'!$A$1:$O$93,15,0))*(1-0.04)</f>
        <v>177.77279999999999</v>
      </c>
      <c r="Y345" s="75"/>
      <c r="Z345" s="75">
        <f ca="1">('TUSD BE'!$AM$15+'TUSD BF'!$AM$15+'TUSD CVA'!$AM$15)*1*(1-0.02)</f>
        <v>1276.3186645234982</v>
      </c>
      <c r="AA345" s="75">
        <f>('TE BE'!$AB$7+'TE BF'!$AB$7+'TE CVA'!$AB$7)*1*(1-0.02)</f>
        <v>194.21830884065065</v>
      </c>
      <c r="AB345" s="75">
        <f>(SUBSIDIO!$J$345*SUBSIDIO!$V$345)*(0.04)/(1-0.04)</f>
        <v>0</v>
      </c>
      <c r="AC345" s="75">
        <f>((SUBSIDIO!$L$345*SUBSIDIO!$W$345)+(SUBSIDIO!$N$345*SUBSIDIO!$X$345))*(0.04)/(1-0.04)</f>
        <v>9253.2019008000007</v>
      </c>
      <c r="AD345" s="75">
        <f>(SUBSIDIO!$J$345*SUBSIDIO!$Y$345)*(0.02)/(1-0.02)</f>
        <v>0</v>
      </c>
      <c r="AE345" s="75">
        <f ca="1">((SUBSIDIO!$L$345*SUBSIDIO!$Z$345)+(SUBSIDIO!$N$345*SUBSIDIO!$AA$345))*(0.02)/(1-0.02)</f>
        <v>5300.055339673514</v>
      </c>
      <c r="AF345" s="4" t="s">
        <v>638</v>
      </c>
    </row>
    <row r="346" spans="1:32" ht="11.25" customHeight="1" x14ac:dyDescent="0.25">
      <c r="A346" s="4" t="s">
        <v>28</v>
      </c>
      <c r="B346" s="4" t="s">
        <v>35</v>
      </c>
      <c r="C346" s="4" t="s">
        <v>39</v>
      </c>
      <c r="D346" s="4" t="s">
        <v>42</v>
      </c>
      <c r="E346" s="4" t="s">
        <v>25</v>
      </c>
      <c r="F346" s="4" t="s">
        <v>25</v>
      </c>
      <c r="G346" s="4" t="s">
        <v>25</v>
      </c>
      <c r="H346" s="4" t="s">
        <v>37</v>
      </c>
      <c r="I346" s="5">
        <v>44652</v>
      </c>
      <c r="J346" s="6">
        <v>0</v>
      </c>
      <c r="K346" s="75">
        <v>0</v>
      </c>
      <c r="L346" s="6">
        <v>11.069000000000001</v>
      </c>
      <c r="M346" s="75">
        <v>11.069000000000001</v>
      </c>
      <c r="N346" s="6">
        <v>11.069000000000001</v>
      </c>
      <c r="O346" s="75">
        <v>11.069000000000001</v>
      </c>
      <c r="P346" s="6">
        <v>0</v>
      </c>
      <c r="Q346" s="4" t="s">
        <v>26</v>
      </c>
      <c r="R346" s="4">
        <v>0</v>
      </c>
      <c r="S346" s="4">
        <v>0</v>
      </c>
      <c r="T346" s="4">
        <v>12</v>
      </c>
      <c r="U346" s="4">
        <v>66</v>
      </c>
      <c r="V346" s="75">
        <f>IF(ISERROR(VLOOKUP($S$346,'TAR FIN'!$A$1:$O$93,15,0)),0,VLOOKUP($S$346,'TAR FIN'!$A$1:$O$93,15,0))</f>
        <v>0</v>
      </c>
      <c r="W346" s="75">
        <f>IF(ISERROR(VLOOKUP($T$346,'TAR FIN'!$A$1:$O$93,15,0)),0,VLOOKUP($T$346,'TAR FIN'!$A$1:$O$93,15,0))*(1-0.04)</f>
        <v>1079.712</v>
      </c>
      <c r="X346" s="75">
        <f>IF(ISERROR(VLOOKUP($U$346,'TAR FIN'!$A$1:$O$93,15,0)),0,VLOOKUP($U$346,'TAR FIN'!$A$1:$O$93,15,0))*(1-0.04)</f>
        <v>177.77279999999999</v>
      </c>
      <c r="Y346" s="75"/>
      <c r="Z346" s="75">
        <f ca="1">('TUSD BE'!$AM$15+'TUSD BF'!$AM$15+'TUSD CVA'!$AM$15)*1*(1-0.02)</f>
        <v>1276.3186645234982</v>
      </c>
      <c r="AA346" s="75">
        <f>('TE BE'!$AB$7+'TE BF'!$AB$7+'TE CVA'!$AB$7)*1*(1-0.02)</f>
        <v>194.21830884065065</v>
      </c>
      <c r="AB346" s="75">
        <f>(SUBSIDIO!$J$346*SUBSIDIO!$V$346)*(0.04)/(1-0.04)</f>
        <v>0</v>
      </c>
      <c r="AC346" s="75">
        <f>((SUBSIDIO!$L$346*SUBSIDIO!$W$346)+(SUBSIDIO!$N$346*SUBSIDIO!$X$346))*(0.04)/(1-0.04)</f>
        <v>579.96246880000001</v>
      </c>
      <c r="AD346" s="75">
        <f>(SUBSIDIO!$J$346*SUBSIDIO!$Y$346)*(0.02)/(1-0.02)</f>
        <v>0</v>
      </c>
      <c r="AE346" s="75">
        <f ca="1">((SUBSIDIO!$L$346*SUBSIDIO!$Z$346)+(SUBSIDIO!$N$346*SUBSIDIO!$AA$346))*(0.02)/(1-0.02)</f>
        <v>332.19130118709728</v>
      </c>
      <c r="AF346" s="4" t="s">
        <v>638</v>
      </c>
    </row>
    <row r="347" spans="1:32" ht="11.25" customHeight="1" x14ac:dyDescent="0.25">
      <c r="A347" s="4" t="s">
        <v>21</v>
      </c>
      <c r="B347" s="4" t="s">
        <v>35</v>
      </c>
      <c r="C347" s="4" t="s">
        <v>39</v>
      </c>
      <c r="D347" s="4" t="s">
        <v>42</v>
      </c>
      <c r="E347" s="4" t="s">
        <v>25</v>
      </c>
      <c r="F347" s="4" t="s">
        <v>25</v>
      </c>
      <c r="G347" s="4" t="s">
        <v>25</v>
      </c>
      <c r="H347" s="4" t="s">
        <v>37</v>
      </c>
      <c r="I347" s="5">
        <v>44682</v>
      </c>
      <c r="J347" s="6">
        <v>0</v>
      </c>
      <c r="K347" s="75">
        <v>0</v>
      </c>
      <c r="L347" s="6">
        <v>168.136</v>
      </c>
      <c r="M347" s="75">
        <v>168.136</v>
      </c>
      <c r="N347" s="6">
        <v>168.136</v>
      </c>
      <c r="O347" s="75">
        <v>168.136</v>
      </c>
      <c r="P347" s="6">
        <v>0</v>
      </c>
      <c r="Q347" s="4" t="s">
        <v>26</v>
      </c>
      <c r="R347" s="4">
        <v>0</v>
      </c>
      <c r="S347" s="4">
        <v>0</v>
      </c>
      <c r="T347" s="4">
        <v>12</v>
      </c>
      <c r="U347" s="4">
        <v>66</v>
      </c>
      <c r="V347" s="75">
        <f>IF(ISERROR(VLOOKUP($S$347,'TAR FIN'!$A$1:$O$93,15,0)),0,VLOOKUP($S$347,'TAR FIN'!$A$1:$O$93,15,0))</f>
        <v>0</v>
      </c>
      <c r="W347" s="75">
        <f>IF(ISERROR(VLOOKUP($T$347,'TAR FIN'!$A$1:$O$93,15,0)),0,VLOOKUP($T$347,'TAR FIN'!$A$1:$O$93,15,0))*(1-0.04)</f>
        <v>1079.712</v>
      </c>
      <c r="X347" s="75">
        <f>IF(ISERROR(VLOOKUP($U$347,'TAR FIN'!$A$1:$O$93,15,0)),0,VLOOKUP($U$347,'TAR FIN'!$A$1:$O$93,15,0))*(1-0.04)</f>
        <v>177.77279999999999</v>
      </c>
      <c r="Y347" s="75"/>
      <c r="Z347" s="75">
        <f ca="1">('TUSD BE'!$AM$15+'TUSD BF'!$AM$15+'TUSD CVA'!$AM$15)*1*(1-0.02)</f>
        <v>1276.3186645234982</v>
      </c>
      <c r="AA347" s="75">
        <f>('TE BE'!$AB$7+'TE BF'!$AB$7+'TE CVA'!$AB$7)*1*(1-0.02)</f>
        <v>194.21830884065065</v>
      </c>
      <c r="AB347" s="75">
        <f>(SUBSIDIO!$J$347*SUBSIDIO!$V$347)*(0.04)/(1-0.04)</f>
        <v>0</v>
      </c>
      <c r="AC347" s="75">
        <f>((SUBSIDIO!$L$347*SUBSIDIO!$W$347)+(SUBSIDIO!$N$347*SUBSIDIO!$X$347))*(0.04)/(1-0.04)</f>
        <v>8809.519347200001</v>
      </c>
      <c r="AD347" s="75">
        <f>(SUBSIDIO!$J$347*SUBSIDIO!$Y$347)*(0.02)/(1-0.02)</f>
        <v>0</v>
      </c>
      <c r="AE347" s="75">
        <f ca="1">((SUBSIDIO!$L$347*SUBSIDIO!$Z$347)+(SUBSIDIO!$N$347*SUBSIDIO!$AA$347))*(0.02)/(1-0.02)</f>
        <v>5045.9225419092763</v>
      </c>
      <c r="AF347" s="4" t="s">
        <v>638</v>
      </c>
    </row>
    <row r="348" spans="1:32" ht="11.25" customHeight="1" x14ac:dyDescent="0.25">
      <c r="A348" s="4" t="s">
        <v>27</v>
      </c>
      <c r="B348" s="4" t="s">
        <v>35</v>
      </c>
      <c r="C348" s="4" t="s">
        <v>39</v>
      </c>
      <c r="D348" s="4" t="s">
        <v>42</v>
      </c>
      <c r="E348" s="4" t="s">
        <v>25</v>
      </c>
      <c r="F348" s="4" t="s">
        <v>25</v>
      </c>
      <c r="G348" s="4" t="s">
        <v>25</v>
      </c>
      <c r="H348" s="4" t="s">
        <v>37</v>
      </c>
      <c r="I348" s="5">
        <v>44682</v>
      </c>
      <c r="J348" s="6">
        <v>0</v>
      </c>
      <c r="K348" s="75">
        <v>0</v>
      </c>
      <c r="L348" s="6">
        <v>-3.754</v>
      </c>
      <c r="M348" s="75">
        <v>-3.754</v>
      </c>
      <c r="N348" s="6">
        <v>-3.754</v>
      </c>
      <c r="O348" s="75">
        <v>-3.754</v>
      </c>
      <c r="P348" s="6">
        <v>0</v>
      </c>
      <c r="Q348" s="4" t="s">
        <v>26</v>
      </c>
      <c r="R348" s="4">
        <v>0</v>
      </c>
      <c r="S348" s="4">
        <v>0</v>
      </c>
      <c r="T348" s="4">
        <v>12</v>
      </c>
      <c r="U348" s="4">
        <v>66</v>
      </c>
      <c r="V348" s="75">
        <f>IF(ISERROR(VLOOKUP($S$348,'TAR FIN'!$A$1:$O$93,15,0)),0,VLOOKUP($S$348,'TAR FIN'!$A$1:$O$93,15,0))</f>
        <v>0</v>
      </c>
      <c r="W348" s="75">
        <f>IF(ISERROR(VLOOKUP($T$348,'TAR FIN'!$A$1:$O$93,15,0)),0,VLOOKUP($T$348,'TAR FIN'!$A$1:$O$93,15,0))*(1-0.04)</f>
        <v>1079.712</v>
      </c>
      <c r="X348" s="75">
        <f>IF(ISERROR(VLOOKUP($U$348,'TAR FIN'!$A$1:$O$93,15,0)),0,VLOOKUP($U$348,'TAR FIN'!$A$1:$O$93,15,0))*(1-0.04)</f>
        <v>177.77279999999999</v>
      </c>
      <c r="Y348" s="75"/>
      <c r="Z348" s="75">
        <f ca="1">('TUSD BE'!$AM$15+'TUSD BF'!$AM$15+'TUSD CVA'!$AM$15)*1*(1-0.02)</f>
        <v>1276.3186645234982</v>
      </c>
      <c r="AA348" s="75">
        <f>('TE BE'!$AB$7+'TE BF'!$AB$7+'TE CVA'!$AB$7)*1*(1-0.02)</f>
        <v>194.21830884065065</v>
      </c>
      <c r="AB348" s="75">
        <f>(SUBSIDIO!$J$348*SUBSIDIO!$V$348)*(0.04)/(1-0.04)</f>
        <v>0</v>
      </c>
      <c r="AC348" s="75">
        <f>((SUBSIDIO!$L$348*SUBSIDIO!$W$348)+(SUBSIDIO!$N$348*SUBSIDIO!$X$348))*(0.04)/(1-0.04)</f>
        <v>-196.69158080000003</v>
      </c>
      <c r="AD348" s="75">
        <f>(SUBSIDIO!$J$348*SUBSIDIO!$Y$348)*(0.02)/(1-0.02)</f>
        <v>0</v>
      </c>
      <c r="AE348" s="75">
        <f ca="1">((SUBSIDIO!$L$348*SUBSIDIO!$Z$348)+(SUBSIDIO!$N$348*SUBSIDIO!$AA$348))*(0.02)/(1-0.02)</f>
        <v>-112.66113873487785</v>
      </c>
      <c r="AF348" s="4" t="s">
        <v>638</v>
      </c>
    </row>
    <row r="349" spans="1:32" ht="11.25" customHeight="1" x14ac:dyDescent="0.25">
      <c r="A349" s="4" t="s">
        <v>28</v>
      </c>
      <c r="B349" s="4" t="s">
        <v>35</v>
      </c>
      <c r="C349" s="4" t="s">
        <v>39</v>
      </c>
      <c r="D349" s="4" t="s">
        <v>42</v>
      </c>
      <c r="E349" s="4" t="s">
        <v>25</v>
      </c>
      <c r="F349" s="4" t="s">
        <v>25</v>
      </c>
      <c r="G349" s="4" t="s">
        <v>25</v>
      </c>
      <c r="H349" s="4" t="s">
        <v>37</v>
      </c>
      <c r="I349" s="5">
        <v>44682</v>
      </c>
      <c r="J349" s="6">
        <v>0</v>
      </c>
      <c r="K349" s="75">
        <v>0</v>
      </c>
      <c r="L349" s="6">
        <v>14.712</v>
      </c>
      <c r="M349" s="75">
        <v>14.712</v>
      </c>
      <c r="N349" s="6">
        <v>14.712</v>
      </c>
      <c r="O349" s="75">
        <v>14.712</v>
      </c>
      <c r="P349" s="6">
        <v>0</v>
      </c>
      <c r="Q349" s="4" t="s">
        <v>26</v>
      </c>
      <c r="R349" s="4">
        <v>0</v>
      </c>
      <c r="S349" s="4">
        <v>0</v>
      </c>
      <c r="T349" s="4">
        <v>12</v>
      </c>
      <c r="U349" s="4">
        <v>66</v>
      </c>
      <c r="V349" s="75">
        <f>IF(ISERROR(VLOOKUP($S$349,'TAR FIN'!$A$1:$O$93,15,0)),0,VLOOKUP($S$349,'TAR FIN'!$A$1:$O$93,15,0))</f>
        <v>0</v>
      </c>
      <c r="W349" s="75">
        <f>IF(ISERROR(VLOOKUP($T$349,'TAR FIN'!$A$1:$O$93,15,0)),0,VLOOKUP($T$349,'TAR FIN'!$A$1:$O$93,15,0))*(1-0.04)</f>
        <v>1079.712</v>
      </c>
      <c r="X349" s="75">
        <f>IF(ISERROR(VLOOKUP($U$349,'TAR FIN'!$A$1:$O$93,15,0)),0,VLOOKUP($U$349,'TAR FIN'!$A$1:$O$93,15,0))*(1-0.04)</f>
        <v>177.77279999999999</v>
      </c>
      <c r="Y349" s="75"/>
      <c r="Z349" s="75">
        <f ca="1">('TUSD BE'!$AM$15+'TUSD BF'!$AM$15+'TUSD CVA'!$AM$15)*1*(1-0.02)</f>
        <v>1276.3186645234982</v>
      </c>
      <c r="AA349" s="75">
        <f>('TE BE'!$AB$7+'TE BF'!$AB$7+'TE CVA'!$AB$7)*1*(1-0.02)</f>
        <v>194.21830884065065</v>
      </c>
      <c r="AB349" s="75">
        <f>(SUBSIDIO!$J$349*SUBSIDIO!$V$349)*(0.04)/(1-0.04)</f>
        <v>0</v>
      </c>
      <c r="AC349" s="75">
        <f>((SUBSIDIO!$L$349*SUBSIDIO!$W$349)+(SUBSIDIO!$N$349*SUBSIDIO!$X$349))*(0.04)/(1-0.04)</f>
        <v>770.83818240000005</v>
      </c>
      <c r="AD349" s="75">
        <f>(SUBSIDIO!$J$349*SUBSIDIO!$Y$349)*(0.02)/(1-0.02)</f>
        <v>0</v>
      </c>
      <c r="AE349" s="75">
        <f ca="1">((SUBSIDIO!$L$349*SUBSIDIO!$Z$349)+(SUBSIDIO!$N$349*SUBSIDIO!$AA$349))*(0.02)/(1-0.02)</f>
        <v>441.52122351292576</v>
      </c>
      <c r="AF349" s="4" t="s">
        <v>638</v>
      </c>
    </row>
    <row r="350" spans="1:32" ht="11.25" customHeight="1" x14ac:dyDescent="0.25">
      <c r="A350" s="4" t="s">
        <v>28</v>
      </c>
      <c r="B350" s="4" t="s">
        <v>35</v>
      </c>
      <c r="C350" s="4" t="s">
        <v>39</v>
      </c>
      <c r="D350" s="4" t="s">
        <v>42</v>
      </c>
      <c r="E350" s="4" t="s">
        <v>25</v>
      </c>
      <c r="F350" s="4" t="s">
        <v>25</v>
      </c>
      <c r="G350" s="4" t="s">
        <v>25</v>
      </c>
      <c r="H350" s="4" t="s">
        <v>37</v>
      </c>
      <c r="I350" s="5">
        <v>44682</v>
      </c>
      <c r="J350" s="6">
        <v>0</v>
      </c>
      <c r="K350" s="75">
        <v>0</v>
      </c>
      <c r="L350" s="6">
        <v>-1.67</v>
      </c>
      <c r="M350" s="75">
        <v>-1.67</v>
      </c>
      <c r="N350" s="6">
        <v>-1.67</v>
      </c>
      <c r="O350" s="75">
        <v>-1.67</v>
      </c>
      <c r="P350" s="6">
        <v>0</v>
      </c>
      <c r="Q350" s="4" t="s">
        <v>26</v>
      </c>
      <c r="R350" s="4">
        <v>0</v>
      </c>
      <c r="S350" s="4">
        <v>0</v>
      </c>
      <c r="T350" s="4">
        <v>12</v>
      </c>
      <c r="U350" s="4">
        <v>66</v>
      </c>
      <c r="V350" s="75">
        <f>IF(ISERROR(VLOOKUP($S$350,'TAR FIN'!$A$1:$O$93,15,0)),0,VLOOKUP($S$350,'TAR FIN'!$A$1:$O$93,15,0))</f>
        <v>0</v>
      </c>
      <c r="W350" s="75">
        <f>IF(ISERROR(VLOOKUP($T$350,'TAR FIN'!$A$1:$O$93,15,0)),0,VLOOKUP($T$350,'TAR FIN'!$A$1:$O$93,15,0))*(1-0.04)</f>
        <v>1079.712</v>
      </c>
      <c r="X350" s="75">
        <f>IF(ISERROR(VLOOKUP($U$350,'TAR FIN'!$A$1:$O$93,15,0)),0,VLOOKUP($U$350,'TAR FIN'!$A$1:$O$93,15,0))*(1-0.04)</f>
        <v>177.77279999999999</v>
      </c>
      <c r="Y350" s="75"/>
      <c r="Z350" s="75">
        <f ca="1">('TUSD BE'!$AM$15+'TUSD BF'!$AM$15+'TUSD CVA'!$AM$15)*1*(1-0.02)</f>
        <v>1276.3186645234982</v>
      </c>
      <c r="AA350" s="75">
        <f>('TE BE'!$AB$7+'TE BF'!$AB$7+'TE CVA'!$AB$7)*1*(1-0.02)</f>
        <v>194.21830884065065</v>
      </c>
      <c r="AB350" s="75">
        <f>(SUBSIDIO!$J$350*SUBSIDIO!$V$350)*(0.04)/(1-0.04)</f>
        <v>0</v>
      </c>
      <c r="AC350" s="75">
        <f>((SUBSIDIO!$L$350*SUBSIDIO!$W$350)+(SUBSIDIO!$N$350*SUBSIDIO!$X$350))*(0.04)/(1-0.04)</f>
        <v>-87.499983999999984</v>
      </c>
      <c r="AD350" s="75">
        <f>(SUBSIDIO!$J$350*SUBSIDIO!$Y$350)*(0.02)/(1-0.02)</f>
        <v>0</v>
      </c>
      <c r="AE350" s="75">
        <f ca="1">((SUBSIDIO!$L$350*SUBSIDIO!$Z$350)+(SUBSIDIO!$N$350*SUBSIDIO!$AA$350))*(0.02)/(1-0.02)</f>
        <v>-50.118300928941395</v>
      </c>
      <c r="AF350" s="4" t="s">
        <v>638</v>
      </c>
    </row>
    <row r="351" spans="1:32" ht="11.25" customHeight="1" x14ac:dyDescent="0.25">
      <c r="A351" s="4" t="s">
        <v>21</v>
      </c>
      <c r="B351" s="4" t="s">
        <v>35</v>
      </c>
      <c r="C351" s="4" t="s">
        <v>39</v>
      </c>
      <c r="D351" s="4" t="s">
        <v>42</v>
      </c>
      <c r="E351" s="4" t="s">
        <v>25</v>
      </c>
      <c r="F351" s="4" t="s">
        <v>25</v>
      </c>
      <c r="G351" s="4" t="s">
        <v>25</v>
      </c>
      <c r="H351" s="4" t="s">
        <v>37</v>
      </c>
      <c r="I351" s="5">
        <v>44713</v>
      </c>
      <c r="J351" s="6">
        <v>0</v>
      </c>
      <c r="K351" s="75">
        <v>0</v>
      </c>
      <c r="L351" s="6">
        <v>177.12200000000001</v>
      </c>
      <c r="M351" s="75">
        <v>177.12200000000001</v>
      </c>
      <c r="N351" s="6">
        <v>177.12200000000001</v>
      </c>
      <c r="O351" s="75">
        <v>177.12200000000001</v>
      </c>
      <c r="P351" s="6">
        <v>0</v>
      </c>
      <c r="Q351" s="4" t="s">
        <v>26</v>
      </c>
      <c r="R351" s="4">
        <v>0</v>
      </c>
      <c r="S351" s="4">
        <v>0</v>
      </c>
      <c r="T351" s="4">
        <v>12</v>
      </c>
      <c r="U351" s="4">
        <v>66</v>
      </c>
      <c r="V351" s="75">
        <f>IF(ISERROR(VLOOKUP($S$351,'TAR FIN'!$A$1:$O$93,15,0)),0,VLOOKUP($S$351,'TAR FIN'!$A$1:$O$93,15,0))</f>
        <v>0</v>
      </c>
      <c r="W351" s="75">
        <f>IF(ISERROR(VLOOKUP($T$351,'TAR FIN'!$A$1:$O$93,15,0)),0,VLOOKUP($T$351,'TAR FIN'!$A$1:$O$93,15,0))*(1-0.04)</f>
        <v>1079.712</v>
      </c>
      <c r="X351" s="75">
        <f>IF(ISERROR(VLOOKUP($U$351,'TAR FIN'!$A$1:$O$93,15,0)),0,VLOOKUP($U$351,'TAR FIN'!$A$1:$O$93,15,0))*(1-0.04)</f>
        <v>177.77279999999999</v>
      </c>
      <c r="Y351" s="75"/>
      <c r="Z351" s="75">
        <f ca="1">('TUSD BE'!$AM$15+'TUSD BF'!$AM$15+'TUSD CVA'!$AM$15)*1*(1-0.02)</f>
        <v>1276.3186645234982</v>
      </c>
      <c r="AA351" s="75">
        <f>('TE BE'!$AB$7+'TE BF'!$AB$7+'TE CVA'!$AB$7)*1*(1-0.02)</f>
        <v>194.21830884065065</v>
      </c>
      <c r="AB351" s="75">
        <f>(SUBSIDIO!$J$351*SUBSIDIO!$V$351)*(0.04)/(1-0.04)</f>
        <v>0</v>
      </c>
      <c r="AC351" s="75">
        <f>((SUBSIDIO!$L$351*SUBSIDIO!$W$351)+(SUBSIDIO!$N$351*SUBSIDIO!$X$351))*(0.04)/(1-0.04)</f>
        <v>9280.3426144000023</v>
      </c>
      <c r="AD351" s="75">
        <f>(SUBSIDIO!$J$351*SUBSIDIO!$Y$351)*(0.02)/(1-0.02)</f>
        <v>0</v>
      </c>
      <c r="AE351" s="75">
        <f ca="1">((SUBSIDIO!$L$351*SUBSIDIO!$Z$351)+(SUBSIDIO!$N$351*SUBSIDIO!$AA$351))*(0.02)/(1-0.02)</f>
        <v>5315.6010162490784</v>
      </c>
      <c r="AF351" s="4" t="s">
        <v>638</v>
      </c>
    </row>
    <row r="352" spans="1:32" ht="11.25" customHeight="1" x14ac:dyDescent="0.25">
      <c r="A352" s="4" t="s">
        <v>27</v>
      </c>
      <c r="B352" s="4" t="s">
        <v>35</v>
      </c>
      <c r="C352" s="4" t="s">
        <v>39</v>
      </c>
      <c r="D352" s="4" t="s">
        <v>42</v>
      </c>
      <c r="E352" s="4" t="s">
        <v>25</v>
      </c>
      <c r="F352" s="4" t="s">
        <v>25</v>
      </c>
      <c r="G352" s="4" t="s">
        <v>25</v>
      </c>
      <c r="H352" s="4" t="s">
        <v>37</v>
      </c>
      <c r="I352" s="5">
        <v>44713</v>
      </c>
      <c r="J352" s="6">
        <v>0</v>
      </c>
      <c r="K352" s="75">
        <v>0</v>
      </c>
      <c r="L352" s="6">
        <v>-1.8089999999999999</v>
      </c>
      <c r="M352" s="75">
        <v>-1.8089999999999999</v>
      </c>
      <c r="N352" s="6">
        <v>-1.8089999999999999</v>
      </c>
      <c r="O352" s="75">
        <v>-1.8089999999999999</v>
      </c>
      <c r="P352" s="6">
        <v>0</v>
      </c>
      <c r="Q352" s="4" t="s">
        <v>26</v>
      </c>
      <c r="R352" s="4">
        <v>0</v>
      </c>
      <c r="S352" s="4">
        <v>0</v>
      </c>
      <c r="T352" s="4">
        <v>12</v>
      </c>
      <c r="U352" s="4">
        <v>66</v>
      </c>
      <c r="V352" s="75">
        <f>IF(ISERROR(VLOOKUP($S$352,'TAR FIN'!$A$1:$O$93,15,0)),0,VLOOKUP($S$352,'TAR FIN'!$A$1:$O$93,15,0))</f>
        <v>0</v>
      </c>
      <c r="W352" s="75">
        <f>IF(ISERROR(VLOOKUP($T$352,'TAR FIN'!$A$1:$O$93,15,0)),0,VLOOKUP($T$352,'TAR FIN'!$A$1:$O$93,15,0))*(1-0.04)</f>
        <v>1079.712</v>
      </c>
      <c r="X352" s="75">
        <f>IF(ISERROR(VLOOKUP($U$352,'TAR FIN'!$A$1:$O$93,15,0)),0,VLOOKUP($U$352,'TAR FIN'!$A$1:$O$93,15,0))*(1-0.04)</f>
        <v>177.77279999999999</v>
      </c>
      <c r="Y352" s="75"/>
      <c r="Z352" s="75">
        <f ca="1">('TUSD BE'!$AM$15+'TUSD BF'!$AM$15+'TUSD CVA'!$AM$15)*1*(1-0.02)</f>
        <v>1276.3186645234982</v>
      </c>
      <c r="AA352" s="75">
        <f>('TE BE'!$AB$7+'TE BF'!$AB$7+'TE CVA'!$AB$7)*1*(1-0.02)</f>
        <v>194.21830884065065</v>
      </c>
      <c r="AB352" s="75">
        <f>(SUBSIDIO!$J$352*SUBSIDIO!$V$352)*(0.04)/(1-0.04)</f>
        <v>0</v>
      </c>
      <c r="AC352" s="75">
        <f>((SUBSIDIO!$L$352*SUBSIDIO!$W$352)+(SUBSIDIO!$N$352*SUBSIDIO!$X$352))*(0.04)/(1-0.04)</f>
        <v>-94.782916799999995</v>
      </c>
      <c r="AD352" s="75">
        <f>(SUBSIDIO!$J$352*SUBSIDIO!$Y$352)*(0.02)/(1-0.02)</f>
        <v>0</v>
      </c>
      <c r="AE352" s="75">
        <f ca="1">((SUBSIDIO!$L$352*SUBSIDIO!$Z$352)+(SUBSIDIO!$N$352*SUBSIDIO!$AA$352))*(0.02)/(1-0.02)</f>
        <v>-54.289824179913175</v>
      </c>
      <c r="AF352" s="4" t="s">
        <v>638</v>
      </c>
    </row>
    <row r="353" spans="1:32" ht="11.25" customHeight="1" x14ac:dyDescent="0.25">
      <c r="A353" s="4" t="s">
        <v>28</v>
      </c>
      <c r="B353" s="4" t="s">
        <v>35</v>
      </c>
      <c r="C353" s="4" t="s">
        <v>39</v>
      </c>
      <c r="D353" s="4" t="s">
        <v>42</v>
      </c>
      <c r="E353" s="4" t="s">
        <v>25</v>
      </c>
      <c r="F353" s="4" t="s">
        <v>25</v>
      </c>
      <c r="G353" s="4" t="s">
        <v>25</v>
      </c>
      <c r="H353" s="4" t="s">
        <v>37</v>
      </c>
      <c r="I353" s="5">
        <v>44713</v>
      </c>
      <c r="J353" s="6">
        <v>0</v>
      </c>
      <c r="K353" s="75">
        <v>0</v>
      </c>
      <c r="L353" s="6">
        <v>25.818999999999999</v>
      </c>
      <c r="M353" s="75">
        <v>25.818999999999999</v>
      </c>
      <c r="N353" s="6">
        <v>25.818999999999999</v>
      </c>
      <c r="O353" s="75">
        <v>25.818999999999999</v>
      </c>
      <c r="P353" s="6">
        <v>0</v>
      </c>
      <c r="Q353" s="4" t="s">
        <v>26</v>
      </c>
      <c r="R353" s="4">
        <v>0</v>
      </c>
      <c r="S353" s="4">
        <v>0</v>
      </c>
      <c r="T353" s="4">
        <v>12</v>
      </c>
      <c r="U353" s="4">
        <v>66</v>
      </c>
      <c r="V353" s="75">
        <f>IF(ISERROR(VLOOKUP($S$353,'TAR FIN'!$A$1:$O$93,15,0)),0,VLOOKUP($S$353,'TAR FIN'!$A$1:$O$93,15,0))</f>
        <v>0</v>
      </c>
      <c r="W353" s="75">
        <f>IF(ISERROR(VLOOKUP($T$353,'TAR FIN'!$A$1:$O$93,15,0)),0,VLOOKUP($T$353,'TAR FIN'!$A$1:$O$93,15,0))*(1-0.04)</f>
        <v>1079.712</v>
      </c>
      <c r="X353" s="75">
        <f>IF(ISERROR(VLOOKUP($U$353,'TAR FIN'!$A$1:$O$93,15,0)),0,VLOOKUP($U$353,'TAR FIN'!$A$1:$O$93,15,0))*(1-0.04)</f>
        <v>177.77279999999999</v>
      </c>
      <c r="Y353" s="75"/>
      <c r="Z353" s="75">
        <f ca="1">('TUSD BE'!$AM$15+'TUSD BF'!$AM$15+'TUSD CVA'!$AM$15)*1*(1-0.02)</f>
        <v>1276.3186645234982</v>
      </c>
      <c r="AA353" s="75">
        <f>('TE BE'!$AB$7+'TE BF'!$AB$7+'TE CVA'!$AB$7)*1*(1-0.02)</f>
        <v>194.21830884065065</v>
      </c>
      <c r="AB353" s="75">
        <f>(SUBSIDIO!$J$353*SUBSIDIO!$V$353)*(0.04)/(1-0.04)</f>
        <v>0</v>
      </c>
      <c r="AC353" s="75">
        <f>((SUBSIDIO!$L$353*SUBSIDIO!$W$353)+(SUBSIDIO!$N$353*SUBSIDIO!$X$353))*(0.04)/(1-0.04)</f>
        <v>1352.7916688</v>
      </c>
      <c r="AD353" s="75">
        <f>(SUBSIDIO!$J$353*SUBSIDIO!$Y$353)*(0.02)/(1-0.02)</f>
        <v>0</v>
      </c>
      <c r="AE353" s="75">
        <f ca="1">((SUBSIDIO!$L$353*SUBSIDIO!$Z$353)+(SUBSIDIO!$N$353*SUBSIDIO!$AA$353))*(0.02)/(1-0.02)</f>
        <v>774.85294112834606</v>
      </c>
      <c r="AF353" s="4" t="s">
        <v>638</v>
      </c>
    </row>
    <row r="354" spans="1:32" ht="11.25" customHeight="1" x14ac:dyDescent="0.25">
      <c r="A354" s="4" t="s">
        <v>21</v>
      </c>
      <c r="B354" s="4" t="s">
        <v>35</v>
      </c>
      <c r="C354" s="4" t="s">
        <v>39</v>
      </c>
      <c r="D354" s="4" t="s">
        <v>47</v>
      </c>
      <c r="E354" s="4" t="s">
        <v>48</v>
      </c>
      <c r="F354" s="4" t="s">
        <v>25</v>
      </c>
      <c r="G354" s="4" t="s">
        <v>25</v>
      </c>
      <c r="H354" s="4" t="s">
        <v>38</v>
      </c>
      <c r="I354" s="5">
        <v>44378</v>
      </c>
      <c r="J354" s="6">
        <v>0</v>
      </c>
      <c r="K354" s="75">
        <v>0</v>
      </c>
      <c r="L354" s="6">
        <v>80.804000000000002</v>
      </c>
      <c r="M354" s="75">
        <v>80.804000000000002</v>
      </c>
      <c r="N354" s="6">
        <v>80.804000000000002</v>
      </c>
      <c r="O354" s="75">
        <v>80.804000000000002</v>
      </c>
      <c r="P354" s="6">
        <v>0</v>
      </c>
      <c r="Q354" s="4" t="s">
        <v>26</v>
      </c>
      <c r="R354" s="4">
        <v>0</v>
      </c>
      <c r="S354" s="4">
        <v>0</v>
      </c>
      <c r="T354" s="4">
        <v>25</v>
      </c>
      <c r="U354" s="4">
        <v>59</v>
      </c>
      <c r="V354" s="75">
        <f>IF(ISERROR(VLOOKUP($S$354,'TAR FIN'!$A$1:$O$93,15,0)),0,VLOOKUP($S$354,'TAR FIN'!$A$1:$O$93,15,0))</f>
        <v>0</v>
      </c>
      <c r="W354" s="75">
        <f>IF(ISERROR(VLOOKUP($T$354,'TAR FIN'!$A$1:$O$93,15,0)),0,VLOOKUP($T$354,'TAR FIN'!$A$1:$O$93,15,0))*(1-0.06)</f>
        <v>65.320599999999985</v>
      </c>
      <c r="X354" s="75">
        <f>IF(ISERROR(VLOOKUP($U$354,'TAR FIN'!$A$1:$O$93,15,0)),0,VLOOKUP($U$354,'TAR FIN'!$A$1:$O$93,15,0))*(1-0.06)</f>
        <v>174.0692</v>
      </c>
      <c r="Y354" s="75"/>
      <c r="Z354" s="75">
        <f ca="1">('TUSD BE'!$AM$16+'TUSD BF'!$AM$16+'TUSD CVA'!$AM$16)*1*(1-0.03)</f>
        <v>89.72964966605349</v>
      </c>
      <c r="AA354" s="75">
        <f>('TE BE'!$AB$8+'TE BF'!$AB$8+'TE CVA'!$AB$8)*1*(1-0.03)</f>
        <v>192.23648936268484</v>
      </c>
      <c r="AB354" s="75">
        <f>(SUBSIDIO!$J$354*SUBSIDIO!$V$354)*(0.06)/(1-0.06)</f>
        <v>0</v>
      </c>
      <c r="AC354" s="75">
        <f>((SUBSIDIO!$L$354*SUBSIDIO!$W$354)+(SUBSIDIO!$N$354*SUBSIDIO!$X$354))*(0.06)/(1-0.06)</f>
        <v>1234.7012807999999</v>
      </c>
      <c r="AD354" s="75">
        <f>(SUBSIDIO!$J$354*SUBSIDIO!$Y$354)*(0.03)/(1-0.03)</f>
        <v>0</v>
      </c>
      <c r="AE354" s="75">
        <f ca="1">((SUBSIDIO!$L$354*SUBSIDIO!$Z$354)+(SUBSIDIO!$N$354*SUBSIDIO!$AA$354))*(0.03)/(1-0.03)</f>
        <v>704.6595432395311</v>
      </c>
      <c r="AF354" s="4" t="s">
        <v>640</v>
      </c>
    </row>
    <row r="355" spans="1:32" ht="11.25" customHeight="1" x14ac:dyDescent="0.25">
      <c r="A355" s="4" t="s">
        <v>27</v>
      </c>
      <c r="B355" s="4" t="s">
        <v>35</v>
      </c>
      <c r="C355" s="4" t="s">
        <v>39</v>
      </c>
      <c r="D355" s="4" t="s">
        <v>47</v>
      </c>
      <c r="E355" s="4" t="s">
        <v>48</v>
      </c>
      <c r="F355" s="4" t="s">
        <v>25</v>
      </c>
      <c r="G355" s="4" t="s">
        <v>25</v>
      </c>
      <c r="H355" s="4" t="s">
        <v>38</v>
      </c>
      <c r="I355" s="5">
        <v>44378</v>
      </c>
      <c r="J355" s="6">
        <v>0</v>
      </c>
      <c r="K355" s="75">
        <v>0</v>
      </c>
      <c r="L355" s="6">
        <v>-28.206</v>
      </c>
      <c r="M355" s="75">
        <v>-28.206</v>
      </c>
      <c r="N355" s="6">
        <v>-28.206</v>
      </c>
      <c r="O355" s="75">
        <v>-28.206</v>
      </c>
      <c r="P355" s="6">
        <v>0</v>
      </c>
      <c r="Q355" s="4" t="s">
        <v>26</v>
      </c>
      <c r="R355" s="4">
        <v>0</v>
      </c>
      <c r="S355" s="4">
        <v>0</v>
      </c>
      <c r="T355" s="4">
        <v>25</v>
      </c>
      <c r="U355" s="4">
        <v>59</v>
      </c>
      <c r="V355" s="75">
        <f>IF(ISERROR(VLOOKUP($S$355,'TAR FIN'!$A$1:$O$93,15,0)),0,VLOOKUP($S$355,'TAR FIN'!$A$1:$O$93,15,0))</f>
        <v>0</v>
      </c>
      <c r="W355" s="75">
        <f>IF(ISERROR(VLOOKUP($T$355,'TAR FIN'!$A$1:$O$93,15,0)),0,VLOOKUP($T$355,'TAR FIN'!$A$1:$O$93,15,0))*(1-0.06)</f>
        <v>65.320599999999985</v>
      </c>
      <c r="X355" s="75">
        <f>IF(ISERROR(VLOOKUP($U$355,'TAR FIN'!$A$1:$O$93,15,0)),0,VLOOKUP($U$355,'TAR FIN'!$A$1:$O$93,15,0))*(1-0.06)</f>
        <v>174.0692</v>
      </c>
      <c r="Y355" s="75"/>
      <c r="Z355" s="75">
        <f ca="1">('TUSD BE'!$AM$16+'TUSD BF'!$AM$16+'TUSD CVA'!$AM$16)*1*(1-0.03)</f>
        <v>89.72964966605349</v>
      </c>
      <c r="AA355" s="75">
        <f>('TE BE'!$AB$8+'TE BF'!$AB$8+'TE CVA'!$AB$8)*1*(1-0.03)</f>
        <v>192.23648936268484</v>
      </c>
      <c r="AB355" s="75">
        <f>(SUBSIDIO!$J$355*SUBSIDIO!$V$355)*(0.06)/(1-0.06)</f>
        <v>0</v>
      </c>
      <c r="AC355" s="75">
        <f>((SUBSIDIO!$L$355*SUBSIDIO!$W$355)+(SUBSIDIO!$N$355*SUBSIDIO!$X$355))*(0.06)/(1-0.06)</f>
        <v>-430.99332119999997</v>
      </c>
      <c r="AD355" s="75">
        <f>(SUBSIDIO!$J$355*SUBSIDIO!$Y$355)*(0.03)/(1-0.03)</f>
        <v>0</v>
      </c>
      <c r="AE355" s="75">
        <f ca="1">((SUBSIDIO!$L$355*SUBSIDIO!$Z$355)+(SUBSIDIO!$N$355*SUBSIDIO!$AA$355))*(0.03)/(1-0.03)</f>
        <v>-245.97330672509054</v>
      </c>
      <c r="AF355" s="4" t="s">
        <v>640</v>
      </c>
    </row>
    <row r="356" spans="1:32" ht="11.25" customHeight="1" x14ac:dyDescent="0.25">
      <c r="A356" s="4" t="s">
        <v>21</v>
      </c>
      <c r="B356" s="4" t="s">
        <v>35</v>
      </c>
      <c r="C356" s="4" t="s">
        <v>39</v>
      </c>
      <c r="D356" s="4" t="s">
        <v>47</v>
      </c>
      <c r="E356" s="4" t="s">
        <v>48</v>
      </c>
      <c r="F356" s="4" t="s">
        <v>25</v>
      </c>
      <c r="G356" s="4" t="s">
        <v>25</v>
      </c>
      <c r="H356" s="4" t="s">
        <v>38</v>
      </c>
      <c r="I356" s="5">
        <v>44409</v>
      </c>
      <c r="J356" s="6">
        <v>0</v>
      </c>
      <c r="K356" s="75">
        <v>0</v>
      </c>
      <c r="L356" s="6">
        <v>59.392000000000003</v>
      </c>
      <c r="M356" s="75">
        <v>59.392000000000003</v>
      </c>
      <c r="N356" s="6">
        <v>59.392000000000003</v>
      </c>
      <c r="O356" s="75">
        <v>59.392000000000003</v>
      </c>
      <c r="P356" s="6">
        <v>0</v>
      </c>
      <c r="Q356" s="4" t="s">
        <v>26</v>
      </c>
      <c r="R356" s="4">
        <v>0</v>
      </c>
      <c r="S356" s="4">
        <v>0</v>
      </c>
      <c r="T356" s="4">
        <v>25</v>
      </c>
      <c r="U356" s="4">
        <v>59</v>
      </c>
      <c r="V356" s="75">
        <f>IF(ISERROR(VLOOKUP($S$356,'TAR FIN'!$A$1:$O$93,15,0)),0,VLOOKUP($S$356,'TAR FIN'!$A$1:$O$93,15,0))</f>
        <v>0</v>
      </c>
      <c r="W356" s="75">
        <f>IF(ISERROR(VLOOKUP($T$356,'TAR FIN'!$A$1:$O$93,15,0)),0,VLOOKUP($T$356,'TAR FIN'!$A$1:$O$93,15,0))*(1-0.06)</f>
        <v>65.320599999999985</v>
      </c>
      <c r="X356" s="75">
        <f>IF(ISERROR(VLOOKUP($U$356,'TAR FIN'!$A$1:$O$93,15,0)),0,VLOOKUP($U$356,'TAR FIN'!$A$1:$O$93,15,0))*(1-0.06)</f>
        <v>174.0692</v>
      </c>
      <c r="Y356" s="75"/>
      <c r="Z356" s="75">
        <f ca="1">('TUSD BE'!$AM$16+'TUSD BF'!$AM$16+'TUSD CVA'!$AM$16)*1*(1-0.03)</f>
        <v>89.72964966605349</v>
      </c>
      <c r="AA356" s="75">
        <f>('TE BE'!$AB$8+'TE BF'!$AB$8+'TE CVA'!$AB$8)*1*(1-0.03)</f>
        <v>192.23648936268484</v>
      </c>
      <c r="AB356" s="75">
        <f>(SUBSIDIO!$J$356*SUBSIDIO!$V$356)*(0.06)/(1-0.06)</f>
        <v>0</v>
      </c>
      <c r="AC356" s="75">
        <f>((SUBSIDIO!$L$356*SUBSIDIO!$W$356)+(SUBSIDIO!$N$356*SUBSIDIO!$X$356))*(0.06)/(1-0.06)</f>
        <v>907.52163840000003</v>
      </c>
      <c r="AD356" s="75">
        <f>(SUBSIDIO!$J$356*SUBSIDIO!$Y$356)*(0.03)/(1-0.03)</f>
        <v>0</v>
      </c>
      <c r="AE356" s="75">
        <f ca="1">((SUBSIDIO!$L$356*SUBSIDIO!$Z$356)+(SUBSIDIO!$N$356*SUBSIDIO!$AA$356))*(0.03)/(1-0.03)</f>
        <v>517.93400811942763</v>
      </c>
      <c r="AF356" s="4" t="s">
        <v>640</v>
      </c>
    </row>
    <row r="357" spans="1:32" ht="11.25" customHeight="1" x14ac:dyDescent="0.25">
      <c r="A357" s="4" t="s">
        <v>21</v>
      </c>
      <c r="B357" s="4" t="s">
        <v>35</v>
      </c>
      <c r="C357" s="4" t="s">
        <v>39</v>
      </c>
      <c r="D357" s="4" t="s">
        <v>47</v>
      </c>
      <c r="E357" s="4" t="s">
        <v>48</v>
      </c>
      <c r="F357" s="4" t="s">
        <v>25</v>
      </c>
      <c r="G357" s="4" t="s">
        <v>25</v>
      </c>
      <c r="H357" s="4" t="s">
        <v>38</v>
      </c>
      <c r="I357" s="5">
        <v>44440</v>
      </c>
      <c r="J357" s="6">
        <v>0</v>
      </c>
      <c r="K357" s="75">
        <v>0</v>
      </c>
      <c r="L357" s="6">
        <v>66.370999999999995</v>
      </c>
      <c r="M357" s="75">
        <v>66.370999999999995</v>
      </c>
      <c r="N357" s="6">
        <v>66.370999999999995</v>
      </c>
      <c r="O357" s="75">
        <v>66.370999999999995</v>
      </c>
      <c r="P357" s="6">
        <v>0</v>
      </c>
      <c r="Q357" s="4" t="s">
        <v>26</v>
      </c>
      <c r="R357" s="4">
        <v>0</v>
      </c>
      <c r="S357" s="4">
        <v>0</v>
      </c>
      <c r="T357" s="4">
        <v>25</v>
      </c>
      <c r="U357" s="4">
        <v>59</v>
      </c>
      <c r="V357" s="75">
        <f>IF(ISERROR(VLOOKUP($S$357,'TAR FIN'!$A$1:$O$93,15,0)),0,VLOOKUP($S$357,'TAR FIN'!$A$1:$O$93,15,0))</f>
        <v>0</v>
      </c>
      <c r="W357" s="75">
        <f>IF(ISERROR(VLOOKUP($T$357,'TAR FIN'!$A$1:$O$93,15,0)),0,VLOOKUP($T$357,'TAR FIN'!$A$1:$O$93,15,0))*(1-0.06)</f>
        <v>65.320599999999985</v>
      </c>
      <c r="X357" s="75">
        <f>IF(ISERROR(VLOOKUP($U$357,'TAR FIN'!$A$1:$O$93,15,0)),0,VLOOKUP($U$357,'TAR FIN'!$A$1:$O$93,15,0))*(1-0.06)</f>
        <v>174.0692</v>
      </c>
      <c r="Y357" s="75"/>
      <c r="Z357" s="75">
        <f ca="1">('TUSD BE'!$AM$16+'TUSD BF'!$AM$16+'TUSD CVA'!$AM$16)*1*(1-0.03)</f>
        <v>89.72964966605349</v>
      </c>
      <c r="AA357" s="75">
        <f>('TE BE'!$AB$8+'TE BF'!$AB$8+'TE CVA'!$AB$8)*1*(1-0.03)</f>
        <v>192.23648936268484</v>
      </c>
      <c r="AB357" s="75">
        <f>(SUBSIDIO!$J$357*SUBSIDIO!$V$357)*(0.06)/(1-0.06)</f>
        <v>0</v>
      </c>
      <c r="AC357" s="75">
        <f>((SUBSIDIO!$L$357*SUBSIDIO!$W$357)+(SUBSIDIO!$N$357*SUBSIDIO!$X$357))*(0.06)/(1-0.06)</f>
        <v>1014.1621541999999</v>
      </c>
      <c r="AD357" s="75">
        <f>(SUBSIDIO!$J$357*SUBSIDIO!$Y$357)*(0.03)/(1-0.03)</f>
        <v>0</v>
      </c>
      <c r="AE357" s="75">
        <f ca="1">((SUBSIDIO!$L$357*SUBSIDIO!$Z$357)+(SUBSIDIO!$N$357*SUBSIDIO!$AA$357))*(0.03)/(1-0.03)</f>
        <v>578.79509113844506</v>
      </c>
      <c r="AF357" s="4" t="s">
        <v>640</v>
      </c>
    </row>
    <row r="358" spans="1:32" ht="11.25" customHeight="1" x14ac:dyDescent="0.25">
      <c r="A358" s="4" t="s">
        <v>21</v>
      </c>
      <c r="B358" s="4" t="s">
        <v>35</v>
      </c>
      <c r="C358" s="4" t="s">
        <v>39</v>
      </c>
      <c r="D358" s="4" t="s">
        <v>47</v>
      </c>
      <c r="E358" s="4" t="s">
        <v>48</v>
      </c>
      <c r="F358" s="4" t="s">
        <v>25</v>
      </c>
      <c r="G358" s="4" t="s">
        <v>25</v>
      </c>
      <c r="H358" s="4" t="s">
        <v>38</v>
      </c>
      <c r="I358" s="5">
        <v>44470</v>
      </c>
      <c r="J358" s="6">
        <v>0</v>
      </c>
      <c r="K358" s="75">
        <v>0</v>
      </c>
      <c r="L358" s="6">
        <v>66.837999999999994</v>
      </c>
      <c r="M358" s="75">
        <v>66.837999999999994</v>
      </c>
      <c r="N358" s="6">
        <v>66.837999999999994</v>
      </c>
      <c r="O358" s="75">
        <v>66.837999999999994</v>
      </c>
      <c r="P358" s="6">
        <v>0</v>
      </c>
      <c r="Q358" s="4" t="s">
        <v>26</v>
      </c>
      <c r="R358" s="4">
        <v>0</v>
      </c>
      <c r="S358" s="4">
        <v>0</v>
      </c>
      <c r="T358" s="4">
        <v>25</v>
      </c>
      <c r="U358" s="4">
        <v>59</v>
      </c>
      <c r="V358" s="75">
        <f>IF(ISERROR(VLOOKUP($S$358,'TAR FIN'!$A$1:$O$93,15,0)),0,VLOOKUP($S$358,'TAR FIN'!$A$1:$O$93,15,0))</f>
        <v>0</v>
      </c>
      <c r="W358" s="75">
        <f>IF(ISERROR(VLOOKUP($T$358,'TAR FIN'!$A$1:$O$93,15,0)),0,VLOOKUP($T$358,'TAR FIN'!$A$1:$O$93,15,0))*(1-0.06)</f>
        <v>65.320599999999985</v>
      </c>
      <c r="X358" s="75">
        <f>IF(ISERROR(VLOOKUP($U$358,'TAR FIN'!$A$1:$O$93,15,0)),0,VLOOKUP($U$358,'TAR FIN'!$A$1:$O$93,15,0))*(1-0.06)</f>
        <v>174.0692</v>
      </c>
      <c r="Y358" s="75"/>
      <c r="Z358" s="75">
        <f ca="1">('TUSD BE'!$AM$16+'TUSD BF'!$AM$16+'TUSD CVA'!$AM$16)*1*(1-0.03)</f>
        <v>89.72964966605349</v>
      </c>
      <c r="AA358" s="75">
        <f>('TE BE'!$AB$8+'TE BF'!$AB$8+'TE CVA'!$AB$8)*1*(1-0.03)</f>
        <v>192.23648936268484</v>
      </c>
      <c r="AB358" s="75">
        <f>(SUBSIDIO!$J$358*SUBSIDIO!$V$358)*(0.06)/(1-0.06)</f>
        <v>0</v>
      </c>
      <c r="AC358" s="75">
        <f>((SUBSIDIO!$L$358*SUBSIDIO!$W$358)+(SUBSIDIO!$N$358*SUBSIDIO!$X$358))*(0.06)/(1-0.06)</f>
        <v>1021.2980075999999</v>
      </c>
      <c r="AD358" s="75">
        <f>(SUBSIDIO!$J$358*SUBSIDIO!$Y$358)*(0.03)/(1-0.03)</f>
        <v>0</v>
      </c>
      <c r="AE358" s="75">
        <f ca="1">((SUBSIDIO!$L$358*SUBSIDIO!$Z$358)+(SUBSIDIO!$N$358*SUBSIDIO!$AA$358))*(0.03)/(1-0.03)</f>
        <v>582.86761238359202</v>
      </c>
      <c r="AF358" s="4" t="s">
        <v>640</v>
      </c>
    </row>
    <row r="359" spans="1:32" ht="11.25" customHeight="1" x14ac:dyDescent="0.25">
      <c r="A359" s="4" t="s">
        <v>21</v>
      </c>
      <c r="B359" s="4" t="s">
        <v>35</v>
      </c>
      <c r="C359" s="4" t="s">
        <v>39</v>
      </c>
      <c r="D359" s="4" t="s">
        <v>47</v>
      </c>
      <c r="E359" s="4" t="s">
        <v>48</v>
      </c>
      <c r="F359" s="4" t="s">
        <v>25</v>
      </c>
      <c r="G359" s="4" t="s">
        <v>25</v>
      </c>
      <c r="H359" s="4" t="s">
        <v>38</v>
      </c>
      <c r="I359" s="5">
        <v>44501</v>
      </c>
      <c r="J359" s="6">
        <v>0</v>
      </c>
      <c r="K359" s="75">
        <v>0</v>
      </c>
      <c r="L359" s="6">
        <v>70.613</v>
      </c>
      <c r="M359" s="75">
        <v>70.613</v>
      </c>
      <c r="N359" s="6">
        <v>70.613</v>
      </c>
      <c r="O359" s="75">
        <v>70.613</v>
      </c>
      <c r="P359" s="6">
        <v>0</v>
      </c>
      <c r="Q359" s="4" t="s">
        <v>26</v>
      </c>
      <c r="R359" s="4">
        <v>0</v>
      </c>
      <c r="S359" s="4">
        <v>0</v>
      </c>
      <c r="T359" s="4">
        <v>25</v>
      </c>
      <c r="U359" s="4">
        <v>59</v>
      </c>
      <c r="V359" s="75">
        <f>IF(ISERROR(VLOOKUP($S$359,'TAR FIN'!$A$1:$O$93,15,0)),0,VLOOKUP($S$359,'TAR FIN'!$A$1:$O$93,15,0))</f>
        <v>0</v>
      </c>
      <c r="W359" s="75">
        <f>IF(ISERROR(VLOOKUP($T$359,'TAR FIN'!$A$1:$O$93,15,0)),0,VLOOKUP($T$359,'TAR FIN'!$A$1:$O$93,15,0))*(1-0.06)</f>
        <v>65.320599999999985</v>
      </c>
      <c r="X359" s="75">
        <f>IF(ISERROR(VLOOKUP($U$359,'TAR FIN'!$A$1:$O$93,15,0)),0,VLOOKUP($U$359,'TAR FIN'!$A$1:$O$93,15,0))*(1-0.06)</f>
        <v>174.0692</v>
      </c>
      <c r="Y359" s="75"/>
      <c r="Z359" s="75">
        <f ca="1">('TUSD BE'!$AM$16+'TUSD BF'!$AM$16+'TUSD CVA'!$AM$16)*1*(1-0.03)</f>
        <v>89.72964966605349</v>
      </c>
      <c r="AA359" s="75">
        <f>('TE BE'!$AB$8+'TE BF'!$AB$8+'TE CVA'!$AB$8)*1*(1-0.03)</f>
        <v>192.23648936268484</v>
      </c>
      <c r="AB359" s="75">
        <f>(SUBSIDIO!$J$359*SUBSIDIO!$V$359)*(0.06)/(1-0.06)</f>
        <v>0</v>
      </c>
      <c r="AC359" s="75">
        <f>((SUBSIDIO!$L$359*SUBSIDIO!$W$359)+(SUBSIDIO!$N$359*SUBSIDIO!$X$359))*(0.06)/(1-0.06)</f>
        <v>1078.9807625999999</v>
      </c>
      <c r="AD359" s="75">
        <f>(SUBSIDIO!$J$359*SUBSIDIO!$Y$359)*(0.03)/(1-0.03)</f>
        <v>0</v>
      </c>
      <c r="AE359" s="75">
        <f ca="1">((SUBSIDIO!$L$359*SUBSIDIO!$Z$359)+(SUBSIDIO!$N$359*SUBSIDIO!$AA$359))*(0.03)/(1-0.03)</f>
        <v>615.78788583205051</v>
      </c>
      <c r="AF359" s="4" t="s">
        <v>640</v>
      </c>
    </row>
    <row r="360" spans="1:32" ht="11.25" customHeight="1" x14ac:dyDescent="0.25">
      <c r="A360" s="4" t="s">
        <v>21</v>
      </c>
      <c r="B360" s="4" t="s">
        <v>35</v>
      </c>
      <c r="C360" s="4" t="s">
        <v>39</v>
      </c>
      <c r="D360" s="4" t="s">
        <v>47</v>
      </c>
      <c r="E360" s="4" t="s">
        <v>48</v>
      </c>
      <c r="F360" s="4" t="s">
        <v>25</v>
      </c>
      <c r="G360" s="4" t="s">
        <v>25</v>
      </c>
      <c r="H360" s="4" t="s">
        <v>38</v>
      </c>
      <c r="I360" s="5">
        <v>44531</v>
      </c>
      <c r="J360" s="6">
        <v>0</v>
      </c>
      <c r="K360" s="75">
        <v>0</v>
      </c>
      <c r="L360" s="6">
        <v>64.915000000000006</v>
      </c>
      <c r="M360" s="75">
        <v>64.915000000000006</v>
      </c>
      <c r="N360" s="6">
        <v>64.915000000000006</v>
      </c>
      <c r="O360" s="75">
        <v>64.915000000000006</v>
      </c>
      <c r="P360" s="6">
        <v>0</v>
      </c>
      <c r="Q360" s="4" t="s">
        <v>26</v>
      </c>
      <c r="R360" s="4">
        <v>0</v>
      </c>
      <c r="S360" s="4">
        <v>0</v>
      </c>
      <c r="T360" s="4">
        <v>25</v>
      </c>
      <c r="U360" s="4">
        <v>59</v>
      </c>
      <c r="V360" s="75">
        <f>IF(ISERROR(VLOOKUP($S$360,'TAR FIN'!$A$1:$O$93,15,0)),0,VLOOKUP($S$360,'TAR FIN'!$A$1:$O$93,15,0))</f>
        <v>0</v>
      </c>
      <c r="W360" s="75">
        <f>IF(ISERROR(VLOOKUP($T$360,'TAR FIN'!$A$1:$O$93,15,0)),0,VLOOKUP($T$360,'TAR FIN'!$A$1:$O$93,15,0))*(1-0.06)</f>
        <v>65.320599999999985</v>
      </c>
      <c r="X360" s="75">
        <f>IF(ISERROR(VLOOKUP($U$360,'TAR FIN'!$A$1:$O$93,15,0)),0,VLOOKUP($U$360,'TAR FIN'!$A$1:$O$93,15,0))*(1-0.06)</f>
        <v>174.0692</v>
      </c>
      <c r="Y360" s="75"/>
      <c r="Z360" s="75">
        <f ca="1">('TUSD BE'!$AM$16+'TUSD BF'!$AM$16+'TUSD CVA'!$AM$16)*1*(1-0.03)</f>
        <v>89.72964966605349</v>
      </c>
      <c r="AA360" s="75">
        <f>('TE BE'!$AB$8+'TE BF'!$AB$8+'TE CVA'!$AB$8)*1*(1-0.03)</f>
        <v>192.23648936268484</v>
      </c>
      <c r="AB360" s="75">
        <f>(SUBSIDIO!$J$360*SUBSIDIO!$V$360)*(0.06)/(1-0.06)</f>
        <v>0</v>
      </c>
      <c r="AC360" s="75">
        <f>((SUBSIDIO!$L$360*SUBSIDIO!$W$360)+(SUBSIDIO!$N$360*SUBSIDIO!$X$360))*(0.06)/(1-0.06)</f>
        <v>991.91418299999998</v>
      </c>
      <c r="AD360" s="75">
        <f>(SUBSIDIO!$J$360*SUBSIDIO!$Y$360)*(0.03)/(1-0.03)</f>
        <v>0</v>
      </c>
      <c r="AE360" s="75">
        <f ca="1">((SUBSIDIO!$L$360*SUBSIDIO!$Z$360)+(SUBSIDIO!$N$360*SUBSIDIO!$AA$360))*(0.03)/(1-0.03)</f>
        <v>566.09789427991393</v>
      </c>
      <c r="AF360" s="4" t="s">
        <v>640</v>
      </c>
    </row>
    <row r="361" spans="1:32" ht="11.25" customHeight="1" x14ac:dyDescent="0.25">
      <c r="A361" s="4" t="s">
        <v>21</v>
      </c>
      <c r="B361" s="4" t="s">
        <v>35</v>
      </c>
      <c r="C361" s="4" t="s">
        <v>39</v>
      </c>
      <c r="D361" s="4" t="s">
        <v>47</v>
      </c>
      <c r="E361" s="4" t="s">
        <v>48</v>
      </c>
      <c r="F361" s="4" t="s">
        <v>25</v>
      </c>
      <c r="G361" s="4" t="s">
        <v>25</v>
      </c>
      <c r="H361" s="4" t="s">
        <v>38</v>
      </c>
      <c r="I361" s="5">
        <v>44562</v>
      </c>
      <c r="J361" s="6">
        <v>0</v>
      </c>
      <c r="K361" s="75">
        <v>0</v>
      </c>
      <c r="L361" s="6">
        <v>72.984999999999999</v>
      </c>
      <c r="M361" s="75">
        <v>72.984999999999999</v>
      </c>
      <c r="N361" s="6">
        <v>72.984999999999999</v>
      </c>
      <c r="O361" s="75">
        <v>72.984999999999999</v>
      </c>
      <c r="P361" s="6">
        <v>0</v>
      </c>
      <c r="Q361" s="4" t="s">
        <v>26</v>
      </c>
      <c r="R361" s="4">
        <v>0</v>
      </c>
      <c r="S361" s="4">
        <v>0</v>
      </c>
      <c r="T361" s="4">
        <v>25</v>
      </c>
      <c r="U361" s="4">
        <v>59</v>
      </c>
      <c r="V361" s="75">
        <f>IF(ISERROR(VLOOKUP($S$361,'TAR FIN'!$A$1:$O$93,15,0)),0,VLOOKUP($S$361,'TAR FIN'!$A$1:$O$93,15,0))</f>
        <v>0</v>
      </c>
      <c r="W361" s="75">
        <f>IF(ISERROR(VLOOKUP($T$361,'TAR FIN'!$A$1:$O$93,15,0)),0,VLOOKUP($T$361,'TAR FIN'!$A$1:$O$93,15,0))*(1-0.06)</f>
        <v>65.320599999999985</v>
      </c>
      <c r="X361" s="75">
        <f>IF(ISERROR(VLOOKUP($U$361,'TAR FIN'!$A$1:$O$93,15,0)),0,VLOOKUP($U$361,'TAR FIN'!$A$1:$O$93,15,0))*(1-0.06)</f>
        <v>174.0692</v>
      </c>
      <c r="Y361" s="75"/>
      <c r="Z361" s="75">
        <f ca="1">('TUSD BE'!$AM$16+'TUSD BF'!$AM$16+'TUSD CVA'!$AM$16)*1*(1-0.03)</f>
        <v>89.72964966605349</v>
      </c>
      <c r="AA361" s="75">
        <f>('TE BE'!$AB$8+'TE BF'!$AB$8+'TE CVA'!$AB$8)*1*(1-0.03)</f>
        <v>192.23648936268484</v>
      </c>
      <c r="AB361" s="75">
        <f>(SUBSIDIO!$J$361*SUBSIDIO!$V$361)*(0.06)/(1-0.06)</f>
        <v>0</v>
      </c>
      <c r="AC361" s="75">
        <f>((SUBSIDIO!$L$361*SUBSIDIO!$W$361)+(SUBSIDIO!$N$361*SUBSIDIO!$X$361))*(0.06)/(1-0.06)</f>
        <v>1115.2253970000002</v>
      </c>
      <c r="AD361" s="75">
        <f>(SUBSIDIO!$J$361*SUBSIDIO!$Y$361)*(0.03)/(1-0.03)</f>
        <v>0</v>
      </c>
      <c r="AE361" s="75">
        <f ca="1">((SUBSIDIO!$L$361*SUBSIDIO!$Z$361)+(SUBSIDIO!$N$361*SUBSIDIO!$AA$361))*(0.03)/(1-0.03)</f>
        <v>636.4731543405918</v>
      </c>
      <c r="AF361" s="4" t="s">
        <v>640</v>
      </c>
    </row>
    <row r="362" spans="1:32" ht="11.25" customHeight="1" x14ac:dyDescent="0.25">
      <c r="A362" s="4" t="s">
        <v>21</v>
      </c>
      <c r="B362" s="4" t="s">
        <v>35</v>
      </c>
      <c r="C362" s="4" t="s">
        <v>39</v>
      </c>
      <c r="D362" s="4" t="s">
        <v>47</v>
      </c>
      <c r="E362" s="4" t="s">
        <v>48</v>
      </c>
      <c r="F362" s="4" t="s">
        <v>25</v>
      </c>
      <c r="G362" s="4" t="s">
        <v>25</v>
      </c>
      <c r="H362" s="4" t="s">
        <v>38</v>
      </c>
      <c r="I362" s="5">
        <v>44593</v>
      </c>
      <c r="J362" s="6">
        <v>0</v>
      </c>
      <c r="K362" s="75">
        <v>0</v>
      </c>
      <c r="L362" s="6">
        <v>64.531999999999996</v>
      </c>
      <c r="M362" s="75">
        <v>64.531999999999996</v>
      </c>
      <c r="N362" s="6">
        <v>64.531999999999996</v>
      </c>
      <c r="O362" s="75">
        <v>64.531999999999996</v>
      </c>
      <c r="P362" s="6">
        <v>0</v>
      </c>
      <c r="Q362" s="4" t="s">
        <v>26</v>
      </c>
      <c r="R362" s="4">
        <v>0</v>
      </c>
      <c r="S362" s="4">
        <v>0</v>
      </c>
      <c r="T362" s="4">
        <v>25</v>
      </c>
      <c r="U362" s="4">
        <v>59</v>
      </c>
      <c r="V362" s="75">
        <f>IF(ISERROR(VLOOKUP($S$362,'TAR FIN'!$A$1:$O$93,15,0)),0,VLOOKUP($S$362,'TAR FIN'!$A$1:$O$93,15,0))</f>
        <v>0</v>
      </c>
      <c r="W362" s="75">
        <f>IF(ISERROR(VLOOKUP($T$362,'TAR FIN'!$A$1:$O$93,15,0)),0,VLOOKUP($T$362,'TAR FIN'!$A$1:$O$93,15,0))*(1-0.06)</f>
        <v>65.320599999999985</v>
      </c>
      <c r="X362" s="75">
        <f>IF(ISERROR(VLOOKUP($U$362,'TAR FIN'!$A$1:$O$93,15,0)),0,VLOOKUP($U$362,'TAR FIN'!$A$1:$O$93,15,0))*(1-0.06)</f>
        <v>174.0692</v>
      </c>
      <c r="Y362" s="75"/>
      <c r="Z362" s="75">
        <f ca="1">('TUSD BE'!$AM$16+'TUSD BF'!$AM$16+'TUSD CVA'!$AM$16)*1*(1-0.03)</f>
        <v>89.72964966605349</v>
      </c>
      <c r="AA362" s="75">
        <f>('TE BE'!$AB$8+'TE BF'!$AB$8+'TE CVA'!$AB$8)*1*(1-0.03)</f>
        <v>192.23648936268484</v>
      </c>
      <c r="AB362" s="75">
        <f>(SUBSIDIO!$J$362*SUBSIDIO!$V$362)*(0.06)/(1-0.06)</f>
        <v>0</v>
      </c>
      <c r="AC362" s="75">
        <f>((SUBSIDIO!$L$362*SUBSIDIO!$W$362)+(SUBSIDIO!$N$362*SUBSIDIO!$X$362))*(0.06)/(1-0.06)</f>
        <v>986.06186639999999</v>
      </c>
      <c r="AD362" s="75">
        <f>(SUBSIDIO!$J$362*SUBSIDIO!$Y$362)*(0.03)/(1-0.03)</f>
        <v>0</v>
      </c>
      <c r="AE362" s="75">
        <f ca="1">((SUBSIDIO!$L$362*SUBSIDIO!$Z$362)+(SUBSIDIO!$N$362*SUBSIDIO!$AA$362))*(0.03)/(1-0.03)</f>
        <v>562.75790362275904</v>
      </c>
      <c r="AF362" s="4" t="s">
        <v>640</v>
      </c>
    </row>
    <row r="363" spans="1:32" ht="11.25" customHeight="1" x14ac:dyDescent="0.25">
      <c r="A363" s="4" t="s">
        <v>21</v>
      </c>
      <c r="B363" s="4" t="s">
        <v>35</v>
      </c>
      <c r="C363" s="4" t="s">
        <v>39</v>
      </c>
      <c r="D363" s="4" t="s">
        <v>47</v>
      </c>
      <c r="E363" s="4" t="s">
        <v>48</v>
      </c>
      <c r="F363" s="4" t="s">
        <v>25</v>
      </c>
      <c r="G363" s="4" t="s">
        <v>25</v>
      </c>
      <c r="H363" s="4" t="s">
        <v>38</v>
      </c>
      <c r="I363" s="5">
        <v>44621</v>
      </c>
      <c r="J363" s="6">
        <v>0</v>
      </c>
      <c r="K363" s="75">
        <v>0</v>
      </c>
      <c r="L363" s="6">
        <v>54.575000000000003</v>
      </c>
      <c r="M363" s="75">
        <v>54.575000000000003</v>
      </c>
      <c r="N363" s="6">
        <v>54.575000000000003</v>
      </c>
      <c r="O363" s="75">
        <v>54.575000000000003</v>
      </c>
      <c r="P363" s="6">
        <v>0</v>
      </c>
      <c r="Q363" s="4" t="s">
        <v>26</v>
      </c>
      <c r="R363" s="4">
        <v>0</v>
      </c>
      <c r="S363" s="4">
        <v>0</v>
      </c>
      <c r="T363" s="4">
        <v>25</v>
      </c>
      <c r="U363" s="4">
        <v>59</v>
      </c>
      <c r="V363" s="75">
        <f>IF(ISERROR(VLOOKUP($S$363,'TAR FIN'!$A$1:$O$93,15,0)),0,VLOOKUP($S$363,'TAR FIN'!$A$1:$O$93,15,0))</f>
        <v>0</v>
      </c>
      <c r="W363" s="75">
        <f>IF(ISERROR(VLOOKUP($T$363,'TAR FIN'!$A$1:$O$93,15,0)),0,VLOOKUP($T$363,'TAR FIN'!$A$1:$O$93,15,0))*(1-0.06)</f>
        <v>65.320599999999985</v>
      </c>
      <c r="X363" s="75">
        <f>IF(ISERROR(VLOOKUP($U$363,'TAR FIN'!$A$1:$O$93,15,0)),0,VLOOKUP($U$363,'TAR FIN'!$A$1:$O$93,15,0))*(1-0.06)</f>
        <v>174.0692</v>
      </c>
      <c r="Y363" s="75"/>
      <c r="Z363" s="75">
        <f ca="1">('TUSD BE'!$AM$16+'TUSD BF'!$AM$16+'TUSD CVA'!$AM$16)*1*(1-0.03)</f>
        <v>89.72964966605349</v>
      </c>
      <c r="AA363" s="75">
        <f>('TE BE'!$AB$8+'TE BF'!$AB$8+'TE CVA'!$AB$8)*1*(1-0.03)</f>
        <v>192.23648936268484</v>
      </c>
      <c r="AB363" s="75">
        <f>(SUBSIDIO!$J$363*SUBSIDIO!$V$363)*(0.06)/(1-0.06)</f>
        <v>0</v>
      </c>
      <c r="AC363" s="75">
        <f>((SUBSIDIO!$L$363*SUBSIDIO!$W$363)+(SUBSIDIO!$N$363*SUBSIDIO!$X$363))*(0.06)/(1-0.06)</f>
        <v>833.91691500000013</v>
      </c>
      <c r="AD363" s="75">
        <f>(SUBSIDIO!$J$363*SUBSIDIO!$Y$363)*(0.03)/(1-0.03)</f>
        <v>0</v>
      </c>
      <c r="AE363" s="75">
        <f ca="1">((SUBSIDIO!$L$363*SUBSIDIO!$Z$363)+(SUBSIDIO!$N$363*SUBSIDIO!$AA$363))*(0.03)/(1-0.03)</f>
        <v>475.92686713897098</v>
      </c>
      <c r="AF363" s="4" t="s">
        <v>640</v>
      </c>
    </row>
    <row r="364" spans="1:32" ht="11.25" customHeight="1" x14ac:dyDescent="0.25">
      <c r="A364" s="4" t="s">
        <v>21</v>
      </c>
      <c r="B364" s="4" t="s">
        <v>35</v>
      </c>
      <c r="C364" s="4" t="s">
        <v>39</v>
      </c>
      <c r="D364" s="4" t="s">
        <v>47</v>
      </c>
      <c r="E364" s="4" t="s">
        <v>48</v>
      </c>
      <c r="F364" s="4" t="s">
        <v>25</v>
      </c>
      <c r="G364" s="4" t="s">
        <v>25</v>
      </c>
      <c r="H364" s="4" t="s">
        <v>38</v>
      </c>
      <c r="I364" s="5">
        <v>44652</v>
      </c>
      <c r="J364" s="6">
        <v>0</v>
      </c>
      <c r="K364" s="75">
        <v>0</v>
      </c>
      <c r="L364" s="6">
        <v>62.256</v>
      </c>
      <c r="M364" s="75">
        <v>62.256</v>
      </c>
      <c r="N364" s="6">
        <v>62.256</v>
      </c>
      <c r="O364" s="75">
        <v>62.256</v>
      </c>
      <c r="P364" s="6">
        <v>0</v>
      </c>
      <c r="Q364" s="4" t="s">
        <v>26</v>
      </c>
      <c r="R364" s="4">
        <v>0</v>
      </c>
      <c r="S364" s="4">
        <v>0</v>
      </c>
      <c r="T364" s="4">
        <v>25</v>
      </c>
      <c r="U364" s="4">
        <v>59</v>
      </c>
      <c r="V364" s="75">
        <f>IF(ISERROR(VLOOKUP($S$364,'TAR FIN'!$A$1:$O$93,15,0)),0,VLOOKUP($S$364,'TAR FIN'!$A$1:$O$93,15,0))</f>
        <v>0</v>
      </c>
      <c r="W364" s="75">
        <f>IF(ISERROR(VLOOKUP($T$364,'TAR FIN'!$A$1:$O$93,15,0)),0,VLOOKUP($T$364,'TAR FIN'!$A$1:$O$93,15,0))*(1-0.06)</f>
        <v>65.320599999999985</v>
      </c>
      <c r="X364" s="75">
        <f>IF(ISERROR(VLOOKUP($U$364,'TAR FIN'!$A$1:$O$93,15,0)),0,VLOOKUP($U$364,'TAR FIN'!$A$1:$O$93,15,0))*(1-0.06)</f>
        <v>174.0692</v>
      </c>
      <c r="Y364" s="75"/>
      <c r="Z364" s="75">
        <f ca="1">('TUSD BE'!$AM$16+'TUSD BF'!$AM$16+'TUSD CVA'!$AM$16)*1*(1-0.03)</f>
        <v>89.72964966605349</v>
      </c>
      <c r="AA364" s="75">
        <f>('TE BE'!$AB$8+'TE BF'!$AB$8+'TE CVA'!$AB$8)*1*(1-0.03)</f>
        <v>192.23648936268484</v>
      </c>
      <c r="AB364" s="75">
        <f>(SUBSIDIO!$J$364*SUBSIDIO!$V$364)*(0.06)/(1-0.06)</f>
        <v>0</v>
      </c>
      <c r="AC364" s="75">
        <f>((SUBSIDIO!$L$364*SUBSIDIO!$W$364)+(SUBSIDIO!$N$364*SUBSIDIO!$X$364))*(0.06)/(1-0.06)</f>
        <v>951.28413119999993</v>
      </c>
      <c r="AD364" s="75">
        <f>(SUBSIDIO!$J$364*SUBSIDIO!$Y$364)*(0.03)/(1-0.03)</f>
        <v>0</v>
      </c>
      <c r="AE364" s="75">
        <f ca="1">((SUBSIDIO!$L$364*SUBSIDIO!$Z$364)+(SUBSIDIO!$N$364*SUBSIDIO!$AA$364))*(0.03)/(1-0.03)</f>
        <v>542.90981292906599</v>
      </c>
      <c r="AF364" s="4" t="s">
        <v>640</v>
      </c>
    </row>
    <row r="365" spans="1:32" ht="11.25" customHeight="1" x14ac:dyDescent="0.25">
      <c r="A365" s="4" t="s">
        <v>21</v>
      </c>
      <c r="B365" s="4" t="s">
        <v>35</v>
      </c>
      <c r="C365" s="4" t="s">
        <v>39</v>
      </c>
      <c r="D365" s="4" t="s">
        <v>47</v>
      </c>
      <c r="E365" s="4" t="s">
        <v>48</v>
      </c>
      <c r="F365" s="4" t="s">
        <v>25</v>
      </c>
      <c r="G365" s="4" t="s">
        <v>25</v>
      </c>
      <c r="H365" s="4" t="s">
        <v>38</v>
      </c>
      <c r="I365" s="5">
        <v>44682</v>
      </c>
      <c r="J365" s="6">
        <v>0</v>
      </c>
      <c r="K365" s="75">
        <v>0</v>
      </c>
      <c r="L365" s="6">
        <v>57.121000000000002</v>
      </c>
      <c r="M365" s="75">
        <v>57.121000000000002</v>
      </c>
      <c r="N365" s="6">
        <v>57.121000000000002</v>
      </c>
      <c r="O365" s="75">
        <v>57.121000000000002</v>
      </c>
      <c r="P365" s="6">
        <v>0</v>
      </c>
      <c r="Q365" s="4" t="s">
        <v>26</v>
      </c>
      <c r="R365" s="4">
        <v>0</v>
      </c>
      <c r="S365" s="4">
        <v>0</v>
      </c>
      <c r="T365" s="4">
        <v>25</v>
      </c>
      <c r="U365" s="4">
        <v>59</v>
      </c>
      <c r="V365" s="75">
        <f>IF(ISERROR(VLOOKUP($S$365,'TAR FIN'!$A$1:$O$93,15,0)),0,VLOOKUP($S$365,'TAR FIN'!$A$1:$O$93,15,0))</f>
        <v>0</v>
      </c>
      <c r="W365" s="75">
        <f>IF(ISERROR(VLOOKUP($T$365,'TAR FIN'!$A$1:$O$93,15,0)),0,VLOOKUP($T$365,'TAR FIN'!$A$1:$O$93,15,0))*(1-0.06)</f>
        <v>65.320599999999985</v>
      </c>
      <c r="X365" s="75">
        <f>IF(ISERROR(VLOOKUP($U$365,'TAR FIN'!$A$1:$O$93,15,0)),0,VLOOKUP($U$365,'TAR FIN'!$A$1:$O$93,15,0))*(1-0.06)</f>
        <v>174.0692</v>
      </c>
      <c r="Y365" s="75"/>
      <c r="Z365" s="75">
        <f ca="1">('TUSD BE'!$AM$16+'TUSD BF'!$AM$16+'TUSD CVA'!$AM$16)*1*(1-0.03)</f>
        <v>89.72964966605349</v>
      </c>
      <c r="AA365" s="75">
        <f>('TE BE'!$AB$8+'TE BF'!$AB$8+'TE CVA'!$AB$8)*1*(1-0.03)</f>
        <v>192.23648936268484</v>
      </c>
      <c r="AB365" s="75">
        <f>(SUBSIDIO!$J$365*SUBSIDIO!$V$365)*(0.06)/(1-0.06)</f>
        <v>0</v>
      </c>
      <c r="AC365" s="75">
        <f>((SUBSIDIO!$L$365*SUBSIDIO!$W$365)+(SUBSIDIO!$N$365*SUBSIDIO!$X$365))*(0.06)/(1-0.06)</f>
        <v>872.82030420000001</v>
      </c>
      <c r="AD365" s="75">
        <f>(SUBSIDIO!$J$365*SUBSIDIO!$Y$365)*(0.03)/(1-0.03)</f>
        <v>0</v>
      </c>
      <c r="AE365" s="75">
        <f ca="1">((SUBSIDIO!$L$365*SUBSIDIO!$Z$365)+(SUBSIDIO!$N$365*SUBSIDIO!$AA$365))*(0.03)/(1-0.03)</f>
        <v>498.12952043692457</v>
      </c>
      <c r="AF365" s="4" t="s">
        <v>640</v>
      </c>
    </row>
    <row r="366" spans="1:32" ht="11.25" customHeight="1" x14ac:dyDescent="0.25">
      <c r="A366" s="4" t="s">
        <v>21</v>
      </c>
      <c r="B366" s="4" t="s">
        <v>35</v>
      </c>
      <c r="C366" s="4" t="s">
        <v>39</v>
      </c>
      <c r="D366" s="4" t="s">
        <v>47</v>
      </c>
      <c r="E366" s="4" t="s">
        <v>48</v>
      </c>
      <c r="F366" s="4" t="s">
        <v>25</v>
      </c>
      <c r="G366" s="4" t="s">
        <v>25</v>
      </c>
      <c r="H366" s="4" t="s">
        <v>38</v>
      </c>
      <c r="I366" s="5">
        <v>44713</v>
      </c>
      <c r="J366" s="6">
        <v>0</v>
      </c>
      <c r="K366" s="75">
        <v>0</v>
      </c>
      <c r="L366" s="6">
        <v>62.706000000000003</v>
      </c>
      <c r="M366" s="75">
        <v>62.706000000000003</v>
      </c>
      <c r="N366" s="6">
        <v>62.706000000000003</v>
      </c>
      <c r="O366" s="75">
        <v>62.706000000000003</v>
      </c>
      <c r="P366" s="6">
        <v>0</v>
      </c>
      <c r="Q366" s="4" t="s">
        <v>26</v>
      </c>
      <c r="R366" s="4">
        <v>0</v>
      </c>
      <c r="S366" s="4">
        <v>0</v>
      </c>
      <c r="T366" s="4">
        <v>25</v>
      </c>
      <c r="U366" s="4">
        <v>59</v>
      </c>
      <c r="V366" s="75">
        <f>IF(ISERROR(VLOOKUP($S$366,'TAR FIN'!$A$1:$O$93,15,0)),0,VLOOKUP($S$366,'TAR FIN'!$A$1:$O$93,15,0))</f>
        <v>0</v>
      </c>
      <c r="W366" s="75">
        <f>IF(ISERROR(VLOOKUP($T$366,'TAR FIN'!$A$1:$O$93,15,0)),0,VLOOKUP($T$366,'TAR FIN'!$A$1:$O$93,15,0))*(1-0.06)</f>
        <v>65.320599999999985</v>
      </c>
      <c r="X366" s="75">
        <f>IF(ISERROR(VLOOKUP($U$366,'TAR FIN'!$A$1:$O$93,15,0)),0,VLOOKUP($U$366,'TAR FIN'!$A$1:$O$93,15,0))*(1-0.06)</f>
        <v>174.0692</v>
      </c>
      <c r="Y366" s="75"/>
      <c r="Z366" s="75">
        <f ca="1">('TUSD BE'!$AM$16+'TUSD BF'!$AM$16+'TUSD CVA'!$AM$16)*1*(1-0.03)</f>
        <v>89.72964966605349</v>
      </c>
      <c r="AA366" s="75">
        <f>('TE BE'!$AB$8+'TE BF'!$AB$8+'TE CVA'!$AB$8)*1*(1-0.03)</f>
        <v>192.23648936268484</v>
      </c>
      <c r="AB366" s="75">
        <f>(SUBSIDIO!$J$366*SUBSIDIO!$V$366)*(0.06)/(1-0.06)</f>
        <v>0</v>
      </c>
      <c r="AC366" s="75">
        <f>((SUBSIDIO!$L$366*SUBSIDIO!$W$366)+(SUBSIDIO!$N$366*SUBSIDIO!$X$366))*(0.06)/(1-0.06)</f>
        <v>958.16022119999991</v>
      </c>
      <c r="AD366" s="75">
        <f>(SUBSIDIO!$J$366*SUBSIDIO!$Y$366)*(0.03)/(1-0.03)</f>
        <v>0</v>
      </c>
      <c r="AE366" s="75">
        <f ca="1">((SUBSIDIO!$L$366*SUBSIDIO!$Z$366)+(SUBSIDIO!$N$366*SUBSIDIO!$AA$366))*(0.03)/(1-0.03)</f>
        <v>546.83408393616708</v>
      </c>
      <c r="AF366" s="4" t="s">
        <v>640</v>
      </c>
    </row>
    <row r="367" spans="1:32" ht="11.25" customHeight="1" x14ac:dyDescent="0.25">
      <c r="A367" s="4" t="s">
        <v>21</v>
      </c>
      <c r="B367" s="4" t="s">
        <v>35</v>
      </c>
      <c r="C367" s="4" t="s">
        <v>39</v>
      </c>
      <c r="D367" s="4" t="s">
        <v>47</v>
      </c>
      <c r="E367" s="4" t="s">
        <v>48</v>
      </c>
      <c r="F367" s="4" t="s">
        <v>25</v>
      </c>
      <c r="G367" s="4" t="s">
        <v>25</v>
      </c>
      <c r="H367" s="4" t="s">
        <v>25</v>
      </c>
      <c r="I367" s="5">
        <v>44378</v>
      </c>
      <c r="J367" s="6">
        <v>494</v>
      </c>
      <c r="K367" s="76">
        <v>494</v>
      </c>
      <c r="L367" s="6">
        <v>0</v>
      </c>
      <c r="M367" s="75">
        <v>0</v>
      </c>
      <c r="N367" s="6">
        <v>0</v>
      </c>
      <c r="O367" s="75">
        <v>0</v>
      </c>
      <c r="P367" s="6">
        <v>3</v>
      </c>
      <c r="Q367" s="4" t="s">
        <v>26</v>
      </c>
      <c r="R367" s="4">
        <v>0</v>
      </c>
      <c r="S367" s="4">
        <v>18</v>
      </c>
      <c r="T367" s="4">
        <v>0</v>
      </c>
      <c r="U367" s="4">
        <v>0</v>
      </c>
      <c r="V367" s="75">
        <f>IF(ISERROR(VLOOKUP($S$367,'TAR FIN'!$A$1:$O$93,15,0)),0,VLOOKUP($S$367,'TAR FIN'!$A$1:$O$93,15,0))*(1-0.06)</f>
        <v>24.599800000000002</v>
      </c>
      <c r="W367" s="75">
        <f>IF(ISERROR(VLOOKUP($T$367,'TAR FIN'!$A$1:$O$93,15,0)),0,VLOOKUP($T$367,'TAR FIN'!$A$1:$O$93,15,0))</f>
        <v>0</v>
      </c>
      <c r="X367" s="75">
        <f>IF(ISERROR(VLOOKUP($U$367,'TAR FIN'!$A$1:$O$93,15,0)),0,VLOOKUP($U$367,'TAR FIN'!$A$1:$O$93,15,0))</f>
        <v>0</v>
      </c>
      <c r="Y367" s="75">
        <f ca="1">('TUSD BE'!$AM$14+'TUSD BF'!$AM$14+'TUSD CVA'!$AM$14)*1*(1-0.03)</f>
        <v>29.539877894373404</v>
      </c>
      <c r="Z367" s="75"/>
      <c r="AA367" s="75"/>
      <c r="AB367" s="75">
        <f>(SUBSIDIO!$J$367*SUBSIDIO!$V$367)*(0.06)/(1-0.06)</f>
        <v>775.67880000000014</v>
      </c>
      <c r="AC367" s="75">
        <f>((SUBSIDIO!$L$367*SUBSIDIO!$W$367)+(SUBSIDIO!$N$367*SUBSIDIO!$X$367))*(0.06)/(1-0.06)</f>
        <v>0</v>
      </c>
      <c r="AD367" s="75">
        <f ca="1">(SUBSIDIO!$J$367*SUBSIDIO!$Y$367)*(0.03)/(1-0.03)</f>
        <v>451.32060865424108</v>
      </c>
      <c r="AE367" s="75">
        <f>((SUBSIDIO!$L$367*SUBSIDIO!$Z$367)+(SUBSIDIO!$N$367*SUBSIDIO!$AA$367))*(0.03)/(1-0.03)</f>
        <v>0</v>
      </c>
      <c r="AF367" s="4" t="s">
        <v>640</v>
      </c>
    </row>
    <row r="368" spans="1:32" ht="11.25" customHeight="1" x14ac:dyDescent="0.25">
      <c r="A368" s="4" t="s">
        <v>27</v>
      </c>
      <c r="B368" s="4" t="s">
        <v>35</v>
      </c>
      <c r="C368" s="4" t="s">
        <v>39</v>
      </c>
      <c r="D368" s="4" t="s">
        <v>47</v>
      </c>
      <c r="E368" s="4" t="s">
        <v>48</v>
      </c>
      <c r="F368" s="4" t="s">
        <v>25</v>
      </c>
      <c r="G368" s="4" t="s">
        <v>25</v>
      </c>
      <c r="H368" s="4" t="s">
        <v>25</v>
      </c>
      <c r="I368" s="5">
        <v>44378</v>
      </c>
      <c r="J368" s="6">
        <v>-190</v>
      </c>
      <c r="K368" s="76">
        <v>-190</v>
      </c>
      <c r="L368" s="6">
        <v>0</v>
      </c>
      <c r="M368" s="75">
        <v>0</v>
      </c>
      <c r="N368" s="6">
        <v>0</v>
      </c>
      <c r="O368" s="75">
        <v>0</v>
      </c>
      <c r="P368" s="6">
        <v>0</v>
      </c>
      <c r="Q368" s="4" t="s">
        <v>26</v>
      </c>
      <c r="R368" s="4">
        <v>0</v>
      </c>
      <c r="S368" s="4">
        <v>18</v>
      </c>
      <c r="T368" s="4">
        <v>0</v>
      </c>
      <c r="U368" s="4">
        <v>0</v>
      </c>
      <c r="V368" s="75">
        <f>IF(ISERROR(VLOOKUP($S$368,'TAR FIN'!$A$1:$O$93,15,0)),0,VLOOKUP($S$368,'TAR FIN'!$A$1:$O$93,15,0))*(1-0.06)</f>
        <v>24.599800000000002</v>
      </c>
      <c r="W368" s="75">
        <f>IF(ISERROR(VLOOKUP($T$368,'TAR FIN'!$A$1:$O$93,15,0)),0,VLOOKUP($T$368,'TAR FIN'!$A$1:$O$93,15,0))</f>
        <v>0</v>
      </c>
      <c r="X368" s="75">
        <f>IF(ISERROR(VLOOKUP($U$368,'TAR FIN'!$A$1:$O$93,15,0)),0,VLOOKUP($U$368,'TAR FIN'!$A$1:$O$93,15,0))</f>
        <v>0</v>
      </c>
      <c r="Y368" s="75">
        <f ca="1">('TUSD BE'!$AM$14+'TUSD BF'!$AM$14+'TUSD CVA'!$AM$14)*1*(1-0.03)</f>
        <v>29.539877894373404</v>
      </c>
      <c r="Z368" s="75"/>
      <c r="AA368" s="75"/>
      <c r="AB368" s="75">
        <f>(SUBSIDIO!$J$368*SUBSIDIO!$V$368)*(0.06)/(1-0.06)</f>
        <v>-298.33800000000002</v>
      </c>
      <c r="AC368" s="75">
        <f>((SUBSIDIO!$L$368*SUBSIDIO!$W$368)+(SUBSIDIO!$N$368*SUBSIDIO!$X$368))*(0.06)/(1-0.06)</f>
        <v>0</v>
      </c>
      <c r="AD368" s="75">
        <f ca="1">(SUBSIDIO!$J$368*SUBSIDIO!$Y$368)*(0.03)/(1-0.03)</f>
        <v>-173.58484948240039</v>
      </c>
      <c r="AE368" s="75">
        <f>((SUBSIDIO!$L$368*SUBSIDIO!$Z$368)+(SUBSIDIO!$N$368*SUBSIDIO!$AA$368))*(0.03)/(1-0.03)</f>
        <v>0</v>
      </c>
      <c r="AF368" s="4" t="s">
        <v>640</v>
      </c>
    </row>
    <row r="369" spans="1:32" ht="11.25" customHeight="1" x14ac:dyDescent="0.25">
      <c r="A369" s="4" t="s">
        <v>21</v>
      </c>
      <c r="B369" s="4" t="s">
        <v>35</v>
      </c>
      <c r="C369" s="4" t="s">
        <v>39</v>
      </c>
      <c r="D369" s="4" t="s">
        <v>47</v>
      </c>
      <c r="E369" s="4" t="s">
        <v>48</v>
      </c>
      <c r="F369" s="4" t="s">
        <v>25</v>
      </c>
      <c r="G369" s="4" t="s">
        <v>25</v>
      </c>
      <c r="H369" s="4" t="s">
        <v>25</v>
      </c>
      <c r="I369" s="5">
        <v>44409</v>
      </c>
      <c r="J369" s="6">
        <v>307</v>
      </c>
      <c r="K369" s="76">
        <v>307</v>
      </c>
      <c r="L369" s="6">
        <v>0</v>
      </c>
      <c r="M369" s="75">
        <v>0</v>
      </c>
      <c r="N369" s="6">
        <v>0</v>
      </c>
      <c r="O369" s="75">
        <v>0</v>
      </c>
      <c r="P369" s="6">
        <v>3</v>
      </c>
      <c r="Q369" s="4" t="s">
        <v>26</v>
      </c>
      <c r="R369" s="4">
        <v>0</v>
      </c>
      <c r="S369" s="4">
        <v>18</v>
      </c>
      <c r="T369" s="4">
        <v>0</v>
      </c>
      <c r="U369" s="4">
        <v>0</v>
      </c>
      <c r="V369" s="75">
        <f>IF(ISERROR(VLOOKUP($S$369,'TAR FIN'!$A$1:$O$93,15,0)),0,VLOOKUP($S$369,'TAR FIN'!$A$1:$O$93,15,0))*(1-0.06)</f>
        <v>24.599800000000002</v>
      </c>
      <c r="W369" s="75">
        <f>IF(ISERROR(VLOOKUP($T$369,'TAR FIN'!$A$1:$O$93,15,0)),0,VLOOKUP($T$369,'TAR FIN'!$A$1:$O$93,15,0))</f>
        <v>0</v>
      </c>
      <c r="X369" s="75">
        <f>IF(ISERROR(VLOOKUP($U$369,'TAR FIN'!$A$1:$O$93,15,0)),0,VLOOKUP($U$369,'TAR FIN'!$A$1:$O$93,15,0))</f>
        <v>0</v>
      </c>
      <c r="Y369" s="75">
        <f ca="1">('TUSD BE'!$AM$14+'TUSD BF'!$AM$14+'TUSD CVA'!$AM$14)*1*(1-0.03)</f>
        <v>29.539877894373404</v>
      </c>
      <c r="Z369" s="75"/>
      <c r="AA369" s="75"/>
      <c r="AB369" s="75">
        <f>(SUBSIDIO!$J$369*SUBSIDIO!$V$369)*(0.06)/(1-0.06)</f>
        <v>482.0514</v>
      </c>
      <c r="AC369" s="75">
        <f>((SUBSIDIO!$L$369*SUBSIDIO!$W$369)+(SUBSIDIO!$N$369*SUBSIDIO!$X$369))*(0.06)/(1-0.06)</f>
        <v>0</v>
      </c>
      <c r="AD369" s="75">
        <f ca="1">(SUBSIDIO!$J$369*SUBSIDIO!$Y$369)*(0.03)/(1-0.03)</f>
        <v>280.47657258472071</v>
      </c>
      <c r="AE369" s="75">
        <f>((SUBSIDIO!$L$369*SUBSIDIO!$Z$369)+(SUBSIDIO!$N$369*SUBSIDIO!$AA$369))*(0.03)/(1-0.03)</f>
        <v>0</v>
      </c>
      <c r="AF369" s="4" t="s">
        <v>640</v>
      </c>
    </row>
    <row r="370" spans="1:32" ht="11.25" customHeight="1" x14ac:dyDescent="0.25">
      <c r="A370" s="4" t="s">
        <v>21</v>
      </c>
      <c r="B370" s="4" t="s">
        <v>35</v>
      </c>
      <c r="C370" s="4" t="s">
        <v>39</v>
      </c>
      <c r="D370" s="4" t="s">
        <v>47</v>
      </c>
      <c r="E370" s="4" t="s">
        <v>48</v>
      </c>
      <c r="F370" s="4" t="s">
        <v>25</v>
      </c>
      <c r="G370" s="4" t="s">
        <v>25</v>
      </c>
      <c r="H370" s="4" t="s">
        <v>25</v>
      </c>
      <c r="I370" s="5">
        <v>44440</v>
      </c>
      <c r="J370" s="6">
        <v>320</v>
      </c>
      <c r="K370" s="76">
        <v>320</v>
      </c>
      <c r="L370" s="6">
        <v>0</v>
      </c>
      <c r="M370" s="75">
        <v>0</v>
      </c>
      <c r="N370" s="6">
        <v>0</v>
      </c>
      <c r="O370" s="75">
        <v>0</v>
      </c>
      <c r="P370" s="6">
        <v>3</v>
      </c>
      <c r="Q370" s="4" t="s">
        <v>26</v>
      </c>
      <c r="R370" s="4">
        <v>0</v>
      </c>
      <c r="S370" s="4">
        <v>18</v>
      </c>
      <c r="T370" s="4">
        <v>0</v>
      </c>
      <c r="U370" s="4">
        <v>0</v>
      </c>
      <c r="V370" s="75">
        <f>IF(ISERROR(VLOOKUP($S$370,'TAR FIN'!$A$1:$O$93,15,0)),0,VLOOKUP($S$370,'TAR FIN'!$A$1:$O$93,15,0))*(1-0.06)</f>
        <v>24.599800000000002</v>
      </c>
      <c r="W370" s="75">
        <f>IF(ISERROR(VLOOKUP($T$370,'TAR FIN'!$A$1:$O$93,15,0)),0,VLOOKUP($T$370,'TAR FIN'!$A$1:$O$93,15,0))</f>
        <v>0</v>
      </c>
      <c r="X370" s="75">
        <f>IF(ISERROR(VLOOKUP($U$370,'TAR FIN'!$A$1:$O$93,15,0)),0,VLOOKUP($U$370,'TAR FIN'!$A$1:$O$93,15,0))</f>
        <v>0</v>
      </c>
      <c r="Y370" s="75">
        <f ca="1">('TUSD BE'!$AM$14+'TUSD BF'!$AM$14+'TUSD CVA'!$AM$14)*1*(1-0.03)</f>
        <v>29.539877894373404</v>
      </c>
      <c r="Z370" s="75"/>
      <c r="AA370" s="75"/>
      <c r="AB370" s="75">
        <f>(SUBSIDIO!$J$370*SUBSIDIO!$V$370)*(0.06)/(1-0.06)</f>
        <v>502.46400000000006</v>
      </c>
      <c r="AC370" s="75">
        <f>((SUBSIDIO!$L$370*SUBSIDIO!$W$370)+(SUBSIDIO!$N$370*SUBSIDIO!$X$370))*(0.06)/(1-0.06)</f>
        <v>0</v>
      </c>
      <c r="AD370" s="75">
        <f ca="1">(SUBSIDIO!$J$370*SUBSIDIO!$Y$370)*(0.03)/(1-0.03)</f>
        <v>292.35343070720069</v>
      </c>
      <c r="AE370" s="75">
        <f>((SUBSIDIO!$L$370*SUBSIDIO!$Z$370)+(SUBSIDIO!$N$370*SUBSIDIO!$AA$370))*(0.03)/(1-0.03)</f>
        <v>0</v>
      </c>
      <c r="AF370" s="4" t="s">
        <v>640</v>
      </c>
    </row>
    <row r="371" spans="1:32" ht="11.25" customHeight="1" x14ac:dyDescent="0.25">
      <c r="A371" s="4" t="s">
        <v>21</v>
      </c>
      <c r="B371" s="4" t="s">
        <v>35</v>
      </c>
      <c r="C371" s="4" t="s">
        <v>39</v>
      </c>
      <c r="D371" s="4" t="s">
        <v>47</v>
      </c>
      <c r="E371" s="4" t="s">
        <v>48</v>
      </c>
      <c r="F371" s="4" t="s">
        <v>25</v>
      </c>
      <c r="G371" s="4" t="s">
        <v>25</v>
      </c>
      <c r="H371" s="4" t="s">
        <v>25</v>
      </c>
      <c r="I371" s="5">
        <v>44470</v>
      </c>
      <c r="J371" s="6">
        <v>316</v>
      </c>
      <c r="K371" s="76">
        <v>316</v>
      </c>
      <c r="L371" s="6">
        <v>0</v>
      </c>
      <c r="M371" s="75">
        <v>0</v>
      </c>
      <c r="N371" s="6">
        <v>0</v>
      </c>
      <c r="O371" s="75">
        <v>0</v>
      </c>
      <c r="P371" s="6">
        <v>3</v>
      </c>
      <c r="Q371" s="4" t="s">
        <v>26</v>
      </c>
      <c r="R371" s="4">
        <v>0</v>
      </c>
      <c r="S371" s="4">
        <v>18</v>
      </c>
      <c r="T371" s="4">
        <v>0</v>
      </c>
      <c r="U371" s="4">
        <v>0</v>
      </c>
      <c r="V371" s="75">
        <f>IF(ISERROR(VLOOKUP($S$371,'TAR FIN'!$A$1:$O$93,15,0)),0,VLOOKUP($S$371,'TAR FIN'!$A$1:$O$93,15,0))*(1-0.06)</f>
        <v>24.599800000000002</v>
      </c>
      <c r="W371" s="75">
        <f>IF(ISERROR(VLOOKUP($T$371,'TAR FIN'!$A$1:$O$93,15,0)),0,VLOOKUP($T$371,'TAR FIN'!$A$1:$O$93,15,0))</f>
        <v>0</v>
      </c>
      <c r="X371" s="75">
        <f>IF(ISERROR(VLOOKUP($U$371,'TAR FIN'!$A$1:$O$93,15,0)),0,VLOOKUP($U$371,'TAR FIN'!$A$1:$O$93,15,0))</f>
        <v>0</v>
      </c>
      <c r="Y371" s="75">
        <f ca="1">('TUSD BE'!$AM$14+'TUSD BF'!$AM$14+'TUSD CVA'!$AM$14)*1*(1-0.03)</f>
        <v>29.539877894373404</v>
      </c>
      <c r="Z371" s="75"/>
      <c r="AA371" s="75"/>
      <c r="AB371" s="75">
        <f>(SUBSIDIO!$J$371*SUBSIDIO!$V$371)*(0.06)/(1-0.06)</f>
        <v>496.18320000000006</v>
      </c>
      <c r="AC371" s="75">
        <f>((SUBSIDIO!$L$371*SUBSIDIO!$W$371)+(SUBSIDIO!$N$371*SUBSIDIO!$X$371))*(0.06)/(1-0.06)</f>
        <v>0</v>
      </c>
      <c r="AD371" s="75">
        <f ca="1">(SUBSIDIO!$J$371*SUBSIDIO!$Y$371)*(0.03)/(1-0.03)</f>
        <v>288.69901282336065</v>
      </c>
      <c r="AE371" s="75">
        <f>((SUBSIDIO!$L$371*SUBSIDIO!$Z$371)+(SUBSIDIO!$N$371*SUBSIDIO!$AA$371))*(0.03)/(1-0.03)</f>
        <v>0</v>
      </c>
      <c r="AF371" s="4" t="s">
        <v>640</v>
      </c>
    </row>
    <row r="372" spans="1:32" ht="11.25" customHeight="1" x14ac:dyDescent="0.25">
      <c r="A372" s="4" t="s">
        <v>21</v>
      </c>
      <c r="B372" s="4" t="s">
        <v>35</v>
      </c>
      <c r="C372" s="4" t="s">
        <v>39</v>
      </c>
      <c r="D372" s="4" t="s">
        <v>47</v>
      </c>
      <c r="E372" s="4" t="s">
        <v>48</v>
      </c>
      <c r="F372" s="4" t="s">
        <v>25</v>
      </c>
      <c r="G372" s="4" t="s">
        <v>25</v>
      </c>
      <c r="H372" s="4" t="s">
        <v>25</v>
      </c>
      <c r="I372" s="5">
        <v>44501</v>
      </c>
      <c r="J372" s="6">
        <v>319</v>
      </c>
      <c r="K372" s="76">
        <v>319</v>
      </c>
      <c r="L372" s="6">
        <v>0</v>
      </c>
      <c r="M372" s="75">
        <v>0</v>
      </c>
      <c r="N372" s="6">
        <v>0</v>
      </c>
      <c r="O372" s="75">
        <v>0</v>
      </c>
      <c r="P372" s="6">
        <v>3</v>
      </c>
      <c r="Q372" s="4" t="s">
        <v>26</v>
      </c>
      <c r="R372" s="4">
        <v>0</v>
      </c>
      <c r="S372" s="4">
        <v>18</v>
      </c>
      <c r="T372" s="4">
        <v>0</v>
      </c>
      <c r="U372" s="4">
        <v>0</v>
      </c>
      <c r="V372" s="75">
        <f>IF(ISERROR(VLOOKUP($S$372,'TAR FIN'!$A$1:$O$93,15,0)),0,VLOOKUP($S$372,'TAR FIN'!$A$1:$O$93,15,0))*(1-0.06)</f>
        <v>24.599800000000002</v>
      </c>
      <c r="W372" s="75">
        <f>IF(ISERROR(VLOOKUP($T$372,'TAR FIN'!$A$1:$O$93,15,0)),0,VLOOKUP($T$372,'TAR FIN'!$A$1:$O$93,15,0))</f>
        <v>0</v>
      </c>
      <c r="X372" s="75">
        <f>IF(ISERROR(VLOOKUP($U$372,'TAR FIN'!$A$1:$O$93,15,0)),0,VLOOKUP($U$372,'TAR FIN'!$A$1:$O$93,15,0))</f>
        <v>0</v>
      </c>
      <c r="Y372" s="75">
        <f ca="1">('TUSD BE'!$AM$14+'TUSD BF'!$AM$14+'TUSD CVA'!$AM$14)*1*(1-0.03)</f>
        <v>29.539877894373404</v>
      </c>
      <c r="Z372" s="75"/>
      <c r="AA372" s="75"/>
      <c r="AB372" s="75">
        <f>(SUBSIDIO!$J$372*SUBSIDIO!$V$372)*(0.06)/(1-0.06)</f>
        <v>500.8938</v>
      </c>
      <c r="AC372" s="75">
        <f>((SUBSIDIO!$L$372*SUBSIDIO!$W$372)+(SUBSIDIO!$N$372*SUBSIDIO!$X$372))*(0.06)/(1-0.06)</f>
        <v>0</v>
      </c>
      <c r="AD372" s="75">
        <f ca="1">(SUBSIDIO!$J$372*SUBSIDIO!$Y$372)*(0.03)/(1-0.03)</f>
        <v>291.43982623624072</v>
      </c>
      <c r="AE372" s="75">
        <f>((SUBSIDIO!$L$372*SUBSIDIO!$Z$372)+(SUBSIDIO!$N$372*SUBSIDIO!$AA$372))*(0.03)/(1-0.03)</f>
        <v>0</v>
      </c>
      <c r="AF372" s="4" t="s">
        <v>640</v>
      </c>
    </row>
    <row r="373" spans="1:32" ht="11.25" customHeight="1" x14ac:dyDescent="0.25">
      <c r="A373" s="4" t="s">
        <v>21</v>
      </c>
      <c r="B373" s="4" t="s">
        <v>35</v>
      </c>
      <c r="C373" s="4" t="s">
        <v>39</v>
      </c>
      <c r="D373" s="4" t="s">
        <v>47</v>
      </c>
      <c r="E373" s="4" t="s">
        <v>48</v>
      </c>
      <c r="F373" s="4" t="s">
        <v>25</v>
      </c>
      <c r="G373" s="4" t="s">
        <v>25</v>
      </c>
      <c r="H373" s="4" t="s">
        <v>25</v>
      </c>
      <c r="I373" s="5">
        <v>44531</v>
      </c>
      <c r="J373" s="6">
        <v>312</v>
      </c>
      <c r="K373" s="76">
        <v>312</v>
      </c>
      <c r="L373" s="6">
        <v>0</v>
      </c>
      <c r="M373" s="75">
        <v>0</v>
      </c>
      <c r="N373" s="6">
        <v>0</v>
      </c>
      <c r="O373" s="75">
        <v>0</v>
      </c>
      <c r="P373" s="6">
        <v>3</v>
      </c>
      <c r="Q373" s="4" t="s">
        <v>26</v>
      </c>
      <c r="R373" s="4">
        <v>0</v>
      </c>
      <c r="S373" s="4">
        <v>18</v>
      </c>
      <c r="T373" s="4">
        <v>0</v>
      </c>
      <c r="U373" s="4">
        <v>0</v>
      </c>
      <c r="V373" s="75">
        <f>IF(ISERROR(VLOOKUP($S$373,'TAR FIN'!$A$1:$O$93,15,0)),0,VLOOKUP($S$373,'TAR FIN'!$A$1:$O$93,15,0))*(1-0.06)</f>
        <v>24.599800000000002</v>
      </c>
      <c r="W373" s="75">
        <f>IF(ISERROR(VLOOKUP($T$373,'TAR FIN'!$A$1:$O$93,15,0)),0,VLOOKUP($T$373,'TAR FIN'!$A$1:$O$93,15,0))</f>
        <v>0</v>
      </c>
      <c r="X373" s="75">
        <f>IF(ISERROR(VLOOKUP($U$373,'TAR FIN'!$A$1:$O$93,15,0)),0,VLOOKUP($U$373,'TAR FIN'!$A$1:$O$93,15,0))</f>
        <v>0</v>
      </c>
      <c r="Y373" s="75">
        <f ca="1">('TUSD BE'!$AM$14+'TUSD BF'!$AM$14+'TUSD CVA'!$AM$14)*1*(1-0.03)</f>
        <v>29.539877894373404</v>
      </c>
      <c r="Z373" s="75"/>
      <c r="AA373" s="75"/>
      <c r="AB373" s="75">
        <f>(SUBSIDIO!$J$373*SUBSIDIO!$V$373)*(0.06)/(1-0.06)</f>
        <v>489.90240000000006</v>
      </c>
      <c r="AC373" s="75">
        <f>((SUBSIDIO!$L$373*SUBSIDIO!$W$373)+(SUBSIDIO!$N$373*SUBSIDIO!$X$373))*(0.06)/(1-0.06)</f>
        <v>0</v>
      </c>
      <c r="AD373" s="75">
        <f ca="1">(SUBSIDIO!$J$373*SUBSIDIO!$Y$373)*(0.03)/(1-0.03)</f>
        <v>285.04459493952072</v>
      </c>
      <c r="AE373" s="75">
        <f>((SUBSIDIO!$L$373*SUBSIDIO!$Z$373)+(SUBSIDIO!$N$373*SUBSIDIO!$AA$373))*(0.03)/(1-0.03)</f>
        <v>0</v>
      </c>
      <c r="AF373" s="4" t="s">
        <v>640</v>
      </c>
    </row>
    <row r="374" spans="1:32" ht="11.25" customHeight="1" x14ac:dyDescent="0.25">
      <c r="A374" s="4" t="s">
        <v>21</v>
      </c>
      <c r="B374" s="4" t="s">
        <v>35</v>
      </c>
      <c r="C374" s="4" t="s">
        <v>39</v>
      </c>
      <c r="D374" s="4" t="s">
        <v>47</v>
      </c>
      <c r="E374" s="4" t="s">
        <v>48</v>
      </c>
      <c r="F374" s="4" t="s">
        <v>25</v>
      </c>
      <c r="G374" s="4" t="s">
        <v>25</v>
      </c>
      <c r="H374" s="4" t="s">
        <v>25</v>
      </c>
      <c r="I374" s="5">
        <v>44562</v>
      </c>
      <c r="J374" s="6">
        <v>305</v>
      </c>
      <c r="K374" s="76">
        <v>305</v>
      </c>
      <c r="L374" s="6">
        <v>0</v>
      </c>
      <c r="M374" s="75">
        <v>0</v>
      </c>
      <c r="N374" s="6">
        <v>0</v>
      </c>
      <c r="O374" s="75">
        <v>0</v>
      </c>
      <c r="P374" s="6">
        <v>3</v>
      </c>
      <c r="Q374" s="4" t="s">
        <v>26</v>
      </c>
      <c r="R374" s="4">
        <v>0</v>
      </c>
      <c r="S374" s="4">
        <v>18</v>
      </c>
      <c r="T374" s="4">
        <v>0</v>
      </c>
      <c r="U374" s="4">
        <v>0</v>
      </c>
      <c r="V374" s="75">
        <f>IF(ISERROR(VLOOKUP($S$374,'TAR FIN'!$A$1:$O$93,15,0)),0,VLOOKUP($S$374,'TAR FIN'!$A$1:$O$93,15,0))*(1-0.06)</f>
        <v>24.599800000000002</v>
      </c>
      <c r="W374" s="75">
        <f>IF(ISERROR(VLOOKUP($T$374,'TAR FIN'!$A$1:$O$93,15,0)),0,VLOOKUP($T$374,'TAR FIN'!$A$1:$O$93,15,0))</f>
        <v>0</v>
      </c>
      <c r="X374" s="75">
        <f>IF(ISERROR(VLOOKUP($U$374,'TAR FIN'!$A$1:$O$93,15,0)),0,VLOOKUP($U$374,'TAR FIN'!$A$1:$O$93,15,0))</f>
        <v>0</v>
      </c>
      <c r="Y374" s="75">
        <f ca="1">('TUSD BE'!$AM$14+'TUSD BF'!$AM$14+'TUSD CVA'!$AM$14)*1*(1-0.03)</f>
        <v>29.539877894373404</v>
      </c>
      <c r="Z374" s="75"/>
      <c r="AA374" s="75"/>
      <c r="AB374" s="75">
        <f>(SUBSIDIO!$J$374*SUBSIDIO!$V$374)*(0.06)/(1-0.06)</f>
        <v>478.911</v>
      </c>
      <c r="AC374" s="75">
        <f>((SUBSIDIO!$L$374*SUBSIDIO!$W$374)+(SUBSIDIO!$N$374*SUBSIDIO!$X$374))*(0.06)/(1-0.06)</f>
        <v>0</v>
      </c>
      <c r="AD374" s="75">
        <f ca="1">(SUBSIDIO!$J$374*SUBSIDIO!$Y$374)*(0.03)/(1-0.03)</f>
        <v>278.64936364280061</v>
      </c>
      <c r="AE374" s="75">
        <f>((SUBSIDIO!$L$374*SUBSIDIO!$Z$374)+(SUBSIDIO!$N$374*SUBSIDIO!$AA$374))*(0.03)/(1-0.03)</f>
        <v>0</v>
      </c>
      <c r="AF374" s="4" t="s">
        <v>640</v>
      </c>
    </row>
    <row r="375" spans="1:32" ht="11.25" customHeight="1" x14ac:dyDescent="0.25">
      <c r="A375" s="4" t="s">
        <v>21</v>
      </c>
      <c r="B375" s="4" t="s">
        <v>35</v>
      </c>
      <c r="C375" s="4" t="s">
        <v>39</v>
      </c>
      <c r="D375" s="4" t="s">
        <v>47</v>
      </c>
      <c r="E375" s="4" t="s">
        <v>48</v>
      </c>
      <c r="F375" s="4" t="s">
        <v>25</v>
      </c>
      <c r="G375" s="4" t="s">
        <v>25</v>
      </c>
      <c r="H375" s="4" t="s">
        <v>25</v>
      </c>
      <c r="I375" s="5">
        <v>44593</v>
      </c>
      <c r="J375" s="6">
        <v>314</v>
      </c>
      <c r="K375" s="76">
        <v>314</v>
      </c>
      <c r="L375" s="6">
        <v>0</v>
      </c>
      <c r="M375" s="75">
        <v>0</v>
      </c>
      <c r="N375" s="6">
        <v>0</v>
      </c>
      <c r="O375" s="75">
        <v>0</v>
      </c>
      <c r="P375" s="6">
        <v>3</v>
      </c>
      <c r="Q375" s="4" t="s">
        <v>26</v>
      </c>
      <c r="R375" s="4">
        <v>0</v>
      </c>
      <c r="S375" s="4">
        <v>18</v>
      </c>
      <c r="T375" s="4">
        <v>0</v>
      </c>
      <c r="U375" s="4">
        <v>0</v>
      </c>
      <c r="V375" s="75">
        <f>IF(ISERROR(VLOOKUP($S$375,'TAR FIN'!$A$1:$O$93,15,0)),0,VLOOKUP($S$375,'TAR FIN'!$A$1:$O$93,15,0))*(1-0.06)</f>
        <v>24.599800000000002</v>
      </c>
      <c r="W375" s="75">
        <f>IF(ISERROR(VLOOKUP($T$375,'TAR FIN'!$A$1:$O$93,15,0)),0,VLOOKUP($T$375,'TAR FIN'!$A$1:$O$93,15,0))</f>
        <v>0</v>
      </c>
      <c r="X375" s="75">
        <f>IF(ISERROR(VLOOKUP($U$375,'TAR FIN'!$A$1:$O$93,15,0)),0,VLOOKUP($U$375,'TAR FIN'!$A$1:$O$93,15,0))</f>
        <v>0</v>
      </c>
      <c r="Y375" s="75">
        <f ca="1">('TUSD BE'!$AM$14+'TUSD BF'!$AM$14+'TUSD CVA'!$AM$14)*1*(1-0.03)</f>
        <v>29.539877894373404</v>
      </c>
      <c r="Z375" s="75"/>
      <c r="AA375" s="75"/>
      <c r="AB375" s="75">
        <f>(SUBSIDIO!$J$375*SUBSIDIO!$V$375)*(0.06)/(1-0.06)</f>
        <v>493.04280000000006</v>
      </c>
      <c r="AC375" s="75">
        <f>((SUBSIDIO!$L$375*SUBSIDIO!$W$375)+(SUBSIDIO!$N$375*SUBSIDIO!$X$375))*(0.06)/(1-0.06)</f>
        <v>0</v>
      </c>
      <c r="AD375" s="75">
        <f ca="1">(SUBSIDIO!$J$375*SUBSIDIO!$Y$375)*(0.03)/(1-0.03)</f>
        <v>286.87180388144071</v>
      </c>
      <c r="AE375" s="75">
        <f>((SUBSIDIO!$L$375*SUBSIDIO!$Z$375)+(SUBSIDIO!$N$375*SUBSIDIO!$AA$375))*(0.03)/(1-0.03)</f>
        <v>0</v>
      </c>
      <c r="AF375" s="4" t="s">
        <v>640</v>
      </c>
    </row>
    <row r="376" spans="1:32" ht="11.25" customHeight="1" x14ac:dyDescent="0.25">
      <c r="A376" s="4" t="s">
        <v>21</v>
      </c>
      <c r="B376" s="4" t="s">
        <v>35</v>
      </c>
      <c r="C376" s="4" t="s">
        <v>39</v>
      </c>
      <c r="D376" s="4" t="s">
        <v>47</v>
      </c>
      <c r="E376" s="4" t="s">
        <v>48</v>
      </c>
      <c r="F376" s="4" t="s">
        <v>25</v>
      </c>
      <c r="G376" s="4" t="s">
        <v>25</v>
      </c>
      <c r="H376" s="4" t="s">
        <v>25</v>
      </c>
      <c r="I376" s="5">
        <v>44621</v>
      </c>
      <c r="J376" s="6">
        <v>311</v>
      </c>
      <c r="K376" s="76">
        <v>311</v>
      </c>
      <c r="L376" s="6">
        <v>0</v>
      </c>
      <c r="M376" s="75">
        <v>0</v>
      </c>
      <c r="N376" s="6">
        <v>0</v>
      </c>
      <c r="O376" s="75">
        <v>0</v>
      </c>
      <c r="P376" s="6">
        <v>3</v>
      </c>
      <c r="Q376" s="4" t="s">
        <v>26</v>
      </c>
      <c r="R376" s="4">
        <v>0</v>
      </c>
      <c r="S376" s="4">
        <v>18</v>
      </c>
      <c r="T376" s="4">
        <v>0</v>
      </c>
      <c r="U376" s="4">
        <v>0</v>
      </c>
      <c r="V376" s="75">
        <f>IF(ISERROR(VLOOKUP($S$376,'TAR FIN'!$A$1:$O$93,15,0)),0,VLOOKUP($S$376,'TAR FIN'!$A$1:$O$93,15,0))*(1-0.06)</f>
        <v>24.599800000000002</v>
      </c>
      <c r="W376" s="75">
        <f>IF(ISERROR(VLOOKUP($T$376,'TAR FIN'!$A$1:$O$93,15,0)),0,VLOOKUP($T$376,'TAR FIN'!$A$1:$O$93,15,0))</f>
        <v>0</v>
      </c>
      <c r="X376" s="75">
        <f>IF(ISERROR(VLOOKUP($U$376,'TAR FIN'!$A$1:$O$93,15,0)),0,VLOOKUP($U$376,'TAR FIN'!$A$1:$O$93,15,0))</f>
        <v>0</v>
      </c>
      <c r="Y376" s="75">
        <f ca="1">('TUSD BE'!$AM$14+'TUSD BF'!$AM$14+'TUSD CVA'!$AM$14)*1*(1-0.03)</f>
        <v>29.539877894373404</v>
      </c>
      <c r="Z376" s="75"/>
      <c r="AA376" s="75"/>
      <c r="AB376" s="75">
        <f>(SUBSIDIO!$J$376*SUBSIDIO!$V$376)*(0.06)/(1-0.06)</f>
        <v>488.33220000000006</v>
      </c>
      <c r="AC376" s="75">
        <f>((SUBSIDIO!$L$376*SUBSIDIO!$W$376)+(SUBSIDIO!$N$376*SUBSIDIO!$X$376))*(0.06)/(1-0.06)</f>
        <v>0</v>
      </c>
      <c r="AD376" s="75">
        <f ca="1">(SUBSIDIO!$J$376*SUBSIDIO!$Y$376)*(0.03)/(1-0.03)</f>
        <v>284.13099046856064</v>
      </c>
      <c r="AE376" s="75">
        <f>((SUBSIDIO!$L$376*SUBSIDIO!$Z$376)+(SUBSIDIO!$N$376*SUBSIDIO!$AA$376))*(0.03)/(1-0.03)</f>
        <v>0</v>
      </c>
      <c r="AF376" s="4" t="s">
        <v>640</v>
      </c>
    </row>
    <row r="377" spans="1:32" ht="11.25" customHeight="1" x14ac:dyDescent="0.25">
      <c r="A377" s="4" t="s">
        <v>21</v>
      </c>
      <c r="B377" s="4" t="s">
        <v>35</v>
      </c>
      <c r="C377" s="4" t="s">
        <v>39</v>
      </c>
      <c r="D377" s="4" t="s">
        <v>47</v>
      </c>
      <c r="E377" s="4" t="s">
        <v>48</v>
      </c>
      <c r="F377" s="4" t="s">
        <v>25</v>
      </c>
      <c r="G377" s="4" t="s">
        <v>25</v>
      </c>
      <c r="H377" s="4" t="s">
        <v>25</v>
      </c>
      <c r="I377" s="5">
        <v>44652</v>
      </c>
      <c r="J377" s="6">
        <v>315</v>
      </c>
      <c r="K377" s="76">
        <v>315</v>
      </c>
      <c r="L377" s="6">
        <v>0</v>
      </c>
      <c r="M377" s="75">
        <v>0</v>
      </c>
      <c r="N377" s="6">
        <v>0</v>
      </c>
      <c r="O377" s="75">
        <v>0</v>
      </c>
      <c r="P377" s="6">
        <v>3</v>
      </c>
      <c r="Q377" s="4" t="s">
        <v>26</v>
      </c>
      <c r="R377" s="4">
        <v>0</v>
      </c>
      <c r="S377" s="4">
        <v>18</v>
      </c>
      <c r="T377" s="4">
        <v>0</v>
      </c>
      <c r="U377" s="4">
        <v>0</v>
      </c>
      <c r="V377" s="75">
        <f>IF(ISERROR(VLOOKUP($S$377,'TAR FIN'!$A$1:$O$93,15,0)),0,VLOOKUP($S$377,'TAR FIN'!$A$1:$O$93,15,0))*(1-0.06)</f>
        <v>24.599800000000002</v>
      </c>
      <c r="W377" s="75">
        <f>IF(ISERROR(VLOOKUP($T$377,'TAR FIN'!$A$1:$O$93,15,0)),0,VLOOKUP($T$377,'TAR FIN'!$A$1:$O$93,15,0))</f>
        <v>0</v>
      </c>
      <c r="X377" s="75">
        <f>IF(ISERROR(VLOOKUP($U$377,'TAR FIN'!$A$1:$O$93,15,0)),0,VLOOKUP($U$377,'TAR FIN'!$A$1:$O$93,15,0))</f>
        <v>0</v>
      </c>
      <c r="Y377" s="75">
        <f ca="1">('TUSD BE'!$AM$14+'TUSD BF'!$AM$14+'TUSD CVA'!$AM$14)*1*(1-0.03)</f>
        <v>29.539877894373404</v>
      </c>
      <c r="Z377" s="75"/>
      <c r="AA377" s="75"/>
      <c r="AB377" s="75">
        <f>(SUBSIDIO!$J$377*SUBSIDIO!$V$377)*(0.06)/(1-0.06)</f>
        <v>494.61300000000006</v>
      </c>
      <c r="AC377" s="75">
        <f>((SUBSIDIO!$L$377*SUBSIDIO!$W$377)+(SUBSIDIO!$N$377*SUBSIDIO!$X$377))*(0.06)/(1-0.06)</f>
        <v>0</v>
      </c>
      <c r="AD377" s="75">
        <f ca="1">(SUBSIDIO!$J$377*SUBSIDIO!$Y$377)*(0.03)/(1-0.03)</f>
        <v>287.78540835240068</v>
      </c>
      <c r="AE377" s="75">
        <f>((SUBSIDIO!$L$377*SUBSIDIO!$Z$377)+(SUBSIDIO!$N$377*SUBSIDIO!$AA$377))*(0.03)/(1-0.03)</f>
        <v>0</v>
      </c>
      <c r="AF377" s="4" t="s">
        <v>640</v>
      </c>
    </row>
    <row r="378" spans="1:32" ht="11.25" customHeight="1" x14ac:dyDescent="0.25">
      <c r="A378" s="4" t="s">
        <v>21</v>
      </c>
      <c r="B378" s="4" t="s">
        <v>35</v>
      </c>
      <c r="C378" s="4" t="s">
        <v>39</v>
      </c>
      <c r="D378" s="4" t="s">
        <v>47</v>
      </c>
      <c r="E378" s="4" t="s">
        <v>48</v>
      </c>
      <c r="F378" s="4" t="s">
        <v>25</v>
      </c>
      <c r="G378" s="4" t="s">
        <v>25</v>
      </c>
      <c r="H378" s="4" t="s">
        <v>25</v>
      </c>
      <c r="I378" s="5">
        <v>44682</v>
      </c>
      <c r="J378" s="6">
        <v>319</v>
      </c>
      <c r="K378" s="76">
        <v>319</v>
      </c>
      <c r="L378" s="6">
        <v>0</v>
      </c>
      <c r="M378" s="75">
        <v>0</v>
      </c>
      <c r="N378" s="6">
        <v>0</v>
      </c>
      <c r="O378" s="75">
        <v>0</v>
      </c>
      <c r="P378" s="6">
        <v>3</v>
      </c>
      <c r="Q378" s="4" t="s">
        <v>26</v>
      </c>
      <c r="R378" s="4">
        <v>0</v>
      </c>
      <c r="S378" s="4">
        <v>18</v>
      </c>
      <c r="T378" s="4">
        <v>0</v>
      </c>
      <c r="U378" s="4">
        <v>0</v>
      </c>
      <c r="V378" s="75">
        <f>IF(ISERROR(VLOOKUP($S$378,'TAR FIN'!$A$1:$O$93,15,0)),0,VLOOKUP($S$378,'TAR FIN'!$A$1:$O$93,15,0))*(1-0.06)</f>
        <v>24.599800000000002</v>
      </c>
      <c r="W378" s="75">
        <f>IF(ISERROR(VLOOKUP($T$378,'TAR FIN'!$A$1:$O$93,15,0)),0,VLOOKUP($T$378,'TAR FIN'!$A$1:$O$93,15,0))</f>
        <v>0</v>
      </c>
      <c r="X378" s="75">
        <f>IF(ISERROR(VLOOKUP($U$378,'TAR FIN'!$A$1:$O$93,15,0)),0,VLOOKUP($U$378,'TAR FIN'!$A$1:$O$93,15,0))</f>
        <v>0</v>
      </c>
      <c r="Y378" s="75">
        <f ca="1">('TUSD BE'!$AM$14+'TUSD BF'!$AM$14+'TUSD CVA'!$AM$14)*1*(1-0.03)</f>
        <v>29.539877894373404</v>
      </c>
      <c r="Z378" s="75"/>
      <c r="AA378" s="75"/>
      <c r="AB378" s="75">
        <f>(SUBSIDIO!$J$378*SUBSIDIO!$V$378)*(0.06)/(1-0.06)</f>
        <v>500.8938</v>
      </c>
      <c r="AC378" s="75">
        <f>((SUBSIDIO!$L$378*SUBSIDIO!$W$378)+(SUBSIDIO!$N$378*SUBSIDIO!$X$378))*(0.06)/(1-0.06)</f>
        <v>0</v>
      </c>
      <c r="AD378" s="75">
        <f ca="1">(SUBSIDIO!$J$378*SUBSIDIO!$Y$378)*(0.03)/(1-0.03)</f>
        <v>291.43982623624072</v>
      </c>
      <c r="AE378" s="75">
        <f>((SUBSIDIO!$L$378*SUBSIDIO!$Z$378)+(SUBSIDIO!$N$378*SUBSIDIO!$AA$378))*(0.03)/(1-0.03)</f>
        <v>0</v>
      </c>
      <c r="AF378" s="4" t="s">
        <v>640</v>
      </c>
    </row>
    <row r="379" spans="1:32" ht="11.25" customHeight="1" x14ac:dyDescent="0.25">
      <c r="A379" s="4" t="s">
        <v>21</v>
      </c>
      <c r="B379" s="4" t="s">
        <v>35</v>
      </c>
      <c r="C379" s="4" t="s">
        <v>39</v>
      </c>
      <c r="D379" s="4" t="s">
        <v>47</v>
      </c>
      <c r="E379" s="4" t="s">
        <v>48</v>
      </c>
      <c r="F379" s="4" t="s">
        <v>25</v>
      </c>
      <c r="G379" s="4" t="s">
        <v>25</v>
      </c>
      <c r="H379" s="4" t="s">
        <v>25</v>
      </c>
      <c r="I379" s="5">
        <v>44713</v>
      </c>
      <c r="J379" s="6">
        <v>310</v>
      </c>
      <c r="K379" s="76">
        <v>310</v>
      </c>
      <c r="L379" s="6">
        <v>0</v>
      </c>
      <c r="M379" s="75">
        <v>0</v>
      </c>
      <c r="N379" s="6">
        <v>0</v>
      </c>
      <c r="O379" s="75">
        <v>0</v>
      </c>
      <c r="P379" s="6">
        <v>3</v>
      </c>
      <c r="Q379" s="4" t="s">
        <v>26</v>
      </c>
      <c r="R379" s="4">
        <v>0</v>
      </c>
      <c r="S379" s="4">
        <v>18</v>
      </c>
      <c r="T379" s="4">
        <v>0</v>
      </c>
      <c r="U379" s="4">
        <v>0</v>
      </c>
      <c r="V379" s="75">
        <f>IF(ISERROR(VLOOKUP($S$379,'TAR FIN'!$A$1:$O$93,15,0)),0,VLOOKUP($S$379,'TAR FIN'!$A$1:$O$93,15,0))*(1-0.06)</f>
        <v>24.599800000000002</v>
      </c>
      <c r="W379" s="75">
        <f>IF(ISERROR(VLOOKUP($T$379,'TAR FIN'!$A$1:$O$93,15,0)),0,VLOOKUP($T$379,'TAR FIN'!$A$1:$O$93,15,0))</f>
        <v>0</v>
      </c>
      <c r="X379" s="75">
        <f>IF(ISERROR(VLOOKUP($U$379,'TAR FIN'!$A$1:$O$93,15,0)),0,VLOOKUP($U$379,'TAR FIN'!$A$1:$O$93,15,0))</f>
        <v>0</v>
      </c>
      <c r="Y379" s="75">
        <f ca="1">('TUSD BE'!$AM$14+'TUSD BF'!$AM$14+'TUSD CVA'!$AM$14)*1*(1-0.03)</f>
        <v>29.539877894373404</v>
      </c>
      <c r="Z379" s="75"/>
      <c r="AA379" s="75"/>
      <c r="AB379" s="75">
        <f>(SUBSIDIO!$J$379*SUBSIDIO!$V$379)*(0.06)/(1-0.06)</f>
        <v>486.76200000000011</v>
      </c>
      <c r="AC379" s="75">
        <f>((SUBSIDIO!$L$379*SUBSIDIO!$W$379)+(SUBSIDIO!$N$379*SUBSIDIO!$X$379))*(0.06)/(1-0.06)</f>
        <v>0</v>
      </c>
      <c r="AD379" s="75">
        <f ca="1">(SUBSIDIO!$J$379*SUBSIDIO!$Y$379)*(0.03)/(1-0.03)</f>
        <v>283.21738599760067</v>
      </c>
      <c r="AE379" s="75">
        <f>((SUBSIDIO!$L$379*SUBSIDIO!$Z$379)+(SUBSIDIO!$N$379*SUBSIDIO!$AA$379))*(0.03)/(1-0.03)</f>
        <v>0</v>
      </c>
      <c r="AF379" s="4" t="s">
        <v>640</v>
      </c>
    </row>
    <row r="380" spans="1:32" ht="11.25" customHeight="1" x14ac:dyDescent="0.25">
      <c r="A380" s="4" t="s">
        <v>21</v>
      </c>
      <c r="B380" s="4" t="s">
        <v>35</v>
      </c>
      <c r="C380" s="4" t="s">
        <v>39</v>
      </c>
      <c r="D380" s="4" t="s">
        <v>47</v>
      </c>
      <c r="E380" s="4" t="s">
        <v>48</v>
      </c>
      <c r="F380" s="4" t="s">
        <v>25</v>
      </c>
      <c r="G380" s="4" t="s">
        <v>25</v>
      </c>
      <c r="H380" s="4" t="s">
        <v>37</v>
      </c>
      <c r="I380" s="5">
        <v>44378</v>
      </c>
      <c r="J380" s="6">
        <v>0</v>
      </c>
      <c r="K380" s="75">
        <v>0</v>
      </c>
      <c r="L380" s="6">
        <v>1.9890000000000001</v>
      </c>
      <c r="M380" s="75">
        <v>1.9890000000000001</v>
      </c>
      <c r="N380" s="6">
        <v>1.9890000000000001</v>
      </c>
      <c r="O380" s="75">
        <v>1.9890000000000001</v>
      </c>
      <c r="P380" s="6">
        <v>0</v>
      </c>
      <c r="Q380" s="4" t="s">
        <v>26</v>
      </c>
      <c r="R380" s="4">
        <v>0</v>
      </c>
      <c r="S380" s="4">
        <v>0</v>
      </c>
      <c r="T380" s="4">
        <v>12</v>
      </c>
      <c r="U380" s="4">
        <v>66</v>
      </c>
      <c r="V380" s="75">
        <f>IF(ISERROR(VLOOKUP($S$380,'TAR FIN'!$A$1:$O$93,15,0)),0,VLOOKUP($S$380,'TAR FIN'!$A$1:$O$93,15,0))</f>
        <v>0</v>
      </c>
      <c r="W380" s="75">
        <f>IF(ISERROR(VLOOKUP($T$380,'TAR FIN'!$A$1:$O$93,15,0)),0,VLOOKUP($T$380,'TAR FIN'!$A$1:$O$93,15,0))*(1-0.06)</f>
        <v>1057.2180000000001</v>
      </c>
      <c r="X380" s="75">
        <f>IF(ISERROR(VLOOKUP($U$380,'TAR FIN'!$A$1:$O$93,15,0)),0,VLOOKUP($U$380,'TAR FIN'!$A$1:$O$93,15,0))*(1-0.06)</f>
        <v>174.0692</v>
      </c>
      <c r="Y380" s="75"/>
      <c r="Z380" s="75">
        <f ca="1">('TUSD BE'!$AM$15+'TUSD BF'!$AM$15+'TUSD CVA'!$AM$15)*1*(1-0.03)</f>
        <v>1263.2950046814217</v>
      </c>
      <c r="AA380" s="75">
        <f>('TE BE'!$AB$7+'TE BF'!$AB$7+'TE CVA'!$AB$7)*1*(1-0.03)</f>
        <v>192.23648936268484</v>
      </c>
      <c r="AB380" s="75">
        <f>(SUBSIDIO!$J$380*SUBSIDIO!$V$380)*(0.06)/(1-0.06)</f>
        <v>0</v>
      </c>
      <c r="AC380" s="75">
        <f>((SUBSIDIO!$L$380*SUBSIDIO!$W$380)+(SUBSIDIO!$N$380*SUBSIDIO!$X$380))*(0.06)/(1-0.06)</f>
        <v>156.32107920000001</v>
      </c>
      <c r="AD380" s="75">
        <f>(SUBSIDIO!$J$380*SUBSIDIO!$Y$380)*(0.03)/(1-0.03)</f>
        <v>0</v>
      </c>
      <c r="AE380" s="75">
        <f ca="1">((SUBSIDIO!$L$380*SUBSIDIO!$Z$380)+(SUBSIDIO!$N$380*SUBSIDIO!$AA$380))*(0.03)/(1-0.03)</f>
        <v>89.537695102692624</v>
      </c>
      <c r="AF380" s="4" t="s">
        <v>640</v>
      </c>
    </row>
    <row r="381" spans="1:32" ht="11.25" customHeight="1" x14ac:dyDescent="0.25">
      <c r="A381" s="4" t="s">
        <v>27</v>
      </c>
      <c r="B381" s="4" t="s">
        <v>35</v>
      </c>
      <c r="C381" s="4" t="s">
        <v>39</v>
      </c>
      <c r="D381" s="4" t="s">
        <v>47</v>
      </c>
      <c r="E381" s="4" t="s">
        <v>48</v>
      </c>
      <c r="F381" s="4" t="s">
        <v>25</v>
      </c>
      <c r="G381" s="4" t="s">
        <v>25</v>
      </c>
      <c r="H381" s="4" t="s">
        <v>37</v>
      </c>
      <c r="I381" s="5">
        <v>44378</v>
      </c>
      <c r="J381" s="6">
        <v>0</v>
      </c>
      <c r="K381" s="75">
        <v>0</v>
      </c>
      <c r="L381" s="6">
        <v>-1.4870000000000001</v>
      </c>
      <c r="M381" s="75">
        <v>-1.4870000000000001</v>
      </c>
      <c r="N381" s="6">
        <v>-1.4870000000000001</v>
      </c>
      <c r="O381" s="75">
        <v>-1.4870000000000001</v>
      </c>
      <c r="P381" s="6">
        <v>0</v>
      </c>
      <c r="Q381" s="4" t="s">
        <v>26</v>
      </c>
      <c r="R381" s="4">
        <v>0</v>
      </c>
      <c r="S381" s="4">
        <v>0</v>
      </c>
      <c r="T381" s="4">
        <v>12</v>
      </c>
      <c r="U381" s="4">
        <v>66</v>
      </c>
      <c r="V381" s="75">
        <f>IF(ISERROR(VLOOKUP($S$381,'TAR FIN'!$A$1:$O$93,15,0)),0,VLOOKUP($S$381,'TAR FIN'!$A$1:$O$93,15,0))</f>
        <v>0</v>
      </c>
      <c r="W381" s="75">
        <f>IF(ISERROR(VLOOKUP($T$381,'TAR FIN'!$A$1:$O$93,15,0)),0,VLOOKUP($T$381,'TAR FIN'!$A$1:$O$93,15,0))*(1-0.06)</f>
        <v>1057.2180000000001</v>
      </c>
      <c r="X381" s="75">
        <f>IF(ISERROR(VLOOKUP($U$381,'TAR FIN'!$A$1:$O$93,15,0)),0,VLOOKUP($U$381,'TAR FIN'!$A$1:$O$93,15,0))*(1-0.06)</f>
        <v>174.0692</v>
      </c>
      <c r="Y381" s="75"/>
      <c r="Z381" s="75">
        <f ca="1">('TUSD BE'!$AM$15+'TUSD BF'!$AM$15+'TUSD CVA'!$AM$15)*1*(1-0.03)</f>
        <v>1263.2950046814217</v>
      </c>
      <c r="AA381" s="75">
        <f>('TE BE'!$AB$7+'TE BF'!$AB$7+'TE CVA'!$AB$7)*1*(1-0.03)</f>
        <v>192.23648936268484</v>
      </c>
      <c r="AB381" s="75">
        <f>(SUBSIDIO!$J$381*SUBSIDIO!$V$381)*(0.06)/(1-0.06)</f>
        <v>0</v>
      </c>
      <c r="AC381" s="75">
        <f>((SUBSIDIO!$L$381*SUBSIDIO!$W$381)+(SUBSIDIO!$N$381*SUBSIDIO!$X$381))*(0.06)/(1-0.06)</f>
        <v>-116.86749360000002</v>
      </c>
      <c r="AD381" s="75">
        <f>(SUBSIDIO!$J$381*SUBSIDIO!$Y$381)*(0.03)/(1-0.03)</f>
        <v>0</v>
      </c>
      <c r="AE381" s="75">
        <f ca="1">((SUBSIDIO!$L$381*SUBSIDIO!$Z$381)+(SUBSIDIO!$N$381*SUBSIDIO!$AA$381))*(0.03)/(1-0.03)</f>
        <v>-66.939443246708862</v>
      </c>
      <c r="AF381" s="4" t="s">
        <v>640</v>
      </c>
    </row>
    <row r="382" spans="1:32" ht="11.25" customHeight="1" x14ac:dyDescent="0.25">
      <c r="A382" s="4" t="s">
        <v>21</v>
      </c>
      <c r="B382" s="4" t="s">
        <v>35</v>
      </c>
      <c r="C382" s="4" t="s">
        <v>39</v>
      </c>
      <c r="D382" s="4" t="s">
        <v>47</v>
      </c>
      <c r="E382" s="4" t="s">
        <v>48</v>
      </c>
      <c r="F382" s="4" t="s">
        <v>25</v>
      </c>
      <c r="G382" s="4" t="s">
        <v>25</v>
      </c>
      <c r="H382" s="4" t="s">
        <v>37</v>
      </c>
      <c r="I382" s="5">
        <v>44409</v>
      </c>
      <c r="J382" s="6">
        <v>0</v>
      </c>
      <c r="K382" s="75">
        <v>0</v>
      </c>
      <c r="L382" s="6">
        <v>0.79400000000000004</v>
      </c>
      <c r="M382" s="75">
        <v>0.79400000000000004</v>
      </c>
      <c r="N382" s="6">
        <v>0.79400000000000004</v>
      </c>
      <c r="O382" s="75">
        <v>0.79400000000000004</v>
      </c>
      <c r="P382" s="6">
        <v>0</v>
      </c>
      <c r="Q382" s="4" t="s">
        <v>26</v>
      </c>
      <c r="R382" s="4">
        <v>0</v>
      </c>
      <c r="S382" s="4">
        <v>0</v>
      </c>
      <c r="T382" s="4">
        <v>12</v>
      </c>
      <c r="U382" s="4">
        <v>66</v>
      </c>
      <c r="V382" s="75">
        <f>IF(ISERROR(VLOOKUP($S$382,'TAR FIN'!$A$1:$O$93,15,0)),0,VLOOKUP($S$382,'TAR FIN'!$A$1:$O$93,15,0))</f>
        <v>0</v>
      </c>
      <c r="W382" s="75">
        <f>IF(ISERROR(VLOOKUP($T$382,'TAR FIN'!$A$1:$O$93,15,0)),0,VLOOKUP($T$382,'TAR FIN'!$A$1:$O$93,15,0))*(1-0.06)</f>
        <v>1057.2180000000001</v>
      </c>
      <c r="X382" s="75">
        <f>IF(ISERROR(VLOOKUP($U$382,'TAR FIN'!$A$1:$O$93,15,0)),0,VLOOKUP($U$382,'TAR FIN'!$A$1:$O$93,15,0))*(1-0.06)</f>
        <v>174.0692</v>
      </c>
      <c r="Y382" s="75"/>
      <c r="Z382" s="75">
        <f ca="1">('TUSD BE'!$AM$15+'TUSD BF'!$AM$15+'TUSD CVA'!$AM$15)*1*(1-0.03)</f>
        <v>1263.2950046814217</v>
      </c>
      <c r="AA382" s="75">
        <f>('TE BE'!$AB$7+'TE BF'!$AB$7+'TE CVA'!$AB$7)*1*(1-0.03)</f>
        <v>192.23648936268484</v>
      </c>
      <c r="AB382" s="75">
        <f>(SUBSIDIO!$J$382*SUBSIDIO!$V$382)*(0.06)/(1-0.06)</f>
        <v>0</v>
      </c>
      <c r="AC382" s="75">
        <f>((SUBSIDIO!$L$382*SUBSIDIO!$W$382)+(SUBSIDIO!$N$382*SUBSIDIO!$X$382))*(0.06)/(1-0.06)</f>
        <v>62.402683200000013</v>
      </c>
      <c r="AD382" s="75">
        <f>(SUBSIDIO!$J$382*SUBSIDIO!$Y$382)*(0.03)/(1-0.03)</f>
        <v>0</v>
      </c>
      <c r="AE382" s="75">
        <f ca="1">((SUBSIDIO!$L$382*SUBSIDIO!$Z$382)+(SUBSIDIO!$N$382*SUBSIDIO!$AA$382))*(0.03)/(1-0.03)</f>
        <v>35.743051740340839</v>
      </c>
      <c r="AF382" s="4" t="s">
        <v>640</v>
      </c>
    </row>
    <row r="383" spans="1:32" ht="11.25" customHeight="1" x14ac:dyDescent="0.25">
      <c r="A383" s="4" t="s">
        <v>21</v>
      </c>
      <c r="B383" s="4" t="s">
        <v>35</v>
      </c>
      <c r="C383" s="4" t="s">
        <v>39</v>
      </c>
      <c r="D383" s="4" t="s">
        <v>47</v>
      </c>
      <c r="E383" s="4" t="s">
        <v>48</v>
      </c>
      <c r="F383" s="4" t="s">
        <v>25</v>
      </c>
      <c r="G383" s="4" t="s">
        <v>25</v>
      </c>
      <c r="H383" s="4" t="s">
        <v>37</v>
      </c>
      <c r="I383" s="5">
        <v>44440</v>
      </c>
      <c r="J383" s="6">
        <v>0</v>
      </c>
      <c r="K383" s="75">
        <v>0</v>
      </c>
      <c r="L383" s="6">
        <v>2.4329999999999998</v>
      </c>
      <c r="M383" s="75">
        <v>2.4329999999999998</v>
      </c>
      <c r="N383" s="6">
        <v>2.4329999999999998</v>
      </c>
      <c r="O383" s="75">
        <v>2.4329999999999998</v>
      </c>
      <c r="P383" s="6">
        <v>0</v>
      </c>
      <c r="Q383" s="4" t="s">
        <v>26</v>
      </c>
      <c r="R383" s="4">
        <v>0</v>
      </c>
      <c r="S383" s="4">
        <v>0</v>
      </c>
      <c r="T383" s="4">
        <v>12</v>
      </c>
      <c r="U383" s="4">
        <v>66</v>
      </c>
      <c r="V383" s="75">
        <f>IF(ISERROR(VLOOKUP($S$383,'TAR FIN'!$A$1:$O$93,15,0)),0,VLOOKUP($S$383,'TAR FIN'!$A$1:$O$93,15,0))</f>
        <v>0</v>
      </c>
      <c r="W383" s="75">
        <f>IF(ISERROR(VLOOKUP($T$383,'TAR FIN'!$A$1:$O$93,15,0)),0,VLOOKUP($T$383,'TAR FIN'!$A$1:$O$93,15,0))*(1-0.06)</f>
        <v>1057.2180000000001</v>
      </c>
      <c r="X383" s="75">
        <f>IF(ISERROR(VLOOKUP($U$383,'TAR FIN'!$A$1:$O$93,15,0)),0,VLOOKUP($U$383,'TAR FIN'!$A$1:$O$93,15,0))*(1-0.06)</f>
        <v>174.0692</v>
      </c>
      <c r="Y383" s="75"/>
      <c r="Z383" s="75">
        <f ca="1">('TUSD BE'!$AM$15+'TUSD BF'!$AM$15+'TUSD CVA'!$AM$15)*1*(1-0.03)</f>
        <v>1263.2950046814217</v>
      </c>
      <c r="AA383" s="75">
        <f>('TE BE'!$AB$7+'TE BF'!$AB$7+'TE CVA'!$AB$7)*1*(1-0.03)</f>
        <v>192.23648936268484</v>
      </c>
      <c r="AB383" s="75">
        <f>(SUBSIDIO!$J$383*SUBSIDIO!$V$383)*(0.06)/(1-0.06)</f>
        <v>0</v>
      </c>
      <c r="AC383" s="75">
        <f>((SUBSIDIO!$L$383*SUBSIDIO!$W$383)+(SUBSIDIO!$N$383*SUBSIDIO!$X$383))*(0.06)/(1-0.06)</f>
        <v>191.21628239999998</v>
      </c>
      <c r="AD383" s="75">
        <f>(SUBSIDIO!$J$383*SUBSIDIO!$Y$383)*(0.03)/(1-0.03)</f>
        <v>0</v>
      </c>
      <c r="AE383" s="75">
        <f ca="1">((SUBSIDIO!$L$383*SUBSIDIO!$Z$383)+(SUBSIDIO!$N$383*SUBSIDIO!$AA$383))*(0.03)/(1-0.03)</f>
        <v>109.524993556989</v>
      </c>
      <c r="AF383" s="4" t="s">
        <v>640</v>
      </c>
    </row>
    <row r="384" spans="1:32" ht="11.25" customHeight="1" x14ac:dyDescent="0.25">
      <c r="A384" s="4" t="s">
        <v>21</v>
      </c>
      <c r="B384" s="4" t="s">
        <v>35</v>
      </c>
      <c r="C384" s="4" t="s">
        <v>39</v>
      </c>
      <c r="D384" s="4" t="s">
        <v>47</v>
      </c>
      <c r="E384" s="4" t="s">
        <v>48</v>
      </c>
      <c r="F384" s="4" t="s">
        <v>25</v>
      </c>
      <c r="G384" s="4" t="s">
        <v>25</v>
      </c>
      <c r="H384" s="4" t="s">
        <v>37</v>
      </c>
      <c r="I384" s="5">
        <v>44470</v>
      </c>
      <c r="J384" s="6">
        <v>0</v>
      </c>
      <c r="K384" s="75">
        <v>0</v>
      </c>
      <c r="L384" s="6">
        <v>4.9050000000000002</v>
      </c>
      <c r="M384" s="75">
        <v>4.9050000000000002</v>
      </c>
      <c r="N384" s="6">
        <v>4.9050000000000002</v>
      </c>
      <c r="O384" s="75">
        <v>4.9050000000000002</v>
      </c>
      <c r="P384" s="6">
        <v>0</v>
      </c>
      <c r="Q384" s="4" t="s">
        <v>26</v>
      </c>
      <c r="R384" s="4">
        <v>0</v>
      </c>
      <c r="S384" s="4">
        <v>0</v>
      </c>
      <c r="T384" s="4">
        <v>12</v>
      </c>
      <c r="U384" s="4">
        <v>66</v>
      </c>
      <c r="V384" s="75">
        <f>IF(ISERROR(VLOOKUP($S$384,'TAR FIN'!$A$1:$O$93,15,0)),0,VLOOKUP($S$384,'TAR FIN'!$A$1:$O$93,15,0))</f>
        <v>0</v>
      </c>
      <c r="W384" s="75">
        <f>IF(ISERROR(VLOOKUP($T$384,'TAR FIN'!$A$1:$O$93,15,0)),0,VLOOKUP($T$384,'TAR FIN'!$A$1:$O$93,15,0))*(1-0.06)</f>
        <v>1057.2180000000001</v>
      </c>
      <c r="X384" s="75">
        <f>IF(ISERROR(VLOOKUP($U$384,'TAR FIN'!$A$1:$O$93,15,0)),0,VLOOKUP($U$384,'TAR FIN'!$A$1:$O$93,15,0))*(1-0.06)</f>
        <v>174.0692</v>
      </c>
      <c r="Y384" s="75"/>
      <c r="Z384" s="75">
        <f ca="1">('TUSD BE'!$AM$15+'TUSD BF'!$AM$15+'TUSD CVA'!$AM$15)*1*(1-0.03)</f>
        <v>1263.2950046814217</v>
      </c>
      <c r="AA384" s="75">
        <f>('TE BE'!$AB$7+'TE BF'!$AB$7+'TE CVA'!$AB$7)*1*(1-0.03)</f>
        <v>192.23648936268484</v>
      </c>
      <c r="AB384" s="75">
        <f>(SUBSIDIO!$J$384*SUBSIDIO!$V$384)*(0.06)/(1-0.06)</f>
        <v>0</v>
      </c>
      <c r="AC384" s="75">
        <f>((SUBSIDIO!$L$384*SUBSIDIO!$W$384)+(SUBSIDIO!$N$384*SUBSIDIO!$X$384))*(0.06)/(1-0.06)</f>
        <v>385.49768400000005</v>
      </c>
      <c r="AD384" s="75">
        <f>(SUBSIDIO!$J$384*SUBSIDIO!$Y$384)*(0.03)/(1-0.03)</f>
        <v>0</v>
      </c>
      <c r="AE384" s="75">
        <f ca="1">((SUBSIDIO!$L$384*SUBSIDIO!$Z$384)+(SUBSIDIO!$N$384*SUBSIDIO!$AA$384))*(0.03)/(1-0.03)</f>
        <v>220.80562819442295</v>
      </c>
      <c r="AF384" s="4" t="s">
        <v>640</v>
      </c>
    </row>
    <row r="385" spans="1:32" ht="11.25" customHeight="1" x14ac:dyDescent="0.25">
      <c r="A385" s="4" t="s">
        <v>21</v>
      </c>
      <c r="B385" s="4" t="s">
        <v>35</v>
      </c>
      <c r="C385" s="4" t="s">
        <v>39</v>
      </c>
      <c r="D385" s="4" t="s">
        <v>47</v>
      </c>
      <c r="E385" s="4" t="s">
        <v>48</v>
      </c>
      <c r="F385" s="4" t="s">
        <v>25</v>
      </c>
      <c r="G385" s="4" t="s">
        <v>25</v>
      </c>
      <c r="H385" s="4" t="s">
        <v>37</v>
      </c>
      <c r="I385" s="5">
        <v>44501</v>
      </c>
      <c r="J385" s="6">
        <v>0</v>
      </c>
      <c r="K385" s="75">
        <v>0</v>
      </c>
      <c r="L385" s="6">
        <v>5.0819999999999999</v>
      </c>
      <c r="M385" s="75">
        <v>5.0819999999999999</v>
      </c>
      <c r="N385" s="6">
        <v>5.0819999999999999</v>
      </c>
      <c r="O385" s="75">
        <v>5.0819999999999999</v>
      </c>
      <c r="P385" s="6">
        <v>0</v>
      </c>
      <c r="Q385" s="4" t="s">
        <v>26</v>
      </c>
      <c r="R385" s="4">
        <v>0</v>
      </c>
      <c r="S385" s="4">
        <v>0</v>
      </c>
      <c r="T385" s="4">
        <v>12</v>
      </c>
      <c r="U385" s="4">
        <v>66</v>
      </c>
      <c r="V385" s="75">
        <f>IF(ISERROR(VLOOKUP($S$385,'TAR FIN'!$A$1:$O$93,15,0)),0,VLOOKUP($S$385,'TAR FIN'!$A$1:$O$93,15,0))</f>
        <v>0</v>
      </c>
      <c r="W385" s="75">
        <f>IF(ISERROR(VLOOKUP($T$385,'TAR FIN'!$A$1:$O$93,15,0)),0,VLOOKUP($T$385,'TAR FIN'!$A$1:$O$93,15,0))*(1-0.06)</f>
        <v>1057.2180000000001</v>
      </c>
      <c r="X385" s="75">
        <f>IF(ISERROR(VLOOKUP($U$385,'TAR FIN'!$A$1:$O$93,15,0)),0,VLOOKUP($U$385,'TAR FIN'!$A$1:$O$93,15,0))*(1-0.06)</f>
        <v>174.0692</v>
      </c>
      <c r="Y385" s="75"/>
      <c r="Z385" s="75">
        <f ca="1">('TUSD BE'!$AM$15+'TUSD BF'!$AM$15+'TUSD CVA'!$AM$15)*1*(1-0.03)</f>
        <v>1263.2950046814217</v>
      </c>
      <c r="AA385" s="75">
        <f>('TE BE'!$AB$7+'TE BF'!$AB$7+'TE CVA'!$AB$7)*1*(1-0.03)</f>
        <v>192.23648936268484</v>
      </c>
      <c r="AB385" s="75">
        <f>(SUBSIDIO!$J$385*SUBSIDIO!$V$385)*(0.06)/(1-0.06)</f>
        <v>0</v>
      </c>
      <c r="AC385" s="75">
        <f>((SUBSIDIO!$L$385*SUBSIDIO!$W$385)+(SUBSIDIO!$N$385*SUBSIDIO!$X$385))*(0.06)/(1-0.06)</f>
        <v>399.40860959999998</v>
      </c>
      <c r="AD385" s="75">
        <f>(SUBSIDIO!$J$385*SUBSIDIO!$Y$385)*(0.03)/(1-0.03)</f>
        <v>0</v>
      </c>
      <c r="AE385" s="75">
        <f ca="1">((SUBSIDIO!$L$385*SUBSIDIO!$Z$385)+(SUBSIDIO!$N$385*SUBSIDIO!$AA$385))*(0.03)/(1-0.03)</f>
        <v>228.77353771336541</v>
      </c>
      <c r="AF385" s="4" t="s">
        <v>640</v>
      </c>
    </row>
    <row r="386" spans="1:32" ht="11.25" customHeight="1" x14ac:dyDescent="0.25">
      <c r="A386" s="4" t="s">
        <v>21</v>
      </c>
      <c r="B386" s="4" t="s">
        <v>35</v>
      </c>
      <c r="C386" s="4" t="s">
        <v>39</v>
      </c>
      <c r="D386" s="4" t="s">
        <v>47</v>
      </c>
      <c r="E386" s="4" t="s">
        <v>48</v>
      </c>
      <c r="F386" s="4" t="s">
        <v>25</v>
      </c>
      <c r="G386" s="4" t="s">
        <v>25</v>
      </c>
      <c r="H386" s="4" t="s">
        <v>37</v>
      </c>
      <c r="I386" s="5">
        <v>44531</v>
      </c>
      <c r="J386" s="6">
        <v>0</v>
      </c>
      <c r="K386" s="75">
        <v>0</v>
      </c>
      <c r="L386" s="6">
        <v>5.3470000000000004</v>
      </c>
      <c r="M386" s="75">
        <v>5.3470000000000004</v>
      </c>
      <c r="N386" s="6">
        <v>5.3470000000000004</v>
      </c>
      <c r="O386" s="75">
        <v>5.3470000000000004</v>
      </c>
      <c r="P386" s="6">
        <v>0</v>
      </c>
      <c r="Q386" s="4" t="s">
        <v>26</v>
      </c>
      <c r="R386" s="4">
        <v>0</v>
      </c>
      <c r="S386" s="4">
        <v>0</v>
      </c>
      <c r="T386" s="4">
        <v>12</v>
      </c>
      <c r="U386" s="4">
        <v>66</v>
      </c>
      <c r="V386" s="75">
        <f>IF(ISERROR(VLOOKUP($S$386,'TAR FIN'!$A$1:$O$93,15,0)),0,VLOOKUP($S$386,'TAR FIN'!$A$1:$O$93,15,0))</f>
        <v>0</v>
      </c>
      <c r="W386" s="75">
        <f>IF(ISERROR(VLOOKUP($T$386,'TAR FIN'!$A$1:$O$93,15,0)),0,VLOOKUP($T$386,'TAR FIN'!$A$1:$O$93,15,0))*(1-0.06)</f>
        <v>1057.2180000000001</v>
      </c>
      <c r="X386" s="75">
        <f>IF(ISERROR(VLOOKUP($U$386,'TAR FIN'!$A$1:$O$93,15,0)),0,VLOOKUP($U$386,'TAR FIN'!$A$1:$O$93,15,0))*(1-0.06)</f>
        <v>174.0692</v>
      </c>
      <c r="Y386" s="75"/>
      <c r="Z386" s="75">
        <f ca="1">('TUSD BE'!$AM$15+'TUSD BF'!$AM$15+'TUSD CVA'!$AM$15)*1*(1-0.03)</f>
        <v>1263.2950046814217</v>
      </c>
      <c r="AA386" s="75">
        <f>('TE BE'!$AB$7+'TE BF'!$AB$7+'TE CVA'!$AB$7)*1*(1-0.03)</f>
        <v>192.23648936268484</v>
      </c>
      <c r="AB386" s="75">
        <f>(SUBSIDIO!$J$386*SUBSIDIO!$V$386)*(0.06)/(1-0.06)</f>
        <v>0</v>
      </c>
      <c r="AC386" s="75">
        <f>((SUBSIDIO!$L$386*SUBSIDIO!$W$386)+(SUBSIDIO!$N$386*SUBSIDIO!$X$386))*(0.06)/(1-0.06)</f>
        <v>420.23570160000008</v>
      </c>
      <c r="AD386" s="75">
        <f>(SUBSIDIO!$J$386*SUBSIDIO!$Y$386)*(0.03)/(1-0.03)</f>
        <v>0</v>
      </c>
      <c r="AE386" s="75">
        <f ca="1">((SUBSIDIO!$L$386*SUBSIDIO!$Z$386)+(SUBSIDIO!$N$386*SUBSIDIO!$AA$386))*(0.03)/(1-0.03)</f>
        <v>240.70289377279911</v>
      </c>
      <c r="AF386" s="4" t="s">
        <v>640</v>
      </c>
    </row>
    <row r="387" spans="1:32" ht="11.25" customHeight="1" x14ac:dyDescent="0.25">
      <c r="A387" s="4" t="s">
        <v>21</v>
      </c>
      <c r="B387" s="4" t="s">
        <v>35</v>
      </c>
      <c r="C387" s="4" t="s">
        <v>39</v>
      </c>
      <c r="D387" s="4" t="s">
        <v>47</v>
      </c>
      <c r="E387" s="4" t="s">
        <v>48</v>
      </c>
      <c r="F387" s="4" t="s">
        <v>25</v>
      </c>
      <c r="G387" s="4" t="s">
        <v>25</v>
      </c>
      <c r="H387" s="4" t="s">
        <v>37</v>
      </c>
      <c r="I387" s="5">
        <v>44562</v>
      </c>
      <c r="J387" s="6">
        <v>0</v>
      </c>
      <c r="K387" s="75">
        <v>0</v>
      </c>
      <c r="L387" s="6">
        <v>5.4029999999999996</v>
      </c>
      <c r="M387" s="75">
        <v>5.4029999999999996</v>
      </c>
      <c r="N387" s="6">
        <v>5.4029999999999996</v>
      </c>
      <c r="O387" s="75">
        <v>5.4029999999999996</v>
      </c>
      <c r="P387" s="6">
        <v>0</v>
      </c>
      <c r="Q387" s="4" t="s">
        <v>26</v>
      </c>
      <c r="R387" s="4">
        <v>0</v>
      </c>
      <c r="S387" s="4">
        <v>0</v>
      </c>
      <c r="T387" s="4">
        <v>12</v>
      </c>
      <c r="U387" s="4">
        <v>66</v>
      </c>
      <c r="V387" s="75">
        <f>IF(ISERROR(VLOOKUP($S$387,'TAR FIN'!$A$1:$O$93,15,0)),0,VLOOKUP($S$387,'TAR FIN'!$A$1:$O$93,15,0))</f>
        <v>0</v>
      </c>
      <c r="W387" s="75">
        <f>IF(ISERROR(VLOOKUP($T$387,'TAR FIN'!$A$1:$O$93,15,0)),0,VLOOKUP($T$387,'TAR FIN'!$A$1:$O$93,15,0))*(1-0.06)</f>
        <v>1057.2180000000001</v>
      </c>
      <c r="X387" s="75">
        <f>IF(ISERROR(VLOOKUP($U$387,'TAR FIN'!$A$1:$O$93,15,0)),0,VLOOKUP($U$387,'TAR FIN'!$A$1:$O$93,15,0))*(1-0.06)</f>
        <v>174.0692</v>
      </c>
      <c r="Y387" s="75"/>
      <c r="Z387" s="75">
        <f ca="1">('TUSD BE'!$AM$15+'TUSD BF'!$AM$15+'TUSD CVA'!$AM$15)*1*(1-0.03)</f>
        <v>1263.2950046814217</v>
      </c>
      <c r="AA387" s="75">
        <f>('TE BE'!$AB$7+'TE BF'!$AB$7+'TE CVA'!$AB$7)*1*(1-0.03)</f>
        <v>192.23648936268484</v>
      </c>
      <c r="AB387" s="75">
        <f>(SUBSIDIO!$J$387*SUBSIDIO!$V$387)*(0.06)/(1-0.06)</f>
        <v>0</v>
      </c>
      <c r="AC387" s="75">
        <f>((SUBSIDIO!$L$387*SUBSIDIO!$W$387)+(SUBSIDIO!$N$387*SUBSIDIO!$X$387))*(0.06)/(1-0.06)</f>
        <v>424.63689840000001</v>
      </c>
      <c r="AD387" s="75">
        <f>(SUBSIDIO!$J$387*SUBSIDIO!$Y$387)*(0.03)/(1-0.03)</f>
        <v>0</v>
      </c>
      <c r="AE387" s="75">
        <f ca="1">((SUBSIDIO!$L$387*SUBSIDIO!$Z$387)+(SUBSIDIO!$N$387*SUBSIDIO!$AA$387))*(0.03)/(1-0.03)</f>
        <v>243.2238142985662</v>
      </c>
      <c r="AF387" s="4" t="s">
        <v>640</v>
      </c>
    </row>
    <row r="388" spans="1:32" ht="11.25" customHeight="1" x14ac:dyDescent="0.25">
      <c r="A388" s="4" t="s">
        <v>21</v>
      </c>
      <c r="B388" s="4" t="s">
        <v>35</v>
      </c>
      <c r="C388" s="4" t="s">
        <v>39</v>
      </c>
      <c r="D388" s="4" t="s">
        <v>47</v>
      </c>
      <c r="E388" s="4" t="s">
        <v>48</v>
      </c>
      <c r="F388" s="4" t="s">
        <v>25</v>
      </c>
      <c r="G388" s="4" t="s">
        <v>25</v>
      </c>
      <c r="H388" s="4" t="s">
        <v>37</v>
      </c>
      <c r="I388" s="5">
        <v>44593</v>
      </c>
      <c r="J388" s="6">
        <v>0</v>
      </c>
      <c r="K388" s="75">
        <v>0</v>
      </c>
      <c r="L388" s="6">
        <v>1.93</v>
      </c>
      <c r="M388" s="75">
        <v>1.93</v>
      </c>
      <c r="N388" s="6">
        <v>1.93</v>
      </c>
      <c r="O388" s="75">
        <v>1.93</v>
      </c>
      <c r="P388" s="6">
        <v>0</v>
      </c>
      <c r="Q388" s="4" t="s">
        <v>26</v>
      </c>
      <c r="R388" s="4">
        <v>0</v>
      </c>
      <c r="S388" s="4">
        <v>0</v>
      </c>
      <c r="T388" s="4">
        <v>12</v>
      </c>
      <c r="U388" s="4">
        <v>66</v>
      </c>
      <c r="V388" s="75">
        <f>IF(ISERROR(VLOOKUP($S$388,'TAR FIN'!$A$1:$O$93,15,0)),0,VLOOKUP($S$388,'TAR FIN'!$A$1:$O$93,15,0))</f>
        <v>0</v>
      </c>
      <c r="W388" s="75">
        <f>IF(ISERROR(VLOOKUP($T$388,'TAR FIN'!$A$1:$O$93,15,0)),0,VLOOKUP($T$388,'TAR FIN'!$A$1:$O$93,15,0))*(1-0.06)</f>
        <v>1057.2180000000001</v>
      </c>
      <c r="X388" s="75">
        <f>IF(ISERROR(VLOOKUP($U$388,'TAR FIN'!$A$1:$O$93,15,0)),0,VLOOKUP($U$388,'TAR FIN'!$A$1:$O$93,15,0))*(1-0.06)</f>
        <v>174.0692</v>
      </c>
      <c r="Y388" s="75"/>
      <c r="Z388" s="75">
        <f ca="1">('TUSD BE'!$AM$15+'TUSD BF'!$AM$15+'TUSD CVA'!$AM$15)*1*(1-0.03)</f>
        <v>1263.2950046814217</v>
      </c>
      <c r="AA388" s="75">
        <f>('TE BE'!$AB$7+'TE BF'!$AB$7+'TE CVA'!$AB$7)*1*(1-0.03)</f>
        <v>192.23648936268484</v>
      </c>
      <c r="AB388" s="75">
        <f>(SUBSIDIO!$J$388*SUBSIDIO!$V$388)*(0.06)/(1-0.06)</f>
        <v>0</v>
      </c>
      <c r="AC388" s="75">
        <f>((SUBSIDIO!$L$388*SUBSIDIO!$W$388)+(SUBSIDIO!$N$388*SUBSIDIO!$X$388))*(0.06)/(1-0.06)</f>
        <v>151.68410400000002</v>
      </c>
      <c r="AD388" s="75">
        <f>(SUBSIDIO!$J$388*SUBSIDIO!$Y$388)*(0.03)/(1-0.03)</f>
        <v>0</v>
      </c>
      <c r="AE388" s="75">
        <f ca="1">((SUBSIDIO!$L$388*SUBSIDIO!$Z$388)+(SUBSIDIO!$N$388*SUBSIDIO!$AA$388))*(0.03)/(1-0.03)</f>
        <v>86.881725263045112</v>
      </c>
      <c r="AF388" s="4" t="s">
        <v>640</v>
      </c>
    </row>
    <row r="389" spans="1:32" ht="11.25" customHeight="1" x14ac:dyDescent="0.25">
      <c r="A389" s="4" t="s">
        <v>21</v>
      </c>
      <c r="B389" s="4" t="s">
        <v>35</v>
      </c>
      <c r="C389" s="4" t="s">
        <v>39</v>
      </c>
      <c r="D389" s="4" t="s">
        <v>47</v>
      </c>
      <c r="E389" s="4" t="s">
        <v>48</v>
      </c>
      <c r="F389" s="4" t="s">
        <v>25</v>
      </c>
      <c r="G389" s="4" t="s">
        <v>25</v>
      </c>
      <c r="H389" s="4" t="s">
        <v>37</v>
      </c>
      <c r="I389" s="5">
        <v>44621</v>
      </c>
      <c r="J389" s="6">
        <v>0</v>
      </c>
      <c r="K389" s="75">
        <v>0</v>
      </c>
      <c r="L389" s="6">
        <v>2.74</v>
      </c>
      <c r="M389" s="75">
        <v>2.74</v>
      </c>
      <c r="N389" s="6">
        <v>2.74</v>
      </c>
      <c r="O389" s="75">
        <v>2.74</v>
      </c>
      <c r="P389" s="6">
        <v>0</v>
      </c>
      <c r="Q389" s="4" t="s">
        <v>26</v>
      </c>
      <c r="R389" s="4">
        <v>0</v>
      </c>
      <c r="S389" s="4">
        <v>0</v>
      </c>
      <c r="T389" s="4">
        <v>12</v>
      </c>
      <c r="U389" s="4">
        <v>66</v>
      </c>
      <c r="V389" s="75">
        <f>IF(ISERROR(VLOOKUP($S$389,'TAR FIN'!$A$1:$O$93,15,0)),0,VLOOKUP($S$389,'TAR FIN'!$A$1:$O$93,15,0))</f>
        <v>0</v>
      </c>
      <c r="W389" s="75">
        <f>IF(ISERROR(VLOOKUP($T$389,'TAR FIN'!$A$1:$O$93,15,0)),0,VLOOKUP($T$389,'TAR FIN'!$A$1:$O$93,15,0))*(1-0.06)</f>
        <v>1057.2180000000001</v>
      </c>
      <c r="X389" s="75">
        <f>IF(ISERROR(VLOOKUP($U$389,'TAR FIN'!$A$1:$O$93,15,0)),0,VLOOKUP($U$389,'TAR FIN'!$A$1:$O$93,15,0))*(1-0.06)</f>
        <v>174.0692</v>
      </c>
      <c r="Y389" s="75"/>
      <c r="Z389" s="75">
        <f ca="1">('TUSD BE'!$AM$15+'TUSD BF'!$AM$15+'TUSD CVA'!$AM$15)*1*(1-0.03)</f>
        <v>1263.2950046814217</v>
      </c>
      <c r="AA389" s="75">
        <f>('TE BE'!$AB$7+'TE BF'!$AB$7+'TE CVA'!$AB$7)*1*(1-0.03)</f>
        <v>192.23648936268484</v>
      </c>
      <c r="AB389" s="75">
        <f>(SUBSIDIO!$J$389*SUBSIDIO!$V$389)*(0.06)/(1-0.06)</f>
        <v>0</v>
      </c>
      <c r="AC389" s="75">
        <f>((SUBSIDIO!$L$389*SUBSIDIO!$W$389)+(SUBSIDIO!$N$389*SUBSIDIO!$X$389))*(0.06)/(1-0.06)</f>
        <v>215.34427200000002</v>
      </c>
      <c r="AD389" s="75">
        <f>(SUBSIDIO!$J$389*SUBSIDIO!$Y$389)*(0.03)/(1-0.03)</f>
        <v>0</v>
      </c>
      <c r="AE389" s="75">
        <f ca="1">((SUBSIDIO!$L$389*SUBSIDIO!$Z$389)+(SUBSIDIO!$N$389*SUBSIDIO!$AA$389))*(0.03)/(1-0.03)</f>
        <v>123.34504001074801</v>
      </c>
      <c r="AF389" s="4" t="s">
        <v>640</v>
      </c>
    </row>
    <row r="390" spans="1:32" ht="11.25" customHeight="1" x14ac:dyDescent="0.25">
      <c r="A390" s="4" t="s">
        <v>21</v>
      </c>
      <c r="B390" s="4" t="s">
        <v>35</v>
      </c>
      <c r="C390" s="4" t="s">
        <v>39</v>
      </c>
      <c r="D390" s="4" t="s">
        <v>47</v>
      </c>
      <c r="E390" s="4" t="s">
        <v>48</v>
      </c>
      <c r="F390" s="4" t="s">
        <v>25</v>
      </c>
      <c r="G390" s="4" t="s">
        <v>25</v>
      </c>
      <c r="H390" s="4" t="s">
        <v>37</v>
      </c>
      <c r="I390" s="5">
        <v>44652</v>
      </c>
      <c r="J390" s="6">
        <v>0</v>
      </c>
      <c r="K390" s="75">
        <v>0</v>
      </c>
      <c r="L390" s="6">
        <v>1.5589999999999999</v>
      </c>
      <c r="M390" s="75">
        <v>1.5589999999999999</v>
      </c>
      <c r="N390" s="6">
        <v>1.5589999999999999</v>
      </c>
      <c r="O390" s="75">
        <v>1.5589999999999999</v>
      </c>
      <c r="P390" s="6">
        <v>0</v>
      </c>
      <c r="Q390" s="4" t="s">
        <v>26</v>
      </c>
      <c r="R390" s="4">
        <v>0</v>
      </c>
      <c r="S390" s="4">
        <v>0</v>
      </c>
      <c r="T390" s="4">
        <v>12</v>
      </c>
      <c r="U390" s="4">
        <v>66</v>
      </c>
      <c r="V390" s="75">
        <f>IF(ISERROR(VLOOKUP($S$390,'TAR FIN'!$A$1:$O$93,15,0)),0,VLOOKUP($S$390,'TAR FIN'!$A$1:$O$93,15,0))</f>
        <v>0</v>
      </c>
      <c r="W390" s="75">
        <f>IF(ISERROR(VLOOKUP($T$390,'TAR FIN'!$A$1:$O$93,15,0)),0,VLOOKUP($T$390,'TAR FIN'!$A$1:$O$93,15,0))*(1-0.06)</f>
        <v>1057.2180000000001</v>
      </c>
      <c r="X390" s="75">
        <f>IF(ISERROR(VLOOKUP($U$390,'TAR FIN'!$A$1:$O$93,15,0)),0,VLOOKUP($U$390,'TAR FIN'!$A$1:$O$93,15,0))*(1-0.06)</f>
        <v>174.0692</v>
      </c>
      <c r="Y390" s="75"/>
      <c r="Z390" s="75">
        <f ca="1">('TUSD BE'!$AM$15+'TUSD BF'!$AM$15+'TUSD CVA'!$AM$15)*1*(1-0.03)</f>
        <v>1263.2950046814217</v>
      </c>
      <c r="AA390" s="75">
        <f>('TE BE'!$AB$7+'TE BF'!$AB$7+'TE CVA'!$AB$7)*1*(1-0.03)</f>
        <v>192.23648936268484</v>
      </c>
      <c r="AB390" s="75">
        <f>(SUBSIDIO!$J$390*SUBSIDIO!$V$390)*(0.06)/(1-0.06)</f>
        <v>0</v>
      </c>
      <c r="AC390" s="75">
        <f>((SUBSIDIO!$L$390*SUBSIDIO!$W$390)+(SUBSIDIO!$N$390*SUBSIDIO!$X$390))*(0.06)/(1-0.06)</f>
        <v>122.52617520000001</v>
      </c>
      <c r="AD390" s="75">
        <f>(SUBSIDIO!$J$390*SUBSIDIO!$Y$390)*(0.03)/(1-0.03)</f>
        <v>0</v>
      </c>
      <c r="AE390" s="75">
        <f ca="1">((SUBSIDIO!$L$390*SUBSIDIO!$Z$390)+(SUBSIDIO!$N$390*SUBSIDIO!$AA$390))*(0.03)/(1-0.03)</f>
        <v>70.180626779837993</v>
      </c>
      <c r="AF390" s="4" t="s">
        <v>640</v>
      </c>
    </row>
    <row r="391" spans="1:32" ht="11.25" customHeight="1" x14ac:dyDescent="0.25">
      <c r="A391" s="4" t="s">
        <v>21</v>
      </c>
      <c r="B391" s="4" t="s">
        <v>35</v>
      </c>
      <c r="C391" s="4" t="s">
        <v>39</v>
      </c>
      <c r="D391" s="4" t="s">
        <v>47</v>
      </c>
      <c r="E391" s="4" t="s">
        <v>48</v>
      </c>
      <c r="F391" s="4" t="s">
        <v>25</v>
      </c>
      <c r="G391" s="4" t="s">
        <v>25</v>
      </c>
      <c r="H391" s="4" t="s">
        <v>37</v>
      </c>
      <c r="I391" s="5">
        <v>44682</v>
      </c>
      <c r="J391" s="6">
        <v>0</v>
      </c>
      <c r="K391" s="75">
        <v>0</v>
      </c>
      <c r="L391" s="6">
        <v>1.2789999999999999</v>
      </c>
      <c r="M391" s="75">
        <v>1.2789999999999999</v>
      </c>
      <c r="N391" s="6">
        <v>1.2789999999999999</v>
      </c>
      <c r="O391" s="75">
        <v>1.2789999999999999</v>
      </c>
      <c r="P391" s="6">
        <v>0</v>
      </c>
      <c r="Q391" s="4" t="s">
        <v>26</v>
      </c>
      <c r="R391" s="4">
        <v>0</v>
      </c>
      <c r="S391" s="4">
        <v>0</v>
      </c>
      <c r="T391" s="4">
        <v>12</v>
      </c>
      <c r="U391" s="4">
        <v>66</v>
      </c>
      <c r="V391" s="75">
        <f>IF(ISERROR(VLOOKUP($S$391,'TAR FIN'!$A$1:$O$93,15,0)),0,VLOOKUP($S$391,'TAR FIN'!$A$1:$O$93,15,0))</f>
        <v>0</v>
      </c>
      <c r="W391" s="75">
        <f>IF(ISERROR(VLOOKUP($T$391,'TAR FIN'!$A$1:$O$93,15,0)),0,VLOOKUP($T$391,'TAR FIN'!$A$1:$O$93,15,0))*(1-0.06)</f>
        <v>1057.2180000000001</v>
      </c>
      <c r="X391" s="75">
        <f>IF(ISERROR(VLOOKUP($U$391,'TAR FIN'!$A$1:$O$93,15,0)),0,VLOOKUP($U$391,'TAR FIN'!$A$1:$O$93,15,0))*(1-0.06)</f>
        <v>174.0692</v>
      </c>
      <c r="Y391" s="75"/>
      <c r="Z391" s="75">
        <f ca="1">('TUSD BE'!$AM$15+'TUSD BF'!$AM$15+'TUSD CVA'!$AM$15)*1*(1-0.03)</f>
        <v>1263.2950046814217</v>
      </c>
      <c r="AA391" s="75">
        <f>('TE BE'!$AB$7+'TE BF'!$AB$7+'TE CVA'!$AB$7)*1*(1-0.03)</f>
        <v>192.23648936268484</v>
      </c>
      <c r="AB391" s="75">
        <f>(SUBSIDIO!$J$391*SUBSIDIO!$V$391)*(0.06)/(1-0.06)</f>
        <v>0</v>
      </c>
      <c r="AC391" s="75">
        <f>((SUBSIDIO!$L$391*SUBSIDIO!$W$391)+(SUBSIDIO!$N$391*SUBSIDIO!$X$391))*(0.06)/(1-0.06)</f>
        <v>100.52019120000001</v>
      </c>
      <c r="AD391" s="75">
        <f>(SUBSIDIO!$J$391*SUBSIDIO!$Y$391)*(0.03)/(1-0.03)</f>
        <v>0</v>
      </c>
      <c r="AE391" s="75">
        <f ca="1">((SUBSIDIO!$L$391*SUBSIDIO!$Z$391)+(SUBSIDIO!$N$391*SUBSIDIO!$AA$391))*(0.03)/(1-0.03)</f>
        <v>57.576024151002436</v>
      </c>
      <c r="AF391" s="4" t="s">
        <v>640</v>
      </c>
    </row>
    <row r="392" spans="1:32" ht="11.25" customHeight="1" x14ac:dyDescent="0.25">
      <c r="A392" s="4" t="s">
        <v>21</v>
      </c>
      <c r="B392" s="4" t="s">
        <v>35</v>
      </c>
      <c r="C392" s="4" t="s">
        <v>39</v>
      </c>
      <c r="D392" s="4" t="s">
        <v>47</v>
      </c>
      <c r="E392" s="4" t="s">
        <v>48</v>
      </c>
      <c r="F392" s="4" t="s">
        <v>25</v>
      </c>
      <c r="G392" s="4" t="s">
        <v>25</v>
      </c>
      <c r="H392" s="4" t="s">
        <v>37</v>
      </c>
      <c r="I392" s="5">
        <v>44713</v>
      </c>
      <c r="J392" s="6">
        <v>0</v>
      </c>
      <c r="K392" s="75">
        <v>0</v>
      </c>
      <c r="L392" s="6">
        <v>1.8779999999999999</v>
      </c>
      <c r="M392" s="75">
        <v>1.8779999999999999</v>
      </c>
      <c r="N392" s="6">
        <v>1.8779999999999999</v>
      </c>
      <c r="O392" s="75">
        <v>1.8779999999999999</v>
      </c>
      <c r="P392" s="6">
        <v>0</v>
      </c>
      <c r="Q392" s="4" t="s">
        <v>26</v>
      </c>
      <c r="R392" s="4">
        <v>0</v>
      </c>
      <c r="S392" s="4">
        <v>0</v>
      </c>
      <c r="T392" s="4">
        <v>12</v>
      </c>
      <c r="U392" s="4">
        <v>66</v>
      </c>
      <c r="V392" s="75">
        <f>IF(ISERROR(VLOOKUP($S$392,'TAR FIN'!$A$1:$O$93,15,0)),0,VLOOKUP($S$392,'TAR FIN'!$A$1:$O$93,15,0))</f>
        <v>0</v>
      </c>
      <c r="W392" s="75">
        <f>IF(ISERROR(VLOOKUP($T$392,'TAR FIN'!$A$1:$O$93,15,0)),0,VLOOKUP($T$392,'TAR FIN'!$A$1:$O$93,15,0))*(1-0.06)</f>
        <v>1057.2180000000001</v>
      </c>
      <c r="X392" s="75">
        <f>IF(ISERROR(VLOOKUP($U$392,'TAR FIN'!$A$1:$O$93,15,0)),0,VLOOKUP($U$392,'TAR FIN'!$A$1:$O$93,15,0))*(1-0.06)</f>
        <v>174.0692</v>
      </c>
      <c r="Y392" s="75"/>
      <c r="Z392" s="75">
        <f ca="1">('TUSD BE'!$AM$15+'TUSD BF'!$AM$15+'TUSD CVA'!$AM$15)*1*(1-0.03)</f>
        <v>1263.2950046814217</v>
      </c>
      <c r="AA392" s="75">
        <f>('TE BE'!$AB$7+'TE BF'!$AB$7+'TE CVA'!$AB$7)*1*(1-0.03)</f>
        <v>192.23648936268484</v>
      </c>
      <c r="AB392" s="75">
        <f>(SUBSIDIO!$J$392*SUBSIDIO!$V$392)*(0.06)/(1-0.06)</f>
        <v>0</v>
      </c>
      <c r="AC392" s="75">
        <f>((SUBSIDIO!$L$392*SUBSIDIO!$W$392)+(SUBSIDIO!$N$392*SUBSIDIO!$X$392))*(0.06)/(1-0.06)</f>
        <v>147.59727839999999</v>
      </c>
      <c r="AD392" s="75">
        <f>(SUBSIDIO!$J$392*SUBSIDIO!$Y$392)*(0.03)/(1-0.03)</f>
        <v>0</v>
      </c>
      <c r="AE392" s="75">
        <f ca="1">((SUBSIDIO!$L$392*SUBSIDIO!$Z$392)+(SUBSIDIO!$N$392*SUBSIDIO!$AA$392))*(0.03)/(1-0.03)</f>
        <v>84.540870489118518</v>
      </c>
      <c r="AF392" s="4" t="s">
        <v>640</v>
      </c>
    </row>
    <row r="393" spans="1:32" ht="11.25" customHeight="1" x14ac:dyDescent="0.25">
      <c r="A393" s="4" t="s">
        <v>21</v>
      </c>
      <c r="B393" s="4" t="s">
        <v>22</v>
      </c>
      <c r="C393" s="4" t="s">
        <v>23</v>
      </c>
      <c r="D393" s="4" t="s">
        <v>24</v>
      </c>
      <c r="E393" s="4" t="s">
        <v>24</v>
      </c>
      <c r="F393" s="4" t="s">
        <v>25</v>
      </c>
      <c r="G393" s="4" t="s">
        <v>25</v>
      </c>
      <c r="H393" s="4" t="s">
        <v>25</v>
      </c>
      <c r="I393" s="5">
        <v>44378</v>
      </c>
      <c r="J393" s="6">
        <v>0</v>
      </c>
      <c r="K393" s="6">
        <v>0</v>
      </c>
      <c r="L393" s="6">
        <v>1945.799</v>
      </c>
      <c r="M393" s="6">
        <v>1945.799</v>
      </c>
      <c r="N393" s="6">
        <v>1945.799</v>
      </c>
      <c r="O393" s="6">
        <v>1945.799</v>
      </c>
      <c r="P393" s="6">
        <v>11707</v>
      </c>
      <c r="Q393" s="4" t="s">
        <v>26</v>
      </c>
      <c r="R393" s="4">
        <v>0</v>
      </c>
      <c r="S393" s="4">
        <v>0</v>
      </c>
      <c r="T393" s="4">
        <v>11</v>
      </c>
      <c r="U393" s="4">
        <v>46</v>
      </c>
      <c r="V393" s="6">
        <f>IF(ISERROR(VLOOKUP($S$393,'TAR FIN'!$A$1:$O$93,15,0)),0,VLOOKUP($S$393,'TAR FIN'!$A$1:$O$93,15,0))</f>
        <v>0</v>
      </c>
      <c r="W393" s="6">
        <f>IF(ISERROR(VLOOKUP($T$393,'TAR FIN'!$A$1:$O$93,15,0)),0,VLOOKUP($T$393,'TAR FIN'!$A$1:$O$93,15,0))</f>
        <v>272.91000000000003</v>
      </c>
      <c r="X393" s="6">
        <f>IF(ISERROR(VLOOKUP($U$393,'TAR FIN'!$A$1:$O$93,15,0)),0,VLOOKUP($U$393,'TAR FIN'!$A$1:$O$93,15,0))</f>
        <v>185.18</v>
      </c>
      <c r="Y393" s="6"/>
      <c r="Z393" s="6">
        <f ca="1">('TUSD BE'!$AM$24+'TUSD BF'!$AM$24+'TUSD CVA'!$AM$24)*1</f>
        <v>292.16655209139662</v>
      </c>
      <c r="AA393" s="6">
        <f>('TE BE'!$AB$13+'TE BF'!$AB$13+'TE CVA'!$AB$13)*1</f>
        <v>198.18194779658231</v>
      </c>
      <c r="AB393" s="6">
        <f t="shared" ref="AB393:AB449" si="18">(J393-K393)*V393</f>
        <v>0</v>
      </c>
      <c r="AC393" s="6">
        <f t="shared" ref="AC393" si="19">(L393-M393)*W393+(N393-O393)*X393</f>
        <v>0</v>
      </c>
      <c r="AD393" s="6">
        <f t="shared" ref="AD393:AD449" si="20">(J393-K393)*Y393</f>
        <v>0</v>
      </c>
      <c r="AE393" s="6">
        <f t="shared" ref="AE393" ca="1" si="21">(L393-M393)*Z393+(N393-O393)*AA393</f>
        <v>0</v>
      </c>
    </row>
    <row r="394" spans="1:32" ht="11.25" customHeight="1" x14ac:dyDescent="0.25">
      <c r="A394" s="4" t="s">
        <v>21</v>
      </c>
      <c r="B394" s="4" t="s">
        <v>22</v>
      </c>
      <c r="C394" s="4" t="s">
        <v>23</v>
      </c>
      <c r="D394" s="4" t="s">
        <v>24</v>
      </c>
      <c r="E394" s="4" t="s">
        <v>29</v>
      </c>
      <c r="F394" s="4" t="s">
        <v>25</v>
      </c>
      <c r="G394" s="4" t="s">
        <v>25</v>
      </c>
      <c r="H394" s="4" t="s">
        <v>25</v>
      </c>
      <c r="I394" s="5">
        <v>44378</v>
      </c>
      <c r="J394" s="6">
        <v>0</v>
      </c>
      <c r="K394" s="6">
        <v>0</v>
      </c>
      <c r="L394" s="6">
        <v>7.14</v>
      </c>
      <c r="M394" s="6">
        <v>7.14</v>
      </c>
      <c r="N394" s="6">
        <v>7.14</v>
      </c>
      <c r="O394" s="6">
        <v>7.14</v>
      </c>
      <c r="P394" s="6">
        <v>12</v>
      </c>
      <c r="Q394" s="4" t="s">
        <v>26</v>
      </c>
      <c r="R394" s="4">
        <v>0</v>
      </c>
      <c r="S394" s="4">
        <v>0</v>
      </c>
      <c r="T394" s="4">
        <v>10</v>
      </c>
      <c r="U394" s="4">
        <v>57</v>
      </c>
      <c r="V394" s="6">
        <f>IF(ISERROR(VLOOKUP($S$394,'TAR FIN'!$A$1:$O$93,15,0)),0,VLOOKUP($S$394,'TAR FIN'!$A$1:$O$93,15,0))</f>
        <v>0</v>
      </c>
      <c r="W394" s="6">
        <f>IF(ISERROR(VLOOKUP($T$394,'TAR FIN'!$A$1:$O$93,15,0)),0,VLOOKUP($T$394,'TAR FIN'!$A$1:$O$93,15,0))</f>
        <v>71.83</v>
      </c>
      <c r="X394" s="6">
        <f>IF(ISERROR(VLOOKUP($U$394,'TAR FIN'!$A$1:$O$93,15,0)),0,VLOOKUP($U$394,'TAR FIN'!$A$1:$O$93,15,0))</f>
        <v>64.81</v>
      </c>
      <c r="Y394" s="6"/>
      <c r="Z394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394" s="6">
        <f>('TE BE'!$AB$14+'TE BF'!$AB$14+'TE CVA'!$AB$14)*(1-CUSTOS!$M$34)</f>
        <v>69.363681728803797</v>
      </c>
      <c r="AB394" s="6">
        <f t="shared" si="18"/>
        <v>0</v>
      </c>
      <c r="AC394" s="6">
        <f>(L394-M394)*(W394+X394)+($W$443+$X$443-$W$394-$X$394)*(L394)</f>
        <v>1811.8463999999999</v>
      </c>
      <c r="AD394" s="6">
        <f t="shared" si="20"/>
        <v>0</v>
      </c>
      <c r="AE394" s="6">
        <f ca="1">(L394-M394)*(Z394+AA394)+($Z$443+$AA$443-$Z$394-$AA$394)*(L394)</f>
        <v>1824.3758992953501</v>
      </c>
      <c r="AF394" s="4" t="s">
        <v>641</v>
      </c>
    </row>
    <row r="395" spans="1:32" ht="11.25" customHeight="1" x14ac:dyDescent="0.25">
      <c r="A395" s="4" t="s">
        <v>21</v>
      </c>
      <c r="B395" s="4" t="s">
        <v>22</v>
      </c>
      <c r="C395" s="4" t="s">
        <v>23</v>
      </c>
      <c r="D395" s="4" t="s">
        <v>24</v>
      </c>
      <c r="E395" s="4" t="s">
        <v>29</v>
      </c>
      <c r="F395" s="4" t="s">
        <v>25</v>
      </c>
      <c r="G395" s="4" t="s">
        <v>25</v>
      </c>
      <c r="H395" s="4" t="s">
        <v>25</v>
      </c>
      <c r="I395" s="5">
        <v>44409</v>
      </c>
      <c r="J395" s="6">
        <v>0</v>
      </c>
      <c r="K395" s="6">
        <v>0</v>
      </c>
      <c r="L395" s="6">
        <v>7.2</v>
      </c>
      <c r="M395" s="6">
        <v>7.2</v>
      </c>
      <c r="N395" s="6">
        <v>7.2</v>
      </c>
      <c r="O395" s="6">
        <v>7.2</v>
      </c>
      <c r="P395" s="6">
        <v>8</v>
      </c>
      <c r="Q395" s="4" t="s">
        <v>26</v>
      </c>
      <c r="R395" s="4">
        <v>0</v>
      </c>
      <c r="S395" s="4">
        <v>0</v>
      </c>
      <c r="T395" s="4">
        <v>10</v>
      </c>
      <c r="U395" s="4">
        <v>57</v>
      </c>
      <c r="V395" s="6">
        <f>IF(ISERROR(VLOOKUP($S$395,'TAR FIN'!$A$1:$O$93,15,0)),0,VLOOKUP($S$395,'TAR FIN'!$A$1:$O$93,15,0))</f>
        <v>0</v>
      </c>
      <c r="W395" s="6">
        <f>IF(ISERROR(VLOOKUP($T$395,'TAR FIN'!$A$1:$O$93,15,0)),0,VLOOKUP($T$395,'TAR FIN'!$A$1:$O$93,15,0))</f>
        <v>71.83</v>
      </c>
      <c r="X395" s="6">
        <f>IF(ISERROR(VLOOKUP($U$395,'TAR FIN'!$A$1:$O$93,15,0)),0,VLOOKUP($U$395,'TAR FIN'!$A$1:$O$93,15,0))</f>
        <v>64.81</v>
      </c>
      <c r="Y395" s="6"/>
      <c r="Z395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395" s="6">
        <f>('TE BE'!$AB$14+'TE BF'!$AB$14+'TE CVA'!$AB$14)*(1-CUSTOS!$M$34)</f>
        <v>69.363681728803797</v>
      </c>
      <c r="AB395" s="6">
        <f t="shared" si="18"/>
        <v>0</v>
      </c>
      <c r="AC395" s="6">
        <f>(L395-M395)*(W395+X395)+($W$443+$X$443-$W$395-$X$395)*(L395)</f>
        <v>1827.0719999999999</v>
      </c>
      <c r="AD395" s="6">
        <f t="shared" si="20"/>
        <v>0</v>
      </c>
      <c r="AE395" s="6">
        <f ca="1">(L395-M395)*(Z395+AA395)+($Z$443+$AA$443-$Z$395-$AA$395)*(L395)</f>
        <v>1839.7067892053951</v>
      </c>
      <c r="AF395" s="4" t="s">
        <v>641</v>
      </c>
    </row>
    <row r="396" spans="1:32" ht="11.25" customHeight="1" x14ac:dyDescent="0.25">
      <c r="A396" s="4" t="s">
        <v>21</v>
      </c>
      <c r="B396" s="4" t="s">
        <v>22</v>
      </c>
      <c r="C396" s="4" t="s">
        <v>23</v>
      </c>
      <c r="D396" s="4" t="s">
        <v>24</v>
      </c>
      <c r="E396" s="4" t="s">
        <v>29</v>
      </c>
      <c r="F396" s="4" t="s">
        <v>25</v>
      </c>
      <c r="G396" s="4" t="s">
        <v>25</v>
      </c>
      <c r="H396" s="4" t="s">
        <v>25</v>
      </c>
      <c r="I396" s="5">
        <v>44440</v>
      </c>
      <c r="J396" s="6">
        <v>0</v>
      </c>
      <c r="K396" s="6">
        <v>0</v>
      </c>
      <c r="L396" s="6">
        <v>7.29</v>
      </c>
      <c r="M396" s="6">
        <v>7.29</v>
      </c>
      <c r="N396" s="6">
        <v>7.29</v>
      </c>
      <c r="O396" s="6">
        <v>7.29</v>
      </c>
      <c r="P396" s="6">
        <v>9</v>
      </c>
      <c r="Q396" s="4" t="s">
        <v>26</v>
      </c>
      <c r="R396" s="4">
        <v>0</v>
      </c>
      <c r="S396" s="4">
        <v>0</v>
      </c>
      <c r="T396" s="4">
        <v>10</v>
      </c>
      <c r="U396" s="4">
        <v>57</v>
      </c>
      <c r="V396" s="6">
        <f>IF(ISERROR(VLOOKUP($S$396,'TAR FIN'!$A$1:$O$93,15,0)),0,VLOOKUP($S$396,'TAR FIN'!$A$1:$O$93,15,0))</f>
        <v>0</v>
      </c>
      <c r="W396" s="6">
        <f>IF(ISERROR(VLOOKUP($T$396,'TAR FIN'!$A$1:$O$93,15,0)),0,VLOOKUP($T$396,'TAR FIN'!$A$1:$O$93,15,0))</f>
        <v>71.83</v>
      </c>
      <c r="X396" s="6">
        <f>IF(ISERROR(VLOOKUP($U$396,'TAR FIN'!$A$1:$O$93,15,0)),0,VLOOKUP($U$396,'TAR FIN'!$A$1:$O$93,15,0))</f>
        <v>64.81</v>
      </c>
      <c r="Y396" s="6"/>
      <c r="Z396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396" s="6">
        <f>('TE BE'!$AB$14+'TE BF'!$AB$14+'TE CVA'!$AB$14)*(1-CUSTOS!$M$34)</f>
        <v>69.363681728803797</v>
      </c>
      <c r="AB396" s="6">
        <f t="shared" si="18"/>
        <v>0</v>
      </c>
      <c r="AC396" s="6">
        <f>(L396-M396)*(W396+X396)+($W$443+$X$443-$W$396-$X$396)*(L396)</f>
        <v>1849.9104</v>
      </c>
      <c r="AD396" s="6">
        <f t="shared" si="20"/>
        <v>0</v>
      </c>
      <c r="AE396" s="6">
        <f ca="1">(L396-M396)*(Z396+AA396)+($Z$443+$AA$443-$Z$396-$AA$396)*(L396)</f>
        <v>1862.7031240704625</v>
      </c>
      <c r="AF396" s="4" t="s">
        <v>641</v>
      </c>
    </row>
    <row r="397" spans="1:32" ht="11.25" customHeight="1" x14ac:dyDescent="0.25">
      <c r="A397" s="4" t="s">
        <v>21</v>
      </c>
      <c r="B397" s="4" t="s">
        <v>22</v>
      </c>
      <c r="C397" s="4" t="s">
        <v>23</v>
      </c>
      <c r="D397" s="4" t="s">
        <v>24</v>
      </c>
      <c r="E397" s="4" t="s">
        <v>29</v>
      </c>
      <c r="F397" s="4" t="s">
        <v>25</v>
      </c>
      <c r="G397" s="4" t="s">
        <v>25</v>
      </c>
      <c r="H397" s="4" t="s">
        <v>25</v>
      </c>
      <c r="I397" s="5">
        <v>44470</v>
      </c>
      <c r="J397" s="6">
        <v>0</v>
      </c>
      <c r="K397" s="6">
        <v>0</v>
      </c>
      <c r="L397" s="6">
        <v>7.38</v>
      </c>
      <c r="M397" s="6">
        <v>7.38</v>
      </c>
      <c r="N397" s="6">
        <v>7.38</v>
      </c>
      <c r="O397" s="6">
        <v>7.38</v>
      </c>
      <c r="P397" s="6">
        <v>10</v>
      </c>
      <c r="Q397" s="4" t="s">
        <v>26</v>
      </c>
      <c r="R397" s="4">
        <v>0</v>
      </c>
      <c r="S397" s="4">
        <v>0</v>
      </c>
      <c r="T397" s="4">
        <v>10</v>
      </c>
      <c r="U397" s="4">
        <v>57</v>
      </c>
      <c r="V397" s="6">
        <f>IF(ISERROR(VLOOKUP($S$397,'TAR FIN'!$A$1:$O$93,15,0)),0,VLOOKUP($S$397,'TAR FIN'!$A$1:$O$93,15,0))</f>
        <v>0</v>
      </c>
      <c r="W397" s="6">
        <f>IF(ISERROR(VLOOKUP($T$397,'TAR FIN'!$A$1:$O$93,15,0)),0,VLOOKUP($T$397,'TAR FIN'!$A$1:$O$93,15,0))</f>
        <v>71.83</v>
      </c>
      <c r="X397" s="6">
        <f>IF(ISERROR(VLOOKUP($U$397,'TAR FIN'!$A$1:$O$93,15,0)),0,VLOOKUP($U$397,'TAR FIN'!$A$1:$O$93,15,0))</f>
        <v>64.81</v>
      </c>
      <c r="Y397" s="6"/>
      <c r="Z397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397" s="6">
        <f>('TE BE'!$AB$14+'TE BF'!$AB$14+'TE CVA'!$AB$14)*(1-CUSTOS!$M$34)</f>
        <v>69.363681728803797</v>
      </c>
      <c r="AB397" s="6">
        <f t="shared" si="18"/>
        <v>0</v>
      </c>
      <c r="AC397" s="6">
        <f>(L397-M397)*(W397+X397)+($W$443+$X$443-$W$397-$X$397)*(L397)</f>
        <v>1872.7487999999998</v>
      </c>
      <c r="AD397" s="6">
        <f t="shared" si="20"/>
        <v>0</v>
      </c>
      <c r="AE397" s="6">
        <f ca="1">(L397-M397)*(Z397+AA397)+($Z$443+$AA$443-$Z$397-$AA$397)*(L397)</f>
        <v>1885.6994589355299</v>
      </c>
      <c r="AF397" s="4" t="s">
        <v>641</v>
      </c>
    </row>
    <row r="398" spans="1:32" ht="11.25" customHeight="1" x14ac:dyDescent="0.25">
      <c r="A398" s="4" t="s">
        <v>21</v>
      </c>
      <c r="B398" s="4" t="s">
        <v>22</v>
      </c>
      <c r="C398" s="4" t="s">
        <v>23</v>
      </c>
      <c r="D398" s="4" t="s">
        <v>24</v>
      </c>
      <c r="E398" s="4" t="s">
        <v>29</v>
      </c>
      <c r="F398" s="4" t="s">
        <v>25</v>
      </c>
      <c r="G398" s="4" t="s">
        <v>25</v>
      </c>
      <c r="H398" s="4" t="s">
        <v>25</v>
      </c>
      <c r="I398" s="5">
        <v>44501</v>
      </c>
      <c r="J398" s="6">
        <v>0</v>
      </c>
      <c r="K398" s="6">
        <v>0</v>
      </c>
      <c r="L398" s="6">
        <v>7.98</v>
      </c>
      <c r="M398" s="6">
        <v>7.98</v>
      </c>
      <c r="N398" s="6">
        <v>7.98</v>
      </c>
      <c r="O398" s="6">
        <v>7.98</v>
      </c>
      <c r="P398" s="6">
        <v>14</v>
      </c>
      <c r="Q398" s="4" t="s">
        <v>26</v>
      </c>
      <c r="R398" s="4">
        <v>0</v>
      </c>
      <c r="S398" s="4">
        <v>0</v>
      </c>
      <c r="T398" s="4">
        <v>10</v>
      </c>
      <c r="U398" s="4">
        <v>57</v>
      </c>
      <c r="V398" s="6">
        <f>IF(ISERROR(VLOOKUP($S$398,'TAR FIN'!$A$1:$O$93,15,0)),0,VLOOKUP($S$398,'TAR FIN'!$A$1:$O$93,15,0))</f>
        <v>0</v>
      </c>
      <c r="W398" s="6">
        <f>IF(ISERROR(VLOOKUP($T$398,'TAR FIN'!$A$1:$O$93,15,0)),0,VLOOKUP($T$398,'TAR FIN'!$A$1:$O$93,15,0))</f>
        <v>71.83</v>
      </c>
      <c r="X398" s="6">
        <f>IF(ISERROR(VLOOKUP($U$398,'TAR FIN'!$A$1:$O$93,15,0)),0,VLOOKUP($U$398,'TAR FIN'!$A$1:$O$93,15,0))</f>
        <v>64.81</v>
      </c>
      <c r="Y398" s="6"/>
      <c r="Z398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398" s="6">
        <f>('TE BE'!$AB$14+'TE BF'!$AB$14+'TE CVA'!$AB$14)*(1-CUSTOS!$M$34)</f>
        <v>69.363681728803797</v>
      </c>
      <c r="AB398" s="6">
        <f t="shared" si="18"/>
        <v>0</v>
      </c>
      <c r="AC398" s="6">
        <f>(L398-M398)*(W398+X398)+($W$443+$X$443-$W$398-$X$398)*(L398)</f>
        <v>2025.0047999999999</v>
      </c>
      <c r="AD398" s="6">
        <f t="shared" si="20"/>
        <v>0</v>
      </c>
      <c r="AE398" s="6">
        <f ca="1">(L398-M398)*(Z398+AA398)+($Z$443+$AA$443-$Z$398-$AA$398)*(L398)</f>
        <v>2039.0083580359797</v>
      </c>
      <c r="AF398" s="4" t="s">
        <v>641</v>
      </c>
    </row>
    <row r="399" spans="1:32" ht="11.25" customHeight="1" x14ac:dyDescent="0.25">
      <c r="A399" s="4" t="s">
        <v>27</v>
      </c>
      <c r="B399" s="4" t="s">
        <v>22</v>
      </c>
      <c r="C399" s="4" t="s">
        <v>23</v>
      </c>
      <c r="D399" s="4" t="s">
        <v>24</v>
      </c>
      <c r="E399" s="4" t="s">
        <v>29</v>
      </c>
      <c r="F399" s="4" t="s">
        <v>25</v>
      </c>
      <c r="G399" s="4" t="s">
        <v>25</v>
      </c>
      <c r="H399" s="4" t="s">
        <v>25</v>
      </c>
      <c r="I399" s="5">
        <v>44501</v>
      </c>
      <c r="J399" s="6">
        <v>0</v>
      </c>
      <c r="K399" s="6">
        <v>0</v>
      </c>
      <c r="L399" s="6">
        <v>-0.21</v>
      </c>
      <c r="M399" s="6">
        <v>-0.21</v>
      </c>
      <c r="N399" s="6">
        <v>-0.21</v>
      </c>
      <c r="O399" s="6">
        <v>-0.21</v>
      </c>
      <c r="P399" s="6">
        <v>-1</v>
      </c>
      <c r="Q399" s="4" t="s">
        <v>26</v>
      </c>
      <c r="R399" s="4">
        <v>0</v>
      </c>
      <c r="S399" s="4">
        <v>0</v>
      </c>
      <c r="T399" s="4">
        <v>10</v>
      </c>
      <c r="U399" s="4">
        <v>57</v>
      </c>
      <c r="V399" s="6">
        <f>IF(ISERROR(VLOOKUP($S$399,'TAR FIN'!$A$1:$O$93,15,0)),0,VLOOKUP($S$399,'TAR FIN'!$A$1:$O$93,15,0))</f>
        <v>0</v>
      </c>
      <c r="W399" s="6">
        <f>IF(ISERROR(VLOOKUP($T$399,'TAR FIN'!$A$1:$O$93,15,0)),0,VLOOKUP($T$399,'TAR FIN'!$A$1:$O$93,15,0))</f>
        <v>71.83</v>
      </c>
      <c r="X399" s="6">
        <f>IF(ISERROR(VLOOKUP($U$399,'TAR FIN'!$A$1:$O$93,15,0)),0,VLOOKUP($U$399,'TAR FIN'!$A$1:$O$93,15,0))</f>
        <v>64.81</v>
      </c>
      <c r="Y399" s="6"/>
      <c r="Z399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399" s="6">
        <f>('TE BE'!$AB$14+'TE BF'!$AB$14+'TE CVA'!$AB$14)*(1-CUSTOS!$M$34)</f>
        <v>69.363681728803797</v>
      </c>
      <c r="AB399" s="6">
        <f t="shared" si="18"/>
        <v>0</v>
      </c>
      <c r="AC399" s="6">
        <f>(L399-M399)*(W399+X399)+($W$443+$X$443-$W$399-$X$399)*(L399)</f>
        <v>-53.289599999999993</v>
      </c>
      <c r="AD399" s="6">
        <f t="shared" si="20"/>
        <v>0</v>
      </c>
      <c r="AE399" s="6">
        <f ca="1">(L399-M399)*(Z399+AA399)+($Z$443+$AA$443-$Z$399-$AA$399)*(L399)</f>
        <v>-53.658114685157358</v>
      </c>
      <c r="AF399" s="4" t="s">
        <v>641</v>
      </c>
    </row>
    <row r="400" spans="1:32" ht="11.25" customHeight="1" x14ac:dyDescent="0.25">
      <c r="A400" s="4" t="s">
        <v>21</v>
      </c>
      <c r="B400" s="4" t="s">
        <v>22</v>
      </c>
      <c r="C400" s="4" t="s">
        <v>23</v>
      </c>
      <c r="D400" s="4" t="s">
        <v>24</v>
      </c>
      <c r="E400" s="4" t="s">
        <v>29</v>
      </c>
      <c r="F400" s="4" t="s">
        <v>25</v>
      </c>
      <c r="G400" s="4" t="s">
        <v>25</v>
      </c>
      <c r="H400" s="4" t="s">
        <v>25</v>
      </c>
      <c r="I400" s="5">
        <v>44531</v>
      </c>
      <c r="J400" s="6">
        <v>0</v>
      </c>
      <c r="K400" s="6">
        <v>0</v>
      </c>
      <c r="L400" s="6">
        <v>7.83</v>
      </c>
      <c r="M400" s="6">
        <v>7.83</v>
      </c>
      <c r="N400" s="6">
        <v>7.83</v>
      </c>
      <c r="O400" s="6">
        <v>7.83</v>
      </c>
      <c r="P400" s="6">
        <v>9</v>
      </c>
      <c r="Q400" s="4" t="s">
        <v>26</v>
      </c>
      <c r="R400" s="4">
        <v>0</v>
      </c>
      <c r="S400" s="4">
        <v>0</v>
      </c>
      <c r="T400" s="4">
        <v>10</v>
      </c>
      <c r="U400" s="4">
        <v>57</v>
      </c>
      <c r="V400" s="6">
        <f>IF(ISERROR(VLOOKUP($S$400,'TAR FIN'!$A$1:$O$93,15,0)),0,VLOOKUP($S$400,'TAR FIN'!$A$1:$O$93,15,0))</f>
        <v>0</v>
      </c>
      <c r="W400" s="6">
        <f>IF(ISERROR(VLOOKUP($T$400,'TAR FIN'!$A$1:$O$93,15,0)),0,VLOOKUP($T$400,'TAR FIN'!$A$1:$O$93,15,0))</f>
        <v>71.83</v>
      </c>
      <c r="X400" s="6">
        <f>IF(ISERROR(VLOOKUP($U$400,'TAR FIN'!$A$1:$O$93,15,0)),0,VLOOKUP($U$400,'TAR FIN'!$A$1:$O$93,15,0))</f>
        <v>64.81</v>
      </c>
      <c r="Y400" s="6"/>
      <c r="Z400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400" s="6">
        <f>('TE BE'!$AB$14+'TE BF'!$AB$14+'TE CVA'!$AB$14)*(1-CUSTOS!$M$34)</f>
        <v>69.363681728803797</v>
      </c>
      <c r="AB400" s="6">
        <f t="shared" si="18"/>
        <v>0</v>
      </c>
      <c r="AC400" s="6">
        <f>(L400-M400)*(W400+X400)+($W$443+$X$443-$W$400-$X$400)*(L400)</f>
        <v>1986.9407999999999</v>
      </c>
      <c r="AD400" s="6">
        <f t="shared" si="20"/>
        <v>0</v>
      </c>
      <c r="AE400" s="6">
        <f ca="1">(L400-M400)*(Z400+AA400)+($Z$443+$AA$443-$Z$400-$AA$400)*(L400)</f>
        <v>2000.6811332608672</v>
      </c>
      <c r="AF400" s="4" t="s">
        <v>641</v>
      </c>
    </row>
    <row r="401" spans="1:32" ht="11.25" customHeight="1" x14ac:dyDescent="0.25">
      <c r="A401" s="4" t="s">
        <v>21</v>
      </c>
      <c r="B401" s="4" t="s">
        <v>22</v>
      </c>
      <c r="C401" s="4" t="s">
        <v>23</v>
      </c>
      <c r="D401" s="4" t="s">
        <v>24</v>
      </c>
      <c r="E401" s="4" t="s">
        <v>29</v>
      </c>
      <c r="F401" s="4" t="s">
        <v>25</v>
      </c>
      <c r="G401" s="4" t="s">
        <v>25</v>
      </c>
      <c r="H401" s="4" t="s">
        <v>25</v>
      </c>
      <c r="I401" s="5">
        <v>44562</v>
      </c>
      <c r="J401" s="6">
        <v>0</v>
      </c>
      <c r="K401" s="6">
        <v>0</v>
      </c>
      <c r="L401" s="6">
        <v>7.95</v>
      </c>
      <c r="M401" s="6">
        <v>7.95</v>
      </c>
      <c r="N401" s="6">
        <v>7.95</v>
      </c>
      <c r="O401" s="6">
        <v>7.95</v>
      </c>
      <c r="P401" s="6">
        <v>8</v>
      </c>
      <c r="Q401" s="4" t="s">
        <v>26</v>
      </c>
      <c r="R401" s="4">
        <v>0</v>
      </c>
      <c r="S401" s="4">
        <v>0</v>
      </c>
      <c r="T401" s="4">
        <v>10</v>
      </c>
      <c r="U401" s="4">
        <v>57</v>
      </c>
      <c r="V401" s="6">
        <f>IF(ISERROR(VLOOKUP($S$401,'TAR FIN'!$A$1:$O$93,15,0)),0,VLOOKUP($S$401,'TAR FIN'!$A$1:$O$93,15,0))</f>
        <v>0</v>
      </c>
      <c r="W401" s="6">
        <f>IF(ISERROR(VLOOKUP($T$401,'TAR FIN'!$A$1:$O$93,15,0)),0,VLOOKUP($T$401,'TAR FIN'!$A$1:$O$93,15,0))</f>
        <v>71.83</v>
      </c>
      <c r="X401" s="6">
        <f>IF(ISERROR(VLOOKUP($U$401,'TAR FIN'!$A$1:$O$93,15,0)),0,VLOOKUP($U$401,'TAR FIN'!$A$1:$O$93,15,0))</f>
        <v>64.81</v>
      </c>
      <c r="Y401" s="6"/>
      <c r="Z401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401" s="6">
        <f>('TE BE'!$AB$14+'TE BF'!$AB$14+'TE CVA'!$AB$14)*(1-CUSTOS!$M$34)</f>
        <v>69.363681728803797</v>
      </c>
      <c r="AB401" s="6">
        <f t="shared" si="18"/>
        <v>0</v>
      </c>
      <c r="AC401" s="6">
        <f>(L401-M401)*(W401+X401)+($W$443+$X$443-$W$401-$X$401)*(L401)</f>
        <v>2017.3920000000001</v>
      </c>
      <c r="AD401" s="6">
        <f t="shared" si="20"/>
        <v>0</v>
      </c>
      <c r="AE401" s="6">
        <f ca="1">(L401-M401)*(Z401+AA401)+($Z$443+$AA$443-$Z$401-$AA$401)*(L401)</f>
        <v>2031.3429130809573</v>
      </c>
      <c r="AF401" s="4" t="s">
        <v>641</v>
      </c>
    </row>
    <row r="402" spans="1:32" ht="11.25" customHeight="1" x14ac:dyDescent="0.25">
      <c r="A402" s="4" t="s">
        <v>21</v>
      </c>
      <c r="B402" s="4" t="s">
        <v>22</v>
      </c>
      <c r="C402" s="4" t="s">
        <v>23</v>
      </c>
      <c r="D402" s="4" t="s">
        <v>24</v>
      </c>
      <c r="E402" s="4" t="s">
        <v>29</v>
      </c>
      <c r="F402" s="4" t="s">
        <v>25</v>
      </c>
      <c r="G402" s="4" t="s">
        <v>25</v>
      </c>
      <c r="H402" s="4" t="s">
        <v>25</v>
      </c>
      <c r="I402" s="5">
        <v>44593</v>
      </c>
      <c r="J402" s="6">
        <v>0</v>
      </c>
      <c r="K402" s="6">
        <v>0</v>
      </c>
      <c r="L402" s="6">
        <v>13.92</v>
      </c>
      <c r="M402" s="6">
        <v>13.92</v>
      </c>
      <c r="N402" s="6">
        <v>13.92</v>
      </c>
      <c r="O402" s="6">
        <v>13.92</v>
      </c>
      <c r="P402" s="6">
        <v>36</v>
      </c>
      <c r="Q402" s="4" t="s">
        <v>26</v>
      </c>
      <c r="R402" s="4">
        <v>0</v>
      </c>
      <c r="S402" s="4">
        <v>0</v>
      </c>
      <c r="T402" s="4">
        <v>10</v>
      </c>
      <c r="U402" s="4">
        <v>57</v>
      </c>
      <c r="V402" s="6">
        <f>IF(ISERROR(VLOOKUP($S$402,'TAR FIN'!$A$1:$O$93,15,0)),0,VLOOKUP($S$402,'TAR FIN'!$A$1:$O$93,15,0))</f>
        <v>0</v>
      </c>
      <c r="W402" s="6">
        <f>IF(ISERROR(VLOOKUP($T$402,'TAR FIN'!$A$1:$O$93,15,0)),0,VLOOKUP($T$402,'TAR FIN'!$A$1:$O$93,15,0))</f>
        <v>71.83</v>
      </c>
      <c r="X402" s="6">
        <f>IF(ISERROR(VLOOKUP($U$402,'TAR FIN'!$A$1:$O$93,15,0)),0,VLOOKUP($U$402,'TAR FIN'!$A$1:$O$93,15,0))</f>
        <v>64.81</v>
      </c>
      <c r="Y402" s="6"/>
      <c r="Z402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402" s="6">
        <f>('TE BE'!$AB$14+'TE BF'!$AB$14+'TE CVA'!$AB$14)*(1-CUSTOS!$M$34)</f>
        <v>69.363681728803797</v>
      </c>
      <c r="AB402" s="6">
        <f t="shared" si="18"/>
        <v>0</v>
      </c>
      <c r="AC402" s="6">
        <f>(L402-M402)*(W402+X402)+($W$443+$X$443-$W$402-$X$402)*(L402)</f>
        <v>3532.3391999999999</v>
      </c>
      <c r="AD402" s="6">
        <f t="shared" si="20"/>
        <v>0</v>
      </c>
      <c r="AE402" s="6">
        <f ca="1">(L402-M402)*(Z402+AA402)+($Z$443+$AA$443-$Z$402-$AA$402)*(L402)</f>
        <v>3556.7664591304306</v>
      </c>
      <c r="AF402" s="4" t="s">
        <v>641</v>
      </c>
    </row>
    <row r="403" spans="1:32" ht="11.25" customHeight="1" x14ac:dyDescent="0.25">
      <c r="A403" s="4" t="s">
        <v>21</v>
      </c>
      <c r="B403" s="4" t="s">
        <v>22</v>
      </c>
      <c r="C403" s="4" t="s">
        <v>23</v>
      </c>
      <c r="D403" s="4" t="s">
        <v>24</v>
      </c>
      <c r="E403" s="4" t="s">
        <v>29</v>
      </c>
      <c r="F403" s="4" t="s">
        <v>25</v>
      </c>
      <c r="G403" s="4" t="s">
        <v>25</v>
      </c>
      <c r="H403" s="4" t="s">
        <v>25</v>
      </c>
      <c r="I403" s="5">
        <v>44621</v>
      </c>
      <c r="J403" s="6">
        <v>0</v>
      </c>
      <c r="K403" s="6">
        <v>0</v>
      </c>
      <c r="L403" s="6">
        <v>17.373000000000001</v>
      </c>
      <c r="M403" s="6">
        <v>17.373000000000001</v>
      </c>
      <c r="N403" s="6">
        <v>17.373000000000001</v>
      </c>
      <c r="O403" s="6">
        <v>17.373000000000001</v>
      </c>
      <c r="P403" s="6">
        <v>43</v>
      </c>
      <c r="Q403" s="4" t="s">
        <v>26</v>
      </c>
      <c r="R403" s="4">
        <v>0</v>
      </c>
      <c r="S403" s="4">
        <v>0</v>
      </c>
      <c r="T403" s="4">
        <v>10</v>
      </c>
      <c r="U403" s="4">
        <v>57</v>
      </c>
      <c r="V403" s="6">
        <f>IF(ISERROR(VLOOKUP($S$403,'TAR FIN'!$A$1:$O$93,15,0)),0,VLOOKUP($S$403,'TAR FIN'!$A$1:$O$93,15,0))</f>
        <v>0</v>
      </c>
      <c r="W403" s="6">
        <f>IF(ISERROR(VLOOKUP($T$403,'TAR FIN'!$A$1:$O$93,15,0)),0,VLOOKUP($T$403,'TAR FIN'!$A$1:$O$93,15,0))</f>
        <v>71.83</v>
      </c>
      <c r="X403" s="6">
        <f>IF(ISERROR(VLOOKUP($U$403,'TAR FIN'!$A$1:$O$93,15,0)),0,VLOOKUP($U$403,'TAR FIN'!$A$1:$O$93,15,0))</f>
        <v>64.81</v>
      </c>
      <c r="Y403" s="6"/>
      <c r="Z403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403" s="6">
        <f>('TE BE'!$AB$14+'TE BF'!$AB$14+'TE CVA'!$AB$14)*(1-CUSTOS!$M$34)</f>
        <v>69.363681728803797</v>
      </c>
      <c r="AB403" s="6">
        <f t="shared" si="18"/>
        <v>0</v>
      </c>
      <c r="AC403" s="6">
        <f>(L403-M403)*(W403+X403)+($W$443+$X$443-$W$403-$X$403)*(L403)</f>
        <v>4408.5724799999998</v>
      </c>
      <c r="AD403" s="6">
        <f t="shared" si="20"/>
        <v>0</v>
      </c>
      <c r="AE403" s="6">
        <f ca="1">(L403-M403)*(Z403+AA403)+($Z$443+$AA$443-$Z$403-$AA$403)*(L403)</f>
        <v>4439.0591734535183</v>
      </c>
      <c r="AF403" s="4" t="s">
        <v>641</v>
      </c>
    </row>
    <row r="404" spans="1:32" ht="11.25" customHeight="1" x14ac:dyDescent="0.25">
      <c r="A404" s="4" t="s">
        <v>27</v>
      </c>
      <c r="B404" s="4" t="s">
        <v>22</v>
      </c>
      <c r="C404" s="4" t="s">
        <v>23</v>
      </c>
      <c r="D404" s="4" t="s">
        <v>24</v>
      </c>
      <c r="E404" s="4" t="s">
        <v>29</v>
      </c>
      <c r="F404" s="4" t="s">
        <v>25</v>
      </c>
      <c r="G404" s="4" t="s">
        <v>25</v>
      </c>
      <c r="H404" s="4" t="s">
        <v>25</v>
      </c>
      <c r="I404" s="5">
        <v>44621</v>
      </c>
      <c r="J404" s="6">
        <v>0</v>
      </c>
      <c r="K404" s="6">
        <v>0</v>
      </c>
      <c r="L404" s="6">
        <v>-0.03</v>
      </c>
      <c r="M404" s="6">
        <v>-0.03</v>
      </c>
      <c r="N404" s="6">
        <v>-0.03</v>
      </c>
      <c r="O404" s="6">
        <v>-0.03</v>
      </c>
      <c r="P404" s="6">
        <v>0</v>
      </c>
      <c r="Q404" s="4" t="s">
        <v>26</v>
      </c>
      <c r="R404" s="4">
        <v>0</v>
      </c>
      <c r="S404" s="4">
        <v>0</v>
      </c>
      <c r="T404" s="4">
        <v>10</v>
      </c>
      <c r="U404" s="4">
        <v>57</v>
      </c>
      <c r="V404" s="6">
        <f>IF(ISERROR(VLOOKUP($S$404,'TAR FIN'!$A$1:$O$93,15,0)),0,VLOOKUP($S$404,'TAR FIN'!$A$1:$O$93,15,0))</f>
        <v>0</v>
      </c>
      <c r="W404" s="6">
        <f>IF(ISERROR(VLOOKUP($T$404,'TAR FIN'!$A$1:$O$93,15,0)),0,VLOOKUP($T$404,'TAR FIN'!$A$1:$O$93,15,0))</f>
        <v>71.83</v>
      </c>
      <c r="X404" s="6">
        <f>IF(ISERROR(VLOOKUP($U$404,'TAR FIN'!$A$1:$O$93,15,0)),0,VLOOKUP($U$404,'TAR FIN'!$A$1:$O$93,15,0))</f>
        <v>64.81</v>
      </c>
      <c r="Y404" s="6"/>
      <c r="Z404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404" s="6">
        <f>('TE BE'!$AB$14+'TE BF'!$AB$14+'TE CVA'!$AB$14)*(1-CUSTOS!$M$34)</f>
        <v>69.363681728803797</v>
      </c>
      <c r="AB404" s="6">
        <f t="shared" si="18"/>
        <v>0</v>
      </c>
      <c r="AC404" s="6">
        <f>(L404-M404)*(W404+X404)+($W$443+$X$443-$W$404-$X$404)*(L404)</f>
        <v>-7.6127999999999991</v>
      </c>
      <c r="AD404" s="6">
        <f t="shared" si="20"/>
        <v>0</v>
      </c>
      <c r="AE404" s="6">
        <f ca="1">(L404-M404)*(Z404+AA404)+($Z$443+$AA$443-$Z$404-$AA$404)*(L404)</f>
        <v>-7.6654449550224797</v>
      </c>
      <c r="AF404" s="4" t="s">
        <v>641</v>
      </c>
    </row>
    <row r="405" spans="1:32" ht="11.25" customHeight="1" x14ac:dyDescent="0.25">
      <c r="A405" s="4" t="s">
        <v>21</v>
      </c>
      <c r="B405" s="4" t="s">
        <v>22</v>
      </c>
      <c r="C405" s="4" t="s">
        <v>23</v>
      </c>
      <c r="D405" s="4" t="s">
        <v>24</v>
      </c>
      <c r="E405" s="4" t="s">
        <v>29</v>
      </c>
      <c r="F405" s="4" t="s">
        <v>25</v>
      </c>
      <c r="G405" s="4" t="s">
        <v>25</v>
      </c>
      <c r="H405" s="4" t="s">
        <v>25</v>
      </c>
      <c r="I405" s="5">
        <v>44652</v>
      </c>
      <c r="J405" s="6">
        <v>0</v>
      </c>
      <c r="K405" s="6">
        <v>0</v>
      </c>
      <c r="L405" s="6">
        <v>29.131</v>
      </c>
      <c r="M405" s="6">
        <v>29.131</v>
      </c>
      <c r="N405" s="6">
        <v>29.131</v>
      </c>
      <c r="O405" s="6">
        <v>29.131</v>
      </c>
      <c r="P405" s="6">
        <v>73</v>
      </c>
      <c r="Q405" s="4" t="s">
        <v>26</v>
      </c>
      <c r="R405" s="4">
        <v>0</v>
      </c>
      <c r="S405" s="4">
        <v>0</v>
      </c>
      <c r="T405" s="4">
        <v>10</v>
      </c>
      <c r="U405" s="4">
        <v>57</v>
      </c>
      <c r="V405" s="6">
        <f>IF(ISERROR(VLOOKUP($S$405,'TAR FIN'!$A$1:$O$93,15,0)),0,VLOOKUP($S$405,'TAR FIN'!$A$1:$O$93,15,0))</f>
        <v>0</v>
      </c>
      <c r="W405" s="6">
        <f>IF(ISERROR(VLOOKUP($T$405,'TAR FIN'!$A$1:$O$93,15,0)),0,VLOOKUP($T$405,'TAR FIN'!$A$1:$O$93,15,0))</f>
        <v>71.83</v>
      </c>
      <c r="X405" s="6">
        <f>IF(ISERROR(VLOOKUP($U$405,'TAR FIN'!$A$1:$O$93,15,0)),0,VLOOKUP($U$405,'TAR FIN'!$A$1:$O$93,15,0))</f>
        <v>64.81</v>
      </c>
      <c r="Y405" s="6"/>
      <c r="Z405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405" s="6">
        <f>('TE BE'!$AB$14+'TE BF'!$AB$14+'TE CVA'!$AB$14)*(1-CUSTOS!$M$34)</f>
        <v>69.363681728803797</v>
      </c>
      <c r="AB405" s="6">
        <f t="shared" si="18"/>
        <v>0</v>
      </c>
      <c r="AC405" s="6">
        <f>(L405-M405)*(W405+X405)+($W$443+$X$443-$W$405-$X$405)*(L405)</f>
        <v>7392.2825599999996</v>
      </c>
      <c r="AD405" s="6">
        <f t="shared" si="20"/>
        <v>0</v>
      </c>
      <c r="AE405" s="6">
        <f ca="1">(L405-M405)*(Z405+AA405)+($Z$443+$AA$443-$Z$405-$AA$405)*(L405)</f>
        <v>7443.402566158662</v>
      </c>
      <c r="AF405" s="4" t="s">
        <v>641</v>
      </c>
    </row>
    <row r="406" spans="1:32" ht="11.25" customHeight="1" x14ac:dyDescent="0.25">
      <c r="A406" s="4" t="s">
        <v>21</v>
      </c>
      <c r="B406" s="4" t="s">
        <v>22</v>
      </c>
      <c r="C406" s="4" t="s">
        <v>23</v>
      </c>
      <c r="D406" s="4" t="s">
        <v>24</v>
      </c>
      <c r="E406" s="4" t="s">
        <v>29</v>
      </c>
      <c r="F406" s="4" t="s">
        <v>25</v>
      </c>
      <c r="G406" s="4" t="s">
        <v>25</v>
      </c>
      <c r="H406" s="4" t="s">
        <v>25</v>
      </c>
      <c r="I406" s="5">
        <v>44682</v>
      </c>
      <c r="J406" s="6">
        <v>0</v>
      </c>
      <c r="K406" s="6">
        <v>0</v>
      </c>
      <c r="L406" s="6">
        <v>31.393000000000001</v>
      </c>
      <c r="M406" s="6">
        <v>31.393000000000001</v>
      </c>
      <c r="N406" s="6">
        <v>31.393000000000001</v>
      </c>
      <c r="O406" s="6">
        <v>31.393000000000001</v>
      </c>
      <c r="P406" s="6">
        <v>84</v>
      </c>
      <c r="Q406" s="4" t="s">
        <v>26</v>
      </c>
      <c r="R406" s="4">
        <v>0</v>
      </c>
      <c r="S406" s="4">
        <v>0</v>
      </c>
      <c r="T406" s="4">
        <v>10</v>
      </c>
      <c r="U406" s="4">
        <v>57</v>
      </c>
      <c r="V406" s="6">
        <f>IF(ISERROR(VLOOKUP($S$406,'TAR FIN'!$A$1:$O$93,15,0)),0,VLOOKUP($S$406,'TAR FIN'!$A$1:$O$93,15,0))</f>
        <v>0</v>
      </c>
      <c r="W406" s="6">
        <f>IF(ISERROR(VLOOKUP($T$406,'TAR FIN'!$A$1:$O$93,15,0)),0,VLOOKUP($T$406,'TAR FIN'!$A$1:$O$93,15,0))</f>
        <v>71.83</v>
      </c>
      <c r="X406" s="6">
        <f>IF(ISERROR(VLOOKUP($U$406,'TAR FIN'!$A$1:$O$93,15,0)),0,VLOOKUP($U$406,'TAR FIN'!$A$1:$O$93,15,0))</f>
        <v>64.81</v>
      </c>
      <c r="Y406" s="6"/>
      <c r="Z406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406" s="6">
        <f>('TE BE'!$AB$14+'TE BF'!$AB$14+'TE CVA'!$AB$14)*(1-CUSTOS!$M$34)</f>
        <v>69.363681728803797</v>
      </c>
      <c r="AB406" s="6">
        <f t="shared" si="18"/>
        <v>0</v>
      </c>
      <c r="AC406" s="6">
        <f>(L406-M406)*(W406+X406)+($W$443+$X$443-$W$406-$X$406)*(L406)</f>
        <v>7966.2876799999995</v>
      </c>
      <c r="AD406" s="6">
        <f t="shared" si="20"/>
        <v>0</v>
      </c>
      <c r="AE406" s="6">
        <f ca="1">(L406-M406)*(Z406+AA406)+($Z$443+$AA$443-$Z$406-$AA$406)*(L406)</f>
        <v>8021.3771157673573</v>
      </c>
      <c r="AF406" s="4" t="s">
        <v>641</v>
      </c>
    </row>
    <row r="407" spans="1:32" ht="11.25" customHeight="1" x14ac:dyDescent="0.25">
      <c r="A407" s="4" t="s">
        <v>21</v>
      </c>
      <c r="B407" s="4" t="s">
        <v>22</v>
      </c>
      <c r="C407" s="4" t="s">
        <v>23</v>
      </c>
      <c r="D407" s="4" t="s">
        <v>24</v>
      </c>
      <c r="E407" s="4" t="s">
        <v>29</v>
      </c>
      <c r="F407" s="4" t="s">
        <v>25</v>
      </c>
      <c r="G407" s="4" t="s">
        <v>25</v>
      </c>
      <c r="H407" s="4" t="s">
        <v>25</v>
      </c>
      <c r="I407" s="5">
        <v>44713</v>
      </c>
      <c r="J407" s="6">
        <v>0</v>
      </c>
      <c r="K407" s="6">
        <v>0</v>
      </c>
      <c r="L407" s="6">
        <v>31.45</v>
      </c>
      <c r="M407" s="6">
        <v>31.45</v>
      </c>
      <c r="N407" s="6">
        <v>31.45</v>
      </c>
      <c r="O407" s="6">
        <v>31.45</v>
      </c>
      <c r="P407" s="6">
        <v>103</v>
      </c>
      <c r="Q407" s="4" t="s">
        <v>26</v>
      </c>
      <c r="R407" s="4">
        <v>0</v>
      </c>
      <c r="S407" s="4">
        <v>0</v>
      </c>
      <c r="T407" s="4">
        <v>10</v>
      </c>
      <c r="U407" s="4">
        <v>57</v>
      </c>
      <c r="V407" s="6">
        <f>IF(ISERROR(VLOOKUP($S$407,'TAR FIN'!$A$1:$O$93,15,0)),0,VLOOKUP($S$407,'TAR FIN'!$A$1:$O$93,15,0))</f>
        <v>0</v>
      </c>
      <c r="W407" s="6">
        <f>IF(ISERROR(VLOOKUP($T$407,'TAR FIN'!$A$1:$O$93,15,0)),0,VLOOKUP($T$407,'TAR FIN'!$A$1:$O$93,15,0))</f>
        <v>71.83</v>
      </c>
      <c r="X407" s="6">
        <f>IF(ISERROR(VLOOKUP($U$407,'TAR FIN'!$A$1:$O$93,15,0)),0,VLOOKUP($U$407,'TAR FIN'!$A$1:$O$93,15,0))</f>
        <v>64.81</v>
      </c>
      <c r="Y407" s="6"/>
      <c r="Z407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407" s="6">
        <f>('TE BE'!$AB$14+'TE BF'!$AB$14+'TE CVA'!$AB$14)*(1-CUSTOS!$M$34)</f>
        <v>69.363681728803797</v>
      </c>
      <c r="AB407" s="6">
        <f t="shared" si="18"/>
        <v>0</v>
      </c>
      <c r="AC407" s="6">
        <f>(L407-M407)*(W407+X407)+($W$443+$X$443-$W$407-$X$407)*(L407)</f>
        <v>7980.7519999999995</v>
      </c>
      <c r="AD407" s="6">
        <f t="shared" si="20"/>
        <v>0</v>
      </c>
      <c r="AE407" s="6">
        <f ca="1">(L407-M407)*(Z407+AA407)+($Z$443+$AA$443-$Z$407-$AA$407)*(L407)</f>
        <v>8035.9414611818993</v>
      </c>
      <c r="AF407" s="4" t="s">
        <v>641</v>
      </c>
    </row>
    <row r="408" spans="1:32" ht="11.25" customHeight="1" x14ac:dyDescent="0.25">
      <c r="A408" s="4" t="s">
        <v>27</v>
      </c>
      <c r="B408" s="4" t="s">
        <v>22</v>
      </c>
      <c r="C408" s="4" t="s">
        <v>23</v>
      </c>
      <c r="D408" s="4" t="s">
        <v>24</v>
      </c>
      <c r="E408" s="4" t="s">
        <v>29</v>
      </c>
      <c r="F408" s="4" t="s">
        <v>25</v>
      </c>
      <c r="G408" s="4" t="s">
        <v>25</v>
      </c>
      <c r="H408" s="4" t="s">
        <v>25</v>
      </c>
      <c r="I408" s="5">
        <v>44713</v>
      </c>
      <c r="J408" s="6">
        <v>0</v>
      </c>
      <c r="K408" s="6">
        <v>0</v>
      </c>
      <c r="L408" s="6">
        <v>-0.06</v>
      </c>
      <c r="M408" s="6">
        <v>-0.06</v>
      </c>
      <c r="N408" s="6">
        <v>-0.06</v>
      </c>
      <c r="O408" s="6">
        <v>-0.06</v>
      </c>
      <c r="P408" s="6">
        <v>-2</v>
      </c>
      <c r="Q408" s="4" t="s">
        <v>26</v>
      </c>
      <c r="R408" s="4">
        <v>0</v>
      </c>
      <c r="S408" s="4">
        <v>0</v>
      </c>
      <c r="T408" s="4">
        <v>10</v>
      </c>
      <c r="U408" s="4">
        <v>57</v>
      </c>
      <c r="V408" s="6">
        <f>IF(ISERROR(VLOOKUP($S$408,'TAR FIN'!$A$1:$O$93,15,0)),0,VLOOKUP($S$408,'TAR FIN'!$A$1:$O$93,15,0))</f>
        <v>0</v>
      </c>
      <c r="W408" s="6">
        <f>IF(ISERROR(VLOOKUP($T$408,'TAR FIN'!$A$1:$O$93,15,0)),0,VLOOKUP($T$408,'TAR FIN'!$A$1:$O$93,15,0))</f>
        <v>71.83</v>
      </c>
      <c r="X408" s="6">
        <f>IF(ISERROR(VLOOKUP($U$408,'TAR FIN'!$A$1:$O$93,15,0)),0,VLOOKUP($U$408,'TAR FIN'!$A$1:$O$93,15,0))</f>
        <v>64.81</v>
      </c>
      <c r="Y408" s="6"/>
      <c r="Z408" s="6">
        <f ca="1">('TUSD BE'!$AM$25+'TUSD BF'!$AM$25+'TUSD CVA'!$AM$25-('TUSD BE'!$P$25+'TUSD BF'!$P$25+'TUSD CVA'!$P$25)-('TUSD BE'!$Q$25+'TUSD BF'!$Q$25+'TUSD CVA'!$Q$25)-('TUSD BE'!$R$25+'TUSD BF'!$R$25+'TUSD CVA'!$R$25))*(1-CUSTOS!$M$34)</f>
        <v>68.221227720317586</v>
      </c>
      <c r="AA408" s="6">
        <f>('TE BE'!$AB$14+'TE BF'!$AB$14+'TE CVA'!$AB$14)*(1-CUSTOS!$M$34)</f>
        <v>69.363681728803797</v>
      </c>
      <c r="AB408" s="6">
        <f t="shared" si="18"/>
        <v>0</v>
      </c>
      <c r="AC408" s="6">
        <f>(L408-M408)*(W408+X408)+($W$443+$X$443-$W$408-$X$408)*(L408)</f>
        <v>-15.225599999999998</v>
      </c>
      <c r="AD408" s="6">
        <f t="shared" si="20"/>
        <v>0</v>
      </c>
      <c r="AE408" s="6">
        <f ca="1">(L408-M408)*(Z408+AA408)+($Z$443+$AA$443-$Z$408-$AA$408)*(L408)</f>
        <v>-15.330889910044959</v>
      </c>
      <c r="AF408" s="4" t="s">
        <v>641</v>
      </c>
    </row>
    <row r="409" spans="1:32" ht="11.25" customHeight="1" x14ac:dyDescent="0.25">
      <c r="A409" s="4" t="s">
        <v>21</v>
      </c>
      <c r="B409" s="4" t="s">
        <v>22</v>
      </c>
      <c r="C409" s="4" t="s">
        <v>23</v>
      </c>
      <c r="D409" s="4" t="s">
        <v>24</v>
      </c>
      <c r="E409" s="4" t="s">
        <v>30</v>
      </c>
      <c r="F409" s="4" t="s">
        <v>25</v>
      </c>
      <c r="G409" s="4" t="s">
        <v>25</v>
      </c>
      <c r="H409" s="4" t="s">
        <v>25</v>
      </c>
      <c r="I409" s="5">
        <v>44378</v>
      </c>
      <c r="J409" s="6">
        <v>0</v>
      </c>
      <c r="K409" s="6">
        <v>0</v>
      </c>
      <c r="L409" s="6">
        <v>1.8169999999999999</v>
      </c>
      <c r="M409" s="6">
        <v>1.8169999999999999</v>
      </c>
      <c r="N409" s="6">
        <v>1.8169999999999999</v>
      </c>
      <c r="O409" s="6">
        <v>1.8169999999999999</v>
      </c>
      <c r="P409" s="6">
        <v>43</v>
      </c>
      <c r="Q409" s="4" t="s">
        <v>26</v>
      </c>
      <c r="R409" s="4">
        <v>0</v>
      </c>
      <c r="S409" s="4">
        <v>0</v>
      </c>
      <c r="T409" s="4">
        <v>6</v>
      </c>
      <c r="U409" s="4">
        <v>55</v>
      </c>
      <c r="V409" s="6">
        <f>IF(ISERROR(VLOOKUP($S$409,'TAR FIN'!$A$1:$O$93,15,0)),0,VLOOKUP($S$409,'TAR FIN'!$A$1:$O$93,15,0))</f>
        <v>0</v>
      </c>
      <c r="W409" s="6">
        <f>IF(ISERROR(VLOOKUP($T$409,'TAR FIN'!$A$1:$O$93,15,0)),0,VLOOKUP($T$409,'TAR FIN'!$A$1:$O$93,15,0))</f>
        <v>123.13</v>
      </c>
      <c r="X409" s="6">
        <f>IF(ISERROR(VLOOKUP($U$409,'TAR FIN'!$A$1:$O$93,15,0)),0,VLOOKUP($U$409,'TAR FIN'!$A$1:$O$93,15,0))</f>
        <v>111.11</v>
      </c>
      <c r="Y409" s="6"/>
      <c r="Z409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409" s="6">
        <f>('TE BE'!$AB$15+'TE BF'!$AB$15+'TE CVA'!$AB$15)*(1-CUSTOS!$M$35)</f>
        <v>118.90916867794938</v>
      </c>
      <c r="AB409" s="6">
        <f t="shared" si="18"/>
        <v>0</v>
      </c>
      <c r="AC409" s="6">
        <f>(L409-M409)*(W409+X409)+($W$443+$X$443-$W$409-$X$409)*(L409)</f>
        <v>283.74271999999991</v>
      </c>
      <c r="AD409" s="6">
        <f t="shared" si="20"/>
        <v>0</v>
      </c>
      <c r="AE409" s="6">
        <f ca="1">(L409-M409)*(Z409+AA409)+($Z$443+$AA$443-$Z$409-$AA$409)*(L409)</f>
        <v>285.70489196463268</v>
      </c>
      <c r="AF409" s="4" t="s">
        <v>641</v>
      </c>
    </row>
    <row r="410" spans="1:32" ht="11.25" customHeight="1" x14ac:dyDescent="0.25">
      <c r="A410" s="4" t="s">
        <v>21</v>
      </c>
      <c r="B410" s="4" t="s">
        <v>22</v>
      </c>
      <c r="C410" s="4" t="s">
        <v>23</v>
      </c>
      <c r="D410" s="4" t="s">
        <v>24</v>
      </c>
      <c r="E410" s="4" t="s">
        <v>30</v>
      </c>
      <c r="F410" s="4" t="s">
        <v>25</v>
      </c>
      <c r="G410" s="4" t="s">
        <v>25</v>
      </c>
      <c r="H410" s="4" t="s">
        <v>25</v>
      </c>
      <c r="I410" s="5">
        <v>44409</v>
      </c>
      <c r="J410" s="6">
        <v>0</v>
      </c>
      <c r="K410" s="6">
        <v>0</v>
      </c>
      <c r="L410" s="6">
        <v>1.9450000000000001</v>
      </c>
      <c r="M410" s="6">
        <v>1.9450000000000001</v>
      </c>
      <c r="N410" s="6">
        <v>1.9450000000000001</v>
      </c>
      <c r="O410" s="6">
        <v>1.9450000000000001</v>
      </c>
      <c r="P410" s="6">
        <v>43</v>
      </c>
      <c r="Q410" s="4" t="s">
        <v>26</v>
      </c>
      <c r="R410" s="4">
        <v>0</v>
      </c>
      <c r="S410" s="4">
        <v>0</v>
      </c>
      <c r="T410" s="4">
        <v>6</v>
      </c>
      <c r="U410" s="4">
        <v>55</v>
      </c>
      <c r="V410" s="6">
        <f>IF(ISERROR(VLOOKUP($S$410,'TAR FIN'!$A$1:$O$93,15,0)),0,VLOOKUP($S$410,'TAR FIN'!$A$1:$O$93,15,0))</f>
        <v>0</v>
      </c>
      <c r="W410" s="6">
        <f>IF(ISERROR(VLOOKUP($T$410,'TAR FIN'!$A$1:$O$93,15,0)),0,VLOOKUP($T$410,'TAR FIN'!$A$1:$O$93,15,0))</f>
        <v>123.13</v>
      </c>
      <c r="X410" s="6">
        <f>IF(ISERROR(VLOOKUP($U$410,'TAR FIN'!$A$1:$O$93,15,0)),0,VLOOKUP($U$410,'TAR FIN'!$A$1:$O$93,15,0))</f>
        <v>111.11</v>
      </c>
      <c r="Y410" s="6"/>
      <c r="Z410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410" s="6">
        <f>('TE BE'!$AB$15+'TE BF'!$AB$15+'TE CVA'!$AB$15)*(1-CUSTOS!$M$35)</f>
        <v>118.90916867794938</v>
      </c>
      <c r="AB410" s="6">
        <f t="shared" si="18"/>
        <v>0</v>
      </c>
      <c r="AC410" s="6">
        <f>(L410-M410)*(W410+X410)+($W$443+$X$443-$W$410-$X$410)*(L410)</f>
        <v>303.73119999999994</v>
      </c>
      <c r="AD410" s="6">
        <f t="shared" si="20"/>
        <v>0</v>
      </c>
      <c r="AE410" s="6">
        <f ca="1">(L410-M410)*(Z410+AA410)+($Z$443+$AA$443-$Z$410-$AA$410)*(L410)</f>
        <v>305.83159871833277</v>
      </c>
      <c r="AF410" s="4" t="s">
        <v>641</v>
      </c>
    </row>
    <row r="411" spans="1:32" ht="11.25" customHeight="1" x14ac:dyDescent="0.25">
      <c r="A411" s="4" t="s">
        <v>21</v>
      </c>
      <c r="B411" s="4" t="s">
        <v>22</v>
      </c>
      <c r="C411" s="4" t="s">
        <v>23</v>
      </c>
      <c r="D411" s="4" t="s">
        <v>24</v>
      </c>
      <c r="E411" s="4" t="s">
        <v>30</v>
      </c>
      <c r="F411" s="4" t="s">
        <v>25</v>
      </c>
      <c r="G411" s="4" t="s">
        <v>25</v>
      </c>
      <c r="H411" s="4" t="s">
        <v>25</v>
      </c>
      <c r="I411" s="5">
        <v>44440</v>
      </c>
      <c r="J411" s="6">
        <v>0</v>
      </c>
      <c r="K411" s="6">
        <v>0</v>
      </c>
      <c r="L411" s="6">
        <v>1.7030000000000001</v>
      </c>
      <c r="M411" s="6">
        <v>1.7030000000000001</v>
      </c>
      <c r="N411" s="6">
        <v>1.7030000000000001</v>
      </c>
      <c r="O411" s="6">
        <v>1.7030000000000001</v>
      </c>
      <c r="P411" s="6">
        <v>32</v>
      </c>
      <c r="Q411" s="4" t="s">
        <v>26</v>
      </c>
      <c r="R411" s="4">
        <v>0</v>
      </c>
      <c r="S411" s="4">
        <v>0</v>
      </c>
      <c r="T411" s="4">
        <v>6</v>
      </c>
      <c r="U411" s="4">
        <v>55</v>
      </c>
      <c r="V411" s="6">
        <f>IF(ISERROR(VLOOKUP($S$411,'TAR FIN'!$A$1:$O$93,15,0)),0,VLOOKUP($S$411,'TAR FIN'!$A$1:$O$93,15,0))</f>
        <v>0</v>
      </c>
      <c r="W411" s="6">
        <f>IF(ISERROR(VLOOKUP($T$411,'TAR FIN'!$A$1:$O$93,15,0)),0,VLOOKUP($T$411,'TAR FIN'!$A$1:$O$93,15,0))</f>
        <v>123.13</v>
      </c>
      <c r="X411" s="6">
        <f>IF(ISERROR(VLOOKUP($U$411,'TAR FIN'!$A$1:$O$93,15,0)),0,VLOOKUP($U$411,'TAR FIN'!$A$1:$O$93,15,0))</f>
        <v>111.11</v>
      </c>
      <c r="Y411" s="6"/>
      <c r="Z411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411" s="6">
        <f>('TE BE'!$AB$15+'TE BF'!$AB$15+'TE CVA'!$AB$15)*(1-CUSTOS!$M$35)</f>
        <v>118.90916867794938</v>
      </c>
      <c r="AB411" s="6">
        <f t="shared" si="18"/>
        <v>0</v>
      </c>
      <c r="AC411" s="6">
        <f>(L411-M411)*(W411+X411)+($W$443+$X$443-$W$411-$X$411)*(L411)</f>
        <v>265.94047999999998</v>
      </c>
      <c r="AD411" s="6">
        <f t="shared" si="20"/>
        <v>0</v>
      </c>
      <c r="AE411" s="6">
        <f ca="1">(L411-M411)*(Z411+AA411)+($Z$443+$AA$443-$Z$411-$AA$411)*(L411)</f>
        <v>267.77954376211864</v>
      </c>
      <c r="AF411" s="4" t="s">
        <v>641</v>
      </c>
    </row>
    <row r="412" spans="1:32" ht="11.25" customHeight="1" x14ac:dyDescent="0.25">
      <c r="A412" s="4" t="s">
        <v>21</v>
      </c>
      <c r="B412" s="4" t="s">
        <v>22</v>
      </c>
      <c r="C412" s="4" t="s">
        <v>23</v>
      </c>
      <c r="D412" s="4" t="s">
        <v>24</v>
      </c>
      <c r="E412" s="4" t="s">
        <v>30</v>
      </c>
      <c r="F412" s="4" t="s">
        <v>25</v>
      </c>
      <c r="G412" s="4" t="s">
        <v>25</v>
      </c>
      <c r="H412" s="4" t="s">
        <v>25</v>
      </c>
      <c r="I412" s="5">
        <v>44470</v>
      </c>
      <c r="J412" s="6">
        <v>0</v>
      </c>
      <c r="K412" s="6">
        <v>0</v>
      </c>
      <c r="L412" s="6">
        <v>1.8560000000000001</v>
      </c>
      <c r="M412" s="6">
        <v>1.8560000000000001</v>
      </c>
      <c r="N412" s="6">
        <v>1.8560000000000001</v>
      </c>
      <c r="O412" s="6">
        <v>1.8560000000000001</v>
      </c>
      <c r="P412" s="6">
        <v>41</v>
      </c>
      <c r="Q412" s="4" t="s">
        <v>26</v>
      </c>
      <c r="R412" s="4">
        <v>0</v>
      </c>
      <c r="S412" s="4">
        <v>0</v>
      </c>
      <c r="T412" s="4">
        <v>6</v>
      </c>
      <c r="U412" s="4">
        <v>55</v>
      </c>
      <c r="V412" s="6">
        <f>IF(ISERROR(VLOOKUP($S$412,'TAR FIN'!$A$1:$O$93,15,0)),0,VLOOKUP($S$412,'TAR FIN'!$A$1:$O$93,15,0))</f>
        <v>0</v>
      </c>
      <c r="W412" s="6">
        <f>IF(ISERROR(VLOOKUP($T$412,'TAR FIN'!$A$1:$O$93,15,0)),0,VLOOKUP($T$412,'TAR FIN'!$A$1:$O$93,15,0))</f>
        <v>123.13</v>
      </c>
      <c r="X412" s="6">
        <f>IF(ISERROR(VLOOKUP($U$412,'TAR FIN'!$A$1:$O$93,15,0)),0,VLOOKUP($U$412,'TAR FIN'!$A$1:$O$93,15,0))</f>
        <v>111.11</v>
      </c>
      <c r="Y412" s="6"/>
      <c r="Z412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412" s="6">
        <f>('TE BE'!$AB$15+'TE BF'!$AB$15+'TE CVA'!$AB$15)*(1-CUSTOS!$M$35)</f>
        <v>118.90916867794938</v>
      </c>
      <c r="AB412" s="6">
        <f t="shared" si="18"/>
        <v>0</v>
      </c>
      <c r="AC412" s="6">
        <f>(L412-M412)*(W412+X412)+($W$443+$X$443-$W$412-$X$412)*(L412)</f>
        <v>289.83295999999996</v>
      </c>
      <c r="AD412" s="6">
        <f t="shared" si="20"/>
        <v>0</v>
      </c>
      <c r="AE412" s="6">
        <f ca="1">(L412-M412)*(Z412+AA412)+($Z$443+$AA$443-$Z$412-$AA$412)*(L412)</f>
        <v>291.8372479286507</v>
      </c>
      <c r="AF412" s="4" t="s">
        <v>641</v>
      </c>
    </row>
    <row r="413" spans="1:32" ht="11.25" customHeight="1" x14ac:dyDescent="0.25">
      <c r="A413" s="4" t="s">
        <v>21</v>
      </c>
      <c r="B413" s="4" t="s">
        <v>22</v>
      </c>
      <c r="C413" s="4" t="s">
        <v>23</v>
      </c>
      <c r="D413" s="4" t="s">
        <v>24</v>
      </c>
      <c r="E413" s="4" t="s">
        <v>30</v>
      </c>
      <c r="F413" s="4" t="s">
        <v>25</v>
      </c>
      <c r="G413" s="4" t="s">
        <v>25</v>
      </c>
      <c r="H413" s="4" t="s">
        <v>25</v>
      </c>
      <c r="I413" s="5">
        <v>44501</v>
      </c>
      <c r="J413" s="6">
        <v>0</v>
      </c>
      <c r="K413" s="6">
        <v>0</v>
      </c>
      <c r="L413" s="6">
        <v>1.742</v>
      </c>
      <c r="M413" s="6">
        <v>1.742</v>
      </c>
      <c r="N413" s="6">
        <v>1.742</v>
      </c>
      <c r="O413" s="6">
        <v>1.742</v>
      </c>
      <c r="P413" s="6">
        <v>35</v>
      </c>
      <c r="Q413" s="4" t="s">
        <v>26</v>
      </c>
      <c r="R413" s="4">
        <v>0</v>
      </c>
      <c r="S413" s="4">
        <v>0</v>
      </c>
      <c r="T413" s="4">
        <v>6</v>
      </c>
      <c r="U413" s="4">
        <v>55</v>
      </c>
      <c r="V413" s="6">
        <f>IF(ISERROR(VLOOKUP($S$413,'TAR FIN'!$A$1:$O$93,15,0)),0,VLOOKUP($S$413,'TAR FIN'!$A$1:$O$93,15,0))</f>
        <v>0</v>
      </c>
      <c r="W413" s="6">
        <f>IF(ISERROR(VLOOKUP($T$413,'TAR FIN'!$A$1:$O$93,15,0)),0,VLOOKUP($T$413,'TAR FIN'!$A$1:$O$93,15,0))</f>
        <v>123.13</v>
      </c>
      <c r="X413" s="6">
        <f>IF(ISERROR(VLOOKUP($U$413,'TAR FIN'!$A$1:$O$93,15,0)),0,VLOOKUP($U$413,'TAR FIN'!$A$1:$O$93,15,0))</f>
        <v>111.11</v>
      </c>
      <c r="Y413" s="6"/>
      <c r="Z413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413" s="6">
        <f>('TE BE'!$AB$15+'TE BF'!$AB$15+'TE CVA'!$AB$15)*(1-CUSTOS!$M$35)</f>
        <v>118.90916867794938</v>
      </c>
      <c r="AB413" s="6">
        <f t="shared" si="18"/>
        <v>0</v>
      </c>
      <c r="AC413" s="6">
        <f>(L413-M413)*(W413+X413)+($W$443+$X$443-$W$413-$X$413)*(L413)</f>
        <v>272.03071999999992</v>
      </c>
      <c r="AD413" s="6">
        <f t="shared" si="20"/>
        <v>0</v>
      </c>
      <c r="AE413" s="6">
        <f ca="1">(L413-M413)*(Z413+AA413)+($Z$443+$AA$443-$Z$413-$AA$413)*(L413)</f>
        <v>273.9118997261366</v>
      </c>
      <c r="AF413" s="4" t="s">
        <v>641</v>
      </c>
    </row>
    <row r="414" spans="1:32" ht="11.25" customHeight="1" x14ac:dyDescent="0.25">
      <c r="A414" s="4" t="s">
        <v>27</v>
      </c>
      <c r="B414" s="4" t="s">
        <v>22</v>
      </c>
      <c r="C414" s="4" t="s">
        <v>23</v>
      </c>
      <c r="D414" s="4" t="s">
        <v>24</v>
      </c>
      <c r="E414" s="4" t="s">
        <v>30</v>
      </c>
      <c r="F414" s="4" t="s">
        <v>25</v>
      </c>
      <c r="G414" s="4" t="s">
        <v>25</v>
      </c>
      <c r="H414" s="4" t="s">
        <v>25</v>
      </c>
      <c r="I414" s="5">
        <v>44501</v>
      </c>
      <c r="J414" s="6">
        <v>0</v>
      </c>
      <c r="K414" s="6">
        <v>0</v>
      </c>
      <c r="L414" s="6">
        <v>-0.16600000000000001</v>
      </c>
      <c r="M414" s="6">
        <v>-0.16600000000000001</v>
      </c>
      <c r="N414" s="6">
        <v>-0.16600000000000001</v>
      </c>
      <c r="O414" s="6">
        <v>-0.16600000000000001</v>
      </c>
      <c r="P414" s="6">
        <v>-1</v>
      </c>
      <c r="Q414" s="4" t="s">
        <v>26</v>
      </c>
      <c r="R414" s="4">
        <v>0</v>
      </c>
      <c r="S414" s="4">
        <v>0</v>
      </c>
      <c r="T414" s="4">
        <v>6</v>
      </c>
      <c r="U414" s="4">
        <v>55</v>
      </c>
      <c r="V414" s="6">
        <f>IF(ISERROR(VLOOKUP($S$414,'TAR FIN'!$A$1:$O$93,15,0)),0,VLOOKUP($S$414,'TAR FIN'!$A$1:$O$93,15,0))</f>
        <v>0</v>
      </c>
      <c r="W414" s="6">
        <f>IF(ISERROR(VLOOKUP($T$414,'TAR FIN'!$A$1:$O$93,15,0)),0,VLOOKUP($T$414,'TAR FIN'!$A$1:$O$93,15,0))</f>
        <v>123.13</v>
      </c>
      <c r="X414" s="6">
        <f>IF(ISERROR(VLOOKUP($U$414,'TAR FIN'!$A$1:$O$93,15,0)),0,VLOOKUP($U$414,'TAR FIN'!$A$1:$O$93,15,0))</f>
        <v>111.11</v>
      </c>
      <c r="Y414" s="6"/>
      <c r="Z414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414" s="6">
        <f>('TE BE'!$AB$15+'TE BF'!$AB$15+'TE CVA'!$AB$15)*(1-CUSTOS!$M$35)</f>
        <v>118.90916867794938</v>
      </c>
      <c r="AB414" s="6">
        <f t="shared" si="18"/>
        <v>0</v>
      </c>
      <c r="AC414" s="6">
        <f>(L414-M414)*(W414+X414)+($W$443+$X$443-$W$414-$X$414)*(L414)</f>
        <v>-25.922559999999997</v>
      </c>
      <c r="AD414" s="6">
        <f t="shared" si="20"/>
        <v>0</v>
      </c>
      <c r="AE414" s="6">
        <f ca="1">(L414-M414)*(Z414+AA414)+($Z$443+$AA$443-$Z$414-$AA$414)*(L414)</f>
        <v>-26.101822821204749</v>
      </c>
      <c r="AF414" s="4" t="s">
        <v>641</v>
      </c>
    </row>
    <row r="415" spans="1:32" ht="11.25" customHeight="1" x14ac:dyDescent="0.25">
      <c r="A415" s="4" t="s">
        <v>21</v>
      </c>
      <c r="B415" s="4" t="s">
        <v>22</v>
      </c>
      <c r="C415" s="4" t="s">
        <v>23</v>
      </c>
      <c r="D415" s="4" t="s">
        <v>24</v>
      </c>
      <c r="E415" s="4" t="s">
        <v>30</v>
      </c>
      <c r="F415" s="4" t="s">
        <v>25</v>
      </c>
      <c r="G415" s="4" t="s">
        <v>25</v>
      </c>
      <c r="H415" s="4" t="s">
        <v>25</v>
      </c>
      <c r="I415" s="5">
        <v>44531</v>
      </c>
      <c r="J415" s="6">
        <v>0</v>
      </c>
      <c r="K415" s="6">
        <v>0</v>
      </c>
      <c r="L415" s="6">
        <v>2.04</v>
      </c>
      <c r="M415" s="6">
        <v>2.04</v>
      </c>
      <c r="N415" s="6">
        <v>2.04</v>
      </c>
      <c r="O415" s="6">
        <v>2.04</v>
      </c>
      <c r="P415" s="6">
        <v>43</v>
      </c>
      <c r="Q415" s="4" t="s">
        <v>26</v>
      </c>
      <c r="R415" s="4">
        <v>0</v>
      </c>
      <c r="S415" s="4">
        <v>0</v>
      </c>
      <c r="T415" s="4">
        <v>6</v>
      </c>
      <c r="U415" s="4">
        <v>55</v>
      </c>
      <c r="V415" s="6">
        <f>IF(ISERROR(VLOOKUP($S$415,'TAR FIN'!$A$1:$O$93,15,0)),0,VLOOKUP($S$415,'TAR FIN'!$A$1:$O$93,15,0))</f>
        <v>0</v>
      </c>
      <c r="W415" s="6">
        <f>IF(ISERROR(VLOOKUP($T$415,'TAR FIN'!$A$1:$O$93,15,0)),0,VLOOKUP($T$415,'TAR FIN'!$A$1:$O$93,15,0))</f>
        <v>123.13</v>
      </c>
      <c r="X415" s="6">
        <f>IF(ISERROR(VLOOKUP($U$415,'TAR FIN'!$A$1:$O$93,15,0)),0,VLOOKUP($U$415,'TAR FIN'!$A$1:$O$93,15,0))</f>
        <v>111.11</v>
      </c>
      <c r="Y415" s="6"/>
      <c r="Z415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415" s="6">
        <f>('TE BE'!$AB$15+'TE BF'!$AB$15+'TE CVA'!$AB$15)*(1-CUSTOS!$M$35)</f>
        <v>118.90916867794938</v>
      </c>
      <c r="AB415" s="6">
        <f t="shared" si="18"/>
        <v>0</v>
      </c>
      <c r="AC415" s="6">
        <f>(L415-M415)*(W415+X415)+($W$443+$X$443-$W$415-$X$415)*(L415)</f>
        <v>318.56639999999993</v>
      </c>
      <c r="AD415" s="6">
        <f t="shared" si="20"/>
        <v>0</v>
      </c>
      <c r="AE415" s="6">
        <f ca="1">(L415-M415)*(Z415+AA415)+($Z$443+$AA$443-$Z$415-$AA$415)*(L415)</f>
        <v>320.76938888709452</v>
      </c>
      <c r="AF415" s="4" t="s">
        <v>641</v>
      </c>
    </row>
    <row r="416" spans="1:32" ht="11.25" customHeight="1" x14ac:dyDescent="0.25">
      <c r="A416" s="4" t="s">
        <v>21</v>
      </c>
      <c r="B416" s="4" t="s">
        <v>22</v>
      </c>
      <c r="C416" s="4" t="s">
        <v>23</v>
      </c>
      <c r="D416" s="4" t="s">
        <v>24</v>
      </c>
      <c r="E416" s="4" t="s">
        <v>30</v>
      </c>
      <c r="F416" s="4" t="s">
        <v>25</v>
      </c>
      <c r="G416" s="4" t="s">
        <v>25</v>
      </c>
      <c r="H416" s="4" t="s">
        <v>25</v>
      </c>
      <c r="I416" s="5">
        <v>44562</v>
      </c>
      <c r="J416" s="6">
        <v>0</v>
      </c>
      <c r="K416" s="6">
        <v>0</v>
      </c>
      <c r="L416" s="6">
        <v>11.269</v>
      </c>
      <c r="M416" s="6">
        <v>11.269</v>
      </c>
      <c r="N416" s="6">
        <v>11.269</v>
      </c>
      <c r="O416" s="6">
        <v>11.269</v>
      </c>
      <c r="P416" s="6">
        <v>28</v>
      </c>
      <c r="Q416" s="4" t="s">
        <v>26</v>
      </c>
      <c r="R416" s="4">
        <v>0</v>
      </c>
      <c r="S416" s="4">
        <v>0</v>
      </c>
      <c r="T416" s="4">
        <v>6</v>
      </c>
      <c r="U416" s="4">
        <v>55</v>
      </c>
      <c r="V416" s="6">
        <f>IF(ISERROR(VLOOKUP($S$416,'TAR FIN'!$A$1:$O$93,15,0)),0,VLOOKUP($S$416,'TAR FIN'!$A$1:$O$93,15,0))</f>
        <v>0</v>
      </c>
      <c r="W416" s="6">
        <f>IF(ISERROR(VLOOKUP($T$416,'TAR FIN'!$A$1:$O$93,15,0)),0,VLOOKUP($T$416,'TAR FIN'!$A$1:$O$93,15,0))</f>
        <v>123.13</v>
      </c>
      <c r="X416" s="6">
        <f>IF(ISERROR(VLOOKUP($U$416,'TAR FIN'!$A$1:$O$93,15,0)),0,VLOOKUP($U$416,'TAR FIN'!$A$1:$O$93,15,0))</f>
        <v>111.11</v>
      </c>
      <c r="Y416" s="6"/>
      <c r="Z416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416" s="6">
        <f>('TE BE'!$AB$15+'TE BF'!$AB$15+'TE CVA'!$AB$15)*(1-CUSTOS!$M$35)</f>
        <v>118.90916867794938</v>
      </c>
      <c r="AB416" s="6">
        <f t="shared" si="18"/>
        <v>0</v>
      </c>
      <c r="AC416" s="6">
        <f>(L416-M416)*(W416+X416)+($W$443+$X$443-$W$416-$X$416)*(L416)</f>
        <v>1759.7670399999997</v>
      </c>
      <c r="AD416" s="6">
        <f t="shared" si="20"/>
        <v>0</v>
      </c>
      <c r="AE416" s="6">
        <f ca="1">(L416-M416)*(Z416+AA416)+($Z$443+$AA$443-$Z$416-$AA$416)*(L416)</f>
        <v>1771.9363938081706</v>
      </c>
      <c r="AF416" s="4" t="s">
        <v>641</v>
      </c>
    </row>
    <row r="417" spans="1:32" ht="11.25" customHeight="1" x14ac:dyDescent="0.25">
      <c r="A417" s="4" t="s">
        <v>21</v>
      </c>
      <c r="B417" s="4" t="s">
        <v>22</v>
      </c>
      <c r="C417" s="4" t="s">
        <v>23</v>
      </c>
      <c r="D417" s="4" t="s">
        <v>24</v>
      </c>
      <c r="E417" s="4" t="s">
        <v>30</v>
      </c>
      <c r="F417" s="4" t="s">
        <v>25</v>
      </c>
      <c r="G417" s="4" t="s">
        <v>25</v>
      </c>
      <c r="H417" s="4" t="s">
        <v>25</v>
      </c>
      <c r="I417" s="5">
        <v>44593</v>
      </c>
      <c r="J417" s="6">
        <v>0</v>
      </c>
      <c r="K417" s="6">
        <v>0</v>
      </c>
      <c r="L417" s="6">
        <v>3.0270000000000001</v>
      </c>
      <c r="M417" s="6">
        <v>3.0270000000000001</v>
      </c>
      <c r="N417" s="6">
        <v>3.0270000000000001</v>
      </c>
      <c r="O417" s="6">
        <v>3.0270000000000001</v>
      </c>
      <c r="P417" s="6">
        <v>69</v>
      </c>
      <c r="Q417" s="4" t="s">
        <v>26</v>
      </c>
      <c r="R417" s="4">
        <v>0</v>
      </c>
      <c r="S417" s="4">
        <v>0</v>
      </c>
      <c r="T417" s="4">
        <v>6</v>
      </c>
      <c r="U417" s="4">
        <v>55</v>
      </c>
      <c r="V417" s="6">
        <f>IF(ISERROR(VLOOKUP($S$417,'TAR FIN'!$A$1:$O$93,15,0)),0,VLOOKUP($S$417,'TAR FIN'!$A$1:$O$93,15,0))</f>
        <v>0</v>
      </c>
      <c r="W417" s="6">
        <f>IF(ISERROR(VLOOKUP($T$417,'TAR FIN'!$A$1:$O$93,15,0)),0,VLOOKUP($T$417,'TAR FIN'!$A$1:$O$93,15,0))</f>
        <v>123.13</v>
      </c>
      <c r="X417" s="6">
        <f>IF(ISERROR(VLOOKUP($U$417,'TAR FIN'!$A$1:$O$93,15,0)),0,VLOOKUP($U$417,'TAR FIN'!$A$1:$O$93,15,0))</f>
        <v>111.11</v>
      </c>
      <c r="Y417" s="6"/>
      <c r="Z417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417" s="6">
        <f>('TE BE'!$AB$15+'TE BF'!$AB$15+'TE CVA'!$AB$15)*(1-CUSTOS!$M$35)</f>
        <v>118.90916867794938</v>
      </c>
      <c r="AB417" s="6">
        <f t="shared" si="18"/>
        <v>0</v>
      </c>
      <c r="AC417" s="6">
        <f>(L417-M417)*(W417+X417)+($W$443+$X$443-$W$417-$X$417)*(L417)</f>
        <v>472.6963199999999</v>
      </c>
      <c r="AD417" s="6">
        <f t="shared" si="20"/>
        <v>0</v>
      </c>
      <c r="AE417" s="6">
        <f ca="1">(L417-M417)*(Z417+AA417)+($Z$443+$AA$443-$Z$417-$AA$417)*(L417)</f>
        <v>475.96516674570347</v>
      </c>
      <c r="AF417" s="4" t="s">
        <v>641</v>
      </c>
    </row>
    <row r="418" spans="1:32" ht="11.25" customHeight="1" x14ac:dyDescent="0.25">
      <c r="A418" s="4" t="s">
        <v>21</v>
      </c>
      <c r="B418" s="4" t="s">
        <v>22</v>
      </c>
      <c r="C418" s="4" t="s">
        <v>23</v>
      </c>
      <c r="D418" s="4" t="s">
        <v>24</v>
      </c>
      <c r="E418" s="4" t="s">
        <v>30</v>
      </c>
      <c r="F418" s="4" t="s">
        <v>25</v>
      </c>
      <c r="G418" s="4" t="s">
        <v>25</v>
      </c>
      <c r="H418" s="4" t="s">
        <v>25</v>
      </c>
      <c r="I418" s="5">
        <v>44621</v>
      </c>
      <c r="J418" s="6">
        <v>0</v>
      </c>
      <c r="K418" s="6">
        <v>0</v>
      </c>
      <c r="L418" s="6">
        <v>4.7270000000000003</v>
      </c>
      <c r="M418" s="6">
        <v>4.7270000000000003</v>
      </c>
      <c r="N418" s="6">
        <v>4.7270000000000003</v>
      </c>
      <c r="O418" s="6">
        <v>4.7270000000000003</v>
      </c>
      <c r="P418" s="6">
        <v>112</v>
      </c>
      <c r="Q418" s="4" t="s">
        <v>26</v>
      </c>
      <c r="R418" s="4">
        <v>0</v>
      </c>
      <c r="S418" s="4">
        <v>0</v>
      </c>
      <c r="T418" s="4">
        <v>6</v>
      </c>
      <c r="U418" s="4">
        <v>55</v>
      </c>
      <c r="V418" s="6">
        <f>IF(ISERROR(VLOOKUP($S$418,'TAR FIN'!$A$1:$O$93,15,0)),0,VLOOKUP($S$418,'TAR FIN'!$A$1:$O$93,15,0))</f>
        <v>0</v>
      </c>
      <c r="W418" s="6">
        <f>IF(ISERROR(VLOOKUP($T$418,'TAR FIN'!$A$1:$O$93,15,0)),0,VLOOKUP($T$418,'TAR FIN'!$A$1:$O$93,15,0))</f>
        <v>123.13</v>
      </c>
      <c r="X418" s="6">
        <f>IF(ISERROR(VLOOKUP($U$418,'TAR FIN'!$A$1:$O$93,15,0)),0,VLOOKUP($U$418,'TAR FIN'!$A$1:$O$93,15,0))</f>
        <v>111.11</v>
      </c>
      <c r="Y418" s="6"/>
      <c r="Z418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418" s="6">
        <f>('TE BE'!$AB$15+'TE BF'!$AB$15+'TE CVA'!$AB$15)*(1-CUSTOS!$M$35)</f>
        <v>118.90916867794938</v>
      </c>
      <c r="AB418" s="6">
        <f t="shared" si="18"/>
        <v>0</v>
      </c>
      <c r="AC418" s="6">
        <f>(L418-M418)*(W418+X418)+($W$443+$X$443-$W$418-$X$418)*(L418)</f>
        <v>738.16831999999988</v>
      </c>
      <c r="AD418" s="6">
        <f t="shared" si="20"/>
        <v>0</v>
      </c>
      <c r="AE418" s="6">
        <f ca="1">(L418-M418)*(Z418+AA418)+($Z$443+$AA$443-$Z$418-$AA$418)*(L418)</f>
        <v>743.27299081828232</v>
      </c>
      <c r="AF418" s="4" t="s">
        <v>641</v>
      </c>
    </row>
    <row r="419" spans="1:32" ht="11.25" customHeight="1" x14ac:dyDescent="0.25">
      <c r="A419" s="4" t="s">
        <v>28</v>
      </c>
      <c r="B419" s="4" t="s">
        <v>22</v>
      </c>
      <c r="C419" s="4" t="s">
        <v>23</v>
      </c>
      <c r="D419" s="4" t="s">
        <v>24</v>
      </c>
      <c r="E419" s="4" t="s">
        <v>30</v>
      </c>
      <c r="F419" s="4" t="s">
        <v>25</v>
      </c>
      <c r="G419" s="4" t="s">
        <v>25</v>
      </c>
      <c r="H419" s="4" t="s">
        <v>25</v>
      </c>
      <c r="I419" s="5">
        <v>44621</v>
      </c>
      <c r="J419" s="6">
        <v>0</v>
      </c>
      <c r="K419" s="6">
        <v>0</v>
      </c>
      <c r="L419" s="6">
        <v>0.03</v>
      </c>
      <c r="M419" s="6">
        <v>0.03</v>
      </c>
      <c r="N419" s="6">
        <v>0.03</v>
      </c>
      <c r="O419" s="6">
        <v>0.03</v>
      </c>
      <c r="P419" s="6">
        <v>1</v>
      </c>
      <c r="Q419" s="4" t="s">
        <v>26</v>
      </c>
      <c r="R419" s="4">
        <v>0</v>
      </c>
      <c r="S419" s="4">
        <v>0</v>
      </c>
      <c r="T419" s="4">
        <v>6</v>
      </c>
      <c r="U419" s="4">
        <v>55</v>
      </c>
      <c r="V419" s="6">
        <f>IF(ISERROR(VLOOKUP($S$419,'TAR FIN'!$A$1:$O$93,15,0)),0,VLOOKUP($S$419,'TAR FIN'!$A$1:$O$93,15,0))</f>
        <v>0</v>
      </c>
      <c r="W419" s="6">
        <f>IF(ISERROR(VLOOKUP($T$419,'TAR FIN'!$A$1:$O$93,15,0)),0,VLOOKUP($T$419,'TAR FIN'!$A$1:$O$93,15,0))</f>
        <v>123.13</v>
      </c>
      <c r="X419" s="6">
        <f>IF(ISERROR(VLOOKUP($U$419,'TAR FIN'!$A$1:$O$93,15,0)),0,VLOOKUP($U$419,'TAR FIN'!$A$1:$O$93,15,0))</f>
        <v>111.11</v>
      </c>
      <c r="Y419" s="6"/>
      <c r="Z419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419" s="6">
        <f>('TE BE'!$AB$15+'TE BF'!$AB$15+'TE CVA'!$AB$15)*(1-CUSTOS!$M$35)</f>
        <v>118.90916867794938</v>
      </c>
      <c r="AB419" s="6">
        <f t="shared" si="18"/>
        <v>0</v>
      </c>
      <c r="AC419" s="6">
        <f>(L419-M419)*(W419+X419)+($W$443+$X$443-$W$419-$X$419)*(L419)</f>
        <v>4.6847999999999992</v>
      </c>
      <c r="AD419" s="6">
        <f t="shared" si="20"/>
        <v>0</v>
      </c>
      <c r="AE419" s="6">
        <f ca="1">(L419-M419)*(Z419+AA419)+($Z$443+$AA$443-$Z$419-$AA$419)*(L419)</f>
        <v>4.7171968953984482</v>
      </c>
      <c r="AF419" s="4" t="s">
        <v>641</v>
      </c>
    </row>
    <row r="420" spans="1:32" ht="11.25" customHeight="1" x14ac:dyDescent="0.25">
      <c r="A420" s="4" t="s">
        <v>21</v>
      </c>
      <c r="B420" s="4" t="s">
        <v>22</v>
      </c>
      <c r="C420" s="4" t="s">
        <v>23</v>
      </c>
      <c r="D420" s="4" t="s">
        <v>24</v>
      </c>
      <c r="E420" s="4" t="s">
        <v>30</v>
      </c>
      <c r="F420" s="4" t="s">
        <v>25</v>
      </c>
      <c r="G420" s="4" t="s">
        <v>25</v>
      </c>
      <c r="H420" s="4" t="s">
        <v>25</v>
      </c>
      <c r="I420" s="5">
        <v>44652</v>
      </c>
      <c r="J420" s="6">
        <v>0</v>
      </c>
      <c r="K420" s="6">
        <v>0</v>
      </c>
      <c r="L420" s="6">
        <v>9.3559999999999999</v>
      </c>
      <c r="M420" s="6">
        <v>9.3559999999999999</v>
      </c>
      <c r="N420" s="6">
        <v>9.3559999999999999</v>
      </c>
      <c r="O420" s="6">
        <v>9.3559999999999999</v>
      </c>
      <c r="P420" s="6">
        <v>216</v>
      </c>
      <c r="Q420" s="4" t="s">
        <v>26</v>
      </c>
      <c r="R420" s="4">
        <v>0</v>
      </c>
      <c r="S420" s="4">
        <v>0</v>
      </c>
      <c r="T420" s="4">
        <v>6</v>
      </c>
      <c r="U420" s="4">
        <v>55</v>
      </c>
      <c r="V420" s="6">
        <f>IF(ISERROR(VLOOKUP($S$420,'TAR FIN'!$A$1:$O$93,15,0)),0,VLOOKUP($S$420,'TAR FIN'!$A$1:$O$93,15,0))</f>
        <v>0</v>
      </c>
      <c r="W420" s="6">
        <f>IF(ISERROR(VLOOKUP($T$420,'TAR FIN'!$A$1:$O$93,15,0)),0,VLOOKUP($T$420,'TAR FIN'!$A$1:$O$93,15,0))</f>
        <v>123.13</v>
      </c>
      <c r="X420" s="6">
        <f>IF(ISERROR(VLOOKUP($U$420,'TAR FIN'!$A$1:$O$93,15,0)),0,VLOOKUP($U$420,'TAR FIN'!$A$1:$O$93,15,0))</f>
        <v>111.11</v>
      </c>
      <c r="Y420" s="6"/>
      <c r="Z420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420" s="6">
        <f>('TE BE'!$AB$15+'TE BF'!$AB$15+'TE CVA'!$AB$15)*(1-CUSTOS!$M$35)</f>
        <v>118.90916867794938</v>
      </c>
      <c r="AB420" s="6">
        <f t="shared" si="18"/>
        <v>0</v>
      </c>
      <c r="AC420" s="6">
        <f>(L420-M420)*(W420+X420)+($W$443+$X$443-$W$420-$X$420)*(L420)</f>
        <v>1461.0329599999998</v>
      </c>
      <c r="AD420" s="6">
        <f t="shared" si="20"/>
        <v>0</v>
      </c>
      <c r="AE420" s="6">
        <f ca="1">(L420-M420)*(Z420+AA420)+($Z$443+$AA$443-$Z$420-$AA$420)*(L420)</f>
        <v>1471.1364717782628</v>
      </c>
      <c r="AF420" s="4" t="s">
        <v>641</v>
      </c>
    </row>
    <row r="421" spans="1:32" ht="11.25" customHeight="1" x14ac:dyDescent="0.25">
      <c r="A421" s="4" t="s">
        <v>21</v>
      </c>
      <c r="B421" s="4" t="s">
        <v>22</v>
      </c>
      <c r="C421" s="4" t="s">
        <v>23</v>
      </c>
      <c r="D421" s="4" t="s">
        <v>24</v>
      </c>
      <c r="E421" s="4" t="s">
        <v>30</v>
      </c>
      <c r="F421" s="4" t="s">
        <v>25</v>
      </c>
      <c r="G421" s="4" t="s">
        <v>25</v>
      </c>
      <c r="H421" s="4" t="s">
        <v>25</v>
      </c>
      <c r="I421" s="5">
        <v>44682</v>
      </c>
      <c r="J421" s="6">
        <v>0</v>
      </c>
      <c r="K421" s="6">
        <v>0</v>
      </c>
      <c r="L421" s="6">
        <v>10.936</v>
      </c>
      <c r="M421" s="6">
        <v>10.936</v>
      </c>
      <c r="N421" s="6">
        <v>10.936</v>
      </c>
      <c r="O421" s="6">
        <v>10.936</v>
      </c>
      <c r="P421" s="6">
        <v>266</v>
      </c>
      <c r="Q421" s="4" t="s">
        <v>26</v>
      </c>
      <c r="R421" s="4">
        <v>0</v>
      </c>
      <c r="S421" s="4">
        <v>0</v>
      </c>
      <c r="T421" s="4">
        <v>6</v>
      </c>
      <c r="U421" s="4">
        <v>55</v>
      </c>
      <c r="V421" s="6">
        <f>IF(ISERROR(VLOOKUP($S$421,'TAR FIN'!$A$1:$O$93,15,0)),0,VLOOKUP($S$421,'TAR FIN'!$A$1:$O$93,15,0))</f>
        <v>0</v>
      </c>
      <c r="W421" s="6">
        <f>IF(ISERROR(VLOOKUP($T$421,'TAR FIN'!$A$1:$O$93,15,0)),0,VLOOKUP($T$421,'TAR FIN'!$A$1:$O$93,15,0))</f>
        <v>123.13</v>
      </c>
      <c r="X421" s="6">
        <f>IF(ISERROR(VLOOKUP($U$421,'TAR FIN'!$A$1:$O$93,15,0)),0,VLOOKUP($U$421,'TAR FIN'!$A$1:$O$93,15,0))</f>
        <v>111.11</v>
      </c>
      <c r="Y421" s="6"/>
      <c r="Z421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421" s="6">
        <f>('TE BE'!$AB$15+'TE BF'!$AB$15+'TE CVA'!$AB$15)*(1-CUSTOS!$M$35)</f>
        <v>118.90916867794938</v>
      </c>
      <c r="AB421" s="6">
        <f t="shared" si="18"/>
        <v>0</v>
      </c>
      <c r="AC421" s="6">
        <f>(L421-M421)*(W421+X421)+($W$443+$X$443-$W$421-$X$421)*(L421)</f>
        <v>1707.7657599999995</v>
      </c>
      <c r="AD421" s="6">
        <f t="shared" si="20"/>
        <v>0</v>
      </c>
      <c r="AE421" s="6">
        <f ca="1">(L421-M421)*(Z421+AA421)+($Z$443+$AA$443-$Z$421-$AA$421)*(L421)</f>
        <v>1719.5755082692478</v>
      </c>
      <c r="AF421" s="4" t="s">
        <v>641</v>
      </c>
    </row>
    <row r="422" spans="1:32" ht="11.25" customHeight="1" x14ac:dyDescent="0.25">
      <c r="A422" s="4" t="s">
        <v>21</v>
      </c>
      <c r="B422" s="4" t="s">
        <v>22</v>
      </c>
      <c r="C422" s="4" t="s">
        <v>23</v>
      </c>
      <c r="D422" s="4" t="s">
        <v>24</v>
      </c>
      <c r="E422" s="4" t="s">
        <v>30</v>
      </c>
      <c r="F422" s="4" t="s">
        <v>25</v>
      </c>
      <c r="G422" s="4" t="s">
        <v>25</v>
      </c>
      <c r="H422" s="4" t="s">
        <v>25</v>
      </c>
      <c r="I422" s="5">
        <v>44713</v>
      </c>
      <c r="J422" s="6">
        <v>0</v>
      </c>
      <c r="K422" s="6">
        <v>0</v>
      </c>
      <c r="L422" s="6">
        <v>9.8409999999999993</v>
      </c>
      <c r="M422" s="6">
        <v>9.8409999999999993</v>
      </c>
      <c r="N422" s="6">
        <v>9.8409999999999993</v>
      </c>
      <c r="O422" s="6">
        <v>9.8409999999999993</v>
      </c>
      <c r="P422" s="6">
        <v>229</v>
      </c>
      <c r="Q422" s="4" t="s">
        <v>26</v>
      </c>
      <c r="R422" s="4">
        <v>0</v>
      </c>
      <c r="S422" s="4">
        <v>0</v>
      </c>
      <c r="T422" s="4">
        <v>6</v>
      </c>
      <c r="U422" s="4">
        <v>55</v>
      </c>
      <c r="V422" s="6">
        <f>IF(ISERROR(VLOOKUP($S$422,'TAR FIN'!$A$1:$O$93,15,0)),0,VLOOKUP($S$422,'TAR FIN'!$A$1:$O$93,15,0))</f>
        <v>0</v>
      </c>
      <c r="W422" s="6">
        <f>IF(ISERROR(VLOOKUP($T$422,'TAR FIN'!$A$1:$O$93,15,0)),0,VLOOKUP($T$422,'TAR FIN'!$A$1:$O$93,15,0))</f>
        <v>123.13</v>
      </c>
      <c r="X422" s="6">
        <f>IF(ISERROR(VLOOKUP($U$422,'TAR FIN'!$A$1:$O$93,15,0)),0,VLOOKUP($U$422,'TAR FIN'!$A$1:$O$93,15,0))</f>
        <v>111.11</v>
      </c>
      <c r="Y422" s="6"/>
      <c r="Z422" s="6">
        <f ca="1">('TUSD BE'!$AM$26+'TUSD BF'!$AM$26+'TUSD CVA'!$AM$26-('TUSD BE'!$P$26+'TUSD BF'!$P$26+'TUSD CVA'!$P$26)-('TUSD BE'!$Q$26+'TUSD BF'!$Q$26+'TUSD CVA'!$Q$26)-('TUSD BE'!$R$26+'TUSD BF'!$R$26+'TUSD CVA'!$R$26))*(1-CUSTOS!$M$35)</f>
        <v>116.95067609197301</v>
      </c>
      <c r="AA422" s="6">
        <f>('TE BE'!$AB$15+'TE BF'!$AB$15+'TE CVA'!$AB$15)*(1-CUSTOS!$M$35)</f>
        <v>118.90916867794938</v>
      </c>
      <c r="AB422" s="6">
        <f t="shared" si="18"/>
        <v>0</v>
      </c>
      <c r="AC422" s="6">
        <f>(L422-M422)*(W422+X422)+($W$443+$X$443-$W$422-$X$422)*(L422)</f>
        <v>1536.7705599999995</v>
      </c>
      <c r="AD422" s="6">
        <f t="shared" si="20"/>
        <v>0</v>
      </c>
      <c r="AE422" s="6">
        <f ca="1">(L422-M422)*(Z422+AA422)+($Z$443+$AA$443-$Z$422-$AA$422)*(L422)</f>
        <v>1547.3978215872044</v>
      </c>
      <c r="AF422" s="4" t="s">
        <v>641</v>
      </c>
    </row>
    <row r="423" spans="1:32" ht="11.25" customHeight="1" x14ac:dyDescent="0.25">
      <c r="A423" s="4" t="s">
        <v>21</v>
      </c>
      <c r="B423" s="4" t="s">
        <v>22</v>
      </c>
      <c r="C423" s="4" t="s">
        <v>23</v>
      </c>
      <c r="D423" s="4" t="s">
        <v>24</v>
      </c>
      <c r="E423" s="4" t="s">
        <v>31</v>
      </c>
      <c r="F423" s="4" t="s">
        <v>25</v>
      </c>
      <c r="G423" s="4" t="s">
        <v>25</v>
      </c>
      <c r="H423" s="4" t="s">
        <v>25</v>
      </c>
      <c r="I423" s="5">
        <v>44378</v>
      </c>
      <c r="J423" s="6">
        <v>0</v>
      </c>
      <c r="K423" s="6">
        <v>0</v>
      </c>
      <c r="L423" s="6">
        <v>20.117999999999999</v>
      </c>
      <c r="M423" s="6">
        <v>20.117999999999999</v>
      </c>
      <c r="N423" s="6">
        <v>20.117999999999999</v>
      </c>
      <c r="O423" s="6">
        <v>20.117999999999999</v>
      </c>
      <c r="P423" s="6">
        <v>130</v>
      </c>
      <c r="Q423" s="4" t="s">
        <v>26</v>
      </c>
      <c r="R423" s="4">
        <v>0</v>
      </c>
      <c r="S423" s="4">
        <v>0</v>
      </c>
      <c r="T423" s="4">
        <v>15</v>
      </c>
      <c r="U423" s="4">
        <v>86</v>
      </c>
      <c r="V423" s="6">
        <f>IF(ISERROR(VLOOKUP($S$423,'TAR FIN'!$A$1:$O$93,15,0)),0,VLOOKUP($S$423,'TAR FIN'!$A$1:$O$93,15,0))</f>
        <v>0</v>
      </c>
      <c r="W423" s="6">
        <f>IF(ISERROR(VLOOKUP($T$423,'TAR FIN'!$A$1:$O$93,15,0)),0,VLOOKUP($T$423,'TAR FIN'!$A$1:$O$93,15,0))</f>
        <v>184.7</v>
      </c>
      <c r="X423" s="6">
        <f>IF(ISERROR(VLOOKUP($U$423,'TAR FIN'!$A$1:$O$93,15,0)),0,VLOOKUP($U$423,'TAR FIN'!$A$1:$O$93,15,0))</f>
        <v>166.66</v>
      </c>
      <c r="Y423" s="6"/>
      <c r="Z423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23" s="6">
        <f>('TE BE'!$AB$16+'TE BF'!$AB$16+'TE CVA'!$AB$16)*(1-CUSTOS!$M$36)</f>
        <v>178.36375301692408</v>
      </c>
      <c r="AB423" s="6">
        <f t="shared" si="18"/>
        <v>0</v>
      </c>
      <c r="AC423" s="6">
        <f>(L423-M423)*(W423+X423)+($W$443+$X$443-$W$423-$X$423)*(L423)</f>
        <v>785.40671999999984</v>
      </c>
      <c r="AD423" s="6">
        <f t="shared" si="20"/>
        <v>0</v>
      </c>
      <c r="AE423" s="6">
        <f ca="1">(L423-M423)*(Z423+AA423)+($Z$443+$AA$443-$Z$423-$AA$423)*(L423)</f>
        <v>790.83805951355009</v>
      </c>
      <c r="AF423" s="4" t="s">
        <v>641</v>
      </c>
    </row>
    <row r="424" spans="1:32" ht="11.25" customHeight="1" x14ac:dyDescent="0.25">
      <c r="A424" s="4" t="s">
        <v>21</v>
      </c>
      <c r="B424" s="4" t="s">
        <v>22</v>
      </c>
      <c r="C424" s="4" t="s">
        <v>23</v>
      </c>
      <c r="D424" s="4" t="s">
        <v>24</v>
      </c>
      <c r="E424" s="4" t="s">
        <v>31</v>
      </c>
      <c r="F424" s="4" t="s">
        <v>25</v>
      </c>
      <c r="G424" s="4" t="s">
        <v>25</v>
      </c>
      <c r="H424" s="4" t="s">
        <v>25</v>
      </c>
      <c r="I424" s="5">
        <v>44409</v>
      </c>
      <c r="J424" s="6">
        <v>0</v>
      </c>
      <c r="K424" s="6">
        <v>0</v>
      </c>
      <c r="L424" s="6">
        <v>21.292999999999999</v>
      </c>
      <c r="M424" s="6">
        <v>21.292999999999999</v>
      </c>
      <c r="N424" s="6">
        <v>21.292999999999999</v>
      </c>
      <c r="O424" s="6">
        <v>21.292999999999999</v>
      </c>
      <c r="P424" s="6">
        <v>132</v>
      </c>
      <c r="Q424" s="4" t="s">
        <v>26</v>
      </c>
      <c r="R424" s="4">
        <v>0</v>
      </c>
      <c r="S424" s="4">
        <v>0</v>
      </c>
      <c r="T424" s="4">
        <v>15</v>
      </c>
      <c r="U424" s="4">
        <v>86</v>
      </c>
      <c r="V424" s="6">
        <f>IF(ISERROR(VLOOKUP($S$424,'TAR FIN'!$A$1:$O$93,15,0)),0,VLOOKUP($S$424,'TAR FIN'!$A$1:$O$93,15,0))</f>
        <v>0</v>
      </c>
      <c r="W424" s="6">
        <f>IF(ISERROR(VLOOKUP($T$424,'TAR FIN'!$A$1:$O$93,15,0)),0,VLOOKUP($T$424,'TAR FIN'!$A$1:$O$93,15,0))</f>
        <v>184.7</v>
      </c>
      <c r="X424" s="6">
        <f>IF(ISERROR(VLOOKUP($U$424,'TAR FIN'!$A$1:$O$93,15,0)),0,VLOOKUP($U$424,'TAR FIN'!$A$1:$O$93,15,0))</f>
        <v>166.66</v>
      </c>
      <c r="Y424" s="6"/>
      <c r="Z424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24" s="6">
        <f>('TE BE'!$AB$16+'TE BF'!$AB$16+'TE CVA'!$AB$16)*(1-CUSTOS!$M$36)</f>
        <v>178.36375301692408</v>
      </c>
      <c r="AB424" s="6">
        <f t="shared" si="18"/>
        <v>0</v>
      </c>
      <c r="AC424" s="6">
        <f>(L424-M424)*(W424+X424)+($W$443+$X$443-$W$424-$X$424)*(L424)</f>
        <v>831.27871999999979</v>
      </c>
      <c r="AD424" s="6">
        <f t="shared" si="20"/>
        <v>0</v>
      </c>
      <c r="AE424" s="6">
        <f ca="1">(L424-M424)*(Z424+AA424)+($Z$443+$AA$443-$Z$424-$AA$424)*(L424)</f>
        <v>837.02727911432669</v>
      </c>
      <c r="AF424" s="4" t="s">
        <v>641</v>
      </c>
    </row>
    <row r="425" spans="1:32" ht="11.25" customHeight="1" x14ac:dyDescent="0.25">
      <c r="A425" s="4" t="s">
        <v>21</v>
      </c>
      <c r="B425" s="4" t="s">
        <v>22</v>
      </c>
      <c r="C425" s="4" t="s">
        <v>23</v>
      </c>
      <c r="D425" s="4" t="s">
        <v>24</v>
      </c>
      <c r="E425" s="4" t="s">
        <v>31</v>
      </c>
      <c r="F425" s="4" t="s">
        <v>25</v>
      </c>
      <c r="G425" s="4" t="s">
        <v>25</v>
      </c>
      <c r="H425" s="4" t="s">
        <v>25</v>
      </c>
      <c r="I425" s="5">
        <v>44440</v>
      </c>
      <c r="J425" s="6">
        <v>0</v>
      </c>
      <c r="K425" s="6">
        <v>0</v>
      </c>
      <c r="L425" s="6">
        <v>22.510999999999999</v>
      </c>
      <c r="M425" s="6">
        <v>22.510999999999999</v>
      </c>
      <c r="N425" s="6">
        <v>22.510999999999999</v>
      </c>
      <c r="O425" s="6">
        <v>22.510999999999999</v>
      </c>
      <c r="P425" s="6">
        <v>141</v>
      </c>
      <c r="Q425" s="4" t="s">
        <v>26</v>
      </c>
      <c r="R425" s="4">
        <v>0</v>
      </c>
      <c r="S425" s="4">
        <v>0</v>
      </c>
      <c r="T425" s="4">
        <v>15</v>
      </c>
      <c r="U425" s="4">
        <v>86</v>
      </c>
      <c r="V425" s="6">
        <f>IF(ISERROR(VLOOKUP($S$425,'TAR FIN'!$A$1:$O$93,15,0)),0,VLOOKUP($S$425,'TAR FIN'!$A$1:$O$93,15,0))</f>
        <v>0</v>
      </c>
      <c r="W425" s="6">
        <f>IF(ISERROR(VLOOKUP($T$425,'TAR FIN'!$A$1:$O$93,15,0)),0,VLOOKUP($T$425,'TAR FIN'!$A$1:$O$93,15,0))</f>
        <v>184.7</v>
      </c>
      <c r="X425" s="6">
        <f>IF(ISERROR(VLOOKUP($U$425,'TAR FIN'!$A$1:$O$93,15,0)),0,VLOOKUP($U$425,'TAR FIN'!$A$1:$O$93,15,0))</f>
        <v>166.66</v>
      </c>
      <c r="Y425" s="6"/>
      <c r="Z425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25" s="6">
        <f>('TE BE'!$AB$16+'TE BF'!$AB$16+'TE CVA'!$AB$16)*(1-CUSTOS!$M$36)</f>
        <v>178.36375301692408</v>
      </c>
      <c r="AB425" s="6">
        <f t="shared" si="18"/>
        <v>0</v>
      </c>
      <c r="AC425" s="6">
        <f>(L425-M425)*(W425+X425)+($W$443+$X$443-$W$425-$X$425)*(L425)</f>
        <v>878.82943999999975</v>
      </c>
      <c r="AD425" s="6">
        <f t="shared" si="20"/>
        <v>0</v>
      </c>
      <c r="AE425" s="6">
        <f ca="1">(L425-M425)*(Z425+AA425)+($Z$443+$AA$443-$Z$425-$AA$425)*(L425)</f>
        <v>884.90682760262098</v>
      </c>
      <c r="AF425" s="4" t="s">
        <v>641</v>
      </c>
    </row>
    <row r="426" spans="1:32" ht="11.25" customHeight="1" x14ac:dyDescent="0.25">
      <c r="A426" s="4" t="s">
        <v>21</v>
      </c>
      <c r="B426" s="4" t="s">
        <v>22</v>
      </c>
      <c r="C426" s="4" t="s">
        <v>23</v>
      </c>
      <c r="D426" s="4" t="s">
        <v>24</v>
      </c>
      <c r="E426" s="4" t="s">
        <v>31</v>
      </c>
      <c r="F426" s="4" t="s">
        <v>25</v>
      </c>
      <c r="G426" s="4" t="s">
        <v>25</v>
      </c>
      <c r="H426" s="4" t="s">
        <v>25</v>
      </c>
      <c r="I426" s="5">
        <v>44470</v>
      </c>
      <c r="J426" s="6">
        <v>0</v>
      </c>
      <c r="K426" s="6">
        <v>0</v>
      </c>
      <c r="L426" s="6">
        <v>22.129000000000001</v>
      </c>
      <c r="M426" s="6">
        <v>22.129000000000001</v>
      </c>
      <c r="N426" s="6">
        <v>22.129000000000001</v>
      </c>
      <c r="O426" s="6">
        <v>22.129000000000001</v>
      </c>
      <c r="P426" s="6">
        <v>143</v>
      </c>
      <c r="Q426" s="4" t="s">
        <v>26</v>
      </c>
      <c r="R426" s="4">
        <v>0</v>
      </c>
      <c r="S426" s="4">
        <v>0</v>
      </c>
      <c r="T426" s="4">
        <v>15</v>
      </c>
      <c r="U426" s="4">
        <v>86</v>
      </c>
      <c r="V426" s="6">
        <f>IF(ISERROR(VLOOKUP($S$426,'TAR FIN'!$A$1:$O$93,15,0)),0,VLOOKUP($S$426,'TAR FIN'!$A$1:$O$93,15,0))</f>
        <v>0</v>
      </c>
      <c r="W426" s="6">
        <f>IF(ISERROR(VLOOKUP($T$426,'TAR FIN'!$A$1:$O$93,15,0)),0,VLOOKUP($T$426,'TAR FIN'!$A$1:$O$93,15,0))</f>
        <v>184.7</v>
      </c>
      <c r="X426" s="6">
        <f>IF(ISERROR(VLOOKUP($U$426,'TAR FIN'!$A$1:$O$93,15,0)),0,VLOOKUP($U$426,'TAR FIN'!$A$1:$O$93,15,0))</f>
        <v>166.66</v>
      </c>
      <c r="Y426" s="6"/>
      <c r="Z426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26" s="6">
        <f>('TE BE'!$AB$16+'TE BF'!$AB$16+'TE CVA'!$AB$16)*(1-CUSTOS!$M$36)</f>
        <v>178.36375301692408</v>
      </c>
      <c r="AB426" s="6">
        <f t="shared" si="18"/>
        <v>0</v>
      </c>
      <c r="AC426" s="6">
        <f>(L426-M426)*(W426+X426)+($W$443+$X$443-$W$426-$X$426)*(L426)</f>
        <v>863.91615999999988</v>
      </c>
      <c r="AD426" s="6">
        <f t="shared" si="20"/>
        <v>0</v>
      </c>
      <c r="AE426" s="6">
        <f ca="1">(L426-M426)*(Z426+AA426)+($Z$443+$AA$443-$Z$426-$AA$426)*(L426)</f>
        <v>869.8904174856026</v>
      </c>
      <c r="AF426" s="4" t="s">
        <v>641</v>
      </c>
    </row>
    <row r="427" spans="1:32" ht="11.25" customHeight="1" x14ac:dyDescent="0.25">
      <c r="A427" s="4" t="s">
        <v>21</v>
      </c>
      <c r="B427" s="4" t="s">
        <v>22</v>
      </c>
      <c r="C427" s="4" t="s">
        <v>23</v>
      </c>
      <c r="D427" s="4" t="s">
        <v>24</v>
      </c>
      <c r="E427" s="4" t="s">
        <v>31</v>
      </c>
      <c r="F427" s="4" t="s">
        <v>25</v>
      </c>
      <c r="G427" s="4" t="s">
        <v>25</v>
      </c>
      <c r="H427" s="4" t="s">
        <v>25</v>
      </c>
      <c r="I427" s="5">
        <v>44501</v>
      </c>
      <c r="J427" s="6">
        <v>0</v>
      </c>
      <c r="K427" s="6">
        <v>0</v>
      </c>
      <c r="L427" s="6">
        <v>23.164999999999999</v>
      </c>
      <c r="M427" s="6">
        <v>23.164999999999999</v>
      </c>
      <c r="N427" s="6">
        <v>23.164999999999999</v>
      </c>
      <c r="O427" s="6">
        <v>23.164999999999999</v>
      </c>
      <c r="P427" s="6">
        <v>142</v>
      </c>
      <c r="Q427" s="4" t="s">
        <v>26</v>
      </c>
      <c r="R427" s="4">
        <v>0</v>
      </c>
      <c r="S427" s="4">
        <v>0</v>
      </c>
      <c r="T427" s="4">
        <v>15</v>
      </c>
      <c r="U427" s="4">
        <v>86</v>
      </c>
      <c r="V427" s="6">
        <f>IF(ISERROR(VLOOKUP($S$427,'TAR FIN'!$A$1:$O$93,15,0)),0,VLOOKUP($S$427,'TAR FIN'!$A$1:$O$93,15,0))</f>
        <v>0</v>
      </c>
      <c r="W427" s="6">
        <f>IF(ISERROR(VLOOKUP($T$427,'TAR FIN'!$A$1:$O$93,15,0)),0,VLOOKUP($T$427,'TAR FIN'!$A$1:$O$93,15,0))</f>
        <v>184.7</v>
      </c>
      <c r="X427" s="6">
        <f>IF(ISERROR(VLOOKUP($U$427,'TAR FIN'!$A$1:$O$93,15,0)),0,VLOOKUP($U$427,'TAR FIN'!$A$1:$O$93,15,0))</f>
        <v>166.66</v>
      </c>
      <c r="Y427" s="6"/>
      <c r="Z427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27" s="6">
        <f>('TE BE'!$AB$16+'TE BF'!$AB$16+'TE CVA'!$AB$16)*(1-CUSTOS!$M$36)</f>
        <v>178.36375301692408</v>
      </c>
      <c r="AB427" s="6">
        <f t="shared" si="18"/>
        <v>0</v>
      </c>
      <c r="AC427" s="6">
        <f>(L427-M427)*(W427+X427)+($W$443+$X$443-$W$427-$X$427)*(L427)</f>
        <v>904.36159999999973</v>
      </c>
      <c r="AD427" s="6">
        <f t="shared" si="20"/>
        <v>0</v>
      </c>
      <c r="AE427" s="6">
        <f ca="1">(L427-M427)*(Z427+AA427)+($Z$443+$AA$443-$Z$427-$AA$427)*(L427)</f>
        <v>910.61555068254245</v>
      </c>
      <c r="AF427" s="4" t="s">
        <v>641</v>
      </c>
    </row>
    <row r="428" spans="1:32" ht="11.25" customHeight="1" x14ac:dyDescent="0.25">
      <c r="A428" s="4" t="s">
        <v>27</v>
      </c>
      <c r="B428" s="4" t="s">
        <v>22</v>
      </c>
      <c r="C428" s="4" t="s">
        <v>23</v>
      </c>
      <c r="D428" s="4" t="s">
        <v>24</v>
      </c>
      <c r="E428" s="4" t="s">
        <v>31</v>
      </c>
      <c r="F428" s="4" t="s">
        <v>25</v>
      </c>
      <c r="G428" s="4" t="s">
        <v>25</v>
      </c>
      <c r="H428" s="4" t="s">
        <v>25</v>
      </c>
      <c r="I428" s="5">
        <v>44501</v>
      </c>
      <c r="J428" s="6">
        <v>0</v>
      </c>
      <c r="K428" s="6">
        <v>0</v>
      </c>
      <c r="L428" s="6">
        <v>-0.68700000000000006</v>
      </c>
      <c r="M428" s="6">
        <v>-0.68700000000000006</v>
      </c>
      <c r="N428" s="6">
        <v>-0.68700000000000006</v>
      </c>
      <c r="O428" s="6">
        <v>-0.68700000000000006</v>
      </c>
      <c r="P428" s="6">
        <v>-6</v>
      </c>
      <c r="Q428" s="4" t="s">
        <v>26</v>
      </c>
      <c r="R428" s="4">
        <v>0</v>
      </c>
      <c r="S428" s="4">
        <v>0</v>
      </c>
      <c r="T428" s="4">
        <v>15</v>
      </c>
      <c r="U428" s="4">
        <v>86</v>
      </c>
      <c r="V428" s="6">
        <f>IF(ISERROR(VLOOKUP($S$428,'TAR FIN'!$A$1:$O$93,15,0)),0,VLOOKUP($S$428,'TAR FIN'!$A$1:$O$93,15,0))</f>
        <v>0</v>
      </c>
      <c r="W428" s="6">
        <f>IF(ISERROR(VLOOKUP($T$428,'TAR FIN'!$A$1:$O$93,15,0)),0,VLOOKUP($T$428,'TAR FIN'!$A$1:$O$93,15,0))</f>
        <v>184.7</v>
      </c>
      <c r="X428" s="6">
        <f>IF(ISERROR(VLOOKUP($U$428,'TAR FIN'!$A$1:$O$93,15,0)),0,VLOOKUP($U$428,'TAR FIN'!$A$1:$O$93,15,0))</f>
        <v>166.66</v>
      </c>
      <c r="Y428" s="6"/>
      <c r="Z428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28" s="6">
        <f>('TE BE'!$AB$16+'TE BF'!$AB$16+'TE CVA'!$AB$16)*(1-CUSTOS!$M$36)</f>
        <v>178.36375301692408</v>
      </c>
      <c r="AB428" s="6">
        <f t="shared" si="18"/>
        <v>0</v>
      </c>
      <c r="AC428" s="6">
        <f>(L428-M428)*(W428+X428)+($W$443+$X$443-$W$428-$X$428)*(L428)</f>
        <v>-26.820479999999996</v>
      </c>
      <c r="AD428" s="6">
        <f t="shared" si="20"/>
        <v>0</v>
      </c>
      <c r="AE428" s="6">
        <f ca="1">(L428-M428)*(Z428+AA428)+($Z$443+$AA$443-$Z$428-$AA$428)*(L428)</f>
        <v>-27.005952226156129</v>
      </c>
      <c r="AF428" s="4" t="s">
        <v>641</v>
      </c>
    </row>
    <row r="429" spans="1:32" ht="11.25" customHeight="1" x14ac:dyDescent="0.25">
      <c r="A429" s="4" t="s">
        <v>28</v>
      </c>
      <c r="B429" s="4" t="s">
        <v>22</v>
      </c>
      <c r="C429" s="4" t="s">
        <v>23</v>
      </c>
      <c r="D429" s="4" t="s">
        <v>24</v>
      </c>
      <c r="E429" s="4" t="s">
        <v>31</v>
      </c>
      <c r="F429" s="4" t="s">
        <v>25</v>
      </c>
      <c r="G429" s="4" t="s">
        <v>25</v>
      </c>
      <c r="H429" s="4" t="s">
        <v>25</v>
      </c>
      <c r="I429" s="5">
        <v>44501</v>
      </c>
      <c r="J429" s="6">
        <v>0</v>
      </c>
      <c r="K429" s="6">
        <v>0</v>
      </c>
      <c r="L429" s="6">
        <v>0.03</v>
      </c>
      <c r="M429" s="6">
        <v>0.03</v>
      </c>
      <c r="N429" s="6">
        <v>0.03</v>
      </c>
      <c r="O429" s="6">
        <v>0.03</v>
      </c>
      <c r="P429" s="6">
        <v>1</v>
      </c>
      <c r="Q429" s="4" t="s">
        <v>26</v>
      </c>
      <c r="R429" s="4">
        <v>0</v>
      </c>
      <c r="S429" s="4">
        <v>0</v>
      </c>
      <c r="T429" s="4">
        <v>15</v>
      </c>
      <c r="U429" s="4">
        <v>86</v>
      </c>
      <c r="V429" s="6">
        <f>IF(ISERROR(VLOOKUP($S$429,'TAR FIN'!$A$1:$O$93,15,0)),0,VLOOKUP($S$429,'TAR FIN'!$A$1:$O$93,15,0))</f>
        <v>0</v>
      </c>
      <c r="W429" s="6">
        <f>IF(ISERROR(VLOOKUP($T$429,'TAR FIN'!$A$1:$O$93,15,0)),0,VLOOKUP($T$429,'TAR FIN'!$A$1:$O$93,15,0))</f>
        <v>184.7</v>
      </c>
      <c r="X429" s="6">
        <f>IF(ISERROR(VLOOKUP($U$429,'TAR FIN'!$A$1:$O$93,15,0)),0,VLOOKUP($U$429,'TAR FIN'!$A$1:$O$93,15,0))</f>
        <v>166.66</v>
      </c>
      <c r="Y429" s="6"/>
      <c r="Z429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29" s="6">
        <f>('TE BE'!$AB$16+'TE BF'!$AB$16+'TE CVA'!$AB$16)*(1-CUSTOS!$M$36)</f>
        <v>178.36375301692408</v>
      </c>
      <c r="AB429" s="6">
        <f t="shared" si="18"/>
        <v>0</v>
      </c>
      <c r="AC429" s="6">
        <f>(L429-M429)*(W429+X429)+($W$443+$X$443-$W$429-$X$429)*(L429)</f>
        <v>1.1711999999999998</v>
      </c>
      <c r="AD429" s="6">
        <f t="shared" si="20"/>
        <v>0</v>
      </c>
      <c r="AE429" s="6">
        <f ca="1">(L429-M429)*(Z429+AA429)+($Z$443+$AA$443-$Z$429-$AA$429)*(L429)</f>
        <v>1.1792992238496125</v>
      </c>
      <c r="AF429" s="4" t="s">
        <v>641</v>
      </c>
    </row>
    <row r="430" spans="1:32" ht="11.25" customHeight="1" x14ac:dyDescent="0.25">
      <c r="A430" s="4" t="s">
        <v>21</v>
      </c>
      <c r="B430" s="4" t="s">
        <v>22</v>
      </c>
      <c r="C430" s="4" t="s">
        <v>23</v>
      </c>
      <c r="D430" s="4" t="s">
        <v>24</v>
      </c>
      <c r="E430" s="4" t="s">
        <v>31</v>
      </c>
      <c r="F430" s="4" t="s">
        <v>25</v>
      </c>
      <c r="G430" s="4" t="s">
        <v>25</v>
      </c>
      <c r="H430" s="4" t="s">
        <v>25</v>
      </c>
      <c r="I430" s="5">
        <v>44531</v>
      </c>
      <c r="J430" s="6">
        <v>0</v>
      </c>
      <c r="K430" s="6">
        <v>0</v>
      </c>
      <c r="L430" s="6">
        <v>22.89</v>
      </c>
      <c r="M430" s="6">
        <v>22.89</v>
      </c>
      <c r="N430" s="6">
        <v>22.89</v>
      </c>
      <c r="O430" s="6">
        <v>22.89</v>
      </c>
      <c r="P430" s="6">
        <v>144</v>
      </c>
      <c r="Q430" s="4" t="s">
        <v>26</v>
      </c>
      <c r="R430" s="4">
        <v>0</v>
      </c>
      <c r="S430" s="4">
        <v>0</v>
      </c>
      <c r="T430" s="4">
        <v>15</v>
      </c>
      <c r="U430" s="4">
        <v>86</v>
      </c>
      <c r="V430" s="6">
        <f>IF(ISERROR(VLOOKUP($S$430,'TAR FIN'!$A$1:$O$93,15,0)),0,VLOOKUP($S$430,'TAR FIN'!$A$1:$O$93,15,0))</f>
        <v>0</v>
      </c>
      <c r="W430" s="6">
        <f>IF(ISERROR(VLOOKUP($T$430,'TAR FIN'!$A$1:$O$93,15,0)),0,VLOOKUP($T$430,'TAR FIN'!$A$1:$O$93,15,0))</f>
        <v>184.7</v>
      </c>
      <c r="X430" s="6">
        <f>IF(ISERROR(VLOOKUP($U$430,'TAR FIN'!$A$1:$O$93,15,0)),0,VLOOKUP($U$430,'TAR FIN'!$A$1:$O$93,15,0))</f>
        <v>166.66</v>
      </c>
      <c r="Y430" s="6"/>
      <c r="Z430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30" s="6">
        <f>('TE BE'!$AB$16+'TE BF'!$AB$16+'TE CVA'!$AB$16)*(1-CUSTOS!$M$36)</f>
        <v>178.36375301692408</v>
      </c>
      <c r="AB430" s="6">
        <f t="shared" si="18"/>
        <v>0</v>
      </c>
      <c r="AC430" s="6">
        <f>(L430-M430)*(W430+X430)+($W$443+$X$443-$W$430-$X$430)*(L430)</f>
        <v>893.62559999999985</v>
      </c>
      <c r="AD430" s="6">
        <f t="shared" si="20"/>
        <v>0</v>
      </c>
      <c r="AE430" s="6">
        <f ca="1">(L430-M430)*(Z430+AA430)+($Z$443+$AA$443-$Z$430-$AA$430)*(L430)</f>
        <v>899.80530779725439</v>
      </c>
      <c r="AF430" s="4" t="s">
        <v>641</v>
      </c>
    </row>
    <row r="431" spans="1:32" ht="11.25" customHeight="1" x14ac:dyDescent="0.25">
      <c r="A431" s="4" t="s">
        <v>21</v>
      </c>
      <c r="B431" s="4" t="s">
        <v>22</v>
      </c>
      <c r="C431" s="4" t="s">
        <v>23</v>
      </c>
      <c r="D431" s="4" t="s">
        <v>24</v>
      </c>
      <c r="E431" s="4" t="s">
        <v>31</v>
      </c>
      <c r="F431" s="4" t="s">
        <v>25</v>
      </c>
      <c r="G431" s="4" t="s">
        <v>25</v>
      </c>
      <c r="H431" s="4" t="s">
        <v>25</v>
      </c>
      <c r="I431" s="5">
        <v>44562</v>
      </c>
      <c r="J431" s="6">
        <v>0</v>
      </c>
      <c r="K431" s="6">
        <v>0</v>
      </c>
      <c r="L431" s="6">
        <v>21.231999999999999</v>
      </c>
      <c r="M431" s="6">
        <v>21.231999999999999</v>
      </c>
      <c r="N431" s="6">
        <v>21.231999999999999</v>
      </c>
      <c r="O431" s="6">
        <v>21.231999999999999</v>
      </c>
      <c r="P431" s="6">
        <v>123</v>
      </c>
      <c r="Q431" s="4" t="s">
        <v>26</v>
      </c>
      <c r="R431" s="4">
        <v>0</v>
      </c>
      <c r="S431" s="4">
        <v>0</v>
      </c>
      <c r="T431" s="4">
        <v>15</v>
      </c>
      <c r="U431" s="4">
        <v>86</v>
      </c>
      <c r="V431" s="6">
        <f>IF(ISERROR(VLOOKUP($S$431,'TAR FIN'!$A$1:$O$93,15,0)),0,VLOOKUP($S$431,'TAR FIN'!$A$1:$O$93,15,0))</f>
        <v>0</v>
      </c>
      <c r="W431" s="6">
        <f>IF(ISERROR(VLOOKUP($T$431,'TAR FIN'!$A$1:$O$93,15,0)),0,VLOOKUP($T$431,'TAR FIN'!$A$1:$O$93,15,0))</f>
        <v>184.7</v>
      </c>
      <c r="X431" s="6">
        <f>IF(ISERROR(VLOOKUP($U$431,'TAR FIN'!$A$1:$O$93,15,0)),0,VLOOKUP($U$431,'TAR FIN'!$A$1:$O$93,15,0))</f>
        <v>166.66</v>
      </c>
      <c r="Y431" s="6"/>
      <c r="Z431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31" s="6">
        <f>('TE BE'!$AB$16+'TE BF'!$AB$16+'TE CVA'!$AB$16)*(1-CUSTOS!$M$36)</f>
        <v>178.36375301692408</v>
      </c>
      <c r="AB431" s="6">
        <f t="shared" si="18"/>
        <v>0</v>
      </c>
      <c r="AC431" s="6">
        <f>(L431-M431)*(W431+X431)+($W$443+$X$443-$W$431-$X$431)*(L431)</f>
        <v>828.8972799999998</v>
      </c>
      <c r="AD431" s="6">
        <f t="shared" si="20"/>
        <v>0</v>
      </c>
      <c r="AE431" s="6">
        <f ca="1">(L431-M431)*(Z431+AA431)+($Z$443+$AA$443-$Z$431-$AA$431)*(L431)</f>
        <v>834.62937069249915</v>
      </c>
      <c r="AF431" s="4" t="s">
        <v>641</v>
      </c>
    </row>
    <row r="432" spans="1:32" ht="11.25" customHeight="1" x14ac:dyDescent="0.25">
      <c r="A432" s="4" t="s">
        <v>28</v>
      </c>
      <c r="B432" s="4" t="s">
        <v>22</v>
      </c>
      <c r="C432" s="4" t="s">
        <v>23</v>
      </c>
      <c r="D432" s="4" t="s">
        <v>24</v>
      </c>
      <c r="E432" s="4" t="s">
        <v>31</v>
      </c>
      <c r="F432" s="4" t="s">
        <v>25</v>
      </c>
      <c r="G432" s="4" t="s">
        <v>25</v>
      </c>
      <c r="H432" s="4" t="s">
        <v>25</v>
      </c>
      <c r="I432" s="5">
        <v>44562</v>
      </c>
      <c r="J432" s="6">
        <v>0</v>
      </c>
      <c r="K432" s="6">
        <v>0</v>
      </c>
      <c r="L432" s="6">
        <v>0.03</v>
      </c>
      <c r="M432" s="6">
        <v>0.03</v>
      </c>
      <c r="N432" s="6">
        <v>0.03</v>
      </c>
      <c r="O432" s="6">
        <v>0.03</v>
      </c>
      <c r="P432" s="6">
        <v>1</v>
      </c>
      <c r="Q432" s="4" t="s">
        <v>26</v>
      </c>
      <c r="R432" s="4">
        <v>0</v>
      </c>
      <c r="S432" s="4">
        <v>0</v>
      </c>
      <c r="T432" s="4">
        <v>15</v>
      </c>
      <c r="U432" s="4">
        <v>86</v>
      </c>
      <c r="V432" s="6">
        <f>IF(ISERROR(VLOOKUP($S$432,'TAR FIN'!$A$1:$O$93,15,0)),0,VLOOKUP($S$432,'TAR FIN'!$A$1:$O$93,15,0))</f>
        <v>0</v>
      </c>
      <c r="W432" s="6">
        <f>IF(ISERROR(VLOOKUP($T$432,'TAR FIN'!$A$1:$O$93,15,0)),0,VLOOKUP($T$432,'TAR FIN'!$A$1:$O$93,15,0))</f>
        <v>184.7</v>
      </c>
      <c r="X432" s="6">
        <f>IF(ISERROR(VLOOKUP($U$432,'TAR FIN'!$A$1:$O$93,15,0)),0,VLOOKUP($U$432,'TAR FIN'!$A$1:$O$93,15,0))</f>
        <v>166.66</v>
      </c>
      <c r="Y432" s="6"/>
      <c r="Z432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32" s="6">
        <f>('TE BE'!$AB$16+'TE BF'!$AB$16+'TE CVA'!$AB$16)*(1-CUSTOS!$M$36)</f>
        <v>178.36375301692408</v>
      </c>
      <c r="AB432" s="6">
        <f t="shared" si="18"/>
        <v>0</v>
      </c>
      <c r="AC432" s="6">
        <f>(L432-M432)*(W432+X432)+($W$443+$X$443-$W$432-$X$432)*(L432)</f>
        <v>1.1711999999999998</v>
      </c>
      <c r="AD432" s="6">
        <f t="shared" si="20"/>
        <v>0</v>
      </c>
      <c r="AE432" s="6">
        <f ca="1">(L432-M432)*(Z432+AA432)+($Z$443+$AA$443-$Z$432-$AA$432)*(L432)</f>
        <v>1.1792992238496125</v>
      </c>
      <c r="AF432" s="4" t="s">
        <v>641</v>
      </c>
    </row>
    <row r="433" spans="1:32" ht="11.25" customHeight="1" x14ac:dyDescent="0.25">
      <c r="A433" s="4" t="s">
        <v>21</v>
      </c>
      <c r="B433" s="4" t="s">
        <v>22</v>
      </c>
      <c r="C433" s="4" t="s">
        <v>23</v>
      </c>
      <c r="D433" s="4" t="s">
        <v>24</v>
      </c>
      <c r="E433" s="4" t="s">
        <v>31</v>
      </c>
      <c r="F433" s="4" t="s">
        <v>25</v>
      </c>
      <c r="G433" s="4" t="s">
        <v>25</v>
      </c>
      <c r="H433" s="4" t="s">
        <v>25</v>
      </c>
      <c r="I433" s="5">
        <v>44593</v>
      </c>
      <c r="J433" s="6">
        <v>0</v>
      </c>
      <c r="K433" s="6">
        <v>0</v>
      </c>
      <c r="L433" s="6">
        <v>37.284999999999997</v>
      </c>
      <c r="M433" s="6">
        <v>37.284999999999997</v>
      </c>
      <c r="N433" s="6">
        <v>37.284999999999997</v>
      </c>
      <c r="O433" s="6">
        <v>37.284999999999997</v>
      </c>
      <c r="P433" s="6">
        <v>213</v>
      </c>
      <c r="Q433" s="4" t="s">
        <v>26</v>
      </c>
      <c r="R433" s="4">
        <v>0</v>
      </c>
      <c r="S433" s="4">
        <v>0</v>
      </c>
      <c r="T433" s="4">
        <v>15</v>
      </c>
      <c r="U433" s="4">
        <v>86</v>
      </c>
      <c r="V433" s="6">
        <f>IF(ISERROR(VLOOKUP($S$433,'TAR FIN'!$A$1:$O$93,15,0)),0,VLOOKUP($S$433,'TAR FIN'!$A$1:$O$93,15,0))</f>
        <v>0</v>
      </c>
      <c r="W433" s="6">
        <f>IF(ISERROR(VLOOKUP($T$433,'TAR FIN'!$A$1:$O$93,15,0)),0,VLOOKUP($T$433,'TAR FIN'!$A$1:$O$93,15,0))</f>
        <v>184.7</v>
      </c>
      <c r="X433" s="6">
        <f>IF(ISERROR(VLOOKUP($U$433,'TAR FIN'!$A$1:$O$93,15,0)),0,VLOOKUP($U$433,'TAR FIN'!$A$1:$O$93,15,0))</f>
        <v>166.66</v>
      </c>
      <c r="Y433" s="6"/>
      <c r="Z433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33" s="6">
        <f>('TE BE'!$AB$16+'TE BF'!$AB$16+'TE CVA'!$AB$16)*(1-CUSTOS!$M$36)</f>
        <v>178.36375301692408</v>
      </c>
      <c r="AB433" s="6">
        <f t="shared" si="18"/>
        <v>0</v>
      </c>
      <c r="AC433" s="6">
        <f>(L433-M433)*(W433+X433)+($W$443+$X$443-$W$433-$X$433)*(L433)</f>
        <v>1455.6063999999997</v>
      </c>
      <c r="AD433" s="6">
        <f t="shared" si="20"/>
        <v>0</v>
      </c>
      <c r="AE433" s="6">
        <f ca="1">(L433-M433)*(Z433+AA433)+($Z$443+$AA$443-$Z$433-$AA$433)*(L433)</f>
        <v>1465.6723853744268</v>
      </c>
      <c r="AF433" s="4" t="s">
        <v>641</v>
      </c>
    </row>
    <row r="434" spans="1:32" ht="11.25" customHeight="1" x14ac:dyDescent="0.25">
      <c r="A434" s="4" t="s">
        <v>28</v>
      </c>
      <c r="B434" s="4" t="s">
        <v>22</v>
      </c>
      <c r="C434" s="4" t="s">
        <v>23</v>
      </c>
      <c r="D434" s="4" t="s">
        <v>24</v>
      </c>
      <c r="E434" s="4" t="s">
        <v>31</v>
      </c>
      <c r="F434" s="4" t="s">
        <v>25</v>
      </c>
      <c r="G434" s="4" t="s">
        <v>25</v>
      </c>
      <c r="H434" s="4" t="s">
        <v>25</v>
      </c>
      <c r="I434" s="5">
        <v>44593</v>
      </c>
      <c r="J434" s="6">
        <v>0</v>
      </c>
      <c r="K434" s="6">
        <v>0</v>
      </c>
      <c r="L434" s="6">
        <v>0.03</v>
      </c>
      <c r="M434" s="6">
        <v>0.03</v>
      </c>
      <c r="N434" s="6">
        <v>0.03</v>
      </c>
      <c r="O434" s="6">
        <v>0.03</v>
      </c>
      <c r="P434" s="6">
        <v>1</v>
      </c>
      <c r="Q434" s="4" t="s">
        <v>26</v>
      </c>
      <c r="R434" s="4">
        <v>0</v>
      </c>
      <c r="S434" s="4">
        <v>0</v>
      </c>
      <c r="T434" s="4">
        <v>15</v>
      </c>
      <c r="U434" s="4">
        <v>86</v>
      </c>
      <c r="V434" s="6">
        <f>IF(ISERROR(VLOOKUP($S$434,'TAR FIN'!$A$1:$O$93,15,0)),0,VLOOKUP($S$434,'TAR FIN'!$A$1:$O$93,15,0))</f>
        <v>0</v>
      </c>
      <c r="W434" s="6">
        <f>IF(ISERROR(VLOOKUP($T$434,'TAR FIN'!$A$1:$O$93,15,0)),0,VLOOKUP($T$434,'TAR FIN'!$A$1:$O$93,15,0))</f>
        <v>184.7</v>
      </c>
      <c r="X434" s="6">
        <f>IF(ISERROR(VLOOKUP($U$434,'TAR FIN'!$A$1:$O$93,15,0)),0,VLOOKUP($U$434,'TAR FIN'!$A$1:$O$93,15,0))</f>
        <v>166.66</v>
      </c>
      <c r="Y434" s="6"/>
      <c r="Z434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34" s="6">
        <f>('TE BE'!$AB$16+'TE BF'!$AB$16+'TE CVA'!$AB$16)*(1-CUSTOS!$M$36)</f>
        <v>178.36375301692408</v>
      </c>
      <c r="AB434" s="6">
        <f t="shared" si="18"/>
        <v>0</v>
      </c>
      <c r="AC434" s="6">
        <f>(L434-M434)*(W434+X434)+($W$443+$X$443-$W$434-$X$434)*(L434)</f>
        <v>1.1711999999999998</v>
      </c>
      <c r="AD434" s="6">
        <f t="shared" si="20"/>
        <v>0</v>
      </c>
      <c r="AE434" s="6">
        <f ca="1">(L434-M434)*(Z434+AA434)+($Z$443+$AA$443-$Z$434-$AA$434)*(L434)</f>
        <v>1.1792992238496125</v>
      </c>
      <c r="AF434" s="4" t="s">
        <v>641</v>
      </c>
    </row>
    <row r="435" spans="1:32" ht="11.25" customHeight="1" x14ac:dyDescent="0.25">
      <c r="A435" s="4" t="s">
        <v>21</v>
      </c>
      <c r="B435" s="4" t="s">
        <v>22</v>
      </c>
      <c r="C435" s="4" t="s">
        <v>23</v>
      </c>
      <c r="D435" s="4" t="s">
        <v>24</v>
      </c>
      <c r="E435" s="4" t="s">
        <v>31</v>
      </c>
      <c r="F435" s="4" t="s">
        <v>25</v>
      </c>
      <c r="G435" s="4" t="s">
        <v>25</v>
      </c>
      <c r="H435" s="4" t="s">
        <v>25</v>
      </c>
      <c r="I435" s="5">
        <v>44621</v>
      </c>
      <c r="J435" s="6">
        <v>0</v>
      </c>
      <c r="K435" s="6">
        <v>0</v>
      </c>
      <c r="L435" s="6">
        <v>46.143000000000001</v>
      </c>
      <c r="M435" s="6">
        <v>46.143000000000001</v>
      </c>
      <c r="N435" s="6">
        <v>46.143000000000001</v>
      </c>
      <c r="O435" s="6">
        <v>46.143000000000001</v>
      </c>
      <c r="P435" s="6">
        <v>282</v>
      </c>
      <c r="Q435" s="4" t="s">
        <v>26</v>
      </c>
      <c r="R435" s="4">
        <v>0</v>
      </c>
      <c r="S435" s="4">
        <v>0</v>
      </c>
      <c r="T435" s="4">
        <v>15</v>
      </c>
      <c r="U435" s="4">
        <v>86</v>
      </c>
      <c r="V435" s="6">
        <f>IF(ISERROR(VLOOKUP($S$435,'TAR FIN'!$A$1:$O$93,15,0)),0,VLOOKUP($S$435,'TAR FIN'!$A$1:$O$93,15,0))</f>
        <v>0</v>
      </c>
      <c r="W435" s="6">
        <f>IF(ISERROR(VLOOKUP($T$435,'TAR FIN'!$A$1:$O$93,15,0)),0,VLOOKUP($T$435,'TAR FIN'!$A$1:$O$93,15,0))</f>
        <v>184.7</v>
      </c>
      <c r="X435" s="6">
        <f>IF(ISERROR(VLOOKUP($U$435,'TAR FIN'!$A$1:$O$93,15,0)),0,VLOOKUP($U$435,'TAR FIN'!$A$1:$O$93,15,0))</f>
        <v>166.66</v>
      </c>
      <c r="Y435" s="6"/>
      <c r="Z435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35" s="6">
        <f>('TE BE'!$AB$16+'TE BF'!$AB$16+'TE CVA'!$AB$16)*(1-CUSTOS!$M$36)</f>
        <v>178.36375301692408</v>
      </c>
      <c r="AB435" s="6">
        <f t="shared" si="18"/>
        <v>0</v>
      </c>
      <c r="AC435" s="6">
        <f>(L435-M435)*(W435+X435)+($W$443+$X$443-$W$435-$X$435)*(L435)</f>
        <v>1801.4227199999996</v>
      </c>
      <c r="AD435" s="6">
        <f t="shared" si="20"/>
        <v>0</v>
      </c>
      <c r="AE435" s="6">
        <f ca="1">(L435-M435)*(Z435+AA435)+($Z$443+$AA$443-$Z$435-$AA$435)*(L435)</f>
        <v>1813.8801362030893</v>
      </c>
      <c r="AF435" s="4" t="s">
        <v>641</v>
      </c>
    </row>
    <row r="436" spans="1:32" ht="11.25" customHeight="1" x14ac:dyDescent="0.25">
      <c r="A436" s="4" t="s">
        <v>27</v>
      </c>
      <c r="B436" s="4" t="s">
        <v>22</v>
      </c>
      <c r="C436" s="4" t="s">
        <v>23</v>
      </c>
      <c r="D436" s="4" t="s">
        <v>24</v>
      </c>
      <c r="E436" s="4" t="s">
        <v>31</v>
      </c>
      <c r="F436" s="4" t="s">
        <v>25</v>
      </c>
      <c r="G436" s="4" t="s">
        <v>25</v>
      </c>
      <c r="H436" s="4" t="s">
        <v>25</v>
      </c>
      <c r="I436" s="5">
        <v>44621</v>
      </c>
      <c r="J436" s="6">
        <v>0</v>
      </c>
      <c r="K436" s="6">
        <v>0</v>
      </c>
      <c r="L436" s="6">
        <v>-8.1000000000000003E-2</v>
      </c>
      <c r="M436" s="6">
        <v>-8.1000000000000003E-2</v>
      </c>
      <c r="N436" s="6">
        <v>-8.1000000000000003E-2</v>
      </c>
      <c r="O436" s="6">
        <v>-8.1000000000000003E-2</v>
      </c>
      <c r="P436" s="6">
        <v>-1</v>
      </c>
      <c r="Q436" s="4" t="s">
        <v>26</v>
      </c>
      <c r="R436" s="4">
        <v>0</v>
      </c>
      <c r="S436" s="4">
        <v>0</v>
      </c>
      <c r="T436" s="4">
        <v>15</v>
      </c>
      <c r="U436" s="4">
        <v>86</v>
      </c>
      <c r="V436" s="6">
        <f>IF(ISERROR(VLOOKUP($S$436,'TAR FIN'!$A$1:$O$93,15,0)),0,VLOOKUP($S$436,'TAR FIN'!$A$1:$O$93,15,0))</f>
        <v>0</v>
      </c>
      <c r="W436" s="6">
        <f>IF(ISERROR(VLOOKUP($T$436,'TAR FIN'!$A$1:$O$93,15,0)),0,VLOOKUP($T$436,'TAR FIN'!$A$1:$O$93,15,0))</f>
        <v>184.7</v>
      </c>
      <c r="X436" s="6">
        <f>IF(ISERROR(VLOOKUP($U$436,'TAR FIN'!$A$1:$O$93,15,0)),0,VLOOKUP($U$436,'TAR FIN'!$A$1:$O$93,15,0))</f>
        <v>166.66</v>
      </c>
      <c r="Y436" s="6"/>
      <c r="Z436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36" s="6">
        <f>('TE BE'!$AB$16+'TE BF'!$AB$16+'TE CVA'!$AB$16)*(1-CUSTOS!$M$36)</f>
        <v>178.36375301692408</v>
      </c>
      <c r="AB436" s="6">
        <f t="shared" si="18"/>
        <v>0</v>
      </c>
      <c r="AC436" s="6">
        <f>(L436-M436)*(W436+X436)+($W$443+$X$443-$W$436-$X$436)*(L436)</f>
        <v>-3.1622399999999993</v>
      </c>
      <c r="AD436" s="6">
        <f t="shared" si="20"/>
        <v>0</v>
      </c>
      <c r="AE436" s="6">
        <f ca="1">(L436-M436)*(Z436+AA436)+($Z$443+$AA$443-$Z$436-$AA$436)*(L436)</f>
        <v>-3.184107904393954</v>
      </c>
      <c r="AF436" s="4" t="s">
        <v>641</v>
      </c>
    </row>
    <row r="437" spans="1:32" ht="11.25" customHeight="1" x14ac:dyDescent="0.25">
      <c r="A437" s="4" t="s">
        <v>21</v>
      </c>
      <c r="B437" s="4" t="s">
        <v>22</v>
      </c>
      <c r="C437" s="4" t="s">
        <v>23</v>
      </c>
      <c r="D437" s="4" t="s">
        <v>24</v>
      </c>
      <c r="E437" s="4" t="s">
        <v>31</v>
      </c>
      <c r="F437" s="4" t="s">
        <v>25</v>
      </c>
      <c r="G437" s="4" t="s">
        <v>25</v>
      </c>
      <c r="H437" s="4" t="s">
        <v>25</v>
      </c>
      <c r="I437" s="5">
        <v>44652</v>
      </c>
      <c r="J437" s="6">
        <v>0</v>
      </c>
      <c r="K437" s="6">
        <v>0</v>
      </c>
      <c r="L437" s="6">
        <v>74.665999999999997</v>
      </c>
      <c r="M437" s="6">
        <v>74.665999999999997</v>
      </c>
      <c r="N437" s="6">
        <v>74.665999999999997</v>
      </c>
      <c r="O437" s="6">
        <v>74.665999999999997</v>
      </c>
      <c r="P437" s="6">
        <v>476</v>
      </c>
      <c r="Q437" s="4" t="s">
        <v>26</v>
      </c>
      <c r="R437" s="4">
        <v>0</v>
      </c>
      <c r="S437" s="4">
        <v>0</v>
      </c>
      <c r="T437" s="4">
        <v>15</v>
      </c>
      <c r="U437" s="4">
        <v>86</v>
      </c>
      <c r="V437" s="6">
        <f>IF(ISERROR(VLOOKUP($S$437,'TAR FIN'!$A$1:$O$93,15,0)),0,VLOOKUP($S$437,'TAR FIN'!$A$1:$O$93,15,0))</f>
        <v>0</v>
      </c>
      <c r="W437" s="6">
        <f>IF(ISERROR(VLOOKUP($T$437,'TAR FIN'!$A$1:$O$93,15,0)),0,VLOOKUP($T$437,'TAR FIN'!$A$1:$O$93,15,0))</f>
        <v>184.7</v>
      </c>
      <c r="X437" s="6">
        <f>IF(ISERROR(VLOOKUP($U$437,'TAR FIN'!$A$1:$O$93,15,0)),0,VLOOKUP($U$437,'TAR FIN'!$A$1:$O$93,15,0))</f>
        <v>166.66</v>
      </c>
      <c r="Y437" s="6"/>
      <c r="Z437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37" s="6">
        <f>('TE BE'!$AB$16+'TE BF'!$AB$16+'TE CVA'!$AB$16)*(1-CUSTOS!$M$36)</f>
        <v>178.36375301692408</v>
      </c>
      <c r="AB437" s="6">
        <f t="shared" si="18"/>
        <v>0</v>
      </c>
      <c r="AC437" s="6">
        <f>(L437-M437)*(W437+X437)+($W$443+$X$443-$W$437-$X$437)*(L437)</f>
        <v>2914.9606399999993</v>
      </c>
      <c r="AD437" s="6">
        <f t="shared" si="20"/>
        <v>0</v>
      </c>
      <c r="AE437" s="6">
        <f ca="1">(L437-M437)*(Z437+AA437)+($Z$443+$AA$443-$Z$437-$AA$437)*(L437)</f>
        <v>2935.1185282651722</v>
      </c>
      <c r="AF437" s="4" t="s">
        <v>641</v>
      </c>
    </row>
    <row r="438" spans="1:32" ht="11.25" customHeight="1" x14ac:dyDescent="0.25">
      <c r="A438" s="4" t="s">
        <v>28</v>
      </c>
      <c r="B438" s="4" t="s">
        <v>22</v>
      </c>
      <c r="C438" s="4" t="s">
        <v>23</v>
      </c>
      <c r="D438" s="4" t="s">
        <v>24</v>
      </c>
      <c r="E438" s="4" t="s">
        <v>31</v>
      </c>
      <c r="F438" s="4" t="s">
        <v>25</v>
      </c>
      <c r="G438" s="4" t="s">
        <v>25</v>
      </c>
      <c r="H438" s="4" t="s">
        <v>25</v>
      </c>
      <c r="I438" s="5">
        <v>44652</v>
      </c>
      <c r="J438" s="6">
        <v>0</v>
      </c>
      <c r="K438" s="6">
        <v>0</v>
      </c>
      <c r="L438" s="6">
        <v>0.03</v>
      </c>
      <c r="M438" s="6">
        <v>0.03</v>
      </c>
      <c r="N438" s="6">
        <v>0.03</v>
      </c>
      <c r="O438" s="6">
        <v>0.03</v>
      </c>
      <c r="P438" s="6">
        <v>1</v>
      </c>
      <c r="Q438" s="4" t="s">
        <v>26</v>
      </c>
      <c r="R438" s="4">
        <v>0</v>
      </c>
      <c r="S438" s="4">
        <v>0</v>
      </c>
      <c r="T438" s="4">
        <v>15</v>
      </c>
      <c r="U438" s="4">
        <v>86</v>
      </c>
      <c r="V438" s="6">
        <f>IF(ISERROR(VLOOKUP($S$438,'TAR FIN'!$A$1:$O$93,15,0)),0,VLOOKUP($S$438,'TAR FIN'!$A$1:$O$93,15,0))</f>
        <v>0</v>
      </c>
      <c r="W438" s="6">
        <f>IF(ISERROR(VLOOKUP($T$438,'TAR FIN'!$A$1:$O$93,15,0)),0,VLOOKUP($T$438,'TAR FIN'!$A$1:$O$93,15,0))</f>
        <v>184.7</v>
      </c>
      <c r="X438" s="6">
        <f>IF(ISERROR(VLOOKUP($U$438,'TAR FIN'!$A$1:$O$93,15,0)),0,VLOOKUP($U$438,'TAR FIN'!$A$1:$O$93,15,0))</f>
        <v>166.66</v>
      </c>
      <c r="Y438" s="6"/>
      <c r="Z438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38" s="6">
        <f>('TE BE'!$AB$16+'TE BF'!$AB$16+'TE CVA'!$AB$16)*(1-CUSTOS!$M$36)</f>
        <v>178.36375301692408</v>
      </c>
      <c r="AB438" s="6">
        <f t="shared" si="18"/>
        <v>0</v>
      </c>
      <c r="AC438" s="6">
        <f>(L438-M438)*(W438+X438)+($W$443+$X$443-$W$438-$X$438)*(L438)</f>
        <v>1.1711999999999998</v>
      </c>
      <c r="AD438" s="6">
        <f t="shared" si="20"/>
        <v>0</v>
      </c>
      <c r="AE438" s="6">
        <f ca="1">(L438-M438)*(Z438+AA438)+($Z$443+$AA$443-$Z$438-$AA$438)*(L438)</f>
        <v>1.1792992238496125</v>
      </c>
      <c r="AF438" s="4" t="s">
        <v>641</v>
      </c>
    </row>
    <row r="439" spans="1:32" ht="11.25" customHeight="1" x14ac:dyDescent="0.25">
      <c r="A439" s="4" t="s">
        <v>21</v>
      </c>
      <c r="B439" s="4" t="s">
        <v>22</v>
      </c>
      <c r="C439" s="4" t="s">
        <v>23</v>
      </c>
      <c r="D439" s="4" t="s">
        <v>24</v>
      </c>
      <c r="E439" s="4" t="s">
        <v>31</v>
      </c>
      <c r="F439" s="4" t="s">
        <v>25</v>
      </c>
      <c r="G439" s="4" t="s">
        <v>25</v>
      </c>
      <c r="H439" s="4" t="s">
        <v>25</v>
      </c>
      <c r="I439" s="5">
        <v>44682</v>
      </c>
      <c r="J439" s="6">
        <v>0</v>
      </c>
      <c r="K439" s="6">
        <v>0</v>
      </c>
      <c r="L439" s="6">
        <v>76.320999999999998</v>
      </c>
      <c r="M439" s="6">
        <v>76.320999999999998</v>
      </c>
      <c r="N439" s="6">
        <v>76.320999999999998</v>
      </c>
      <c r="O439" s="6">
        <v>76.320999999999998</v>
      </c>
      <c r="P439" s="6">
        <v>514</v>
      </c>
      <c r="Q439" s="4" t="s">
        <v>26</v>
      </c>
      <c r="R439" s="4">
        <v>0</v>
      </c>
      <c r="S439" s="4">
        <v>0</v>
      </c>
      <c r="T439" s="4">
        <v>15</v>
      </c>
      <c r="U439" s="4">
        <v>86</v>
      </c>
      <c r="V439" s="6">
        <f>IF(ISERROR(VLOOKUP($S$439,'TAR FIN'!$A$1:$O$93,15,0)),0,VLOOKUP($S$439,'TAR FIN'!$A$1:$O$93,15,0))</f>
        <v>0</v>
      </c>
      <c r="W439" s="6">
        <f>IF(ISERROR(VLOOKUP($T$439,'TAR FIN'!$A$1:$O$93,15,0)),0,VLOOKUP($T$439,'TAR FIN'!$A$1:$O$93,15,0))</f>
        <v>184.7</v>
      </c>
      <c r="X439" s="6">
        <f>IF(ISERROR(VLOOKUP($U$439,'TAR FIN'!$A$1:$O$93,15,0)),0,VLOOKUP($U$439,'TAR FIN'!$A$1:$O$93,15,0))</f>
        <v>166.66</v>
      </c>
      <c r="Y439" s="6"/>
      <c r="Z439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39" s="6">
        <f>('TE BE'!$AB$16+'TE BF'!$AB$16+'TE CVA'!$AB$16)*(1-CUSTOS!$M$36)</f>
        <v>178.36375301692408</v>
      </c>
      <c r="AB439" s="6">
        <f t="shared" si="18"/>
        <v>0</v>
      </c>
      <c r="AC439" s="6">
        <f>(L439-M439)*(W439+X439)+($W$443+$X$443-$W$439-$X$439)*(L439)</f>
        <v>2979.5718399999992</v>
      </c>
      <c r="AD439" s="6">
        <f t="shared" si="20"/>
        <v>0</v>
      </c>
      <c r="AE439" s="6">
        <f ca="1">(L439-M439)*(Z439+AA439)+($Z$443+$AA$443-$Z$439-$AA$439)*(L439)</f>
        <v>3000.1765354475428</v>
      </c>
      <c r="AF439" s="4" t="s">
        <v>641</v>
      </c>
    </row>
    <row r="440" spans="1:32" ht="11.25" customHeight="1" x14ac:dyDescent="0.25">
      <c r="A440" s="4" t="s">
        <v>28</v>
      </c>
      <c r="B440" s="4" t="s">
        <v>22</v>
      </c>
      <c r="C440" s="4" t="s">
        <v>23</v>
      </c>
      <c r="D440" s="4" t="s">
        <v>24</v>
      </c>
      <c r="E440" s="4" t="s">
        <v>31</v>
      </c>
      <c r="F440" s="4" t="s">
        <v>25</v>
      </c>
      <c r="G440" s="4" t="s">
        <v>25</v>
      </c>
      <c r="H440" s="4" t="s">
        <v>25</v>
      </c>
      <c r="I440" s="5">
        <v>44682</v>
      </c>
      <c r="J440" s="6">
        <v>0</v>
      </c>
      <c r="K440" s="6">
        <v>0</v>
      </c>
      <c r="L440" s="6">
        <v>0.03</v>
      </c>
      <c r="M440" s="6">
        <v>0.03</v>
      </c>
      <c r="N440" s="6">
        <v>0.03</v>
      </c>
      <c r="O440" s="6">
        <v>0.03</v>
      </c>
      <c r="P440" s="6">
        <v>1</v>
      </c>
      <c r="Q440" s="4" t="s">
        <v>26</v>
      </c>
      <c r="R440" s="4">
        <v>0</v>
      </c>
      <c r="S440" s="4">
        <v>0</v>
      </c>
      <c r="T440" s="4">
        <v>15</v>
      </c>
      <c r="U440" s="4">
        <v>86</v>
      </c>
      <c r="V440" s="6">
        <f>IF(ISERROR(VLOOKUP($S$440,'TAR FIN'!$A$1:$O$93,15,0)),0,VLOOKUP($S$440,'TAR FIN'!$A$1:$O$93,15,0))</f>
        <v>0</v>
      </c>
      <c r="W440" s="6">
        <f>IF(ISERROR(VLOOKUP($T$440,'TAR FIN'!$A$1:$O$93,15,0)),0,VLOOKUP($T$440,'TAR FIN'!$A$1:$O$93,15,0))</f>
        <v>184.7</v>
      </c>
      <c r="X440" s="6">
        <f>IF(ISERROR(VLOOKUP($U$440,'TAR FIN'!$A$1:$O$93,15,0)),0,VLOOKUP($U$440,'TAR FIN'!$A$1:$O$93,15,0))</f>
        <v>166.66</v>
      </c>
      <c r="Y440" s="6"/>
      <c r="Z440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40" s="6">
        <f>('TE BE'!$AB$16+'TE BF'!$AB$16+'TE CVA'!$AB$16)*(1-CUSTOS!$M$36)</f>
        <v>178.36375301692408</v>
      </c>
      <c r="AB440" s="6">
        <f t="shared" si="18"/>
        <v>0</v>
      </c>
      <c r="AC440" s="6">
        <f>(L440-M440)*(W440+X440)+($W$443+$X$443-$W$440-$X$440)*(L440)</f>
        <v>1.1711999999999998</v>
      </c>
      <c r="AD440" s="6">
        <f t="shared" si="20"/>
        <v>0</v>
      </c>
      <c r="AE440" s="6">
        <f ca="1">(L440-M440)*(Z440+AA440)+($Z$443+$AA$443-$Z$440-$AA$440)*(L440)</f>
        <v>1.1792992238496125</v>
      </c>
      <c r="AF440" s="4" t="s">
        <v>641</v>
      </c>
    </row>
    <row r="441" spans="1:32" ht="11.25" customHeight="1" x14ac:dyDescent="0.25">
      <c r="A441" s="4" t="s">
        <v>21</v>
      </c>
      <c r="B441" s="4" t="s">
        <v>22</v>
      </c>
      <c r="C441" s="4" t="s">
        <v>23</v>
      </c>
      <c r="D441" s="4" t="s">
        <v>24</v>
      </c>
      <c r="E441" s="4" t="s">
        <v>31</v>
      </c>
      <c r="F441" s="4" t="s">
        <v>25</v>
      </c>
      <c r="G441" s="4" t="s">
        <v>25</v>
      </c>
      <c r="H441" s="4" t="s">
        <v>25</v>
      </c>
      <c r="I441" s="5">
        <v>44713</v>
      </c>
      <c r="J441" s="6">
        <v>0</v>
      </c>
      <c r="K441" s="6">
        <v>0</v>
      </c>
      <c r="L441" s="6">
        <v>76.268000000000001</v>
      </c>
      <c r="M441" s="6">
        <v>76.268000000000001</v>
      </c>
      <c r="N441" s="6">
        <v>76.268000000000001</v>
      </c>
      <c r="O441" s="6">
        <v>76.268000000000001</v>
      </c>
      <c r="P441" s="6">
        <v>501</v>
      </c>
      <c r="Q441" s="4" t="s">
        <v>26</v>
      </c>
      <c r="R441" s="4">
        <v>0</v>
      </c>
      <c r="S441" s="4">
        <v>0</v>
      </c>
      <c r="T441" s="4">
        <v>15</v>
      </c>
      <c r="U441" s="4">
        <v>86</v>
      </c>
      <c r="V441" s="6">
        <f>IF(ISERROR(VLOOKUP($S$441,'TAR FIN'!$A$1:$O$93,15,0)),0,VLOOKUP($S$441,'TAR FIN'!$A$1:$O$93,15,0))</f>
        <v>0</v>
      </c>
      <c r="W441" s="6">
        <f>IF(ISERROR(VLOOKUP($T$441,'TAR FIN'!$A$1:$O$93,15,0)),0,VLOOKUP($T$441,'TAR FIN'!$A$1:$O$93,15,0))</f>
        <v>184.7</v>
      </c>
      <c r="X441" s="6">
        <f>IF(ISERROR(VLOOKUP($U$441,'TAR FIN'!$A$1:$O$93,15,0)),0,VLOOKUP($U$441,'TAR FIN'!$A$1:$O$93,15,0))</f>
        <v>166.66</v>
      </c>
      <c r="Y441" s="6"/>
      <c r="Z441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41" s="6">
        <f>('TE BE'!$AB$16+'TE BF'!$AB$16+'TE CVA'!$AB$16)*(1-CUSTOS!$M$36)</f>
        <v>178.36375301692408</v>
      </c>
      <c r="AB441" s="6">
        <f t="shared" si="18"/>
        <v>0</v>
      </c>
      <c r="AC441" s="6">
        <f>(L441-M441)*(W441+X441)+($W$443+$X$443-$W$441-$X$441)*(L441)</f>
        <v>2977.5027199999995</v>
      </c>
      <c r="AD441" s="6">
        <f t="shared" si="20"/>
        <v>0</v>
      </c>
      <c r="AE441" s="6">
        <f ca="1">(L441-M441)*(Z441+AA441)+($Z$443+$AA$443-$Z$441-$AA$441)*(L441)</f>
        <v>2998.0931068187419</v>
      </c>
      <c r="AF441" s="4" t="s">
        <v>641</v>
      </c>
    </row>
    <row r="442" spans="1:32" ht="11.25" customHeight="1" x14ac:dyDescent="0.25">
      <c r="A442" s="4" t="s">
        <v>28</v>
      </c>
      <c r="B442" s="4" t="s">
        <v>22</v>
      </c>
      <c r="C442" s="4" t="s">
        <v>23</v>
      </c>
      <c r="D442" s="4" t="s">
        <v>24</v>
      </c>
      <c r="E442" s="4" t="s">
        <v>31</v>
      </c>
      <c r="F442" s="4" t="s">
        <v>25</v>
      </c>
      <c r="G442" s="4" t="s">
        <v>25</v>
      </c>
      <c r="H442" s="4" t="s">
        <v>25</v>
      </c>
      <c r="I442" s="5">
        <v>44713</v>
      </c>
      <c r="J442" s="6">
        <v>0</v>
      </c>
      <c r="K442" s="6">
        <v>0</v>
      </c>
      <c r="L442" s="6">
        <v>0.03</v>
      </c>
      <c r="M442" s="6">
        <v>0.03</v>
      </c>
      <c r="N442" s="6">
        <v>0.03</v>
      </c>
      <c r="O442" s="6">
        <v>0.03</v>
      </c>
      <c r="P442" s="6">
        <v>1</v>
      </c>
      <c r="Q442" s="4" t="s">
        <v>26</v>
      </c>
      <c r="R442" s="4">
        <v>0</v>
      </c>
      <c r="S442" s="4">
        <v>0</v>
      </c>
      <c r="T442" s="4">
        <v>15</v>
      </c>
      <c r="U442" s="4">
        <v>86</v>
      </c>
      <c r="V442" s="6">
        <f>IF(ISERROR(VLOOKUP($S$442,'TAR FIN'!$A$1:$O$93,15,0)),0,VLOOKUP($S$442,'TAR FIN'!$A$1:$O$93,15,0))</f>
        <v>0</v>
      </c>
      <c r="W442" s="6">
        <f>IF(ISERROR(VLOOKUP($T$442,'TAR FIN'!$A$1:$O$93,15,0)),0,VLOOKUP($T$442,'TAR FIN'!$A$1:$O$93,15,0))</f>
        <v>184.7</v>
      </c>
      <c r="X442" s="6">
        <f>IF(ISERROR(VLOOKUP($U$442,'TAR FIN'!$A$1:$O$93,15,0)),0,VLOOKUP($U$442,'TAR FIN'!$A$1:$O$93,15,0))</f>
        <v>166.66</v>
      </c>
      <c r="Y442" s="6"/>
      <c r="Z442" s="6">
        <f ca="1">('TUSD BE'!$AM$27+'TUSD BF'!$AM$27+'TUSD CVA'!$AM$27-('TUSD BE'!$P$27+'TUSD BF'!$P$27+'TUSD CVA'!$P$27)-('TUSD BE'!$Q$27+'TUSD BF'!$Q$27+'TUSD CVA'!$Q$27)-('TUSD BE'!$R$27+'TUSD BF'!$R$27+'TUSD CVA'!$R$27))*(1-CUSTOS!$M$36)</f>
        <v>175.42601413795953</v>
      </c>
      <c r="AA442" s="6">
        <f>('TE BE'!$AB$16+'TE BF'!$AB$16+'TE CVA'!$AB$16)*(1-CUSTOS!$M$36)</f>
        <v>178.36375301692408</v>
      </c>
      <c r="AB442" s="6">
        <f t="shared" si="18"/>
        <v>0</v>
      </c>
      <c r="AC442" s="6">
        <f>(L442-M442)*(W442+X442)+($W$443+$X$443-$W$442-$X$442)*(L442)</f>
        <v>1.1711999999999998</v>
      </c>
      <c r="AD442" s="6">
        <f t="shared" si="20"/>
        <v>0</v>
      </c>
      <c r="AE442" s="6">
        <f ca="1">(L442-M442)*(Z442+AA442)+($Z$443+$AA$443-$Z$442-$AA$442)*(L442)</f>
        <v>1.1792992238496125</v>
      </c>
      <c r="AF442" s="4" t="s">
        <v>641</v>
      </c>
    </row>
    <row r="443" spans="1:32" ht="11.25" customHeight="1" x14ac:dyDescent="0.25">
      <c r="A443" s="4" t="s">
        <v>21</v>
      </c>
      <c r="B443" s="4" t="s">
        <v>22</v>
      </c>
      <c r="C443" s="4" t="s">
        <v>23</v>
      </c>
      <c r="D443" s="4" t="s">
        <v>24</v>
      </c>
      <c r="E443" s="4" t="s">
        <v>32</v>
      </c>
      <c r="F443" s="4" t="s">
        <v>25</v>
      </c>
      <c r="G443" s="4" t="s">
        <v>25</v>
      </c>
      <c r="H443" s="4" t="s">
        <v>25</v>
      </c>
      <c r="I443" s="5">
        <v>44378</v>
      </c>
      <c r="J443" s="6">
        <v>0</v>
      </c>
      <c r="K443" s="6">
        <v>0</v>
      </c>
      <c r="L443" s="6">
        <v>11.138</v>
      </c>
      <c r="M443" s="6">
        <v>11.138</v>
      </c>
      <c r="N443" s="6">
        <v>11.138</v>
      </c>
      <c r="O443" s="6">
        <v>11.138</v>
      </c>
      <c r="P443" s="6">
        <v>53</v>
      </c>
      <c r="Q443" s="4" t="s">
        <v>26</v>
      </c>
      <c r="R443" s="4">
        <v>0</v>
      </c>
      <c r="S443" s="4">
        <v>0</v>
      </c>
      <c r="T443" s="4">
        <v>13</v>
      </c>
      <c r="U443" s="4">
        <v>71</v>
      </c>
      <c r="V443" s="6">
        <f>IF(ISERROR(VLOOKUP($S$443,'TAR FIN'!$A$1:$O$93,15,0)),0,VLOOKUP($S$443,'TAR FIN'!$A$1:$O$93,15,0))</f>
        <v>0</v>
      </c>
      <c r="W443" s="6">
        <f>IF(ISERROR(VLOOKUP($T$443,'TAR FIN'!$A$1:$O$93,15,0)),0,VLOOKUP($T$443,'TAR FIN'!$A$1:$O$93,15,0))</f>
        <v>205.22</v>
      </c>
      <c r="X443" s="6">
        <f>IF(ISERROR(VLOOKUP($U$443,'TAR FIN'!$A$1:$O$93,15,0)),0,VLOOKUP($U$443,'TAR FIN'!$A$1:$O$93,15,0))</f>
        <v>185.18</v>
      </c>
      <c r="Y443" s="6"/>
      <c r="Z443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43" s="6">
        <f>('TE BE'!$AB$17+'TE BF'!$AB$17+'TE CVA'!$AB$17)*(1-CUSTOS!$M$37)</f>
        <v>198.18194779658231</v>
      </c>
      <c r="AB443" s="6">
        <f t="shared" si="18"/>
        <v>0</v>
      </c>
      <c r="AC443" s="6">
        <f>(L443-M443)*(W443+X443)+($W$443+$X$443-$W$443-$X$443)*(L443)</f>
        <v>-3.1656099963583983E-13</v>
      </c>
      <c r="AD443" s="6">
        <f t="shared" si="20"/>
        <v>0</v>
      </c>
      <c r="AE443" s="6">
        <f ca="1">(L443-M443)*(Z443+AA443)+($Z$443+$AA$443-$Z$443-$AA$443)*(L443)</f>
        <v>3.1656099963583983E-13</v>
      </c>
      <c r="AF443" s="4" t="s">
        <v>641</v>
      </c>
    </row>
    <row r="444" spans="1:32" ht="11.25" customHeight="1" x14ac:dyDescent="0.25">
      <c r="A444" s="4" t="s">
        <v>28</v>
      </c>
      <c r="B444" s="4" t="s">
        <v>22</v>
      </c>
      <c r="C444" s="4" t="s">
        <v>23</v>
      </c>
      <c r="D444" s="4" t="s">
        <v>24</v>
      </c>
      <c r="E444" s="4" t="s">
        <v>32</v>
      </c>
      <c r="F444" s="4" t="s">
        <v>25</v>
      </c>
      <c r="G444" s="4" t="s">
        <v>25</v>
      </c>
      <c r="H444" s="4" t="s">
        <v>25</v>
      </c>
      <c r="I444" s="5">
        <v>44378</v>
      </c>
      <c r="J444" s="6">
        <v>0</v>
      </c>
      <c r="K444" s="6">
        <v>0</v>
      </c>
      <c r="L444" s="6">
        <v>0.35099999999999998</v>
      </c>
      <c r="M444" s="6">
        <v>0.35099999999999998</v>
      </c>
      <c r="N444" s="6">
        <v>0.35099999999999998</v>
      </c>
      <c r="O444" s="6">
        <v>0.35099999999999998</v>
      </c>
      <c r="P444" s="6">
        <v>1</v>
      </c>
      <c r="Q444" s="4" t="s">
        <v>26</v>
      </c>
      <c r="R444" s="4">
        <v>0</v>
      </c>
      <c r="S444" s="4">
        <v>0</v>
      </c>
      <c r="T444" s="4">
        <v>13</v>
      </c>
      <c r="U444" s="4">
        <v>71</v>
      </c>
      <c r="V444" s="6">
        <f>IF(ISERROR(VLOOKUP($S$444,'TAR FIN'!$A$1:$O$93,15,0)),0,VLOOKUP($S$444,'TAR FIN'!$A$1:$O$93,15,0))</f>
        <v>0</v>
      </c>
      <c r="W444" s="6">
        <f>IF(ISERROR(VLOOKUP($T$444,'TAR FIN'!$A$1:$O$93,15,0)),0,VLOOKUP($T$444,'TAR FIN'!$A$1:$O$93,15,0))</f>
        <v>205.22</v>
      </c>
      <c r="X444" s="6">
        <f>IF(ISERROR(VLOOKUP($U$444,'TAR FIN'!$A$1:$O$93,15,0)),0,VLOOKUP($U$444,'TAR FIN'!$A$1:$O$93,15,0))</f>
        <v>185.18</v>
      </c>
      <c r="Y444" s="6"/>
      <c r="Z444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44" s="6">
        <f>('TE BE'!$AB$17+'TE BF'!$AB$17+'TE CVA'!$AB$17)*(1-CUSTOS!$M$37)</f>
        <v>198.18194779658231</v>
      </c>
      <c r="AB444" s="6">
        <f t="shared" si="18"/>
        <v>0</v>
      </c>
      <c r="AC444" s="6">
        <f>(L444-M444)*(W444+X444)+($W$443+$X$443-$W$444-$X$444)*(L444)</f>
        <v>-9.976020010071806E-15</v>
      </c>
      <c r="AD444" s="6">
        <f t="shared" si="20"/>
        <v>0</v>
      </c>
      <c r="AE444" s="6">
        <f ca="1">(L444-M444)*(Z444+AA444)+($Z$443+$AA$443-$Z$444-$AA$444)*(L444)</f>
        <v>9.976020010071806E-15</v>
      </c>
      <c r="AF444" s="4" t="s">
        <v>641</v>
      </c>
    </row>
    <row r="445" spans="1:32" ht="11.25" customHeight="1" x14ac:dyDescent="0.25">
      <c r="A445" s="4" t="s">
        <v>21</v>
      </c>
      <c r="B445" s="4" t="s">
        <v>22</v>
      </c>
      <c r="C445" s="4" t="s">
        <v>23</v>
      </c>
      <c r="D445" s="4" t="s">
        <v>24</v>
      </c>
      <c r="E445" s="4" t="s">
        <v>32</v>
      </c>
      <c r="F445" s="4" t="s">
        <v>25</v>
      </c>
      <c r="G445" s="4" t="s">
        <v>25</v>
      </c>
      <c r="H445" s="4" t="s">
        <v>25</v>
      </c>
      <c r="I445" s="5">
        <v>44409</v>
      </c>
      <c r="J445" s="6">
        <v>0</v>
      </c>
      <c r="K445" s="6">
        <v>0</v>
      </c>
      <c r="L445" s="6">
        <v>11.95</v>
      </c>
      <c r="M445" s="6">
        <v>11.95</v>
      </c>
      <c r="N445" s="6">
        <v>11.95</v>
      </c>
      <c r="O445" s="6">
        <v>11.95</v>
      </c>
      <c r="P445" s="6">
        <v>57</v>
      </c>
      <c r="Q445" s="4" t="s">
        <v>26</v>
      </c>
      <c r="R445" s="4">
        <v>0</v>
      </c>
      <c r="S445" s="4">
        <v>0</v>
      </c>
      <c r="T445" s="4">
        <v>13</v>
      </c>
      <c r="U445" s="4">
        <v>71</v>
      </c>
      <c r="V445" s="6">
        <f>IF(ISERROR(VLOOKUP($S$445,'TAR FIN'!$A$1:$O$93,15,0)),0,VLOOKUP($S$445,'TAR FIN'!$A$1:$O$93,15,0))</f>
        <v>0</v>
      </c>
      <c r="W445" s="6">
        <f>IF(ISERROR(VLOOKUP($T$445,'TAR FIN'!$A$1:$O$93,15,0)),0,VLOOKUP($T$445,'TAR FIN'!$A$1:$O$93,15,0))</f>
        <v>205.22</v>
      </c>
      <c r="X445" s="6">
        <f>IF(ISERROR(VLOOKUP($U$445,'TAR FIN'!$A$1:$O$93,15,0)),0,VLOOKUP($U$445,'TAR FIN'!$A$1:$O$93,15,0))</f>
        <v>185.18</v>
      </c>
      <c r="Y445" s="6"/>
      <c r="Z445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45" s="6">
        <f>('TE BE'!$AB$17+'TE BF'!$AB$17+'TE CVA'!$AB$17)*(1-CUSTOS!$M$37)</f>
        <v>198.18194779658231</v>
      </c>
      <c r="AB445" s="6">
        <f t="shared" si="18"/>
        <v>0</v>
      </c>
      <c r="AC445" s="6">
        <f>(L445-M445)*(W445+X445)+($W$443+$X$443-$W$445-$X$445)*(L445)</f>
        <v>-3.3963942769332787E-13</v>
      </c>
      <c r="AD445" s="6">
        <f t="shared" si="20"/>
        <v>0</v>
      </c>
      <c r="AE445" s="6">
        <f ca="1">(L445-M445)*(Z445+AA445)+($Z$443+$AA$443-$Z$445-$AA$445)*(L445)</f>
        <v>3.3963942769332787E-13</v>
      </c>
      <c r="AF445" s="4" t="s">
        <v>641</v>
      </c>
    </row>
    <row r="446" spans="1:32" ht="11.25" customHeight="1" x14ac:dyDescent="0.25">
      <c r="A446" s="4" t="s">
        <v>28</v>
      </c>
      <c r="B446" s="4" t="s">
        <v>22</v>
      </c>
      <c r="C446" s="4" t="s">
        <v>23</v>
      </c>
      <c r="D446" s="4" t="s">
        <v>24</v>
      </c>
      <c r="E446" s="4" t="s">
        <v>32</v>
      </c>
      <c r="F446" s="4" t="s">
        <v>25</v>
      </c>
      <c r="G446" s="4" t="s">
        <v>25</v>
      </c>
      <c r="H446" s="4" t="s">
        <v>25</v>
      </c>
      <c r="I446" s="5">
        <v>44409</v>
      </c>
      <c r="J446" s="6">
        <v>0</v>
      </c>
      <c r="K446" s="6">
        <v>0</v>
      </c>
      <c r="L446" s="6">
        <v>0.12</v>
      </c>
      <c r="M446" s="6">
        <v>0.12</v>
      </c>
      <c r="N446" s="6">
        <v>0.12</v>
      </c>
      <c r="O446" s="6">
        <v>0.12</v>
      </c>
      <c r="P446" s="6">
        <v>1</v>
      </c>
      <c r="Q446" s="4" t="s">
        <v>26</v>
      </c>
      <c r="R446" s="4">
        <v>0</v>
      </c>
      <c r="S446" s="4">
        <v>0</v>
      </c>
      <c r="T446" s="4">
        <v>13</v>
      </c>
      <c r="U446" s="4">
        <v>71</v>
      </c>
      <c r="V446" s="6">
        <f>IF(ISERROR(VLOOKUP($S$446,'TAR FIN'!$A$1:$O$93,15,0)),0,VLOOKUP($S$446,'TAR FIN'!$A$1:$O$93,15,0))</f>
        <v>0</v>
      </c>
      <c r="W446" s="6">
        <f>IF(ISERROR(VLOOKUP($T$446,'TAR FIN'!$A$1:$O$93,15,0)),0,VLOOKUP($T$446,'TAR FIN'!$A$1:$O$93,15,0))</f>
        <v>205.22</v>
      </c>
      <c r="X446" s="6">
        <f>IF(ISERROR(VLOOKUP($U$446,'TAR FIN'!$A$1:$O$93,15,0)),0,VLOOKUP($U$446,'TAR FIN'!$A$1:$O$93,15,0))</f>
        <v>185.18</v>
      </c>
      <c r="Y446" s="6"/>
      <c r="Z446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46" s="6">
        <f>('TE BE'!$AB$17+'TE BF'!$AB$17+'TE CVA'!$AB$17)*(1-CUSTOS!$M$37)</f>
        <v>198.18194779658231</v>
      </c>
      <c r="AB446" s="6">
        <f t="shared" si="18"/>
        <v>0</v>
      </c>
      <c r="AC446" s="6">
        <f>(L446-M446)*(W446+X446)+($W$443+$X$443-$W$446-$X$446)*(L446)</f>
        <v>-3.4106051316484808E-15</v>
      </c>
      <c r="AD446" s="6">
        <f t="shared" si="20"/>
        <v>0</v>
      </c>
      <c r="AE446" s="6">
        <f ca="1">(L446-M446)*(Z446+AA446)+($Z$443+$AA$443-$Z$446-$AA$446)*(L446)</f>
        <v>3.4106051316484808E-15</v>
      </c>
      <c r="AF446" s="4" t="s">
        <v>641</v>
      </c>
    </row>
    <row r="447" spans="1:32" ht="11.25" customHeight="1" x14ac:dyDescent="0.25">
      <c r="A447" s="4" t="s">
        <v>21</v>
      </c>
      <c r="B447" s="4" t="s">
        <v>22</v>
      </c>
      <c r="C447" s="4" t="s">
        <v>23</v>
      </c>
      <c r="D447" s="4" t="s">
        <v>24</v>
      </c>
      <c r="E447" s="4" t="s">
        <v>32</v>
      </c>
      <c r="F447" s="4" t="s">
        <v>25</v>
      </c>
      <c r="G447" s="4" t="s">
        <v>25</v>
      </c>
      <c r="H447" s="4" t="s">
        <v>25</v>
      </c>
      <c r="I447" s="5">
        <v>44440</v>
      </c>
      <c r="J447" s="6">
        <v>0</v>
      </c>
      <c r="K447" s="6">
        <v>0</v>
      </c>
      <c r="L447" s="6">
        <v>12.823</v>
      </c>
      <c r="M447" s="6">
        <v>12.823</v>
      </c>
      <c r="N447" s="6">
        <v>12.823</v>
      </c>
      <c r="O447" s="6">
        <v>12.823</v>
      </c>
      <c r="P447" s="6">
        <v>62</v>
      </c>
      <c r="Q447" s="4" t="s">
        <v>26</v>
      </c>
      <c r="R447" s="4">
        <v>0</v>
      </c>
      <c r="S447" s="4">
        <v>0</v>
      </c>
      <c r="T447" s="4">
        <v>13</v>
      </c>
      <c r="U447" s="4">
        <v>71</v>
      </c>
      <c r="V447" s="6">
        <f>IF(ISERROR(VLOOKUP($S$447,'TAR FIN'!$A$1:$O$93,15,0)),0,VLOOKUP($S$447,'TAR FIN'!$A$1:$O$93,15,0))</f>
        <v>0</v>
      </c>
      <c r="W447" s="6">
        <f>IF(ISERROR(VLOOKUP($T$447,'TAR FIN'!$A$1:$O$93,15,0)),0,VLOOKUP($T$447,'TAR FIN'!$A$1:$O$93,15,0))</f>
        <v>205.22</v>
      </c>
      <c r="X447" s="6">
        <f>IF(ISERROR(VLOOKUP($U$447,'TAR FIN'!$A$1:$O$93,15,0)),0,VLOOKUP($U$447,'TAR FIN'!$A$1:$O$93,15,0))</f>
        <v>185.18</v>
      </c>
      <c r="Y447" s="6"/>
      <c r="Z447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47" s="6">
        <f>('TE BE'!$AB$17+'TE BF'!$AB$17+'TE CVA'!$AB$17)*(1-CUSTOS!$M$37)</f>
        <v>198.18194779658231</v>
      </c>
      <c r="AB447" s="6">
        <f t="shared" si="18"/>
        <v>0</v>
      </c>
      <c r="AC447" s="6">
        <f>(L447-M447)*(W447+X447)+($W$443+$X$443-$W$447-$X$447)*(L447)</f>
        <v>-3.644515800260706E-13</v>
      </c>
      <c r="AD447" s="6">
        <f t="shared" si="20"/>
        <v>0</v>
      </c>
      <c r="AE447" s="6">
        <f ca="1">(L447-M447)*(Z447+AA447)+($Z$443+$AA$443-$Z$447-$AA$447)*(L447)</f>
        <v>3.644515800260706E-13</v>
      </c>
      <c r="AF447" s="4" t="s">
        <v>641</v>
      </c>
    </row>
    <row r="448" spans="1:32" ht="11.25" customHeight="1" x14ac:dyDescent="0.25">
      <c r="A448" s="4" t="s">
        <v>28</v>
      </c>
      <c r="B448" s="4" t="s">
        <v>22</v>
      </c>
      <c r="C448" s="4" t="s">
        <v>23</v>
      </c>
      <c r="D448" s="4" t="s">
        <v>24</v>
      </c>
      <c r="E448" s="4" t="s">
        <v>32</v>
      </c>
      <c r="F448" s="4" t="s">
        <v>25</v>
      </c>
      <c r="G448" s="4" t="s">
        <v>25</v>
      </c>
      <c r="H448" s="4" t="s">
        <v>25</v>
      </c>
      <c r="I448" s="5">
        <v>44440</v>
      </c>
      <c r="J448" s="6">
        <v>0</v>
      </c>
      <c r="K448" s="6">
        <v>0</v>
      </c>
      <c r="L448" s="6">
        <v>7.0999999999999994E-2</v>
      </c>
      <c r="M448" s="6">
        <v>7.0999999999999994E-2</v>
      </c>
      <c r="N448" s="6">
        <v>7.0999999999999994E-2</v>
      </c>
      <c r="O448" s="6">
        <v>7.0999999999999994E-2</v>
      </c>
      <c r="P448" s="6">
        <v>1</v>
      </c>
      <c r="Q448" s="4" t="s">
        <v>26</v>
      </c>
      <c r="R448" s="4">
        <v>0</v>
      </c>
      <c r="S448" s="4">
        <v>0</v>
      </c>
      <c r="T448" s="4">
        <v>13</v>
      </c>
      <c r="U448" s="4">
        <v>71</v>
      </c>
      <c r="V448" s="6">
        <f>IF(ISERROR(VLOOKUP($S$448,'TAR FIN'!$A$1:$O$93,15,0)),0,VLOOKUP($S$448,'TAR FIN'!$A$1:$O$93,15,0))</f>
        <v>0</v>
      </c>
      <c r="W448" s="6">
        <f>IF(ISERROR(VLOOKUP($T$448,'TAR FIN'!$A$1:$O$93,15,0)),0,VLOOKUP($T$448,'TAR FIN'!$A$1:$O$93,15,0))</f>
        <v>205.22</v>
      </c>
      <c r="X448" s="6">
        <f>IF(ISERROR(VLOOKUP($U$448,'TAR FIN'!$A$1:$O$93,15,0)),0,VLOOKUP($U$448,'TAR FIN'!$A$1:$O$93,15,0))</f>
        <v>185.18</v>
      </c>
      <c r="Y448" s="6"/>
      <c r="Z448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48" s="6">
        <f>('TE BE'!$AB$17+'TE BF'!$AB$17+'TE CVA'!$AB$17)*(1-CUSTOS!$M$37)</f>
        <v>198.18194779658231</v>
      </c>
      <c r="AB448" s="6">
        <f t="shared" si="18"/>
        <v>0</v>
      </c>
      <c r="AC448" s="6">
        <f>(L448-M448)*(W448+X448)+($W$443+$X$443-$W$448-$X$448)*(L448)</f>
        <v>-2.0179413695586843E-15</v>
      </c>
      <c r="AD448" s="6">
        <f t="shared" si="20"/>
        <v>0</v>
      </c>
      <c r="AE448" s="6">
        <f ca="1">(L448-M448)*(Z448+AA448)+($Z$443+$AA$443-$Z$448-$AA$448)*(L448)</f>
        <v>2.0179413695586843E-15</v>
      </c>
      <c r="AF448" s="4" t="s">
        <v>641</v>
      </c>
    </row>
    <row r="449" spans="1:32" ht="11.25" customHeight="1" x14ac:dyDescent="0.25">
      <c r="A449" s="4" t="s">
        <v>21</v>
      </c>
      <c r="B449" s="4" t="s">
        <v>22</v>
      </c>
      <c r="C449" s="4" t="s">
        <v>23</v>
      </c>
      <c r="D449" s="4" t="s">
        <v>24</v>
      </c>
      <c r="E449" s="4" t="s">
        <v>32</v>
      </c>
      <c r="F449" s="4" t="s">
        <v>25</v>
      </c>
      <c r="G449" s="4" t="s">
        <v>25</v>
      </c>
      <c r="H449" s="4" t="s">
        <v>25</v>
      </c>
      <c r="I449" s="5">
        <v>44470</v>
      </c>
      <c r="J449" s="6">
        <v>0</v>
      </c>
      <c r="K449" s="6">
        <v>0</v>
      </c>
      <c r="L449" s="6">
        <v>11.367000000000001</v>
      </c>
      <c r="M449" s="6">
        <v>11.367000000000001</v>
      </c>
      <c r="N449" s="6">
        <v>11.367000000000001</v>
      </c>
      <c r="O449" s="6">
        <v>11.367000000000001</v>
      </c>
      <c r="P449" s="6">
        <v>52</v>
      </c>
      <c r="Q449" s="4" t="s">
        <v>26</v>
      </c>
      <c r="R449" s="4">
        <v>0</v>
      </c>
      <c r="S449" s="4">
        <v>0</v>
      </c>
      <c r="T449" s="4">
        <v>13</v>
      </c>
      <c r="U449" s="4">
        <v>71</v>
      </c>
      <c r="V449" s="6">
        <f>IF(ISERROR(VLOOKUP($S$449,'TAR FIN'!$A$1:$O$93,15,0)),0,VLOOKUP($S$449,'TAR FIN'!$A$1:$O$93,15,0))</f>
        <v>0</v>
      </c>
      <c r="W449" s="6">
        <f>IF(ISERROR(VLOOKUP($T$449,'TAR FIN'!$A$1:$O$93,15,0)),0,VLOOKUP($T$449,'TAR FIN'!$A$1:$O$93,15,0))</f>
        <v>205.22</v>
      </c>
      <c r="X449" s="6">
        <f>IF(ISERROR(VLOOKUP($U$449,'TAR FIN'!$A$1:$O$93,15,0)),0,VLOOKUP($U$449,'TAR FIN'!$A$1:$O$93,15,0))</f>
        <v>185.18</v>
      </c>
      <c r="Y449" s="6"/>
      <c r="Z449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49" s="6">
        <f>('TE BE'!$AB$17+'TE BF'!$AB$17+'TE CVA'!$AB$17)*(1-CUSTOS!$M$37)</f>
        <v>198.18194779658231</v>
      </c>
      <c r="AB449" s="6">
        <f t="shared" si="18"/>
        <v>0</v>
      </c>
      <c r="AC449" s="6">
        <f>(L449-M449)*(W449+X449)+($W$443+$X$443-$W$449-$X$449)*(L449)</f>
        <v>-3.2306957109540238E-13</v>
      </c>
      <c r="AD449" s="6">
        <f t="shared" si="20"/>
        <v>0</v>
      </c>
      <c r="AE449" s="6">
        <f ca="1">(L449-M449)*(Z449+AA449)+($Z$443+$AA$443-$Z$449-$AA$449)*(L449)</f>
        <v>3.2306957109540238E-13</v>
      </c>
      <c r="AF449" s="4" t="s">
        <v>641</v>
      </c>
    </row>
    <row r="450" spans="1:32" ht="11.25" customHeight="1" x14ac:dyDescent="0.25">
      <c r="A450" s="4" t="s">
        <v>28</v>
      </c>
      <c r="B450" s="4" t="s">
        <v>22</v>
      </c>
      <c r="C450" s="4" t="s">
        <v>23</v>
      </c>
      <c r="D450" s="4" t="s">
        <v>24</v>
      </c>
      <c r="E450" s="4" t="s">
        <v>32</v>
      </c>
      <c r="F450" s="4" t="s">
        <v>25</v>
      </c>
      <c r="G450" s="4" t="s">
        <v>25</v>
      </c>
      <c r="H450" s="4" t="s">
        <v>25</v>
      </c>
      <c r="I450" s="5">
        <v>44470</v>
      </c>
      <c r="J450" s="6">
        <v>0</v>
      </c>
      <c r="K450" s="6">
        <v>0</v>
      </c>
      <c r="L450" s="6">
        <v>0.03</v>
      </c>
      <c r="M450" s="6">
        <v>0.03</v>
      </c>
      <c r="N450" s="6">
        <v>0.03</v>
      </c>
      <c r="O450" s="6">
        <v>0.03</v>
      </c>
      <c r="P450" s="6">
        <v>1</v>
      </c>
      <c r="Q450" s="4" t="s">
        <v>26</v>
      </c>
      <c r="R450" s="4">
        <v>0</v>
      </c>
      <c r="S450" s="4">
        <v>0</v>
      </c>
      <c r="T450" s="4">
        <v>13</v>
      </c>
      <c r="U450" s="4">
        <v>71</v>
      </c>
      <c r="V450" s="6">
        <f>IF(ISERROR(VLOOKUP($S$450,'TAR FIN'!$A$1:$O$93,15,0)),0,VLOOKUP($S$450,'TAR FIN'!$A$1:$O$93,15,0))</f>
        <v>0</v>
      </c>
      <c r="W450" s="6">
        <f>IF(ISERROR(VLOOKUP($T$450,'TAR FIN'!$A$1:$O$93,15,0)),0,VLOOKUP($T$450,'TAR FIN'!$A$1:$O$93,15,0))</f>
        <v>205.22</v>
      </c>
      <c r="X450" s="6">
        <f>IF(ISERROR(VLOOKUP($U$450,'TAR FIN'!$A$1:$O$93,15,0)),0,VLOOKUP($U$450,'TAR FIN'!$A$1:$O$93,15,0))</f>
        <v>185.18</v>
      </c>
      <c r="Y450" s="6"/>
      <c r="Z450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50" s="6">
        <f>('TE BE'!$AB$17+'TE BF'!$AB$17+'TE CVA'!$AB$17)*(1-CUSTOS!$M$37)</f>
        <v>198.18194779658231</v>
      </c>
      <c r="AB450" s="6">
        <f t="shared" ref="AB450:AB513" si="22">(J450-K450)*V450</f>
        <v>0</v>
      </c>
      <c r="AC450" s="6">
        <f>(L450-M450)*(W450+X450)+($W$443+$X$443-$W$450-$X$450)*(L450)</f>
        <v>-8.5265128291212019E-16</v>
      </c>
      <c r="AD450" s="6">
        <f t="shared" ref="AD450:AD513" si="23">(J450-K450)*Y450</f>
        <v>0</v>
      </c>
      <c r="AE450" s="6">
        <f ca="1">(L450-M450)*(Z450+AA450)+($Z$443+$AA$443-$Z$450-$AA$450)*(L450)</f>
        <v>8.5265128291212019E-16</v>
      </c>
      <c r="AF450" s="4" t="s">
        <v>641</v>
      </c>
    </row>
    <row r="451" spans="1:32" ht="11.25" customHeight="1" x14ac:dyDescent="0.25">
      <c r="A451" s="4" t="s">
        <v>21</v>
      </c>
      <c r="B451" s="4" t="s">
        <v>22</v>
      </c>
      <c r="C451" s="4" t="s">
        <v>23</v>
      </c>
      <c r="D451" s="4" t="s">
        <v>24</v>
      </c>
      <c r="E451" s="4" t="s">
        <v>32</v>
      </c>
      <c r="F451" s="4" t="s">
        <v>25</v>
      </c>
      <c r="G451" s="4" t="s">
        <v>25</v>
      </c>
      <c r="H451" s="4" t="s">
        <v>25</v>
      </c>
      <c r="I451" s="5">
        <v>44501</v>
      </c>
      <c r="J451" s="6">
        <v>0</v>
      </c>
      <c r="K451" s="6">
        <v>0</v>
      </c>
      <c r="L451" s="6">
        <v>16.094000000000001</v>
      </c>
      <c r="M451" s="6">
        <v>16.094000000000001</v>
      </c>
      <c r="N451" s="6">
        <v>16.094000000000001</v>
      </c>
      <c r="O451" s="6">
        <v>16.094000000000001</v>
      </c>
      <c r="P451" s="6">
        <v>70</v>
      </c>
      <c r="Q451" s="4" t="s">
        <v>26</v>
      </c>
      <c r="R451" s="4">
        <v>0</v>
      </c>
      <c r="S451" s="4">
        <v>0</v>
      </c>
      <c r="T451" s="4">
        <v>13</v>
      </c>
      <c r="U451" s="4">
        <v>71</v>
      </c>
      <c r="V451" s="6">
        <f>IF(ISERROR(VLOOKUP($S$451,'TAR FIN'!$A$1:$O$93,15,0)),0,VLOOKUP($S$451,'TAR FIN'!$A$1:$O$93,15,0))</f>
        <v>0</v>
      </c>
      <c r="W451" s="6">
        <f>IF(ISERROR(VLOOKUP($T$451,'TAR FIN'!$A$1:$O$93,15,0)),0,VLOOKUP($T$451,'TAR FIN'!$A$1:$O$93,15,0))</f>
        <v>205.22</v>
      </c>
      <c r="X451" s="6">
        <f>IF(ISERROR(VLOOKUP($U$451,'TAR FIN'!$A$1:$O$93,15,0)),0,VLOOKUP($U$451,'TAR FIN'!$A$1:$O$93,15,0))</f>
        <v>185.18</v>
      </c>
      <c r="Y451" s="6"/>
      <c r="Z451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51" s="6">
        <f>('TE BE'!$AB$17+'TE BF'!$AB$17+'TE CVA'!$AB$17)*(1-CUSTOS!$M$37)</f>
        <v>198.18194779658231</v>
      </c>
      <c r="AB451" s="6">
        <f t="shared" si="22"/>
        <v>0</v>
      </c>
      <c r="AC451" s="6">
        <f>(L451-M451)*(W451+X451)+($W$443+$X$443-$W$451-$X$451)*(L451)</f>
        <v>-4.5741899157292213E-13</v>
      </c>
      <c r="AD451" s="6">
        <f t="shared" si="23"/>
        <v>0</v>
      </c>
      <c r="AE451" s="6">
        <f ca="1">(L451-M451)*(Z451+AA451)+($Z$443+$AA$443-$Z$451-$AA$451)*(L451)</f>
        <v>4.5741899157292213E-13</v>
      </c>
      <c r="AF451" s="4" t="s">
        <v>641</v>
      </c>
    </row>
    <row r="452" spans="1:32" ht="11.25" customHeight="1" x14ac:dyDescent="0.25">
      <c r="A452" s="4" t="s">
        <v>27</v>
      </c>
      <c r="B452" s="4" t="s">
        <v>22</v>
      </c>
      <c r="C452" s="4" t="s">
        <v>23</v>
      </c>
      <c r="D452" s="4" t="s">
        <v>24</v>
      </c>
      <c r="E452" s="4" t="s">
        <v>32</v>
      </c>
      <c r="F452" s="4" t="s">
        <v>25</v>
      </c>
      <c r="G452" s="4" t="s">
        <v>25</v>
      </c>
      <c r="H452" s="4" t="s">
        <v>25</v>
      </c>
      <c r="I452" s="5">
        <v>44501</v>
      </c>
      <c r="J452" s="6">
        <v>0</v>
      </c>
      <c r="K452" s="6">
        <v>0</v>
      </c>
      <c r="L452" s="6">
        <v>-1.292</v>
      </c>
      <c r="M452" s="6">
        <v>-1.292</v>
      </c>
      <c r="N452" s="6">
        <v>-1.292</v>
      </c>
      <c r="O452" s="6">
        <v>-1.292</v>
      </c>
      <c r="P452" s="6">
        <v>-1</v>
      </c>
      <c r="Q452" s="4" t="s">
        <v>26</v>
      </c>
      <c r="R452" s="4">
        <v>0</v>
      </c>
      <c r="S452" s="4">
        <v>0</v>
      </c>
      <c r="T452" s="4">
        <v>13</v>
      </c>
      <c r="U452" s="4">
        <v>71</v>
      </c>
      <c r="V452" s="6">
        <f>IF(ISERROR(VLOOKUP($S$452,'TAR FIN'!$A$1:$O$93,15,0)),0,VLOOKUP($S$452,'TAR FIN'!$A$1:$O$93,15,0))</f>
        <v>0</v>
      </c>
      <c r="W452" s="6">
        <f>IF(ISERROR(VLOOKUP($T$452,'TAR FIN'!$A$1:$O$93,15,0)),0,VLOOKUP($T$452,'TAR FIN'!$A$1:$O$93,15,0))</f>
        <v>205.22</v>
      </c>
      <c r="X452" s="6">
        <f>IF(ISERROR(VLOOKUP($U$452,'TAR FIN'!$A$1:$O$93,15,0)),0,VLOOKUP($U$452,'TAR FIN'!$A$1:$O$93,15,0))</f>
        <v>185.18</v>
      </c>
      <c r="Y452" s="6"/>
      <c r="Z452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52" s="6">
        <f>('TE BE'!$AB$17+'TE BF'!$AB$17+'TE CVA'!$AB$17)*(1-CUSTOS!$M$37)</f>
        <v>198.18194779658231</v>
      </c>
      <c r="AB452" s="6">
        <f t="shared" si="22"/>
        <v>0</v>
      </c>
      <c r="AC452" s="6">
        <f>(L452-M452)*(W452+X452)+($W$443+$X$443-$W$452-$X$452)*(L452)</f>
        <v>3.6720848584081979E-14</v>
      </c>
      <c r="AD452" s="6">
        <f t="shared" si="23"/>
        <v>0</v>
      </c>
      <c r="AE452" s="6">
        <f ca="1">(L452-M452)*(Z452+AA452)+($Z$443+$AA$443-$Z$452-$AA$452)*(L452)</f>
        <v>-3.6720848584081979E-14</v>
      </c>
      <c r="AF452" s="4" t="s">
        <v>641</v>
      </c>
    </row>
    <row r="453" spans="1:32" ht="11.25" customHeight="1" x14ac:dyDescent="0.25">
      <c r="A453" s="4" t="s">
        <v>21</v>
      </c>
      <c r="B453" s="4" t="s">
        <v>22</v>
      </c>
      <c r="C453" s="4" t="s">
        <v>23</v>
      </c>
      <c r="D453" s="4" t="s">
        <v>24</v>
      </c>
      <c r="E453" s="4" t="s">
        <v>32</v>
      </c>
      <c r="F453" s="4" t="s">
        <v>25</v>
      </c>
      <c r="G453" s="4" t="s">
        <v>25</v>
      </c>
      <c r="H453" s="4" t="s">
        <v>25</v>
      </c>
      <c r="I453" s="5">
        <v>44531</v>
      </c>
      <c r="J453" s="6">
        <v>0</v>
      </c>
      <c r="K453" s="6">
        <v>0</v>
      </c>
      <c r="L453" s="6">
        <v>13.026</v>
      </c>
      <c r="M453" s="6">
        <v>13.026</v>
      </c>
      <c r="N453" s="6">
        <v>13.026</v>
      </c>
      <c r="O453" s="6">
        <v>13.026</v>
      </c>
      <c r="P453" s="6">
        <v>65</v>
      </c>
      <c r="Q453" s="4" t="s">
        <v>26</v>
      </c>
      <c r="R453" s="4">
        <v>0</v>
      </c>
      <c r="S453" s="4">
        <v>0</v>
      </c>
      <c r="T453" s="4">
        <v>13</v>
      </c>
      <c r="U453" s="4">
        <v>71</v>
      </c>
      <c r="V453" s="6">
        <f>IF(ISERROR(VLOOKUP($S$453,'TAR FIN'!$A$1:$O$93,15,0)),0,VLOOKUP($S$453,'TAR FIN'!$A$1:$O$93,15,0))</f>
        <v>0</v>
      </c>
      <c r="W453" s="6">
        <f>IF(ISERROR(VLOOKUP($T$453,'TAR FIN'!$A$1:$O$93,15,0)),0,VLOOKUP($T$453,'TAR FIN'!$A$1:$O$93,15,0))</f>
        <v>205.22</v>
      </c>
      <c r="X453" s="6">
        <f>IF(ISERROR(VLOOKUP($U$453,'TAR FIN'!$A$1:$O$93,15,0)),0,VLOOKUP($U$453,'TAR FIN'!$A$1:$O$93,15,0))</f>
        <v>185.18</v>
      </c>
      <c r="Y453" s="6"/>
      <c r="Z453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53" s="6">
        <f>('TE BE'!$AB$17+'TE BF'!$AB$17+'TE CVA'!$AB$17)*(1-CUSTOS!$M$37)</f>
        <v>198.18194779658231</v>
      </c>
      <c r="AB453" s="6">
        <f t="shared" si="22"/>
        <v>0</v>
      </c>
      <c r="AC453" s="6">
        <f>(L453-M453)*(W453+X453)+($W$443+$X$443-$W$453-$X$453)*(L453)</f>
        <v>-3.702211870404426E-13</v>
      </c>
      <c r="AD453" s="6">
        <f t="shared" si="23"/>
        <v>0</v>
      </c>
      <c r="AE453" s="6">
        <f ca="1">(L453-M453)*(Z453+AA453)+($Z$443+$AA$443-$Z$453-$AA$453)*(L453)</f>
        <v>3.702211870404426E-13</v>
      </c>
      <c r="AF453" s="4" t="s">
        <v>641</v>
      </c>
    </row>
    <row r="454" spans="1:32" ht="11.25" customHeight="1" x14ac:dyDescent="0.25">
      <c r="A454" s="4" t="s">
        <v>21</v>
      </c>
      <c r="B454" s="4" t="s">
        <v>22</v>
      </c>
      <c r="C454" s="4" t="s">
        <v>23</v>
      </c>
      <c r="D454" s="4" t="s">
        <v>24</v>
      </c>
      <c r="E454" s="4" t="s">
        <v>32</v>
      </c>
      <c r="F454" s="4" t="s">
        <v>25</v>
      </c>
      <c r="G454" s="4" t="s">
        <v>25</v>
      </c>
      <c r="H454" s="4" t="s">
        <v>25</v>
      </c>
      <c r="I454" s="5">
        <v>44562</v>
      </c>
      <c r="J454" s="6">
        <v>0</v>
      </c>
      <c r="K454" s="6">
        <v>0</v>
      </c>
      <c r="L454" s="6">
        <v>15.836</v>
      </c>
      <c r="M454" s="6">
        <v>15.836</v>
      </c>
      <c r="N454" s="6">
        <v>15.836</v>
      </c>
      <c r="O454" s="6">
        <v>15.836</v>
      </c>
      <c r="P454" s="6">
        <v>106</v>
      </c>
      <c r="Q454" s="4" t="s">
        <v>26</v>
      </c>
      <c r="R454" s="4">
        <v>0</v>
      </c>
      <c r="S454" s="4">
        <v>0</v>
      </c>
      <c r="T454" s="4">
        <v>13</v>
      </c>
      <c r="U454" s="4">
        <v>71</v>
      </c>
      <c r="V454" s="6">
        <f>IF(ISERROR(VLOOKUP($S$454,'TAR FIN'!$A$1:$O$93,15,0)),0,VLOOKUP($S$454,'TAR FIN'!$A$1:$O$93,15,0))</f>
        <v>0</v>
      </c>
      <c r="W454" s="6">
        <f>IF(ISERROR(VLOOKUP($T$454,'TAR FIN'!$A$1:$O$93,15,0)),0,VLOOKUP($T$454,'TAR FIN'!$A$1:$O$93,15,0))</f>
        <v>205.22</v>
      </c>
      <c r="X454" s="6">
        <f>IF(ISERROR(VLOOKUP($U$454,'TAR FIN'!$A$1:$O$93,15,0)),0,VLOOKUP($U$454,'TAR FIN'!$A$1:$O$93,15,0))</f>
        <v>185.18</v>
      </c>
      <c r="Y454" s="6"/>
      <c r="Z454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54" s="6">
        <f>('TE BE'!$AB$17+'TE BF'!$AB$17+'TE CVA'!$AB$17)*(1-CUSTOS!$M$37)</f>
        <v>198.18194779658231</v>
      </c>
      <c r="AB454" s="6">
        <f t="shared" si="22"/>
        <v>0</v>
      </c>
      <c r="AC454" s="6">
        <f>(L454-M454)*(W454+X454)+($W$443+$X$443-$W$454-$X$454)*(L454)</f>
        <v>-4.5008619053987787E-13</v>
      </c>
      <c r="AD454" s="6">
        <f t="shared" si="23"/>
        <v>0</v>
      </c>
      <c r="AE454" s="6">
        <f ca="1">(L454-M454)*(Z454+AA454)+($Z$443+$AA$443-$Z$454-$AA$454)*(L454)</f>
        <v>4.5008619053987787E-13</v>
      </c>
      <c r="AF454" s="4" t="s">
        <v>641</v>
      </c>
    </row>
    <row r="455" spans="1:32" ht="11.25" customHeight="1" x14ac:dyDescent="0.25">
      <c r="A455" s="4" t="s">
        <v>21</v>
      </c>
      <c r="B455" s="4" t="s">
        <v>22</v>
      </c>
      <c r="C455" s="4" t="s">
        <v>23</v>
      </c>
      <c r="D455" s="4" t="s">
        <v>24</v>
      </c>
      <c r="E455" s="4" t="s">
        <v>32</v>
      </c>
      <c r="F455" s="4" t="s">
        <v>25</v>
      </c>
      <c r="G455" s="4" t="s">
        <v>25</v>
      </c>
      <c r="H455" s="4" t="s">
        <v>25</v>
      </c>
      <c r="I455" s="5">
        <v>44593</v>
      </c>
      <c r="J455" s="6">
        <v>0</v>
      </c>
      <c r="K455" s="6">
        <v>0</v>
      </c>
      <c r="L455" s="6">
        <v>39.064</v>
      </c>
      <c r="M455" s="6">
        <v>39.064</v>
      </c>
      <c r="N455" s="6">
        <v>39.064</v>
      </c>
      <c r="O455" s="6">
        <v>39.064</v>
      </c>
      <c r="P455" s="6">
        <v>147</v>
      </c>
      <c r="Q455" s="4" t="s">
        <v>26</v>
      </c>
      <c r="R455" s="4">
        <v>0</v>
      </c>
      <c r="S455" s="4">
        <v>0</v>
      </c>
      <c r="T455" s="4">
        <v>13</v>
      </c>
      <c r="U455" s="4">
        <v>71</v>
      </c>
      <c r="V455" s="6">
        <f>IF(ISERROR(VLOOKUP($S$455,'TAR FIN'!$A$1:$O$93,15,0)),0,VLOOKUP($S$455,'TAR FIN'!$A$1:$O$93,15,0))</f>
        <v>0</v>
      </c>
      <c r="W455" s="6">
        <f>IF(ISERROR(VLOOKUP($T$455,'TAR FIN'!$A$1:$O$93,15,0)),0,VLOOKUP($T$455,'TAR FIN'!$A$1:$O$93,15,0))</f>
        <v>205.22</v>
      </c>
      <c r="X455" s="6">
        <f>IF(ISERROR(VLOOKUP($U$455,'TAR FIN'!$A$1:$O$93,15,0)),0,VLOOKUP($U$455,'TAR FIN'!$A$1:$O$93,15,0))</f>
        <v>185.18</v>
      </c>
      <c r="Y455" s="6"/>
      <c r="Z455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55" s="6">
        <f>('TE BE'!$AB$17+'TE BF'!$AB$17+'TE CVA'!$AB$17)*(1-CUSTOS!$M$37)</f>
        <v>198.18194779658231</v>
      </c>
      <c r="AB455" s="6">
        <f t="shared" si="22"/>
        <v>0</v>
      </c>
      <c r="AC455" s="6">
        <f>(L455-M455)*(W455+X455)+($W$443+$X$443-$W$455-$X$455)*(L455)</f>
        <v>-1.1102656571893021E-12</v>
      </c>
      <c r="AD455" s="6">
        <f t="shared" si="23"/>
        <v>0</v>
      </c>
      <c r="AE455" s="6">
        <f ca="1">(L455-M455)*(Z455+AA455)+($Z$443+$AA$443-$Z$455-$AA$455)*(L455)</f>
        <v>1.1102656571893021E-12</v>
      </c>
      <c r="AF455" s="4" t="s">
        <v>641</v>
      </c>
    </row>
    <row r="456" spans="1:32" ht="11.25" customHeight="1" x14ac:dyDescent="0.25">
      <c r="A456" s="4" t="s">
        <v>21</v>
      </c>
      <c r="B456" s="4" t="s">
        <v>22</v>
      </c>
      <c r="C456" s="4" t="s">
        <v>23</v>
      </c>
      <c r="D456" s="4" t="s">
        <v>24</v>
      </c>
      <c r="E456" s="4" t="s">
        <v>32</v>
      </c>
      <c r="F456" s="4" t="s">
        <v>25</v>
      </c>
      <c r="G456" s="4" t="s">
        <v>25</v>
      </c>
      <c r="H456" s="4" t="s">
        <v>25</v>
      </c>
      <c r="I456" s="5">
        <v>44621</v>
      </c>
      <c r="J456" s="6">
        <v>0</v>
      </c>
      <c r="K456" s="6">
        <v>0</v>
      </c>
      <c r="L456" s="6">
        <v>35.491999999999997</v>
      </c>
      <c r="M456" s="6">
        <v>35.491999999999997</v>
      </c>
      <c r="N456" s="6">
        <v>35.491999999999997</v>
      </c>
      <c r="O456" s="6">
        <v>35.491999999999997</v>
      </c>
      <c r="P456" s="6">
        <v>144</v>
      </c>
      <c r="Q456" s="4" t="s">
        <v>26</v>
      </c>
      <c r="R456" s="4">
        <v>0</v>
      </c>
      <c r="S456" s="4">
        <v>0</v>
      </c>
      <c r="T456" s="4">
        <v>13</v>
      </c>
      <c r="U456" s="4">
        <v>71</v>
      </c>
      <c r="V456" s="6">
        <f>IF(ISERROR(VLOOKUP($S$456,'TAR FIN'!$A$1:$O$93,15,0)),0,VLOOKUP($S$456,'TAR FIN'!$A$1:$O$93,15,0))</f>
        <v>0</v>
      </c>
      <c r="W456" s="6">
        <f>IF(ISERROR(VLOOKUP($T$456,'TAR FIN'!$A$1:$O$93,15,0)),0,VLOOKUP($T$456,'TAR FIN'!$A$1:$O$93,15,0))</f>
        <v>205.22</v>
      </c>
      <c r="X456" s="6">
        <f>IF(ISERROR(VLOOKUP($U$456,'TAR FIN'!$A$1:$O$93,15,0)),0,VLOOKUP($U$456,'TAR FIN'!$A$1:$O$93,15,0))</f>
        <v>185.18</v>
      </c>
      <c r="Y456" s="6"/>
      <c r="Z456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56" s="6">
        <f>('TE BE'!$AB$17+'TE BF'!$AB$17+'TE CVA'!$AB$17)*(1-CUSTOS!$M$37)</f>
        <v>198.18194779658231</v>
      </c>
      <c r="AB456" s="6">
        <f t="shared" si="22"/>
        <v>0</v>
      </c>
      <c r="AC456" s="6">
        <f>(L456-M456)*(W456+X456)+($W$443+$X$443-$W$456-$X$456)*(L456)</f>
        <v>-1.008743311103899E-12</v>
      </c>
      <c r="AD456" s="6">
        <f t="shared" si="23"/>
        <v>0</v>
      </c>
      <c r="AE456" s="6">
        <f ca="1">(L456-M456)*(Z456+AA456)+($Z$443+$AA$443-$Z$456-$AA$456)*(L456)</f>
        <v>1.008743311103899E-12</v>
      </c>
      <c r="AF456" s="4" t="s">
        <v>641</v>
      </c>
    </row>
    <row r="457" spans="1:32" ht="11.25" customHeight="1" x14ac:dyDescent="0.25">
      <c r="A457" s="4" t="s">
        <v>21</v>
      </c>
      <c r="B457" s="4" t="s">
        <v>22</v>
      </c>
      <c r="C457" s="4" t="s">
        <v>23</v>
      </c>
      <c r="D457" s="4" t="s">
        <v>24</v>
      </c>
      <c r="E457" s="4" t="s">
        <v>32</v>
      </c>
      <c r="F457" s="4" t="s">
        <v>25</v>
      </c>
      <c r="G457" s="4" t="s">
        <v>25</v>
      </c>
      <c r="H457" s="4" t="s">
        <v>25</v>
      </c>
      <c r="I457" s="5">
        <v>44652</v>
      </c>
      <c r="J457" s="6">
        <v>0</v>
      </c>
      <c r="K457" s="6">
        <v>0</v>
      </c>
      <c r="L457" s="6">
        <v>45.762999999999998</v>
      </c>
      <c r="M457" s="6">
        <v>45.762999999999998</v>
      </c>
      <c r="N457" s="6">
        <v>45.762999999999998</v>
      </c>
      <c r="O457" s="6">
        <v>45.762999999999998</v>
      </c>
      <c r="P457" s="6">
        <v>207</v>
      </c>
      <c r="Q457" s="4" t="s">
        <v>26</v>
      </c>
      <c r="R457" s="4">
        <v>0</v>
      </c>
      <c r="S457" s="4">
        <v>0</v>
      </c>
      <c r="T457" s="4">
        <v>13</v>
      </c>
      <c r="U457" s="4">
        <v>71</v>
      </c>
      <c r="V457" s="6">
        <f>IF(ISERROR(VLOOKUP($S$457,'TAR FIN'!$A$1:$O$93,15,0)),0,VLOOKUP($S$457,'TAR FIN'!$A$1:$O$93,15,0))</f>
        <v>0</v>
      </c>
      <c r="W457" s="6">
        <f>IF(ISERROR(VLOOKUP($T$457,'TAR FIN'!$A$1:$O$93,15,0)),0,VLOOKUP($T$457,'TAR FIN'!$A$1:$O$93,15,0))</f>
        <v>205.22</v>
      </c>
      <c r="X457" s="6">
        <f>IF(ISERROR(VLOOKUP($U$457,'TAR FIN'!$A$1:$O$93,15,0)),0,VLOOKUP($U$457,'TAR FIN'!$A$1:$O$93,15,0))</f>
        <v>185.18</v>
      </c>
      <c r="Y457" s="6"/>
      <c r="Z457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57" s="6">
        <f>('TE BE'!$AB$17+'TE BF'!$AB$17+'TE CVA'!$AB$17)*(1-CUSTOS!$M$37)</f>
        <v>198.18194779658231</v>
      </c>
      <c r="AB457" s="6">
        <f t="shared" si="22"/>
        <v>0</v>
      </c>
      <c r="AC457" s="6">
        <f>(L457-M457)*(W457+X457)+($W$443+$X$443-$W$457-$X$457)*(L457)</f>
        <v>-1.3006626886635785E-12</v>
      </c>
      <c r="AD457" s="6">
        <f t="shared" si="23"/>
        <v>0</v>
      </c>
      <c r="AE457" s="6">
        <f ca="1">(L457-M457)*(Z457+AA457)+($Z$443+$AA$443-$Z$457-$AA$457)*(L457)</f>
        <v>1.3006626886635785E-12</v>
      </c>
      <c r="AF457" s="4" t="s">
        <v>641</v>
      </c>
    </row>
    <row r="458" spans="1:32" ht="11.25" customHeight="1" x14ac:dyDescent="0.25">
      <c r="A458" s="4" t="s">
        <v>21</v>
      </c>
      <c r="B458" s="4" t="s">
        <v>22</v>
      </c>
      <c r="C458" s="4" t="s">
        <v>23</v>
      </c>
      <c r="D458" s="4" t="s">
        <v>24</v>
      </c>
      <c r="E458" s="4" t="s">
        <v>32</v>
      </c>
      <c r="F458" s="4" t="s">
        <v>25</v>
      </c>
      <c r="G458" s="4" t="s">
        <v>25</v>
      </c>
      <c r="H458" s="4" t="s">
        <v>25</v>
      </c>
      <c r="I458" s="5">
        <v>44682</v>
      </c>
      <c r="J458" s="6">
        <v>0</v>
      </c>
      <c r="K458" s="6">
        <v>0</v>
      </c>
      <c r="L458" s="6">
        <v>42.765999999999998</v>
      </c>
      <c r="M458" s="6">
        <v>42.765999999999998</v>
      </c>
      <c r="N458" s="6">
        <v>42.765999999999998</v>
      </c>
      <c r="O458" s="6">
        <v>42.765999999999998</v>
      </c>
      <c r="P458" s="6">
        <v>187</v>
      </c>
      <c r="Q458" s="4" t="s">
        <v>26</v>
      </c>
      <c r="R458" s="4">
        <v>0</v>
      </c>
      <c r="S458" s="4">
        <v>0</v>
      </c>
      <c r="T458" s="4">
        <v>13</v>
      </c>
      <c r="U458" s="4">
        <v>71</v>
      </c>
      <c r="V458" s="6">
        <f>IF(ISERROR(VLOOKUP($S$458,'TAR FIN'!$A$1:$O$93,15,0)),0,VLOOKUP($S$458,'TAR FIN'!$A$1:$O$93,15,0))</f>
        <v>0</v>
      </c>
      <c r="W458" s="6">
        <f>IF(ISERROR(VLOOKUP($T$458,'TAR FIN'!$A$1:$O$93,15,0)),0,VLOOKUP($T$458,'TAR FIN'!$A$1:$O$93,15,0))</f>
        <v>205.22</v>
      </c>
      <c r="X458" s="6">
        <f>IF(ISERROR(VLOOKUP($U$458,'TAR FIN'!$A$1:$O$93,15,0)),0,VLOOKUP($U$458,'TAR FIN'!$A$1:$O$93,15,0))</f>
        <v>185.18</v>
      </c>
      <c r="Y458" s="6"/>
      <c r="Z458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58" s="6">
        <f>('TE BE'!$AB$17+'TE BF'!$AB$17+'TE CVA'!$AB$17)*(1-CUSTOS!$M$37)</f>
        <v>198.18194779658231</v>
      </c>
      <c r="AB458" s="6">
        <f t="shared" si="22"/>
        <v>0</v>
      </c>
      <c r="AC458" s="6">
        <f>(L458-M458)*(W458+X458)+($W$443+$X$443-$W$458-$X$458)*(L458)</f>
        <v>-1.2154828255006577E-12</v>
      </c>
      <c r="AD458" s="6">
        <f t="shared" si="23"/>
        <v>0</v>
      </c>
      <c r="AE458" s="6">
        <f ca="1">(L458-M458)*(Z458+AA458)+($Z$443+$AA$443-$Z$458-$AA$458)*(L458)</f>
        <v>1.2154828255006577E-12</v>
      </c>
      <c r="AF458" s="4" t="s">
        <v>641</v>
      </c>
    </row>
    <row r="459" spans="1:32" ht="11.25" customHeight="1" x14ac:dyDescent="0.25">
      <c r="A459" s="4" t="s">
        <v>28</v>
      </c>
      <c r="B459" s="4" t="s">
        <v>22</v>
      </c>
      <c r="C459" s="4" t="s">
        <v>23</v>
      </c>
      <c r="D459" s="4" t="s">
        <v>24</v>
      </c>
      <c r="E459" s="4" t="s">
        <v>32</v>
      </c>
      <c r="F459" s="4" t="s">
        <v>25</v>
      </c>
      <c r="G459" s="4" t="s">
        <v>25</v>
      </c>
      <c r="H459" s="4" t="s">
        <v>25</v>
      </c>
      <c r="I459" s="5">
        <v>44682</v>
      </c>
      <c r="J459" s="6">
        <v>0</v>
      </c>
      <c r="K459" s="6">
        <v>0</v>
      </c>
      <c r="L459" s="6">
        <v>0.05</v>
      </c>
      <c r="M459" s="6">
        <v>0.05</v>
      </c>
      <c r="N459" s="6">
        <v>0.05</v>
      </c>
      <c r="O459" s="6">
        <v>0.05</v>
      </c>
      <c r="P459" s="6">
        <v>1</v>
      </c>
      <c r="Q459" s="4" t="s">
        <v>26</v>
      </c>
      <c r="R459" s="4">
        <v>0</v>
      </c>
      <c r="S459" s="4">
        <v>0</v>
      </c>
      <c r="T459" s="4">
        <v>13</v>
      </c>
      <c r="U459" s="4">
        <v>71</v>
      </c>
      <c r="V459" s="6">
        <f>IF(ISERROR(VLOOKUP($S$459,'TAR FIN'!$A$1:$O$93,15,0)),0,VLOOKUP($S$459,'TAR FIN'!$A$1:$O$93,15,0))</f>
        <v>0</v>
      </c>
      <c r="W459" s="6">
        <f>IF(ISERROR(VLOOKUP($T$459,'TAR FIN'!$A$1:$O$93,15,0)),0,VLOOKUP($T$459,'TAR FIN'!$A$1:$O$93,15,0))</f>
        <v>205.22</v>
      </c>
      <c r="X459" s="6">
        <f>IF(ISERROR(VLOOKUP($U$459,'TAR FIN'!$A$1:$O$93,15,0)),0,VLOOKUP($U$459,'TAR FIN'!$A$1:$O$93,15,0))</f>
        <v>185.18</v>
      </c>
      <c r="Y459" s="6"/>
      <c r="Z459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59" s="6">
        <f>('TE BE'!$AB$17+'TE BF'!$AB$17+'TE CVA'!$AB$17)*(1-CUSTOS!$M$37)</f>
        <v>198.18194779658231</v>
      </c>
      <c r="AB459" s="6">
        <f t="shared" si="22"/>
        <v>0</v>
      </c>
      <c r="AC459" s="6">
        <f>(L459-M459)*(W459+X459)+($W$443+$X$443-$W$459-$X$459)*(L459)</f>
        <v>-1.4210854715202005E-15</v>
      </c>
      <c r="AD459" s="6">
        <f t="shared" si="23"/>
        <v>0</v>
      </c>
      <c r="AE459" s="6">
        <f ca="1">(L459-M459)*(Z459+AA459)+($Z$443+$AA$443-$Z$459-$AA$459)*(L459)</f>
        <v>1.4210854715202005E-15</v>
      </c>
      <c r="AF459" s="4" t="s">
        <v>641</v>
      </c>
    </row>
    <row r="460" spans="1:32" ht="11.25" customHeight="1" x14ac:dyDescent="0.25">
      <c r="A460" s="4" t="s">
        <v>21</v>
      </c>
      <c r="B460" s="4" t="s">
        <v>22</v>
      </c>
      <c r="C460" s="4" t="s">
        <v>23</v>
      </c>
      <c r="D460" s="4" t="s">
        <v>24</v>
      </c>
      <c r="E460" s="4" t="s">
        <v>32</v>
      </c>
      <c r="F460" s="4" t="s">
        <v>25</v>
      </c>
      <c r="G460" s="4" t="s">
        <v>25</v>
      </c>
      <c r="H460" s="4" t="s">
        <v>25</v>
      </c>
      <c r="I460" s="5">
        <v>44713</v>
      </c>
      <c r="J460" s="6">
        <v>0</v>
      </c>
      <c r="K460" s="6">
        <v>0</v>
      </c>
      <c r="L460" s="6">
        <v>48.942</v>
      </c>
      <c r="M460" s="6">
        <v>48.942</v>
      </c>
      <c r="N460" s="6">
        <v>48.942</v>
      </c>
      <c r="O460" s="6">
        <v>48.942</v>
      </c>
      <c r="P460" s="6">
        <v>217</v>
      </c>
      <c r="Q460" s="4" t="s">
        <v>26</v>
      </c>
      <c r="R460" s="4">
        <v>0</v>
      </c>
      <c r="S460" s="4">
        <v>0</v>
      </c>
      <c r="T460" s="4">
        <v>13</v>
      </c>
      <c r="U460" s="4">
        <v>71</v>
      </c>
      <c r="V460" s="6">
        <f>IF(ISERROR(VLOOKUP($S$460,'TAR FIN'!$A$1:$O$93,15,0)),0,VLOOKUP($S$460,'TAR FIN'!$A$1:$O$93,15,0))</f>
        <v>0</v>
      </c>
      <c r="W460" s="6">
        <f>IF(ISERROR(VLOOKUP($T$460,'TAR FIN'!$A$1:$O$93,15,0)),0,VLOOKUP($T$460,'TAR FIN'!$A$1:$O$93,15,0))</f>
        <v>205.22</v>
      </c>
      <c r="X460" s="6">
        <f>IF(ISERROR(VLOOKUP($U$460,'TAR FIN'!$A$1:$O$93,15,0)),0,VLOOKUP($U$460,'TAR FIN'!$A$1:$O$93,15,0))</f>
        <v>185.18</v>
      </c>
      <c r="Y460" s="6"/>
      <c r="Z460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60" s="6">
        <f>('TE BE'!$AB$17+'TE BF'!$AB$17+'TE CVA'!$AB$17)*(1-CUSTOS!$M$37)</f>
        <v>198.18194779658231</v>
      </c>
      <c r="AB460" s="6">
        <f t="shared" si="22"/>
        <v>0</v>
      </c>
      <c r="AC460" s="6">
        <f>(L460-M460)*(W460+X460)+($W$443+$X$443-$W$460-$X$460)*(L460)</f>
        <v>-1.3910153029428329E-12</v>
      </c>
      <c r="AD460" s="6">
        <f t="shared" si="23"/>
        <v>0</v>
      </c>
      <c r="AE460" s="6">
        <f ca="1">(L460-M460)*(Z460+AA460)+($Z$443+$AA$443-$Z$460-$AA$460)*(L460)</f>
        <v>1.3910153029428329E-12</v>
      </c>
      <c r="AF460" s="4" t="s">
        <v>641</v>
      </c>
    </row>
    <row r="461" spans="1:32" ht="11.25" customHeight="1" x14ac:dyDescent="0.25">
      <c r="A461" s="4" t="s">
        <v>28</v>
      </c>
      <c r="B461" s="4" t="s">
        <v>22</v>
      </c>
      <c r="C461" s="4" t="s">
        <v>23</v>
      </c>
      <c r="D461" s="4" t="s">
        <v>24</v>
      </c>
      <c r="E461" s="4" t="s">
        <v>32</v>
      </c>
      <c r="F461" s="4" t="s">
        <v>25</v>
      </c>
      <c r="G461" s="4" t="s">
        <v>25</v>
      </c>
      <c r="H461" s="4" t="s">
        <v>25</v>
      </c>
      <c r="I461" s="5">
        <v>44713</v>
      </c>
      <c r="J461" s="6">
        <v>0</v>
      </c>
      <c r="K461" s="6">
        <v>0</v>
      </c>
      <c r="L461" s="6">
        <v>0.05</v>
      </c>
      <c r="M461" s="6">
        <v>0.05</v>
      </c>
      <c r="N461" s="6">
        <v>0.05</v>
      </c>
      <c r="O461" s="6">
        <v>0.05</v>
      </c>
      <c r="P461" s="6">
        <v>1</v>
      </c>
      <c r="Q461" s="4" t="s">
        <v>26</v>
      </c>
      <c r="R461" s="4">
        <v>0</v>
      </c>
      <c r="S461" s="4">
        <v>0</v>
      </c>
      <c r="T461" s="4">
        <v>13</v>
      </c>
      <c r="U461" s="4">
        <v>71</v>
      </c>
      <c r="V461" s="6">
        <f>IF(ISERROR(VLOOKUP($S$461,'TAR FIN'!$A$1:$O$93,15,0)),0,VLOOKUP($S$461,'TAR FIN'!$A$1:$O$93,15,0))</f>
        <v>0</v>
      </c>
      <c r="W461" s="6">
        <f>IF(ISERROR(VLOOKUP($T$461,'TAR FIN'!$A$1:$O$93,15,0)),0,VLOOKUP($T$461,'TAR FIN'!$A$1:$O$93,15,0))</f>
        <v>205.22</v>
      </c>
      <c r="X461" s="6">
        <f>IF(ISERROR(VLOOKUP($U$461,'TAR FIN'!$A$1:$O$93,15,0)),0,VLOOKUP($U$461,'TAR FIN'!$A$1:$O$93,15,0))</f>
        <v>185.18</v>
      </c>
      <c r="Y461" s="6"/>
      <c r="Z461" s="6">
        <f ca="1">('TUSD BE'!$AM$28+'TUSD BF'!$AM$28+'TUSD CVA'!$AM$28-('TUSD BE'!$P$28+'TUSD BF'!$P$28+'TUSD CVA'!$P$28)-('TUSD BE'!$Q$28+'TUSD BF'!$Q$28+'TUSD CVA'!$Q$28)-('TUSD BE'!$R$28+'TUSD BF'!$R$28+'TUSD CVA'!$R$28))*(1-CUSTOS!$M$37)</f>
        <v>194.91779348662169</v>
      </c>
      <c r="AA461" s="6">
        <f>('TE BE'!$AB$17+'TE BF'!$AB$17+'TE CVA'!$AB$17)*(1-CUSTOS!$M$37)</f>
        <v>198.18194779658231</v>
      </c>
      <c r="AB461" s="6">
        <f t="shared" si="22"/>
        <v>0</v>
      </c>
      <c r="AC461" s="6">
        <f>(L461-M461)*(W461+X461)+($W$443+$X$443-$W$461-$X$461)*(L461)</f>
        <v>-1.4210854715202005E-15</v>
      </c>
      <c r="AD461" s="6">
        <f t="shared" si="23"/>
        <v>0</v>
      </c>
      <c r="AE461" s="6">
        <f ca="1">(L461-M461)*(Z461+AA461)+($Z$443+$AA$443-$Z$461-$AA$461)*(L461)</f>
        <v>1.4210854715202005E-15</v>
      </c>
      <c r="AF461" s="4" t="s">
        <v>641</v>
      </c>
    </row>
    <row r="462" spans="1:32" ht="11.25" customHeight="1" x14ac:dyDescent="0.25">
      <c r="A462" s="4" t="s">
        <v>21</v>
      </c>
      <c r="B462" s="4" t="s">
        <v>41</v>
      </c>
      <c r="C462" s="4" t="s">
        <v>23</v>
      </c>
      <c r="D462" s="4" t="s">
        <v>42</v>
      </c>
      <c r="E462" s="4" t="s">
        <v>50</v>
      </c>
      <c r="F462" s="4" t="s">
        <v>51</v>
      </c>
      <c r="G462" s="4" t="s">
        <v>25</v>
      </c>
      <c r="H462" s="4" t="s">
        <v>25</v>
      </c>
      <c r="I462" s="5">
        <v>44378</v>
      </c>
      <c r="J462" s="6">
        <v>0</v>
      </c>
      <c r="K462" s="6">
        <v>0</v>
      </c>
      <c r="L462" s="6">
        <v>64.334999999999994</v>
      </c>
      <c r="M462" s="6">
        <v>25.734000000000002</v>
      </c>
      <c r="N462" s="6">
        <v>64.334999999999994</v>
      </c>
      <c r="O462" s="6">
        <v>25.734000000000002</v>
      </c>
      <c r="P462" s="6">
        <v>0</v>
      </c>
      <c r="Q462" s="4" t="s">
        <v>26</v>
      </c>
      <c r="R462" s="4">
        <v>0</v>
      </c>
      <c r="S462" s="4">
        <v>0</v>
      </c>
      <c r="T462" s="4">
        <v>40</v>
      </c>
      <c r="U462" s="4">
        <v>78</v>
      </c>
      <c r="V462" s="6">
        <f>IF(ISERROR(VLOOKUP($S$462,'TAR FIN'!$A$1:$O$93,15,0)),0,VLOOKUP($S$462,'TAR FIN'!$A$1:$O$93,15,0))</f>
        <v>0</v>
      </c>
      <c r="W462" s="6">
        <f>IF(ISERROR(VLOOKUP($T$462,'TAR FIN'!$A$1:$O$93,15,0)),0,VLOOKUP($T$462,'TAR FIN'!$A$1:$O$93,15,0))</f>
        <v>240.16</v>
      </c>
      <c r="X462" s="6">
        <f>IF(ISERROR(VLOOKUP($U$462,'TAR FIN'!$A$1:$O$93,15,0)),0,VLOOKUP($U$462,'TAR FIN'!$A$1:$O$93,15,0))</f>
        <v>162.96</v>
      </c>
      <c r="Y462" s="6"/>
      <c r="Z462" s="6">
        <f ca="1">('TUSD BE'!$AM$37+'TUSD BF'!$AM$37+'TUSD CVA'!$AM$37)*(1-CUSTOS!$M$38)</f>
        <v>274.6365589659128</v>
      </c>
      <c r="AA462" s="6">
        <f>('TE BE'!$AB$26+'TE BF'!$AB$26+'TE CVA'!$AB$26)*(1-CUSTOS!$M$38)</f>
        <v>186.29103092878736</v>
      </c>
      <c r="AB462" s="6">
        <f t="shared" si="22"/>
        <v>0</v>
      </c>
      <c r="AC462" s="6">
        <f>(L462-M462)*(W462+X462)+($W$393+$X$393-$W$462-$X$462)*(L462)</f>
        <v>19097.330069999996</v>
      </c>
      <c r="AD462" s="6">
        <f t="shared" si="23"/>
        <v>0</v>
      </c>
      <c r="AE462" s="6">
        <f ca="1">(L462-M462)*(Z462+AA462)+($Z$393+$AA$393-$Z$462-$AA$462)*(L462)</f>
        <v>19685.060141942908</v>
      </c>
      <c r="AF462" s="4" t="s">
        <v>638</v>
      </c>
    </row>
    <row r="463" spans="1:32" ht="11.25" customHeight="1" x14ac:dyDescent="0.25">
      <c r="A463" s="4" t="s">
        <v>27</v>
      </c>
      <c r="B463" s="4" t="s">
        <v>41</v>
      </c>
      <c r="C463" s="4" t="s">
        <v>23</v>
      </c>
      <c r="D463" s="4" t="s">
        <v>42</v>
      </c>
      <c r="E463" s="4" t="s">
        <v>50</v>
      </c>
      <c r="F463" s="4" t="s">
        <v>51</v>
      </c>
      <c r="G463" s="4" t="s">
        <v>25</v>
      </c>
      <c r="H463" s="4" t="s">
        <v>25</v>
      </c>
      <c r="I463" s="5">
        <v>44378</v>
      </c>
      <c r="J463" s="6">
        <v>0</v>
      </c>
      <c r="K463" s="6">
        <v>0</v>
      </c>
      <c r="L463" s="6">
        <v>-1.1140000000000001</v>
      </c>
      <c r="M463" s="6">
        <v>-0.4456</v>
      </c>
      <c r="N463" s="6">
        <v>-1.1140000000000001</v>
      </c>
      <c r="O463" s="6">
        <v>-0.4456</v>
      </c>
      <c r="P463" s="6">
        <v>0</v>
      </c>
      <c r="Q463" s="4" t="s">
        <v>26</v>
      </c>
      <c r="R463" s="4">
        <v>0</v>
      </c>
      <c r="S463" s="4">
        <v>0</v>
      </c>
      <c r="T463" s="4">
        <v>40</v>
      </c>
      <c r="U463" s="4">
        <v>78</v>
      </c>
      <c r="V463" s="6">
        <f>IF(ISERROR(VLOOKUP($S$463,'TAR FIN'!$A$1:$O$93,15,0)),0,VLOOKUP($S$463,'TAR FIN'!$A$1:$O$93,15,0))</f>
        <v>0</v>
      </c>
      <c r="W463" s="6">
        <f>IF(ISERROR(VLOOKUP($T$463,'TAR FIN'!$A$1:$O$93,15,0)),0,VLOOKUP($T$463,'TAR FIN'!$A$1:$O$93,15,0))</f>
        <v>240.16</v>
      </c>
      <c r="X463" s="6">
        <f>IF(ISERROR(VLOOKUP($U$463,'TAR FIN'!$A$1:$O$93,15,0)),0,VLOOKUP($U$463,'TAR FIN'!$A$1:$O$93,15,0))</f>
        <v>162.96</v>
      </c>
      <c r="Y463" s="6"/>
      <c r="Z463" s="6">
        <f ca="1">('TUSD BE'!$AM$37+'TUSD BF'!$AM$37+'TUSD CVA'!$AM$37)*(1-CUSTOS!$M$38)</f>
        <v>274.6365589659128</v>
      </c>
      <c r="AA463" s="6">
        <f>('TE BE'!$AB$26+'TE BF'!$AB$26+'TE CVA'!$AB$26)*(1-CUSTOS!$M$38)</f>
        <v>186.29103092878736</v>
      </c>
      <c r="AB463" s="6">
        <f t="shared" si="22"/>
        <v>0</v>
      </c>
      <c r="AC463" s="6">
        <f>(L463-M463)*(W463+X463)+($W$393+$X$393-$W$463-$X$463)*(L463)</f>
        <v>-330.6819880000001</v>
      </c>
      <c r="AD463" s="6">
        <f t="shared" si="23"/>
        <v>0</v>
      </c>
      <c r="AE463" s="6">
        <f ca="1">(L463-M463)*(Z463+AA463)+($Z$393+$AA$393-$Z$463-$AA$463)*(L463)</f>
        <v>-340.85889481813024</v>
      </c>
      <c r="AF463" s="4" t="s">
        <v>638</v>
      </c>
    </row>
    <row r="464" spans="1:32" ht="11.25" customHeight="1" x14ac:dyDescent="0.25">
      <c r="A464" s="4" t="s">
        <v>28</v>
      </c>
      <c r="B464" s="4" t="s">
        <v>41</v>
      </c>
      <c r="C464" s="4" t="s">
        <v>23</v>
      </c>
      <c r="D464" s="4" t="s">
        <v>42</v>
      </c>
      <c r="E464" s="4" t="s">
        <v>50</v>
      </c>
      <c r="F464" s="4" t="s">
        <v>51</v>
      </c>
      <c r="G464" s="4" t="s">
        <v>25</v>
      </c>
      <c r="H464" s="4" t="s">
        <v>25</v>
      </c>
      <c r="I464" s="5">
        <v>44378</v>
      </c>
      <c r="J464" s="6">
        <v>0</v>
      </c>
      <c r="K464" s="6">
        <v>0</v>
      </c>
      <c r="L464" s="6">
        <v>0.437</v>
      </c>
      <c r="M464" s="6">
        <v>0.17480000000000001</v>
      </c>
      <c r="N464" s="6">
        <v>0.437</v>
      </c>
      <c r="O464" s="6">
        <v>0.17480000000000001</v>
      </c>
      <c r="P464" s="6">
        <v>0</v>
      </c>
      <c r="Q464" s="4" t="s">
        <v>26</v>
      </c>
      <c r="R464" s="4">
        <v>0</v>
      </c>
      <c r="S464" s="4">
        <v>0</v>
      </c>
      <c r="T464" s="4">
        <v>40</v>
      </c>
      <c r="U464" s="4">
        <v>78</v>
      </c>
      <c r="V464" s="6">
        <f>IF(ISERROR(VLOOKUP($S$464,'TAR FIN'!$A$1:$O$93,15,0)),0,VLOOKUP($S$464,'TAR FIN'!$A$1:$O$93,15,0))</f>
        <v>0</v>
      </c>
      <c r="W464" s="6">
        <f>IF(ISERROR(VLOOKUP($T$464,'TAR FIN'!$A$1:$O$93,15,0)),0,VLOOKUP($T$464,'TAR FIN'!$A$1:$O$93,15,0))</f>
        <v>240.16</v>
      </c>
      <c r="X464" s="6">
        <f>IF(ISERROR(VLOOKUP($U$464,'TAR FIN'!$A$1:$O$93,15,0)),0,VLOOKUP($U$464,'TAR FIN'!$A$1:$O$93,15,0))</f>
        <v>162.96</v>
      </c>
      <c r="Y464" s="6"/>
      <c r="Z464" s="6">
        <f ca="1">('TUSD BE'!$AM$37+'TUSD BF'!$AM$37+'TUSD CVA'!$AM$37)*(1-CUSTOS!$M$38)</f>
        <v>274.6365589659128</v>
      </c>
      <c r="AA464" s="6">
        <f>('TE BE'!$AB$26+'TE BF'!$AB$26+'TE CVA'!$AB$26)*(1-CUSTOS!$M$38)</f>
        <v>186.29103092878736</v>
      </c>
      <c r="AB464" s="6">
        <f t="shared" si="22"/>
        <v>0</v>
      </c>
      <c r="AC464" s="6">
        <f>(L464-M464)*(W464+X464)+($W$393+$X$393-$W$464-$X$464)*(L464)</f>
        <v>129.71995400000003</v>
      </c>
      <c r="AD464" s="6">
        <f t="shared" si="23"/>
        <v>0</v>
      </c>
      <c r="AE464" s="6">
        <f ca="1">(L464-M464)*(Z464+AA464)+($Z$393+$AA$393-$Z$464-$AA$464)*(L464)</f>
        <v>133.71215173745321</v>
      </c>
      <c r="AF464" s="4" t="s">
        <v>638</v>
      </c>
    </row>
    <row r="465" spans="1:32" ht="11.25" customHeight="1" x14ac:dyDescent="0.25">
      <c r="A465" s="4" t="s">
        <v>21</v>
      </c>
      <c r="B465" s="4" t="s">
        <v>41</v>
      </c>
      <c r="C465" s="4" t="s">
        <v>23</v>
      </c>
      <c r="D465" s="4" t="s">
        <v>42</v>
      </c>
      <c r="E465" s="4" t="s">
        <v>50</v>
      </c>
      <c r="F465" s="4" t="s">
        <v>51</v>
      </c>
      <c r="G465" s="4" t="s">
        <v>25</v>
      </c>
      <c r="H465" s="4" t="s">
        <v>25</v>
      </c>
      <c r="I465" s="5">
        <v>44409</v>
      </c>
      <c r="J465" s="6">
        <v>0</v>
      </c>
      <c r="K465" s="6">
        <v>0</v>
      </c>
      <c r="L465" s="6">
        <v>89.831999999999994</v>
      </c>
      <c r="M465" s="6">
        <v>35.9328</v>
      </c>
      <c r="N465" s="6">
        <v>89.831999999999994</v>
      </c>
      <c r="O465" s="6">
        <v>35.9328</v>
      </c>
      <c r="P465" s="6">
        <v>0</v>
      </c>
      <c r="Q465" s="4" t="s">
        <v>26</v>
      </c>
      <c r="R465" s="4">
        <v>0</v>
      </c>
      <c r="S465" s="4">
        <v>0</v>
      </c>
      <c r="T465" s="4">
        <v>40</v>
      </c>
      <c r="U465" s="4">
        <v>78</v>
      </c>
      <c r="V465" s="6">
        <f>IF(ISERROR(VLOOKUP($S$465,'TAR FIN'!$A$1:$O$93,15,0)),0,VLOOKUP($S$465,'TAR FIN'!$A$1:$O$93,15,0))</f>
        <v>0</v>
      </c>
      <c r="W465" s="6">
        <f>IF(ISERROR(VLOOKUP($T$465,'TAR FIN'!$A$1:$O$93,15,0)),0,VLOOKUP($T$465,'TAR FIN'!$A$1:$O$93,15,0))</f>
        <v>240.16</v>
      </c>
      <c r="X465" s="6">
        <f>IF(ISERROR(VLOOKUP($U$465,'TAR FIN'!$A$1:$O$93,15,0)),0,VLOOKUP($U$465,'TAR FIN'!$A$1:$O$93,15,0))</f>
        <v>162.96</v>
      </c>
      <c r="Y465" s="6"/>
      <c r="Z465" s="6">
        <f ca="1">('TUSD BE'!$AM$37+'TUSD BF'!$AM$37+'TUSD CVA'!$AM$37)*(1-CUSTOS!$M$38)</f>
        <v>274.6365589659128</v>
      </c>
      <c r="AA465" s="6">
        <f>('TE BE'!$AB$26+'TE BF'!$AB$26+'TE CVA'!$AB$26)*(1-CUSTOS!$M$38)</f>
        <v>186.29103092878736</v>
      </c>
      <c r="AB465" s="6">
        <f t="shared" si="22"/>
        <v>0</v>
      </c>
      <c r="AC465" s="6">
        <f>(L465-M465)*(W465+X465)+($W$393+$X$393-$W$465-$X$465)*(L465)</f>
        <v>26665.910543999998</v>
      </c>
      <c r="AD465" s="6">
        <f t="shared" si="23"/>
        <v>0</v>
      </c>
      <c r="AE465" s="6">
        <f ca="1">(L465-M465)*(Z465+AA465)+($Z$393+$AA$393-$Z$465-$AA$465)*(L465)</f>
        <v>27486.567539768643</v>
      </c>
      <c r="AF465" s="4" t="s">
        <v>638</v>
      </c>
    </row>
    <row r="466" spans="1:32" ht="11.25" customHeight="1" x14ac:dyDescent="0.25">
      <c r="A466" s="4" t="s">
        <v>27</v>
      </c>
      <c r="B466" s="4" t="s">
        <v>41</v>
      </c>
      <c r="C466" s="4" t="s">
        <v>23</v>
      </c>
      <c r="D466" s="4" t="s">
        <v>42</v>
      </c>
      <c r="E466" s="4" t="s">
        <v>50</v>
      </c>
      <c r="F466" s="4" t="s">
        <v>51</v>
      </c>
      <c r="G466" s="4" t="s">
        <v>25</v>
      </c>
      <c r="H466" s="4" t="s">
        <v>25</v>
      </c>
      <c r="I466" s="5">
        <v>44409</v>
      </c>
      <c r="J466" s="6">
        <v>0</v>
      </c>
      <c r="K466" s="6">
        <v>0</v>
      </c>
      <c r="L466" s="6">
        <v>-9.1999999999999998E-2</v>
      </c>
      <c r="M466" s="6">
        <v>-3.6799999999999999E-2</v>
      </c>
      <c r="N466" s="6">
        <v>-9.1999999999999998E-2</v>
      </c>
      <c r="O466" s="6">
        <v>-3.6799999999999999E-2</v>
      </c>
      <c r="P466" s="6">
        <v>0</v>
      </c>
      <c r="Q466" s="4" t="s">
        <v>26</v>
      </c>
      <c r="R466" s="4">
        <v>0</v>
      </c>
      <c r="S466" s="4">
        <v>0</v>
      </c>
      <c r="T466" s="4">
        <v>40</v>
      </c>
      <c r="U466" s="4">
        <v>78</v>
      </c>
      <c r="V466" s="6">
        <f>IF(ISERROR(VLOOKUP($S$466,'TAR FIN'!$A$1:$O$93,15,0)),0,VLOOKUP($S$466,'TAR FIN'!$A$1:$O$93,15,0))</f>
        <v>0</v>
      </c>
      <c r="W466" s="6">
        <f>IF(ISERROR(VLOOKUP($T$466,'TAR FIN'!$A$1:$O$93,15,0)),0,VLOOKUP($T$466,'TAR FIN'!$A$1:$O$93,15,0))</f>
        <v>240.16</v>
      </c>
      <c r="X466" s="6">
        <f>IF(ISERROR(VLOOKUP($U$466,'TAR FIN'!$A$1:$O$93,15,0)),0,VLOOKUP($U$466,'TAR FIN'!$A$1:$O$93,15,0))</f>
        <v>162.96</v>
      </c>
      <c r="Y466" s="6"/>
      <c r="Z466" s="6">
        <f ca="1">('TUSD BE'!$AM$37+'TUSD BF'!$AM$37+'TUSD CVA'!$AM$37)*(1-CUSTOS!$M$38)</f>
        <v>274.6365589659128</v>
      </c>
      <c r="AA466" s="6">
        <f>('TE BE'!$AB$26+'TE BF'!$AB$26+'TE CVA'!$AB$26)*(1-CUSTOS!$M$38)</f>
        <v>186.29103092878736</v>
      </c>
      <c r="AB466" s="6">
        <f t="shared" si="22"/>
        <v>0</v>
      </c>
      <c r="AC466" s="6">
        <f>(L466-M466)*(W466+X466)+($W$393+$X$393-$W$466-$X$466)*(L466)</f>
        <v>-27.309464000000002</v>
      </c>
      <c r="AD466" s="6">
        <f t="shared" si="23"/>
        <v>0</v>
      </c>
      <c r="AE466" s="6">
        <f ca="1">(L466-M466)*(Z466+AA466)+($Z$393+$AA$393-$Z$466-$AA$466)*(L466)</f>
        <v>-28.149926681569099</v>
      </c>
      <c r="AF466" s="4" t="s">
        <v>638</v>
      </c>
    </row>
    <row r="467" spans="1:32" ht="11.25" customHeight="1" x14ac:dyDescent="0.25">
      <c r="A467" s="4" t="s">
        <v>28</v>
      </c>
      <c r="B467" s="4" t="s">
        <v>41</v>
      </c>
      <c r="C467" s="4" t="s">
        <v>23</v>
      </c>
      <c r="D467" s="4" t="s">
        <v>42</v>
      </c>
      <c r="E467" s="4" t="s">
        <v>50</v>
      </c>
      <c r="F467" s="4" t="s">
        <v>51</v>
      </c>
      <c r="G467" s="4" t="s">
        <v>25</v>
      </c>
      <c r="H467" s="4" t="s">
        <v>25</v>
      </c>
      <c r="I467" s="5">
        <v>44409</v>
      </c>
      <c r="J467" s="6">
        <v>0</v>
      </c>
      <c r="K467" s="6">
        <v>0</v>
      </c>
      <c r="L467" s="6">
        <v>0.52100000000000002</v>
      </c>
      <c r="M467" s="6">
        <v>0.2084</v>
      </c>
      <c r="N467" s="6">
        <v>0.52100000000000002</v>
      </c>
      <c r="O467" s="6">
        <v>0.2084</v>
      </c>
      <c r="P467" s="6">
        <v>0</v>
      </c>
      <c r="Q467" s="4" t="s">
        <v>26</v>
      </c>
      <c r="R467" s="4">
        <v>0</v>
      </c>
      <c r="S467" s="4">
        <v>0</v>
      </c>
      <c r="T467" s="4">
        <v>40</v>
      </c>
      <c r="U467" s="4">
        <v>78</v>
      </c>
      <c r="V467" s="6">
        <f>IF(ISERROR(VLOOKUP($S$467,'TAR FIN'!$A$1:$O$93,15,0)),0,VLOOKUP($S$467,'TAR FIN'!$A$1:$O$93,15,0))</f>
        <v>0</v>
      </c>
      <c r="W467" s="6">
        <f>IF(ISERROR(VLOOKUP($T$467,'TAR FIN'!$A$1:$O$93,15,0)),0,VLOOKUP($T$467,'TAR FIN'!$A$1:$O$93,15,0))</f>
        <v>240.16</v>
      </c>
      <c r="X467" s="6">
        <f>IF(ISERROR(VLOOKUP($U$467,'TAR FIN'!$A$1:$O$93,15,0)),0,VLOOKUP($U$467,'TAR FIN'!$A$1:$O$93,15,0))</f>
        <v>162.96</v>
      </c>
      <c r="Y467" s="6"/>
      <c r="Z467" s="6">
        <f ca="1">('TUSD BE'!$AM$37+'TUSD BF'!$AM$37+'TUSD CVA'!$AM$37)*(1-CUSTOS!$M$38)</f>
        <v>274.6365589659128</v>
      </c>
      <c r="AA467" s="6">
        <f>('TE BE'!$AB$26+'TE BF'!$AB$26+'TE CVA'!$AB$26)*(1-CUSTOS!$M$38)</f>
        <v>186.29103092878736</v>
      </c>
      <c r="AB467" s="6">
        <f t="shared" si="22"/>
        <v>0</v>
      </c>
      <c r="AC467" s="6">
        <f>(L467-M467)*(W467+X467)+($W$393+$X$393-$W$467-$X$467)*(L467)</f>
        <v>154.65468200000001</v>
      </c>
      <c r="AD467" s="6">
        <f t="shared" si="23"/>
        <v>0</v>
      </c>
      <c r="AE467" s="6">
        <f ca="1">(L467-M467)*(Z467+AA467)+($Z$393+$AA$393-$Z$467-$AA$467)*(L467)</f>
        <v>159.41425870758152</v>
      </c>
      <c r="AF467" s="4" t="s">
        <v>638</v>
      </c>
    </row>
    <row r="468" spans="1:32" ht="11.25" customHeight="1" x14ac:dyDescent="0.25">
      <c r="A468" s="4" t="s">
        <v>21</v>
      </c>
      <c r="B468" s="4" t="s">
        <v>41</v>
      </c>
      <c r="C468" s="4" t="s">
        <v>23</v>
      </c>
      <c r="D468" s="4" t="s">
        <v>42</v>
      </c>
      <c r="E468" s="4" t="s">
        <v>50</v>
      </c>
      <c r="F468" s="4" t="s">
        <v>51</v>
      </c>
      <c r="G468" s="4" t="s">
        <v>25</v>
      </c>
      <c r="H468" s="4" t="s">
        <v>25</v>
      </c>
      <c r="I468" s="5">
        <v>44440</v>
      </c>
      <c r="J468" s="6">
        <v>0</v>
      </c>
      <c r="K468" s="6">
        <v>0</v>
      </c>
      <c r="L468" s="6">
        <v>126.84</v>
      </c>
      <c r="M468" s="6">
        <v>50.735999999999997</v>
      </c>
      <c r="N468" s="6">
        <v>126.84</v>
      </c>
      <c r="O468" s="6">
        <v>50.735999999999997</v>
      </c>
      <c r="P468" s="6">
        <v>0</v>
      </c>
      <c r="Q468" s="4" t="s">
        <v>26</v>
      </c>
      <c r="R468" s="4">
        <v>0</v>
      </c>
      <c r="S468" s="4">
        <v>0</v>
      </c>
      <c r="T468" s="4">
        <v>40</v>
      </c>
      <c r="U468" s="4">
        <v>78</v>
      </c>
      <c r="V468" s="6">
        <f>IF(ISERROR(VLOOKUP($S$468,'TAR FIN'!$A$1:$O$93,15,0)),0,VLOOKUP($S$468,'TAR FIN'!$A$1:$O$93,15,0))</f>
        <v>0</v>
      </c>
      <c r="W468" s="6">
        <f>IF(ISERROR(VLOOKUP($T$468,'TAR FIN'!$A$1:$O$93,15,0)),0,VLOOKUP($T$468,'TAR FIN'!$A$1:$O$93,15,0))</f>
        <v>240.16</v>
      </c>
      <c r="X468" s="6">
        <f>IF(ISERROR(VLOOKUP($U$468,'TAR FIN'!$A$1:$O$93,15,0)),0,VLOOKUP($U$468,'TAR FIN'!$A$1:$O$93,15,0))</f>
        <v>162.96</v>
      </c>
      <c r="Y468" s="6"/>
      <c r="Z468" s="6">
        <f ca="1">('TUSD BE'!$AM$37+'TUSD BF'!$AM$37+'TUSD CVA'!$AM$37)*(1-CUSTOS!$M$38)</f>
        <v>274.6365589659128</v>
      </c>
      <c r="AA468" s="6">
        <f>('TE BE'!$AB$26+'TE BF'!$AB$26+'TE CVA'!$AB$26)*(1-CUSTOS!$M$38)</f>
        <v>186.29103092878736</v>
      </c>
      <c r="AB468" s="6">
        <f t="shared" si="22"/>
        <v>0</v>
      </c>
      <c r="AC468" s="6">
        <f>(L468-M468)*(W468+X468)+($W$393+$X$393-$W$468-$X$468)*(L468)</f>
        <v>37651.439280000006</v>
      </c>
      <c r="AD468" s="6">
        <f t="shared" si="23"/>
        <v>0</v>
      </c>
      <c r="AE468" s="6">
        <f ca="1">(L468-M468)*(Z468+AA468)+($Z$393+$AA$393-$Z$468-$AA$468)*(L468)</f>
        <v>38810.181524893749</v>
      </c>
      <c r="AF468" s="4" t="s">
        <v>638</v>
      </c>
    </row>
    <row r="469" spans="1:32" ht="11.25" customHeight="1" x14ac:dyDescent="0.25">
      <c r="A469" s="4" t="s">
        <v>27</v>
      </c>
      <c r="B469" s="4" t="s">
        <v>41</v>
      </c>
      <c r="C469" s="4" t="s">
        <v>23</v>
      </c>
      <c r="D469" s="4" t="s">
        <v>42</v>
      </c>
      <c r="E469" s="4" t="s">
        <v>50</v>
      </c>
      <c r="F469" s="4" t="s">
        <v>51</v>
      </c>
      <c r="G469" s="4" t="s">
        <v>25</v>
      </c>
      <c r="H469" s="4" t="s">
        <v>25</v>
      </c>
      <c r="I469" s="5">
        <v>44440</v>
      </c>
      <c r="J469" s="6">
        <v>0</v>
      </c>
      <c r="K469" s="6">
        <v>0</v>
      </c>
      <c r="L469" s="6">
        <v>-2.19</v>
      </c>
      <c r="M469" s="6">
        <v>-0.876</v>
      </c>
      <c r="N469" s="6">
        <v>-2.19</v>
      </c>
      <c r="O469" s="6">
        <v>-0.876</v>
      </c>
      <c r="P469" s="6">
        <v>0</v>
      </c>
      <c r="Q469" s="4" t="s">
        <v>26</v>
      </c>
      <c r="R469" s="4">
        <v>0</v>
      </c>
      <c r="S469" s="4">
        <v>0</v>
      </c>
      <c r="T469" s="4">
        <v>40</v>
      </c>
      <c r="U469" s="4">
        <v>78</v>
      </c>
      <c r="V469" s="6">
        <f>IF(ISERROR(VLOOKUP($S$469,'TAR FIN'!$A$1:$O$93,15,0)),0,VLOOKUP($S$469,'TAR FIN'!$A$1:$O$93,15,0))</f>
        <v>0</v>
      </c>
      <c r="W469" s="6">
        <f>IF(ISERROR(VLOOKUP($T$469,'TAR FIN'!$A$1:$O$93,15,0)),0,VLOOKUP($T$469,'TAR FIN'!$A$1:$O$93,15,0))</f>
        <v>240.16</v>
      </c>
      <c r="X469" s="6">
        <f>IF(ISERROR(VLOOKUP($U$469,'TAR FIN'!$A$1:$O$93,15,0)),0,VLOOKUP($U$469,'TAR FIN'!$A$1:$O$93,15,0))</f>
        <v>162.96</v>
      </c>
      <c r="Y469" s="6"/>
      <c r="Z469" s="6">
        <f ca="1">('TUSD BE'!$AM$37+'TUSD BF'!$AM$37+'TUSD CVA'!$AM$37)*(1-CUSTOS!$M$38)</f>
        <v>274.6365589659128</v>
      </c>
      <c r="AA469" s="6">
        <f>('TE BE'!$AB$26+'TE BF'!$AB$26+'TE CVA'!$AB$26)*(1-CUSTOS!$M$38)</f>
        <v>186.29103092878736</v>
      </c>
      <c r="AB469" s="6">
        <f t="shared" si="22"/>
        <v>0</v>
      </c>
      <c r="AC469" s="6">
        <f>(L469-M469)*(W469+X469)+($W$393+$X$393-$W$469-$X$469)*(L469)</f>
        <v>-650.08398000000011</v>
      </c>
      <c r="AD469" s="6">
        <f t="shared" si="23"/>
        <v>0</v>
      </c>
      <c r="AE469" s="6">
        <f ca="1">(L469-M469)*(Z469+AA469)+($Z$393+$AA$393-$Z$469-$AA$469)*(L469)</f>
        <v>-670.09064600691659</v>
      </c>
      <c r="AF469" s="4" t="s">
        <v>638</v>
      </c>
    </row>
    <row r="470" spans="1:32" ht="11.25" customHeight="1" x14ac:dyDescent="0.25">
      <c r="A470" s="4" t="s">
        <v>28</v>
      </c>
      <c r="B470" s="4" t="s">
        <v>41</v>
      </c>
      <c r="C470" s="4" t="s">
        <v>23</v>
      </c>
      <c r="D470" s="4" t="s">
        <v>42</v>
      </c>
      <c r="E470" s="4" t="s">
        <v>50</v>
      </c>
      <c r="F470" s="4" t="s">
        <v>51</v>
      </c>
      <c r="G470" s="4" t="s">
        <v>25</v>
      </c>
      <c r="H470" s="4" t="s">
        <v>25</v>
      </c>
      <c r="I470" s="5">
        <v>44440</v>
      </c>
      <c r="J470" s="6">
        <v>0</v>
      </c>
      <c r="K470" s="6">
        <v>0</v>
      </c>
      <c r="L470" s="6">
        <v>1.6890000000000001</v>
      </c>
      <c r="M470" s="6">
        <v>0.67559999999999998</v>
      </c>
      <c r="N470" s="6">
        <v>1.6890000000000001</v>
      </c>
      <c r="O470" s="6">
        <v>0.67559999999999998</v>
      </c>
      <c r="P470" s="6">
        <v>0</v>
      </c>
      <c r="Q470" s="4" t="s">
        <v>26</v>
      </c>
      <c r="R470" s="4">
        <v>0</v>
      </c>
      <c r="S470" s="4">
        <v>0</v>
      </c>
      <c r="T470" s="4">
        <v>40</v>
      </c>
      <c r="U470" s="4">
        <v>78</v>
      </c>
      <c r="V470" s="6">
        <f>IF(ISERROR(VLOOKUP($S$470,'TAR FIN'!$A$1:$O$93,15,0)),0,VLOOKUP($S$470,'TAR FIN'!$A$1:$O$93,15,0))</f>
        <v>0</v>
      </c>
      <c r="W470" s="6">
        <f>IF(ISERROR(VLOOKUP($T$470,'TAR FIN'!$A$1:$O$93,15,0)),0,VLOOKUP($T$470,'TAR FIN'!$A$1:$O$93,15,0))</f>
        <v>240.16</v>
      </c>
      <c r="X470" s="6">
        <f>IF(ISERROR(VLOOKUP($U$470,'TAR FIN'!$A$1:$O$93,15,0)),0,VLOOKUP($U$470,'TAR FIN'!$A$1:$O$93,15,0))</f>
        <v>162.96</v>
      </c>
      <c r="Y470" s="6"/>
      <c r="Z470" s="6">
        <f ca="1">('TUSD BE'!$AM$37+'TUSD BF'!$AM$37+'TUSD CVA'!$AM$37)*(1-CUSTOS!$M$38)</f>
        <v>274.6365589659128</v>
      </c>
      <c r="AA470" s="6">
        <f>('TE BE'!$AB$26+'TE BF'!$AB$26+'TE CVA'!$AB$26)*(1-CUSTOS!$M$38)</f>
        <v>186.29103092878736</v>
      </c>
      <c r="AB470" s="6">
        <f t="shared" si="22"/>
        <v>0</v>
      </c>
      <c r="AC470" s="6">
        <f>(L470-M470)*(W470+X470)+($W$393+$X$393-$W$470-$X$470)*(L470)</f>
        <v>501.36613800000009</v>
      </c>
      <c r="AD470" s="6">
        <f t="shared" si="23"/>
        <v>0</v>
      </c>
      <c r="AE470" s="6">
        <f ca="1">(L470-M470)*(Z470+AA470)+($Z$393+$AA$393-$Z$470-$AA$470)*(L470)</f>
        <v>516.79593657793703</v>
      </c>
      <c r="AF470" s="4" t="s">
        <v>638</v>
      </c>
    </row>
    <row r="471" spans="1:32" ht="11.25" customHeight="1" x14ac:dyDescent="0.25">
      <c r="A471" s="4" t="s">
        <v>21</v>
      </c>
      <c r="B471" s="4" t="s">
        <v>41</v>
      </c>
      <c r="C471" s="4" t="s">
        <v>23</v>
      </c>
      <c r="D471" s="4" t="s">
        <v>42</v>
      </c>
      <c r="E471" s="4" t="s">
        <v>50</v>
      </c>
      <c r="F471" s="4" t="s">
        <v>51</v>
      </c>
      <c r="G471" s="4" t="s">
        <v>25</v>
      </c>
      <c r="H471" s="4" t="s">
        <v>25</v>
      </c>
      <c r="I471" s="5">
        <v>44470</v>
      </c>
      <c r="J471" s="6">
        <v>0</v>
      </c>
      <c r="K471" s="6">
        <v>0</v>
      </c>
      <c r="L471" s="6">
        <v>84.653000000000006</v>
      </c>
      <c r="M471" s="6">
        <v>33.861199999999997</v>
      </c>
      <c r="N471" s="6">
        <v>84.653000000000006</v>
      </c>
      <c r="O471" s="6">
        <v>33.861199999999997</v>
      </c>
      <c r="P471" s="6">
        <v>0</v>
      </c>
      <c r="Q471" s="4" t="s">
        <v>26</v>
      </c>
      <c r="R471" s="4">
        <v>0</v>
      </c>
      <c r="S471" s="4">
        <v>0</v>
      </c>
      <c r="T471" s="4">
        <v>40</v>
      </c>
      <c r="U471" s="4">
        <v>78</v>
      </c>
      <c r="V471" s="6">
        <f>IF(ISERROR(VLOOKUP($S$471,'TAR FIN'!$A$1:$O$93,15,0)),0,VLOOKUP($S$471,'TAR FIN'!$A$1:$O$93,15,0))</f>
        <v>0</v>
      </c>
      <c r="W471" s="6">
        <f>IF(ISERROR(VLOOKUP($T$471,'TAR FIN'!$A$1:$O$93,15,0)),0,VLOOKUP($T$471,'TAR FIN'!$A$1:$O$93,15,0))</f>
        <v>240.16</v>
      </c>
      <c r="X471" s="6">
        <f>IF(ISERROR(VLOOKUP($U$471,'TAR FIN'!$A$1:$O$93,15,0)),0,VLOOKUP($U$471,'TAR FIN'!$A$1:$O$93,15,0))</f>
        <v>162.96</v>
      </c>
      <c r="Y471" s="6"/>
      <c r="Z471" s="6">
        <f ca="1">('TUSD BE'!$AM$37+'TUSD BF'!$AM$37+'TUSD CVA'!$AM$37)*(1-CUSTOS!$M$38)</f>
        <v>274.6365589659128</v>
      </c>
      <c r="AA471" s="6">
        <f>('TE BE'!$AB$26+'TE BF'!$AB$26+'TE CVA'!$AB$26)*(1-CUSTOS!$M$38)</f>
        <v>186.29103092878736</v>
      </c>
      <c r="AB471" s="6">
        <f t="shared" si="22"/>
        <v>0</v>
      </c>
      <c r="AC471" s="6">
        <f>(L471-M471)*(W471+X471)+($W$393+$X$393-$W$471-$X$471)*(L471)</f>
        <v>25128.565826000005</v>
      </c>
      <c r="AD471" s="6">
        <f t="shared" si="23"/>
        <v>0</v>
      </c>
      <c r="AE471" s="6">
        <f ca="1">(L471-M471)*(Z471+AA471)+($Z$393+$AA$393-$Z$471-$AA$471)*(L471)</f>
        <v>25901.910254074668</v>
      </c>
      <c r="AF471" s="4" t="s">
        <v>638</v>
      </c>
    </row>
    <row r="472" spans="1:32" ht="11.25" customHeight="1" x14ac:dyDescent="0.25">
      <c r="A472" s="4" t="s">
        <v>27</v>
      </c>
      <c r="B472" s="4" t="s">
        <v>41</v>
      </c>
      <c r="C472" s="4" t="s">
        <v>23</v>
      </c>
      <c r="D472" s="4" t="s">
        <v>42</v>
      </c>
      <c r="E472" s="4" t="s">
        <v>50</v>
      </c>
      <c r="F472" s="4" t="s">
        <v>51</v>
      </c>
      <c r="G472" s="4" t="s">
        <v>25</v>
      </c>
      <c r="H472" s="4" t="s">
        <v>25</v>
      </c>
      <c r="I472" s="5">
        <v>44470</v>
      </c>
      <c r="J472" s="6">
        <v>0</v>
      </c>
      <c r="K472" s="6">
        <v>0</v>
      </c>
      <c r="L472" s="6">
        <v>-5.9939999999999998</v>
      </c>
      <c r="M472" s="6">
        <v>-2.3976000000000002</v>
      </c>
      <c r="N472" s="6">
        <v>-5.9939999999999998</v>
      </c>
      <c r="O472" s="6">
        <v>-2.3976000000000002</v>
      </c>
      <c r="P472" s="6">
        <v>0</v>
      </c>
      <c r="Q472" s="4" t="s">
        <v>26</v>
      </c>
      <c r="R472" s="4">
        <v>0</v>
      </c>
      <c r="S472" s="4">
        <v>0</v>
      </c>
      <c r="T472" s="4">
        <v>40</v>
      </c>
      <c r="U472" s="4">
        <v>78</v>
      </c>
      <c r="V472" s="6">
        <f>IF(ISERROR(VLOOKUP($S$472,'TAR FIN'!$A$1:$O$93,15,0)),0,VLOOKUP($S$472,'TAR FIN'!$A$1:$O$93,15,0))</f>
        <v>0</v>
      </c>
      <c r="W472" s="6">
        <f>IF(ISERROR(VLOOKUP($T$472,'TAR FIN'!$A$1:$O$93,15,0)),0,VLOOKUP($T$472,'TAR FIN'!$A$1:$O$93,15,0))</f>
        <v>240.16</v>
      </c>
      <c r="X472" s="6">
        <f>IF(ISERROR(VLOOKUP($U$472,'TAR FIN'!$A$1:$O$93,15,0)),0,VLOOKUP($U$472,'TAR FIN'!$A$1:$O$93,15,0))</f>
        <v>162.96</v>
      </c>
      <c r="Y472" s="6"/>
      <c r="Z472" s="6">
        <f ca="1">('TUSD BE'!$AM$37+'TUSD BF'!$AM$37+'TUSD CVA'!$AM$37)*(1-CUSTOS!$M$38)</f>
        <v>274.6365589659128</v>
      </c>
      <c r="AA472" s="6">
        <f>('TE BE'!$AB$26+'TE BF'!$AB$26+'TE CVA'!$AB$26)*(1-CUSTOS!$M$38)</f>
        <v>186.29103092878736</v>
      </c>
      <c r="AB472" s="6">
        <f t="shared" si="22"/>
        <v>0</v>
      </c>
      <c r="AC472" s="6">
        <f>(L472-M472)*(W472+X472)+($W$393+$X$393-$W$472-$X$472)*(L472)</f>
        <v>-1779.2709479999999</v>
      </c>
      <c r="AD472" s="6">
        <f t="shared" si="23"/>
        <v>0</v>
      </c>
      <c r="AE472" s="6">
        <f ca="1">(L472-M472)*(Z472+AA472)+($Z$393+$AA$393-$Z$472-$AA$472)*(L472)</f>
        <v>-1834.0289187970127</v>
      </c>
      <c r="AF472" s="4" t="s">
        <v>638</v>
      </c>
    </row>
    <row r="473" spans="1:32" ht="11.25" customHeight="1" x14ac:dyDescent="0.25">
      <c r="A473" s="4" t="s">
        <v>28</v>
      </c>
      <c r="B473" s="4" t="s">
        <v>41</v>
      </c>
      <c r="C473" s="4" t="s">
        <v>23</v>
      </c>
      <c r="D473" s="4" t="s">
        <v>42</v>
      </c>
      <c r="E473" s="4" t="s">
        <v>50</v>
      </c>
      <c r="F473" s="4" t="s">
        <v>51</v>
      </c>
      <c r="G473" s="4" t="s">
        <v>25</v>
      </c>
      <c r="H473" s="4" t="s">
        <v>25</v>
      </c>
      <c r="I473" s="5">
        <v>44470</v>
      </c>
      <c r="J473" s="6">
        <v>0</v>
      </c>
      <c r="K473" s="6">
        <v>0</v>
      </c>
      <c r="L473" s="6">
        <v>4.5019999999999998</v>
      </c>
      <c r="M473" s="6">
        <v>1.8008</v>
      </c>
      <c r="N473" s="6">
        <v>4.5019999999999998</v>
      </c>
      <c r="O473" s="6">
        <v>1.8008</v>
      </c>
      <c r="P473" s="6">
        <v>0</v>
      </c>
      <c r="Q473" s="4" t="s">
        <v>26</v>
      </c>
      <c r="R473" s="4">
        <v>0</v>
      </c>
      <c r="S473" s="4">
        <v>0</v>
      </c>
      <c r="T473" s="4">
        <v>40</v>
      </c>
      <c r="U473" s="4">
        <v>78</v>
      </c>
      <c r="V473" s="6">
        <f>IF(ISERROR(VLOOKUP($S$473,'TAR FIN'!$A$1:$O$93,15,0)),0,VLOOKUP($S$473,'TAR FIN'!$A$1:$O$93,15,0))</f>
        <v>0</v>
      </c>
      <c r="W473" s="6">
        <f>IF(ISERROR(VLOOKUP($T$473,'TAR FIN'!$A$1:$O$93,15,0)),0,VLOOKUP($T$473,'TAR FIN'!$A$1:$O$93,15,0))</f>
        <v>240.16</v>
      </c>
      <c r="X473" s="6">
        <f>IF(ISERROR(VLOOKUP($U$473,'TAR FIN'!$A$1:$O$93,15,0)),0,VLOOKUP($U$473,'TAR FIN'!$A$1:$O$93,15,0))</f>
        <v>162.96</v>
      </c>
      <c r="Y473" s="6"/>
      <c r="Z473" s="6">
        <f ca="1">('TUSD BE'!$AM$37+'TUSD BF'!$AM$37+'TUSD CVA'!$AM$37)*(1-CUSTOS!$M$38)</f>
        <v>274.6365589659128</v>
      </c>
      <c r="AA473" s="6">
        <f>('TE BE'!$AB$26+'TE BF'!$AB$26+'TE CVA'!$AB$26)*(1-CUSTOS!$M$38)</f>
        <v>186.29103092878736</v>
      </c>
      <c r="AB473" s="6">
        <f t="shared" si="22"/>
        <v>0</v>
      </c>
      <c r="AC473" s="6">
        <f>(L473-M473)*(W473+X473)+($W$393+$X$393-$W$473-$X$473)*(L473)</f>
        <v>1336.3826840000002</v>
      </c>
      <c r="AD473" s="6">
        <f t="shared" si="23"/>
        <v>0</v>
      </c>
      <c r="AE473" s="6">
        <f ca="1">(L473-M473)*(Z473+AA473)+($Z$393+$AA$393-$Z$473-$AA$473)*(L473)</f>
        <v>1377.5105426133055</v>
      </c>
      <c r="AF473" s="4" t="s">
        <v>638</v>
      </c>
    </row>
    <row r="474" spans="1:32" ht="11.25" customHeight="1" x14ac:dyDescent="0.25">
      <c r="A474" s="4" t="s">
        <v>21</v>
      </c>
      <c r="B474" s="4" t="s">
        <v>41</v>
      </c>
      <c r="C474" s="4" t="s">
        <v>23</v>
      </c>
      <c r="D474" s="4" t="s">
        <v>42</v>
      </c>
      <c r="E474" s="4" t="s">
        <v>50</v>
      </c>
      <c r="F474" s="4" t="s">
        <v>51</v>
      </c>
      <c r="G474" s="4" t="s">
        <v>25</v>
      </c>
      <c r="H474" s="4" t="s">
        <v>25</v>
      </c>
      <c r="I474" s="5">
        <v>44501</v>
      </c>
      <c r="J474" s="6">
        <v>0</v>
      </c>
      <c r="K474" s="6">
        <v>0</v>
      </c>
      <c r="L474" s="6">
        <v>183.863</v>
      </c>
      <c r="M474" s="6">
        <v>73.545199999999994</v>
      </c>
      <c r="N474" s="6">
        <v>183.863</v>
      </c>
      <c r="O474" s="6">
        <v>73.545199999999994</v>
      </c>
      <c r="P474" s="6">
        <v>0</v>
      </c>
      <c r="Q474" s="4" t="s">
        <v>26</v>
      </c>
      <c r="R474" s="4">
        <v>0</v>
      </c>
      <c r="S474" s="4">
        <v>0</v>
      </c>
      <c r="T474" s="4">
        <v>40</v>
      </c>
      <c r="U474" s="4">
        <v>78</v>
      </c>
      <c r="V474" s="6">
        <f>IF(ISERROR(VLOOKUP($S$474,'TAR FIN'!$A$1:$O$93,15,0)),0,VLOOKUP($S$474,'TAR FIN'!$A$1:$O$93,15,0))</f>
        <v>0</v>
      </c>
      <c r="W474" s="6">
        <f>IF(ISERROR(VLOOKUP($T$474,'TAR FIN'!$A$1:$O$93,15,0)),0,VLOOKUP($T$474,'TAR FIN'!$A$1:$O$93,15,0))</f>
        <v>240.16</v>
      </c>
      <c r="X474" s="6">
        <f>IF(ISERROR(VLOOKUP($U$474,'TAR FIN'!$A$1:$O$93,15,0)),0,VLOOKUP($U$474,'TAR FIN'!$A$1:$O$93,15,0))</f>
        <v>162.96</v>
      </c>
      <c r="Y474" s="6"/>
      <c r="Z474" s="6">
        <f ca="1">('TUSD BE'!$AM$37+'TUSD BF'!$AM$37+'TUSD CVA'!$AM$37)*(1-CUSTOS!$M$38)</f>
        <v>274.6365589659128</v>
      </c>
      <c r="AA474" s="6">
        <f>('TE BE'!$AB$26+'TE BF'!$AB$26+'TE CVA'!$AB$26)*(1-CUSTOS!$M$38)</f>
        <v>186.29103092878736</v>
      </c>
      <c r="AB474" s="6">
        <f t="shared" si="22"/>
        <v>0</v>
      </c>
      <c r="AC474" s="6">
        <f>(L474-M474)*(W474+X474)+($W$393+$X$393-$W$474-$X$474)*(L474)</f>
        <v>54578.26064600001</v>
      </c>
      <c r="AD474" s="6">
        <f t="shared" si="23"/>
        <v>0</v>
      </c>
      <c r="AE474" s="6">
        <f ca="1">(L474-M474)*(Z474+AA474)+($Z$393+$AA$393-$Z$474-$AA$474)*(L474)</f>
        <v>56257.934450579778</v>
      </c>
      <c r="AF474" s="4" t="s">
        <v>638</v>
      </c>
    </row>
    <row r="475" spans="1:32" ht="11.25" customHeight="1" x14ac:dyDescent="0.25">
      <c r="A475" s="4" t="s">
        <v>28</v>
      </c>
      <c r="B475" s="4" t="s">
        <v>41</v>
      </c>
      <c r="C475" s="4" t="s">
        <v>23</v>
      </c>
      <c r="D475" s="4" t="s">
        <v>42</v>
      </c>
      <c r="E475" s="4" t="s">
        <v>50</v>
      </c>
      <c r="F475" s="4" t="s">
        <v>51</v>
      </c>
      <c r="G475" s="4" t="s">
        <v>25</v>
      </c>
      <c r="H475" s="4" t="s">
        <v>25</v>
      </c>
      <c r="I475" s="5">
        <v>44501</v>
      </c>
      <c r="J475" s="6">
        <v>0</v>
      </c>
      <c r="K475" s="6">
        <v>0</v>
      </c>
      <c r="L475" s="6">
        <v>4.9530000000000003</v>
      </c>
      <c r="M475" s="6">
        <v>1.9812000000000001</v>
      </c>
      <c r="N475" s="6">
        <v>4.9530000000000003</v>
      </c>
      <c r="O475" s="6">
        <v>1.9812000000000001</v>
      </c>
      <c r="P475" s="6">
        <v>0</v>
      </c>
      <c r="Q475" s="4" t="s">
        <v>26</v>
      </c>
      <c r="R475" s="4">
        <v>0</v>
      </c>
      <c r="S475" s="4">
        <v>0</v>
      </c>
      <c r="T475" s="4">
        <v>40</v>
      </c>
      <c r="U475" s="4">
        <v>78</v>
      </c>
      <c r="V475" s="6">
        <f>IF(ISERROR(VLOOKUP($S$475,'TAR FIN'!$A$1:$O$93,15,0)),0,VLOOKUP($S$475,'TAR FIN'!$A$1:$O$93,15,0))</f>
        <v>0</v>
      </c>
      <c r="W475" s="6">
        <f>IF(ISERROR(VLOOKUP($T$475,'TAR FIN'!$A$1:$O$93,15,0)),0,VLOOKUP($T$475,'TAR FIN'!$A$1:$O$93,15,0))</f>
        <v>240.16</v>
      </c>
      <c r="X475" s="6">
        <f>IF(ISERROR(VLOOKUP($U$475,'TAR FIN'!$A$1:$O$93,15,0)),0,VLOOKUP($U$475,'TAR FIN'!$A$1:$O$93,15,0))</f>
        <v>162.96</v>
      </c>
      <c r="Y475" s="6"/>
      <c r="Z475" s="6">
        <f ca="1">('TUSD BE'!$AM$37+'TUSD BF'!$AM$37+'TUSD CVA'!$AM$37)*(1-CUSTOS!$M$38)</f>
        <v>274.6365589659128</v>
      </c>
      <c r="AA475" s="6">
        <f>('TE BE'!$AB$26+'TE BF'!$AB$26+'TE CVA'!$AB$26)*(1-CUSTOS!$M$38)</f>
        <v>186.29103092878736</v>
      </c>
      <c r="AB475" s="6">
        <f t="shared" si="22"/>
        <v>0</v>
      </c>
      <c r="AC475" s="6">
        <f>(L475-M475)*(W475+X475)+($W$393+$X$393-$W$475-$X$475)*(L475)</f>
        <v>1470.2584260000001</v>
      </c>
      <c r="AD475" s="6">
        <f t="shared" si="23"/>
        <v>0</v>
      </c>
      <c r="AE475" s="6">
        <f ca="1">(L475-M475)*(Z475+AA475)+($Z$393+$AA$393-$Z$475-$AA$475)*(L475)</f>
        <v>1515.5063788457799</v>
      </c>
      <c r="AF475" s="4" t="s">
        <v>638</v>
      </c>
    </row>
    <row r="476" spans="1:32" ht="11.25" customHeight="1" x14ac:dyDescent="0.25">
      <c r="A476" s="4" t="s">
        <v>21</v>
      </c>
      <c r="B476" s="4" t="s">
        <v>41</v>
      </c>
      <c r="C476" s="4" t="s">
        <v>23</v>
      </c>
      <c r="D476" s="4" t="s">
        <v>42</v>
      </c>
      <c r="E476" s="4" t="s">
        <v>50</v>
      </c>
      <c r="F476" s="4" t="s">
        <v>51</v>
      </c>
      <c r="G476" s="4" t="s">
        <v>25</v>
      </c>
      <c r="H476" s="4" t="s">
        <v>25</v>
      </c>
      <c r="I476" s="5">
        <v>44531</v>
      </c>
      <c r="J476" s="6">
        <v>0</v>
      </c>
      <c r="K476" s="6">
        <v>0</v>
      </c>
      <c r="L476" s="6">
        <v>957.06500000000005</v>
      </c>
      <c r="M476" s="6">
        <v>382.82600000000002</v>
      </c>
      <c r="N476" s="6">
        <v>957.06500000000005</v>
      </c>
      <c r="O476" s="6">
        <v>382.82600000000002</v>
      </c>
      <c r="P476" s="6">
        <v>0</v>
      </c>
      <c r="Q476" s="4" t="s">
        <v>26</v>
      </c>
      <c r="R476" s="4">
        <v>0</v>
      </c>
      <c r="S476" s="4">
        <v>0</v>
      </c>
      <c r="T476" s="4">
        <v>40</v>
      </c>
      <c r="U476" s="4">
        <v>78</v>
      </c>
      <c r="V476" s="6">
        <f>IF(ISERROR(VLOOKUP($S$476,'TAR FIN'!$A$1:$O$93,15,0)),0,VLOOKUP($S$476,'TAR FIN'!$A$1:$O$93,15,0))</f>
        <v>0</v>
      </c>
      <c r="W476" s="6">
        <f>IF(ISERROR(VLOOKUP($T$476,'TAR FIN'!$A$1:$O$93,15,0)),0,VLOOKUP($T$476,'TAR FIN'!$A$1:$O$93,15,0))</f>
        <v>240.16</v>
      </c>
      <c r="X476" s="6">
        <f>IF(ISERROR(VLOOKUP($U$476,'TAR FIN'!$A$1:$O$93,15,0)),0,VLOOKUP($U$476,'TAR FIN'!$A$1:$O$93,15,0))</f>
        <v>162.96</v>
      </c>
      <c r="Y476" s="6"/>
      <c r="Z476" s="6">
        <f ca="1">('TUSD BE'!$AM$37+'TUSD BF'!$AM$37+'TUSD CVA'!$AM$37)*(1-CUSTOS!$M$38)</f>
        <v>274.6365589659128</v>
      </c>
      <c r="AA476" s="6">
        <f>('TE BE'!$AB$26+'TE BF'!$AB$26+'TE CVA'!$AB$26)*(1-CUSTOS!$M$38)</f>
        <v>186.29103092878736</v>
      </c>
      <c r="AB476" s="6">
        <f t="shared" si="22"/>
        <v>0</v>
      </c>
      <c r="AC476" s="6">
        <f>(L476-M476)*(W476+X476)+($W$393+$X$393-$W$476-$X$476)*(L476)</f>
        <v>284097.08873000002</v>
      </c>
      <c r="AD476" s="6">
        <f t="shared" si="23"/>
        <v>0</v>
      </c>
      <c r="AE476" s="6">
        <f ca="1">(L476-M476)*(Z476+AA476)+($Z$393+$AA$393-$Z$476-$AA$476)*(L476)</f>
        <v>292840.3215162601</v>
      </c>
      <c r="AF476" s="4" t="s">
        <v>638</v>
      </c>
    </row>
    <row r="477" spans="1:32" ht="11.25" customHeight="1" x14ac:dyDescent="0.25">
      <c r="A477" s="4" t="s">
        <v>27</v>
      </c>
      <c r="B477" s="4" t="s">
        <v>41</v>
      </c>
      <c r="C477" s="4" t="s">
        <v>23</v>
      </c>
      <c r="D477" s="4" t="s">
        <v>42</v>
      </c>
      <c r="E477" s="4" t="s">
        <v>50</v>
      </c>
      <c r="F477" s="4" t="s">
        <v>51</v>
      </c>
      <c r="G477" s="4" t="s">
        <v>25</v>
      </c>
      <c r="H477" s="4" t="s">
        <v>25</v>
      </c>
      <c r="I477" s="5">
        <v>44531</v>
      </c>
      <c r="J477" s="6">
        <v>0</v>
      </c>
      <c r="K477" s="6">
        <v>0</v>
      </c>
      <c r="L477" s="6">
        <v>-75.600999999999999</v>
      </c>
      <c r="M477" s="6">
        <v>-30.240400000000001</v>
      </c>
      <c r="N477" s="6">
        <v>-75.600999999999999</v>
      </c>
      <c r="O477" s="6">
        <v>-30.240400000000001</v>
      </c>
      <c r="P477" s="6">
        <v>0</v>
      </c>
      <c r="Q477" s="4" t="s">
        <v>26</v>
      </c>
      <c r="R477" s="4">
        <v>0</v>
      </c>
      <c r="S477" s="4">
        <v>0</v>
      </c>
      <c r="T477" s="4">
        <v>40</v>
      </c>
      <c r="U477" s="4">
        <v>78</v>
      </c>
      <c r="V477" s="6">
        <f>IF(ISERROR(VLOOKUP($S$477,'TAR FIN'!$A$1:$O$93,15,0)),0,VLOOKUP($S$477,'TAR FIN'!$A$1:$O$93,15,0))</f>
        <v>0</v>
      </c>
      <c r="W477" s="6">
        <f>IF(ISERROR(VLOOKUP($T$477,'TAR FIN'!$A$1:$O$93,15,0)),0,VLOOKUP($T$477,'TAR FIN'!$A$1:$O$93,15,0))</f>
        <v>240.16</v>
      </c>
      <c r="X477" s="6">
        <f>IF(ISERROR(VLOOKUP($U$477,'TAR FIN'!$A$1:$O$93,15,0)),0,VLOOKUP($U$477,'TAR FIN'!$A$1:$O$93,15,0))</f>
        <v>162.96</v>
      </c>
      <c r="Y477" s="6"/>
      <c r="Z477" s="6">
        <f ca="1">('TUSD BE'!$AM$37+'TUSD BF'!$AM$37+'TUSD CVA'!$AM$37)*(1-CUSTOS!$M$38)</f>
        <v>274.6365589659128</v>
      </c>
      <c r="AA477" s="6">
        <f>('TE BE'!$AB$26+'TE BF'!$AB$26+'TE CVA'!$AB$26)*(1-CUSTOS!$M$38)</f>
        <v>186.29103092878736</v>
      </c>
      <c r="AB477" s="6">
        <f t="shared" si="22"/>
        <v>0</v>
      </c>
      <c r="AC477" s="6">
        <f>(L477-M477)*(W477+X477)+($W$393+$X$393-$W$477-$X$477)*(L477)</f>
        <v>-22441.552041999999</v>
      </c>
      <c r="AD477" s="6">
        <f t="shared" si="23"/>
        <v>0</v>
      </c>
      <c r="AE477" s="6">
        <f ca="1">(L477-M477)*(Z477+AA477)+($Z$393+$AA$393-$Z$477-$AA$477)*(L477)</f>
        <v>-23132.202250579405</v>
      </c>
      <c r="AF477" s="4" t="s">
        <v>638</v>
      </c>
    </row>
    <row r="478" spans="1:32" ht="11.25" customHeight="1" x14ac:dyDescent="0.25">
      <c r="A478" s="4" t="s">
        <v>21</v>
      </c>
      <c r="B478" s="4" t="s">
        <v>41</v>
      </c>
      <c r="C478" s="4" t="s">
        <v>23</v>
      </c>
      <c r="D478" s="4" t="s">
        <v>42</v>
      </c>
      <c r="E478" s="4" t="s">
        <v>50</v>
      </c>
      <c r="F478" s="4" t="s">
        <v>51</v>
      </c>
      <c r="G478" s="4" t="s">
        <v>25</v>
      </c>
      <c r="H478" s="4" t="s">
        <v>25</v>
      </c>
      <c r="I478" s="5">
        <v>44562</v>
      </c>
      <c r="J478" s="6">
        <v>0</v>
      </c>
      <c r="K478" s="6">
        <v>0</v>
      </c>
      <c r="L478" s="6">
        <v>1113.9190000000001</v>
      </c>
      <c r="M478" s="6">
        <v>445.56760000000003</v>
      </c>
      <c r="N478" s="6">
        <v>1113.9190000000001</v>
      </c>
      <c r="O478" s="6">
        <v>445.56760000000003</v>
      </c>
      <c r="P478" s="6">
        <v>0</v>
      </c>
      <c r="Q478" s="4" t="s">
        <v>26</v>
      </c>
      <c r="R478" s="4">
        <v>0</v>
      </c>
      <c r="S478" s="4">
        <v>0</v>
      </c>
      <c r="T478" s="4">
        <v>40</v>
      </c>
      <c r="U478" s="4">
        <v>78</v>
      </c>
      <c r="V478" s="6">
        <f>IF(ISERROR(VLOOKUP($S$478,'TAR FIN'!$A$1:$O$93,15,0)),0,VLOOKUP($S$478,'TAR FIN'!$A$1:$O$93,15,0))</f>
        <v>0</v>
      </c>
      <c r="W478" s="6">
        <f>IF(ISERROR(VLOOKUP($T$478,'TAR FIN'!$A$1:$O$93,15,0)),0,VLOOKUP($T$478,'TAR FIN'!$A$1:$O$93,15,0))</f>
        <v>240.16</v>
      </c>
      <c r="X478" s="6">
        <f>IF(ISERROR(VLOOKUP($U$478,'TAR FIN'!$A$1:$O$93,15,0)),0,VLOOKUP($U$478,'TAR FIN'!$A$1:$O$93,15,0))</f>
        <v>162.96</v>
      </c>
      <c r="Y478" s="6"/>
      <c r="Z478" s="6">
        <f ca="1">('TUSD BE'!$AM$37+'TUSD BF'!$AM$37+'TUSD CVA'!$AM$37)*(1-CUSTOS!$M$38)</f>
        <v>274.6365589659128</v>
      </c>
      <c r="AA478" s="6">
        <f>('TE BE'!$AB$26+'TE BF'!$AB$26+'TE CVA'!$AB$26)*(1-CUSTOS!$M$38)</f>
        <v>186.29103092878736</v>
      </c>
      <c r="AB478" s="6">
        <f t="shared" si="22"/>
        <v>0</v>
      </c>
      <c r="AC478" s="6">
        <f>(L478-M478)*(W478+X478)+($W$393+$X$393-$W$478-$X$478)*(L478)</f>
        <v>330657.94379800005</v>
      </c>
      <c r="AD478" s="6">
        <f t="shared" si="23"/>
        <v>0</v>
      </c>
      <c r="AE478" s="6">
        <f ca="1">(L478-M478)*(Z478+AA478)+($Z$393+$AA$393-$Z$478-$AA$478)*(L478)</f>
        <v>340834.11064355186</v>
      </c>
      <c r="AF478" s="4" t="s">
        <v>638</v>
      </c>
    </row>
    <row r="479" spans="1:32" ht="11.25" customHeight="1" x14ac:dyDescent="0.25">
      <c r="A479" s="4" t="s">
        <v>27</v>
      </c>
      <c r="B479" s="4" t="s">
        <v>41</v>
      </c>
      <c r="C479" s="4" t="s">
        <v>23</v>
      </c>
      <c r="D479" s="4" t="s">
        <v>42</v>
      </c>
      <c r="E479" s="4" t="s">
        <v>50</v>
      </c>
      <c r="F479" s="4" t="s">
        <v>51</v>
      </c>
      <c r="G479" s="4" t="s">
        <v>25</v>
      </c>
      <c r="H479" s="4" t="s">
        <v>25</v>
      </c>
      <c r="I479" s="5">
        <v>44562</v>
      </c>
      <c r="J479" s="6">
        <v>0</v>
      </c>
      <c r="K479" s="6">
        <v>0</v>
      </c>
      <c r="L479" s="6">
        <v>-8.4</v>
      </c>
      <c r="M479" s="6">
        <v>-3.36</v>
      </c>
      <c r="N479" s="6">
        <v>-8.4</v>
      </c>
      <c r="O479" s="6">
        <v>-3.36</v>
      </c>
      <c r="P479" s="6">
        <v>0</v>
      </c>
      <c r="Q479" s="4" t="s">
        <v>26</v>
      </c>
      <c r="R479" s="4">
        <v>0</v>
      </c>
      <c r="S479" s="4">
        <v>0</v>
      </c>
      <c r="T479" s="4">
        <v>40</v>
      </c>
      <c r="U479" s="4">
        <v>78</v>
      </c>
      <c r="V479" s="6">
        <f>IF(ISERROR(VLOOKUP($S$479,'TAR FIN'!$A$1:$O$93,15,0)),0,VLOOKUP($S$479,'TAR FIN'!$A$1:$O$93,15,0))</f>
        <v>0</v>
      </c>
      <c r="W479" s="6">
        <f>IF(ISERROR(VLOOKUP($T$479,'TAR FIN'!$A$1:$O$93,15,0)),0,VLOOKUP($T$479,'TAR FIN'!$A$1:$O$93,15,0))</f>
        <v>240.16</v>
      </c>
      <c r="X479" s="6">
        <f>IF(ISERROR(VLOOKUP($U$479,'TAR FIN'!$A$1:$O$93,15,0)),0,VLOOKUP($U$479,'TAR FIN'!$A$1:$O$93,15,0))</f>
        <v>162.96</v>
      </c>
      <c r="Y479" s="6"/>
      <c r="Z479" s="6">
        <f ca="1">('TUSD BE'!$AM$37+'TUSD BF'!$AM$37+'TUSD CVA'!$AM$37)*(1-CUSTOS!$M$38)</f>
        <v>274.6365589659128</v>
      </c>
      <c r="AA479" s="6">
        <f>('TE BE'!$AB$26+'TE BF'!$AB$26+'TE CVA'!$AB$26)*(1-CUSTOS!$M$38)</f>
        <v>186.29103092878736</v>
      </c>
      <c r="AB479" s="6">
        <f t="shared" si="22"/>
        <v>0</v>
      </c>
      <c r="AC479" s="6">
        <f>(L479-M479)*(W479+X479)+($W$393+$X$393-$W$479-$X$479)*(L479)</f>
        <v>-2493.4728000000005</v>
      </c>
      <c r="AD479" s="6">
        <f t="shared" si="23"/>
        <v>0</v>
      </c>
      <c r="AE479" s="6">
        <f ca="1">(L479-M479)*(Z479+AA479)+($Z$393+$AA$393-$Z$479-$AA$479)*(L479)</f>
        <v>-2570.2106970128311</v>
      </c>
      <c r="AF479" s="4" t="s">
        <v>638</v>
      </c>
    </row>
    <row r="480" spans="1:32" ht="11.25" customHeight="1" x14ac:dyDescent="0.25">
      <c r="A480" s="4" t="s">
        <v>28</v>
      </c>
      <c r="B480" s="4" t="s">
        <v>41</v>
      </c>
      <c r="C480" s="4" t="s">
        <v>23</v>
      </c>
      <c r="D480" s="4" t="s">
        <v>42</v>
      </c>
      <c r="E480" s="4" t="s">
        <v>50</v>
      </c>
      <c r="F480" s="4" t="s">
        <v>51</v>
      </c>
      <c r="G480" s="4" t="s">
        <v>25</v>
      </c>
      <c r="H480" s="4" t="s">
        <v>25</v>
      </c>
      <c r="I480" s="5">
        <v>44562</v>
      </c>
      <c r="J480" s="6">
        <v>0</v>
      </c>
      <c r="K480" s="6">
        <v>0</v>
      </c>
      <c r="L480" s="6">
        <v>59.715000000000003</v>
      </c>
      <c r="M480" s="6">
        <v>23.885999999999999</v>
      </c>
      <c r="N480" s="6">
        <v>59.715000000000003</v>
      </c>
      <c r="O480" s="6">
        <v>23.885999999999999</v>
      </c>
      <c r="P480" s="6">
        <v>0</v>
      </c>
      <c r="Q480" s="4" t="s">
        <v>26</v>
      </c>
      <c r="R480" s="4">
        <v>0</v>
      </c>
      <c r="S480" s="4">
        <v>0</v>
      </c>
      <c r="T480" s="4">
        <v>40</v>
      </c>
      <c r="U480" s="4">
        <v>78</v>
      </c>
      <c r="V480" s="6">
        <f>IF(ISERROR(VLOOKUP($S$480,'TAR FIN'!$A$1:$O$93,15,0)),0,VLOOKUP($S$480,'TAR FIN'!$A$1:$O$93,15,0))</f>
        <v>0</v>
      </c>
      <c r="W480" s="6">
        <f>IF(ISERROR(VLOOKUP($T$480,'TAR FIN'!$A$1:$O$93,15,0)),0,VLOOKUP($T$480,'TAR FIN'!$A$1:$O$93,15,0))</f>
        <v>240.16</v>
      </c>
      <c r="X480" s="6">
        <f>IF(ISERROR(VLOOKUP($U$480,'TAR FIN'!$A$1:$O$93,15,0)),0,VLOOKUP($U$480,'TAR FIN'!$A$1:$O$93,15,0))</f>
        <v>162.96</v>
      </c>
      <c r="Y480" s="6"/>
      <c r="Z480" s="6">
        <f ca="1">('TUSD BE'!$AM$37+'TUSD BF'!$AM$37+'TUSD CVA'!$AM$37)*(1-CUSTOS!$M$38)</f>
        <v>274.6365589659128</v>
      </c>
      <c r="AA480" s="6">
        <f>('TE BE'!$AB$26+'TE BF'!$AB$26+'TE CVA'!$AB$26)*(1-CUSTOS!$M$38)</f>
        <v>186.29103092878736</v>
      </c>
      <c r="AB480" s="6">
        <f t="shared" si="22"/>
        <v>0</v>
      </c>
      <c r="AC480" s="6">
        <f>(L480-M480)*(W480+X480)+($W$393+$X$393-$W$480-$X$480)*(L480)</f>
        <v>17725.920030000005</v>
      </c>
      <c r="AD480" s="6">
        <f t="shared" si="23"/>
        <v>0</v>
      </c>
      <c r="AE480" s="6">
        <f ca="1">(L480-M480)*(Z480+AA480)+($Z$393+$AA$393-$Z$480-$AA$480)*(L480)</f>
        <v>18271.44425858586</v>
      </c>
      <c r="AF480" s="4" t="s">
        <v>638</v>
      </c>
    </row>
    <row r="481" spans="1:32" ht="11.25" customHeight="1" x14ac:dyDescent="0.25">
      <c r="A481" s="4" t="s">
        <v>21</v>
      </c>
      <c r="B481" s="4" t="s">
        <v>41</v>
      </c>
      <c r="C481" s="4" t="s">
        <v>23</v>
      </c>
      <c r="D481" s="4" t="s">
        <v>42</v>
      </c>
      <c r="E481" s="4" t="s">
        <v>50</v>
      </c>
      <c r="F481" s="4" t="s">
        <v>51</v>
      </c>
      <c r="G481" s="4" t="s">
        <v>25</v>
      </c>
      <c r="H481" s="4" t="s">
        <v>25</v>
      </c>
      <c r="I481" s="5">
        <v>44593</v>
      </c>
      <c r="J481" s="6">
        <v>0</v>
      </c>
      <c r="K481" s="6">
        <v>0</v>
      </c>
      <c r="L481" s="6">
        <v>797.46600000000001</v>
      </c>
      <c r="M481" s="6">
        <v>318.9864</v>
      </c>
      <c r="N481" s="6">
        <v>797.46600000000001</v>
      </c>
      <c r="O481" s="6">
        <v>318.9864</v>
      </c>
      <c r="P481" s="6">
        <v>0</v>
      </c>
      <c r="Q481" s="4" t="s">
        <v>26</v>
      </c>
      <c r="R481" s="4">
        <v>0</v>
      </c>
      <c r="S481" s="4">
        <v>0</v>
      </c>
      <c r="T481" s="4">
        <v>40</v>
      </c>
      <c r="U481" s="4">
        <v>78</v>
      </c>
      <c r="V481" s="6">
        <f>IF(ISERROR(VLOOKUP($S$481,'TAR FIN'!$A$1:$O$93,15,0)),0,VLOOKUP($S$481,'TAR FIN'!$A$1:$O$93,15,0))</f>
        <v>0</v>
      </c>
      <c r="W481" s="6">
        <f>IF(ISERROR(VLOOKUP($T$481,'TAR FIN'!$A$1:$O$93,15,0)),0,VLOOKUP($T$481,'TAR FIN'!$A$1:$O$93,15,0))</f>
        <v>240.16</v>
      </c>
      <c r="X481" s="6">
        <f>IF(ISERROR(VLOOKUP($U$481,'TAR FIN'!$A$1:$O$93,15,0)),0,VLOOKUP($U$481,'TAR FIN'!$A$1:$O$93,15,0))</f>
        <v>162.96</v>
      </c>
      <c r="Y481" s="6"/>
      <c r="Z481" s="6">
        <f ca="1">('TUSD BE'!$AM$37+'TUSD BF'!$AM$37+'TUSD CVA'!$AM$37)*(1-CUSTOS!$M$38)</f>
        <v>274.6365589659128</v>
      </c>
      <c r="AA481" s="6">
        <f>('TE BE'!$AB$26+'TE BF'!$AB$26+'TE CVA'!$AB$26)*(1-CUSTOS!$M$38)</f>
        <v>186.29103092878736</v>
      </c>
      <c r="AB481" s="6">
        <f t="shared" si="22"/>
        <v>0</v>
      </c>
      <c r="AC481" s="6">
        <f>(L481-M481)*(W481+X481)+($W$393+$X$393-$W$481-$X$481)*(L481)</f>
        <v>236721.40237200001</v>
      </c>
      <c r="AD481" s="6">
        <f t="shared" si="23"/>
        <v>0</v>
      </c>
      <c r="AE481" s="6">
        <f ca="1">(L481-M481)*(Z481+AA481)+($Z$393+$AA$393-$Z$481-$AA$481)*(L481)</f>
        <v>244006.62425048026</v>
      </c>
      <c r="AF481" s="4" t="s">
        <v>638</v>
      </c>
    </row>
    <row r="482" spans="1:32" ht="11.25" customHeight="1" x14ac:dyDescent="0.25">
      <c r="A482" s="4" t="s">
        <v>27</v>
      </c>
      <c r="B482" s="4" t="s">
        <v>41</v>
      </c>
      <c r="C482" s="4" t="s">
        <v>23</v>
      </c>
      <c r="D482" s="4" t="s">
        <v>42</v>
      </c>
      <c r="E482" s="4" t="s">
        <v>50</v>
      </c>
      <c r="F482" s="4" t="s">
        <v>51</v>
      </c>
      <c r="G482" s="4" t="s">
        <v>25</v>
      </c>
      <c r="H482" s="4" t="s">
        <v>25</v>
      </c>
      <c r="I482" s="5">
        <v>44593</v>
      </c>
      <c r="J482" s="6">
        <v>0</v>
      </c>
      <c r="K482" s="6">
        <v>0</v>
      </c>
      <c r="L482" s="6">
        <v>-16.84</v>
      </c>
      <c r="M482" s="6">
        <v>-6.7359999999999998</v>
      </c>
      <c r="N482" s="6">
        <v>-16.84</v>
      </c>
      <c r="O482" s="6">
        <v>-6.7359999999999998</v>
      </c>
      <c r="P482" s="6">
        <v>0</v>
      </c>
      <c r="Q482" s="4" t="s">
        <v>26</v>
      </c>
      <c r="R482" s="4">
        <v>0</v>
      </c>
      <c r="S482" s="4">
        <v>0</v>
      </c>
      <c r="T482" s="4">
        <v>40</v>
      </c>
      <c r="U482" s="4">
        <v>78</v>
      </c>
      <c r="V482" s="6">
        <f>IF(ISERROR(VLOOKUP($S$482,'TAR FIN'!$A$1:$O$93,15,0)),0,VLOOKUP($S$482,'TAR FIN'!$A$1:$O$93,15,0))</f>
        <v>0</v>
      </c>
      <c r="W482" s="6">
        <f>IF(ISERROR(VLOOKUP($T$482,'TAR FIN'!$A$1:$O$93,15,0)),0,VLOOKUP($T$482,'TAR FIN'!$A$1:$O$93,15,0))</f>
        <v>240.16</v>
      </c>
      <c r="X482" s="6">
        <f>IF(ISERROR(VLOOKUP($U$482,'TAR FIN'!$A$1:$O$93,15,0)),0,VLOOKUP($U$482,'TAR FIN'!$A$1:$O$93,15,0))</f>
        <v>162.96</v>
      </c>
      <c r="Y482" s="6"/>
      <c r="Z482" s="6">
        <f ca="1">('TUSD BE'!$AM$37+'TUSD BF'!$AM$37+'TUSD CVA'!$AM$37)*(1-CUSTOS!$M$38)</f>
        <v>274.6365589659128</v>
      </c>
      <c r="AA482" s="6">
        <f>('TE BE'!$AB$26+'TE BF'!$AB$26+'TE CVA'!$AB$26)*(1-CUSTOS!$M$38)</f>
        <v>186.29103092878736</v>
      </c>
      <c r="AB482" s="6">
        <f t="shared" si="22"/>
        <v>0</v>
      </c>
      <c r="AC482" s="6">
        <f>(L482-M482)*(W482+X482)+($W$393+$X$393-$W$482-$X$482)*(L482)</f>
        <v>-4998.8192800000006</v>
      </c>
      <c r="AD482" s="6">
        <f t="shared" si="23"/>
        <v>0</v>
      </c>
      <c r="AE482" s="6">
        <f ca="1">(L482-M482)*(Z482+AA482)+($Z$393+$AA$393-$Z$482-$AA$482)*(L482)</f>
        <v>-5152.6604925828651</v>
      </c>
      <c r="AF482" s="4" t="s">
        <v>638</v>
      </c>
    </row>
    <row r="483" spans="1:32" ht="11.25" customHeight="1" x14ac:dyDescent="0.25">
      <c r="A483" s="4" t="s">
        <v>28</v>
      </c>
      <c r="B483" s="4" t="s">
        <v>41</v>
      </c>
      <c r="C483" s="4" t="s">
        <v>23</v>
      </c>
      <c r="D483" s="4" t="s">
        <v>42</v>
      </c>
      <c r="E483" s="4" t="s">
        <v>50</v>
      </c>
      <c r="F483" s="4" t="s">
        <v>51</v>
      </c>
      <c r="G483" s="4" t="s">
        <v>25</v>
      </c>
      <c r="H483" s="4" t="s">
        <v>25</v>
      </c>
      <c r="I483" s="5">
        <v>44593</v>
      </c>
      <c r="J483" s="6">
        <v>0</v>
      </c>
      <c r="K483" s="6">
        <v>0</v>
      </c>
      <c r="L483" s="6">
        <v>40.540999999999997</v>
      </c>
      <c r="M483" s="6">
        <v>16.2164</v>
      </c>
      <c r="N483" s="6">
        <v>40.540999999999997</v>
      </c>
      <c r="O483" s="6">
        <v>16.2164</v>
      </c>
      <c r="P483" s="6">
        <v>0</v>
      </c>
      <c r="Q483" s="4" t="s">
        <v>26</v>
      </c>
      <c r="R483" s="4">
        <v>0</v>
      </c>
      <c r="S483" s="4">
        <v>0</v>
      </c>
      <c r="T483" s="4">
        <v>40</v>
      </c>
      <c r="U483" s="4">
        <v>78</v>
      </c>
      <c r="V483" s="6">
        <f>IF(ISERROR(VLOOKUP($S$483,'TAR FIN'!$A$1:$O$93,15,0)),0,VLOOKUP($S$483,'TAR FIN'!$A$1:$O$93,15,0))</f>
        <v>0</v>
      </c>
      <c r="W483" s="6">
        <f>IF(ISERROR(VLOOKUP($T$483,'TAR FIN'!$A$1:$O$93,15,0)),0,VLOOKUP($T$483,'TAR FIN'!$A$1:$O$93,15,0))</f>
        <v>240.16</v>
      </c>
      <c r="X483" s="6">
        <f>IF(ISERROR(VLOOKUP($U$483,'TAR FIN'!$A$1:$O$93,15,0)),0,VLOOKUP($U$483,'TAR FIN'!$A$1:$O$93,15,0))</f>
        <v>162.96</v>
      </c>
      <c r="Y483" s="6"/>
      <c r="Z483" s="6">
        <f ca="1">('TUSD BE'!$AM$37+'TUSD BF'!$AM$37+'TUSD CVA'!$AM$37)*(1-CUSTOS!$M$38)</f>
        <v>274.6365589659128</v>
      </c>
      <c r="AA483" s="6">
        <f>('TE BE'!$AB$26+'TE BF'!$AB$26+'TE CVA'!$AB$26)*(1-CUSTOS!$M$38)</f>
        <v>186.29103092878736</v>
      </c>
      <c r="AB483" s="6">
        <f t="shared" si="22"/>
        <v>0</v>
      </c>
      <c r="AC483" s="6">
        <f>(L483-M483)*(W483+X483)+($W$393+$X$393-$W$483-$X$483)*(L483)</f>
        <v>12034.271521999999</v>
      </c>
      <c r="AD483" s="6">
        <f t="shared" si="23"/>
        <v>0</v>
      </c>
      <c r="AE483" s="6">
        <f ca="1">(L483-M483)*(Z483+AA483)+($Z$393+$AA$393-$Z$483-$AA$483)*(L483)</f>
        <v>12404.632365190138</v>
      </c>
      <c r="AF483" s="4" t="s">
        <v>638</v>
      </c>
    </row>
    <row r="484" spans="1:32" ht="11.25" customHeight="1" x14ac:dyDescent="0.25">
      <c r="A484" s="4" t="s">
        <v>21</v>
      </c>
      <c r="B484" s="4" t="s">
        <v>41</v>
      </c>
      <c r="C484" s="4" t="s">
        <v>23</v>
      </c>
      <c r="D484" s="4" t="s">
        <v>42</v>
      </c>
      <c r="E484" s="4" t="s">
        <v>50</v>
      </c>
      <c r="F484" s="4" t="s">
        <v>51</v>
      </c>
      <c r="G484" s="4" t="s">
        <v>25</v>
      </c>
      <c r="H484" s="4" t="s">
        <v>25</v>
      </c>
      <c r="I484" s="5">
        <v>44621</v>
      </c>
      <c r="J484" s="6">
        <v>0</v>
      </c>
      <c r="K484" s="6">
        <v>0</v>
      </c>
      <c r="L484" s="6">
        <v>557.976</v>
      </c>
      <c r="M484" s="6">
        <v>223.19040000000001</v>
      </c>
      <c r="N484" s="6">
        <v>557.976</v>
      </c>
      <c r="O484" s="6">
        <v>223.19040000000001</v>
      </c>
      <c r="P484" s="6">
        <v>0</v>
      </c>
      <c r="Q484" s="4" t="s">
        <v>26</v>
      </c>
      <c r="R484" s="4">
        <v>0</v>
      </c>
      <c r="S484" s="4">
        <v>0</v>
      </c>
      <c r="T484" s="4">
        <v>40</v>
      </c>
      <c r="U484" s="4">
        <v>78</v>
      </c>
      <c r="V484" s="6">
        <f>IF(ISERROR(VLOOKUP($S$484,'TAR FIN'!$A$1:$O$93,15,0)),0,VLOOKUP($S$484,'TAR FIN'!$A$1:$O$93,15,0))</f>
        <v>0</v>
      </c>
      <c r="W484" s="6">
        <f>IF(ISERROR(VLOOKUP($T$484,'TAR FIN'!$A$1:$O$93,15,0)),0,VLOOKUP($T$484,'TAR FIN'!$A$1:$O$93,15,0))</f>
        <v>240.16</v>
      </c>
      <c r="X484" s="6">
        <f>IF(ISERROR(VLOOKUP($U$484,'TAR FIN'!$A$1:$O$93,15,0)),0,VLOOKUP($U$484,'TAR FIN'!$A$1:$O$93,15,0))</f>
        <v>162.96</v>
      </c>
      <c r="Y484" s="6"/>
      <c r="Z484" s="6">
        <f ca="1">('TUSD BE'!$AM$37+'TUSD BF'!$AM$37+'TUSD CVA'!$AM$37)*(1-CUSTOS!$M$38)</f>
        <v>274.6365589659128</v>
      </c>
      <c r="AA484" s="6">
        <f>('TE BE'!$AB$26+'TE BF'!$AB$26+'TE CVA'!$AB$26)*(1-CUSTOS!$M$38)</f>
        <v>186.29103092878736</v>
      </c>
      <c r="AB484" s="6">
        <f t="shared" si="22"/>
        <v>0</v>
      </c>
      <c r="AC484" s="6">
        <f>(L484-M484)*(W484+X484)+($W$393+$X$393-$W$484-$X$484)*(L484)</f>
        <v>165630.71179200002</v>
      </c>
      <c r="AD484" s="6">
        <f t="shared" si="23"/>
        <v>0</v>
      </c>
      <c r="AE484" s="6">
        <f ca="1">(L484-M484)*(Z484+AA484)+($Z$393+$AA$393-$Z$484-$AA$484)*(L484)</f>
        <v>170728.08141386087</v>
      </c>
      <c r="AF484" s="4" t="s">
        <v>638</v>
      </c>
    </row>
    <row r="485" spans="1:32" ht="11.25" customHeight="1" x14ac:dyDescent="0.25">
      <c r="A485" s="4" t="s">
        <v>27</v>
      </c>
      <c r="B485" s="4" t="s">
        <v>41</v>
      </c>
      <c r="C485" s="4" t="s">
        <v>23</v>
      </c>
      <c r="D485" s="4" t="s">
        <v>42</v>
      </c>
      <c r="E485" s="4" t="s">
        <v>50</v>
      </c>
      <c r="F485" s="4" t="s">
        <v>51</v>
      </c>
      <c r="G485" s="4" t="s">
        <v>25</v>
      </c>
      <c r="H485" s="4" t="s">
        <v>25</v>
      </c>
      <c r="I485" s="5">
        <v>44621</v>
      </c>
      <c r="J485" s="6">
        <v>0</v>
      </c>
      <c r="K485" s="6">
        <v>0</v>
      </c>
      <c r="L485" s="6">
        <v>-8.3610000000000007</v>
      </c>
      <c r="M485" s="6">
        <v>-3.3443999999999998</v>
      </c>
      <c r="N485" s="6">
        <v>-8.3610000000000007</v>
      </c>
      <c r="O485" s="6">
        <v>-3.3443999999999998</v>
      </c>
      <c r="P485" s="6">
        <v>0</v>
      </c>
      <c r="Q485" s="4" t="s">
        <v>26</v>
      </c>
      <c r="R485" s="4">
        <v>0</v>
      </c>
      <c r="S485" s="4">
        <v>0</v>
      </c>
      <c r="T485" s="4">
        <v>40</v>
      </c>
      <c r="U485" s="4">
        <v>78</v>
      </c>
      <c r="V485" s="6">
        <f>IF(ISERROR(VLOOKUP($S$485,'TAR FIN'!$A$1:$O$93,15,0)),0,VLOOKUP($S$485,'TAR FIN'!$A$1:$O$93,15,0))</f>
        <v>0</v>
      </c>
      <c r="W485" s="6">
        <f>IF(ISERROR(VLOOKUP($T$485,'TAR FIN'!$A$1:$O$93,15,0)),0,VLOOKUP($T$485,'TAR FIN'!$A$1:$O$93,15,0))</f>
        <v>240.16</v>
      </c>
      <c r="X485" s="6">
        <f>IF(ISERROR(VLOOKUP($U$485,'TAR FIN'!$A$1:$O$93,15,0)),0,VLOOKUP($U$485,'TAR FIN'!$A$1:$O$93,15,0))</f>
        <v>162.96</v>
      </c>
      <c r="Y485" s="6"/>
      <c r="Z485" s="6">
        <f ca="1">('TUSD BE'!$AM$37+'TUSD BF'!$AM$37+'TUSD CVA'!$AM$37)*(1-CUSTOS!$M$38)</f>
        <v>274.6365589659128</v>
      </c>
      <c r="AA485" s="6">
        <f>('TE BE'!$AB$26+'TE BF'!$AB$26+'TE CVA'!$AB$26)*(1-CUSTOS!$M$38)</f>
        <v>186.29103092878736</v>
      </c>
      <c r="AB485" s="6">
        <f t="shared" si="22"/>
        <v>0</v>
      </c>
      <c r="AC485" s="6">
        <f>(L485-M485)*(W485+X485)+($W$393+$X$393-$W$485-$X$485)*(L485)</f>
        <v>-2481.8959620000005</v>
      </c>
      <c r="AD485" s="6">
        <f t="shared" si="23"/>
        <v>0</v>
      </c>
      <c r="AE485" s="6">
        <f ca="1">(L485-M485)*(Z485+AA485)+($Z$393+$AA$393-$Z$485-$AA$485)*(L485)</f>
        <v>-2558.277575919557</v>
      </c>
      <c r="AF485" s="4" t="s">
        <v>638</v>
      </c>
    </row>
    <row r="486" spans="1:32" ht="11.25" customHeight="1" x14ac:dyDescent="0.25">
      <c r="A486" s="4" t="s">
        <v>28</v>
      </c>
      <c r="B486" s="4" t="s">
        <v>41</v>
      </c>
      <c r="C486" s="4" t="s">
        <v>23</v>
      </c>
      <c r="D486" s="4" t="s">
        <v>42</v>
      </c>
      <c r="E486" s="4" t="s">
        <v>50</v>
      </c>
      <c r="F486" s="4" t="s">
        <v>51</v>
      </c>
      <c r="G486" s="4" t="s">
        <v>25</v>
      </c>
      <c r="H486" s="4" t="s">
        <v>25</v>
      </c>
      <c r="I486" s="5">
        <v>44621</v>
      </c>
      <c r="J486" s="6">
        <v>0</v>
      </c>
      <c r="K486" s="6">
        <v>0</v>
      </c>
      <c r="L486" s="6">
        <v>38.441000000000003</v>
      </c>
      <c r="M486" s="6">
        <v>15.3764</v>
      </c>
      <c r="N486" s="6">
        <v>38.441000000000003</v>
      </c>
      <c r="O486" s="6">
        <v>15.3764</v>
      </c>
      <c r="P486" s="6">
        <v>0</v>
      </c>
      <c r="Q486" s="4" t="s">
        <v>26</v>
      </c>
      <c r="R486" s="4">
        <v>0</v>
      </c>
      <c r="S486" s="4">
        <v>0</v>
      </c>
      <c r="T486" s="4">
        <v>40</v>
      </c>
      <c r="U486" s="4">
        <v>78</v>
      </c>
      <c r="V486" s="6">
        <f>IF(ISERROR(VLOOKUP($S$486,'TAR FIN'!$A$1:$O$93,15,0)),0,VLOOKUP($S$486,'TAR FIN'!$A$1:$O$93,15,0))</f>
        <v>0</v>
      </c>
      <c r="W486" s="6">
        <f>IF(ISERROR(VLOOKUP($T$486,'TAR FIN'!$A$1:$O$93,15,0)),0,VLOOKUP($T$486,'TAR FIN'!$A$1:$O$93,15,0))</f>
        <v>240.16</v>
      </c>
      <c r="X486" s="6">
        <f>IF(ISERROR(VLOOKUP($U$486,'TAR FIN'!$A$1:$O$93,15,0)),0,VLOOKUP($U$486,'TAR FIN'!$A$1:$O$93,15,0))</f>
        <v>162.96</v>
      </c>
      <c r="Y486" s="6"/>
      <c r="Z486" s="6">
        <f ca="1">('TUSD BE'!$AM$37+'TUSD BF'!$AM$37+'TUSD CVA'!$AM$37)*(1-CUSTOS!$M$38)</f>
        <v>274.6365589659128</v>
      </c>
      <c r="AA486" s="6">
        <f>('TE BE'!$AB$26+'TE BF'!$AB$26+'TE CVA'!$AB$26)*(1-CUSTOS!$M$38)</f>
        <v>186.29103092878736</v>
      </c>
      <c r="AB486" s="6">
        <f t="shared" si="22"/>
        <v>0</v>
      </c>
      <c r="AC486" s="6">
        <f>(L486-M486)*(W486+X486)+($W$393+$X$393-$W$486-$X$486)*(L486)</f>
        <v>11410.903322000002</v>
      </c>
      <c r="AD486" s="6">
        <f t="shared" si="23"/>
        <v>0</v>
      </c>
      <c r="AE486" s="6">
        <f ca="1">(L486-M486)*(Z486+AA486)+($Z$393+$AA$393-$Z$486-$AA$486)*(L486)</f>
        <v>11762.079690936933</v>
      </c>
      <c r="AF486" s="4" t="s">
        <v>638</v>
      </c>
    </row>
    <row r="487" spans="1:32" ht="11.25" customHeight="1" x14ac:dyDescent="0.25">
      <c r="A487" s="4" t="s">
        <v>28</v>
      </c>
      <c r="B487" s="4" t="s">
        <v>41</v>
      </c>
      <c r="C487" s="4" t="s">
        <v>23</v>
      </c>
      <c r="D487" s="4" t="s">
        <v>42</v>
      </c>
      <c r="E487" s="4" t="s">
        <v>50</v>
      </c>
      <c r="F487" s="4" t="s">
        <v>51</v>
      </c>
      <c r="G487" s="4" t="s">
        <v>25</v>
      </c>
      <c r="H487" s="4" t="s">
        <v>25</v>
      </c>
      <c r="I487" s="5">
        <v>44621</v>
      </c>
      <c r="J487" s="6">
        <v>0</v>
      </c>
      <c r="K487" s="6">
        <v>0</v>
      </c>
      <c r="L487" s="6">
        <v>-17.835000000000001</v>
      </c>
      <c r="M487" s="6">
        <v>-7.1340000000000003</v>
      </c>
      <c r="N487" s="6">
        <v>-17.835000000000001</v>
      </c>
      <c r="O487" s="6">
        <v>-7.1340000000000003</v>
      </c>
      <c r="P487" s="6">
        <v>0</v>
      </c>
      <c r="Q487" s="4" t="s">
        <v>26</v>
      </c>
      <c r="R487" s="4">
        <v>0</v>
      </c>
      <c r="S487" s="4">
        <v>0</v>
      </c>
      <c r="T487" s="4">
        <v>40</v>
      </c>
      <c r="U487" s="4">
        <v>78</v>
      </c>
      <c r="V487" s="6">
        <f>IF(ISERROR(VLOOKUP($S$487,'TAR FIN'!$A$1:$O$93,15,0)),0,VLOOKUP($S$487,'TAR FIN'!$A$1:$O$93,15,0))</f>
        <v>0</v>
      </c>
      <c r="W487" s="6">
        <f>IF(ISERROR(VLOOKUP($T$487,'TAR FIN'!$A$1:$O$93,15,0)),0,VLOOKUP($T$487,'TAR FIN'!$A$1:$O$93,15,0))</f>
        <v>240.16</v>
      </c>
      <c r="X487" s="6">
        <f>IF(ISERROR(VLOOKUP($U$487,'TAR FIN'!$A$1:$O$93,15,0)),0,VLOOKUP($U$487,'TAR FIN'!$A$1:$O$93,15,0))</f>
        <v>162.96</v>
      </c>
      <c r="Y487" s="6"/>
      <c r="Z487" s="6">
        <f ca="1">('TUSD BE'!$AM$37+'TUSD BF'!$AM$37+'TUSD CVA'!$AM$37)*(1-CUSTOS!$M$38)</f>
        <v>274.6365589659128</v>
      </c>
      <c r="AA487" s="6">
        <f>('TE BE'!$AB$26+'TE BF'!$AB$26+'TE CVA'!$AB$26)*(1-CUSTOS!$M$38)</f>
        <v>186.29103092878736</v>
      </c>
      <c r="AB487" s="6">
        <f t="shared" si="22"/>
        <v>0</v>
      </c>
      <c r="AC487" s="6">
        <f>(L487-M487)*(W487+X487)+($W$393+$X$393-$W$487-$X$487)*(L487)</f>
        <v>-5294.1770700000006</v>
      </c>
      <c r="AD487" s="6">
        <f t="shared" si="23"/>
        <v>0</v>
      </c>
      <c r="AE487" s="6">
        <f ca="1">(L487-M487)*(Z487+AA487)+($Z$393+$AA$393-$Z$487-$AA$487)*(L487)</f>
        <v>-5457.1080691933139</v>
      </c>
      <c r="AF487" s="4" t="s">
        <v>638</v>
      </c>
    </row>
    <row r="488" spans="1:32" ht="11.25" customHeight="1" x14ac:dyDescent="0.25">
      <c r="A488" s="4" t="s">
        <v>21</v>
      </c>
      <c r="B488" s="4" t="s">
        <v>41</v>
      </c>
      <c r="C488" s="4" t="s">
        <v>23</v>
      </c>
      <c r="D488" s="4" t="s">
        <v>42</v>
      </c>
      <c r="E488" s="4" t="s">
        <v>50</v>
      </c>
      <c r="F488" s="4" t="s">
        <v>51</v>
      </c>
      <c r="G488" s="4" t="s">
        <v>25</v>
      </c>
      <c r="H488" s="4" t="s">
        <v>25</v>
      </c>
      <c r="I488" s="5">
        <v>44652</v>
      </c>
      <c r="J488" s="6">
        <v>0</v>
      </c>
      <c r="K488" s="6">
        <v>0</v>
      </c>
      <c r="L488" s="6">
        <v>209.69399999999999</v>
      </c>
      <c r="M488" s="6">
        <v>83.877600000000001</v>
      </c>
      <c r="N488" s="6">
        <v>209.69399999999999</v>
      </c>
      <c r="O488" s="6">
        <v>83.877600000000001</v>
      </c>
      <c r="P488" s="6">
        <v>0</v>
      </c>
      <c r="Q488" s="4" t="s">
        <v>26</v>
      </c>
      <c r="R488" s="4">
        <v>0</v>
      </c>
      <c r="S488" s="4">
        <v>0</v>
      </c>
      <c r="T488" s="4">
        <v>40</v>
      </c>
      <c r="U488" s="4">
        <v>78</v>
      </c>
      <c r="V488" s="6">
        <f>IF(ISERROR(VLOOKUP($S$488,'TAR FIN'!$A$1:$O$93,15,0)),0,VLOOKUP($S$488,'TAR FIN'!$A$1:$O$93,15,0))</f>
        <v>0</v>
      </c>
      <c r="W488" s="6">
        <f>IF(ISERROR(VLOOKUP($T$488,'TAR FIN'!$A$1:$O$93,15,0)),0,VLOOKUP($T$488,'TAR FIN'!$A$1:$O$93,15,0))</f>
        <v>240.16</v>
      </c>
      <c r="X488" s="6">
        <f>IF(ISERROR(VLOOKUP($U$488,'TAR FIN'!$A$1:$O$93,15,0)),0,VLOOKUP($U$488,'TAR FIN'!$A$1:$O$93,15,0))</f>
        <v>162.96</v>
      </c>
      <c r="Y488" s="6"/>
      <c r="Z488" s="6">
        <f ca="1">('TUSD BE'!$AM$37+'TUSD BF'!$AM$37+'TUSD CVA'!$AM$37)*(1-CUSTOS!$M$38)</f>
        <v>274.6365589659128</v>
      </c>
      <c r="AA488" s="6">
        <f>('TE BE'!$AB$26+'TE BF'!$AB$26+'TE CVA'!$AB$26)*(1-CUSTOS!$M$38)</f>
        <v>186.29103092878736</v>
      </c>
      <c r="AB488" s="6">
        <f t="shared" si="22"/>
        <v>0</v>
      </c>
      <c r="AC488" s="6">
        <f>(L488-M488)*(W488+X488)+($W$393+$X$393-$W$488-$X$488)*(L488)</f>
        <v>62245.986347999999</v>
      </c>
      <c r="AD488" s="6">
        <f t="shared" si="23"/>
        <v>0</v>
      </c>
      <c r="AE488" s="6">
        <f ca="1">(L488-M488)*(Z488+AA488)+($Z$393+$AA$393-$Z$488-$AA$488)*(L488)</f>
        <v>64161.63832135815</v>
      </c>
      <c r="AF488" s="4" t="s">
        <v>638</v>
      </c>
    </row>
    <row r="489" spans="1:32" ht="11.25" customHeight="1" x14ac:dyDescent="0.25">
      <c r="A489" s="4" t="s">
        <v>28</v>
      </c>
      <c r="B489" s="4" t="s">
        <v>41</v>
      </c>
      <c r="C489" s="4" t="s">
        <v>23</v>
      </c>
      <c r="D489" s="4" t="s">
        <v>42</v>
      </c>
      <c r="E489" s="4" t="s">
        <v>50</v>
      </c>
      <c r="F489" s="4" t="s">
        <v>51</v>
      </c>
      <c r="G489" s="4" t="s">
        <v>25</v>
      </c>
      <c r="H489" s="4" t="s">
        <v>25</v>
      </c>
      <c r="I489" s="5">
        <v>44652</v>
      </c>
      <c r="J489" s="6">
        <v>0</v>
      </c>
      <c r="K489" s="6">
        <v>0</v>
      </c>
      <c r="L489" s="6">
        <v>15.032</v>
      </c>
      <c r="M489" s="6">
        <v>6.0128000000000004</v>
      </c>
      <c r="N489" s="6">
        <v>15.032</v>
      </c>
      <c r="O489" s="6">
        <v>6.0128000000000004</v>
      </c>
      <c r="P489" s="6">
        <v>0</v>
      </c>
      <c r="Q489" s="4" t="s">
        <v>26</v>
      </c>
      <c r="R489" s="4">
        <v>0</v>
      </c>
      <c r="S489" s="4">
        <v>0</v>
      </c>
      <c r="T489" s="4">
        <v>40</v>
      </c>
      <c r="U489" s="4">
        <v>78</v>
      </c>
      <c r="V489" s="6">
        <f>IF(ISERROR(VLOOKUP($S$489,'TAR FIN'!$A$1:$O$93,15,0)),0,VLOOKUP($S$489,'TAR FIN'!$A$1:$O$93,15,0))</f>
        <v>0</v>
      </c>
      <c r="W489" s="6">
        <f>IF(ISERROR(VLOOKUP($T$489,'TAR FIN'!$A$1:$O$93,15,0)),0,VLOOKUP($T$489,'TAR FIN'!$A$1:$O$93,15,0))</f>
        <v>240.16</v>
      </c>
      <c r="X489" s="6">
        <f>IF(ISERROR(VLOOKUP($U$489,'TAR FIN'!$A$1:$O$93,15,0)),0,VLOOKUP($U$489,'TAR FIN'!$A$1:$O$93,15,0))</f>
        <v>162.96</v>
      </c>
      <c r="Y489" s="6"/>
      <c r="Z489" s="6">
        <f ca="1">('TUSD BE'!$AM$37+'TUSD BF'!$AM$37+'TUSD CVA'!$AM$37)*(1-CUSTOS!$M$38)</f>
        <v>274.6365589659128</v>
      </c>
      <c r="AA489" s="6">
        <f>('TE BE'!$AB$26+'TE BF'!$AB$26+'TE CVA'!$AB$26)*(1-CUSTOS!$M$38)</f>
        <v>186.29103092878736</v>
      </c>
      <c r="AB489" s="6">
        <f t="shared" si="22"/>
        <v>0</v>
      </c>
      <c r="AC489" s="6">
        <f>(L489-M489)*(W489+X489)+($W$393+$X$393-$W$489-$X$489)*(L489)</f>
        <v>4462.128944</v>
      </c>
      <c r="AD489" s="6">
        <f t="shared" si="23"/>
        <v>0</v>
      </c>
      <c r="AE489" s="6">
        <f ca="1">(L489-M489)*(Z489+AA489)+($Z$393+$AA$393-$Z$489-$AA$489)*(L489)</f>
        <v>4599.4532377972464</v>
      </c>
      <c r="AF489" s="4" t="s">
        <v>638</v>
      </c>
    </row>
    <row r="490" spans="1:32" ht="11.25" customHeight="1" x14ac:dyDescent="0.25">
      <c r="A490" s="4" t="s">
        <v>21</v>
      </c>
      <c r="B490" s="4" t="s">
        <v>41</v>
      </c>
      <c r="C490" s="4" t="s">
        <v>23</v>
      </c>
      <c r="D490" s="4" t="s">
        <v>42</v>
      </c>
      <c r="E490" s="4" t="s">
        <v>50</v>
      </c>
      <c r="F490" s="4" t="s">
        <v>51</v>
      </c>
      <c r="G490" s="4" t="s">
        <v>25</v>
      </c>
      <c r="H490" s="4" t="s">
        <v>25</v>
      </c>
      <c r="I490" s="5">
        <v>44682</v>
      </c>
      <c r="J490" s="6">
        <v>0</v>
      </c>
      <c r="K490" s="6">
        <v>0</v>
      </c>
      <c r="L490" s="6">
        <v>151.33600000000001</v>
      </c>
      <c r="M490" s="6">
        <v>60.534399999999998</v>
      </c>
      <c r="N490" s="6">
        <v>151.33600000000001</v>
      </c>
      <c r="O490" s="6">
        <v>60.534399999999998</v>
      </c>
      <c r="P490" s="6">
        <v>0</v>
      </c>
      <c r="Q490" s="4" t="s">
        <v>26</v>
      </c>
      <c r="R490" s="4">
        <v>0</v>
      </c>
      <c r="S490" s="4">
        <v>0</v>
      </c>
      <c r="T490" s="4">
        <v>40</v>
      </c>
      <c r="U490" s="4">
        <v>78</v>
      </c>
      <c r="V490" s="6">
        <f>IF(ISERROR(VLOOKUP($S$490,'TAR FIN'!$A$1:$O$93,15,0)),0,VLOOKUP($S$490,'TAR FIN'!$A$1:$O$93,15,0))</f>
        <v>0</v>
      </c>
      <c r="W490" s="6">
        <f>IF(ISERROR(VLOOKUP($T$490,'TAR FIN'!$A$1:$O$93,15,0)),0,VLOOKUP($T$490,'TAR FIN'!$A$1:$O$93,15,0))</f>
        <v>240.16</v>
      </c>
      <c r="X490" s="6">
        <f>IF(ISERROR(VLOOKUP($U$490,'TAR FIN'!$A$1:$O$93,15,0)),0,VLOOKUP($U$490,'TAR FIN'!$A$1:$O$93,15,0))</f>
        <v>162.96</v>
      </c>
      <c r="Y490" s="6"/>
      <c r="Z490" s="6">
        <f ca="1">('TUSD BE'!$AM$37+'TUSD BF'!$AM$37+'TUSD CVA'!$AM$37)*(1-CUSTOS!$M$38)</f>
        <v>274.6365589659128</v>
      </c>
      <c r="AA490" s="6">
        <f>('TE BE'!$AB$26+'TE BF'!$AB$26+'TE CVA'!$AB$26)*(1-CUSTOS!$M$38)</f>
        <v>186.29103092878736</v>
      </c>
      <c r="AB490" s="6">
        <f t="shared" si="22"/>
        <v>0</v>
      </c>
      <c r="AC490" s="6">
        <f>(L490-M490)*(W490+X490)+($W$393+$X$393-$W$490-$X$490)*(L490)</f>
        <v>44922.880912000008</v>
      </c>
      <c r="AD490" s="6">
        <f t="shared" si="23"/>
        <v>0</v>
      </c>
      <c r="AE490" s="6">
        <f ca="1">(L490-M490)*(Z490+AA490)+($Z$393+$AA$393-$Z$490-$AA$490)*(L490)</f>
        <v>46305.405481325455</v>
      </c>
      <c r="AF490" s="4" t="s">
        <v>638</v>
      </c>
    </row>
    <row r="491" spans="1:32" ht="11.25" customHeight="1" x14ac:dyDescent="0.25">
      <c r="A491" s="4" t="s">
        <v>27</v>
      </c>
      <c r="B491" s="4" t="s">
        <v>41</v>
      </c>
      <c r="C491" s="4" t="s">
        <v>23</v>
      </c>
      <c r="D491" s="4" t="s">
        <v>42</v>
      </c>
      <c r="E491" s="4" t="s">
        <v>50</v>
      </c>
      <c r="F491" s="4" t="s">
        <v>51</v>
      </c>
      <c r="G491" s="4" t="s">
        <v>25</v>
      </c>
      <c r="H491" s="4" t="s">
        <v>25</v>
      </c>
      <c r="I491" s="5">
        <v>44682</v>
      </c>
      <c r="J491" s="6">
        <v>0</v>
      </c>
      <c r="K491" s="6">
        <v>0</v>
      </c>
      <c r="L491" s="6">
        <v>-25.431999999999999</v>
      </c>
      <c r="M491" s="6">
        <v>-10.172800000000001</v>
      </c>
      <c r="N491" s="6">
        <v>-25.431999999999999</v>
      </c>
      <c r="O491" s="6">
        <v>-10.172800000000001</v>
      </c>
      <c r="P491" s="6">
        <v>0</v>
      </c>
      <c r="Q491" s="4" t="s">
        <v>26</v>
      </c>
      <c r="R491" s="4">
        <v>0</v>
      </c>
      <c r="S491" s="4">
        <v>0</v>
      </c>
      <c r="T491" s="4">
        <v>40</v>
      </c>
      <c r="U491" s="4">
        <v>78</v>
      </c>
      <c r="V491" s="6">
        <f>IF(ISERROR(VLOOKUP($S$491,'TAR FIN'!$A$1:$O$93,15,0)),0,VLOOKUP($S$491,'TAR FIN'!$A$1:$O$93,15,0))</f>
        <v>0</v>
      </c>
      <c r="W491" s="6">
        <f>IF(ISERROR(VLOOKUP($T$491,'TAR FIN'!$A$1:$O$93,15,0)),0,VLOOKUP($T$491,'TAR FIN'!$A$1:$O$93,15,0))</f>
        <v>240.16</v>
      </c>
      <c r="X491" s="6">
        <f>IF(ISERROR(VLOOKUP($U$491,'TAR FIN'!$A$1:$O$93,15,0)),0,VLOOKUP($U$491,'TAR FIN'!$A$1:$O$93,15,0))</f>
        <v>162.96</v>
      </c>
      <c r="Y491" s="6"/>
      <c r="Z491" s="6">
        <f ca="1">('TUSD BE'!$AM$37+'TUSD BF'!$AM$37+'TUSD CVA'!$AM$37)*(1-CUSTOS!$M$38)</f>
        <v>274.6365589659128</v>
      </c>
      <c r="AA491" s="6">
        <f>('TE BE'!$AB$26+'TE BF'!$AB$26+'TE CVA'!$AB$26)*(1-CUSTOS!$M$38)</f>
        <v>186.29103092878736</v>
      </c>
      <c r="AB491" s="6">
        <f t="shared" si="22"/>
        <v>0</v>
      </c>
      <c r="AC491" s="6">
        <f>(L491-M491)*(W491+X491)+($W$393+$X$393-$W$491-$X$491)*(L491)</f>
        <v>-7549.2857440000007</v>
      </c>
      <c r="AD491" s="6">
        <f t="shared" si="23"/>
        <v>0</v>
      </c>
      <c r="AE491" s="6">
        <f ca="1">(L491-M491)*(Z491+AA491)+($Z$393+$AA$393-$Z$491-$AA$491)*(L491)</f>
        <v>-7781.6188626702751</v>
      </c>
      <c r="AF491" s="4" t="s">
        <v>638</v>
      </c>
    </row>
    <row r="492" spans="1:32" ht="11.25" customHeight="1" x14ac:dyDescent="0.25">
      <c r="A492" s="4" t="s">
        <v>28</v>
      </c>
      <c r="B492" s="4" t="s">
        <v>41</v>
      </c>
      <c r="C492" s="4" t="s">
        <v>23</v>
      </c>
      <c r="D492" s="4" t="s">
        <v>42</v>
      </c>
      <c r="E492" s="4" t="s">
        <v>50</v>
      </c>
      <c r="F492" s="4" t="s">
        <v>51</v>
      </c>
      <c r="G492" s="4" t="s">
        <v>25</v>
      </c>
      <c r="H492" s="4" t="s">
        <v>25</v>
      </c>
      <c r="I492" s="5">
        <v>44682</v>
      </c>
      <c r="J492" s="6">
        <v>0</v>
      </c>
      <c r="K492" s="6">
        <v>0</v>
      </c>
      <c r="L492" s="6">
        <v>5.3159999999999998</v>
      </c>
      <c r="M492" s="6">
        <v>2.1263999999999998</v>
      </c>
      <c r="N492" s="6">
        <v>5.3159999999999998</v>
      </c>
      <c r="O492" s="6">
        <v>2.1263999999999998</v>
      </c>
      <c r="P492" s="6">
        <v>0</v>
      </c>
      <c r="Q492" s="4" t="s">
        <v>26</v>
      </c>
      <c r="R492" s="4">
        <v>0</v>
      </c>
      <c r="S492" s="4">
        <v>0</v>
      </c>
      <c r="T492" s="4">
        <v>40</v>
      </c>
      <c r="U492" s="4">
        <v>78</v>
      </c>
      <c r="V492" s="6">
        <f>IF(ISERROR(VLOOKUP($S$492,'TAR FIN'!$A$1:$O$93,15,0)),0,VLOOKUP($S$492,'TAR FIN'!$A$1:$O$93,15,0))</f>
        <v>0</v>
      </c>
      <c r="W492" s="6">
        <f>IF(ISERROR(VLOOKUP($T$492,'TAR FIN'!$A$1:$O$93,15,0)),0,VLOOKUP($T$492,'TAR FIN'!$A$1:$O$93,15,0))</f>
        <v>240.16</v>
      </c>
      <c r="X492" s="6">
        <f>IF(ISERROR(VLOOKUP($U$492,'TAR FIN'!$A$1:$O$93,15,0)),0,VLOOKUP($U$492,'TAR FIN'!$A$1:$O$93,15,0))</f>
        <v>162.96</v>
      </c>
      <c r="Y492" s="6"/>
      <c r="Z492" s="6">
        <f ca="1">('TUSD BE'!$AM$37+'TUSD BF'!$AM$37+'TUSD CVA'!$AM$37)*(1-CUSTOS!$M$38)</f>
        <v>274.6365589659128</v>
      </c>
      <c r="AA492" s="6">
        <f>('TE BE'!$AB$26+'TE BF'!$AB$26+'TE CVA'!$AB$26)*(1-CUSTOS!$M$38)</f>
        <v>186.29103092878736</v>
      </c>
      <c r="AB492" s="6">
        <f t="shared" si="22"/>
        <v>0</v>
      </c>
      <c r="AC492" s="6">
        <f>(L492-M492)*(W492+X492)+($W$393+$X$393-$W$492-$X$492)*(L492)</f>
        <v>1578.012072</v>
      </c>
      <c r="AD492" s="6">
        <f t="shared" si="23"/>
        <v>0</v>
      </c>
      <c r="AE492" s="6">
        <f ca="1">(L492-M492)*(Z492+AA492)+($Z$393+$AA$393-$Z$492-$AA$492)*(L492)</f>
        <v>1626.5761982524059</v>
      </c>
      <c r="AF492" s="4" t="s">
        <v>638</v>
      </c>
    </row>
    <row r="493" spans="1:32" ht="11.25" customHeight="1" x14ac:dyDescent="0.25">
      <c r="A493" s="4" t="s">
        <v>21</v>
      </c>
      <c r="B493" s="4" t="s">
        <v>41</v>
      </c>
      <c r="C493" s="4" t="s">
        <v>23</v>
      </c>
      <c r="D493" s="4" t="s">
        <v>42</v>
      </c>
      <c r="E493" s="4" t="s">
        <v>50</v>
      </c>
      <c r="F493" s="4" t="s">
        <v>51</v>
      </c>
      <c r="G493" s="4" t="s">
        <v>25</v>
      </c>
      <c r="H493" s="4" t="s">
        <v>25</v>
      </c>
      <c r="I493" s="5">
        <v>44713</v>
      </c>
      <c r="J493" s="6">
        <v>0</v>
      </c>
      <c r="K493" s="6">
        <v>0</v>
      </c>
      <c r="L493" s="6">
        <v>141.572</v>
      </c>
      <c r="M493" s="6">
        <v>56.628799999999998</v>
      </c>
      <c r="N493" s="6">
        <v>141.572</v>
      </c>
      <c r="O493" s="6">
        <v>56.628799999999998</v>
      </c>
      <c r="P493" s="6">
        <v>0</v>
      </c>
      <c r="Q493" s="4" t="s">
        <v>26</v>
      </c>
      <c r="R493" s="4">
        <v>0</v>
      </c>
      <c r="S493" s="4">
        <v>0</v>
      </c>
      <c r="T493" s="4">
        <v>40</v>
      </c>
      <c r="U493" s="4">
        <v>78</v>
      </c>
      <c r="V493" s="6">
        <f>IF(ISERROR(VLOOKUP($S$493,'TAR FIN'!$A$1:$O$93,15,0)),0,VLOOKUP($S$493,'TAR FIN'!$A$1:$O$93,15,0))</f>
        <v>0</v>
      </c>
      <c r="W493" s="6">
        <f>IF(ISERROR(VLOOKUP($T$493,'TAR FIN'!$A$1:$O$93,15,0)),0,VLOOKUP($T$493,'TAR FIN'!$A$1:$O$93,15,0))</f>
        <v>240.16</v>
      </c>
      <c r="X493" s="6">
        <f>IF(ISERROR(VLOOKUP($U$493,'TAR FIN'!$A$1:$O$93,15,0)),0,VLOOKUP($U$493,'TAR FIN'!$A$1:$O$93,15,0))</f>
        <v>162.96</v>
      </c>
      <c r="Y493" s="6"/>
      <c r="Z493" s="6">
        <f ca="1">('TUSD BE'!$AM$37+'TUSD BF'!$AM$37+'TUSD CVA'!$AM$37)*(1-CUSTOS!$M$38)</f>
        <v>274.6365589659128</v>
      </c>
      <c r="AA493" s="6">
        <f>('TE BE'!$AB$26+'TE BF'!$AB$26+'TE CVA'!$AB$26)*(1-CUSTOS!$M$38)</f>
        <v>186.29103092878736</v>
      </c>
      <c r="AB493" s="6">
        <f t="shared" si="22"/>
        <v>0</v>
      </c>
      <c r="AC493" s="6">
        <f>(L493-M493)*(W493+X493)+($W$393+$X$393-$W$493-$X$493)*(L493)</f>
        <v>42024.515624000007</v>
      </c>
      <c r="AD493" s="6">
        <f t="shared" si="23"/>
        <v>0</v>
      </c>
      <c r="AE493" s="6">
        <f ca="1">(L493-M493)*(Z493+AA493)+($Z$393+$AA$393-$Z$493-$AA$493)*(L493)</f>
        <v>43317.841523511968</v>
      </c>
      <c r="AF493" s="4" t="s">
        <v>638</v>
      </c>
    </row>
    <row r="494" spans="1:32" ht="11.25" customHeight="1" x14ac:dyDescent="0.25">
      <c r="A494" s="4" t="s">
        <v>27</v>
      </c>
      <c r="B494" s="4" t="s">
        <v>41</v>
      </c>
      <c r="C494" s="4" t="s">
        <v>23</v>
      </c>
      <c r="D494" s="4" t="s">
        <v>42</v>
      </c>
      <c r="E494" s="4" t="s">
        <v>50</v>
      </c>
      <c r="F494" s="4" t="s">
        <v>51</v>
      </c>
      <c r="G494" s="4" t="s">
        <v>25</v>
      </c>
      <c r="H494" s="4" t="s">
        <v>25</v>
      </c>
      <c r="I494" s="5">
        <v>44713</v>
      </c>
      <c r="J494" s="6">
        <v>0</v>
      </c>
      <c r="K494" s="6">
        <v>0</v>
      </c>
      <c r="L494" s="6">
        <v>-0.52</v>
      </c>
      <c r="M494" s="6">
        <v>-0.20799999999999999</v>
      </c>
      <c r="N494" s="6">
        <v>-0.52</v>
      </c>
      <c r="O494" s="6">
        <v>-0.20799999999999999</v>
      </c>
      <c r="P494" s="6">
        <v>0</v>
      </c>
      <c r="Q494" s="4" t="s">
        <v>26</v>
      </c>
      <c r="R494" s="4">
        <v>0</v>
      </c>
      <c r="S494" s="4">
        <v>0</v>
      </c>
      <c r="T494" s="4">
        <v>40</v>
      </c>
      <c r="U494" s="4">
        <v>78</v>
      </c>
      <c r="V494" s="6">
        <f>IF(ISERROR(VLOOKUP($S$494,'TAR FIN'!$A$1:$O$93,15,0)),0,VLOOKUP($S$494,'TAR FIN'!$A$1:$O$93,15,0))</f>
        <v>0</v>
      </c>
      <c r="W494" s="6">
        <f>IF(ISERROR(VLOOKUP($T$494,'TAR FIN'!$A$1:$O$93,15,0)),0,VLOOKUP($T$494,'TAR FIN'!$A$1:$O$93,15,0))</f>
        <v>240.16</v>
      </c>
      <c r="X494" s="6">
        <f>IF(ISERROR(VLOOKUP($U$494,'TAR FIN'!$A$1:$O$93,15,0)),0,VLOOKUP($U$494,'TAR FIN'!$A$1:$O$93,15,0))</f>
        <v>162.96</v>
      </c>
      <c r="Y494" s="6"/>
      <c r="Z494" s="6">
        <f ca="1">('TUSD BE'!$AM$37+'TUSD BF'!$AM$37+'TUSD CVA'!$AM$37)*(1-CUSTOS!$M$38)</f>
        <v>274.6365589659128</v>
      </c>
      <c r="AA494" s="6">
        <f>('TE BE'!$AB$26+'TE BF'!$AB$26+'TE CVA'!$AB$26)*(1-CUSTOS!$M$38)</f>
        <v>186.29103092878736</v>
      </c>
      <c r="AB494" s="6">
        <f t="shared" si="22"/>
        <v>0</v>
      </c>
      <c r="AC494" s="6">
        <f>(L494-M494)*(W494+X494)+($W$393+$X$393-$W$494-$X$494)*(L494)</f>
        <v>-154.35784000000004</v>
      </c>
      <c r="AD494" s="6">
        <f t="shared" si="23"/>
        <v>0</v>
      </c>
      <c r="AE494" s="6">
        <f ca="1">(L494-M494)*(Z494+AA494)+($Z$393+$AA$393-$Z$494-$AA$494)*(L494)</f>
        <v>-159.10828124365148</v>
      </c>
      <c r="AF494" s="4" t="s">
        <v>638</v>
      </c>
    </row>
    <row r="495" spans="1:32" ht="11.25" customHeight="1" x14ac:dyDescent="0.25">
      <c r="A495" s="4" t="s">
        <v>28</v>
      </c>
      <c r="B495" s="4" t="s">
        <v>41</v>
      </c>
      <c r="C495" s="4" t="s">
        <v>23</v>
      </c>
      <c r="D495" s="4" t="s">
        <v>42</v>
      </c>
      <c r="E495" s="4" t="s">
        <v>50</v>
      </c>
      <c r="F495" s="4" t="s">
        <v>51</v>
      </c>
      <c r="G495" s="4" t="s">
        <v>25</v>
      </c>
      <c r="H495" s="4" t="s">
        <v>25</v>
      </c>
      <c r="I495" s="5">
        <v>44713</v>
      </c>
      <c r="J495" s="6">
        <v>0</v>
      </c>
      <c r="K495" s="6">
        <v>0</v>
      </c>
      <c r="L495" s="6">
        <v>1.079</v>
      </c>
      <c r="M495" s="6">
        <v>0.43159999999999998</v>
      </c>
      <c r="N495" s="6">
        <v>1.079</v>
      </c>
      <c r="O495" s="6">
        <v>0.43159999999999998</v>
      </c>
      <c r="P495" s="6">
        <v>0</v>
      </c>
      <c r="Q495" s="4" t="s">
        <v>26</v>
      </c>
      <c r="R495" s="4">
        <v>0</v>
      </c>
      <c r="S495" s="4">
        <v>0</v>
      </c>
      <c r="T495" s="4">
        <v>40</v>
      </c>
      <c r="U495" s="4">
        <v>78</v>
      </c>
      <c r="V495" s="6">
        <f>IF(ISERROR(VLOOKUP($S$495,'TAR FIN'!$A$1:$O$93,15,0)),0,VLOOKUP($S$495,'TAR FIN'!$A$1:$O$93,15,0))</f>
        <v>0</v>
      </c>
      <c r="W495" s="6">
        <f>IF(ISERROR(VLOOKUP($T$495,'TAR FIN'!$A$1:$O$93,15,0)),0,VLOOKUP($T$495,'TAR FIN'!$A$1:$O$93,15,0))</f>
        <v>240.16</v>
      </c>
      <c r="X495" s="6">
        <f>IF(ISERROR(VLOOKUP($U$495,'TAR FIN'!$A$1:$O$93,15,0)),0,VLOOKUP($U$495,'TAR FIN'!$A$1:$O$93,15,0))</f>
        <v>162.96</v>
      </c>
      <c r="Y495" s="6"/>
      <c r="Z495" s="6">
        <f ca="1">('TUSD BE'!$AM$37+'TUSD BF'!$AM$37+'TUSD CVA'!$AM$37)*(1-CUSTOS!$M$38)</f>
        <v>274.6365589659128</v>
      </c>
      <c r="AA495" s="6">
        <f>('TE BE'!$AB$26+'TE BF'!$AB$26+'TE CVA'!$AB$26)*(1-CUSTOS!$M$38)</f>
        <v>186.29103092878736</v>
      </c>
      <c r="AB495" s="6">
        <f t="shared" si="22"/>
        <v>0</v>
      </c>
      <c r="AC495" s="6">
        <f>(L495-M495)*(W495+X495)+($W$393+$X$393-$W$495-$X$495)*(L495)</f>
        <v>320.29251800000003</v>
      </c>
      <c r="AD495" s="6">
        <f t="shared" si="23"/>
        <v>0</v>
      </c>
      <c r="AE495" s="6">
        <f ca="1">(L495-M495)*(Z495+AA495)+($Z$393+$AA$393-$Z$495-$AA$495)*(L495)</f>
        <v>330.14968358057672</v>
      </c>
      <c r="AF495" s="4" t="s">
        <v>638</v>
      </c>
    </row>
    <row r="496" spans="1:32" ht="11.25" customHeight="1" x14ac:dyDescent="0.25">
      <c r="A496" s="4" t="s">
        <v>21</v>
      </c>
      <c r="B496" s="4" t="s">
        <v>41</v>
      </c>
      <c r="C496" s="4" t="s">
        <v>23</v>
      </c>
      <c r="D496" s="4" t="s">
        <v>42</v>
      </c>
      <c r="E496" s="4" t="s">
        <v>50</v>
      </c>
      <c r="F496" s="4" t="s">
        <v>52</v>
      </c>
      <c r="G496" s="4" t="s">
        <v>25</v>
      </c>
      <c r="H496" s="4" t="s">
        <v>25</v>
      </c>
      <c r="I496" s="5">
        <v>44378</v>
      </c>
      <c r="J496" s="6">
        <v>0</v>
      </c>
      <c r="K496" s="6">
        <v>0</v>
      </c>
      <c r="L496" s="6">
        <v>39.204000000000001</v>
      </c>
      <c r="M496" s="6">
        <v>15.6816</v>
      </c>
      <c r="N496" s="6">
        <v>39.204000000000001</v>
      </c>
      <c r="O496" s="6">
        <v>15.6816</v>
      </c>
      <c r="P496" s="6">
        <v>0</v>
      </c>
      <c r="Q496" s="4" t="s">
        <v>26</v>
      </c>
      <c r="R496" s="4">
        <v>0</v>
      </c>
      <c r="S496" s="4">
        <v>0</v>
      </c>
      <c r="T496" s="4">
        <v>40</v>
      </c>
      <c r="U496" s="4">
        <v>78</v>
      </c>
      <c r="V496" s="6">
        <f>IF(ISERROR(VLOOKUP($S$496,'TAR FIN'!$A$1:$O$93,15,0)),0,VLOOKUP($S$496,'TAR FIN'!$A$1:$O$93,15,0))</f>
        <v>0</v>
      </c>
      <c r="W496" s="6">
        <f>IF(ISERROR(VLOOKUP($T$496,'TAR FIN'!$A$1:$O$93,15,0)),0,VLOOKUP($T$496,'TAR FIN'!$A$1:$O$93,15,0))</f>
        <v>240.16</v>
      </c>
      <c r="X496" s="6">
        <f>IF(ISERROR(VLOOKUP($U$496,'TAR FIN'!$A$1:$O$93,15,0)),0,VLOOKUP($U$496,'TAR FIN'!$A$1:$O$93,15,0))</f>
        <v>162.96</v>
      </c>
      <c r="Y496" s="6"/>
      <c r="Z496" s="6">
        <f ca="1">('TUSD BE'!$AM$37+'TUSD BF'!$AM$37+'TUSD CVA'!$AM$37)*(1-CUSTOS!$M$38)</f>
        <v>274.6365589659128</v>
      </c>
      <c r="AA496" s="6">
        <f>('TE BE'!$AB$26+'TE BF'!$AB$26+'TE CVA'!$AB$26)*(1-CUSTOS!$M$38)</f>
        <v>186.29103092878736</v>
      </c>
      <c r="AB496" s="6">
        <f t="shared" si="22"/>
        <v>0</v>
      </c>
      <c r="AC496" s="6">
        <f>(L496-M496)*(W496+X496)+($W$393+$X$393-$W$496-$X$496)*(L496)</f>
        <v>11637.393768000002</v>
      </c>
      <c r="AD496" s="6">
        <f t="shared" si="23"/>
        <v>0</v>
      </c>
      <c r="AE496" s="6">
        <f ca="1">(L496-M496)*(Z496+AA496)+($Z$393+$AA$393-$Z$496-$AA$496)*(L496)</f>
        <v>11995.540495915597</v>
      </c>
      <c r="AF496" s="4" t="s">
        <v>639</v>
      </c>
    </row>
    <row r="497" spans="1:32" ht="11.25" customHeight="1" x14ac:dyDescent="0.25">
      <c r="A497" s="4" t="s">
        <v>27</v>
      </c>
      <c r="B497" s="4" t="s">
        <v>41</v>
      </c>
      <c r="C497" s="4" t="s">
        <v>23</v>
      </c>
      <c r="D497" s="4" t="s">
        <v>42</v>
      </c>
      <c r="E497" s="4" t="s">
        <v>50</v>
      </c>
      <c r="F497" s="4" t="s">
        <v>52</v>
      </c>
      <c r="G497" s="4" t="s">
        <v>25</v>
      </c>
      <c r="H497" s="4" t="s">
        <v>25</v>
      </c>
      <c r="I497" s="5">
        <v>44378</v>
      </c>
      <c r="J497" s="6">
        <v>0</v>
      </c>
      <c r="K497" s="6">
        <v>0</v>
      </c>
      <c r="L497" s="6">
        <v>-0.501</v>
      </c>
      <c r="M497" s="6">
        <v>-0.20039999999999999</v>
      </c>
      <c r="N497" s="6">
        <v>-0.501</v>
      </c>
      <c r="O497" s="6">
        <v>-0.20039999999999999</v>
      </c>
      <c r="P497" s="6">
        <v>0</v>
      </c>
      <c r="Q497" s="4" t="s">
        <v>26</v>
      </c>
      <c r="R497" s="4">
        <v>0</v>
      </c>
      <c r="S497" s="4">
        <v>0</v>
      </c>
      <c r="T497" s="4">
        <v>40</v>
      </c>
      <c r="U497" s="4">
        <v>78</v>
      </c>
      <c r="V497" s="6">
        <f>IF(ISERROR(VLOOKUP($S$497,'TAR FIN'!$A$1:$O$93,15,0)),0,VLOOKUP($S$497,'TAR FIN'!$A$1:$O$93,15,0))</f>
        <v>0</v>
      </c>
      <c r="W497" s="6">
        <f>IF(ISERROR(VLOOKUP($T$497,'TAR FIN'!$A$1:$O$93,15,0)),0,VLOOKUP($T$497,'TAR FIN'!$A$1:$O$93,15,0))</f>
        <v>240.16</v>
      </c>
      <c r="X497" s="6">
        <f>IF(ISERROR(VLOOKUP($U$497,'TAR FIN'!$A$1:$O$93,15,0)),0,VLOOKUP($U$497,'TAR FIN'!$A$1:$O$93,15,0))</f>
        <v>162.96</v>
      </c>
      <c r="Y497" s="6"/>
      <c r="Z497" s="6">
        <f ca="1">('TUSD BE'!$AM$37+'TUSD BF'!$AM$37+'TUSD CVA'!$AM$37)*(1-CUSTOS!$M$38)</f>
        <v>274.6365589659128</v>
      </c>
      <c r="AA497" s="6">
        <f>('TE BE'!$AB$26+'TE BF'!$AB$26+'TE CVA'!$AB$26)*(1-CUSTOS!$M$38)</f>
        <v>186.29103092878736</v>
      </c>
      <c r="AB497" s="6">
        <f t="shared" si="22"/>
        <v>0</v>
      </c>
      <c r="AC497" s="6">
        <f>(L497-M497)*(W497+X497)+($W$393+$X$393-$W$497-$X$497)*(L497)</f>
        <v>-148.71784200000002</v>
      </c>
      <c r="AD497" s="6">
        <f t="shared" si="23"/>
        <v>0</v>
      </c>
      <c r="AE497" s="6">
        <f ca="1">(L497-M497)*(Z497+AA497)+($Z$393+$AA$393-$Z$497-$AA$497)*(L497)</f>
        <v>-153.29470942897953</v>
      </c>
      <c r="AF497" s="4" t="s">
        <v>639</v>
      </c>
    </row>
    <row r="498" spans="1:32" ht="11.25" customHeight="1" x14ac:dyDescent="0.25">
      <c r="A498" s="4" t="s">
        <v>21</v>
      </c>
      <c r="B498" s="4" t="s">
        <v>41</v>
      </c>
      <c r="C498" s="4" t="s">
        <v>23</v>
      </c>
      <c r="D498" s="4" t="s">
        <v>42</v>
      </c>
      <c r="E498" s="4" t="s">
        <v>50</v>
      </c>
      <c r="F498" s="4" t="s">
        <v>52</v>
      </c>
      <c r="G498" s="4" t="s">
        <v>25</v>
      </c>
      <c r="H498" s="4" t="s">
        <v>25</v>
      </c>
      <c r="I498" s="5">
        <v>44409</v>
      </c>
      <c r="J498" s="6">
        <v>0</v>
      </c>
      <c r="K498" s="6">
        <v>0</v>
      </c>
      <c r="L498" s="6">
        <v>62.941000000000003</v>
      </c>
      <c r="M498" s="6">
        <v>25.176400000000001</v>
      </c>
      <c r="N498" s="6">
        <v>62.941000000000003</v>
      </c>
      <c r="O498" s="6">
        <v>25.176400000000001</v>
      </c>
      <c r="P498" s="6">
        <v>0</v>
      </c>
      <c r="Q498" s="4" t="s">
        <v>26</v>
      </c>
      <c r="R498" s="4">
        <v>0</v>
      </c>
      <c r="S498" s="4">
        <v>0</v>
      </c>
      <c r="T498" s="4">
        <v>40</v>
      </c>
      <c r="U498" s="4">
        <v>78</v>
      </c>
      <c r="V498" s="6">
        <f>IF(ISERROR(VLOOKUP($S$498,'TAR FIN'!$A$1:$O$93,15,0)),0,VLOOKUP($S$498,'TAR FIN'!$A$1:$O$93,15,0))</f>
        <v>0</v>
      </c>
      <c r="W498" s="6">
        <f>IF(ISERROR(VLOOKUP($T$498,'TAR FIN'!$A$1:$O$93,15,0)),0,VLOOKUP($T$498,'TAR FIN'!$A$1:$O$93,15,0))</f>
        <v>240.16</v>
      </c>
      <c r="X498" s="6">
        <f>IF(ISERROR(VLOOKUP($U$498,'TAR FIN'!$A$1:$O$93,15,0)),0,VLOOKUP($U$498,'TAR FIN'!$A$1:$O$93,15,0))</f>
        <v>162.96</v>
      </c>
      <c r="Y498" s="6"/>
      <c r="Z498" s="6">
        <f ca="1">('TUSD BE'!$AM$37+'TUSD BF'!$AM$37+'TUSD CVA'!$AM$37)*(1-CUSTOS!$M$38)</f>
        <v>274.6365589659128</v>
      </c>
      <c r="AA498" s="6">
        <f>('TE BE'!$AB$26+'TE BF'!$AB$26+'TE CVA'!$AB$26)*(1-CUSTOS!$M$38)</f>
        <v>186.29103092878736</v>
      </c>
      <c r="AB498" s="6">
        <f t="shared" si="22"/>
        <v>0</v>
      </c>
      <c r="AC498" s="6">
        <f>(L498-M498)*(W498+X498)+($W$393+$X$393-$W$498-$X$498)*(L498)</f>
        <v>18683.532322000003</v>
      </c>
      <c r="AD498" s="6">
        <f t="shared" si="23"/>
        <v>0</v>
      </c>
      <c r="AE498" s="6">
        <f ca="1">(L498-M498)*(Z498+AA498)+($Z$393+$AA$393-$Z$498-$AA$498)*(L498)</f>
        <v>19258.527557224355</v>
      </c>
      <c r="AF498" s="4" t="s">
        <v>639</v>
      </c>
    </row>
    <row r="499" spans="1:32" ht="11.25" customHeight="1" x14ac:dyDescent="0.25">
      <c r="A499" s="4" t="s">
        <v>27</v>
      </c>
      <c r="B499" s="4" t="s">
        <v>41</v>
      </c>
      <c r="C499" s="4" t="s">
        <v>23</v>
      </c>
      <c r="D499" s="4" t="s">
        <v>42</v>
      </c>
      <c r="E499" s="4" t="s">
        <v>50</v>
      </c>
      <c r="F499" s="4" t="s">
        <v>52</v>
      </c>
      <c r="G499" s="4" t="s">
        <v>25</v>
      </c>
      <c r="H499" s="4" t="s">
        <v>25</v>
      </c>
      <c r="I499" s="5">
        <v>44409</v>
      </c>
      <c r="J499" s="6">
        <v>0</v>
      </c>
      <c r="K499" s="6">
        <v>0</v>
      </c>
      <c r="L499" s="6">
        <v>-8.0000000000000002E-3</v>
      </c>
      <c r="M499" s="6">
        <v>-3.2000000000000002E-3</v>
      </c>
      <c r="N499" s="6">
        <v>-8.0000000000000002E-3</v>
      </c>
      <c r="O499" s="6">
        <v>-3.2000000000000002E-3</v>
      </c>
      <c r="P499" s="6">
        <v>0</v>
      </c>
      <c r="Q499" s="4" t="s">
        <v>26</v>
      </c>
      <c r="R499" s="4">
        <v>0</v>
      </c>
      <c r="S499" s="4">
        <v>0</v>
      </c>
      <c r="T499" s="4">
        <v>40</v>
      </c>
      <c r="U499" s="4">
        <v>78</v>
      </c>
      <c r="V499" s="6">
        <f>IF(ISERROR(VLOOKUP($S$499,'TAR FIN'!$A$1:$O$93,15,0)),0,VLOOKUP($S$499,'TAR FIN'!$A$1:$O$93,15,0))</f>
        <v>0</v>
      </c>
      <c r="W499" s="6">
        <f>IF(ISERROR(VLOOKUP($T$499,'TAR FIN'!$A$1:$O$93,15,0)),0,VLOOKUP($T$499,'TAR FIN'!$A$1:$O$93,15,0))</f>
        <v>240.16</v>
      </c>
      <c r="X499" s="6">
        <f>IF(ISERROR(VLOOKUP($U$499,'TAR FIN'!$A$1:$O$93,15,0)),0,VLOOKUP($U$499,'TAR FIN'!$A$1:$O$93,15,0))</f>
        <v>162.96</v>
      </c>
      <c r="Y499" s="6"/>
      <c r="Z499" s="6">
        <f ca="1">('TUSD BE'!$AM$37+'TUSD BF'!$AM$37+'TUSD CVA'!$AM$37)*(1-CUSTOS!$M$38)</f>
        <v>274.6365589659128</v>
      </c>
      <c r="AA499" s="6">
        <f>('TE BE'!$AB$26+'TE BF'!$AB$26+'TE CVA'!$AB$26)*(1-CUSTOS!$M$38)</f>
        <v>186.29103092878736</v>
      </c>
      <c r="AB499" s="6">
        <f t="shared" si="22"/>
        <v>0</v>
      </c>
      <c r="AC499" s="6">
        <f>(L499-M499)*(W499+X499)+($W$393+$X$393-$W$499-$X$499)*(L499)</f>
        <v>-2.3747360000000004</v>
      </c>
      <c r="AD499" s="6">
        <f t="shared" si="23"/>
        <v>0</v>
      </c>
      <c r="AE499" s="6">
        <f ca="1">(L499-M499)*(Z499+AA499)+($Z$393+$AA$393-$Z$499-$AA$499)*(L499)</f>
        <v>-2.4478197114407916</v>
      </c>
      <c r="AF499" s="4" t="s">
        <v>639</v>
      </c>
    </row>
    <row r="500" spans="1:32" ht="11.25" customHeight="1" x14ac:dyDescent="0.25">
      <c r="A500" s="4" t="s">
        <v>21</v>
      </c>
      <c r="B500" s="4" t="s">
        <v>41</v>
      </c>
      <c r="C500" s="4" t="s">
        <v>23</v>
      </c>
      <c r="D500" s="4" t="s">
        <v>42</v>
      </c>
      <c r="E500" s="4" t="s">
        <v>50</v>
      </c>
      <c r="F500" s="4" t="s">
        <v>52</v>
      </c>
      <c r="G500" s="4" t="s">
        <v>25</v>
      </c>
      <c r="H500" s="4" t="s">
        <v>25</v>
      </c>
      <c r="I500" s="5">
        <v>44440</v>
      </c>
      <c r="J500" s="6">
        <v>0</v>
      </c>
      <c r="K500" s="6">
        <v>0</v>
      </c>
      <c r="L500" s="6">
        <v>101.327</v>
      </c>
      <c r="M500" s="6">
        <v>40.530799999999999</v>
      </c>
      <c r="N500" s="6">
        <v>101.327</v>
      </c>
      <c r="O500" s="6">
        <v>40.530799999999999</v>
      </c>
      <c r="P500" s="6">
        <v>0</v>
      </c>
      <c r="Q500" s="4" t="s">
        <v>26</v>
      </c>
      <c r="R500" s="4">
        <v>0</v>
      </c>
      <c r="S500" s="4">
        <v>0</v>
      </c>
      <c r="T500" s="4">
        <v>40</v>
      </c>
      <c r="U500" s="4">
        <v>78</v>
      </c>
      <c r="V500" s="6">
        <f>IF(ISERROR(VLOOKUP($S$500,'TAR FIN'!$A$1:$O$93,15,0)),0,VLOOKUP($S$500,'TAR FIN'!$A$1:$O$93,15,0))</f>
        <v>0</v>
      </c>
      <c r="W500" s="6">
        <f>IF(ISERROR(VLOOKUP($T$500,'TAR FIN'!$A$1:$O$93,15,0)),0,VLOOKUP($T$500,'TAR FIN'!$A$1:$O$93,15,0))</f>
        <v>240.16</v>
      </c>
      <c r="X500" s="6">
        <f>IF(ISERROR(VLOOKUP($U$500,'TAR FIN'!$A$1:$O$93,15,0)),0,VLOOKUP($U$500,'TAR FIN'!$A$1:$O$93,15,0))</f>
        <v>162.96</v>
      </c>
      <c r="Y500" s="6"/>
      <c r="Z500" s="6">
        <f ca="1">('TUSD BE'!$AM$37+'TUSD BF'!$AM$37+'TUSD CVA'!$AM$37)*(1-CUSTOS!$M$38)</f>
        <v>274.6365589659128</v>
      </c>
      <c r="AA500" s="6">
        <f>('TE BE'!$AB$26+'TE BF'!$AB$26+'TE CVA'!$AB$26)*(1-CUSTOS!$M$38)</f>
        <v>186.29103092878736</v>
      </c>
      <c r="AB500" s="6">
        <f t="shared" si="22"/>
        <v>0</v>
      </c>
      <c r="AC500" s="6">
        <f>(L500-M500)*(W500+X500)+($W$393+$X$393-$W$500-$X$500)*(L500)</f>
        <v>30078.109334000001</v>
      </c>
      <c r="AD500" s="6">
        <f t="shared" si="23"/>
        <v>0</v>
      </c>
      <c r="AE500" s="6">
        <f ca="1">(L500-M500)*(Z500+AA500)+($Z$393+$AA$393-$Z$500-$AA$500)*(L500)</f>
        <v>31003.778487645133</v>
      </c>
      <c r="AF500" s="4" t="s">
        <v>639</v>
      </c>
    </row>
    <row r="501" spans="1:32" ht="11.25" customHeight="1" x14ac:dyDescent="0.25">
      <c r="A501" s="4" t="s">
        <v>27</v>
      </c>
      <c r="B501" s="4" t="s">
        <v>41</v>
      </c>
      <c r="C501" s="4" t="s">
        <v>23</v>
      </c>
      <c r="D501" s="4" t="s">
        <v>42</v>
      </c>
      <c r="E501" s="4" t="s">
        <v>50</v>
      </c>
      <c r="F501" s="4" t="s">
        <v>52</v>
      </c>
      <c r="G501" s="4" t="s">
        <v>25</v>
      </c>
      <c r="H501" s="4" t="s">
        <v>25</v>
      </c>
      <c r="I501" s="5">
        <v>44440</v>
      </c>
      <c r="J501" s="6">
        <v>0</v>
      </c>
      <c r="K501" s="6">
        <v>0</v>
      </c>
      <c r="L501" s="6">
        <v>-0.69</v>
      </c>
      <c r="M501" s="6">
        <v>-0.27600000000000002</v>
      </c>
      <c r="N501" s="6">
        <v>-0.69</v>
      </c>
      <c r="O501" s="6">
        <v>-0.27600000000000002</v>
      </c>
      <c r="P501" s="6">
        <v>0</v>
      </c>
      <c r="Q501" s="4" t="s">
        <v>26</v>
      </c>
      <c r="R501" s="4">
        <v>0</v>
      </c>
      <c r="S501" s="4">
        <v>0</v>
      </c>
      <c r="T501" s="4">
        <v>40</v>
      </c>
      <c r="U501" s="4">
        <v>78</v>
      </c>
      <c r="V501" s="6">
        <f>IF(ISERROR(VLOOKUP($S$501,'TAR FIN'!$A$1:$O$93,15,0)),0,VLOOKUP($S$501,'TAR FIN'!$A$1:$O$93,15,0))</f>
        <v>0</v>
      </c>
      <c r="W501" s="6">
        <f>IF(ISERROR(VLOOKUP($T$501,'TAR FIN'!$A$1:$O$93,15,0)),0,VLOOKUP($T$501,'TAR FIN'!$A$1:$O$93,15,0))</f>
        <v>240.16</v>
      </c>
      <c r="X501" s="6">
        <f>IF(ISERROR(VLOOKUP($U$501,'TAR FIN'!$A$1:$O$93,15,0)),0,VLOOKUP($U$501,'TAR FIN'!$A$1:$O$93,15,0))</f>
        <v>162.96</v>
      </c>
      <c r="Y501" s="6"/>
      <c r="Z501" s="6">
        <f ca="1">('TUSD BE'!$AM$37+'TUSD BF'!$AM$37+'TUSD CVA'!$AM$37)*(1-CUSTOS!$M$38)</f>
        <v>274.6365589659128</v>
      </c>
      <c r="AA501" s="6">
        <f>('TE BE'!$AB$26+'TE BF'!$AB$26+'TE CVA'!$AB$26)*(1-CUSTOS!$M$38)</f>
        <v>186.29103092878736</v>
      </c>
      <c r="AB501" s="6">
        <f t="shared" si="22"/>
        <v>0</v>
      </c>
      <c r="AC501" s="6">
        <f>(L501-M501)*(W501+X501)+($W$393+$X$393-$W$501-$X$501)*(L501)</f>
        <v>-204.82097999999999</v>
      </c>
      <c r="AD501" s="6">
        <f t="shared" si="23"/>
        <v>0</v>
      </c>
      <c r="AE501" s="6">
        <f ca="1">(L501-M501)*(Z501+AA501)+($Z$393+$AA$393-$Z$501-$AA$501)*(L501)</f>
        <v>-211.1244501117682</v>
      </c>
      <c r="AF501" s="4" t="s">
        <v>639</v>
      </c>
    </row>
    <row r="502" spans="1:32" ht="11.25" customHeight="1" x14ac:dyDescent="0.25">
      <c r="A502" s="4" t="s">
        <v>28</v>
      </c>
      <c r="B502" s="4" t="s">
        <v>41</v>
      </c>
      <c r="C502" s="4" t="s">
        <v>23</v>
      </c>
      <c r="D502" s="4" t="s">
        <v>42</v>
      </c>
      <c r="E502" s="4" t="s">
        <v>50</v>
      </c>
      <c r="F502" s="4" t="s">
        <v>52</v>
      </c>
      <c r="G502" s="4" t="s">
        <v>25</v>
      </c>
      <c r="H502" s="4" t="s">
        <v>25</v>
      </c>
      <c r="I502" s="5">
        <v>44440</v>
      </c>
      <c r="J502" s="6">
        <v>0</v>
      </c>
      <c r="K502" s="6">
        <v>0</v>
      </c>
      <c r="L502" s="6">
        <v>0.1</v>
      </c>
      <c r="M502" s="6">
        <v>0.04</v>
      </c>
      <c r="N502" s="6">
        <v>0.1</v>
      </c>
      <c r="O502" s="6">
        <v>0.04</v>
      </c>
      <c r="P502" s="6">
        <v>0</v>
      </c>
      <c r="Q502" s="4" t="s">
        <v>26</v>
      </c>
      <c r="R502" s="4">
        <v>0</v>
      </c>
      <c r="S502" s="4">
        <v>0</v>
      </c>
      <c r="T502" s="4">
        <v>40</v>
      </c>
      <c r="U502" s="4">
        <v>78</v>
      </c>
      <c r="V502" s="6">
        <f>IF(ISERROR(VLOOKUP($S$502,'TAR FIN'!$A$1:$O$93,15,0)),0,VLOOKUP($S$502,'TAR FIN'!$A$1:$O$93,15,0))</f>
        <v>0</v>
      </c>
      <c r="W502" s="6">
        <f>IF(ISERROR(VLOOKUP($T$502,'TAR FIN'!$A$1:$O$93,15,0)),0,VLOOKUP($T$502,'TAR FIN'!$A$1:$O$93,15,0))</f>
        <v>240.16</v>
      </c>
      <c r="X502" s="6">
        <f>IF(ISERROR(VLOOKUP($U$502,'TAR FIN'!$A$1:$O$93,15,0)),0,VLOOKUP($U$502,'TAR FIN'!$A$1:$O$93,15,0))</f>
        <v>162.96</v>
      </c>
      <c r="Y502" s="6"/>
      <c r="Z502" s="6">
        <f ca="1">('TUSD BE'!$AM$37+'TUSD BF'!$AM$37+'TUSD CVA'!$AM$37)*(1-CUSTOS!$M$38)</f>
        <v>274.6365589659128</v>
      </c>
      <c r="AA502" s="6">
        <f>('TE BE'!$AB$26+'TE BF'!$AB$26+'TE CVA'!$AB$26)*(1-CUSTOS!$M$38)</f>
        <v>186.29103092878736</v>
      </c>
      <c r="AB502" s="6">
        <f t="shared" si="22"/>
        <v>0</v>
      </c>
      <c r="AC502" s="6">
        <f>(L502-M502)*(W502+X502)+($W$393+$X$393-$W$502-$X$502)*(L502)</f>
        <v>29.684200000000004</v>
      </c>
      <c r="AD502" s="6">
        <f t="shared" si="23"/>
        <v>0</v>
      </c>
      <c r="AE502" s="6">
        <f ca="1">(L502-M502)*(Z502+AA502)+($Z$393+$AA$393-$Z$502-$AA$502)*(L502)</f>
        <v>30.597746393009896</v>
      </c>
      <c r="AF502" s="4" t="s">
        <v>639</v>
      </c>
    </row>
    <row r="503" spans="1:32" ht="11.25" customHeight="1" x14ac:dyDescent="0.25">
      <c r="A503" s="4" t="s">
        <v>21</v>
      </c>
      <c r="B503" s="4" t="s">
        <v>41</v>
      </c>
      <c r="C503" s="4" t="s">
        <v>23</v>
      </c>
      <c r="D503" s="4" t="s">
        <v>42</v>
      </c>
      <c r="E503" s="4" t="s">
        <v>50</v>
      </c>
      <c r="F503" s="4" t="s">
        <v>52</v>
      </c>
      <c r="G503" s="4" t="s">
        <v>25</v>
      </c>
      <c r="H503" s="4" t="s">
        <v>25</v>
      </c>
      <c r="I503" s="5">
        <v>44470</v>
      </c>
      <c r="J503" s="6">
        <v>0</v>
      </c>
      <c r="K503" s="6">
        <v>0</v>
      </c>
      <c r="L503" s="6">
        <v>49.481999999999999</v>
      </c>
      <c r="M503" s="6">
        <v>19.7928</v>
      </c>
      <c r="N503" s="6">
        <v>49.481999999999999</v>
      </c>
      <c r="O503" s="6">
        <v>19.7928</v>
      </c>
      <c r="P503" s="6">
        <v>0</v>
      </c>
      <c r="Q503" s="4" t="s">
        <v>26</v>
      </c>
      <c r="R503" s="4">
        <v>0</v>
      </c>
      <c r="S503" s="4">
        <v>0</v>
      </c>
      <c r="T503" s="4">
        <v>40</v>
      </c>
      <c r="U503" s="4">
        <v>78</v>
      </c>
      <c r="V503" s="6">
        <f>IF(ISERROR(VLOOKUP($S$503,'TAR FIN'!$A$1:$O$93,15,0)),0,VLOOKUP($S$503,'TAR FIN'!$A$1:$O$93,15,0))</f>
        <v>0</v>
      </c>
      <c r="W503" s="6">
        <f>IF(ISERROR(VLOOKUP($T$503,'TAR FIN'!$A$1:$O$93,15,0)),0,VLOOKUP($T$503,'TAR FIN'!$A$1:$O$93,15,0))</f>
        <v>240.16</v>
      </c>
      <c r="X503" s="6">
        <f>IF(ISERROR(VLOOKUP($U$503,'TAR FIN'!$A$1:$O$93,15,0)),0,VLOOKUP($U$503,'TAR FIN'!$A$1:$O$93,15,0))</f>
        <v>162.96</v>
      </c>
      <c r="Y503" s="6"/>
      <c r="Z503" s="6">
        <f ca="1">('TUSD BE'!$AM$37+'TUSD BF'!$AM$37+'TUSD CVA'!$AM$37)*(1-CUSTOS!$M$38)</f>
        <v>274.6365589659128</v>
      </c>
      <c r="AA503" s="6">
        <f>('TE BE'!$AB$26+'TE BF'!$AB$26+'TE CVA'!$AB$26)*(1-CUSTOS!$M$38)</f>
        <v>186.29103092878736</v>
      </c>
      <c r="AB503" s="6">
        <f t="shared" si="22"/>
        <v>0</v>
      </c>
      <c r="AC503" s="6">
        <f>(L503-M503)*(W503+X503)+($W$393+$X$393-$W$503-$X$503)*(L503)</f>
        <v>14688.335844000001</v>
      </c>
      <c r="AD503" s="6">
        <f t="shared" si="23"/>
        <v>0</v>
      </c>
      <c r="AE503" s="6">
        <f ca="1">(L503-M503)*(Z503+AA503)+($Z$393+$AA$393-$Z$503-$AA$503)*(L503)</f>
        <v>15140.376870189153</v>
      </c>
      <c r="AF503" s="4" t="s">
        <v>639</v>
      </c>
    </row>
    <row r="504" spans="1:32" ht="11.25" customHeight="1" x14ac:dyDescent="0.25">
      <c r="A504" s="4" t="s">
        <v>27</v>
      </c>
      <c r="B504" s="4" t="s">
        <v>41</v>
      </c>
      <c r="C504" s="4" t="s">
        <v>23</v>
      </c>
      <c r="D504" s="4" t="s">
        <v>42</v>
      </c>
      <c r="E504" s="4" t="s">
        <v>50</v>
      </c>
      <c r="F504" s="4" t="s">
        <v>52</v>
      </c>
      <c r="G504" s="4" t="s">
        <v>25</v>
      </c>
      <c r="H504" s="4" t="s">
        <v>25</v>
      </c>
      <c r="I504" s="5">
        <v>44470</v>
      </c>
      <c r="J504" s="6">
        <v>0</v>
      </c>
      <c r="K504" s="6">
        <v>0</v>
      </c>
      <c r="L504" s="6">
        <v>-1.534</v>
      </c>
      <c r="M504" s="6">
        <v>-0.61360000000000003</v>
      </c>
      <c r="N504" s="6">
        <v>-1.534</v>
      </c>
      <c r="O504" s="6">
        <v>-0.61360000000000003</v>
      </c>
      <c r="P504" s="6">
        <v>0</v>
      </c>
      <c r="Q504" s="4" t="s">
        <v>26</v>
      </c>
      <c r="R504" s="4">
        <v>0</v>
      </c>
      <c r="S504" s="4">
        <v>0</v>
      </c>
      <c r="T504" s="4">
        <v>40</v>
      </c>
      <c r="U504" s="4">
        <v>78</v>
      </c>
      <c r="V504" s="6">
        <f>IF(ISERROR(VLOOKUP($S$504,'TAR FIN'!$A$1:$O$93,15,0)),0,VLOOKUP($S$504,'TAR FIN'!$A$1:$O$93,15,0))</f>
        <v>0</v>
      </c>
      <c r="W504" s="6">
        <f>IF(ISERROR(VLOOKUP($T$504,'TAR FIN'!$A$1:$O$93,15,0)),0,VLOOKUP($T$504,'TAR FIN'!$A$1:$O$93,15,0))</f>
        <v>240.16</v>
      </c>
      <c r="X504" s="6">
        <f>IF(ISERROR(VLOOKUP($U$504,'TAR FIN'!$A$1:$O$93,15,0)),0,VLOOKUP($U$504,'TAR FIN'!$A$1:$O$93,15,0))</f>
        <v>162.96</v>
      </c>
      <c r="Y504" s="6"/>
      <c r="Z504" s="6">
        <f ca="1">('TUSD BE'!$AM$37+'TUSD BF'!$AM$37+'TUSD CVA'!$AM$37)*(1-CUSTOS!$M$38)</f>
        <v>274.6365589659128</v>
      </c>
      <c r="AA504" s="6">
        <f>('TE BE'!$AB$26+'TE BF'!$AB$26+'TE CVA'!$AB$26)*(1-CUSTOS!$M$38)</f>
        <v>186.29103092878736</v>
      </c>
      <c r="AB504" s="6">
        <f t="shared" si="22"/>
        <v>0</v>
      </c>
      <c r="AC504" s="6">
        <f>(L504-M504)*(W504+X504)+($W$393+$X$393-$W$504-$X$504)*(L504)</f>
        <v>-455.35562800000008</v>
      </c>
      <c r="AD504" s="6">
        <f t="shared" si="23"/>
        <v>0</v>
      </c>
      <c r="AE504" s="6">
        <f ca="1">(L504-M504)*(Z504+AA504)+($Z$393+$AA$393-$Z$504-$AA$504)*(L504)</f>
        <v>-469.36942966877172</v>
      </c>
      <c r="AF504" s="4" t="s">
        <v>639</v>
      </c>
    </row>
    <row r="505" spans="1:32" ht="11.25" customHeight="1" x14ac:dyDescent="0.25">
      <c r="A505" s="4" t="s">
        <v>21</v>
      </c>
      <c r="B505" s="4" t="s">
        <v>41</v>
      </c>
      <c r="C505" s="4" t="s">
        <v>23</v>
      </c>
      <c r="D505" s="4" t="s">
        <v>42</v>
      </c>
      <c r="E505" s="4" t="s">
        <v>50</v>
      </c>
      <c r="F505" s="4" t="s">
        <v>52</v>
      </c>
      <c r="G505" s="4" t="s">
        <v>25</v>
      </c>
      <c r="H505" s="4" t="s">
        <v>25</v>
      </c>
      <c r="I505" s="5">
        <v>44501</v>
      </c>
      <c r="J505" s="6">
        <v>0</v>
      </c>
      <c r="K505" s="6">
        <v>0</v>
      </c>
      <c r="L505" s="6">
        <v>131.38300000000001</v>
      </c>
      <c r="M505" s="6">
        <v>52.553199999999997</v>
      </c>
      <c r="N505" s="6">
        <v>131.38300000000001</v>
      </c>
      <c r="O505" s="6">
        <v>52.553199999999997</v>
      </c>
      <c r="P505" s="6">
        <v>0</v>
      </c>
      <c r="Q505" s="4" t="s">
        <v>26</v>
      </c>
      <c r="R505" s="4">
        <v>0</v>
      </c>
      <c r="S505" s="4">
        <v>0</v>
      </c>
      <c r="T505" s="4">
        <v>40</v>
      </c>
      <c r="U505" s="4">
        <v>78</v>
      </c>
      <c r="V505" s="6">
        <f>IF(ISERROR(VLOOKUP($S$505,'TAR FIN'!$A$1:$O$93,15,0)),0,VLOOKUP($S$505,'TAR FIN'!$A$1:$O$93,15,0))</f>
        <v>0</v>
      </c>
      <c r="W505" s="6">
        <f>IF(ISERROR(VLOOKUP($T$505,'TAR FIN'!$A$1:$O$93,15,0)),0,VLOOKUP($T$505,'TAR FIN'!$A$1:$O$93,15,0))</f>
        <v>240.16</v>
      </c>
      <c r="X505" s="6">
        <f>IF(ISERROR(VLOOKUP($U$505,'TAR FIN'!$A$1:$O$93,15,0)),0,VLOOKUP($U$505,'TAR FIN'!$A$1:$O$93,15,0))</f>
        <v>162.96</v>
      </c>
      <c r="Y505" s="6"/>
      <c r="Z505" s="6">
        <f ca="1">('TUSD BE'!$AM$37+'TUSD BF'!$AM$37+'TUSD CVA'!$AM$37)*(1-CUSTOS!$M$38)</f>
        <v>274.6365589659128</v>
      </c>
      <c r="AA505" s="6">
        <f>('TE BE'!$AB$26+'TE BF'!$AB$26+'TE CVA'!$AB$26)*(1-CUSTOS!$M$38)</f>
        <v>186.29103092878736</v>
      </c>
      <c r="AB505" s="6">
        <f t="shared" si="22"/>
        <v>0</v>
      </c>
      <c r="AC505" s="6">
        <f>(L505-M505)*(W505+X505)+($W$393+$X$393-$W$505-$X$505)*(L505)</f>
        <v>38999.992486000003</v>
      </c>
      <c r="AD505" s="6">
        <f t="shared" si="23"/>
        <v>0</v>
      </c>
      <c r="AE505" s="6">
        <f ca="1">(L505-M505)*(Z505+AA505)+($Z$393+$AA$393-$Z$505-$AA$505)*(L505)</f>
        <v>40200.237143528189</v>
      </c>
      <c r="AF505" s="4" t="s">
        <v>639</v>
      </c>
    </row>
    <row r="506" spans="1:32" ht="11.25" customHeight="1" x14ac:dyDescent="0.25">
      <c r="A506" s="4" t="s">
        <v>21</v>
      </c>
      <c r="B506" s="4" t="s">
        <v>41</v>
      </c>
      <c r="C506" s="4" t="s">
        <v>23</v>
      </c>
      <c r="D506" s="4" t="s">
        <v>42</v>
      </c>
      <c r="E506" s="4" t="s">
        <v>50</v>
      </c>
      <c r="F506" s="4" t="s">
        <v>52</v>
      </c>
      <c r="G506" s="4" t="s">
        <v>25</v>
      </c>
      <c r="H506" s="4" t="s">
        <v>25</v>
      </c>
      <c r="I506" s="5">
        <v>44531</v>
      </c>
      <c r="J506" s="6">
        <v>0</v>
      </c>
      <c r="K506" s="6">
        <v>0</v>
      </c>
      <c r="L506" s="6">
        <v>812.57</v>
      </c>
      <c r="M506" s="6">
        <v>325.02800000000002</v>
      </c>
      <c r="N506" s="6">
        <v>812.57</v>
      </c>
      <c r="O506" s="6">
        <v>325.02800000000002</v>
      </c>
      <c r="P506" s="6">
        <v>0</v>
      </c>
      <c r="Q506" s="4" t="s">
        <v>26</v>
      </c>
      <c r="R506" s="4">
        <v>0</v>
      </c>
      <c r="S506" s="4">
        <v>0</v>
      </c>
      <c r="T506" s="4">
        <v>40</v>
      </c>
      <c r="U506" s="4">
        <v>78</v>
      </c>
      <c r="V506" s="6">
        <f>IF(ISERROR(VLOOKUP($S$506,'TAR FIN'!$A$1:$O$93,15,0)),0,VLOOKUP($S$506,'TAR FIN'!$A$1:$O$93,15,0))</f>
        <v>0</v>
      </c>
      <c r="W506" s="6">
        <f>IF(ISERROR(VLOOKUP($T$506,'TAR FIN'!$A$1:$O$93,15,0)),0,VLOOKUP($T$506,'TAR FIN'!$A$1:$O$93,15,0))</f>
        <v>240.16</v>
      </c>
      <c r="X506" s="6">
        <f>IF(ISERROR(VLOOKUP($U$506,'TAR FIN'!$A$1:$O$93,15,0)),0,VLOOKUP($U$506,'TAR FIN'!$A$1:$O$93,15,0))</f>
        <v>162.96</v>
      </c>
      <c r="Y506" s="6"/>
      <c r="Z506" s="6">
        <f ca="1">('TUSD BE'!$AM$37+'TUSD BF'!$AM$37+'TUSD CVA'!$AM$37)*(1-CUSTOS!$M$38)</f>
        <v>274.6365589659128</v>
      </c>
      <c r="AA506" s="6">
        <f>('TE BE'!$AB$26+'TE BF'!$AB$26+'TE CVA'!$AB$26)*(1-CUSTOS!$M$38)</f>
        <v>186.29103092878736</v>
      </c>
      <c r="AB506" s="6">
        <f t="shared" si="22"/>
        <v>0</v>
      </c>
      <c r="AC506" s="6">
        <f>(L506-M506)*(W506+X506)+($W$393+$X$393-$W$506-$X$506)*(L506)</f>
        <v>241204.90394000005</v>
      </c>
      <c r="AD506" s="6">
        <f t="shared" si="23"/>
        <v>0</v>
      </c>
      <c r="AE506" s="6">
        <f ca="1">(L506-M506)*(Z506+AA506)+($Z$393+$AA$393-$Z$506-$AA$506)*(L506)</f>
        <v>248628.10786568047</v>
      </c>
      <c r="AF506" s="4" t="s">
        <v>639</v>
      </c>
    </row>
    <row r="507" spans="1:32" ht="11.25" customHeight="1" x14ac:dyDescent="0.25">
      <c r="A507" s="4" t="s">
        <v>27</v>
      </c>
      <c r="B507" s="4" t="s">
        <v>41</v>
      </c>
      <c r="C507" s="4" t="s">
        <v>23</v>
      </c>
      <c r="D507" s="4" t="s">
        <v>42</v>
      </c>
      <c r="E507" s="4" t="s">
        <v>50</v>
      </c>
      <c r="F507" s="4" t="s">
        <v>52</v>
      </c>
      <c r="G507" s="4" t="s">
        <v>25</v>
      </c>
      <c r="H507" s="4" t="s">
        <v>25</v>
      </c>
      <c r="I507" s="5">
        <v>44531</v>
      </c>
      <c r="J507" s="6">
        <v>0</v>
      </c>
      <c r="K507" s="6">
        <v>0</v>
      </c>
      <c r="L507" s="6">
        <v>-44.145000000000003</v>
      </c>
      <c r="M507" s="6">
        <v>-17.658000000000001</v>
      </c>
      <c r="N507" s="6">
        <v>-44.145000000000003</v>
      </c>
      <c r="O507" s="6">
        <v>-17.658000000000001</v>
      </c>
      <c r="P507" s="6">
        <v>0</v>
      </c>
      <c r="Q507" s="4" t="s">
        <v>26</v>
      </c>
      <c r="R507" s="4">
        <v>0</v>
      </c>
      <c r="S507" s="4">
        <v>0</v>
      </c>
      <c r="T507" s="4">
        <v>40</v>
      </c>
      <c r="U507" s="4">
        <v>78</v>
      </c>
      <c r="V507" s="6">
        <f>IF(ISERROR(VLOOKUP($S$507,'TAR FIN'!$A$1:$O$93,15,0)),0,VLOOKUP($S$507,'TAR FIN'!$A$1:$O$93,15,0))</f>
        <v>0</v>
      </c>
      <c r="W507" s="6">
        <f>IF(ISERROR(VLOOKUP($T$507,'TAR FIN'!$A$1:$O$93,15,0)),0,VLOOKUP($T$507,'TAR FIN'!$A$1:$O$93,15,0))</f>
        <v>240.16</v>
      </c>
      <c r="X507" s="6">
        <f>IF(ISERROR(VLOOKUP($U$507,'TAR FIN'!$A$1:$O$93,15,0)),0,VLOOKUP($U$507,'TAR FIN'!$A$1:$O$93,15,0))</f>
        <v>162.96</v>
      </c>
      <c r="Y507" s="6"/>
      <c r="Z507" s="6">
        <f ca="1">('TUSD BE'!$AM$37+'TUSD BF'!$AM$37+'TUSD CVA'!$AM$37)*(1-CUSTOS!$M$38)</f>
        <v>274.6365589659128</v>
      </c>
      <c r="AA507" s="6">
        <f>('TE BE'!$AB$26+'TE BF'!$AB$26+'TE CVA'!$AB$26)*(1-CUSTOS!$M$38)</f>
        <v>186.29103092878736</v>
      </c>
      <c r="AB507" s="6">
        <f t="shared" si="22"/>
        <v>0</v>
      </c>
      <c r="AC507" s="6">
        <f>(L507-M507)*(W507+X507)+($W$393+$X$393-$W$507-$X$507)*(L507)</f>
        <v>-13104.090090000002</v>
      </c>
      <c r="AD507" s="6">
        <f t="shared" si="23"/>
        <v>0</v>
      </c>
      <c r="AE507" s="6">
        <f ca="1">(L507-M507)*(Z507+AA507)+($Z$393+$AA$393-$Z$507-$AA$507)*(L507)</f>
        <v>-13507.375145194217</v>
      </c>
      <c r="AF507" s="4" t="s">
        <v>639</v>
      </c>
    </row>
    <row r="508" spans="1:32" ht="11.25" customHeight="1" x14ac:dyDescent="0.25">
      <c r="A508" s="4" t="s">
        <v>21</v>
      </c>
      <c r="B508" s="4" t="s">
        <v>41</v>
      </c>
      <c r="C508" s="4" t="s">
        <v>23</v>
      </c>
      <c r="D508" s="4" t="s">
        <v>42</v>
      </c>
      <c r="E508" s="4" t="s">
        <v>50</v>
      </c>
      <c r="F508" s="4" t="s">
        <v>52</v>
      </c>
      <c r="G508" s="4" t="s">
        <v>25</v>
      </c>
      <c r="H508" s="4" t="s">
        <v>25</v>
      </c>
      <c r="I508" s="5">
        <v>44562</v>
      </c>
      <c r="J508" s="6">
        <v>0</v>
      </c>
      <c r="K508" s="6">
        <v>0</v>
      </c>
      <c r="L508" s="6">
        <v>1028.1130000000001</v>
      </c>
      <c r="M508" s="6">
        <v>411.24520000000001</v>
      </c>
      <c r="N508" s="6">
        <v>1028.1130000000001</v>
      </c>
      <c r="O508" s="6">
        <v>411.24520000000001</v>
      </c>
      <c r="P508" s="6">
        <v>0</v>
      </c>
      <c r="Q508" s="4" t="s">
        <v>26</v>
      </c>
      <c r="R508" s="4">
        <v>0</v>
      </c>
      <c r="S508" s="4">
        <v>0</v>
      </c>
      <c r="T508" s="4">
        <v>40</v>
      </c>
      <c r="U508" s="4">
        <v>78</v>
      </c>
      <c r="V508" s="6">
        <f>IF(ISERROR(VLOOKUP($S$508,'TAR FIN'!$A$1:$O$93,15,0)),0,VLOOKUP($S$508,'TAR FIN'!$A$1:$O$93,15,0))</f>
        <v>0</v>
      </c>
      <c r="W508" s="6">
        <f>IF(ISERROR(VLOOKUP($T$508,'TAR FIN'!$A$1:$O$93,15,0)),0,VLOOKUP($T$508,'TAR FIN'!$A$1:$O$93,15,0))</f>
        <v>240.16</v>
      </c>
      <c r="X508" s="6">
        <f>IF(ISERROR(VLOOKUP($U$508,'TAR FIN'!$A$1:$O$93,15,0)),0,VLOOKUP($U$508,'TAR FIN'!$A$1:$O$93,15,0))</f>
        <v>162.96</v>
      </c>
      <c r="Y508" s="6"/>
      <c r="Z508" s="6">
        <f ca="1">('TUSD BE'!$AM$37+'TUSD BF'!$AM$37+'TUSD CVA'!$AM$37)*(1-CUSTOS!$M$38)</f>
        <v>274.6365589659128</v>
      </c>
      <c r="AA508" s="6">
        <f>('TE BE'!$AB$26+'TE BF'!$AB$26+'TE CVA'!$AB$26)*(1-CUSTOS!$M$38)</f>
        <v>186.29103092878736</v>
      </c>
      <c r="AB508" s="6">
        <f t="shared" si="22"/>
        <v>0</v>
      </c>
      <c r="AC508" s="6">
        <f>(L508-M508)*(W508+X508)+($W$393+$X$393-$W$508-$X$508)*(L508)</f>
        <v>305187.11914600001</v>
      </c>
      <c r="AD508" s="6">
        <f t="shared" si="23"/>
        <v>0</v>
      </c>
      <c r="AE508" s="6">
        <f ca="1">(L508-M508)*(Z508+AA508)+($Z$393+$AA$393-$Z$508-$AA$508)*(L508)</f>
        <v>314579.40837356576</v>
      </c>
      <c r="AF508" s="4" t="s">
        <v>639</v>
      </c>
    </row>
    <row r="509" spans="1:32" ht="11.25" customHeight="1" x14ac:dyDescent="0.25">
      <c r="A509" s="4" t="s">
        <v>28</v>
      </c>
      <c r="B509" s="4" t="s">
        <v>41</v>
      </c>
      <c r="C509" s="4" t="s">
        <v>23</v>
      </c>
      <c r="D509" s="4" t="s">
        <v>42</v>
      </c>
      <c r="E509" s="4" t="s">
        <v>50</v>
      </c>
      <c r="F509" s="4" t="s">
        <v>52</v>
      </c>
      <c r="G509" s="4" t="s">
        <v>25</v>
      </c>
      <c r="H509" s="4" t="s">
        <v>25</v>
      </c>
      <c r="I509" s="5">
        <v>44562</v>
      </c>
      <c r="J509" s="6">
        <v>0</v>
      </c>
      <c r="K509" s="6">
        <v>0</v>
      </c>
      <c r="L509" s="6">
        <v>17.23</v>
      </c>
      <c r="M509" s="6">
        <v>6.8920000000000003</v>
      </c>
      <c r="N509" s="6">
        <v>17.23</v>
      </c>
      <c r="O509" s="6">
        <v>6.8920000000000003</v>
      </c>
      <c r="P509" s="6">
        <v>0</v>
      </c>
      <c r="Q509" s="4" t="s">
        <v>26</v>
      </c>
      <c r="R509" s="4">
        <v>0</v>
      </c>
      <c r="S509" s="4">
        <v>0</v>
      </c>
      <c r="T509" s="4">
        <v>40</v>
      </c>
      <c r="U509" s="4">
        <v>78</v>
      </c>
      <c r="V509" s="6">
        <f>IF(ISERROR(VLOOKUP($S$509,'TAR FIN'!$A$1:$O$93,15,0)),0,VLOOKUP($S$509,'TAR FIN'!$A$1:$O$93,15,0))</f>
        <v>0</v>
      </c>
      <c r="W509" s="6">
        <f>IF(ISERROR(VLOOKUP($T$509,'TAR FIN'!$A$1:$O$93,15,0)),0,VLOOKUP($T$509,'TAR FIN'!$A$1:$O$93,15,0))</f>
        <v>240.16</v>
      </c>
      <c r="X509" s="6">
        <f>IF(ISERROR(VLOOKUP($U$509,'TAR FIN'!$A$1:$O$93,15,0)),0,VLOOKUP($U$509,'TAR FIN'!$A$1:$O$93,15,0))</f>
        <v>162.96</v>
      </c>
      <c r="Y509" s="6"/>
      <c r="Z509" s="6">
        <f ca="1">('TUSD BE'!$AM$37+'TUSD BF'!$AM$37+'TUSD CVA'!$AM$37)*(1-CUSTOS!$M$38)</f>
        <v>274.6365589659128</v>
      </c>
      <c r="AA509" s="6">
        <f>('TE BE'!$AB$26+'TE BF'!$AB$26+'TE CVA'!$AB$26)*(1-CUSTOS!$M$38)</f>
        <v>186.29103092878736</v>
      </c>
      <c r="AB509" s="6">
        <f t="shared" si="22"/>
        <v>0</v>
      </c>
      <c r="AC509" s="6">
        <f>(L509-M509)*(W509+X509)+($W$393+$X$393-$W$509-$X$509)*(L509)</f>
        <v>5114.5876600000011</v>
      </c>
      <c r="AD509" s="6">
        <f t="shared" si="23"/>
        <v>0</v>
      </c>
      <c r="AE509" s="6">
        <f ca="1">(L509-M509)*(Z509+AA509)+($Z$393+$AA$393-$Z$509-$AA$509)*(L509)</f>
        <v>5271.991703515605</v>
      </c>
      <c r="AF509" s="4" t="s">
        <v>639</v>
      </c>
    </row>
    <row r="510" spans="1:32" ht="11.25" customHeight="1" x14ac:dyDescent="0.25">
      <c r="A510" s="4" t="s">
        <v>21</v>
      </c>
      <c r="B510" s="4" t="s">
        <v>41</v>
      </c>
      <c r="C510" s="4" t="s">
        <v>23</v>
      </c>
      <c r="D510" s="4" t="s">
        <v>42</v>
      </c>
      <c r="E510" s="4" t="s">
        <v>50</v>
      </c>
      <c r="F510" s="4" t="s">
        <v>52</v>
      </c>
      <c r="G510" s="4" t="s">
        <v>25</v>
      </c>
      <c r="H510" s="4" t="s">
        <v>25</v>
      </c>
      <c r="I510" s="5">
        <v>44593</v>
      </c>
      <c r="J510" s="6">
        <v>0</v>
      </c>
      <c r="K510" s="6">
        <v>0</v>
      </c>
      <c r="L510" s="6">
        <v>742.851</v>
      </c>
      <c r="M510" s="6">
        <v>297.1404</v>
      </c>
      <c r="N510" s="6">
        <v>742.851</v>
      </c>
      <c r="O510" s="6">
        <v>297.1404</v>
      </c>
      <c r="P510" s="6">
        <v>0</v>
      </c>
      <c r="Q510" s="4" t="s">
        <v>26</v>
      </c>
      <c r="R510" s="4">
        <v>0</v>
      </c>
      <c r="S510" s="4">
        <v>0</v>
      </c>
      <c r="T510" s="4">
        <v>40</v>
      </c>
      <c r="U510" s="4">
        <v>78</v>
      </c>
      <c r="V510" s="6">
        <f>IF(ISERROR(VLOOKUP($S$510,'TAR FIN'!$A$1:$O$93,15,0)),0,VLOOKUP($S$510,'TAR FIN'!$A$1:$O$93,15,0))</f>
        <v>0</v>
      </c>
      <c r="W510" s="6">
        <f>IF(ISERROR(VLOOKUP($T$510,'TAR FIN'!$A$1:$O$93,15,0)),0,VLOOKUP($T$510,'TAR FIN'!$A$1:$O$93,15,0))</f>
        <v>240.16</v>
      </c>
      <c r="X510" s="6">
        <f>IF(ISERROR(VLOOKUP($U$510,'TAR FIN'!$A$1:$O$93,15,0)),0,VLOOKUP($U$510,'TAR FIN'!$A$1:$O$93,15,0))</f>
        <v>162.96</v>
      </c>
      <c r="Y510" s="6"/>
      <c r="Z510" s="6">
        <f ca="1">('TUSD BE'!$AM$37+'TUSD BF'!$AM$37+'TUSD CVA'!$AM$37)*(1-CUSTOS!$M$38)</f>
        <v>274.6365589659128</v>
      </c>
      <c r="AA510" s="6">
        <f>('TE BE'!$AB$26+'TE BF'!$AB$26+'TE CVA'!$AB$26)*(1-CUSTOS!$M$38)</f>
        <v>186.29103092878736</v>
      </c>
      <c r="AB510" s="6">
        <f t="shared" si="22"/>
        <v>0</v>
      </c>
      <c r="AC510" s="6">
        <f>(L510-M510)*(W510+X510)+($W$393+$X$393-$W$510-$X$510)*(L510)</f>
        <v>220509.37654200004</v>
      </c>
      <c r="AD510" s="6">
        <f t="shared" si="23"/>
        <v>0</v>
      </c>
      <c r="AE510" s="6">
        <f ca="1">(L510-M510)*(Z510+AA510)+($Z$393+$AA$393-$Z$510-$AA$510)*(L510)</f>
        <v>227295.66505793791</v>
      </c>
      <c r="AF510" s="4" t="s">
        <v>639</v>
      </c>
    </row>
    <row r="511" spans="1:32" ht="11.25" customHeight="1" x14ac:dyDescent="0.25">
      <c r="A511" s="4" t="s">
        <v>27</v>
      </c>
      <c r="B511" s="4" t="s">
        <v>41</v>
      </c>
      <c r="C511" s="4" t="s">
        <v>23</v>
      </c>
      <c r="D511" s="4" t="s">
        <v>42</v>
      </c>
      <c r="E511" s="4" t="s">
        <v>50</v>
      </c>
      <c r="F511" s="4" t="s">
        <v>52</v>
      </c>
      <c r="G511" s="4" t="s">
        <v>25</v>
      </c>
      <c r="H511" s="4" t="s">
        <v>25</v>
      </c>
      <c r="I511" s="5">
        <v>44593</v>
      </c>
      <c r="J511" s="6">
        <v>0</v>
      </c>
      <c r="K511" s="6">
        <v>0</v>
      </c>
      <c r="L511" s="6">
        <v>-25.92</v>
      </c>
      <c r="M511" s="6">
        <v>-10.368</v>
      </c>
      <c r="N511" s="6">
        <v>-25.92</v>
      </c>
      <c r="O511" s="6">
        <v>-10.368</v>
      </c>
      <c r="P511" s="6">
        <v>0</v>
      </c>
      <c r="Q511" s="4" t="s">
        <v>26</v>
      </c>
      <c r="R511" s="4">
        <v>0</v>
      </c>
      <c r="S511" s="4">
        <v>0</v>
      </c>
      <c r="T511" s="4">
        <v>40</v>
      </c>
      <c r="U511" s="4">
        <v>78</v>
      </c>
      <c r="V511" s="6">
        <f>IF(ISERROR(VLOOKUP($S$511,'TAR FIN'!$A$1:$O$93,15,0)),0,VLOOKUP($S$511,'TAR FIN'!$A$1:$O$93,15,0))</f>
        <v>0</v>
      </c>
      <c r="W511" s="6">
        <f>IF(ISERROR(VLOOKUP($T$511,'TAR FIN'!$A$1:$O$93,15,0)),0,VLOOKUP($T$511,'TAR FIN'!$A$1:$O$93,15,0))</f>
        <v>240.16</v>
      </c>
      <c r="X511" s="6">
        <f>IF(ISERROR(VLOOKUP($U$511,'TAR FIN'!$A$1:$O$93,15,0)),0,VLOOKUP($U$511,'TAR FIN'!$A$1:$O$93,15,0))</f>
        <v>162.96</v>
      </c>
      <c r="Y511" s="6"/>
      <c r="Z511" s="6">
        <f ca="1">('TUSD BE'!$AM$37+'TUSD BF'!$AM$37+'TUSD CVA'!$AM$37)*(1-CUSTOS!$M$38)</f>
        <v>274.6365589659128</v>
      </c>
      <c r="AA511" s="6">
        <f>('TE BE'!$AB$26+'TE BF'!$AB$26+'TE CVA'!$AB$26)*(1-CUSTOS!$M$38)</f>
        <v>186.29103092878736</v>
      </c>
      <c r="AB511" s="6">
        <f t="shared" si="22"/>
        <v>0</v>
      </c>
      <c r="AC511" s="6">
        <f>(L511-M511)*(W511+X511)+($W$393+$X$393-$W$511-$X$511)*(L511)</f>
        <v>-7694.1446400000013</v>
      </c>
      <c r="AD511" s="6">
        <f t="shared" si="23"/>
        <v>0</v>
      </c>
      <c r="AE511" s="6">
        <f ca="1">(L511-M511)*(Z511+AA511)+($Z$393+$AA$393-$Z$511-$AA$511)*(L511)</f>
        <v>-7930.9358650681643</v>
      </c>
      <c r="AF511" s="4" t="s">
        <v>639</v>
      </c>
    </row>
    <row r="512" spans="1:32" ht="11.25" customHeight="1" x14ac:dyDescent="0.25">
      <c r="A512" s="4" t="s">
        <v>28</v>
      </c>
      <c r="B512" s="4" t="s">
        <v>41</v>
      </c>
      <c r="C512" s="4" t="s">
        <v>23</v>
      </c>
      <c r="D512" s="4" t="s">
        <v>42</v>
      </c>
      <c r="E512" s="4" t="s">
        <v>50</v>
      </c>
      <c r="F512" s="4" t="s">
        <v>52</v>
      </c>
      <c r="G512" s="4" t="s">
        <v>25</v>
      </c>
      <c r="H512" s="4" t="s">
        <v>25</v>
      </c>
      <c r="I512" s="5">
        <v>44593</v>
      </c>
      <c r="J512" s="6">
        <v>0</v>
      </c>
      <c r="K512" s="6">
        <v>0</v>
      </c>
      <c r="L512" s="6">
        <v>16.576000000000001</v>
      </c>
      <c r="M512" s="6">
        <v>6.6303999999999998</v>
      </c>
      <c r="N512" s="6">
        <v>16.576000000000001</v>
      </c>
      <c r="O512" s="6">
        <v>6.6303999999999998</v>
      </c>
      <c r="P512" s="6">
        <v>0</v>
      </c>
      <c r="Q512" s="4" t="s">
        <v>26</v>
      </c>
      <c r="R512" s="4">
        <v>0</v>
      </c>
      <c r="S512" s="4">
        <v>0</v>
      </c>
      <c r="T512" s="4">
        <v>40</v>
      </c>
      <c r="U512" s="4">
        <v>78</v>
      </c>
      <c r="V512" s="6">
        <f>IF(ISERROR(VLOOKUP($S$512,'TAR FIN'!$A$1:$O$93,15,0)),0,VLOOKUP($S$512,'TAR FIN'!$A$1:$O$93,15,0))</f>
        <v>0</v>
      </c>
      <c r="W512" s="6">
        <f>IF(ISERROR(VLOOKUP($T$512,'TAR FIN'!$A$1:$O$93,15,0)),0,VLOOKUP($T$512,'TAR FIN'!$A$1:$O$93,15,0))</f>
        <v>240.16</v>
      </c>
      <c r="X512" s="6">
        <f>IF(ISERROR(VLOOKUP($U$512,'TAR FIN'!$A$1:$O$93,15,0)),0,VLOOKUP($U$512,'TAR FIN'!$A$1:$O$93,15,0))</f>
        <v>162.96</v>
      </c>
      <c r="Y512" s="6"/>
      <c r="Z512" s="6">
        <f ca="1">('TUSD BE'!$AM$37+'TUSD BF'!$AM$37+'TUSD CVA'!$AM$37)*(1-CUSTOS!$M$38)</f>
        <v>274.6365589659128</v>
      </c>
      <c r="AA512" s="6">
        <f>('TE BE'!$AB$26+'TE BF'!$AB$26+'TE CVA'!$AB$26)*(1-CUSTOS!$M$38)</f>
        <v>186.29103092878736</v>
      </c>
      <c r="AB512" s="6">
        <f t="shared" si="22"/>
        <v>0</v>
      </c>
      <c r="AC512" s="6">
        <f>(L512-M512)*(W512+X512)+($W$393+$X$393-$W$512-$X$512)*(L512)</f>
        <v>4920.4529920000004</v>
      </c>
      <c r="AD512" s="6">
        <f t="shared" si="23"/>
        <v>0</v>
      </c>
      <c r="AE512" s="6">
        <f ca="1">(L512-M512)*(Z512+AA512)+($Z$393+$AA$393-$Z$512-$AA$512)*(L512)</f>
        <v>5071.8824421053205</v>
      </c>
      <c r="AF512" s="4" t="s">
        <v>639</v>
      </c>
    </row>
    <row r="513" spans="1:32" ht="11.25" customHeight="1" x14ac:dyDescent="0.25">
      <c r="A513" s="4" t="s">
        <v>21</v>
      </c>
      <c r="B513" s="4" t="s">
        <v>41</v>
      </c>
      <c r="C513" s="4" t="s">
        <v>23</v>
      </c>
      <c r="D513" s="4" t="s">
        <v>42</v>
      </c>
      <c r="E513" s="4" t="s">
        <v>50</v>
      </c>
      <c r="F513" s="4" t="s">
        <v>52</v>
      </c>
      <c r="G513" s="4" t="s">
        <v>25</v>
      </c>
      <c r="H513" s="4" t="s">
        <v>25</v>
      </c>
      <c r="I513" s="5">
        <v>44621</v>
      </c>
      <c r="J513" s="6">
        <v>0</v>
      </c>
      <c r="K513" s="6">
        <v>0</v>
      </c>
      <c r="L513" s="6">
        <v>580.45299999999997</v>
      </c>
      <c r="M513" s="6">
        <v>232.18119999999999</v>
      </c>
      <c r="N513" s="6">
        <v>580.45299999999997</v>
      </c>
      <c r="O513" s="6">
        <v>232.18119999999999</v>
      </c>
      <c r="P513" s="6">
        <v>0</v>
      </c>
      <c r="Q513" s="4" t="s">
        <v>26</v>
      </c>
      <c r="R513" s="4">
        <v>0</v>
      </c>
      <c r="S513" s="4">
        <v>0</v>
      </c>
      <c r="T513" s="4">
        <v>40</v>
      </c>
      <c r="U513" s="4">
        <v>78</v>
      </c>
      <c r="V513" s="6">
        <f>IF(ISERROR(VLOOKUP($S$513,'TAR FIN'!$A$1:$O$93,15,0)),0,VLOOKUP($S$513,'TAR FIN'!$A$1:$O$93,15,0))</f>
        <v>0</v>
      </c>
      <c r="W513" s="6">
        <f>IF(ISERROR(VLOOKUP($T$513,'TAR FIN'!$A$1:$O$93,15,0)),0,VLOOKUP($T$513,'TAR FIN'!$A$1:$O$93,15,0))</f>
        <v>240.16</v>
      </c>
      <c r="X513" s="6">
        <f>IF(ISERROR(VLOOKUP($U$513,'TAR FIN'!$A$1:$O$93,15,0)),0,VLOOKUP($U$513,'TAR FIN'!$A$1:$O$93,15,0))</f>
        <v>162.96</v>
      </c>
      <c r="Y513" s="6"/>
      <c r="Z513" s="6">
        <f ca="1">('TUSD BE'!$AM$37+'TUSD BF'!$AM$37+'TUSD CVA'!$AM$37)*(1-CUSTOS!$M$38)</f>
        <v>274.6365589659128</v>
      </c>
      <c r="AA513" s="6">
        <f>('TE BE'!$AB$26+'TE BF'!$AB$26+'TE CVA'!$AB$26)*(1-CUSTOS!$M$38)</f>
        <v>186.29103092878736</v>
      </c>
      <c r="AB513" s="6">
        <f t="shared" si="22"/>
        <v>0</v>
      </c>
      <c r="AC513" s="6">
        <f>(L513-M513)*(W513+X513)+($W$393+$X$393-$W$513-$X$513)*(L513)</f>
        <v>172302.82942600001</v>
      </c>
      <c r="AD513" s="6">
        <f t="shared" si="23"/>
        <v>0</v>
      </c>
      <c r="AE513" s="6">
        <f ca="1">(L513-M513)*(Z513+AA513)+($Z$393+$AA$393-$Z$513-$AA$513)*(L513)</f>
        <v>177605.53687061771</v>
      </c>
      <c r="AF513" s="4" t="s">
        <v>639</v>
      </c>
    </row>
    <row r="514" spans="1:32" ht="11.25" customHeight="1" x14ac:dyDescent="0.25">
      <c r="A514" s="4" t="s">
        <v>27</v>
      </c>
      <c r="B514" s="4" t="s">
        <v>41</v>
      </c>
      <c r="C514" s="4" t="s">
        <v>23</v>
      </c>
      <c r="D514" s="4" t="s">
        <v>42</v>
      </c>
      <c r="E514" s="4" t="s">
        <v>50</v>
      </c>
      <c r="F514" s="4" t="s">
        <v>52</v>
      </c>
      <c r="G514" s="4" t="s">
        <v>25</v>
      </c>
      <c r="H514" s="4" t="s">
        <v>25</v>
      </c>
      <c r="I514" s="5">
        <v>44621</v>
      </c>
      <c r="J514" s="6">
        <v>0</v>
      </c>
      <c r="K514" s="6">
        <v>0</v>
      </c>
      <c r="L514" s="6">
        <v>-10.492000000000001</v>
      </c>
      <c r="M514" s="6">
        <v>-4.1967999999999996</v>
      </c>
      <c r="N514" s="6">
        <v>-10.492000000000001</v>
      </c>
      <c r="O514" s="6">
        <v>-4.1967999999999996</v>
      </c>
      <c r="P514" s="6">
        <v>0</v>
      </c>
      <c r="Q514" s="4" t="s">
        <v>26</v>
      </c>
      <c r="R514" s="4">
        <v>0</v>
      </c>
      <c r="S514" s="4">
        <v>0</v>
      </c>
      <c r="T514" s="4">
        <v>40</v>
      </c>
      <c r="U514" s="4">
        <v>78</v>
      </c>
      <c r="V514" s="6">
        <f>IF(ISERROR(VLOOKUP($S$514,'TAR FIN'!$A$1:$O$93,15,0)),0,VLOOKUP($S$514,'TAR FIN'!$A$1:$O$93,15,0))</f>
        <v>0</v>
      </c>
      <c r="W514" s="6">
        <f>IF(ISERROR(VLOOKUP($T$514,'TAR FIN'!$A$1:$O$93,15,0)),0,VLOOKUP($T$514,'TAR FIN'!$A$1:$O$93,15,0))</f>
        <v>240.16</v>
      </c>
      <c r="X514" s="6">
        <f>IF(ISERROR(VLOOKUP($U$514,'TAR FIN'!$A$1:$O$93,15,0)),0,VLOOKUP($U$514,'TAR FIN'!$A$1:$O$93,15,0))</f>
        <v>162.96</v>
      </c>
      <c r="Y514" s="6"/>
      <c r="Z514" s="6">
        <f ca="1">('TUSD BE'!$AM$37+'TUSD BF'!$AM$37+'TUSD CVA'!$AM$37)*(1-CUSTOS!$M$38)</f>
        <v>274.6365589659128</v>
      </c>
      <c r="AA514" s="6">
        <f>('TE BE'!$AB$26+'TE BF'!$AB$26+'TE CVA'!$AB$26)*(1-CUSTOS!$M$38)</f>
        <v>186.29103092878736</v>
      </c>
      <c r="AB514" s="6">
        <f t="shared" ref="AB514:AB568" si="24">(J514-K514)*V514</f>
        <v>0</v>
      </c>
      <c r="AC514" s="6">
        <f>(L514-M514)*(W514+X514)+($W$393+$X$393-$W$514-$X$514)*(L514)</f>
        <v>-3114.4662640000006</v>
      </c>
      <c r="AD514" s="6">
        <f t="shared" ref="AD514:AD568" si="25">(J514-K514)*Y514</f>
        <v>0</v>
      </c>
      <c r="AE514" s="6">
        <f ca="1">(L514-M514)*(Z514+AA514)+($Z$393+$AA$393-$Z$514-$AA$514)*(L514)</f>
        <v>-3210.3155515545986</v>
      </c>
      <c r="AF514" s="4" t="s">
        <v>639</v>
      </c>
    </row>
    <row r="515" spans="1:32" ht="11.25" customHeight="1" x14ac:dyDescent="0.25">
      <c r="A515" s="4" t="s">
        <v>28</v>
      </c>
      <c r="B515" s="4" t="s">
        <v>41</v>
      </c>
      <c r="C515" s="4" t="s">
        <v>23</v>
      </c>
      <c r="D515" s="4" t="s">
        <v>42</v>
      </c>
      <c r="E515" s="4" t="s">
        <v>50</v>
      </c>
      <c r="F515" s="4" t="s">
        <v>52</v>
      </c>
      <c r="G515" s="4" t="s">
        <v>25</v>
      </c>
      <c r="H515" s="4" t="s">
        <v>25</v>
      </c>
      <c r="I515" s="5">
        <v>44621</v>
      </c>
      <c r="J515" s="6">
        <v>0</v>
      </c>
      <c r="K515" s="6">
        <v>0</v>
      </c>
      <c r="L515" s="6">
        <v>1.9239999999999999</v>
      </c>
      <c r="M515" s="6">
        <v>0.76959999999999995</v>
      </c>
      <c r="N515" s="6">
        <v>1.9239999999999999</v>
      </c>
      <c r="O515" s="6">
        <v>0.76959999999999995</v>
      </c>
      <c r="P515" s="6">
        <v>0</v>
      </c>
      <c r="Q515" s="4" t="s">
        <v>26</v>
      </c>
      <c r="R515" s="4">
        <v>0</v>
      </c>
      <c r="S515" s="4">
        <v>0</v>
      </c>
      <c r="T515" s="4">
        <v>40</v>
      </c>
      <c r="U515" s="4">
        <v>78</v>
      </c>
      <c r="V515" s="6">
        <f>IF(ISERROR(VLOOKUP($S$515,'TAR FIN'!$A$1:$O$93,15,0)),0,VLOOKUP($S$515,'TAR FIN'!$A$1:$O$93,15,0))</f>
        <v>0</v>
      </c>
      <c r="W515" s="6">
        <f>IF(ISERROR(VLOOKUP($T$515,'TAR FIN'!$A$1:$O$93,15,0)),0,VLOOKUP($T$515,'TAR FIN'!$A$1:$O$93,15,0))</f>
        <v>240.16</v>
      </c>
      <c r="X515" s="6">
        <f>IF(ISERROR(VLOOKUP($U$515,'TAR FIN'!$A$1:$O$93,15,0)),0,VLOOKUP($U$515,'TAR FIN'!$A$1:$O$93,15,0))</f>
        <v>162.96</v>
      </c>
      <c r="Y515" s="6"/>
      <c r="Z515" s="6">
        <f ca="1">('TUSD BE'!$AM$37+'TUSD BF'!$AM$37+'TUSD CVA'!$AM$37)*(1-CUSTOS!$M$38)</f>
        <v>274.6365589659128</v>
      </c>
      <c r="AA515" s="6">
        <f>('TE BE'!$AB$26+'TE BF'!$AB$26+'TE CVA'!$AB$26)*(1-CUSTOS!$M$38)</f>
        <v>186.29103092878736</v>
      </c>
      <c r="AB515" s="6">
        <f t="shared" si="24"/>
        <v>0</v>
      </c>
      <c r="AC515" s="6">
        <f>(L515-M515)*(W515+X515)+($W$393+$X$393-$W$515-$X$515)*(L515)</f>
        <v>571.124008</v>
      </c>
      <c r="AD515" s="6">
        <f t="shared" si="25"/>
        <v>0</v>
      </c>
      <c r="AE515" s="6">
        <f ca="1">(L515-M515)*(Z515+AA515)+($Z$393+$AA$393-$Z$515-$AA$515)*(L515)</f>
        <v>588.70064060151026</v>
      </c>
      <c r="AF515" s="4" t="s">
        <v>639</v>
      </c>
    </row>
    <row r="516" spans="1:32" ht="11.25" customHeight="1" x14ac:dyDescent="0.25">
      <c r="A516" s="4" t="s">
        <v>21</v>
      </c>
      <c r="B516" s="4" t="s">
        <v>41</v>
      </c>
      <c r="C516" s="4" t="s">
        <v>23</v>
      </c>
      <c r="D516" s="4" t="s">
        <v>42</v>
      </c>
      <c r="E516" s="4" t="s">
        <v>50</v>
      </c>
      <c r="F516" s="4" t="s">
        <v>52</v>
      </c>
      <c r="G516" s="4" t="s">
        <v>25</v>
      </c>
      <c r="H516" s="4" t="s">
        <v>25</v>
      </c>
      <c r="I516" s="5">
        <v>44652</v>
      </c>
      <c r="J516" s="6">
        <v>0</v>
      </c>
      <c r="K516" s="6">
        <v>0</v>
      </c>
      <c r="L516" s="6">
        <v>174.64699999999999</v>
      </c>
      <c r="M516" s="6">
        <v>69.858800000000002</v>
      </c>
      <c r="N516" s="6">
        <v>174.64699999999999</v>
      </c>
      <c r="O516" s="6">
        <v>69.858800000000002</v>
      </c>
      <c r="P516" s="6">
        <v>0</v>
      </c>
      <c r="Q516" s="4" t="s">
        <v>26</v>
      </c>
      <c r="R516" s="4">
        <v>0</v>
      </c>
      <c r="S516" s="4">
        <v>0</v>
      </c>
      <c r="T516" s="4">
        <v>40</v>
      </c>
      <c r="U516" s="4">
        <v>78</v>
      </c>
      <c r="V516" s="6">
        <f>IF(ISERROR(VLOOKUP($S$516,'TAR FIN'!$A$1:$O$93,15,0)),0,VLOOKUP($S$516,'TAR FIN'!$A$1:$O$93,15,0))</f>
        <v>0</v>
      </c>
      <c r="W516" s="6">
        <f>IF(ISERROR(VLOOKUP($T$516,'TAR FIN'!$A$1:$O$93,15,0)),0,VLOOKUP($T$516,'TAR FIN'!$A$1:$O$93,15,0))</f>
        <v>240.16</v>
      </c>
      <c r="X516" s="6">
        <f>IF(ISERROR(VLOOKUP($U$516,'TAR FIN'!$A$1:$O$93,15,0)),0,VLOOKUP($U$516,'TAR FIN'!$A$1:$O$93,15,0))</f>
        <v>162.96</v>
      </c>
      <c r="Y516" s="6"/>
      <c r="Z516" s="6">
        <f ca="1">('TUSD BE'!$AM$37+'TUSD BF'!$AM$37+'TUSD CVA'!$AM$37)*(1-CUSTOS!$M$38)</f>
        <v>274.6365589659128</v>
      </c>
      <c r="AA516" s="6">
        <f>('TE BE'!$AB$26+'TE BF'!$AB$26+'TE CVA'!$AB$26)*(1-CUSTOS!$M$38)</f>
        <v>186.29103092878736</v>
      </c>
      <c r="AB516" s="6">
        <f t="shared" si="24"/>
        <v>0</v>
      </c>
      <c r="AC516" s="6">
        <f>(L516-M516)*(W516+X516)+($W$393+$X$393-$W$516-$X$516)*(L516)</f>
        <v>51842.564773999999</v>
      </c>
      <c r="AD516" s="6">
        <f t="shared" si="25"/>
        <v>0</v>
      </c>
      <c r="AE516" s="6">
        <f ca="1">(L516-M516)*(Z516+AA516)+($Z$393+$AA$393-$Z$516-$AA$516)*(L516)</f>
        <v>53438.046142999985</v>
      </c>
      <c r="AF516" s="4" t="s">
        <v>639</v>
      </c>
    </row>
    <row r="517" spans="1:32" ht="11.25" customHeight="1" x14ac:dyDescent="0.25">
      <c r="A517" s="4" t="s">
        <v>28</v>
      </c>
      <c r="B517" s="4" t="s">
        <v>41</v>
      </c>
      <c r="C517" s="4" t="s">
        <v>23</v>
      </c>
      <c r="D517" s="4" t="s">
        <v>42</v>
      </c>
      <c r="E517" s="4" t="s">
        <v>50</v>
      </c>
      <c r="F517" s="4" t="s">
        <v>52</v>
      </c>
      <c r="G517" s="4" t="s">
        <v>25</v>
      </c>
      <c r="H517" s="4" t="s">
        <v>25</v>
      </c>
      <c r="I517" s="5">
        <v>44652</v>
      </c>
      <c r="J517" s="6">
        <v>0</v>
      </c>
      <c r="K517" s="6">
        <v>0</v>
      </c>
      <c r="L517" s="6">
        <v>1.6060000000000001</v>
      </c>
      <c r="M517" s="6">
        <v>0.64239999999999997</v>
      </c>
      <c r="N517" s="6">
        <v>1.6060000000000001</v>
      </c>
      <c r="O517" s="6">
        <v>0.64239999999999997</v>
      </c>
      <c r="P517" s="6">
        <v>0</v>
      </c>
      <c r="Q517" s="4" t="s">
        <v>26</v>
      </c>
      <c r="R517" s="4">
        <v>0</v>
      </c>
      <c r="S517" s="4">
        <v>0</v>
      </c>
      <c r="T517" s="4">
        <v>40</v>
      </c>
      <c r="U517" s="4">
        <v>78</v>
      </c>
      <c r="V517" s="6">
        <f>IF(ISERROR(VLOOKUP($S$517,'TAR FIN'!$A$1:$O$93,15,0)),0,VLOOKUP($S$517,'TAR FIN'!$A$1:$O$93,15,0))</f>
        <v>0</v>
      </c>
      <c r="W517" s="6">
        <f>IF(ISERROR(VLOOKUP($T$517,'TAR FIN'!$A$1:$O$93,15,0)),0,VLOOKUP($T$517,'TAR FIN'!$A$1:$O$93,15,0))</f>
        <v>240.16</v>
      </c>
      <c r="X517" s="6">
        <f>IF(ISERROR(VLOOKUP($U$517,'TAR FIN'!$A$1:$O$93,15,0)),0,VLOOKUP($U$517,'TAR FIN'!$A$1:$O$93,15,0))</f>
        <v>162.96</v>
      </c>
      <c r="Y517" s="6"/>
      <c r="Z517" s="6">
        <f ca="1">('TUSD BE'!$AM$37+'TUSD BF'!$AM$37+'TUSD CVA'!$AM$37)*(1-CUSTOS!$M$38)</f>
        <v>274.6365589659128</v>
      </c>
      <c r="AA517" s="6">
        <f>('TE BE'!$AB$26+'TE BF'!$AB$26+'TE CVA'!$AB$26)*(1-CUSTOS!$M$38)</f>
        <v>186.29103092878736</v>
      </c>
      <c r="AB517" s="6">
        <f t="shared" si="24"/>
        <v>0</v>
      </c>
      <c r="AC517" s="6">
        <f>(L517-M517)*(W517+X517)+($W$393+$X$393-$W$517-$X$517)*(L517)</f>
        <v>476.72825200000011</v>
      </c>
      <c r="AD517" s="6">
        <f t="shared" si="25"/>
        <v>0</v>
      </c>
      <c r="AE517" s="6">
        <f ca="1">(L517-M517)*(Z517+AA517)+($Z$393+$AA$393-$Z$517-$AA$517)*(L517)</f>
        <v>491.39980707173891</v>
      </c>
      <c r="AF517" s="4" t="s">
        <v>639</v>
      </c>
    </row>
    <row r="518" spans="1:32" ht="11.25" customHeight="1" x14ac:dyDescent="0.25">
      <c r="A518" s="4" t="s">
        <v>21</v>
      </c>
      <c r="B518" s="4" t="s">
        <v>41</v>
      </c>
      <c r="C518" s="4" t="s">
        <v>23</v>
      </c>
      <c r="D518" s="4" t="s">
        <v>42</v>
      </c>
      <c r="E518" s="4" t="s">
        <v>50</v>
      </c>
      <c r="F518" s="4" t="s">
        <v>52</v>
      </c>
      <c r="G518" s="4" t="s">
        <v>25</v>
      </c>
      <c r="H518" s="4" t="s">
        <v>25</v>
      </c>
      <c r="I518" s="5">
        <v>44682</v>
      </c>
      <c r="J518" s="6">
        <v>0</v>
      </c>
      <c r="K518" s="6">
        <v>0</v>
      </c>
      <c r="L518" s="6">
        <v>93.233999999999995</v>
      </c>
      <c r="M518" s="6">
        <v>37.293599999999998</v>
      </c>
      <c r="N518" s="6">
        <v>93.233999999999995</v>
      </c>
      <c r="O518" s="6">
        <v>37.293599999999998</v>
      </c>
      <c r="P518" s="6">
        <v>0</v>
      </c>
      <c r="Q518" s="4" t="s">
        <v>26</v>
      </c>
      <c r="R518" s="4">
        <v>0</v>
      </c>
      <c r="S518" s="4">
        <v>0</v>
      </c>
      <c r="T518" s="4">
        <v>40</v>
      </c>
      <c r="U518" s="4">
        <v>78</v>
      </c>
      <c r="V518" s="6">
        <f>IF(ISERROR(VLOOKUP($S$518,'TAR FIN'!$A$1:$O$93,15,0)),0,VLOOKUP($S$518,'TAR FIN'!$A$1:$O$93,15,0))</f>
        <v>0</v>
      </c>
      <c r="W518" s="6">
        <f>IF(ISERROR(VLOOKUP($T$518,'TAR FIN'!$A$1:$O$93,15,0)),0,VLOOKUP($T$518,'TAR FIN'!$A$1:$O$93,15,0))</f>
        <v>240.16</v>
      </c>
      <c r="X518" s="6">
        <f>IF(ISERROR(VLOOKUP($U$518,'TAR FIN'!$A$1:$O$93,15,0)),0,VLOOKUP($U$518,'TAR FIN'!$A$1:$O$93,15,0))</f>
        <v>162.96</v>
      </c>
      <c r="Y518" s="6"/>
      <c r="Z518" s="6">
        <f ca="1">('TUSD BE'!$AM$37+'TUSD BF'!$AM$37+'TUSD CVA'!$AM$37)*(1-CUSTOS!$M$38)</f>
        <v>274.6365589659128</v>
      </c>
      <c r="AA518" s="6">
        <f>('TE BE'!$AB$26+'TE BF'!$AB$26+'TE CVA'!$AB$26)*(1-CUSTOS!$M$38)</f>
        <v>186.29103092878736</v>
      </c>
      <c r="AB518" s="6">
        <f t="shared" si="24"/>
        <v>0</v>
      </c>
      <c r="AC518" s="6">
        <f>(L518-M518)*(W518+X518)+($W$393+$X$393-$W$518-$X$518)*(L518)</f>
        <v>27675.767028000002</v>
      </c>
      <c r="AD518" s="6">
        <f t="shared" si="25"/>
        <v>0</v>
      </c>
      <c r="AE518" s="6">
        <f ca="1">(L518-M518)*(Z518+AA518)+($Z$393+$AA$393-$Z$518-$AA$518)*(L518)</f>
        <v>28527.502872058838</v>
      </c>
      <c r="AF518" s="4" t="s">
        <v>639</v>
      </c>
    </row>
    <row r="519" spans="1:32" ht="11.25" customHeight="1" x14ac:dyDescent="0.25">
      <c r="A519" s="4" t="s">
        <v>27</v>
      </c>
      <c r="B519" s="4" t="s">
        <v>41</v>
      </c>
      <c r="C519" s="4" t="s">
        <v>23</v>
      </c>
      <c r="D519" s="4" t="s">
        <v>42</v>
      </c>
      <c r="E519" s="4" t="s">
        <v>50</v>
      </c>
      <c r="F519" s="4" t="s">
        <v>52</v>
      </c>
      <c r="G519" s="4" t="s">
        <v>25</v>
      </c>
      <c r="H519" s="4" t="s">
        <v>25</v>
      </c>
      <c r="I519" s="5">
        <v>44682</v>
      </c>
      <c r="J519" s="6">
        <v>0</v>
      </c>
      <c r="K519" s="6">
        <v>0</v>
      </c>
      <c r="L519" s="6">
        <v>-7.5999999999999998E-2</v>
      </c>
      <c r="M519" s="6">
        <v>-3.04E-2</v>
      </c>
      <c r="N519" s="6">
        <v>-7.5999999999999998E-2</v>
      </c>
      <c r="O519" s="6">
        <v>-3.04E-2</v>
      </c>
      <c r="P519" s="6">
        <v>0</v>
      </c>
      <c r="Q519" s="4" t="s">
        <v>26</v>
      </c>
      <c r="R519" s="4">
        <v>0</v>
      </c>
      <c r="S519" s="4">
        <v>0</v>
      </c>
      <c r="T519" s="4">
        <v>40</v>
      </c>
      <c r="U519" s="4">
        <v>78</v>
      </c>
      <c r="V519" s="6">
        <f>IF(ISERROR(VLOOKUP($S$519,'TAR FIN'!$A$1:$O$93,15,0)),0,VLOOKUP($S$519,'TAR FIN'!$A$1:$O$93,15,0))</f>
        <v>0</v>
      </c>
      <c r="W519" s="6">
        <f>IF(ISERROR(VLOOKUP($T$519,'TAR FIN'!$A$1:$O$93,15,0)),0,VLOOKUP($T$519,'TAR FIN'!$A$1:$O$93,15,0))</f>
        <v>240.16</v>
      </c>
      <c r="X519" s="6">
        <f>IF(ISERROR(VLOOKUP($U$519,'TAR FIN'!$A$1:$O$93,15,0)),0,VLOOKUP($U$519,'TAR FIN'!$A$1:$O$93,15,0))</f>
        <v>162.96</v>
      </c>
      <c r="Y519" s="6"/>
      <c r="Z519" s="6">
        <f ca="1">('TUSD BE'!$AM$37+'TUSD BF'!$AM$37+'TUSD CVA'!$AM$37)*(1-CUSTOS!$M$38)</f>
        <v>274.6365589659128</v>
      </c>
      <c r="AA519" s="6">
        <f>('TE BE'!$AB$26+'TE BF'!$AB$26+'TE CVA'!$AB$26)*(1-CUSTOS!$M$38)</f>
        <v>186.29103092878736</v>
      </c>
      <c r="AB519" s="6">
        <f t="shared" si="24"/>
        <v>0</v>
      </c>
      <c r="AC519" s="6">
        <f>(L519-M519)*(W519+X519)+($W$393+$X$393-$W$519-$X$519)*(L519)</f>
        <v>-22.559992000000001</v>
      </c>
      <c r="AD519" s="6">
        <f t="shared" si="25"/>
        <v>0</v>
      </c>
      <c r="AE519" s="6">
        <f ca="1">(L519-M519)*(Z519+AA519)+($Z$393+$AA$393-$Z$519-$AA$519)*(L519)</f>
        <v>-23.254287258687519</v>
      </c>
      <c r="AF519" s="4" t="s">
        <v>639</v>
      </c>
    </row>
    <row r="520" spans="1:32" ht="11.25" customHeight="1" x14ac:dyDescent="0.25">
      <c r="A520" s="4" t="s">
        <v>21</v>
      </c>
      <c r="B520" s="4" t="s">
        <v>41</v>
      </c>
      <c r="C520" s="4" t="s">
        <v>23</v>
      </c>
      <c r="D520" s="4" t="s">
        <v>42</v>
      </c>
      <c r="E520" s="4" t="s">
        <v>50</v>
      </c>
      <c r="F520" s="4" t="s">
        <v>52</v>
      </c>
      <c r="G520" s="4" t="s">
        <v>25</v>
      </c>
      <c r="H520" s="4" t="s">
        <v>25</v>
      </c>
      <c r="I520" s="5">
        <v>44713</v>
      </c>
      <c r="J520" s="6">
        <v>0</v>
      </c>
      <c r="K520" s="6">
        <v>0</v>
      </c>
      <c r="L520" s="6">
        <v>77.635999999999996</v>
      </c>
      <c r="M520" s="6">
        <v>31.054400000000001</v>
      </c>
      <c r="N520" s="6">
        <v>77.635999999999996</v>
      </c>
      <c r="O520" s="6">
        <v>31.054400000000001</v>
      </c>
      <c r="P520" s="6">
        <v>0</v>
      </c>
      <c r="Q520" s="4" t="s">
        <v>26</v>
      </c>
      <c r="R520" s="4">
        <v>0</v>
      </c>
      <c r="S520" s="4">
        <v>0</v>
      </c>
      <c r="T520" s="4">
        <v>40</v>
      </c>
      <c r="U520" s="4">
        <v>78</v>
      </c>
      <c r="V520" s="6">
        <f>IF(ISERROR(VLOOKUP($S$520,'TAR FIN'!$A$1:$O$93,15,0)),0,VLOOKUP($S$520,'TAR FIN'!$A$1:$O$93,15,0))</f>
        <v>0</v>
      </c>
      <c r="W520" s="6">
        <f>IF(ISERROR(VLOOKUP($T$520,'TAR FIN'!$A$1:$O$93,15,0)),0,VLOOKUP($T$520,'TAR FIN'!$A$1:$O$93,15,0))</f>
        <v>240.16</v>
      </c>
      <c r="X520" s="6">
        <f>IF(ISERROR(VLOOKUP($U$520,'TAR FIN'!$A$1:$O$93,15,0)),0,VLOOKUP($U$520,'TAR FIN'!$A$1:$O$93,15,0))</f>
        <v>162.96</v>
      </c>
      <c r="Y520" s="6"/>
      <c r="Z520" s="6">
        <f ca="1">('TUSD BE'!$AM$37+'TUSD BF'!$AM$37+'TUSD CVA'!$AM$37)*(1-CUSTOS!$M$38)</f>
        <v>274.6365589659128</v>
      </c>
      <c r="AA520" s="6">
        <f>('TE BE'!$AB$26+'TE BF'!$AB$26+'TE CVA'!$AB$26)*(1-CUSTOS!$M$38)</f>
        <v>186.29103092878736</v>
      </c>
      <c r="AB520" s="6">
        <f t="shared" si="24"/>
        <v>0</v>
      </c>
      <c r="AC520" s="6">
        <f>(L520-M520)*(W520+X520)+($W$393+$X$393-$W$520-$X$520)*(L520)</f>
        <v>23045.625511999999</v>
      </c>
      <c r="AD520" s="6">
        <f t="shared" si="25"/>
        <v>0</v>
      </c>
      <c r="AE520" s="6">
        <f ca="1">(L520-M520)*(Z520+AA520)+($Z$393+$AA$393-$Z$520-$AA$520)*(L520)</f>
        <v>23754.866389677158</v>
      </c>
      <c r="AF520" s="4" t="s">
        <v>639</v>
      </c>
    </row>
    <row r="521" spans="1:32" ht="11.25" customHeight="1" x14ac:dyDescent="0.25">
      <c r="A521" s="4" t="s">
        <v>27</v>
      </c>
      <c r="B521" s="4" t="s">
        <v>41</v>
      </c>
      <c r="C521" s="4" t="s">
        <v>23</v>
      </c>
      <c r="D521" s="4" t="s">
        <v>42</v>
      </c>
      <c r="E521" s="4" t="s">
        <v>50</v>
      </c>
      <c r="F521" s="4" t="s">
        <v>52</v>
      </c>
      <c r="G521" s="4" t="s">
        <v>25</v>
      </c>
      <c r="H521" s="4" t="s">
        <v>25</v>
      </c>
      <c r="I521" s="5">
        <v>44713</v>
      </c>
      <c r="J521" s="6">
        <v>0</v>
      </c>
      <c r="K521" s="6">
        <v>0</v>
      </c>
      <c r="L521" s="6">
        <v>-0.222</v>
      </c>
      <c r="M521" s="6">
        <v>-8.8800000000000004E-2</v>
      </c>
      <c r="N521" s="6">
        <v>-0.222</v>
      </c>
      <c r="O521" s="6">
        <v>-8.8800000000000004E-2</v>
      </c>
      <c r="P521" s="6">
        <v>0</v>
      </c>
      <c r="Q521" s="4" t="s">
        <v>26</v>
      </c>
      <c r="R521" s="4">
        <v>0</v>
      </c>
      <c r="S521" s="4">
        <v>0</v>
      </c>
      <c r="T521" s="4">
        <v>40</v>
      </c>
      <c r="U521" s="4">
        <v>78</v>
      </c>
      <c r="V521" s="6">
        <f>IF(ISERROR(VLOOKUP($S$521,'TAR FIN'!$A$1:$O$93,15,0)),0,VLOOKUP($S$521,'TAR FIN'!$A$1:$O$93,15,0))</f>
        <v>0</v>
      </c>
      <c r="W521" s="6">
        <f>IF(ISERROR(VLOOKUP($T$521,'TAR FIN'!$A$1:$O$93,15,0)),0,VLOOKUP($T$521,'TAR FIN'!$A$1:$O$93,15,0))</f>
        <v>240.16</v>
      </c>
      <c r="X521" s="6">
        <f>IF(ISERROR(VLOOKUP($U$521,'TAR FIN'!$A$1:$O$93,15,0)),0,VLOOKUP($U$521,'TAR FIN'!$A$1:$O$93,15,0))</f>
        <v>162.96</v>
      </c>
      <c r="Y521" s="6"/>
      <c r="Z521" s="6">
        <f ca="1">('TUSD BE'!$AM$37+'TUSD BF'!$AM$37+'TUSD CVA'!$AM$37)*(1-CUSTOS!$M$38)</f>
        <v>274.6365589659128</v>
      </c>
      <c r="AA521" s="6">
        <f>('TE BE'!$AB$26+'TE BF'!$AB$26+'TE CVA'!$AB$26)*(1-CUSTOS!$M$38)</f>
        <v>186.29103092878736</v>
      </c>
      <c r="AB521" s="6">
        <f t="shared" si="24"/>
        <v>0</v>
      </c>
      <c r="AC521" s="6">
        <f>(L521-M521)*(W521+X521)+($W$393+$X$393-$W$521-$X$521)*(L521)</f>
        <v>-65.898924000000008</v>
      </c>
      <c r="AD521" s="6">
        <f t="shared" si="25"/>
        <v>0</v>
      </c>
      <c r="AE521" s="6">
        <f ca="1">(L521-M521)*(Z521+AA521)+($Z$393+$AA$393-$Z$521-$AA$521)*(L521)</f>
        <v>-67.926996992481946</v>
      </c>
      <c r="AF521" s="4" t="s">
        <v>639</v>
      </c>
    </row>
    <row r="522" spans="1:32" ht="11.25" customHeight="1" x14ac:dyDescent="0.25">
      <c r="A522" s="4" t="s">
        <v>28</v>
      </c>
      <c r="B522" s="4" t="s">
        <v>41</v>
      </c>
      <c r="C522" s="4" t="s">
        <v>23</v>
      </c>
      <c r="D522" s="4" t="s">
        <v>42</v>
      </c>
      <c r="E522" s="4" t="s">
        <v>50</v>
      </c>
      <c r="F522" s="4" t="s">
        <v>52</v>
      </c>
      <c r="G522" s="4" t="s">
        <v>25</v>
      </c>
      <c r="H522" s="4" t="s">
        <v>25</v>
      </c>
      <c r="I522" s="5">
        <v>44713</v>
      </c>
      <c r="J522" s="6">
        <v>0</v>
      </c>
      <c r="K522" s="6">
        <v>0</v>
      </c>
      <c r="L522" s="6">
        <v>0.106</v>
      </c>
      <c r="M522" s="6">
        <v>4.24E-2</v>
      </c>
      <c r="N522" s="6">
        <v>0.106</v>
      </c>
      <c r="O522" s="6">
        <v>4.24E-2</v>
      </c>
      <c r="P522" s="6">
        <v>0</v>
      </c>
      <c r="Q522" s="4" t="s">
        <v>26</v>
      </c>
      <c r="R522" s="4">
        <v>0</v>
      </c>
      <c r="S522" s="4">
        <v>0</v>
      </c>
      <c r="T522" s="4">
        <v>40</v>
      </c>
      <c r="U522" s="4">
        <v>78</v>
      </c>
      <c r="V522" s="6">
        <f>IF(ISERROR(VLOOKUP($S$522,'TAR FIN'!$A$1:$O$93,15,0)),0,VLOOKUP($S$522,'TAR FIN'!$A$1:$O$93,15,0))</f>
        <v>0</v>
      </c>
      <c r="W522" s="6">
        <f>IF(ISERROR(VLOOKUP($T$522,'TAR FIN'!$A$1:$O$93,15,0)),0,VLOOKUP($T$522,'TAR FIN'!$A$1:$O$93,15,0))</f>
        <v>240.16</v>
      </c>
      <c r="X522" s="6">
        <f>IF(ISERROR(VLOOKUP($U$522,'TAR FIN'!$A$1:$O$93,15,0)),0,VLOOKUP($U$522,'TAR FIN'!$A$1:$O$93,15,0))</f>
        <v>162.96</v>
      </c>
      <c r="Y522" s="6"/>
      <c r="Z522" s="6">
        <f ca="1">('TUSD BE'!$AM$37+'TUSD BF'!$AM$37+'TUSD CVA'!$AM$37)*(1-CUSTOS!$M$38)</f>
        <v>274.6365589659128</v>
      </c>
      <c r="AA522" s="6">
        <f>('TE BE'!$AB$26+'TE BF'!$AB$26+'TE CVA'!$AB$26)*(1-CUSTOS!$M$38)</f>
        <v>186.29103092878736</v>
      </c>
      <c r="AB522" s="6">
        <f t="shared" si="24"/>
        <v>0</v>
      </c>
      <c r="AC522" s="6">
        <f>(L522-M522)*(W522+X522)+($W$393+$X$393-$W$522-$X$522)*(L522)</f>
        <v>31.465251999999996</v>
      </c>
      <c r="AD522" s="6">
        <f t="shared" si="25"/>
        <v>0</v>
      </c>
      <c r="AE522" s="6">
        <f ca="1">(L522-M522)*(Z522+AA522)+($Z$393+$AA$393-$Z$522-$AA$522)*(L522)</f>
        <v>32.433611176590482</v>
      </c>
      <c r="AF522" s="4" t="s">
        <v>639</v>
      </c>
    </row>
    <row r="523" spans="1:32" ht="11.25" customHeight="1" x14ac:dyDescent="0.25">
      <c r="A523" s="4" t="s">
        <v>21</v>
      </c>
      <c r="B523" s="4" t="s">
        <v>41</v>
      </c>
      <c r="C523" s="4" t="s">
        <v>23</v>
      </c>
      <c r="D523" s="4" t="s">
        <v>42</v>
      </c>
      <c r="E523" s="4" t="s">
        <v>25</v>
      </c>
      <c r="F523" s="4" t="s">
        <v>25</v>
      </c>
      <c r="G523" s="4" t="s">
        <v>25</v>
      </c>
      <c r="H523" s="4" t="s">
        <v>25</v>
      </c>
      <c r="I523" s="5">
        <v>44378</v>
      </c>
      <c r="J523" s="6">
        <v>0</v>
      </c>
      <c r="K523" s="6">
        <v>0</v>
      </c>
      <c r="L523" s="6">
        <v>13253.995000000001</v>
      </c>
      <c r="M523" s="6">
        <v>13253.995000000001</v>
      </c>
      <c r="N523" s="6">
        <v>13253.995000000001</v>
      </c>
      <c r="O523" s="6">
        <v>13253.995000000001</v>
      </c>
      <c r="P523" s="6">
        <v>38346</v>
      </c>
      <c r="Q523" s="4" t="s">
        <v>26</v>
      </c>
      <c r="R523" s="4">
        <v>0</v>
      </c>
      <c r="S523" s="4">
        <v>0</v>
      </c>
      <c r="T523" s="4">
        <v>40</v>
      </c>
      <c r="U523" s="4">
        <v>78</v>
      </c>
      <c r="V523" s="6">
        <f>IF(ISERROR(VLOOKUP($S$523,'TAR FIN'!$A$1:$O$93,15,0)),0,VLOOKUP($S$523,'TAR FIN'!$A$1:$O$93,15,0))</f>
        <v>0</v>
      </c>
      <c r="W523" s="6">
        <f>IF(ISERROR(VLOOKUP($T$523,'TAR FIN'!$A$1:$O$93,15,0)),0,VLOOKUP($T$523,'TAR FIN'!$A$1:$O$93,15,0))</f>
        <v>240.16</v>
      </c>
      <c r="X523" s="6">
        <f>IF(ISERROR(VLOOKUP($U$523,'TAR FIN'!$A$1:$O$93,15,0)),0,VLOOKUP($U$523,'TAR FIN'!$A$1:$O$93,15,0))</f>
        <v>162.96</v>
      </c>
      <c r="Y523" s="6"/>
      <c r="Z523" s="6">
        <f ca="1">('TUSD BE'!$AM$37+'TUSD BF'!$AM$37+'TUSD CVA'!$AM$37)*(1-CUSTOS!$M$38)</f>
        <v>274.6365589659128</v>
      </c>
      <c r="AA523" s="6">
        <f>('TE BE'!$AB$26+'TE BF'!$AB$26+'TE CVA'!$AB$26)*(1-CUSTOS!$M$38)</f>
        <v>186.29103092878736</v>
      </c>
      <c r="AB523" s="6">
        <f t="shared" si="24"/>
        <v>0</v>
      </c>
      <c r="AC523" s="6">
        <f>(L523-M523)*(W523+X523)+($W$393+$X$393-$W$523-$X$523)*(L523)</f>
        <v>728572.10515000043</v>
      </c>
      <c r="AD523" s="6">
        <f t="shared" si="25"/>
        <v>0</v>
      </c>
      <c r="AE523" s="6">
        <f ca="1">(L523-M523)*(Z523+AA523)+($Z$393+$AA$393-$Z$523-$AA$523)*(L523)</f>
        <v>389944.59394636727</v>
      </c>
      <c r="AF523" s="4" t="s">
        <v>638</v>
      </c>
    </row>
    <row r="524" spans="1:32" ht="11.25" customHeight="1" x14ac:dyDescent="0.25">
      <c r="A524" s="4" t="s">
        <v>27</v>
      </c>
      <c r="B524" s="4" t="s">
        <v>41</v>
      </c>
      <c r="C524" s="4" t="s">
        <v>23</v>
      </c>
      <c r="D524" s="4" t="s">
        <v>42</v>
      </c>
      <c r="E524" s="4" t="s">
        <v>25</v>
      </c>
      <c r="F524" s="4" t="s">
        <v>25</v>
      </c>
      <c r="G524" s="4" t="s">
        <v>25</v>
      </c>
      <c r="H524" s="4" t="s">
        <v>25</v>
      </c>
      <c r="I524" s="5">
        <v>44378</v>
      </c>
      <c r="J524" s="6">
        <v>0</v>
      </c>
      <c r="K524" s="6">
        <v>0</v>
      </c>
      <c r="L524" s="6">
        <v>-51.018000000000001</v>
      </c>
      <c r="M524" s="6">
        <v>-51.018000000000001</v>
      </c>
      <c r="N524" s="6">
        <v>-51.018000000000001</v>
      </c>
      <c r="O524" s="6">
        <v>-51.018000000000001</v>
      </c>
      <c r="P524" s="6">
        <v>-34</v>
      </c>
      <c r="Q524" s="4" t="s">
        <v>26</v>
      </c>
      <c r="R524" s="4">
        <v>0</v>
      </c>
      <c r="S524" s="4">
        <v>0</v>
      </c>
      <c r="T524" s="4">
        <v>40</v>
      </c>
      <c r="U524" s="4">
        <v>78</v>
      </c>
      <c r="V524" s="6">
        <f>IF(ISERROR(VLOOKUP($S$524,'TAR FIN'!$A$1:$O$93,15,0)),0,VLOOKUP($S$524,'TAR FIN'!$A$1:$O$93,15,0))</f>
        <v>0</v>
      </c>
      <c r="W524" s="6">
        <f>IF(ISERROR(VLOOKUP($T$524,'TAR FIN'!$A$1:$O$93,15,0)),0,VLOOKUP($T$524,'TAR FIN'!$A$1:$O$93,15,0))</f>
        <v>240.16</v>
      </c>
      <c r="X524" s="6">
        <f>IF(ISERROR(VLOOKUP($U$524,'TAR FIN'!$A$1:$O$93,15,0)),0,VLOOKUP($U$524,'TAR FIN'!$A$1:$O$93,15,0))</f>
        <v>162.96</v>
      </c>
      <c r="Y524" s="6"/>
      <c r="Z524" s="6">
        <f ca="1">('TUSD BE'!$AM$37+'TUSD BF'!$AM$37+'TUSD CVA'!$AM$37)*(1-CUSTOS!$M$38)</f>
        <v>274.6365589659128</v>
      </c>
      <c r="AA524" s="6">
        <f>('TE BE'!$AB$26+'TE BF'!$AB$26+'TE CVA'!$AB$26)*(1-CUSTOS!$M$38)</f>
        <v>186.29103092878736</v>
      </c>
      <c r="AB524" s="6">
        <f t="shared" si="24"/>
        <v>0</v>
      </c>
      <c r="AC524" s="6">
        <f>(L524-M524)*(W524+X524)+($W$393+$X$393-$W$524-$X$524)*(L524)</f>
        <v>-2804.4594600000014</v>
      </c>
      <c r="AD524" s="6">
        <f t="shared" si="25"/>
        <v>0</v>
      </c>
      <c r="AE524" s="6">
        <f ca="1">(L524-M524)*(Z524+AA524)+($Z$393+$AA$393-$Z$524-$AA$524)*(L524)</f>
        <v>-1500.9959860370977</v>
      </c>
      <c r="AF524" s="4" t="s">
        <v>638</v>
      </c>
    </row>
    <row r="525" spans="1:32" ht="11.25" customHeight="1" x14ac:dyDescent="0.25">
      <c r="A525" s="4" t="s">
        <v>28</v>
      </c>
      <c r="B525" s="4" t="s">
        <v>41</v>
      </c>
      <c r="C525" s="4" t="s">
        <v>23</v>
      </c>
      <c r="D525" s="4" t="s">
        <v>42</v>
      </c>
      <c r="E525" s="4" t="s">
        <v>25</v>
      </c>
      <c r="F525" s="4" t="s">
        <v>25</v>
      </c>
      <c r="G525" s="4" t="s">
        <v>25</v>
      </c>
      <c r="H525" s="4" t="s">
        <v>25</v>
      </c>
      <c r="I525" s="5">
        <v>44378</v>
      </c>
      <c r="J525" s="6">
        <v>0</v>
      </c>
      <c r="K525" s="6">
        <v>0</v>
      </c>
      <c r="L525" s="6">
        <v>293.98700000000002</v>
      </c>
      <c r="M525" s="6">
        <v>293.98700000000002</v>
      </c>
      <c r="N525" s="6">
        <v>293.98700000000002</v>
      </c>
      <c r="O525" s="6">
        <v>293.98700000000002</v>
      </c>
      <c r="P525" s="6">
        <v>585</v>
      </c>
      <c r="Q525" s="4" t="s">
        <v>26</v>
      </c>
      <c r="R525" s="4">
        <v>0</v>
      </c>
      <c r="S525" s="4">
        <v>0</v>
      </c>
      <c r="T525" s="4">
        <v>40</v>
      </c>
      <c r="U525" s="4">
        <v>78</v>
      </c>
      <c r="V525" s="6">
        <f>IF(ISERROR(VLOOKUP($S$525,'TAR FIN'!$A$1:$O$93,15,0)),0,VLOOKUP($S$525,'TAR FIN'!$A$1:$O$93,15,0))</f>
        <v>0</v>
      </c>
      <c r="W525" s="6">
        <f>IF(ISERROR(VLOOKUP($T$525,'TAR FIN'!$A$1:$O$93,15,0)),0,VLOOKUP($T$525,'TAR FIN'!$A$1:$O$93,15,0))</f>
        <v>240.16</v>
      </c>
      <c r="X525" s="6">
        <f>IF(ISERROR(VLOOKUP($U$525,'TAR FIN'!$A$1:$O$93,15,0)),0,VLOOKUP($U$525,'TAR FIN'!$A$1:$O$93,15,0))</f>
        <v>162.96</v>
      </c>
      <c r="Y525" s="6"/>
      <c r="Z525" s="6">
        <f ca="1">('TUSD BE'!$AM$37+'TUSD BF'!$AM$37+'TUSD CVA'!$AM$37)*(1-CUSTOS!$M$38)</f>
        <v>274.6365589659128</v>
      </c>
      <c r="AA525" s="6">
        <f>('TE BE'!$AB$26+'TE BF'!$AB$26+'TE CVA'!$AB$26)*(1-CUSTOS!$M$38)</f>
        <v>186.29103092878736</v>
      </c>
      <c r="AB525" s="6">
        <f t="shared" si="24"/>
        <v>0</v>
      </c>
      <c r="AC525" s="6">
        <f>(L525-M525)*(W525+X525)+($W$393+$X$393-$W$525-$X$525)*(L525)</f>
        <v>16160.465390000008</v>
      </c>
      <c r="AD525" s="6">
        <f t="shared" si="25"/>
        <v>0</v>
      </c>
      <c r="AE525" s="6">
        <f ca="1">(L525-M525)*(Z525+AA525)+($Z$393+$AA$393-$Z$525-$AA$525)*(L525)</f>
        <v>8649.3650661940537</v>
      </c>
      <c r="AF525" s="4" t="s">
        <v>638</v>
      </c>
    </row>
    <row r="526" spans="1:32" ht="11.25" customHeight="1" x14ac:dyDescent="0.25">
      <c r="A526" s="4" t="s">
        <v>28</v>
      </c>
      <c r="B526" s="4" t="s">
        <v>41</v>
      </c>
      <c r="C526" s="4" t="s">
        <v>23</v>
      </c>
      <c r="D526" s="4" t="s">
        <v>42</v>
      </c>
      <c r="E526" s="4" t="s">
        <v>25</v>
      </c>
      <c r="F526" s="4" t="s">
        <v>25</v>
      </c>
      <c r="G526" s="4" t="s">
        <v>25</v>
      </c>
      <c r="H526" s="4" t="s">
        <v>25</v>
      </c>
      <c r="I526" s="5">
        <v>44378</v>
      </c>
      <c r="J526" s="6">
        <v>0</v>
      </c>
      <c r="K526" s="6">
        <v>0</v>
      </c>
      <c r="L526" s="6">
        <v>-235.166</v>
      </c>
      <c r="M526" s="6">
        <v>-235.166</v>
      </c>
      <c r="N526" s="6">
        <v>-235.166</v>
      </c>
      <c r="O526" s="6">
        <v>-235.166</v>
      </c>
      <c r="P526" s="6">
        <v>-1</v>
      </c>
      <c r="Q526" s="4" t="s">
        <v>26</v>
      </c>
      <c r="R526" s="4">
        <v>0</v>
      </c>
      <c r="S526" s="4">
        <v>0</v>
      </c>
      <c r="T526" s="4">
        <v>40</v>
      </c>
      <c r="U526" s="4">
        <v>78</v>
      </c>
      <c r="V526" s="6">
        <f>IF(ISERROR(VLOOKUP($S$526,'TAR FIN'!$A$1:$O$93,15,0)),0,VLOOKUP($S$526,'TAR FIN'!$A$1:$O$93,15,0))</f>
        <v>0</v>
      </c>
      <c r="W526" s="6">
        <f>IF(ISERROR(VLOOKUP($T$526,'TAR FIN'!$A$1:$O$93,15,0)),0,VLOOKUP($T$526,'TAR FIN'!$A$1:$O$93,15,0))</f>
        <v>240.16</v>
      </c>
      <c r="X526" s="6">
        <f>IF(ISERROR(VLOOKUP($U$526,'TAR FIN'!$A$1:$O$93,15,0)),0,VLOOKUP($U$526,'TAR FIN'!$A$1:$O$93,15,0))</f>
        <v>162.96</v>
      </c>
      <c r="Y526" s="6"/>
      <c r="Z526" s="6">
        <f ca="1">('TUSD BE'!$AM$37+'TUSD BF'!$AM$37+'TUSD CVA'!$AM$37)*(1-CUSTOS!$M$38)</f>
        <v>274.6365589659128</v>
      </c>
      <c r="AA526" s="6">
        <f>('TE BE'!$AB$26+'TE BF'!$AB$26+'TE CVA'!$AB$26)*(1-CUSTOS!$M$38)</f>
        <v>186.29103092878736</v>
      </c>
      <c r="AB526" s="6">
        <f t="shared" si="24"/>
        <v>0</v>
      </c>
      <c r="AC526" s="6">
        <f>(L526-M526)*(W526+X526)+($W$393+$X$393-$W$526-$X$526)*(L526)</f>
        <v>-12927.075020000006</v>
      </c>
      <c r="AD526" s="6">
        <f t="shared" si="25"/>
        <v>0</v>
      </c>
      <c r="AE526" s="6">
        <f ca="1">(L526-M526)*(Z526+AA526)+($Z$393+$AA$393-$Z$526-$AA$526)*(L526)</f>
        <v>-6918.7977194794021</v>
      </c>
      <c r="AF526" s="4" t="s">
        <v>638</v>
      </c>
    </row>
    <row r="527" spans="1:32" ht="11.25" customHeight="1" x14ac:dyDescent="0.25">
      <c r="A527" s="4" t="s">
        <v>21</v>
      </c>
      <c r="B527" s="4" t="s">
        <v>41</v>
      </c>
      <c r="C527" s="4" t="s">
        <v>23</v>
      </c>
      <c r="D527" s="4" t="s">
        <v>42</v>
      </c>
      <c r="E527" s="4" t="s">
        <v>25</v>
      </c>
      <c r="F527" s="4" t="s">
        <v>25</v>
      </c>
      <c r="G527" s="4" t="s">
        <v>25</v>
      </c>
      <c r="H527" s="4" t="s">
        <v>25</v>
      </c>
      <c r="I527" s="5">
        <v>44409</v>
      </c>
      <c r="J527" s="6">
        <v>0</v>
      </c>
      <c r="K527" s="6">
        <v>0</v>
      </c>
      <c r="L527" s="6">
        <v>14833.175999999999</v>
      </c>
      <c r="M527" s="6">
        <v>14833.175999999999</v>
      </c>
      <c r="N527" s="6">
        <v>14833.175999999999</v>
      </c>
      <c r="O527" s="6">
        <v>14833.175999999999</v>
      </c>
      <c r="P527" s="6">
        <v>38377</v>
      </c>
      <c r="Q527" s="4" t="s">
        <v>26</v>
      </c>
      <c r="R527" s="4">
        <v>0</v>
      </c>
      <c r="S527" s="4">
        <v>0</v>
      </c>
      <c r="T527" s="4">
        <v>40</v>
      </c>
      <c r="U527" s="4">
        <v>78</v>
      </c>
      <c r="V527" s="6">
        <f>IF(ISERROR(VLOOKUP($S$527,'TAR FIN'!$A$1:$O$93,15,0)),0,VLOOKUP($S$527,'TAR FIN'!$A$1:$O$93,15,0))</f>
        <v>0</v>
      </c>
      <c r="W527" s="6">
        <f>IF(ISERROR(VLOOKUP($T$527,'TAR FIN'!$A$1:$O$93,15,0)),0,VLOOKUP($T$527,'TAR FIN'!$A$1:$O$93,15,0))</f>
        <v>240.16</v>
      </c>
      <c r="X527" s="6">
        <f>IF(ISERROR(VLOOKUP($U$527,'TAR FIN'!$A$1:$O$93,15,0)),0,VLOOKUP($U$527,'TAR FIN'!$A$1:$O$93,15,0))</f>
        <v>162.96</v>
      </c>
      <c r="Y527" s="6"/>
      <c r="Z527" s="6">
        <f ca="1">('TUSD BE'!$AM$37+'TUSD BF'!$AM$37+'TUSD CVA'!$AM$37)*(1-CUSTOS!$M$38)</f>
        <v>274.6365589659128</v>
      </c>
      <c r="AA527" s="6">
        <f>('TE BE'!$AB$26+'TE BF'!$AB$26+'TE CVA'!$AB$26)*(1-CUSTOS!$M$38)</f>
        <v>186.29103092878736</v>
      </c>
      <c r="AB527" s="6">
        <f t="shared" si="24"/>
        <v>0</v>
      </c>
      <c r="AC527" s="6">
        <f>(L527-M527)*(W527+X527)+($W$393+$X$393-$W$527-$X$527)*(L527)</f>
        <v>815379.68472000037</v>
      </c>
      <c r="AD527" s="6">
        <f t="shared" si="25"/>
        <v>0</v>
      </c>
      <c r="AE527" s="6">
        <f ca="1">(L527-M527)*(Z527+AA527)+($Z$393+$AA$393-$Z$527-$AA$527)*(L527)</f>
        <v>436405.5360104632</v>
      </c>
      <c r="AF527" s="4" t="s">
        <v>638</v>
      </c>
    </row>
    <row r="528" spans="1:32" ht="11.25" customHeight="1" x14ac:dyDescent="0.25">
      <c r="A528" s="4" t="s">
        <v>27</v>
      </c>
      <c r="B528" s="4" t="s">
        <v>41</v>
      </c>
      <c r="C528" s="4" t="s">
        <v>23</v>
      </c>
      <c r="D528" s="4" t="s">
        <v>42</v>
      </c>
      <c r="E528" s="4" t="s">
        <v>25</v>
      </c>
      <c r="F528" s="4" t="s">
        <v>25</v>
      </c>
      <c r="G528" s="4" t="s">
        <v>25</v>
      </c>
      <c r="H528" s="4" t="s">
        <v>25</v>
      </c>
      <c r="I528" s="5">
        <v>44409</v>
      </c>
      <c r="J528" s="6">
        <v>0</v>
      </c>
      <c r="K528" s="6">
        <v>0</v>
      </c>
      <c r="L528" s="6">
        <v>-967.94100000000003</v>
      </c>
      <c r="M528" s="6">
        <v>-967.94100000000003</v>
      </c>
      <c r="N528" s="6">
        <v>-967.94100000000003</v>
      </c>
      <c r="O528" s="6">
        <v>-967.94100000000003</v>
      </c>
      <c r="P528" s="6">
        <v>-40</v>
      </c>
      <c r="Q528" s="4" t="s">
        <v>26</v>
      </c>
      <c r="R528" s="4">
        <v>0</v>
      </c>
      <c r="S528" s="4">
        <v>0</v>
      </c>
      <c r="T528" s="4">
        <v>40</v>
      </c>
      <c r="U528" s="4">
        <v>78</v>
      </c>
      <c r="V528" s="6">
        <f>IF(ISERROR(VLOOKUP($S$528,'TAR FIN'!$A$1:$O$93,15,0)),0,VLOOKUP($S$528,'TAR FIN'!$A$1:$O$93,15,0))</f>
        <v>0</v>
      </c>
      <c r="W528" s="6">
        <f>IF(ISERROR(VLOOKUP($T$528,'TAR FIN'!$A$1:$O$93,15,0)),0,VLOOKUP($T$528,'TAR FIN'!$A$1:$O$93,15,0))</f>
        <v>240.16</v>
      </c>
      <c r="X528" s="6">
        <f>IF(ISERROR(VLOOKUP($U$528,'TAR FIN'!$A$1:$O$93,15,0)),0,VLOOKUP($U$528,'TAR FIN'!$A$1:$O$93,15,0))</f>
        <v>162.96</v>
      </c>
      <c r="Y528" s="6"/>
      <c r="Z528" s="6">
        <f ca="1">('TUSD BE'!$AM$37+'TUSD BF'!$AM$37+'TUSD CVA'!$AM$37)*(1-CUSTOS!$M$38)</f>
        <v>274.6365589659128</v>
      </c>
      <c r="AA528" s="6">
        <f>('TE BE'!$AB$26+'TE BF'!$AB$26+'TE CVA'!$AB$26)*(1-CUSTOS!$M$38)</f>
        <v>186.29103092878736</v>
      </c>
      <c r="AB528" s="6">
        <f t="shared" si="24"/>
        <v>0</v>
      </c>
      <c r="AC528" s="6">
        <f>(L528-M528)*(W528+X528)+($W$393+$X$393-$W$528-$X$528)*(L528)</f>
        <v>-53207.716770000028</v>
      </c>
      <c r="AD528" s="6">
        <f t="shared" si="25"/>
        <v>0</v>
      </c>
      <c r="AE528" s="6">
        <f ca="1">(L528-M528)*(Z528+AA528)+($Z$393+$AA$393-$Z$528-$AA$528)*(L528)</f>
        <v>-28477.705039804274</v>
      </c>
      <c r="AF528" s="4" t="s">
        <v>638</v>
      </c>
    </row>
    <row r="529" spans="1:32" ht="11.25" customHeight="1" x14ac:dyDescent="0.25">
      <c r="A529" s="4" t="s">
        <v>28</v>
      </c>
      <c r="B529" s="4" t="s">
        <v>41</v>
      </c>
      <c r="C529" s="4" t="s">
        <v>23</v>
      </c>
      <c r="D529" s="4" t="s">
        <v>42</v>
      </c>
      <c r="E529" s="4" t="s">
        <v>25</v>
      </c>
      <c r="F529" s="4" t="s">
        <v>25</v>
      </c>
      <c r="G529" s="4" t="s">
        <v>25</v>
      </c>
      <c r="H529" s="4" t="s">
        <v>25</v>
      </c>
      <c r="I529" s="5">
        <v>44409</v>
      </c>
      <c r="J529" s="6">
        <v>0</v>
      </c>
      <c r="K529" s="6">
        <v>0</v>
      </c>
      <c r="L529" s="6">
        <v>228.06700000000001</v>
      </c>
      <c r="M529" s="6">
        <v>228.06700000000001</v>
      </c>
      <c r="N529" s="6">
        <v>228.06700000000001</v>
      </c>
      <c r="O529" s="6">
        <v>228.06700000000001</v>
      </c>
      <c r="P529" s="6">
        <v>605</v>
      </c>
      <c r="Q529" s="4" t="s">
        <v>26</v>
      </c>
      <c r="R529" s="4">
        <v>0</v>
      </c>
      <c r="S529" s="4">
        <v>0</v>
      </c>
      <c r="T529" s="4">
        <v>40</v>
      </c>
      <c r="U529" s="4">
        <v>78</v>
      </c>
      <c r="V529" s="6">
        <f>IF(ISERROR(VLOOKUP($S$529,'TAR FIN'!$A$1:$O$93,15,0)),0,VLOOKUP($S$529,'TAR FIN'!$A$1:$O$93,15,0))</f>
        <v>0</v>
      </c>
      <c r="W529" s="6">
        <f>IF(ISERROR(VLOOKUP($T$529,'TAR FIN'!$A$1:$O$93,15,0)),0,VLOOKUP($T$529,'TAR FIN'!$A$1:$O$93,15,0))</f>
        <v>240.16</v>
      </c>
      <c r="X529" s="6">
        <f>IF(ISERROR(VLOOKUP($U$529,'TAR FIN'!$A$1:$O$93,15,0)),0,VLOOKUP($U$529,'TAR FIN'!$A$1:$O$93,15,0))</f>
        <v>162.96</v>
      </c>
      <c r="Y529" s="6"/>
      <c r="Z529" s="6">
        <f ca="1">('TUSD BE'!$AM$37+'TUSD BF'!$AM$37+'TUSD CVA'!$AM$37)*(1-CUSTOS!$M$38)</f>
        <v>274.6365589659128</v>
      </c>
      <c r="AA529" s="6">
        <f>('TE BE'!$AB$26+'TE BF'!$AB$26+'TE CVA'!$AB$26)*(1-CUSTOS!$M$38)</f>
        <v>186.29103092878736</v>
      </c>
      <c r="AB529" s="6">
        <f t="shared" si="24"/>
        <v>0</v>
      </c>
      <c r="AC529" s="6">
        <f>(L529-M529)*(W529+X529)+($W$393+$X$393-$W$529-$X$529)*(L529)</f>
        <v>12536.842990000006</v>
      </c>
      <c r="AD529" s="6">
        <f t="shared" si="25"/>
        <v>0</v>
      </c>
      <c r="AE529" s="6">
        <f ca="1">(L529-M529)*(Z529+AA529)+($Z$393+$AA$393-$Z$529-$AA$529)*(L529)</f>
        <v>6709.9386794371158</v>
      </c>
      <c r="AF529" s="4" t="s">
        <v>638</v>
      </c>
    </row>
    <row r="530" spans="1:32" ht="11.25" customHeight="1" x14ac:dyDescent="0.25">
      <c r="A530" s="4" t="s">
        <v>28</v>
      </c>
      <c r="B530" s="4" t="s">
        <v>41</v>
      </c>
      <c r="C530" s="4" t="s">
        <v>23</v>
      </c>
      <c r="D530" s="4" t="s">
        <v>42</v>
      </c>
      <c r="E530" s="4" t="s">
        <v>25</v>
      </c>
      <c r="F530" s="4" t="s">
        <v>25</v>
      </c>
      <c r="G530" s="4" t="s">
        <v>25</v>
      </c>
      <c r="H530" s="4" t="s">
        <v>25</v>
      </c>
      <c r="I530" s="5">
        <v>44409</v>
      </c>
      <c r="J530" s="6">
        <v>0</v>
      </c>
      <c r="K530" s="6">
        <v>0</v>
      </c>
      <c r="L530" s="6">
        <v>-2.5059999999999998</v>
      </c>
      <c r="M530" s="6">
        <v>-2.5059999999999998</v>
      </c>
      <c r="N530" s="6">
        <v>-2.5059999999999998</v>
      </c>
      <c r="O530" s="6">
        <v>-2.5059999999999998</v>
      </c>
      <c r="P530" s="6">
        <v>-1</v>
      </c>
      <c r="Q530" s="4" t="s">
        <v>26</v>
      </c>
      <c r="R530" s="4">
        <v>0</v>
      </c>
      <c r="S530" s="4">
        <v>0</v>
      </c>
      <c r="T530" s="4">
        <v>40</v>
      </c>
      <c r="U530" s="4">
        <v>78</v>
      </c>
      <c r="V530" s="6">
        <f>IF(ISERROR(VLOOKUP($S$530,'TAR FIN'!$A$1:$O$93,15,0)),0,VLOOKUP($S$530,'TAR FIN'!$A$1:$O$93,15,0))</f>
        <v>0</v>
      </c>
      <c r="W530" s="6">
        <f>IF(ISERROR(VLOOKUP($T$530,'TAR FIN'!$A$1:$O$93,15,0)),0,VLOOKUP($T$530,'TAR FIN'!$A$1:$O$93,15,0))</f>
        <v>240.16</v>
      </c>
      <c r="X530" s="6">
        <f>IF(ISERROR(VLOOKUP($U$530,'TAR FIN'!$A$1:$O$93,15,0)),0,VLOOKUP($U$530,'TAR FIN'!$A$1:$O$93,15,0))</f>
        <v>162.96</v>
      </c>
      <c r="Y530" s="6"/>
      <c r="Z530" s="6">
        <f ca="1">('TUSD BE'!$AM$37+'TUSD BF'!$AM$37+'TUSD CVA'!$AM$37)*(1-CUSTOS!$M$38)</f>
        <v>274.6365589659128</v>
      </c>
      <c r="AA530" s="6">
        <f>('TE BE'!$AB$26+'TE BF'!$AB$26+'TE CVA'!$AB$26)*(1-CUSTOS!$M$38)</f>
        <v>186.29103092878736</v>
      </c>
      <c r="AB530" s="6">
        <f t="shared" si="24"/>
        <v>0</v>
      </c>
      <c r="AC530" s="6">
        <f>(L530-M530)*(W530+X530)+($W$393+$X$393-$W$530-$X$530)*(L530)</f>
        <v>-137.75482000000005</v>
      </c>
      <c r="AD530" s="6">
        <f t="shared" si="25"/>
        <v>0</v>
      </c>
      <c r="AE530" s="6">
        <f ca="1">(L530-M530)*(Z530+AA530)+($Z$393+$AA$393-$Z$530-$AA$530)*(L530)</f>
        <v>-73.728800443156658</v>
      </c>
      <c r="AF530" s="4" t="s">
        <v>638</v>
      </c>
    </row>
    <row r="531" spans="1:32" ht="11.25" customHeight="1" x14ac:dyDescent="0.25">
      <c r="A531" s="4" t="s">
        <v>21</v>
      </c>
      <c r="B531" s="4" t="s">
        <v>41</v>
      </c>
      <c r="C531" s="4" t="s">
        <v>23</v>
      </c>
      <c r="D531" s="4" t="s">
        <v>42</v>
      </c>
      <c r="E531" s="4" t="s">
        <v>25</v>
      </c>
      <c r="F531" s="4" t="s">
        <v>25</v>
      </c>
      <c r="G531" s="4" t="s">
        <v>25</v>
      </c>
      <c r="H531" s="4" t="s">
        <v>25</v>
      </c>
      <c r="I531" s="5">
        <v>44440</v>
      </c>
      <c r="J531" s="6">
        <v>0</v>
      </c>
      <c r="K531" s="6">
        <v>0</v>
      </c>
      <c r="L531" s="6">
        <v>14070.333000000001</v>
      </c>
      <c r="M531" s="6">
        <v>14070.333000000001</v>
      </c>
      <c r="N531" s="6">
        <v>14070.333000000001</v>
      </c>
      <c r="O531" s="6">
        <v>14070.333000000001</v>
      </c>
      <c r="P531" s="6">
        <v>38401</v>
      </c>
      <c r="Q531" s="4" t="s">
        <v>26</v>
      </c>
      <c r="R531" s="4">
        <v>0</v>
      </c>
      <c r="S531" s="4">
        <v>0</v>
      </c>
      <c r="T531" s="4">
        <v>40</v>
      </c>
      <c r="U531" s="4">
        <v>78</v>
      </c>
      <c r="V531" s="6">
        <f>IF(ISERROR(VLOOKUP($S$531,'TAR FIN'!$A$1:$O$93,15,0)),0,VLOOKUP($S$531,'TAR FIN'!$A$1:$O$93,15,0))</f>
        <v>0</v>
      </c>
      <c r="W531" s="6">
        <f>IF(ISERROR(VLOOKUP($T$531,'TAR FIN'!$A$1:$O$93,15,0)),0,VLOOKUP($T$531,'TAR FIN'!$A$1:$O$93,15,0))</f>
        <v>240.16</v>
      </c>
      <c r="X531" s="6">
        <f>IF(ISERROR(VLOOKUP($U$531,'TAR FIN'!$A$1:$O$93,15,0)),0,VLOOKUP($U$531,'TAR FIN'!$A$1:$O$93,15,0))</f>
        <v>162.96</v>
      </c>
      <c r="Y531" s="6"/>
      <c r="Z531" s="6">
        <f ca="1">('TUSD BE'!$AM$37+'TUSD BF'!$AM$37+'TUSD CVA'!$AM$37)*(1-CUSTOS!$M$38)</f>
        <v>274.6365589659128</v>
      </c>
      <c r="AA531" s="6">
        <f>('TE BE'!$AB$26+'TE BF'!$AB$26+'TE CVA'!$AB$26)*(1-CUSTOS!$M$38)</f>
        <v>186.29103092878736</v>
      </c>
      <c r="AB531" s="6">
        <f t="shared" si="24"/>
        <v>0</v>
      </c>
      <c r="AC531" s="6">
        <f>(L531-M531)*(W531+X531)+($W$393+$X$393-$W$531-$X$531)*(L531)</f>
        <v>773446.20501000038</v>
      </c>
      <c r="AD531" s="6">
        <f t="shared" si="25"/>
        <v>0</v>
      </c>
      <c r="AE531" s="6">
        <f ca="1">(L531-M531)*(Z531+AA531)+($Z$393+$AA$393-$Z$531-$AA$531)*(L531)</f>
        <v>413962.00076846045</v>
      </c>
      <c r="AF531" s="4" t="s">
        <v>638</v>
      </c>
    </row>
    <row r="532" spans="1:32" ht="11.25" customHeight="1" x14ac:dyDescent="0.25">
      <c r="A532" s="4" t="s">
        <v>27</v>
      </c>
      <c r="B532" s="4" t="s">
        <v>41</v>
      </c>
      <c r="C532" s="4" t="s">
        <v>23</v>
      </c>
      <c r="D532" s="4" t="s">
        <v>42</v>
      </c>
      <c r="E532" s="4" t="s">
        <v>25</v>
      </c>
      <c r="F532" s="4" t="s">
        <v>25</v>
      </c>
      <c r="G532" s="4" t="s">
        <v>25</v>
      </c>
      <c r="H532" s="4" t="s">
        <v>25</v>
      </c>
      <c r="I532" s="5">
        <v>44440</v>
      </c>
      <c r="J532" s="6">
        <v>0</v>
      </c>
      <c r="K532" s="6">
        <v>0</v>
      </c>
      <c r="L532" s="6">
        <v>-58.732999999999997</v>
      </c>
      <c r="M532" s="6">
        <v>-58.732999999999997</v>
      </c>
      <c r="N532" s="6">
        <v>-58.732999999999997</v>
      </c>
      <c r="O532" s="6">
        <v>-58.732999999999997</v>
      </c>
      <c r="P532" s="6">
        <v>-34</v>
      </c>
      <c r="Q532" s="4" t="s">
        <v>26</v>
      </c>
      <c r="R532" s="4">
        <v>0</v>
      </c>
      <c r="S532" s="4">
        <v>0</v>
      </c>
      <c r="T532" s="4">
        <v>40</v>
      </c>
      <c r="U532" s="4">
        <v>78</v>
      </c>
      <c r="V532" s="6">
        <f>IF(ISERROR(VLOOKUP($S$532,'TAR FIN'!$A$1:$O$93,15,0)),0,VLOOKUP($S$532,'TAR FIN'!$A$1:$O$93,15,0))</f>
        <v>0</v>
      </c>
      <c r="W532" s="6">
        <f>IF(ISERROR(VLOOKUP($T$532,'TAR FIN'!$A$1:$O$93,15,0)),0,VLOOKUP($T$532,'TAR FIN'!$A$1:$O$93,15,0))</f>
        <v>240.16</v>
      </c>
      <c r="X532" s="6">
        <f>IF(ISERROR(VLOOKUP($U$532,'TAR FIN'!$A$1:$O$93,15,0)),0,VLOOKUP($U$532,'TAR FIN'!$A$1:$O$93,15,0))</f>
        <v>162.96</v>
      </c>
      <c r="Y532" s="6"/>
      <c r="Z532" s="6">
        <f ca="1">('TUSD BE'!$AM$37+'TUSD BF'!$AM$37+'TUSD CVA'!$AM$37)*(1-CUSTOS!$M$38)</f>
        <v>274.6365589659128</v>
      </c>
      <c r="AA532" s="6">
        <f>('TE BE'!$AB$26+'TE BF'!$AB$26+'TE CVA'!$AB$26)*(1-CUSTOS!$M$38)</f>
        <v>186.29103092878736</v>
      </c>
      <c r="AB532" s="6">
        <f t="shared" si="24"/>
        <v>0</v>
      </c>
      <c r="AC532" s="6">
        <f>(L532-M532)*(W532+X532)+($W$393+$X$393-$W$532-$X$532)*(L532)</f>
        <v>-3228.5530100000014</v>
      </c>
      <c r="AD532" s="6">
        <f t="shared" si="25"/>
        <v>0</v>
      </c>
      <c r="AE532" s="6">
        <f ca="1">(L532-M532)*(Z532+AA532)+($Z$393+$AA$393-$Z$532-$AA$532)*(L532)</f>
        <v>-1727.9783066352436</v>
      </c>
      <c r="AF532" s="4" t="s">
        <v>638</v>
      </c>
    </row>
    <row r="533" spans="1:32" ht="11.25" customHeight="1" x14ac:dyDescent="0.25">
      <c r="A533" s="4" t="s">
        <v>28</v>
      </c>
      <c r="B533" s="4" t="s">
        <v>41</v>
      </c>
      <c r="C533" s="4" t="s">
        <v>23</v>
      </c>
      <c r="D533" s="4" t="s">
        <v>42</v>
      </c>
      <c r="E533" s="4" t="s">
        <v>25</v>
      </c>
      <c r="F533" s="4" t="s">
        <v>25</v>
      </c>
      <c r="G533" s="4" t="s">
        <v>25</v>
      </c>
      <c r="H533" s="4" t="s">
        <v>25</v>
      </c>
      <c r="I533" s="5">
        <v>44440</v>
      </c>
      <c r="J533" s="6">
        <v>0</v>
      </c>
      <c r="K533" s="6">
        <v>0</v>
      </c>
      <c r="L533" s="6">
        <v>258.58300000000003</v>
      </c>
      <c r="M533" s="6">
        <v>258.58300000000003</v>
      </c>
      <c r="N533" s="6">
        <v>258.58300000000003</v>
      </c>
      <c r="O533" s="6">
        <v>258.58300000000003</v>
      </c>
      <c r="P533" s="6">
        <v>644</v>
      </c>
      <c r="Q533" s="4" t="s">
        <v>26</v>
      </c>
      <c r="R533" s="4">
        <v>0</v>
      </c>
      <c r="S533" s="4">
        <v>0</v>
      </c>
      <c r="T533" s="4">
        <v>40</v>
      </c>
      <c r="U533" s="4">
        <v>78</v>
      </c>
      <c r="V533" s="6">
        <f>IF(ISERROR(VLOOKUP($S$533,'TAR FIN'!$A$1:$O$93,15,0)),0,VLOOKUP($S$533,'TAR FIN'!$A$1:$O$93,15,0))</f>
        <v>0</v>
      </c>
      <c r="W533" s="6">
        <f>IF(ISERROR(VLOOKUP($T$533,'TAR FIN'!$A$1:$O$93,15,0)),0,VLOOKUP($T$533,'TAR FIN'!$A$1:$O$93,15,0))</f>
        <v>240.16</v>
      </c>
      <c r="X533" s="6">
        <f>IF(ISERROR(VLOOKUP($U$533,'TAR FIN'!$A$1:$O$93,15,0)),0,VLOOKUP($U$533,'TAR FIN'!$A$1:$O$93,15,0))</f>
        <v>162.96</v>
      </c>
      <c r="Y533" s="6"/>
      <c r="Z533" s="6">
        <f ca="1">('TUSD BE'!$AM$37+'TUSD BF'!$AM$37+'TUSD CVA'!$AM$37)*(1-CUSTOS!$M$38)</f>
        <v>274.6365589659128</v>
      </c>
      <c r="AA533" s="6">
        <f>('TE BE'!$AB$26+'TE BF'!$AB$26+'TE CVA'!$AB$26)*(1-CUSTOS!$M$38)</f>
        <v>186.29103092878736</v>
      </c>
      <c r="AB533" s="6">
        <f t="shared" si="24"/>
        <v>0</v>
      </c>
      <c r="AC533" s="6">
        <f>(L533-M533)*(W533+X533)+($W$393+$X$393-$W$533-$X$533)*(L533)</f>
        <v>14214.307510000008</v>
      </c>
      <c r="AD533" s="6">
        <f t="shared" si="25"/>
        <v>0</v>
      </c>
      <c r="AE533" s="6">
        <f ca="1">(L533-M533)*(Z533+AA533)+($Z$393+$AA$393-$Z$533-$AA$533)*(L533)</f>
        <v>7607.7471687920124</v>
      </c>
      <c r="AF533" s="4" t="s">
        <v>638</v>
      </c>
    </row>
    <row r="534" spans="1:32" ht="11.25" customHeight="1" x14ac:dyDescent="0.25">
      <c r="A534" s="4" t="s">
        <v>21</v>
      </c>
      <c r="B534" s="4" t="s">
        <v>41</v>
      </c>
      <c r="C534" s="4" t="s">
        <v>23</v>
      </c>
      <c r="D534" s="4" t="s">
        <v>42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44470</v>
      </c>
      <c r="J534" s="6">
        <v>0</v>
      </c>
      <c r="K534" s="6">
        <v>0</v>
      </c>
      <c r="L534" s="6">
        <v>13768.293</v>
      </c>
      <c r="M534" s="6">
        <v>13768.293</v>
      </c>
      <c r="N534" s="6">
        <v>13768.293</v>
      </c>
      <c r="O534" s="6">
        <v>13768.293</v>
      </c>
      <c r="P534" s="6">
        <v>38395</v>
      </c>
      <c r="Q534" s="4" t="s">
        <v>26</v>
      </c>
      <c r="R534" s="4">
        <v>0</v>
      </c>
      <c r="S534" s="4">
        <v>0</v>
      </c>
      <c r="T534" s="4">
        <v>40</v>
      </c>
      <c r="U534" s="4">
        <v>78</v>
      </c>
      <c r="V534" s="6">
        <f>IF(ISERROR(VLOOKUP($S$534,'TAR FIN'!$A$1:$O$93,15,0)),0,VLOOKUP($S$534,'TAR FIN'!$A$1:$O$93,15,0))</f>
        <v>0</v>
      </c>
      <c r="W534" s="6">
        <f>IF(ISERROR(VLOOKUP($T$534,'TAR FIN'!$A$1:$O$93,15,0)),0,VLOOKUP($T$534,'TAR FIN'!$A$1:$O$93,15,0))</f>
        <v>240.16</v>
      </c>
      <c r="X534" s="6">
        <f>IF(ISERROR(VLOOKUP($U$534,'TAR FIN'!$A$1:$O$93,15,0)),0,VLOOKUP($U$534,'TAR FIN'!$A$1:$O$93,15,0))</f>
        <v>162.96</v>
      </c>
      <c r="Y534" s="6"/>
      <c r="Z534" s="6">
        <f ca="1">('TUSD BE'!$AM$37+'TUSD BF'!$AM$37+'TUSD CVA'!$AM$37)*(1-CUSTOS!$M$38)</f>
        <v>274.6365589659128</v>
      </c>
      <c r="AA534" s="6">
        <f>('TE BE'!$AB$26+'TE BF'!$AB$26+'TE CVA'!$AB$26)*(1-CUSTOS!$M$38)</f>
        <v>186.29103092878736</v>
      </c>
      <c r="AB534" s="6">
        <f t="shared" si="24"/>
        <v>0</v>
      </c>
      <c r="AC534" s="6">
        <f>(L534-M534)*(W534+X534)+($W$393+$X$393-$W$534-$X$534)*(L534)</f>
        <v>756843.06621000031</v>
      </c>
      <c r="AD534" s="6">
        <f t="shared" si="25"/>
        <v>0</v>
      </c>
      <c r="AE534" s="6">
        <f ca="1">(L534-M534)*(Z534+AA534)+($Z$393+$AA$393-$Z$534-$AA$534)*(L534)</f>
        <v>405075.70911409048</v>
      </c>
      <c r="AF534" s="4" t="s">
        <v>638</v>
      </c>
    </row>
    <row r="535" spans="1:32" ht="11.25" customHeight="1" x14ac:dyDescent="0.25">
      <c r="A535" s="4" t="s">
        <v>27</v>
      </c>
      <c r="B535" s="4" t="s">
        <v>41</v>
      </c>
      <c r="C535" s="4" t="s">
        <v>23</v>
      </c>
      <c r="D535" s="4" t="s">
        <v>42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44470</v>
      </c>
      <c r="J535" s="6">
        <v>0</v>
      </c>
      <c r="K535" s="6">
        <v>0</v>
      </c>
      <c r="L535" s="6">
        <v>-65.221000000000004</v>
      </c>
      <c r="M535" s="6">
        <v>-65.221000000000004</v>
      </c>
      <c r="N535" s="6">
        <v>-65.221000000000004</v>
      </c>
      <c r="O535" s="6">
        <v>-65.221000000000004</v>
      </c>
      <c r="P535" s="6">
        <v>-25</v>
      </c>
      <c r="Q535" s="4" t="s">
        <v>26</v>
      </c>
      <c r="R535" s="4">
        <v>0</v>
      </c>
      <c r="S535" s="4">
        <v>0</v>
      </c>
      <c r="T535" s="4">
        <v>40</v>
      </c>
      <c r="U535" s="4">
        <v>78</v>
      </c>
      <c r="V535" s="6">
        <f>IF(ISERROR(VLOOKUP($S$535,'TAR FIN'!$A$1:$O$93,15,0)),0,VLOOKUP($S$535,'TAR FIN'!$A$1:$O$93,15,0))</f>
        <v>0</v>
      </c>
      <c r="W535" s="6">
        <f>IF(ISERROR(VLOOKUP($T$535,'TAR FIN'!$A$1:$O$93,15,0)),0,VLOOKUP($T$535,'TAR FIN'!$A$1:$O$93,15,0))</f>
        <v>240.16</v>
      </c>
      <c r="X535" s="6">
        <f>IF(ISERROR(VLOOKUP($U$535,'TAR FIN'!$A$1:$O$93,15,0)),0,VLOOKUP($U$535,'TAR FIN'!$A$1:$O$93,15,0))</f>
        <v>162.96</v>
      </c>
      <c r="Y535" s="6"/>
      <c r="Z535" s="6">
        <f ca="1">('TUSD BE'!$AM$37+'TUSD BF'!$AM$37+'TUSD CVA'!$AM$37)*(1-CUSTOS!$M$38)</f>
        <v>274.6365589659128</v>
      </c>
      <c r="AA535" s="6">
        <f>('TE BE'!$AB$26+'TE BF'!$AB$26+'TE CVA'!$AB$26)*(1-CUSTOS!$M$38)</f>
        <v>186.29103092878736</v>
      </c>
      <c r="AB535" s="6">
        <f t="shared" si="24"/>
        <v>0</v>
      </c>
      <c r="AC535" s="6">
        <f>(L535-M535)*(W535+X535)+($W$393+$X$393-$W$535-$X$535)*(L535)</f>
        <v>-3585.1983700000019</v>
      </c>
      <c r="AD535" s="6">
        <f t="shared" si="25"/>
        <v>0</v>
      </c>
      <c r="AE535" s="6">
        <f ca="1">(L535-M535)*(Z535+AA535)+($Z$393+$AA$393-$Z$535-$AA$535)*(L535)</f>
        <v>-1918.8611706716365</v>
      </c>
      <c r="AF535" s="4" t="s">
        <v>638</v>
      </c>
    </row>
    <row r="536" spans="1:32" ht="11.25" customHeight="1" x14ac:dyDescent="0.25">
      <c r="A536" s="4" t="s">
        <v>28</v>
      </c>
      <c r="B536" s="4" t="s">
        <v>41</v>
      </c>
      <c r="C536" s="4" t="s">
        <v>23</v>
      </c>
      <c r="D536" s="4" t="s">
        <v>42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44470</v>
      </c>
      <c r="J536" s="6">
        <v>0</v>
      </c>
      <c r="K536" s="6">
        <v>0</v>
      </c>
      <c r="L536" s="6">
        <v>274.07600000000002</v>
      </c>
      <c r="M536" s="6">
        <v>274.07600000000002</v>
      </c>
      <c r="N536" s="6">
        <v>274.07600000000002</v>
      </c>
      <c r="O536" s="6">
        <v>274.07600000000002</v>
      </c>
      <c r="P536" s="6">
        <v>689</v>
      </c>
      <c r="Q536" s="4" t="s">
        <v>26</v>
      </c>
      <c r="R536" s="4">
        <v>0</v>
      </c>
      <c r="S536" s="4">
        <v>0</v>
      </c>
      <c r="T536" s="4">
        <v>40</v>
      </c>
      <c r="U536" s="4">
        <v>78</v>
      </c>
      <c r="V536" s="6">
        <f>IF(ISERROR(VLOOKUP($S$536,'TAR FIN'!$A$1:$O$93,15,0)),0,VLOOKUP($S$536,'TAR FIN'!$A$1:$O$93,15,0))</f>
        <v>0</v>
      </c>
      <c r="W536" s="6">
        <f>IF(ISERROR(VLOOKUP($T$536,'TAR FIN'!$A$1:$O$93,15,0)),0,VLOOKUP($T$536,'TAR FIN'!$A$1:$O$93,15,0))</f>
        <v>240.16</v>
      </c>
      <c r="X536" s="6">
        <f>IF(ISERROR(VLOOKUP($U$536,'TAR FIN'!$A$1:$O$93,15,0)),0,VLOOKUP($U$536,'TAR FIN'!$A$1:$O$93,15,0))</f>
        <v>162.96</v>
      </c>
      <c r="Y536" s="6"/>
      <c r="Z536" s="6">
        <f ca="1">('TUSD BE'!$AM$37+'TUSD BF'!$AM$37+'TUSD CVA'!$AM$37)*(1-CUSTOS!$M$38)</f>
        <v>274.6365589659128</v>
      </c>
      <c r="AA536" s="6">
        <f>('TE BE'!$AB$26+'TE BF'!$AB$26+'TE CVA'!$AB$26)*(1-CUSTOS!$M$38)</f>
        <v>186.29103092878736</v>
      </c>
      <c r="AB536" s="6">
        <f t="shared" si="24"/>
        <v>0</v>
      </c>
      <c r="AC536" s="6">
        <f>(L536-M536)*(W536+X536)+($W$393+$X$393-$W$536-$X$536)*(L536)</f>
        <v>15065.957720000009</v>
      </c>
      <c r="AD536" s="6">
        <f t="shared" si="25"/>
        <v>0</v>
      </c>
      <c r="AE536" s="6">
        <f ca="1">(L536-M536)*(Z536+AA536)+($Z$393+$AA$393-$Z$536-$AA$536)*(L536)</f>
        <v>8063.5653273178805</v>
      </c>
      <c r="AF536" s="4" t="s">
        <v>638</v>
      </c>
    </row>
    <row r="537" spans="1:32" ht="11.25" customHeight="1" x14ac:dyDescent="0.25">
      <c r="A537" s="4" t="s">
        <v>28</v>
      </c>
      <c r="B537" s="4" t="s">
        <v>41</v>
      </c>
      <c r="C537" s="4" t="s">
        <v>23</v>
      </c>
      <c r="D537" s="4" t="s">
        <v>42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44470</v>
      </c>
      <c r="J537" s="6">
        <v>0</v>
      </c>
      <c r="K537" s="6">
        <v>0</v>
      </c>
      <c r="L537" s="6">
        <v>-1.3</v>
      </c>
      <c r="M537" s="6">
        <v>-1.3</v>
      </c>
      <c r="N537" s="6">
        <v>-1.3</v>
      </c>
      <c r="O537" s="6">
        <v>-1.3</v>
      </c>
      <c r="P537" s="6">
        <v>-3</v>
      </c>
      <c r="Q537" s="4" t="s">
        <v>26</v>
      </c>
      <c r="R537" s="4">
        <v>0</v>
      </c>
      <c r="S537" s="4">
        <v>0</v>
      </c>
      <c r="T537" s="4">
        <v>40</v>
      </c>
      <c r="U537" s="4">
        <v>78</v>
      </c>
      <c r="V537" s="6">
        <f>IF(ISERROR(VLOOKUP($S$537,'TAR FIN'!$A$1:$O$93,15,0)),0,VLOOKUP($S$537,'TAR FIN'!$A$1:$O$93,15,0))</f>
        <v>0</v>
      </c>
      <c r="W537" s="6">
        <f>IF(ISERROR(VLOOKUP($T$537,'TAR FIN'!$A$1:$O$93,15,0)),0,VLOOKUP($T$537,'TAR FIN'!$A$1:$O$93,15,0))</f>
        <v>240.16</v>
      </c>
      <c r="X537" s="6">
        <f>IF(ISERROR(VLOOKUP($U$537,'TAR FIN'!$A$1:$O$93,15,0)),0,VLOOKUP($U$537,'TAR FIN'!$A$1:$O$93,15,0))</f>
        <v>162.96</v>
      </c>
      <c r="Y537" s="6"/>
      <c r="Z537" s="6">
        <f ca="1">('TUSD BE'!$AM$37+'TUSD BF'!$AM$37+'TUSD CVA'!$AM$37)*(1-CUSTOS!$M$38)</f>
        <v>274.6365589659128</v>
      </c>
      <c r="AA537" s="6">
        <f>('TE BE'!$AB$26+'TE BF'!$AB$26+'TE CVA'!$AB$26)*(1-CUSTOS!$M$38)</f>
        <v>186.29103092878736</v>
      </c>
      <c r="AB537" s="6">
        <f t="shared" si="24"/>
        <v>0</v>
      </c>
      <c r="AC537" s="6">
        <f>(L537-M537)*(W537+X537)+($W$393+$X$393-$W$537-$X$537)*(L537)</f>
        <v>-71.461000000000041</v>
      </c>
      <c r="AD537" s="6">
        <f t="shared" si="25"/>
        <v>0</v>
      </c>
      <c r="AE537" s="6">
        <f ca="1">(L537-M537)*(Z537+AA537)+($Z$393+$AA$393-$Z$537-$AA$537)*(L537)</f>
        <v>-38.247182991262441</v>
      </c>
      <c r="AF537" s="4" t="s">
        <v>638</v>
      </c>
    </row>
    <row r="538" spans="1:32" ht="11.25" customHeight="1" x14ac:dyDescent="0.25">
      <c r="A538" s="4" t="s">
        <v>21</v>
      </c>
      <c r="B538" s="4" t="s">
        <v>41</v>
      </c>
      <c r="C538" s="4" t="s">
        <v>23</v>
      </c>
      <c r="D538" s="4" t="s">
        <v>42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44501</v>
      </c>
      <c r="J538" s="6">
        <v>0</v>
      </c>
      <c r="K538" s="6">
        <v>0</v>
      </c>
      <c r="L538" s="6">
        <v>14379.513999999999</v>
      </c>
      <c r="M538" s="6">
        <v>14379.513999999999</v>
      </c>
      <c r="N538" s="6">
        <v>14379.513999999999</v>
      </c>
      <c r="O538" s="6">
        <v>14379.513999999999</v>
      </c>
      <c r="P538" s="6">
        <v>38395</v>
      </c>
      <c r="Q538" s="4" t="s">
        <v>26</v>
      </c>
      <c r="R538" s="4">
        <v>0</v>
      </c>
      <c r="S538" s="4">
        <v>0</v>
      </c>
      <c r="T538" s="4">
        <v>40</v>
      </c>
      <c r="U538" s="4">
        <v>78</v>
      </c>
      <c r="V538" s="6">
        <f>IF(ISERROR(VLOOKUP($S$538,'TAR FIN'!$A$1:$O$93,15,0)),0,VLOOKUP($S$538,'TAR FIN'!$A$1:$O$93,15,0))</f>
        <v>0</v>
      </c>
      <c r="W538" s="6">
        <f>IF(ISERROR(VLOOKUP($T$538,'TAR FIN'!$A$1:$O$93,15,0)),0,VLOOKUP($T$538,'TAR FIN'!$A$1:$O$93,15,0))</f>
        <v>240.16</v>
      </c>
      <c r="X538" s="6">
        <f>IF(ISERROR(VLOOKUP($U$538,'TAR FIN'!$A$1:$O$93,15,0)),0,VLOOKUP($U$538,'TAR FIN'!$A$1:$O$93,15,0))</f>
        <v>162.96</v>
      </c>
      <c r="Y538" s="6"/>
      <c r="Z538" s="6">
        <f ca="1">('TUSD BE'!$AM$37+'TUSD BF'!$AM$37+'TUSD CVA'!$AM$37)*(1-CUSTOS!$M$38)</f>
        <v>274.6365589659128</v>
      </c>
      <c r="AA538" s="6">
        <f>('TE BE'!$AB$26+'TE BF'!$AB$26+'TE CVA'!$AB$26)*(1-CUSTOS!$M$38)</f>
        <v>186.29103092878736</v>
      </c>
      <c r="AB538" s="6">
        <f t="shared" si="24"/>
        <v>0</v>
      </c>
      <c r="AC538" s="6">
        <f>(L538-M538)*(W538+X538)+($W$393+$X$393-$W$538-$X$538)*(L538)</f>
        <v>790441.8845800003</v>
      </c>
      <c r="AD538" s="6">
        <f t="shared" si="25"/>
        <v>0</v>
      </c>
      <c r="AE538" s="6">
        <f ca="1">(L538-M538)*(Z538+AA538)+($Z$393+$AA$393-$Z$538-$AA$538)*(L538)</f>
        <v>423058.38714109233</v>
      </c>
      <c r="AF538" s="4" t="s">
        <v>638</v>
      </c>
    </row>
    <row r="539" spans="1:32" ht="11.25" customHeight="1" x14ac:dyDescent="0.25">
      <c r="A539" s="4" t="s">
        <v>27</v>
      </c>
      <c r="B539" s="4" t="s">
        <v>41</v>
      </c>
      <c r="C539" s="4" t="s">
        <v>23</v>
      </c>
      <c r="D539" s="4" t="s">
        <v>42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44501</v>
      </c>
      <c r="J539" s="6">
        <v>0</v>
      </c>
      <c r="K539" s="6">
        <v>0</v>
      </c>
      <c r="L539" s="6">
        <v>-87.367999999999995</v>
      </c>
      <c r="M539" s="6">
        <v>-87.367999999999995</v>
      </c>
      <c r="N539" s="6">
        <v>-87.367999999999995</v>
      </c>
      <c r="O539" s="6">
        <v>-87.367999999999995</v>
      </c>
      <c r="P539" s="6">
        <v>-41</v>
      </c>
      <c r="Q539" s="4" t="s">
        <v>26</v>
      </c>
      <c r="R539" s="4">
        <v>0</v>
      </c>
      <c r="S539" s="4">
        <v>0</v>
      </c>
      <c r="T539" s="4">
        <v>40</v>
      </c>
      <c r="U539" s="4">
        <v>78</v>
      </c>
      <c r="V539" s="6">
        <f>IF(ISERROR(VLOOKUP($S$539,'TAR FIN'!$A$1:$O$93,15,0)),0,VLOOKUP($S$539,'TAR FIN'!$A$1:$O$93,15,0))</f>
        <v>0</v>
      </c>
      <c r="W539" s="6">
        <f>IF(ISERROR(VLOOKUP($T$539,'TAR FIN'!$A$1:$O$93,15,0)),0,VLOOKUP($T$539,'TAR FIN'!$A$1:$O$93,15,0))</f>
        <v>240.16</v>
      </c>
      <c r="X539" s="6">
        <f>IF(ISERROR(VLOOKUP($U$539,'TAR FIN'!$A$1:$O$93,15,0)),0,VLOOKUP($U$539,'TAR FIN'!$A$1:$O$93,15,0))</f>
        <v>162.96</v>
      </c>
      <c r="Y539" s="6"/>
      <c r="Z539" s="6">
        <f ca="1">('TUSD BE'!$AM$37+'TUSD BF'!$AM$37+'TUSD CVA'!$AM$37)*(1-CUSTOS!$M$38)</f>
        <v>274.6365589659128</v>
      </c>
      <c r="AA539" s="6">
        <f>('TE BE'!$AB$26+'TE BF'!$AB$26+'TE CVA'!$AB$26)*(1-CUSTOS!$M$38)</f>
        <v>186.29103092878736</v>
      </c>
      <c r="AB539" s="6">
        <f t="shared" si="24"/>
        <v>0</v>
      </c>
      <c r="AC539" s="6">
        <f>(L539-M539)*(W539+X539)+($W$393+$X$393-$W$539-$X$539)*(L539)</f>
        <v>-4802.6189600000025</v>
      </c>
      <c r="AD539" s="6">
        <f t="shared" si="25"/>
        <v>0</v>
      </c>
      <c r="AE539" s="6">
        <f ca="1">(L539-M539)*(Z539+AA539)+($Z$393+$AA$393-$Z$539-$AA$539)*(L539)</f>
        <v>-2570.446064292782</v>
      </c>
      <c r="AF539" s="4" t="s">
        <v>638</v>
      </c>
    </row>
    <row r="540" spans="1:32" ht="11.25" customHeight="1" x14ac:dyDescent="0.25">
      <c r="A540" s="4" t="s">
        <v>28</v>
      </c>
      <c r="B540" s="4" t="s">
        <v>41</v>
      </c>
      <c r="C540" s="4" t="s">
        <v>23</v>
      </c>
      <c r="D540" s="4" t="s">
        <v>42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44501</v>
      </c>
      <c r="J540" s="6">
        <v>0</v>
      </c>
      <c r="K540" s="6">
        <v>0</v>
      </c>
      <c r="L540" s="6">
        <v>262.69299999999998</v>
      </c>
      <c r="M540" s="6">
        <v>262.69299999999998</v>
      </c>
      <c r="N540" s="6">
        <v>262.69299999999998</v>
      </c>
      <c r="O540" s="6">
        <v>262.69299999999998</v>
      </c>
      <c r="P540" s="6">
        <v>736</v>
      </c>
      <c r="Q540" s="4" t="s">
        <v>26</v>
      </c>
      <c r="R540" s="4">
        <v>0</v>
      </c>
      <c r="S540" s="4">
        <v>0</v>
      </c>
      <c r="T540" s="4">
        <v>40</v>
      </c>
      <c r="U540" s="4">
        <v>78</v>
      </c>
      <c r="V540" s="6">
        <f>IF(ISERROR(VLOOKUP($S$540,'TAR FIN'!$A$1:$O$93,15,0)),0,VLOOKUP($S$540,'TAR FIN'!$A$1:$O$93,15,0))</f>
        <v>0</v>
      </c>
      <c r="W540" s="6">
        <f>IF(ISERROR(VLOOKUP($T$540,'TAR FIN'!$A$1:$O$93,15,0)),0,VLOOKUP($T$540,'TAR FIN'!$A$1:$O$93,15,0))</f>
        <v>240.16</v>
      </c>
      <c r="X540" s="6">
        <f>IF(ISERROR(VLOOKUP($U$540,'TAR FIN'!$A$1:$O$93,15,0)),0,VLOOKUP($U$540,'TAR FIN'!$A$1:$O$93,15,0))</f>
        <v>162.96</v>
      </c>
      <c r="Y540" s="6"/>
      <c r="Z540" s="6">
        <f ca="1">('TUSD BE'!$AM$37+'TUSD BF'!$AM$37+'TUSD CVA'!$AM$37)*(1-CUSTOS!$M$38)</f>
        <v>274.6365589659128</v>
      </c>
      <c r="AA540" s="6">
        <f>('TE BE'!$AB$26+'TE BF'!$AB$26+'TE CVA'!$AB$26)*(1-CUSTOS!$M$38)</f>
        <v>186.29103092878736</v>
      </c>
      <c r="AB540" s="6">
        <f t="shared" si="24"/>
        <v>0</v>
      </c>
      <c r="AC540" s="6">
        <f>(L540-M540)*(W540+X540)+($W$393+$X$393-$W$540-$X$540)*(L540)</f>
        <v>14440.234210000006</v>
      </c>
      <c r="AD540" s="6">
        <f t="shared" si="25"/>
        <v>0</v>
      </c>
      <c r="AE540" s="6">
        <f ca="1">(L540-M540)*(Z540+AA540)+($Z$393+$AA$393-$Z$540-$AA$540)*(L540)</f>
        <v>7728.667108864387</v>
      </c>
      <c r="AF540" s="4" t="s">
        <v>638</v>
      </c>
    </row>
    <row r="541" spans="1:32" ht="11.25" customHeight="1" x14ac:dyDescent="0.25">
      <c r="A541" s="4" t="s">
        <v>28</v>
      </c>
      <c r="B541" s="4" t="s">
        <v>41</v>
      </c>
      <c r="C541" s="4" t="s">
        <v>23</v>
      </c>
      <c r="D541" s="4" t="s">
        <v>42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44501</v>
      </c>
      <c r="J541" s="6">
        <v>0</v>
      </c>
      <c r="K541" s="6">
        <v>0</v>
      </c>
      <c r="L541" s="6">
        <v>-0.72599999999999998</v>
      </c>
      <c r="M541" s="6">
        <v>-0.72599999999999998</v>
      </c>
      <c r="N541" s="6">
        <v>-0.72599999999999998</v>
      </c>
      <c r="O541" s="6">
        <v>-0.72599999999999998</v>
      </c>
      <c r="P541" s="6">
        <v>-2</v>
      </c>
      <c r="Q541" s="4" t="s">
        <v>26</v>
      </c>
      <c r="R541" s="4">
        <v>0</v>
      </c>
      <c r="S541" s="4">
        <v>0</v>
      </c>
      <c r="T541" s="4">
        <v>40</v>
      </c>
      <c r="U541" s="4">
        <v>78</v>
      </c>
      <c r="V541" s="6">
        <f>IF(ISERROR(VLOOKUP($S$541,'TAR FIN'!$A$1:$O$93,15,0)),0,VLOOKUP($S$541,'TAR FIN'!$A$1:$O$93,15,0))</f>
        <v>0</v>
      </c>
      <c r="W541" s="6">
        <f>IF(ISERROR(VLOOKUP($T$541,'TAR FIN'!$A$1:$O$93,15,0)),0,VLOOKUP($T$541,'TAR FIN'!$A$1:$O$93,15,0))</f>
        <v>240.16</v>
      </c>
      <c r="X541" s="6">
        <f>IF(ISERROR(VLOOKUP($U$541,'TAR FIN'!$A$1:$O$93,15,0)),0,VLOOKUP($U$541,'TAR FIN'!$A$1:$O$93,15,0))</f>
        <v>162.96</v>
      </c>
      <c r="Y541" s="6"/>
      <c r="Z541" s="6">
        <f ca="1">('TUSD BE'!$AM$37+'TUSD BF'!$AM$37+'TUSD CVA'!$AM$37)*(1-CUSTOS!$M$38)</f>
        <v>274.6365589659128</v>
      </c>
      <c r="AA541" s="6">
        <f>('TE BE'!$AB$26+'TE BF'!$AB$26+'TE CVA'!$AB$26)*(1-CUSTOS!$M$38)</f>
        <v>186.29103092878736</v>
      </c>
      <c r="AB541" s="6">
        <f t="shared" si="24"/>
        <v>0</v>
      </c>
      <c r="AC541" s="6">
        <f>(L541-M541)*(W541+X541)+($W$393+$X$393-$W$541-$X$541)*(L541)</f>
        <v>-39.908220000000021</v>
      </c>
      <c r="AD541" s="6">
        <f t="shared" si="25"/>
        <v>0</v>
      </c>
      <c r="AE541" s="6">
        <f ca="1">(L541-M541)*(Z541+AA541)+($Z$393+$AA$393-$Z$541-$AA$541)*(L541)</f>
        <v>-21.359580655120407</v>
      </c>
      <c r="AF541" s="4" t="s">
        <v>638</v>
      </c>
    </row>
    <row r="542" spans="1:32" ht="11.25" customHeight="1" x14ac:dyDescent="0.25">
      <c r="A542" s="4" t="s">
        <v>21</v>
      </c>
      <c r="B542" s="4" t="s">
        <v>41</v>
      </c>
      <c r="C542" s="4" t="s">
        <v>23</v>
      </c>
      <c r="D542" s="4" t="s">
        <v>42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44531</v>
      </c>
      <c r="J542" s="6">
        <v>0</v>
      </c>
      <c r="K542" s="6">
        <v>0</v>
      </c>
      <c r="L542" s="6">
        <v>15397.703</v>
      </c>
      <c r="M542" s="6">
        <v>15397.703</v>
      </c>
      <c r="N542" s="6">
        <v>15397.703</v>
      </c>
      <c r="O542" s="6">
        <v>15397.703</v>
      </c>
      <c r="P542" s="6">
        <v>38410</v>
      </c>
      <c r="Q542" s="4" t="s">
        <v>26</v>
      </c>
      <c r="R542" s="4">
        <v>0</v>
      </c>
      <c r="S542" s="4">
        <v>0</v>
      </c>
      <c r="T542" s="4">
        <v>40</v>
      </c>
      <c r="U542" s="4">
        <v>78</v>
      </c>
      <c r="V542" s="6">
        <f>IF(ISERROR(VLOOKUP($S$542,'TAR FIN'!$A$1:$O$93,15,0)),0,VLOOKUP($S$542,'TAR FIN'!$A$1:$O$93,15,0))</f>
        <v>0</v>
      </c>
      <c r="W542" s="6">
        <f>IF(ISERROR(VLOOKUP($T$542,'TAR FIN'!$A$1:$O$93,15,0)),0,VLOOKUP($T$542,'TAR FIN'!$A$1:$O$93,15,0))</f>
        <v>240.16</v>
      </c>
      <c r="X542" s="6">
        <f>IF(ISERROR(VLOOKUP($U$542,'TAR FIN'!$A$1:$O$93,15,0)),0,VLOOKUP($U$542,'TAR FIN'!$A$1:$O$93,15,0))</f>
        <v>162.96</v>
      </c>
      <c r="Y542" s="6"/>
      <c r="Z542" s="6">
        <f ca="1">('TUSD BE'!$AM$37+'TUSD BF'!$AM$37+'TUSD CVA'!$AM$37)*(1-CUSTOS!$M$38)</f>
        <v>274.6365589659128</v>
      </c>
      <c r="AA542" s="6">
        <f>('TE BE'!$AB$26+'TE BF'!$AB$26+'TE CVA'!$AB$26)*(1-CUSTOS!$M$38)</f>
        <v>186.29103092878736</v>
      </c>
      <c r="AB542" s="6">
        <f t="shared" si="24"/>
        <v>0</v>
      </c>
      <c r="AC542" s="6">
        <f>(L542-M542)*(W542+X542)+($W$393+$X$393-$W$542-$X$542)*(L542)</f>
        <v>846411.73391000042</v>
      </c>
      <c r="AD542" s="6">
        <f t="shared" si="25"/>
        <v>0</v>
      </c>
      <c r="AE542" s="6">
        <f ca="1">(L542-M542)*(Z542+AA542)+($Z$393+$AA$393-$Z$542-$AA$542)*(L542)</f>
        <v>453014.43406623893</v>
      </c>
      <c r="AF542" s="4" t="s">
        <v>638</v>
      </c>
    </row>
    <row r="543" spans="1:32" ht="11.25" customHeight="1" x14ac:dyDescent="0.25">
      <c r="A543" s="4" t="s">
        <v>27</v>
      </c>
      <c r="B543" s="4" t="s">
        <v>41</v>
      </c>
      <c r="C543" s="4" t="s">
        <v>23</v>
      </c>
      <c r="D543" s="4" t="s">
        <v>42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44531</v>
      </c>
      <c r="J543" s="6">
        <v>0</v>
      </c>
      <c r="K543" s="6">
        <v>0</v>
      </c>
      <c r="L543" s="6">
        <v>-1027.2639999999999</v>
      </c>
      <c r="M543" s="6">
        <v>-1027.2639999999999</v>
      </c>
      <c r="N543" s="6">
        <v>-1027.2639999999999</v>
      </c>
      <c r="O543" s="6">
        <v>-1027.2639999999999</v>
      </c>
      <c r="P543" s="6">
        <v>-39</v>
      </c>
      <c r="Q543" s="4" t="s">
        <v>26</v>
      </c>
      <c r="R543" s="4">
        <v>0</v>
      </c>
      <c r="S543" s="4">
        <v>0</v>
      </c>
      <c r="T543" s="4">
        <v>40</v>
      </c>
      <c r="U543" s="4">
        <v>78</v>
      </c>
      <c r="V543" s="6">
        <f>IF(ISERROR(VLOOKUP($S$543,'TAR FIN'!$A$1:$O$93,15,0)),0,VLOOKUP($S$543,'TAR FIN'!$A$1:$O$93,15,0))</f>
        <v>0</v>
      </c>
      <c r="W543" s="6">
        <f>IF(ISERROR(VLOOKUP($T$543,'TAR FIN'!$A$1:$O$93,15,0)),0,VLOOKUP($T$543,'TAR FIN'!$A$1:$O$93,15,0))</f>
        <v>240.16</v>
      </c>
      <c r="X543" s="6">
        <f>IF(ISERROR(VLOOKUP($U$543,'TAR FIN'!$A$1:$O$93,15,0)),0,VLOOKUP($U$543,'TAR FIN'!$A$1:$O$93,15,0))</f>
        <v>162.96</v>
      </c>
      <c r="Y543" s="6"/>
      <c r="Z543" s="6">
        <f ca="1">('TUSD BE'!$AM$37+'TUSD BF'!$AM$37+'TUSD CVA'!$AM$37)*(1-CUSTOS!$M$38)</f>
        <v>274.6365589659128</v>
      </c>
      <c r="AA543" s="6">
        <f>('TE BE'!$AB$26+'TE BF'!$AB$26+'TE CVA'!$AB$26)*(1-CUSTOS!$M$38)</f>
        <v>186.29103092878736</v>
      </c>
      <c r="AB543" s="6">
        <f t="shared" si="24"/>
        <v>0</v>
      </c>
      <c r="AC543" s="6">
        <f>(L543-M543)*(W543+X543)+($W$393+$X$393-$W$543-$X$543)*(L543)</f>
        <v>-56468.702080000025</v>
      </c>
      <c r="AD543" s="6">
        <f t="shared" si="25"/>
        <v>0</v>
      </c>
      <c r="AE543" s="6">
        <f ca="1">(L543-M543)*(Z543+AA543)+($Z$393+$AA$393-$Z$543-$AA$543)*(L543)</f>
        <v>-30223.041683335548</v>
      </c>
      <c r="AF543" s="4" t="s">
        <v>638</v>
      </c>
    </row>
    <row r="544" spans="1:32" ht="11.25" customHeight="1" x14ac:dyDescent="0.25">
      <c r="A544" s="4" t="s">
        <v>28</v>
      </c>
      <c r="B544" s="4" t="s">
        <v>41</v>
      </c>
      <c r="C544" s="4" t="s">
        <v>23</v>
      </c>
      <c r="D544" s="4" t="s">
        <v>42</v>
      </c>
      <c r="E544" s="4" t="s">
        <v>25</v>
      </c>
      <c r="F544" s="4" t="s">
        <v>25</v>
      </c>
      <c r="G544" s="4" t="s">
        <v>25</v>
      </c>
      <c r="H544" s="4" t="s">
        <v>25</v>
      </c>
      <c r="I544" s="5">
        <v>44531</v>
      </c>
      <c r="J544" s="6">
        <v>0</v>
      </c>
      <c r="K544" s="6">
        <v>0</v>
      </c>
      <c r="L544" s="6">
        <v>-0.309</v>
      </c>
      <c r="M544" s="6">
        <v>-0.309</v>
      </c>
      <c r="N544" s="6">
        <v>-0.309</v>
      </c>
      <c r="O544" s="6">
        <v>-0.309</v>
      </c>
      <c r="P544" s="6">
        <v>-2</v>
      </c>
      <c r="Q544" s="4" t="s">
        <v>26</v>
      </c>
      <c r="R544" s="4">
        <v>0</v>
      </c>
      <c r="S544" s="4">
        <v>0</v>
      </c>
      <c r="T544" s="4">
        <v>40</v>
      </c>
      <c r="U544" s="4">
        <v>78</v>
      </c>
      <c r="V544" s="6">
        <f>IF(ISERROR(VLOOKUP($S$544,'TAR FIN'!$A$1:$O$93,15,0)),0,VLOOKUP($S$544,'TAR FIN'!$A$1:$O$93,15,0))</f>
        <v>0</v>
      </c>
      <c r="W544" s="6">
        <f>IF(ISERROR(VLOOKUP($T$544,'TAR FIN'!$A$1:$O$93,15,0)),0,VLOOKUP($T$544,'TAR FIN'!$A$1:$O$93,15,0))</f>
        <v>240.16</v>
      </c>
      <c r="X544" s="6">
        <f>IF(ISERROR(VLOOKUP($U$544,'TAR FIN'!$A$1:$O$93,15,0)),0,VLOOKUP($U$544,'TAR FIN'!$A$1:$O$93,15,0))</f>
        <v>162.96</v>
      </c>
      <c r="Y544" s="6"/>
      <c r="Z544" s="6">
        <f ca="1">('TUSD BE'!$AM$37+'TUSD BF'!$AM$37+'TUSD CVA'!$AM$37)*(1-CUSTOS!$M$38)</f>
        <v>274.6365589659128</v>
      </c>
      <c r="AA544" s="6">
        <f>('TE BE'!$AB$26+'TE BF'!$AB$26+'TE CVA'!$AB$26)*(1-CUSTOS!$M$38)</f>
        <v>186.29103092878736</v>
      </c>
      <c r="AB544" s="6">
        <f t="shared" si="24"/>
        <v>0</v>
      </c>
      <c r="AC544" s="6">
        <f>(L544-M544)*(W544+X544)+($W$393+$X$393-$W$544-$X$544)*(L544)</f>
        <v>-16.985730000000007</v>
      </c>
      <c r="AD544" s="6">
        <f t="shared" si="25"/>
        <v>0</v>
      </c>
      <c r="AE544" s="6">
        <f ca="1">(L544-M544)*(Z544+AA544)+($Z$393+$AA$393-$Z$544-$AA$544)*(L544)</f>
        <v>-9.0910611879231489</v>
      </c>
      <c r="AF544" s="4" t="s">
        <v>638</v>
      </c>
    </row>
    <row r="545" spans="1:32" ht="11.25" customHeight="1" x14ac:dyDescent="0.25">
      <c r="A545" s="4" t="s">
        <v>21</v>
      </c>
      <c r="B545" s="4" t="s">
        <v>41</v>
      </c>
      <c r="C545" s="4" t="s">
        <v>23</v>
      </c>
      <c r="D545" s="4" t="s">
        <v>42</v>
      </c>
      <c r="E545" s="4" t="s">
        <v>25</v>
      </c>
      <c r="F545" s="4" t="s">
        <v>25</v>
      </c>
      <c r="G545" s="4" t="s">
        <v>25</v>
      </c>
      <c r="H545" s="4" t="s">
        <v>25</v>
      </c>
      <c r="I545" s="5">
        <v>44562</v>
      </c>
      <c r="J545" s="6">
        <v>0</v>
      </c>
      <c r="K545" s="6">
        <v>0</v>
      </c>
      <c r="L545" s="6">
        <v>17247.62</v>
      </c>
      <c r="M545" s="6">
        <v>17247.62</v>
      </c>
      <c r="N545" s="6">
        <v>17247.62</v>
      </c>
      <c r="O545" s="6">
        <v>17247.62</v>
      </c>
      <c r="P545" s="6">
        <v>38314</v>
      </c>
      <c r="Q545" s="4" t="s">
        <v>26</v>
      </c>
      <c r="R545" s="4">
        <v>0</v>
      </c>
      <c r="S545" s="4">
        <v>0</v>
      </c>
      <c r="T545" s="4">
        <v>40</v>
      </c>
      <c r="U545" s="4">
        <v>78</v>
      </c>
      <c r="V545" s="6">
        <f>IF(ISERROR(VLOOKUP($S$545,'TAR FIN'!$A$1:$O$93,15,0)),0,VLOOKUP($S$545,'TAR FIN'!$A$1:$O$93,15,0))</f>
        <v>0</v>
      </c>
      <c r="W545" s="6">
        <f>IF(ISERROR(VLOOKUP($T$545,'TAR FIN'!$A$1:$O$93,15,0)),0,VLOOKUP($T$545,'TAR FIN'!$A$1:$O$93,15,0))</f>
        <v>240.16</v>
      </c>
      <c r="X545" s="6">
        <f>IF(ISERROR(VLOOKUP($U$545,'TAR FIN'!$A$1:$O$93,15,0)),0,VLOOKUP($U$545,'TAR FIN'!$A$1:$O$93,15,0))</f>
        <v>162.96</v>
      </c>
      <c r="Y545" s="6"/>
      <c r="Z545" s="6">
        <f ca="1">('TUSD BE'!$AM$37+'TUSD BF'!$AM$37+'TUSD CVA'!$AM$37)*(1-CUSTOS!$M$38)</f>
        <v>274.6365589659128</v>
      </c>
      <c r="AA545" s="6">
        <f>('TE BE'!$AB$26+'TE BF'!$AB$26+'TE CVA'!$AB$26)*(1-CUSTOS!$M$38)</f>
        <v>186.29103092878736</v>
      </c>
      <c r="AB545" s="6">
        <f t="shared" si="24"/>
        <v>0</v>
      </c>
      <c r="AC545" s="6">
        <f>(L545-M545)*(W545+X545)+($W$393+$X$393-$W$545-$X$545)*(L545)</f>
        <v>948101.67140000046</v>
      </c>
      <c r="AD545" s="6">
        <f t="shared" si="25"/>
        <v>0</v>
      </c>
      <c r="AE545" s="6">
        <f ca="1">(L545-M545)*(Z545+AA545)+($Z$393+$AA$393-$Z$545-$AA$545)*(L545)</f>
        <v>507440.67561827524</v>
      </c>
      <c r="AF545" s="4" t="s">
        <v>638</v>
      </c>
    </row>
    <row r="546" spans="1:32" ht="11.25" customHeight="1" x14ac:dyDescent="0.25">
      <c r="A546" s="4" t="s">
        <v>27</v>
      </c>
      <c r="B546" s="4" t="s">
        <v>41</v>
      </c>
      <c r="C546" s="4" t="s">
        <v>23</v>
      </c>
      <c r="D546" s="4" t="s">
        <v>42</v>
      </c>
      <c r="E546" s="4" t="s">
        <v>25</v>
      </c>
      <c r="F546" s="4" t="s">
        <v>25</v>
      </c>
      <c r="G546" s="4" t="s">
        <v>25</v>
      </c>
      <c r="H546" s="4" t="s">
        <v>25</v>
      </c>
      <c r="I546" s="5">
        <v>44562</v>
      </c>
      <c r="J546" s="6">
        <v>0</v>
      </c>
      <c r="K546" s="6">
        <v>0</v>
      </c>
      <c r="L546" s="6">
        <v>-29.346</v>
      </c>
      <c r="M546" s="6">
        <v>-29.346</v>
      </c>
      <c r="N546" s="6">
        <v>-29.346</v>
      </c>
      <c r="O546" s="6">
        <v>-29.346</v>
      </c>
      <c r="P546" s="6">
        <v>-36</v>
      </c>
      <c r="Q546" s="4" t="s">
        <v>26</v>
      </c>
      <c r="R546" s="4">
        <v>0</v>
      </c>
      <c r="S546" s="4">
        <v>0</v>
      </c>
      <c r="T546" s="4">
        <v>40</v>
      </c>
      <c r="U546" s="4">
        <v>78</v>
      </c>
      <c r="V546" s="6">
        <f>IF(ISERROR(VLOOKUP($S$546,'TAR FIN'!$A$1:$O$93,15,0)),0,VLOOKUP($S$546,'TAR FIN'!$A$1:$O$93,15,0))</f>
        <v>0</v>
      </c>
      <c r="W546" s="6">
        <f>IF(ISERROR(VLOOKUP($T$546,'TAR FIN'!$A$1:$O$93,15,0)),0,VLOOKUP($T$546,'TAR FIN'!$A$1:$O$93,15,0))</f>
        <v>240.16</v>
      </c>
      <c r="X546" s="6">
        <f>IF(ISERROR(VLOOKUP($U$546,'TAR FIN'!$A$1:$O$93,15,0)),0,VLOOKUP($U$546,'TAR FIN'!$A$1:$O$93,15,0))</f>
        <v>162.96</v>
      </c>
      <c r="Y546" s="6"/>
      <c r="Z546" s="6">
        <f ca="1">('TUSD BE'!$AM$37+'TUSD BF'!$AM$37+'TUSD CVA'!$AM$37)*(1-CUSTOS!$M$38)</f>
        <v>274.6365589659128</v>
      </c>
      <c r="AA546" s="6">
        <f>('TE BE'!$AB$26+'TE BF'!$AB$26+'TE CVA'!$AB$26)*(1-CUSTOS!$M$38)</f>
        <v>186.29103092878736</v>
      </c>
      <c r="AB546" s="6">
        <f t="shared" si="24"/>
        <v>0</v>
      </c>
      <c r="AC546" s="6">
        <f>(L546-M546)*(W546+X546)+($W$393+$X$393-$W$546-$X$546)*(L546)</f>
        <v>-1613.1496200000008</v>
      </c>
      <c r="AD546" s="6">
        <f t="shared" si="25"/>
        <v>0</v>
      </c>
      <c r="AE546" s="6">
        <f ca="1">(L546-M546)*(Z546+AA546)+($Z$393+$AA$393-$Z$546-$AA$546)*(L546)</f>
        <v>-863.38602466275961</v>
      </c>
      <c r="AF546" s="4" t="s">
        <v>638</v>
      </c>
    </row>
    <row r="547" spans="1:32" ht="11.25" customHeight="1" x14ac:dyDescent="0.25">
      <c r="A547" s="4" t="s">
        <v>28</v>
      </c>
      <c r="B547" s="4" t="s">
        <v>41</v>
      </c>
      <c r="C547" s="4" t="s">
        <v>23</v>
      </c>
      <c r="D547" s="4" t="s">
        <v>42</v>
      </c>
      <c r="E547" s="4" t="s">
        <v>25</v>
      </c>
      <c r="F547" s="4" t="s">
        <v>25</v>
      </c>
      <c r="G547" s="4" t="s">
        <v>25</v>
      </c>
      <c r="H547" s="4" t="s">
        <v>25</v>
      </c>
      <c r="I547" s="5">
        <v>44562</v>
      </c>
      <c r="J547" s="6">
        <v>0</v>
      </c>
      <c r="K547" s="6">
        <v>0</v>
      </c>
      <c r="L547" s="6">
        <v>324.33800000000002</v>
      </c>
      <c r="M547" s="6">
        <v>324.33800000000002</v>
      </c>
      <c r="N547" s="6">
        <v>324.33800000000002</v>
      </c>
      <c r="O547" s="6">
        <v>324.33800000000002</v>
      </c>
      <c r="P547" s="6">
        <v>858</v>
      </c>
      <c r="Q547" s="4" t="s">
        <v>26</v>
      </c>
      <c r="R547" s="4">
        <v>0</v>
      </c>
      <c r="S547" s="4">
        <v>0</v>
      </c>
      <c r="T547" s="4">
        <v>40</v>
      </c>
      <c r="U547" s="4">
        <v>78</v>
      </c>
      <c r="V547" s="6">
        <f>IF(ISERROR(VLOOKUP($S$547,'TAR FIN'!$A$1:$O$93,15,0)),0,VLOOKUP($S$547,'TAR FIN'!$A$1:$O$93,15,0))</f>
        <v>0</v>
      </c>
      <c r="W547" s="6">
        <f>IF(ISERROR(VLOOKUP($T$547,'TAR FIN'!$A$1:$O$93,15,0)),0,VLOOKUP($T$547,'TAR FIN'!$A$1:$O$93,15,0))</f>
        <v>240.16</v>
      </c>
      <c r="X547" s="6">
        <f>IF(ISERROR(VLOOKUP($U$547,'TAR FIN'!$A$1:$O$93,15,0)),0,VLOOKUP($U$547,'TAR FIN'!$A$1:$O$93,15,0))</f>
        <v>162.96</v>
      </c>
      <c r="Y547" s="6"/>
      <c r="Z547" s="6">
        <f ca="1">('TUSD BE'!$AM$37+'TUSD BF'!$AM$37+'TUSD CVA'!$AM$37)*(1-CUSTOS!$M$38)</f>
        <v>274.6365589659128</v>
      </c>
      <c r="AA547" s="6">
        <f>('TE BE'!$AB$26+'TE BF'!$AB$26+'TE CVA'!$AB$26)*(1-CUSTOS!$M$38)</f>
        <v>186.29103092878736</v>
      </c>
      <c r="AB547" s="6">
        <f t="shared" si="24"/>
        <v>0</v>
      </c>
      <c r="AC547" s="6">
        <f>(L547-M547)*(W547+X547)+($W$393+$X$393-$W$547-$X$547)*(L547)</f>
        <v>17828.859860000011</v>
      </c>
      <c r="AD547" s="6">
        <f t="shared" si="25"/>
        <v>0</v>
      </c>
      <c r="AE547" s="6">
        <f ca="1">(L547-M547)*(Z547+AA547)+($Z$393+$AA$393-$Z$547-$AA$547)*(L547)</f>
        <v>9542.3191054000599</v>
      </c>
      <c r="AF547" s="4" t="s">
        <v>638</v>
      </c>
    </row>
    <row r="548" spans="1:32" ht="11.25" customHeight="1" x14ac:dyDescent="0.25">
      <c r="A548" s="4" t="s">
        <v>28</v>
      </c>
      <c r="B548" s="4" t="s">
        <v>41</v>
      </c>
      <c r="C548" s="4" t="s">
        <v>23</v>
      </c>
      <c r="D548" s="4" t="s">
        <v>42</v>
      </c>
      <c r="E548" s="4" t="s">
        <v>25</v>
      </c>
      <c r="F548" s="4" t="s">
        <v>25</v>
      </c>
      <c r="G548" s="4" t="s">
        <v>25</v>
      </c>
      <c r="H548" s="4" t="s">
        <v>25</v>
      </c>
      <c r="I548" s="5">
        <v>44562</v>
      </c>
      <c r="J548" s="6">
        <v>0</v>
      </c>
      <c r="K548" s="6">
        <v>0</v>
      </c>
      <c r="L548" s="6">
        <v>-0.47799999999999998</v>
      </c>
      <c r="M548" s="6">
        <v>-0.47799999999999998</v>
      </c>
      <c r="N548" s="6">
        <v>-0.47799999999999998</v>
      </c>
      <c r="O548" s="6">
        <v>-0.47799999999999998</v>
      </c>
      <c r="P548" s="6">
        <v>-2</v>
      </c>
      <c r="Q548" s="4" t="s">
        <v>26</v>
      </c>
      <c r="R548" s="4">
        <v>0</v>
      </c>
      <c r="S548" s="4">
        <v>0</v>
      </c>
      <c r="T548" s="4">
        <v>40</v>
      </c>
      <c r="U548" s="4">
        <v>78</v>
      </c>
      <c r="V548" s="6">
        <f>IF(ISERROR(VLOOKUP($S$548,'TAR FIN'!$A$1:$O$93,15,0)),0,VLOOKUP($S$548,'TAR FIN'!$A$1:$O$93,15,0))</f>
        <v>0</v>
      </c>
      <c r="W548" s="6">
        <f>IF(ISERROR(VLOOKUP($T$548,'TAR FIN'!$A$1:$O$93,15,0)),0,VLOOKUP($T$548,'TAR FIN'!$A$1:$O$93,15,0))</f>
        <v>240.16</v>
      </c>
      <c r="X548" s="6">
        <f>IF(ISERROR(VLOOKUP($U$548,'TAR FIN'!$A$1:$O$93,15,0)),0,VLOOKUP($U$548,'TAR FIN'!$A$1:$O$93,15,0))</f>
        <v>162.96</v>
      </c>
      <c r="Y548" s="6"/>
      <c r="Z548" s="6">
        <f ca="1">('TUSD BE'!$AM$37+'TUSD BF'!$AM$37+'TUSD CVA'!$AM$37)*(1-CUSTOS!$M$38)</f>
        <v>274.6365589659128</v>
      </c>
      <c r="AA548" s="6">
        <f>('TE BE'!$AB$26+'TE BF'!$AB$26+'TE CVA'!$AB$26)*(1-CUSTOS!$M$38)</f>
        <v>186.29103092878736</v>
      </c>
      <c r="AB548" s="6">
        <f t="shared" si="24"/>
        <v>0</v>
      </c>
      <c r="AC548" s="6">
        <f>(L548-M548)*(W548+X548)+($W$393+$X$393-$W$548-$X$548)*(L548)</f>
        <v>-26.275660000000013</v>
      </c>
      <c r="AD548" s="6">
        <f t="shared" si="25"/>
        <v>0</v>
      </c>
      <c r="AE548" s="6">
        <f ca="1">(L548-M548)*(Z548+AA548)+($Z$393+$AA$393-$Z$548-$AA$548)*(L548)</f>
        <v>-14.063194976787265</v>
      </c>
      <c r="AF548" s="4" t="s">
        <v>638</v>
      </c>
    </row>
    <row r="549" spans="1:32" ht="11.25" customHeight="1" x14ac:dyDescent="0.25">
      <c r="A549" s="4" t="s">
        <v>21</v>
      </c>
      <c r="B549" s="4" t="s">
        <v>41</v>
      </c>
      <c r="C549" s="4" t="s">
        <v>23</v>
      </c>
      <c r="D549" s="4" t="s">
        <v>42</v>
      </c>
      <c r="E549" s="4" t="s">
        <v>25</v>
      </c>
      <c r="F549" s="4" t="s">
        <v>25</v>
      </c>
      <c r="G549" s="4" t="s">
        <v>25</v>
      </c>
      <c r="H549" s="4" t="s">
        <v>25</v>
      </c>
      <c r="I549" s="5">
        <v>44593</v>
      </c>
      <c r="J549" s="6">
        <v>0</v>
      </c>
      <c r="K549" s="6">
        <v>0</v>
      </c>
      <c r="L549" s="6">
        <v>17167.484</v>
      </c>
      <c r="M549" s="6">
        <v>17167.484</v>
      </c>
      <c r="N549" s="6">
        <v>17167.484</v>
      </c>
      <c r="O549" s="6">
        <v>17167.484</v>
      </c>
      <c r="P549" s="6">
        <v>38240</v>
      </c>
      <c r="Q549" s="4" t="s">
        <v>26</v>
      </c>
      <c r="R549" s="4">
        <v>0</v>
      </c>
      <c r="S549" s="4">
        <v>0</v>
      </c>
      <c r="T549" s="4">
        <v>40</v>
      </c>
      <c r="U549" s="4">
        <v>78</v>
      </c>
      <c r="V549" s="6">
        <f>IF(ISERROR(VLOOKUP($S$549,'TAR FIN'!$A$1:$O$93,15,0)),0,VLOOKUP($S$549,'TAR FIN'!$A$1:$O$93,15,0))</f>
        <v>0</v>
      </c>
      <c r="W549" s="6">
        <f>IF(ISERROR(VLOOKUP($T$549,'TAR FIN'!$A$1:$O$93,15,0)),0,VLOOKUP($T$549,'TAR FIN'!$A$1:$O$93,15,0))</f>
        <v>240.16</v>
      </c>
      <c r="X549" s="6">
        <f>IF(ISERROR(VLOOKUP($U$549,'TAR FIN'!$A$1:$O$93,15,0)),0,VLOOKUP($U$549,'TAR FIN'!$A$1:$O$93,15,0))</f>
        <v>162.96</v>
      </c>
      <c r="Y549" s="6"/>
      <c r="Z549" s="6">
        <f ca="1">('TUSD BE'!$AM$37+'TUSD BF'!$AM$37+'TUSD CVA'!$AM$37)*(1-CUSTOS!$M$38)</f>
        <v>274.6365589659128</v>
      </c>
      <c r="AA549" s="6">
        <f>('TE BE'!$AB$26+'TE BF'!$AB$26+'TE CVA'!$AB$26)*(1-CUSTOS!$M$38)</f>
        <v>186.29103092878736</v>
      </c>
      <c r="AB549" s="6">
        <f t="shared" si="24"/>
        <v>0</v>
      </c>
      <c r="AC549" s="6">
        <f>(L549-M549)*(W549+X549)+($W$393+$X$393-$W$549-$X$549)*(L549)</f>
        <v>943696.59548000048</v>
      </c>
      <c r="AD549" s="6">
        <f t="shared" si="25"/>
        <v>0</v>
      </c>
      <c r="AE549" s="6">
        <f ca="1">(L549-M549)*(Z549+AA549)+($Z$393+$AA$393-$Z$549-$AA$549)*(L549)</f>
        <v>505083.0015750539</v>
      </c>
      <c r="AF549" s="4" t="s">
        <v>638</v>
      </c>
    </row>
    <row r="550" spans="1:32" ht="11.25" customHeight="1" x14ac:dyDescent="0.25">
      <c r="A550" s="4" t="s">
        <v>27</v>
      </c>
      <c r="B550" s="4" t="s">
        <v>41</v>
      </c>
      <c r="C550" s="4" t="s">
        <v>23</v>
      </c>
      <c r="D550" s="4" t="s">
        <v>42</v>
      </c>
      <c r="E550" s="4" t="s">
        <v>25</v>
      </c>
      <c r="F550" s="4" t="s">
        <v>25</v>
      </c>
      <c r="G550" s="4" t="s">
        <v>25</v>
      </c>
      <c r="H550" s="4" t="s">
        <v>25</v>
      </c>
      <c r="I550" s="5">
        <v>44593</v>
      </c>
      <c r="J550" s="6">
        <v>0</v>
      </c>
      <c r="K550" s="6">
        <v>0</v>
      </c>
      <c r="L550" s="6">
        <v>-233.511</v>
      </c>
      <c r="M550" s="6">
        <v>-233.511</v>
      </c>
      <c r="N550" s="6">
        <v>-233.511</v>
      </c>
      <c r="O550" s="6">
        <v>-233.511</v>
      </c>
      <c r="P550" s="6">
        <v>-31</v>
      </c>
      <c r="Q550" s="4" t="s">
        <v>26</v>
      </c>
      <c r="R550" s="4">
        <v>0</v>
      </c>
      <c r="S550" s="4">
        <v>0</v>
      </c>
      <c r="T550" s="4">
        <v>40</v>
      </c>
      <c r="U550" s="4">
        <v>78</v>
      </c>
      <c r="V550" s="6">
        <f>IF(ISERROR(VLOOKUP($S$550,'TAR FIN'!$A$1:$O$93,15,0)),0,VLOOKUP($S$550,'TAR FIN'!$A$1:$O$93,15,0))</f>
        <v>0</v>
      </c>
      <c r="W550" s="6">
        <f>IF(ISERROR(VLOOKUP($T$550,'TAR FIN'!$A$1:$O$93,15,0)),0,VLOOKUP($T$550,'TAR FIN'!$A$1:$O$93,15,0))</f>
        <v>240.16</v>
      </c>
      <c r="X550" s="6">
        <f>IF(ISERROR(VLOOKUP($U$550,'TAR FIN'!$A$1:$O$93,15,0)),0,VLOOKUP($U$550,'TAR FIN'!$A$1:$O$93,15,0))</f>
        <v>162.96</v>
      </c>
      <c r="Y550" s="6"/>
      <c r="Z550" s="6">
        <f ca="1">('TUSD BE'!$AM$37+'TUSD BF'!$AM$37+'TUSD CVA'!$AM$37)*(1-CUSTOS!$M$38)</f>
        <v>274.6365589659128</v>
      </c>
      <c r="AA550" s="6">
        <f>('TE BE'!$AB$26+'TE BF'!$AB$26+'TE CVA'!$AB$26)*(1-CUSTOS!$M$38)</f>
        <v>186.29103092878736</v>
      </c>
      <c r="AB550" s="6">
        <f t="shared" si="24"/>
        <v>0</v>
      </c>
      <c r="AC550" s="6">
        <f>(L550-M550)*(W550+X550)+($W$393+$X$393-$W$550-$X$550)*(L550)</f>
        <v>-12836.099670000007</v>
      </c>
      <c r="AD550" s="6">
        <f t="shared" si="25"/>
        <v>0</v>
      </c>
      <c r="AE550" s="6">
        <f ca="1">(L550-M550)*(Z550+AA550)+($Z$393+$AA$393-$Z$550-$AA$550)*(L550)</f>
        <v>-6870.1061134405254</v>
      </c>
      <c r="AF550" s="4" t="s">
        <v>638</v>
      </c>
    </row>
    <row r="551" spans="1:32" ht="11.25" customHeight="1" x14ac:dyDescent="0.25">
      <c r="A551" s="4" t="s">
        <v>28</v>
      </c>
      <c r="B551" s="4" t="s">
        <v>41</v>
      </c>
      <c r="C551" s="4" t="s">
        <v>23</v>
      </c>
      <c r="D551" s="4" t="s">
        <v>42</v>
      </c>
      <c r="E551" s="4" t="s">
        <v>25</v>
      </c>
      <c r="F551" s="4" t="s">
        <v>25</v>
      </c>
      <c r="G551" s="4" t="s">
        <v>25</v>
      </c>
      <c r="H551" s="4" t="s">
        <v>25</v>
      </c>
      <c r="I551" s="5">
        <v>44593</v>
      </c>
      <c r="J551" s="6">
        <v>0</v>
      </c>
      <c r="K551" s="6">
        <v>0</v>
      </c>
      <c r="L551" s="6">
        <v>378.44400000000002</v>
      </c>
      <c r="M551" s="6">
        <v>378.44400000000002</v>
      </c>
      <c r="N551" s="6">
        <v>378.44400000000002</v>
      </c>
      <c r="O551" s="6">
        <v>378.44400000000002</v>
      </c>
      <c r="P551" s="6">
        <v>920</v>
      </c>
      <c r="Q551" s="4" t="s">
        <v>26</v>
      </c>
      <c r="R551" s="4">
        <v>0</v>
      </c>
      <c r="S551" s="4">
        <v>0</v>
      </c>
      <c r="T551" s="4">
        <v>40</v>
      </c>
      <c r="U551" s="4">
        <v>78</v>
      </c>
      <c r="V551" s="6">
        <f>IF(ISERROR(VLOOKUP($S$551,'TAR FIN'!$A$1:$O$93,15,0)),0,VLOOKUP($S$551,'TAR FIN'!$A$1:$O$93,15,0))</f>
        <v>0</v>
      </c>
      <c r="W551" s="6">
        <f>IF(ISERROR(VLOOKUP($T$551,'TAR FIN'!$A$1:$O$93,15,0)),0,VLOOKUP($T$551,'TAR FIN'!$A$1:$O$93,15,0))</f>
        <v>240.16</v>
      </c>
      <c r="X551" s="6">
        <f>IF(ISERROR(VLOOKUP($U$551,'TAR FIN'!$A$1:$O$93,15,0)),0,VLOOKUP($U$551,'TAR FIN'!$A$1:$O$93,15,0))</f>
        <v>162.96</v>
      </c>
      <c r="Y551" s="6"/>
      <c r="Z551" s="6">
        <f ca="1">('TUSD BE'!$AM$37+'TUSD BF'!$AM$37+'TUSD CVA'!$AM$37)*(1-CUSTOS!$M$38)</f>
        <v>274.6365589659128</v>
      </c>
      <c r="AA551" s="6">
        <f>('TE BE'!$AB$26+'TE BF'!$AB$26+'TE CVA'!$AB$26)*(1-CUSTOS!$M$38)</f>
        <v>186.29103092878736</v>
      </c>
      <c r="AB551" s="6">
        <f t="shared" si="24"/>
        <v>0</v>
      </c>
      <c r="AC551" s="6">
        <f>(L551-M551)*(W551+X551)+($W$393+$X$393-$W$551-$X$551)*(L551)</f>
        <v>20803.066680000011</v>
      </c>
      <c r="AD551" s="6">
        <f t="shared" si="25"/>
        <v>0</v>
      </c>
      <c r="AE551" s="6">
        <f ca="1">(L551-M551)*(Z551+AA551)+($Z$393+$AA$393-$Z$551-$AA$551)*(L551)</f>
        <v>11134.166861496402</v>
      </c>
      <c r="AF551" s="4" t="s">
        <v>638</v>
      </c>
    </row>
    <row r="552" spans="1:32" ht="11.25" customHeight="1" x14ac:dyDescent="0.25">
      <c r="A552" s="4" t="s">
        <v>28</v>
      </c>
      <c r="B552" s="4" t="s">
        <v>41</v>
      </c>
      <c r="C552" s="4" t="s">
        <v>23</v>
      </c>
      <c r="D552" s="4" t="s">
        <v>42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44593</v>
      </c>
      <c r="J552" s="6">
        <v>0</v>
      </c>
      <c r="K552" s="6">
        <v>0</v>
      </c>
      <c r="L552" s="6">
        <v>-19.927</v>
      </c>
      <c r="M552" s="6">
        <v>-19.927</v>
      </c>
      <c r="N552" s="6">
        <v>-19.927</v>
      </c>
      <c r="O552" s="6">
        <v>-19.927</v>
      </c>
      <c r="P552" s="6">
        <v>-6</v>
      </c>
      <c r="Q552" s="4" t="s">
        <v>26</v>
      </c>
      <c r="R552" s="4">
        <v>0</v>
      </c>
      <c r="S552" s="4">
        <v>0</v>
      </c>
      <c r="T552" s="4">
        <v>40</v>
      </c>
      <c r="U552" s="4">
        <v>78</v>
      </c>
      <c r="V552" s="6">
        <f>IF(ISERROR(VLOOKUP($S$552,'TAR FIN'!$A$1:$O$93,15,0)),0,VLOOKUP($S$552,'TAR FIN'!$A$1:$O$93,15,0))</f>
        <v>0</v>
      </c>
      <c r="W552" s="6">
        <f>IF(ISERROR(VLOOKUP($T$552,'TAR FIN'!$A$1:$O$93,15,0)),0,VLOOKUP($T$552,'TAR FIN'!$A$1:$O$93,15,0))</f>
        <v>240.16</v>
      </c>
      <c r="X552" s="6">
        <f>IF(ISERROR(VLOOKUP($U$552,'TAR FIN'!$A$1:$O$93,15,0)),0,VLOOKUP($U$552,'TAR FIN'!$A$1:$O$93,15,0))</f>
        <v>162.96</v>
      </c>
      <c r="Y552" s="6"/>
      <c r="Z552" s="6">
        <f ca="1">('TUSD BE'!$AM$37+'TUSD BF'!$AM$37+'TUSD CVA'!$AM$37)*(1-CUSTOS!$M$38)</f>
        <v>274.6365589659128</v>
      </c>
      <c r="AA552" s="6">
        <f>('TE BE'!$AB$26+'TE BF'!$AB$26+'TE CVA'!$AB$26)*(1-CUSTOS!$M$38)</f>
        <v>186.29103092878736</v>
      </c>
      <c r="AB552" s="6">
        <f t="shared" si="24"/>
        <v>0</v>
      </c>
      <c r="AC552" s="6">
        <f>(L552-M552)*(W552+X552)+($W$393+$X$393-$W$552-$X$552)*(L552)</f>
        <v>-1095.3871900000006</v>
      </c>
      <c r="AD552" s="6">
        <f t="shared" si="25"/>
        <v>0</v>
      </c>
      <c r="AE552" s="6">
        <f ca="1">(L552-M552)*(Z552+AA552)+($Z$393+$AA$393-$Z$552-$AA$552)*(L552)</f>
        <v>-586.2704734360666</v>
      </c>
      <c r="AF552" s="4" t="s">
        <v>638</v>
      </c>
    </row>
    <row r="553" spans="1:32" ht="11.25" customHeight="1" x14ac:dyDescent="0.25">
      <c r="A553" s="4" t="s">
        <v>21</v>
      </c>
      <c r="B553" s="4" t="s">
        <v>41</v>
      </c>
      <c r="C553" s="4" t="s">
        <v>23</v>
      </c>
      <c r="D553" s="4" t="s">
        <v>42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44621</v>
      </c>
      <c r="J553" s="6">
        <v>0</v>
      </c>
      <c r="K553" s="6">
        <v>0</v>
      </c>
      <c r="L553" s="6">
        <v>15254.337</v>
      </c>
      <c r="M553" s="6">
        <v>15254.337</v>
      </c>
      <c r="N553" s="6">
        <v>15254.337</v>
      </c>
      <c r="O553" s="6">
        <v>15254.337</v>
      </c>
      <c r="P553" s="6">
        <v>38227</v>
      </c>
      <c r="Q553" s="4" t="s">
        <v>26</v>
      </c>
      <c r="R553" s="4">
        <v>0</v>
      </c>
      <c r="S553" s="4">
        <v>0</v>
      </c>
      <c r="T553" s="4">
        <v>40</v>
      </c>
      <c r="U553" s="4">
        <v>78</v>
      </c>
      <c r="V553" s="6">
        <f>IF(ISERROR(VLOOKUP($S$553,'TAR FIN'!$A$1:$O$93,15,0)),0,VLOOKUP($S$553,'TAR FIN'!$A$1:$O$93,15,0))</f>
        <v>0</v>
      </c>
      <c r="W553" s="6">
        <f>IF(ISERROR(VLOOKUP($T$553,'TAR FIN'!$A$1:$O$93,15,0)),0,VLOOKUP($T$553,'TAR FIN'!$A$1:$O$93,15,0))</f>
        <v>240.16</v>
      </c>
      <c r="X553" s="6">
        <f>IF(ISERROR(VLOOKUP($U$553,'TAR FIN'!$A$1:$O$93,15,0)),0,VLOOKUP($U$553,'TAR FIN'!$A$1:$O$93,15,0))</f>
        <v>162.96</v>
      </c>
      <c r="Y553" s="6"/>
      <c r="Z553" s="6">
        <f ca="1">('TUSD BE'!$AM$37+'TUSD BF'!$AM$37+'TUSD CVA'!$AM$37)*(1-CUSTOS!$M$38)</f>
        <v>274.6365589659128</v>
      </c>
      <c r="AA553" s="6">
        <f>('TE BE'!$AB$26+'TE BF'!$AB$26+'TE CVA'!$AB$26)*(1-CUSTOS!$M$38)</f>
        <v>186.29103092878736</v>
      </c>
      <c r="AB553" s="6">
        <f t="shared" si="24"/>
        <v>0</v>
      </c>
      <c r="AC553" s="6">
        <f>(L553-M553)*(W553+X553)+($W$393+$X$393-$W$553-$X$553)*(L553)</f>
        <v>838530.90489000035</v>
      </c>
      <c r="AD553" s="6">
        <f t="shared" si="25"/>
        <v>0</v>
      </c>
      <c r="AE553" s="6">
        <f ca="1">(L553-M553)*(Z553+AA553)+($Z$393+$AA$393-$Z$553-$AA$553)*(L553)</f>
        <v>448796.47588414251</v>
      </c>
      <c r="AF553" s="4" t="s">
        <v>638</v>
      </c>
    </row>
    <row r="554" spans="1:32" ht="11.25" customHeight="1" x14ac:dyDescent="0.25">
      <c r="A554" s="4" t="s">
        <v>27</v>
      </c>
      <c r="B554" s="4" t="s">
        <v>41</v>
      </c>
      <c r="C554" s="4" t="s">
        <v>23</v>
      </c>
      <c r="D554" s="4" t="s">
        <v>42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44621</v>
      </c>
      <c r="J554" s="6">
        <v>0</v>
      </c>
      <c r="K554" s="6">
        <v>0</v>
      </c>
      <c r="L554" s="6">
        <v>-19.346</v>
      </c>
      <c r="M554" s="6">
        <v>-19.346</v>
      </c>
      <c r="N554" s="6">
        <v>-19.346</v>
      </c>
      <c r="O554" s="6">
        <v>-19.346</v>
      </c>
      <c r="P554" s="6">
        <v>-33</v>
      </c>
      <c r="Q554" s="4" t="s">
        <v>26</v>
      </c>
      <c r="R554" s="4">
        <v>0</v>
      </c>
      <c r="S554" s="4">
        <v>0</v>
      </c>
      <c r="T554" s="4">
        <v>40</v>
      </c>
      <c r="U554" s="4">
        <v>78</v>
      </c>
      <c r="V554" s="6">
        <f>IF(ISERROR(VLOOKUP($S$554,'TAR FIN'!$A$1:$O$93,15,0)),0,VLOOKUP($S$554,'TAR FIN'!$A$1:$O$93,15,0))</f>
        <v>0</v>
      </c>
      <c r="W554" s="6">
        <f>IF(ISERROR(VLOOKUP($T$554,'TAR FIN'!$A$1:$O$93,15,0)),0,VLOOKUP($T$554,'TAR FIN'!$A$1:$O$93,15,0))</f>
        <v>240.16</v>
      </c>
      <c r="X554" s="6">
        <f>IF(ISERROR(VLOOKUP($U$554,'TAR FIN'!$A$1:$O$93,15,0)),0,VLOOKUP($U$554,'TAR FIN'!$A$1:$O$93,15,0))</f>
        <v>162.96</v>
      </c>
      <c r="Y554" s="6"/>
      <c r="Z554" s="6">
        <f ca="1">('TUSD BE'!$AM$37+'TUSD BF'!$AM$37+'TUSD CVA'!$AM$37)*(1-CUSTOS!$M$38)</f>
        <v>274.6365589659128</v>
      </c>
      <c r="AA554" s="6">
        <f>('TE BE'!$AB$26+'TE BF'!$AB$26+'TE CVA'!$AB$26)*(1-CUSTOS!$M$38)</f>
        <v>186.29103092878736</v>
      </c>
      <c r="AB554" s="6">
        <f t="shared" si="24"/>
        <v>0</v>
      </c>
      <c r="AC554" s="6">
        <f>(L554-M554)*(W554+X554)+($W$393+$X$393-$W$554-$X$554)*(L554)</f>
        <v>-1063.4496200000006</v>
      </c>
      <c r="AD554" s="6">
        <f t="shared" si="25"/>
        <v>0</v>
      </c>
      <c r="AE554" s="6">
        <f ca="1">(L554-M554)*(Z554+AA554)+($Z$393+$AA$393-$Z$554-$AA$554)*(L554)</f>
        <v>-569.17692472997157</v>
      </c>
      <c r="AF554" s="4" t="s">
        <v>638</v>
      </c>
    </row>
    <row r="555" spans="1:32" ht="11.25" customHeight="1" x14ac:dyDescent="0.25">
      <c r="A555" s="4" t="s">
        <v>28</v>
      </c>
      <c r="B555" s="4" t="s">
        <v>41</v>
      </c>
      <c r="C555" s="4" t="s">
        <v>23</v>
      </c>
      <c r="D555" s="4" t="s">
        <v>42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44621</v>
      </c>
      <c r="J555" s="6">
        <v>0</v>
      </c>
      <c r="K555" s="6">
        <v>0</v>
      </c>
      <c r="L555" s="6">
        <v>363.209</v>
      </c>
      <c r="M555" s="6">
        <v>363.209</v>
      </c>
      <c r="N555" s="6">
        <v>363.209</v>
      </c>
      <c r="O555" s="6">
        <v>363.209</v>
      </c>
      <c r="P555" s="6">
        <v>991</v>
      </c>
      <c r="Q555" s="4" t="s">
        <v>26</v>
      </c>
      <c r="R555" s="4">
        <v>0</v>
      </c>
      <c r="S555" s="4">
        <v>0</v>
      </c>
      <c r="T555" s="4">
        <v>40</v>
      </c>
      <c r="U555" s="4">
        <v>78</v>
      </c>
      <c r="V555" s="6">
        <f>IF(ISERROR(VLOOKUP($S$555,'TAR FIN'!$A$1:$O$93,15,0)),0,VLOOKUP($S$555,'TAR FIN'!$A$1:$O$93,15,0))</f>
        <v>0</v>
      </c>
      <c r="W555" s="6">
        <f>IF(ISERROR(VLOOKUP($T$555,'TAR FIN'!$A$1:$O$93,15,0)),0,VLOOKUP($T$555,'TAR FIN'!$A$1:$O$93,15,0))</f>
        <v>240.16</v>
      </c>
      <c r="X555" s="6">
        <f>IF(ISERROR(VLOOKUP($U$555,'TAR FIN'!$A$1:$O$93,15,0)),0,VLOOKUP($U$555,'TAR FIN'!$A$1:$O$93,15,0))</f>
        <v>162.96</v>
      </c>
      <c r="Y555" s="6"/>
      <c r="Z555" s="6">
        <f ca="1">('TUSD BE'!$AM$37+'TUSD BF'!$AM$37+'TUSD CVA'!$AM$37)*(1-CUSTOS!$M$38)</f>
        <v>274.6365589659128</v>
      </c>
      <c r="AA555" s="6">
        <f>('TE BE'!$AB$26+'TE BF'!$AB$26+'TE CVA'!$AB$26)*(1-CUSTOS!$M$38)</f>
        <v>186.29103092878736</v>
      </c>
      <c r="AB555" s="6">
        <f t="shared" si="24"/>
        <v>0</v>
      </c>
      <c r="AC555" s="6">
        <f>(L555-M555)*(W555+X555)+($W$393+$X$393-$W$555-$X$555)*(L555)</f>
        <v>19965.598730000009</v>
      </c>
      <c r="AD555" s="6">
        <f t="shared" si="25"/>
        <v>0</v>
      </c>
      <c r="AE555" s="6">
        <f ca="1">(L555-M555)*(Z555+AA555)+($Z$393+$AA$393-$Z$555-$AA$555)*(L555)</f>
        <v>10685.939297748799</v>
      </c>
      <c r="AF555" s="4" t="s">
        <v>638</v>
      </c>
    </row>
    <row r="556" spans="1:32" ht="11.25" customHeight="1" x14ac:dyDescent="0.25">
      <c r="A556" s="4" t="s">
        <v>28</v>
      </c>
      <c r="B556" s="4" t="s">
        <v>41</v>
      </c>
      <c r="C556" s="4" t="s">
        <v>23</v>
      </c>
      <c r="D556" s="4" t="s">
        <v>42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44621</v>
      </c>
      <c r="J556" s="6">
        <v>0</v>
      </c>
      <c r="K556" s="6">
        <v>0</v>
      </c>
      <c r="L556" s="6">
        <v>-2.9689999999999999</v>
      </c>
      <c r="M556" s="6">
        <v>-2.9689999999999999</v>
      </c>
      <c r="N556" s="6">
        <v>-2.9689999999999999</v>
      </c>
      <c r="O556" s="6">
        <v>-2.9689999999999999</v>
      </c>
      <c r="P556" s="6">
        <v>-3</v>
      </c>
      <c r="Q556" s="4" t="s">
        <v>26</v>
      </c>
      <c r="R556" s="4">
        <v>0</v>
      </c>
      <c r="S556" s="4">
        <v>0</v>
      </c>
      <c r="T556" s="4">
        <v>40</v>
      </c>
      <c r="U556" s="4">
        <v>78</v>
      </c>
      <c r="V556" s="6">
        <f>IF(ISERROR(VLOOKUP($S$556,'TAR FIN'!$A$1:$O$93,15,0)),0,VLOOKUP($S$556,'TAR FIN'!$A$1:$O$93,15,0))</f>
        <v>0</v>
      </c>
      <c r="W556" s="6">
        <f>IF(ISERROR(VLOOKUP($T$556,'TAR FIN'!$A$1:$O$93,15,0)),0,VLOOKUP($T$556,'TAR FIN'!$A$1:$O$93,15,0))</f>
        <v>240.16</v>
      </c>
      <c r="X556" s="6">
        <f>IF(ISERROR(VLOOKUP($U$556,'TAR FIN'!$A$1:$O$93,15,0)),0,VLOOKUP($U$556,'TAR FIN'!$A$1:$O$93,15,0))</f>
        <v>162.96</v>
      </c>
      <c r="Y556" s="6"/>
      <c r="Z556" s="6">
        <f ca="1">('TUSD BE'!$AM$37+'TUSD BF'!$AM$37+'TUSD CVA'!$AM$37)*(1-CUSTOS!$M$38)</f>
        <v>274.6365589659128</v>
      </c>
      <c r="AA556" s="6">
        <f>('TE BE'!$AB$26+'TE BF'!$AB$26+'TE CVA'!$AB$26)*(1-CUSTOS!$M$38)</f>
        <v>186.29103092878736</v>
      </c>
      <c r="AB556" s="6">
        <f t="shared" si="24"/>
        <v>0</v>
      </c>
      <c r="AC556" s="6">
        <f>(L556-M556)*(W556+X556)+($W$393+$X$393-$W$556-$X$556)*(L556)</f>
        <v>-163.20593000000008</v>
      </c>
      <c r="AD556" s="6">
        <f t="shared" si="25"/>
        <v>0</v>
      </c>
      <c r="AE556" s="6">
        <f ca="1">(L556-M556)*(Z556+AA556)+($Z$393+$AA$393-$Z$556-$AA$556)*(L556)</f>
        <v>-87.350681770044744</v>
      </c>
      <c r="AF556" s="4" t="s">
        <v>638</v>
      </c>
    </row>
    <row r="557" spans="1:32" ht="11.25" customHeight="1" x14ac:dyDescent="0.25">
      <c r="A557" s="4" t="s">
        <v>21</v>
      </c>
      <c r="B557" s="4" t="s">
        <v>41</v>
      </c>
      <c r="C557" s="4" t="s">
        <v>23</v>
      </c>
      <c r="D557" s="4" t="s">
        <v>42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44652</v>
      </c>
      <c r="J557" s="6">
        <v>0</v>
      </c>
      <c r="K557" s="6">
        <v>0</v>
      </c>
      <c r="L557" s="6">
        <v>14589.105</v>
      </c>
      <c r="M557" s="6">
        <v>14589.105</v>
      </c>
      <c r="N557" s="6">
        <v>14589.105</v>
      </c>
      <c r="O557" s="6">
        <v>14589.105</v>
      </c>
      <c r="P557" s="6">
        <v>38180</v>
      </c>
      <c r="Q557" s="4" t="s">
        <v>26</v>
      </c>
      <c r="R557" s="4">
        <v>0</v>
      </c>
      <c r="S557" s="4">
        <v>0</v>
      </c>
      <c r="T557" s="4">
        <v>40</v>
      </c>
      <c r="U557" s="4">
        <v>78</v>
      </c>
      <c r="V557" s="6">
        <f>IF(ISERROR(VLOOKUP($S$557,'TAR FIN'!$A$1:$O$93,15,0)),0,VLOOKUP($S$557,'TAR FIN'!$A$1:$O$93,15,0))</f>
        <v>0</v>
      </c>
      <c r="W557" s="6">
        <f>IF(ISERROR(VLOOKUP($T$557,'TAR FIN'!$A$1:$O$93,15,0)),0,VLOOKUP($T$557,'TAR FIN'!$A$1:$O$93,15,0))</f>
        <v>240.16</v>
      </c>
      <c r="X557" s="6">
        <f>IF(ISERROR(VLOOKUP($U$557,'TAR FIN'!$A$1:$O$93,15,0)),0,VLOOKUP($U$557,'TAR FIN'!$A$1:$O$93,15,0))</f>
        <v>162.96</v>
      </c>
      <c r="Y557" s="6"/>
      <c r="Z557" s="6">
        <f ca="1">('TUSD BE'!$AM$37+'TUSD BF'!$AM$37+'TUSD CVA'!$AM$37)*(1-CUSTOS!$M$38)</f>
        <v>274.6365589659128</v>
      </c>
      <c r="AA557" s="6">
        <f>('TE BE'!$AB$26+'TE BF'!$AB$26+'TE CVA'!$AB$26)*(1-CUSTOS!$M$38)</f>
        <v>186.29103092878736</v>
      </c>
      <c r="AB557" s="6">
        <f t="shared" si="24"/>
        <v>0</v>
      </c>
      <c r="AC557" s="6">
        <f>(L557-M557)*(W557+X557)+($W$393+$X$393-$W$557-$X$557)*(L557)</f>
        <v>801963.10185000033</v>
      </c>
      <c r="AD557" s="6">
        <f t="shared" si="25"/>
        <v>0</v>
      </c>
      <c r="AE557" s="6">
        <f ca="1">(L557-M557)*(Z557+AA557)+($Z$393+$AA$393-$Z$557-$AA$557)*(L557)</f>
        <v>429224.74508749368</v>
      </c>
      <c r="AF557" s="4" t="s">
        <v>638</v>
      </c>
    </row>
    <row r="558" spans="1:32" ht="11.25" customHeight="1" x14ac:dyDescent="0.25">
      <c r="A558" s="4" t="s">
        <v>27</v>
      </c>
      <c r="B558" s="4" t="s">
        <v>41</v>
      </c>
      <c r="C558" s="4" t="s">
        <v>23</v>
      </c>
      <c r="D558" s="4" t="s">
        <v>42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44652</v>
      </c>
      <c r="J558" s="6">
        <v>0</v>
      </c>
      <c r="K558" s="6">
        <v>0</v>
      </c>
      <c r="L558" s="6">
        <v>-113.94499999999999</v>
      </c>
      <c r="M558" s="6">
        <v>-113.94499999999999</v>
      </c>
      <c r="N558" s="6">
        <v>-113.94499999999999</v>
      </c>
      <c r="O558" s="6">
        <v>-113.94499999999999</v>
      </c>
      <c r="P558" s="6">
        <v>-58</v>
      </c>
      <c r="Q558" s="4" t="s">
        <v>26</v>
      </c>
      <c r="R558" s="4">
        <v>0</v>
      </c>
      <c r="S558" s="4">
        <v>0</v>
      </c>
      <c r="T558" s="4">
        <v>40</v>
      </c>
      <c r="U558" s="4">
        <v>78</v>
      </c>
      <c r="V558" s="6">
        <f>IF(ISERROR(VLOOKUP($S$558,'TAR FIN'!$A$1:$O$93,15,0)),0,VLOOKUP($S$558,'TAR FIN'!$A$1:$O$93,15,0))</f>
        <v>0</v>
      </c>
      <c r="W558" s="6">
        <f>IF(ISERROR(VLOOKUP($T$558,'TAR FIN'!$A$1:$O$93,15,0)),0,VLOOKUP($T$558,'TAR FIN'!$A$1:$O$93,15,0))</f>
        <v>240.16</v>
      </c>
      <c r="X558" s="6">
        <f>IF(ISERROR(VLOOKUP($U$558,'TAR FIN'!$A$1:$O$93,15,0)),0,VLOOKUP($U$558,'TAR FIN'!$A$1:$O$93,15,0))</f>
        <v>162.96</v>
      </c>
      <c r="Y558" s="6"/>
      <c r="Z558" s="6">
        <f ca="1">('TUSD BE'!$AM$37+'TUSD BF'!$AM$37+'TUSD CVA'!$AM$37)*(1-CUSTOS!$M$38)</f>
        <v>274.6365589659128</v>
      </c>
      <c r="AA558" s="6">
        <f>('TE BE'!$AB$26+'TE BF'!$AB$26+'TE CVA'!$AB$26)*(1-CUSTOS!$M$38)</f>
        <v>186.29103092878736</v>
      </c>
      <c r="AB558" s="6">
        <f t="shared" si="24"/>
        <v>0</v>
      </c>
      <c r="AC558" s="6">
        <f>(L558-M558)*(W558+X558)+($W$393+$X$393-$W$558-$X$558)*(L558)</f>
        <v>-6263.5566500000032</v>
      </c>
      <c r="AD558" s="6">
        <f t="shared" si="25"/>
        <v>0</v>
      </c>
      <c r="AE558" s="6">
        <f ca="1">(L558-M558)*(Z558+AA558)+($Z$393+$AA$393-$Z$558-$AA$558)*(L558)</f>
        <v>-3352.3655891841522</v>
      </c>
      <c r="AF558" s="4" t="s">
        <v>638</v>
      </c>
    </row>
    <row r="559" spans="1:32" ht="11.25" customHeight="1" x14ac:dyDescent="0.25">
      <c r="A559" s="4" t="s">
        <v>28</v>
      </c>
      <c r="B559" s="4" t="s">
        <v>41</v>
      </c>
      <c r="C559" s="4" t="s">
        <v>23</v>
      </c>
      <c r="D559" s="4" t="s">
        <v>42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44652</v>
      </c>
      <c r="J559" s="6">
        <v>0</v>
      </c>
      <c r="K559" s="6">
        <v>0</v>
      </c>
      <c r="L559" s="6">
        <v>415.89499999999998</v>
      </c>
      <c r="M559" s="6">
        <v>415.89499999999998</v>
      </c>
      <c r="N559" s="6">
        <v>415.89499999999998</v>
      </c>
      <c r="O559" s="6">
        <v>415.89499999999998</v>
      </c>
      <c r="P559" s="6">
        <v>1083</v>
      </c>
      <c r="Q559" s="4" t="s">
        <v>26</v>
      </c>
      <c r="R559" s="4">
        <v>0</v>
      </c>
      <c r="S559" s="4">
        <v>0</v>
      </c>
      <c r="T559" s="4">
        <v>40</v>
      </c>
      <c r="U559" s="4">
        <v>78</v>
      </c>
      <c r="V559" s="6">
        <f>IF(ISERROR(VLOOKUP($S$559,'TAR FIN'!$A$1:$O$93,15,0)),0,VLOOKUP($S$559,'TAR FIN'!$A$1:$O$93,15,0))</f>
        <v>0</v>
      </c>
      <c r="W559" s="6">
        <f>IF(ISERROR(VLOOKUP($T$559,'TAR FIN'!$A$1:$O$93,15,0)),0,VLOOKUP($T$559,'TAR FIN'!$A$1:$O$93,15,0))</f>
        <v>240.16</v>
      </c>
      <c r="X559" s="6">
        <f>IF(ISERROR(VLOOKUP($U$559,'TAR FIN'!$A$1:$O$93,15,0)),0,VLOOKUP($U$559,'TAR FIN'!$A$1:$O$93,15,0))</f>
        <v>162.96</v>
      </c>
      <c r="Y559" s="6"/>
      <c r="Z559" s="6">
        <f ca="1">('TUSD BE'!$AM$37+'TUSD BF'!$AM$37+'TUSD CVA'!$AM$37)*(1-CUSTOS!$M$38)</f>
        <v>274.6365589659128</v>
      </c>
      <c r="AA559" s="6">
        <f>('TE BE'!$AB$26+'TE BF'!$AB$26+'TE CVA'!$AB$26)*(1-CUSTOS!$M$38)</f>
        <v>186.29103092878736</v>
      </c>
      <c r="AB559" s="6">
        <f t="shared" si="24"/>
        <v>0</v>
      </c>
      <c r="AC559" s="6">
        <f>(L559-M559)*(W559+X559)+($W$393+$X$393-$W$559-$X$559)*(L559)</f>
        <v>22861.74815000001</v>
      </c>
      <c r="AD559" s="6">
        <f t="shared" si="25"/>
        <v>0</v>
      </c>
      <c r="AE559" s="6">
        <f ca="1">(L559-M559)*(Z559+AA559)+($Z$393+$AA$393-$Z$559-$AA$559)*(L559)</f>
        <v>12236.009361654686</v>
      </c>
      <c r="AF559" s="4" t="s">
        <v>638</v>
      </c>
    </row>
    <row r="560" spans="1:32" ht="11.25" customHeight="1" x14ac:dyDescent="0.25">
      <c r="A560" s="4" t="s">
        <v>28</v>
      </c>
      <c r="B560" s="4" t="s">
        <v>41</v>
      </c>
      <c r="C560" s="4" t="s">
        <v>23</v>
      </c>
      <c r="D560" s="4" t="s">
        <v>42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44652</v>
      </c>
      <c r="J560" s="6">
        <v>0</v>
      </c>
      <c r="K560" s="6">
        <v>0</v>
      </c>
      <c r="L560" s="6">
        <v>-141.548</v>
      </c>
      <c r="M560" s="6">
        <v>-141.548</v>
      </c>
      <c r="N560" s="6">
        <v>-141.548</v>
      </c>
      <c r="O560" s="6">
        <v>-141.548</v>
      </c>
      <c r="P560" s="6">
        <v>0</v>
      </c>
      <c r="Q560" s="4" t="s">
        <v>26</v>
      </c>
      <c r="R560" s="4">
        <v>0</v>
      </c>
      <c r="S560" s="4">
        <v>0</v>
      </c>
      <c r="T560" s="4">
        <v>40</v>
      </c>
      <c r="U560" s="4">
        <v>78</v>
      </c>
      <c r="V560" s="6">
        <f>IF(ISERROR(VLOOKUP($S$560,'TAR FIN'!$A$1:$O$93,15,0)),0,VLOOKUP($S$560,'TAR FIN'!$A$1:$O$93,15,0))</f>
        <v>0</v>
      </c>
      <c r="W560" s="6">
        <f>IF(ISERROR(VLOOKUP($T$560,'TAR FIN'!$A$1:$O$93,15,0)),0,VLOOKUP($T$560,'TAR FIN'!$A$1:$O$93,15,0))</f>
        <v>240.16</v>
      </c>
      <c r="X560" s="6">
        <f>IF(ISERROR(VLOOKUP($U$560,'TAR FIN'!$A$1:$O$93,15,0)),0,VLOOKUP($U$560,'TAR FIN'!$A$1:$O$93,15,0))</f>
        <v>162.96</v>
      </c>
      <c r="Y560" s="6"/>
      <c r="Z560" s="6">
        <f ca="1">('TUSD BE'!$AM$37+'TUSD BF'!$AM$37+'TUSD CVA'!$AM$37)*(1-CUSTOS!$M$38)</f>
        <v>274.6365589659128</v>
      </c>
      <c r="AA560" s="6">
        <f>('TE BE'!$AB$26+'TE BF'!$AB$26+'TE CVA'!$AB$26)*(1-CUSTOS!$M$38)</f>
        <v>186.29103092878736</v>
      </c>
      <c r="AB560" s="6">
        <f t="shared" si="24"/>
        <v>0</v>
      </c>
      <c r="AC560" s="6">
        <f>(L560-M560)*(W560+X560)+($W$393+$X$393-$W$560-$X$560)*(L560)</f>
        <v>-7780.8935600000041</v>
      </c>
      <c r="AD560" s="6">
        <f t="shared" si="25"/>
        <v>0</v>
      </c>
      <c r="AE560" s="6">
        <f ca="1">(L560-M560)*(Z560+AA560)+($Z$393+$AA$393-$Z$560-$AA$560)*(L560)</f>
        <v>-4164.4709677286273</v>
      </c>
      <c r="AF560" s="4" t="s">
        <v>638</v>
      </c>
    </row>
    <row r="561" spans="1:32" ht="11.25" customHeight="1" x14ac:dyDescent="0.25">
      <c r="A561" s="4" t="s">
        <v>21</v>
      </c>
      <c r="B561" s="4" t="s">
        <v>41</v>
      </c>
      <c r="C561" s="4" t="s">
        <v>23</v>
      </c>
      <c r="D561" s="4" t="s">
        <v>42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44682</v>
      </c>
      <c r="J561" s="6">
        <v>0</v>
      </c>
      <c r="K561" s="6">
        <v>0</v>
      </c>
      <c r="L561" s="6">
        <v>13509.707</v>
      </c>
      <c r="M561" s="6">
        <v>13509.707</v>
      </c>
      <c r="N561" s="6">
        <v>13509.707</v>
      </c>
      <c r="O561" s="6">
        <v>13509.707</v>
      </c>
      <c r="P561" s="6">
        <v>38176</v>
      </c>
      <c r="Q561" s="4" t="s">
        <v>26</v>
      </c>
      <c r="R561" s="4">
        <v>0</v>
      </c>
      <c r="S561" s="4">
        <v>0</v>
      </c>
      <c r="T561" s="4">
        <v>40</v>
      </c>
      <c r="U561" s="4">
        <v>78</v>
      </c>
      <c r="V561" s="6">
        <f>IF(ISERROR(VLOOKUP($S$561,'TAR FIN'!$A$1:$O$93,15,0)),0,VLOOKUP($S$561,'TAR FIN'!$A$1:$O$93,15,0))</f>
        <v>0</v>
      </c>
      <c r="W561" s="6">
        <f>IF(ISERROR(VLOOKUP($T$561,'TAR FIN'!$A$1:$O$93,15,0)),0,VLOOKUP($T$561,'TAR FIN'!$A$1:$O$93,15,0))</f>
        <v>240.16</v>
      </c>
      <c r="X561" s="6">
        <f>IF(ISERROR(VLOOKUP($U$561,'TAR FIN'!$A$1:$O$93,15,0)),0,VLOOKUP($U$561,'TAR FIN'!$A$1:$O$93,15,0))</f>
        <v>162.96</v>
      </c>
      <c r="Y561" s="6"/>
      <c r="Z561" s="6">
        <f ca="1">('TUSD BE'!$AM$37+'TUSD BF'!$AM$37+'TUSD CVA'!$AM$37)*(1-CUSTOS!$M$38)</f>
        <v>274.6365589659128</v>
      </c>
      <c r="AA561" s="6">
        <f>('TE BE'!$AB$26+'TE BF'!$AB$26+'TE CVA'!$AB$26)*(1-CUSTOS!$M$38)</f>
        <v>186.29103092878736</v>
      </c>
      <c r="AB561" s="6">
        <f t="shared" si="24"/>
        <v>0</v>
      </c>
      <c r="AC561" s="6">
        <f>(L561-M561)*(W561+X561)+($W$393+$X$393-$W$561-$X$561)*(L561)</f>
        <v>742628.59379000042</v>
      </c>
      <c r="AD561" s="6">
        <f t="shared" si="25"/>
        <v>0</v>
      </c>
      <c r="AE561" s="6">
        <f ca="1">(L561-M561)*(Z561+AA561)+($Z$393+$AA$393-$Z$561-$AA$561)*(L561)</f>
        <v>397467.87368256855</v>
      </c>
      <c r="AF561" s="4" t="s">
        <v>638</v>
      </c>
    </row>
    <row r="562" spans="1:32" ht="11.25" customHeight="1" x14ac:dyDescent="0.25">
      <c r="A562" s="4" t="s">
        <v>27</v>
      </c>
      <c r="B562" s="4" t="s">
        <v>41</v>
      </c>
      <c r="C562" s="4" t="s">
        <v>23</v>
      </c>
      <c r="D562" s="4" t="s">
        <v>42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44682</v>
      </c>
      <c r="J562" s="6">
        <v>0</v>
      </c>
      <c r="K562" s="6">
        <v>0</v>
      </c>
      <c r="L562" s="6">
        <v>-26.937999999999999</v>
      </c>
      <c r="M562" s="6">
        <v>-26.937999999999999</v>
      </c>
      <c r="N562" s="6">
        <v>-26.937999999999999</v>
      </c>
      <c r="O562" s="6">
        <v>-26.937999999999999</v>
      </c>
      <c r="P562" s="6">
        <v>-80</v>
      </c>
      <c r="Q562" s="4" t="s">
        <v>26</v>
      </c>
      <c r="R562" s="4">
        <v>0</v>
      </c>
      <c r="S562" s="4">
        <v>0</v>
      </c>
      <c r="T562" s="4">
        <v>40</v>
      </c>
      <c r="U562" s="4">
        <v>78</v>
      </c>
      <c r="V562" s="6">
        <f>IF(ISERROR(VLOOKUP($S$562,'TAR FIN'!$A$1:$O$93,15,0)),0,VLOOKUP($S$562,'TAR FIN'!$A$1:$O$93,15,0))</f>
        <v>0</v>
      </c>
      <c r="W562" s="6">
        <f>IF(ISERROR(VLOOKUP($T$562,'TAR FIN'!$A$1:$O$93,15,0)),0,VLOOKUP($T$562,'TAR FIN'!$A$1:$O$93,15,0))</f>
        <v>240.16</v>
      </c>
      <c r="X562" s="6">
        <f>IF(ISERROR(VLOOKUP($U$562,'TAR FIN'!$A$1:$O$93,15,0)),0,VLOOKUP($U$562,'TAR FIN'!$A$1:$O$93,15,0))</f>
        <v>162.96</v>
      </c>
      <c r="Y562" s="6"/>
      <c r="Z562" s="6">
        <f ca="1">('TUSD BE'!$AM$37+'TUSD BF'!$AM$37+'TUSD CVA'!$AM$37)*(1-CUSTOS!$M$38)</f>
        <v>274.6365589659128</v>
      </c>
      <c r="AA562" s="6">
        <f>('TE BE'!$AB$26+'TE BF'!$AB$26+'TE CVA'!$AB$26)*(1-CUSTOS!$M$38)</f>
        <v>186.29103092878736</v>
      </c>
      <c r="AB562" s="6">
        <f t="shared" si="24"/>
        <v>0</v>
      </c>
      <c r="AC562" s="6">
        <f>(L562-M562)*(W562+X562)+($W$393+$X$393-$W$562-$X$562)*(L562)</f>
        <v>-1480.7818600000007</v>
      </c>
      <c r="AD562" s="6">
        <f t="shared" si="25"/>
        <v>0</v>
      </c>
      <c r="AE562" s="6">
        <f ca="1">(L562-M562)*(Z562+AA562)+($Z$393+$AA$393-$Z$562-$AA$562)*(L562)</f>
        <v>-792.54047339894419</v>
      </c>
      <c r="AF562" s="4" t="s">
        <v>638</v>
      </c>
    </row>
    <row r="563" spans="1:32" ht="11.25" customHeight="1" x14ac:dyDescent="0.25">
      <c r="A563" s="4" t="s">
        <v>28</v>
      </c>
      <c r="B563" s="4" t="s">
        <v>41</v>
      </c>
      <c r="C563" s="4" t="s">
        <v>23</v>
      </c>
      <c r="D563" s="4" t="s">
        <v>42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44682</v>
      </c>
      <c r="J563" s="6">
        <v>0</v>
      </c>
      <c r="K563" s="6">
        <v>0</v>
      </c>
      <c r="L563" s="6">
        <v>484.18</v>
      </c>
      <c r="M563" s="6">
        <v>484.18</v>
      </c>
      <c r="N563" s="6">
        <v>484.18</v>
      </c>
      <c r="O563" s="6">
        <v>484.18</v>
      </c>
      <c r="P563" s="6">
        <v>1167</v>
      </c>
      <c r="Q563" s="4" t="s">
        <v>26</v>
      </c>
      <c r="R563" s="4">
        <v>0</v>
      </c>
      <c r="S563" s="4">
        <v>0</v>
      </c>
      <c r="T563" s="4">
        <v>40</v>
      </c>
      <c r="U563" s="4">
        <v>78</v>
      </c>
      <c r="V563" s="6">
        <f>IF(ISERROR(VLOOKUP($S$563,'TAR FIN'!$A$1:$O$93,15,0)),0,VLOOKUP($S$563,'TAR FIN'!$A$1:$O$93,15,0))</f>
        <v>0</v>
      </c>
      <c r="W563" s="6">
        <f>IF(ISERROR(VLOOKUP($T$563,'TAR FIN'!$A$1:$O$93,15,0)),0,VLOOKUP($T$563,'TAR FIN'!$A$1:$O$93,15,0))</f>
        <v>240.16</v>
      </c>
      <c r="X563" s="6">
        <f>IF(ISERROR(VLOOKUP($U$563,'TAR FIN'!$A$1:$O$93,15,0)),0,VLOOKUP($U$563,'TAR FIN'!$A$1:$O$93,15,0))</f>
        <v>162.96</v>
      </c>
      <c r="Y563" s="6"/>
      <c r="Z563" s="6">
        <f ca="1">('TUSD BE'!$AM$37+'TUSD BF'!$AM$37+'TUSD CVA'!$AM$37)*(1-CUSTOS!$M$38)</f>
        <v>274.6365589659128</v>
      </c>
      <c r="AA563" s="6">
        <f>('TE BE'!$AB$26+'TE BF'!$AB$26+'TE CVA'!$AB$26)*(1-CUSTOS!$M$38)</f>
        <v>186.29103092878736</v>
      </c>
      <c r="AB563" s="6">
        <f t="shared" si="24"/>
        <v>0</v>
      </c>
      <c r="AC563" s="6">
        <f>(L563-M563)*(W563+X563)+($W$393+$X$393-$W$563-$X$563)*(L563)</f>
        <v>26615.374600000014</v>
      </c>
      <c r="AD563" s="6">
        <f t="shared" si="25"/>
        <v>0</v>
      </c>
      <c r="AE563" s="6">
        <f ca="1">(L563-M563)*(Z563+AA563)+($Z$393+$AA$393-$Z$563-$AA$563)*(L563)</f>
        <v>14245.016200545728</v>
      </c>
      <c r="AF563" s="4" t="s">
        <v>638</v>
      </c>
    </row>
    <row r="564" spans="1:32" ht="11.25" customHeight="1" x14ac:dyDescent="0.25">
      <c r="A564" s="4" t="s">
        <v>28</v>
      </c>
      <c r="B564" s="4" t="s">
        <v>41</v>
      </c>
      <c r="C564" s="4" t="s">
        <v>23</v>
      </c>
      <c r="D564" s="4" t="s">
        <v>42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44682</v>
      </c>
      <c r="J564" s="6">
        <v>0</v>
      </c>
      <c r="K564" s="6">
        <v>0</v>
      </c>
      <c r="L564" s="6">
        <v>-1.546</v>
      </c>
      <c r="M564" s="6">
        <v>-1.546</v>
      </c>
      <c r="N564" s="6">
        <v>-1.546</v>
      </c>
      <c r="O564" s="6">
        <v>-1.546</v>
      </c>
      <c r="P564" s="6">
        <v>-3</v>
      </c>
      <c r="Q564" s="4" t="s">
        <v>26</v>
      </c>
      <c r="R564" s="4">
        <v>0</v>
      </c>
      <c r="S564" s="4">
        <v>0</v>
      </c>
      <c r="T564" s="4">
        <v>40</v>
      </c>
      <c r="U564" s="4">
        <v>78</v>
      </c>
      <c r="V564" s="6">
        <f>IF(ISERROR(VLOOKUP($S$564,'TAR FIN'!$A$1:$O$93,15,0)),0,VLOOKUP($S$564,'TAR FIN'!$A$1:$O$93,15,0))</f>
        <v>0</v>
      </c>
      <c r="W564" s="6">
        <f>IF(ISERROR(VLOOKUP($T$564,'TAR FIN'!$A$1:$O$93,15,0)),0,VLOOKUP($T$564,'TAR FIN'!$A$1:$O$93,15,0))</f>
        <v>240.16</v>
      </c>
      <c r="X564" s="6">
        <f>IF(ISERROR(VLOOKUP($U$564,'TAR FIN'!$A$1:$O$93,15,0)),0,VLOOKUP($U$564,'TAR FIN'!$A$1:$O$93,15,0))</f>
        <v>162.96</v>
      </c>
      <c r="Y564" s="6"/>
      <c r="Z564" s="6">
        <f ca="1">('TUSD BE'!$AM$37+'TUSD BF'!$AM$37+'TUSD CVA'!$AM$37)*(1-CUSTOS!$M$38)</f>
        <v>274.6365589659128</v>
      </c>
      <c r="AA564" s="6">
        <f>('TE BE'!$AB$26+'TE BF'!$AB$26+'TE CVA'!$AB$26)*(1-CUSTOS!$M$38)</f>
        <v>186.29103092878736</v>
      </c>
      <c r="AB564" s="6">
        <f t="shared" si="24"/>
        <v>0</v>
      </c>
      <c r="AC564" s="6">
        <f>(L564-M564)*(W564+X564)+($W$393+$X$393-$W$564-$X$564)*(L564)</f>
        <v>-84.983620000000045</v>
      </c>
      <c r="AD564" s="6">
        <f t="shared" si="25"/>
        <v>0</v>
      </c>
      <c r="AE564" s="6">
        <f ca="1">(L564-M564)*(Z564+AA564)+($Z$393+$AA$393-$Z$564-$AA$564)*(L564)</f>
        <v>-45.484726849609025</v>
      </c>
      <c r="AF564" s="4" t="s">
        <v>638</v>
      </c>
    </row>
    <row r="565" spans="1:32" ht="11.25" customHeight="1" x14ac:dyDescent="0.25">
      <c r="A565" s="4" t="s">
        <v>21</v>
      </c>
      <c r="B565" s="4" t="s">
        <v>41</v>
      </c>
      <c r="C565" s="4" t="s">
        <v>23</v>
      </c>
      <c r="D565" s="4" t="s">
        <v>42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44713</v>
      </c>
      <c r="J565" s="6">
        <v>0</v>
      </c>
      <c r="K565" s="6">
        <v>0</v>
      </c>
      <c r="L565" s="6">
        <v>13373.441999999999</v>
      </c>
      <c r="M565" s="6">
        <v>13373.441999999999</v>
      </c>
      <c r="N565" s="6">
        <v>13373.441999999999</v>
      </c>
      <c r="O565" s="6">
        <v>13373.441999999999</v>
      </c>
      <c r="P565" s="6">
        <v>38093</v>
      </c>
      <c r="Q565" s="4" t="s">
        <v>26</v>
      </c>
      <c r="R565" s="4">
        <v>0</v>
      </c>
      <c r="S565" s="4">
        <v>0</v>
      </c>
      <c r="T565" s="4">
        <v>40</v>
      </c>
      <c r="U565" s="4">
        <v>78</v>
      </c>
      <c r="V565" s="6">
        <f>IF(ISERROR(VLOOKUP($S$565,'TAR FIN'!$A$1:$O$93,15,0)),0,VLOOKUP($S$565,'TAR FIN'!$A$1:$O$93,15,0))</f>
        <v>0</v>
      </c>
      <c r="W565" s="6">
        <f>IF(ISERROR(VLOOKUP($T$565,'TAR FIN'!$A$1:$O$93,15,0)),0,VLOOKUP($T$565,'TAR FIN'!$A$1:$O$93,15,0))</f>
        <v>240.16</v>
      </c>
      <c r="X565" s="6">
        <f>IF(ISERROR(VLOOKUP($U$565,'TAR FIN'!$A$1:$O$93,15,0)),0,VLOOKUP($U$565,'TAR FIN'!$A$1:$O$93,15,0))</f>
        <v>162.96</v>
      </c>
      <c r="Y565" s="6"/>
      <c r="Z565" s="6">
        <f ca="1">('TUSD BE'!$AM$37+'TUSD BF'!$AM$37+'TUSD CVA'!$AM$37)*(1-CUSTOS!$M$38)</f>
        <v>274.6365589659128</v>
      </c>
      <c r="AA565" s="6">
        <f>('TE BE'!$AB$26+'TE BF'!$AB$26+'TE CVA'!$AB$26)*(1-CUSTOS!$M$38)</f>
        <v>186.29103092878736</v>
      </c>
      <c r="AB565" s="6">
        <f t="shared" si="24"/>
        <v>0</v>
      </c>
      <c r="AC565" s="6">
        <f>(L565-M565)*(W565+X565)+($W$393+$X$393-$W$565-$X$565)*(L565)</f>
        <v>735138.10674000031</v>
      </c>
      <c r="AD565" s="6">
        <f t="shared" si="25"/>
        <v>0</v>
      </c>
      <c r="AE565" s="6">
        <f ca="1">(L565-M565)*(Z565+AA565)+($Z$393+$AA$393-$Z$565-$AA$565)*(L565)</f>
        <v>393458.83338233439</v>
      </c>
      <c r="AF565" s="4" t="s">
        <v>638</v>
      </c>
    </row>
    <row r="566" spans="1:32" ht="11.25" customHeight="1" x14ac:dyDescent="0.25">
      <c r="A566" s="4" t="s">
        <v>27</v>
      </c>
      <c r="B566" s="4" t="s">
        <v>41</v>
      </c>
      <c r="C566" s="4" t="s">
        <v>23</v>
      </c>
      <c r="D566" s="4" t="s">
        <v>42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44713</v>
      </c>
      <c r="J566" s="6">
        <v>0</v>
      </c>
      <c r="K566" s="6">
        <v>0</v>
      </c>
      <c r="L566" s="6">
        <v>-42.703000000000003</v>
      </c>
      <c r="M566" s="6">
        <v>-42.703000000000003</v>
      </c>
      <c r="N566" s="6">
        <v>-42.703000000000003</v>
      </c>
      <c r="O566" s="6">
        <v>-42.703000000000003</v>
      </c>
      <c r="P566" s="6">
        <v>-56</v>
      </c>
      <c r="Q566" s="4" t="s">
        <v>26</v>
      </c>
      <c r="R566" s="4">
        <v>0</v>
      </c>
      <c r="S566" s="4">
        <v>0</v>
      </c>
      <c r="T566" s="4">
        <v>40</v>
      </c>
      <c r="U566" s="4">
        <v>78</v>
      </c>
      <c r="V566" s="6">
        <f>IF(ISERROR(VLOOKUP($S$566,'TAR FIN'!$A$1:$O$93,15,0)),0,VLOOKUP($S$566,'TAR FIN'!$A$1:$O$93,15,0))</f>
        <v>0</v>
      </c>
      <c r="W566" s="6">
        <f>IF(ISERROR(VLOOKUP($T$566,'TAR FIN'!$A$1:$O$93,15,0)),0,VLOOKUP($T$566,'TAR FIN'!$A$1:$O$93,15,0))</f>
        <v>240.16</v>
      </c>
      <c r="X566" s="6">
        <f>IF(ISERROR(VLOOKUP($U$566,'TAR FIN'!$A$1:$O$93,15,0)),0,VLOOKUP($U$566,'TAR FIN'!$A$1:$O$93,15,0))</f>
        <v>162.96</v>
      </c>
      <c r="Y566" s="6"/>
      <c r="Z566" s="6">
        <f ca="1">('TUSD BE'!$AM$37+'TUSD BF'!$AM$37+'TUSD CVA'!$AM$37)*(1-CUSTOS!$M$38)</f>
        <v>274.6365589659128</v>
      </c>
      <c r="AA566" s="6">
        <f>('TE BE'!$AB$26+'TE BF'!$AB$26+'TE CVA'!$AB$26)*(1-CUSTOS!$M$38)</f>
        <v>186.29103092878736</v>
      </c>
      <c r="AB566" s="6">
        <f t="shared" si="24"/>
        <v>0</v>
      </c>
      <c r="AC566" s="6">
        <f>(L566-M566)*(W566+X566)+($W$393+$X$393-$W$566-$X$566)*(L566)</f>
        <v>-2347.3839100000014</v>
      </c>
      <c r="AD566" s="6">
        <f t="shared" si="25"/>
        <v>0</v>
      </c>
      <c r="AE566" s="6">
        <f ca="1">(L566-M566)*(Z566+AA566)+($Z$393+$AA$393-$Z$566-$AA$566)*(L566)</f>
        <v>-1256.3611194429845</v>
      </c>
      <c r="AF566" s="4" t="s">
        <v>638</v>
      </c>
    </row>
    <row r="567" spans="1:32" ht="11.25" customHeight="1" x14ac:dyDescent="0.25">
      <c r="A567" s="4" t="s">
        <v>28</v>
      </c>
      <c r="B567" s="4" t="s">
        <v>41</v>
      </c>
      <c r="C567" s="4" t="s">
        <v>23</v>
      </c>
      <c r="D567" s="4" t="s">
        <v>42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44713</v>
      </c>
      <c r="J567" s="6">
        <v>0</v>
      </c>
      <c r="K567" s="6">
        <v>0</v>
      </c>
      <c r="L567" s="6">
        <v>691.78</v>
      </c>
      <c r="M567" s="6">
        <v>691.78</v>
      </c>
      <c r="N567" s="6">
        <v>691.78</v>
      </c>
      <c r="O567" s="6">
        <v>691.78</v>
      </c>
      <c r="P567" s="6">
        <v>1257</v>
      </c>
      <c r="Q567" s="4" t="s">
        <v>26</v>
      </c>
      <c r="R567" s="4">
        <v>0</v>
      </c>
      <c r="S567" s="4">
        <v>0</v>
      </c>
      <c r="T567" s="4">
        <v>40</v>
      </c>
      <c r="U567" s="4">
        <v>78</v>
      </c>
      <c r="V567" s="6">
        <f>IF(ISERROR(VLOOKUP($S$567,'TAR FIN'!$A$1:$O$93,15,0)),0,VLOOKUP($S$567,'TAR FIN'!$A$1:$O$93,15,0))</f>
        <v>0</v>
      </c>
      <c r="W567" s="6">
        <f>IF(ISERROR(VLOOKUP($T$567,'TAR FIN'!$A$1:$O$93,15,0)),0,VLOOKUP($T$567,'TAR FIN'!$A$1:$O$93,15,0))</f>
        <v>240.16</v>
      </c>
      <c r="X567" s="6">
        <f>IF(ISERROR(VLOOKUP($U$567,'TAR FIN'!$A$1:$O$93,15,0)),0,VLOOKUP($U$567,'TAR FIN'!$A$1:$O$93,15,0))</f>
        <v>162.96</v>
      </c>
      <c r="Y567" s="6"/>
      <c r="Z567" s="6">
        <f ca="1">('TUSD BE'!$AM$37+'TUSD BF'!$AM$37+'TUSD CVA'!$AM$37)*(1-CUSTOS!$M$38)</f>
        <v>274.6365589659128</v>
      </c>
      <c r="AA567" s="6">
        <f>('TE BE'!$AB$26+'TE BF'!$AB$26+'TE CVA'!$AB$26)*(1-CUSTOS!$M$38)</f>
        <v>186.29103092878736</v>
      </c>
      <c r="AB567" s="6">
        <f t="shared" si="24"/>
        <v>0</v>
      </c>
      <c r="AC567" s="6">
        <f>(L567-M567)*(W567+X567)+($W$393+$X$393-$W$567-$X$567)*(L567)</f>
        <v>38027.146600000015</v>
      </c>
      <c r="AD567" s="6">
        <f t="shared" si="25"/>
        <v>0</v>
      </c>
      <c r="AE567" s="6">
        <f ca="1">(L567-M567)*(Z567+AA567)+($Z$393+$AA$393-$Z$567-$AA$567)*(L567)</f>
        <v>20352.797115150406</v>
      </c>
      <c r="AF567" s="4" t="s">
        <v>638</v>
      </c>
    </row>
    <row r="568" spans="1:32" ht="11.25" customHeight="1" x14ac:dyDescent="0.25">
      <c r="A568" s="4" t="s">
        <v>28</v>
      </c>
      <c r="B568" s="4" t="s">
        <v>41</v>
      </c>
      <c r="C568" s="4" t="s">
        <v>23</v>
      </c>
      <c r="D568" s="4" t="s">
        <v>42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44713</v>
      </c>
      <c r="J568" s="6">
        <v>0</v>
      </c>
      <c r="K568" s="6">
        <v>0</v>
      </c>
      <c r="L568" s="6">
        <v>-43.121000000000002</v>
      </c>
      <c r="M568" s="6">
        <v>-43.121000000000002</v>
      </c>
      <c r="N568" s="6">
        <v>-43.121000000000002</v>
      </c>
      <c r="O568" s="6">
        <v>-43.121000000000002</v>
      </c>
      <c r="P568" s="6">
        <v>-3</v>
      </c>
      <c r="Q568" s="4" t="s">
        <v>26</v>
      </c>
      <c r="R568" s="4">
        <v>0</v>
      </c>
      <c r="S568" s="4">
        <v>0</v>
      </c>
      <c r="T568" s="4">
        <v>40</v>
      </c>
      <c r="U568" s="4">
        <v>78</v>
      </c>
      <c r="V568" s="6">
        <f>IF(ISERROR(VLOOKUP($S$568,'TAR FIN'!$A$1:$O$93,15,0)),0,VLOOKUP($S$568,'TAR FIN'!$A$1:$O$93,15,0))</f>
        <v>0</v>
      </c>
      <c r="W568" s="6">
        <f>IF(ISERROR(VLOOKUP($T$568,'TAR FIN'!$A$1:$O$93,15,0)),0,VLOOKUP($T$568,'TAR FIN'!$A$1:$O$93,15,0))</f>
        <v>240.16</v>
      </c>
      <c r="X568" s="6">
        <f>IF(ISERROR(VLOOKUP($U$568,'TAR FIN'!$A$1:$O$93,15,0)),0,VLOOKUP($U$568,'TAR FIN'!$A$1:$O$93,15,0))</f>
        <v>162.96</v>
      </c>
      <c r="Y568" s="6"/>
      <c r="Z568" s="6">
        <f ca="1">('TUSD BE'!$AM$37+'TUSD BF'!$AM$37+'TUSD CVA'!$AM$37)*(1-CUSTOS!$M$38)</f>
        <v>274.6365589659128</v>
      </c>
      <c r="AA568" s="6">
        <f>('TE BE'!$AB$26+'TE BF'!$AB$26+'TE CVA'!$AB$26)*(1-CUSTOS!$M$38)</f>
        <v>186.29103092878736</v>
      </c>
      <c r="AB568" s="6">
        <f t="shared" si="24"/>
        <v>0</v>
      </c>
      <c r="AC568" s="6">
        <f>(L568-M568)*(W568+X568)+($W$393+$X$393-$W$568-$X$568)*(L568)</f>
        <v>-2370.3613700000014</v>
      </c>
      <c r="AD568" s="6">
        <f t="shared" si="25"/>
        <v>0</v>
      </c>
      <c r="AE568" s="6">
        <f ca="1">(L568-M568)*(Z568+AA568)+($Z$393+$AA$393-$Z$568-$AA$568)*(L568)</f>
        <v>-1268.6590598201751</v>
      </c>
      <c r="AF568" s="4" t="s">
        <v>638</v>
      </c>
    </row>
    <row r="569" spans="1:32" ht="11.25" customHeight="1" x14ac:dyDescent="0.25">
      <c r="A569" s="4" t="s">
        <v>21</v>
      </c>
      <c r="B569" s="4" t="s">
        <v>33</v>
      </c>
      <c r="C569" s="4" t="s">
        <v>23</v>
      </c>
      <c r="D569" s="4" t="s">
        <v>47</v>
      </c>
      <c r="E569" s="4" t="s">
        <v>48</v>
      </c>
      <c r="F569" s="4" t="s">
        <v>25</v>
      </c>
      <c r="G569" s="4" t="s">
        <v>25</v>
      </c>
      <c r="H569" s="4" t="s">
        <v>25</v>
      </c>
      <c r="I569" s="5">
        <v>44378</v>
      </c>
      <c r="J569" s="6">
        <v>0</v>
      </c>
      <c r="K569" s="75">
        <v>0</v>
      </c>
      <c r="L569" s="6">
        <v>65.478999999999999</v>
      </c>
      <c r="M569" s="75">
        <v>65.478999999999999</v>
      </c>
      <c r="N569" s="6">
        <v>65.478999999999999</v>
      </c>
      <c r="O569" s="75">
        <v>65.478999999999999</v>
      </c>
      <c r="P569" s="6">
        <v>34</v>
      </c>
      <c r="Q569" s="4" t="s">
        <v>26</v>
      </c>
      <c r="R569" s="4">
        <v>0</v>
      </c>
      <c r="S569" s="4">
        <v>0</v>
      </c>
      <c r="T569" s="4">
        <v>17</v>
      </c>
      <c r="U569" s="4">
        <v>89</v>
      </c>
      <c r="V569" s="75">
        <f>IF(ISERROR(VLOOKUP($S$569,'TAR FIN'!$A$1:$O$93,15,0)),0,VLOOKUP($S$569,'TAR FIN'!$A$1:$O$93,15,0))</f>
        <v>0</v>
      </c>
      <c r="W569" s="75">
        <f>IF(ISERROR(VLOOKUP($T$569,'TAR FIN'!$A$1:$O$93,15,0)),0,VLOOKUP($T$569,'TAR FIN'!$A$1:$O$93,15,0))*(1-0.06)</f>
        <v>256.53539999999998</v>
      </c>
      <c r="X569" s="75">
        <f>IF(ISERROR(VLOOKUP($U$569,'TAR FIN'!$A$1:$O$93,15,0)),0,VLOOKUP($U$569,'TAR FIN'!$A$1:$O$93,15,0))*(1-0.06)</f>
        <v>174.0692</v>
      </c>
      <c r="Y569" s="75"/>
      <c r="Z569" s="75">
        <f ca="1">('TUSD BE'!$AM$52+'TUSD BF'!$AM$52+'TUSD CVA'!$AM$52)*1*(1-0.03)</f>
        <v>283.40155552865474</v>
      </c>
      <c r="AA569" s="75">
        <f>('TE BE'!$AB$41+'TE BF'!$AB$41+'TE CVA'!$AB$41)*1*(1-0.03)</f>
        <v>192.23648936268484</v>
      </c>
      <c r="AB569" s="75">
        <f>(SUBSIDIO!$J$569*SUBSIDIO!$V$569)*(0.06)/(1-0.06)</f>
        <v>0</v>
      </c>
      <c r="AC569" s="75">
        <f>((SUBSIDIO!$L$569*SUBSIDIO!$W$569)+(SUBSIDIO!$N$569*SUBSIDIO!$X$569))*(0.06)/(1-0.06)</f>
        <v>1799.7165066</v>
      </c>
      <c r="AD569" s="75">
        <f>(SUBSIDIO!$J$569*SUBSIDIO!$Y$569)*(0.03)/(1-0.03)</f>
        <v>0</v>
      </c>
      <c r="AE569" s="75">
        <f ca="1">((SUBSIDIO!$L$569*SUBSIDIO!$Z$569)+(SUBSIDIO!$N$569*SUBSIDIO!$AA$569))*(0.03)/(1-0.03)</f>
        <v>963.22588272494909</v>
      </c>
      <c r="AF569" s="4" t="s">
        <v>640</v>
      </c>
    </row>
    <row r="570" spans="1:32" ht="11.25" customHeight="1" x14ac:dyDescent="0.25">
      <c r="A570" s="4" t="s">
        <v>21</v>
      </c>
      <c r="B570" s="4" t="s">
        <v>33</v>
      </c>
      <c r="C570" s="4" t="s">
        <v>23</v>
      </c>
      <c r="D570" s="4" t="s">
        <v>47</v>
      </c>
      <c r="E570" s="4" t="s">
        <v>48</v>
      </c>
      <c r="F570" s="4" t="s">
        <v>25</v>
      </c>
      <c r="G570" s="4" t="s">
        <v>25</v>
      </c>
      <c r="H570" s="4" t="s">
        <v>25</v>
      </c>
      <c r="I570" s="5">
        <v>44409</v>
      </c>
      <c r="J570" s="6">
        <v>0</v>
      </c>
      <c r="K570" s="75">
        <v>0</v>
      </c>
      <c r="L570" s="6">
        <v>66.245000000000005</v>
      </c>
      <c r="M570" s="75">
        <v>66.245000000000005</v>
      </c>
      <c r="N570" s="6">
        <v>66.245000000000005</v>
      </c>
      <c r="O570" s="75">
        <v>66.245000000000005</v>
      </c>
      <c r="P570" s="6">
        <v>34</v>
      </c>
      <c r="Q570" s="4" t="s">
        <v>26</v>
      </c>
      <c r="R570" s="4">
        <v>0</v>
      </c>
      <c r="S570" s="4">
        <v>0</v>
      </c>
      <c r="T570" s="4">
        <v>17</v>
      </c>
      <c r="U570" s="4">
        <v>89</v>
      </c>
      <c r="V570" s="75">
        <f>IF(ISERROR(VLOOKUP($S$570,'TAR FIN'!$A$1:$O$93,15,0)),0,VLOOKUP($S$570,'TAR FIN'!$A$1:$O$93,15,0))</f>
        <v>0</v>
      </c>
      <c r="W570" s="75">
        <f>IF(ISERROR(VLOOKUP($T$570,'TAR FIN'!$A$1:$O$93,15,0)),0,VLOOKUP($T$570,'TAR FIN'!$A$1:$O$93,15,0))*(1-0.06)</f>
        <v>256.53539999999998</v>
      </c>
      <c r="X570" s="75">
        <f>IF(ISERROR(VLOOKUP($U$570,'TAR FIN'!$A$1:$O$93,15,0)),0,VLOOKUP($U$570,'TAR FIN'!$A$1:$O$93,15,0))*(1-0.06)</f>
        <v>174.0692</v>
      </c>
      <c r="Y570" s="75"/>
      <c r="Z570" s="75">
        <f ca="1">('TUSD BE'!$AM$52+'TUSD BF'!$AM$52+'TUSD CVA'!$AM$52)*1*(1-0.03)</f>
        <v>283.40155552865474</v>
      </c>
      <c r="AA570" s="75">
        <f>('TE BE'!$AB$41+'TE BF'!$AB$41+'TE CVA'!$AB$41)*1*(1-0.03)</f>
        <v>192.23648936268484</v>
      </c>
      <c r="AB570" s="75">
        <f>(SUBSIDIO!$J$570*SUBSIDIO!$V$570)*(0.06)/(1-0.06)</f>
        <v>0</v>
      </c>
      <c r="AC570" s="75">
        <f>((SUBSIDIO!$L$570*SUBSIDIO!$W$570)+(SUBSIDIO!$N$570*SUBSIDIO!$X$570))*(0.06)/(1-0.06)</f>
        <v>1820.7703230000002</v>
      </c>
      <c r="AD570" s="75">
        <f>(SUBSIDIO!$J$570*SUBSIDIO!$Y$570)*(0.03)/(1-0.03)</f>
        <v>0</v>
      </c>
      <c r="AE570" s="75">
        <f ca="1">((SUBSIDIO!$L$570*SUBSIDIO!$Z$570)+(SUBSIDIO!$N$570*SUBSIDIO!$AA$570))*(0.03)/(1-0.03)</f>
        <v>974.49409125237514</v>
      </c>
      <c r="AF570" s="4" t="s">
        <v>640</v>
      </c>
    </row>
    <row r="571" spans="1:32" ht="11.25" customHeight="1" x14ac:dyDescent="0.25">
      <c r="A571" s="4" t="s">
        <v>21</v>
      </c>
      <c r="B571" s="4" t="s">
        <v>33</v>
      </c>
      <c r="C571" s="4" t="s">
        <v>23</v>
      </c>
      <c r="D571" s="4" t="s">
        <v>47</v>
      </c>
      <c r="E571" s="4" t="s">
        <v>48</v>
      </c>
      <c r="F571" s="4" t="s">
        <v>25</v>
      </c>
      <c r="G571" s="4" t="s">
        <v>25</v>
      </c>
      <c r="H571" s="4" t="s">
        <v>25</v>
      </c>
      <c r="I571" s="5">
        <v>44440</v>
      </c>
      <c r="J571" s="6">
        <v>0</v>
      </c>
      <c r="K571" s="75">
        <v>0</v>
      </c>
      <c r="L571" s="6">
        <v>67.733999999999995</v>
      </c>
      <c r="M571" s="75">
        <v>67.733999999999995</v>
      </c>
      <c r="N571" s="6">
        <v>67.733999999999995</v>
      </c>
      <c r="O571" s="75">
        <v>67.733999999999995</v>
      </c>
      <c r="P571" s="6">
        <v>34</v>
      </c>
      <c r="Q571" s="4" t="s">
        <v>26</v>
      </c>
      <c r="R571" s="4">
        <v>0</v>
      </c>
      <c r="S571" s="4">
        <v>0</v>
      </c>
      <c r="T571" s="4">
        <v>17</v>
      </c>
      <c r="U571" s="4">
        <v>89</v>
      </c>
      <c r="V571" s="75">
        <f>IF(ISERROR(VLOOKUP($S$571,'TAR FIN'!$A$1:$O$93,15,0)),0,VLOOKUP($S$571,'TAR FIN'!$A$1:$O$93,15,0))</f>
        <v>0</v>
      </c>
      <c r="W571" s="75">
        <f>IF(ISERROR(VLOOKUP($T$571,'TAR FIN'!$A$1:$O$93,15,0)),0,VLOOKUP($T$571,'TAR FIN'!$A$1:$O$93,15,0))*(1-0.06)</f>
        <v>256.53539999999998</v>
      </c>
      <c r="X571" s="75">
        <f>IF(ISERROR(VLOOKUP($U$571,'TAR FIN'!$A$1:$O$93,15,0)),0,VLOOKUP($U$571,'TAR FIN'!$A$1:$O$93,15,0))*(1-0.06)</f>
        <v>174.0692</v>
      </c>
      <c r="Y571" s="75"/>
      <c r="Z571" s="75">
        <f ca="1">('TUSD BE'!$AM$52+'TUSD BF'!$AM$52+'TUSD CVA'!$AM$52)*1*(1-0.03)</f>
        <v>283.40155552865474</v>
      </c>
      <c r="AA571" s="75">
        <f>('TE BE'!$AB$41+'TE BF'!$AB$41+'TE CVA'!$AB$41)*1*(1-0.03)</f>
        <v>192.23648936268484</v>
      </c>
      <c r="AB571" s="75">
        <f>(SUBSIDIO!$J$571*SUBSIDIO!$V$571)*(0.06)/(1-0.06)</f>
        <v>0</v>
      </c>
      <c r="AC571" s="75">
        <f>((SUBSIDIO!$L$571*SUBSIDIO!$W$571)+(SUBSIDIO!$N$571*SUBSIDIO!$X$571))*(0.06)/(1-0.06)</f>
        <v>1861.6960835999996</v>
      </c>
      <c r="AD571" s="75">
        <f>(SUBSIDIO!$J$571*SUBSIDIO!$Y$571)*(0.03)/(1-0.03)</f>
        <v>0</v>
      </c>
      <c r="AE571" s="75">
        <f ca="1">((SUBSIDIO!$L$571*SUBSIDIO!$Z$571)+(SUBSIDIO!$N$571*SUBSIDIO!$AA$571))*(0.03)/(1-0.03)</f>
        <v>996.39795874237086</v>
      </c>
      <c r="AF571" s="4" t="s">
        <v>640</v>
      </c>
    </row>
    <row r="572" spans="1:32" ht="11.25" customHeight="1" x14ac:dyDescent="0.25">
      <c r="A572" s="4" t="s">
        <v>21</v>
      </c>
      <c r="B572" s="4" t="s">
        <v>33</v>
      </c>
      <c r="C572" s="4" t="s">
        <v>23</v>
      </c>
      <c r="D572" s="4" t="s">
        <v>47</v>
      </c>
      <c r="E572" s="4" t="s">
        <v>48</v>
      </c>
      <c r="F572" s="4" t="s">
        <v>25</v>
      </c>
      <c r="G572" s="4" t="s">
        <v>25</v>
      </c>
      <c r="H572" s="4" t="s">
        <v>25</v>
      </c>
      <c r="I572" s="5">
        <v>44470</v>
      </c>
      <c r="J572" s="6">
        <v>0</v>
      </c>
      <c r="K572" s="75">
        <v>0</v>
      </c>
      <c r="L572" s="6">
        <v>67.430999999999997</v>
      </c>
      <c r="M572" s="75">
        <v>67.430999999999997</v>
      </c>
      <c r="N572" s="6">
        <v>67.430999999999997</v>
      </c>
      <c r="O572" s="75">
        <v>67.430999999999997</v>
      </c>
      <c r="P572" s="6">
        <v>34</v>
      </c>
      <c r="Q572" s="4" t="s">
        <v>26</v>
      </c>
      <c r="R572" s="4">
        <v>0</v>
      </c>
      <c r="S572" s="4">
        <v>0</v>
      </c>
      <c r="T572" s="4">
        <v>17</v>
      </c>
      <c r="U572" s="4">
        <v>89</v>
      </c>
      <c r="V572" s="75">
        <f>IF(ISERROR(VLOOKUP($S$572,'TAR FIN'!$A$1:$O$93,15,0)),0,VLOOKUP($S$572,'TAR FIN'!$A$1:$O$93,15,0))</f>
        <v>0</v>
      </c>
      <c r="W572" s="75">
        <f>IF(ISERROR(VLOOKUP($T$572,'TAR FIN'!$A$1:$O$93,15,0)),0,VLOOKUP($T$572,'TAR FIN'!$A$1:$O$93,15,0))*(1-0.06)</f>
        <v>256.53539999999998</v>
      </c>
      <c r="X572" s="75">
        <f>IF(ISERROR(VLOOKUP($U$572,'TAR FIN'!$A$1:$O$93,15,0)),0,VLOOKUP($U$572,'TAR FIN'!$A$1:$O$93,15,0))*(1-0.06)</f>
        <v>174.0692</v>
      </c>
      <c r="Y572" s="75"/>
      <c r="Z572" s="75">
        <f ca="1">('TUSD BE'!$AM$52+'TUSD BF'!$AM$52+'TUSD CVA'!$AM$52)*1*(1-0.03)</f>
        <v>283.40155552865474</v>
      </c>
      <c r="AA572" s="75">
        <f>('TE BE'!$AB$41+'TE BF'!$AB$41+'TE CVA'!$AB$41)*1*(1-0.03)</f>
        <v>192.23648936268484</v>
      </c>
      <c r="AB572" s="75">
        <f>(SUBSIDIO!$J$572*SUBSIDIO!$V$572)*(0.06)/(1-0.06)</f>
        <v>0</v>
      </c>
      <c r="AC572" s="75">
        <f>((SUBSIDIO!$L$572*SUBSIDIO!$W$572)+(SUBSIDIO!$N$572*SUBSIDIO!$X$572))*(0.06)/(1-0.06)</f>
        <v>1853.3680073999999</v>
      </c>
      <c r="AD572" s="75">
        <f>(SUBSIDIO!$J$572*SUBSIDIO!$Y$572)*(0.03)/(1-0.03)</f>
        <v>0</v>
      </c>
      <c r="AE572" s="75">
        <f ca="1">((SUBSIDIO!$L$572*SUBSIDIO!$Z$572)+(SUBSIDIO!$N$572*SUBSIDIO!$AA$572))*(0.03)/(1-0.03)</f>
        <v>991.94069087838932</v>
      </c>
      <c r="AF572" s="4" t="s">
        <v>640</v>
      </c>
    </row>
    <row r="573" spans="1:32" ht="11.25" customHeight="1" x14ac:dyDescent="0.25">
      <c r="A573" s="4" t="s">
        <v>21</v>
      </c>
      <c r="B573" s="4" t="s">
        <v>33</v>
      </c>
      <c r="C573" s="4" t="s">
        <v>23</v>
      </c>
      <c r="D573" s="4" t="s">
        <v>47</v>
      </c>
      <c r="E573" s="4" t="s">
        <v>48</v>
      </c>
      <c r="F573" s="4" t="s">
        <v>25</v>
      </c>
      <c r="G573" s="4" t="s">
        <v>25</v>
      </c>
      <c r="H573" s="4" t="s">
        <v>25</v>
      </c>
      <c r="I573" s="5">
        <v>44501</v>
      </c>
      <c r="J573" s="6">
        <v>0</v>
      </c>
      <c r="K573" s="75">
        <v>0</v>
      </c>
      <c r="L573" s="6">
        <v>68.873000000000005</v>
      </c>
      <c r="M573" s="75">
        <v>68.873000000000005</v>
      </c>
      <c r="N573" s="6">
        <v>68.873000000000005</v>
      </c>
      <c r="O573" s="75">
        <v>68.873000000000005</v>
      </c>
      <c r="P573" s="6">
        <v>35</v>
      </c>
      <c r="Q573" s="4" t="s">
        <v>26</v>
      </c>
      <c r="R573" s="4">
        <v>0</v>
      </c>
      <c r="S573" s="4">
        <v>0</v>
      </c>
      <c r="T573" s="4">
        <v>17</v>
      </c>
      <c r="U573" s="4">
        <v>89</v>
      </c>
      <c r="V573" s="75">
        <f>IF(ISERROR(VLOOKUP($S$573,'TAR FIN'!$A$1:$O$93,15,0)),0,VLOOKUP($S$573,'TAR FIN'!$A$1:$O$93,15,0))</f>
        <v>0</v>
      </c>
      <c r="W573" s="75">
        <f>IF(ISERROR(VLOOKUP($T$573,'TAR FIN'!$A$1:$O$93,15,0)),0,VLOOKUP($T$573,'TAR FIN'!$A$1:$O$93,15,0))*(1-0.06)</f>
        <v>256.53539999999998</v>
      </c>
      <c r="X573" s="75">
        <f>IF(ISERROR(VLOOKUP($U$573,'TAR FIN'!$A$1:$O$93,15,0)),0,VLOOKUP($U$573,'TAR FIN'!$A$1:$O$93,15,0))*(1-0.06)</f>
        <v>174.0692</v>
      </c>
      <c r="Y573" s="75"/>
      <c r="Z573" s="75">
        <f ca="1">('TUSD BE'!$AM$52+'TUSD BF'!$AM$52+'TUSD CVA'!$AM$52)*1*(1-0.03)</f>
        <v>283.40155552865474</v>
      </c>
      <c r="AA573" s="75">
        <f>('TE BE'!$AB$41+'TE BF'!$AB$41+'TE CVA'!$AB$41)*1*(1-0.03)</f>
        <v>192.23648936268484</v>
      </c>
      <c r="AB573" s="75">
        <f>(SUBSIDIO!$J$573*SUBSIDIO!$V$573)*(0.06)/(1-0.06)</f>
        <v>0</v>
      </c>
      <c r="AC573" s="75">
        <f>((SUBSIDIO!$L$573*SUBSIDIO!$W$573)+(SUBSIDIO!$N$573*SUBSIDIO!$X$573))*(0.06)/(1-0.06)</f>
        <v>1893.0019542</v>
      </c>
      <c r="AD573" s="75">
        <f>(SUBSIDIO!$J$573*SUBSIDIO!$Y$573)*(0.03)/(1-0.03)</f>
        <v>0</v>
      </c>
      <c r="AE573" s="75">
        <f ca="1">((SUBSIDIO!$L$573*SUBSIDIO!$Z$573)+(SUBSIDIO!$N$573*SUBSIDIO!$AA$573))*(0.03)/(1-0.03)</f>
        <v>1013.1531669835433</v>
      </c>
      <c r="AF573" s="4" t="s">
        <v>640</v>
      </c>
    </row>
    <row r="574" spans="1:32" ht="11.25" customHeight="1" x14ac:dyDescent="0.25">
      <c r="A574" s="4" t="s">
        <v>21</v>
      </c>
      <c r="B574" s="4" t="s">
        <v>33</v>
      </c>
      <c r="C574" s="4" t="s">
        <v>23</v>
      </c>
      <c r="D574" s="4" t="s">
        <v>47</v>
      </c>
      <c r="E574" s="4" t="s">
        <v>48</v>
      </c>
      <c r="F574" s="4" t="s">
        <v>25</v>
      </c>
      <c r="G574" s="4" t="s">
        <v>25</v>
      </c>
      <c r="H574" s="4" t="s">
        <v>25</v>
      </c>
      <c r="I574" s="5">
        <v>44531</v>
      </c>
      <c r="J574" s="6">
        <v>0</v>
      </c>
      <c r="K574" s="75">
        <v>0</v>
      </c>
      <c r="L574" s="6">
        <v>55.689</v>
      </c>
      <c r="M574" s="75">
        <v>55.689</v>
      </c>
      <c r="N574" s="6">
        <v>55.689</v>
      </c>
      <c r="O574" s="75">
        <v>55.689</v>
      </c>
      <c r="P574" s="6">
        <v>36</v>
      </c>
      <c r="Q574" s="4" t="s">
        <v>26</v>
      </c>
      <c r="R574" s="4">
        <v>0</v>
      </c>
      <c r="S574" s="4">
        <v>0</v>
      </c>
      <c r="T574" s="4">
        <v>17</v>
      </c>
      <c r="U574" s="4">
        <v>89</v>
      </c>
      <c r="V574" s="75">
        <f>IF(ISERROR(VLOOKUP($S$574,'TAR FIN'!$A$1:$O$93,15,0)),0,VLOOKUP($S$574,'TAR FIN'!$A$1:$O$93,15,0))</f>
        <v>0</v>
      </c>
      <c r="W574" s="75">
        <f>IF(ISERROR(VLOOKUP($T$574,'TAR FIN'!$A$1:$O$93,15,0)),0,VLOOKUP($T$574,'TAR FIN'!$A$1:$O$93,15,0))*(1-0.06)</f>
        <v>256.53539999999998</v>
      </c>
      <c r="X574" s="75">
        <f>IF(ISERROR(VLOOKUP($U$574,'TAR FIN'!$A$1:$O$93,15,0)),0,VLOOKUP($U$574,'TAR FIN'!$A$1:$O$93,15,0))*(1-0.06)</f>
        <v>174.0692</v>
      </c>
      <c r="Y574" s="75"/>
      <c r="Z574" s="75">
        <f ca="1">('TUSD BE'!$AM$52+'TUSD BF'!$AM$52+'TUSD CVA'!$AM$52)*1*(1-0.03)</f>
        <v>283.40155552865474</v>
      </c>
      <c r="AA574" s="75">
        <f>('TE BE'!$AB$41+'TE BF'!$AB$41+'TE CVA'!$AB$41)*1*(1-0.03)</f>
        <v>192.23648936268484</v>
      </c>
      <c r="AB574" s="75">
        <f>(SUBSIDIO!$J$574*SUBSIDIO!$V$574)*(0.06)/(1-0.06)</f>
        <v>0</v>
      </c>
      <c r="AC574" s="75">
        <f>((SUBSIDIO!$L$574*SUBSIDIO!$W$574)+(SUBSIDIO!$N$574*SUBSIDIO!$X$574))*(0.06)/(1-0.06)</f>
        <v>1530.6344406000001</v>
      </c>
      <c r="AD574" s="75">
        <f>(SUBSIDIO!$J$574*SUBSIDIO!$Y$574)*(0.03)/(1-0.03)</f>
        <v>0</v>
      </c>
      <c r="AE574" s="75">
        <f ca="1">((SUBSIDIO!$L$574*SUBSIDIO!$Z$574)+(SUBSIDIO!$N$574*SUBSIDIO!$AA$574))*(0.03)/(1-0.03)</f>
        <v>819.21052830784981</v>
      </c>
      <c r="AF574" s="4" t="s">
        <v>640</v>
      </c>
    </row>
    <row r="575" spans="1:32" ht="11.25" customHeight="1" x14ac:dyDescent="0.25">
      <c r="A575" s="4" t="s">
        <v>27</v>
      </c>
      <c r="B575" s="4" t="s">
        <v>33</v>
      </c>
      <c r="C575" s="4" t="s">
        <v>23</v>
      </c>
      <c r="D575" s="4" t="s">
        <v>47</v>
      </c>
      <c r="E575" s="4" t="s">
        <v>48</v>
      </c>
      <c r="F575" s="4" t="s">
        <v>25</v>
      </c>
      <c r="G575" s="4" t="s">
        <v>25</v>
      </c>
      <c r="H575" s="4" t="s">
        <v>25</v>
      </c>
      <c r="I575" s="5">
        <v>44531</v>
      </c>
      <c r="J575" s="6">
        <v>0</v>
      </c>
      <c r="K575" s="75">
        <v>0</v>
      </c>
      <c r="L575" s="6">
        <v>-0.03</v>
      </c>
      <c r="M575" s="75">
        <v>-0.03</v>
      </c>
      <c r="N575" s="6">
        <v>-0.03</v>
      </c>
      <c r="O575" s="75">
        <v>-0.03</v>
      </c>
      <c r="P575" s="6">
        <v>-1</v>
      </c>
      <c r="Q575" s="4" t="s">
        <v>26</v>
      </c>
      <c r="R575" s="4">
        <v>0</v>
      </c>
      <c r="S575" s="4">
        <v>0</v>
      </c>
      <c r="T575" s="4">
        <v>17</v>
      </c>
      <c r="U575" s="4">
        <v>89</v>
      </c>
      <c r="V575" s="75">
        <f>IF(ISERROR(VLOOKUP($S$575,'TAR FIN'!$A$1:$O$93,15,0)),0,VLOOKUP($S$575,'TAR FIN'!$A$1:$O$93,15,0))</f>
        <v>0</v>
      </c>
      <c r="W575" s="75">
        <f>IF(ISERROR(VLOOKUP($T$575,'TAR FIN'!$A$1:$O$93,15,0)),0,VLOOKUP($T$575,'TAR FIN'!$A$1:$O$93,15,0))*(1-0.06)</f>
        <v>256.53539999999998</v>
      </c>
      <c r="X575" s="75">
        <f>IF(ISERROR(VLOOKUP($U$575,'TAR FIN'!$A$1:$O$93,15,0)),0,VLOOKUP($U$575,'TAR FIN'!$A$1:$O$93,15,0))*(1-0.06)</f>
        <v>174.0692</v>
      </c>
      <c r="Y575" s="75"/>
      <c r="Z575" s="75">
        <f ca="1">('TUSD BE'!$AM$52+'TUSD BF'!$AM$52+'TUSD CVA'!$AM$52)*1*(1-0.03)</f>
        <v>283.40155552865474</v>
      </c>
      <c r="AA575" s="75">
        <f>('TE BE'!$AB$41+'TE BF'!$AB$41+'TE CVA'!$AB$41)*1*(1-0.03)</f>
        <v>192.23648936268484</v>
      </c>
      <c r="AB575" s="75">
        <f>(SUBSIDIO!$J$575*SUBSIDIO!$V$575)*(0.06)/(1-0.06)</f>
        <v>0</v>
      </c>
      <c r="AC575" s="75">
        <f>((SUBSIDIO!$L$575*SUBSIDIO!$W$575)+(SUBSIDIO!$N$575*SUBSIDIO!$X$575))*(0.06)/(1-0.06)</f>
        <v>-0.82456200000000002</v>
      </c>
      <c r="AD575" s="75">
        <f>(SUBSIDIO!$J$575*SUBSIDIO!$Y$575)*(0.03)/(1-0.03)</f>
        <v>0</v>
      </c>
      <c r="AE575" s="75">
        <f ca="1">((SUBSIDIO!$L$575*SUBSIDIO!$Z$575)+(SUBSIDIO!$N$575*SUBSIDIO!$AA$575))*(0.03)/(1-0.03)</f>
        <v>-0.44131364989918104</v>
      </c>
      <c r="AF575" s="4" t="s">
        <v>640</v>
      </c>
    </row>
    <row r="576" spans="1:32" ht="11.25" customHeight="1" x14ac:dyDescent="0.25">
      <c r="A576" s="4" t="s">
        <v>21</v>
      </c>
      <c r="B576" s="4" t="s">
        <v>33</v>
      </c>
      <c r="C576" s="4" t="s">
        <v>23</v>
      </c>
      <c r="D576" s="4" t="s">
        <v>47</v>
      </c>
      <c r="E576" s="4" t="s">
        <v>48</v>
      </c>
      <c r="F576" s="4" t="s">
        <v>25</v>
      </c>
      <c r="G576" s="4" t="s">
        <v>25</v>
      </c>
      <c r="H576" s="4" t="s">
        <v>25</v>
      </c>
      <c r="I576" s="5">
        <v>44562</v>
      </c>
      <c r="J576" s="6">
        <v>0</v>
      </c>
      <c r="K576" s="75">
        <v>0</v>
      </c>
      <c r="L576" s="6">
        <v>76.168999999999997</v>
      </c>
      <c r="M576" s="75">
        <v>76.168999999999997</v>
      </c>
      <c r="N576" s="6">
        <v>76.168999999999997</v>
      </c>
      <c r="O576" s="75">
        <v>76.168999999999997</v>
      </c>
      <c r="P576" s="6">
        <v>36</v>
      </c>
      <c r="Q576" s="4" t="s">
        <v>26</v>
      </c>
      <c r="R576" s="4">
        <v>0</v>
      </c>
      <c r="S576" s="4">
        <v>0</v>
      </c>
      <c r="T576" s="4">
        <v>17</v>
      </c>
      <c r="U576" s="4">
        <v>89</v>
      </c>
      <c r="V576" s="75">
        <f>IF(ISERROR(VLOOKUP($S$576,'TAR FIN'!$A$1:$O$93,15,0)),0,VLOOKUP($S$576,'TAR FIN'!$A$1:$O$93,15,0))</f>
        <v>0</v>
      </c>
      <c r="W576" s="75">
        <f>IF(ISERROR(VLOOKUP($T$576,'TAR FIN'!$A$1:$O$93,15,0)),0,VLOOKUP($T$576,'TAR FIN'!$A$1:$O$93,15,0))*(1-0.06)</f>
        <v>256.53539999999998</v>
      </c>
      <c r="X576" s="75">
        <f>IF(ISERROR(VLOOKUP($U$576,'TAR FIN'!$A$1:$O$93,15,0)),0,VLOOKUP($U$576,'TAR FIN'!$A$1:$O$93,15,0))*(1-0.06)</f>
        <v>174.0692</v>
      </c>
      <c r="Y576" s="75"/>
      <c r="Z576" s="75">
        <f ca="1">('TUSD BE'!$AM$52+'TUSD BF'!$AM$52+'TUSD CVA'!$AM$52)*1*(1-0.03)</f>
        <v>283.40155552865474</v>
      </c>
      <c r="AA576" s="75">
        <f>('TE BE'!$AB$41+'TE BF'!$AB$41+'TE CVA'!$AB$41)*1*(1-0.03)</f>
        <v>192.23648936268484</v>
      </c>
      <c r="AB576" s="75">
        <f>(SUBSIDIO!$J$576*SUBSIDIO!$V$576)*(0.06)/(1-0.06)</f>
        <v>0</v>
      </c>
      <c r="AC576" s="75">
        <f>((SUBSIDIO!$L$576*SUBSIDIO!$W$576)+(SUBSIDIO!$N$576*SUBSIDIO!$X$576))*(0.06)/(1-0.06)</f>
        <v>2093.5354326000001</v>
      </c>
      <c r="AD576" s="75">
        <f>(SUBSIDIO!$J$576*SUBSIDIO!$Y$576)*(0.03)/(1-0.03)</f>
        <v>0</v>
      </c>
      <c r="AE576" s="75">
        <f ca="1">((SUBSIDIO!$L$576*SUBSIDIO!$Z$576)+(SUBSIDIO!$N$576*SUBSIDIO!$AA$576))*(0.03)/(1-0.03)</f>
        <v>1120.4806466390241</v>
      </c>
      <c r="AF576" s="4" t="s">
        <v>640</v>
      </c>
    </row>
    <row r="577" spans="1:32" ht="11.25" customHeight="1" x14ac:dyDescent="0.25">
      <c r="A577" s="4" t="s">
        <v>21</v>
      </c>
      <c r="B577" s="4" t="s">
        <v>33</v>
      </c>
      <c r="C577" s="4" t="s">
        <v>23</v>
      </c>
      <c r="D577" s="4" t="s">
        <v>47</v>
      </c>
      <c r="E577" s="4" t="s">
        <v>48</v>
      </c>
      <c r="F577" s="4" t="s">
        <v>25</v>
      </c>
      <c r="G577" s="4" t="s">
        <v>25</v>
      </c>
      <c r="H577" s="4" t="s">
        <v>25</v>
      </c>
      <c r="I577" s="5">
        <v>44593</v>
      </c>
      <c r="J577" s="6">
        <v>0</v>
      </c>
      <c r="K577" s="75">
        <v>0</v>
      </c>
      <c r="L577" s="6">
        <v>66.954999999999998</v>
      </c>
      <c r="M577" s="75">
        <v>66.954999999999998</v>
      </c>
      <c r="N577" s="6">
        <v>66.954999999999998</v>
      </c>
      <c r="O577" s="75">
        <v>66.954999999999998</v>
      </c>
      <c r="P577" s="6">
        <v>36</v>
      </c>
      <c r="Q577" s="4" t="s">
        <v>26</v>
      </c>
      <c r="R577" s="4">
        <v>0</v>
      </c>
      <c r="S577" s="4">
        <v>0</v>
      </c>
      <c r="T577" s="4">
        <v>17</v>
      </c>
      <c r="U577" s="4">
        <v>89</v>
      </c>
      <c r="V577" s="75">
        <f>IF(ISERROR(VLOOKUP($S$577,'TAR FIN'!$A$1:$O$93,15,0)),0,VLOOKUP($S$577,'TAR FIN'!$A$1:$O$93,15,0))</f>
        <v>0</v>
      </c>
      <c r="W577" s="75">
        <f>IF(ISERROR(VLOOKUP($T$577,'TAR FIN'!$A$1:$O$93,15,0)),0,VLOOKUP($T$577,'TAR FIN'!$A$1:$O$93,15,0))*(1-0.06)</f>
        <v>256.53539999999998</v>
      </c>
      <c r="X577" s="75">
        <f>IF(ISERROR(VLOOKUP($U$577,'TAR FIN'!$A$1:$O$93,15,0)),0,VLOOKUP($U$577,'TAR FIN'!$A$1:$O$93,15,0))*(1-0.06)</f>
        <v>174.0692</v>
      </c>
      <c r="Y577" s="75"/>
      <c r="Z577" s="75">
        <f ca="1">('TUSD BE'!$AM$52+'TUSD BF'!$AM$52+'TUSD CVA'!$AM$52)*1*(1-0.03)</f>
        <v>283.40155552865474</v>
      </c>
      <c r="AA577" s="75">
        <f>('TE BE'!$AB$41+'TE BF'!$AB$41+'TE CVA'!$AB$41)*1*(1-0.03)</f>
        <v>192.23648936268484</v>
      </c>
      <c r="AB577" s="75">
        <f>(SUBSIDIO!$J$577*SUBSIDIO!$V$577)*(0.06)/(1-0.06)</f>
        <v>0</v>
      </c>
      <c r="AC577" s="75">
        <f>((SUBSIDIO!$L$577*SUBSIDIO!$W$577)+(SUBSIDIO!$N$577*SUBSIDIO!$X$577))*(0.06)/(1-0.06)</f>
        <v>1840.2849569999998</v>
      </c>
      <c r="AD577" s="75">
        <f>(SUBSIDIO!$J$577*SUBSIDIO!$Y$577)*(0.03)/(1-0.03)</f>
        <v>0</v>
      </c>
      <c r="AE577" s="75">
        <f ca="1">((SUBSIDIO!$L$577*SUBSIDIO!$Z$577)+(SUBSIDIO!$N$577*SUBSIDIO!$AA$577))*(0.03)/(1-0.03)</f>
        <v>984.93851429998892</v>
      </c>
      <c r="AF577" s="4" t="s">
        <v>640</v>
      </c>
    </row>
    <row r="578" spans="1:32" ht="11.25" customHeight="1" x14ac:dyDescent="0.25">
      <c r="A578" s="4" t="s">
        <v>21</v>
      </c>
      <c r="B578" s="4" t="s">
        <v>33</v>
      </c>
      <c r="C578" s="4" t="s">
        <v>23</v>
      </c>
      <c r="D578" s="4" t="s">
        <v>47</v>
      </c>
      <c r="E578" s="4" t="s">
        <v>48</v>
      </c>
      <c r="F578" s="4" t="s">
        <v>25</v>
      </c>
      <c r="G578" s="4" t="s">
        <v>25</v>
      </c>
      <c r="H578" s="4" t="s">
        <v>25</v>
      </c>
      <c r="I578" s="5">
        <v>44621</v>
      </c>
      <c r="J578" s="6">
        <v>0</v>
      </c>
      <c r="K578" s="75">
        <v>0</v>
      </c>
      <c r="L578" s="6">
        <v>65.552000000000007</v>
      </c>
      <c r="M578" s="75">
        <v>65.552000000000007</v>
      </c>
      <c r="N578" s="6">
        <v>65.552000000000007</v>
      </c>
      <c r="O578" s="75">
        <v>65.552000000000007</v>
      </c>
      <c r="P578" s="6">
        <v>36</v>
      </c>
      <c r="Q578" s="4" t="s">
        <v>26</v>
      </c>
      <c r="R578" s="4">
        <v>0</v>
      </c>
      <c r="S578" s="4">
        <v>0</v>
      </c>
      <c r="T578" s="4">
        <v>17</v>
      </c>
      <c r="U578" s="4">
        <v>89</v>
      </c>
      <c r="V578" s="75">
        <f>IF(ISERROR(VLOOKUP($S$578,'TAR FIN'!$A$1:$O$93,15,0)),0,VLOOKUP($S$578,'TAR FIN'!$A$1:$O$93,15,0))</f>
        <v>0</v>
      </c>
      <c r="W578" s="75">
        <f>IF(ISERROR(VLOOKUP($T$578,'TAR FIN'!$A$1:$O$93,15,0)),0,VLOOKUP($T$578,'TAR FIN'!$A$1:$O$93,15,0))*(1-0.06)</f>
        <v>256.53539999999998</v>
      </c>
      <c r="X578" s="75">
        <f>IF(ISERROR(VLOOKUP($U$578,'TAR FIN'!$A$1:$O$93,15,0)),0,VLOOKUP($U$578,'TAR FIN'!$A$1:$O$93,15,0))*(1-0.06)</f>
        <v>174.0692</v>
      </c>
      <c r="Y578" s="75"/>
      <c r="Z578" s="75">
        <f ca="1">('TUSD BE'!$AM$52+'TUSD BF'!$AM$52+'TUSD CVA'!$AM$52)*1*(1-0.03)</f>
        <v>283.40155552865474</v>
      </c>
      <c r="AA578" s="75">
        <f>('TE BE'!$AB$41+'TE BF'!$AB$41+'TE CVA'!$AB$41)*1*(1-0.03)</f>
        <v>192.23648936268484</v>
      </c>
      <c r="AB578" s="75">
        <f>(SUBSIDIO!$J$578*SUBSIDIO!$V$578)*(0.06)/(1-0.06)</f>
        <v>0</v>
      </c>
      <c r="AC578" s="75">
        <f>((SUBSIDIO!$L$578*SUBSIDIO!$W$578)+(SUBSIDIO!$N$578*SUBSIDIO!$X$578))*(0.06)/(1-0.06)</f>
        <v>1801.7229408000001</v>
      </c>
      <c r="AD578" s="75">
        <f>(SUBSIDIO!$J$578*SUBSIDIO!$Y$578)*(0.03)/(1-0.03)</f>
        <v>0</v>
      </c>
      <c r="AE578" s="75">
        <f ca="1">((SUBSIDIO!$L$578*SUBSIDIO!$Z$578)+(SUBSIDIO!$N$578*SUBSIDIO!$AA$578))*(0.03)/(1-0.03)</f>
        <v>964.29974593970394</v>
      </c>
      <c r="AF578" s="4" t="s">
        <v>640</v>
      </c>
    </row>
    <row r="579" spans="1:32" ht="11.25" customHeight="1" x14ac:dyDescent="0.25">
      <c r="A579" s="4" t="s">
        <v>21</v>
      </c>
      <c r="B579" s="4" t="s">
        <v>33</v>
      </c>
      <c r="C579" s="4" t="s">
        <v>23</v>
      </c>
      <c r="D579" s="4" t="s">
        <v>47</v>
      </c>
      <c r="E579" s="4" t="s">
        <v>48</v>
      </c>
      <c r="F579" s="4" t="s">
        <v>25</v>
      </c>
      <c r="G579" s="4" t="s">
        <v>25</v>
      </c>
      <c r="H579" s="4" t="s">
        <v>25</v>
      </c>
      <c r="I579" s="5">
        <v>44652</v>
      </c>
      <c r="J579" s="6">
        <v>0</v>
      </c>
      <c r="K579" s="75">
        <v>0</v>
      </c>
      <c r="L579" s="6">
        <v>69.268000000000001</v>
      </c>
      <c r="M579" s="75">
        <v>69.268000000000001</v>
      </c>
      <c r="N579" s="6">
        <v>69.268000000000001</v>
      </c>
      <c r="O579" s="75">
        <v>69.268000000000001</v>
      </c>
      <c r="P579" s="6">
        <v>38</v>
      </c>
      <c r="Q579" s="4" t="s">
        <v>26</v>
      </c>
      <c r="R579" s="4">
        <v>0</v>
      </c>
      <c r="S579" s="4">
        <v>0</v>
      </c>
      <c r="T579" s="4">
        <v>17</v>
      </c>
      <c r="U579" s="4">
        <v>89</v>
      </c>
      <c r="V579" s="75">
        <f>IF(ISERROR(VLOOKUP($S$579,'TAR FIN'!$A$1:$O$93,15,0)),0,VLOOKUP($S$579,'TAR FIN'!$A$1:$O$93,15,0))</f>
        <v>0</v>
      </c>
      <c r="W579" s="75">
        <f>IF(ISERROR(VLOOKUP($T$579,'TAR FIN'!$A$1:$O$93,15,0)),0,VLOOKUP($T$579,'TAR FIN'!$A$1:$O$93,15,0))*(1-0.06)</f>
        <v>256.53539999999998</v>
      </c>
      <c r="X579" s="75">
        <f>IF(ISERROR(VLOOKUP($U$579,'TAR FIN'!$A$1:$O$93,15,0)),0,VLOOKUP($U$579,'TAR FIN'!$A$1:$O$93,15,0))*(1-0.06)</f>
        <v>174.0692</v>
      </c>
      <c r="Y579" s="75"/>
      <c r="Z579" s="75">
        <f ca="1">('TUSD BE'!$AM$52+'TUSD BF'!$AM$52+'TUSD CVA'!$AM$52)*1*(1-0.03)</f>
        <v>283.40155552865474</v>
      </c>
      <c r="AA579" s="75">
        <f>('TE BE'!$AB$41+'TE BF'!$AB$41+'TE CVA'!$AB$41)*1*(1-0.03)</f>
        <v>192.23648936268484</v>
      </c>
      <c r="AB579" s="75">
        <f>(SUBSIDIO!$J$579*SUBSIDIO!$V$579)*(0.06)/(1-0.06)</f>
        <v>0</v>
      </c>
      <c r="AC579" s="75">
        <f>((SUBSIDIO!$L$579*SUBSIDIO!$W$579)+(SUBSIDIO!$N$579*SUBSIDIO!$X$579))*(0.06)/(1-0.06)</f>
        <v>1903.8586872000001</v>
      </c>
      <c r="AD579" s="75">
        <f>(SUBSIDIO!$J$579*SUBSIDIO!$Y$579)*(0.03)/(1-0.03)</f>
        <v>0</v>
      </c>
      <c r="AE579" s="75">
        <f ca="1">((SUBSIDIO!$L$579*SUBSIDIO!$Z$579)+(SUBSIDIO!$N$579*SUBSIDIO!$AA$579))*(0.03)/(1-0.03)</f>
        <v>1018.9637967072157</v>
      </c>
      <c r="AF579" s="4" t="s">
        <v>640</v>
      </c>
    </row>
    <row r="580" spans="1:32" ht="11.25" customHeight="1" x14ac:dyDescent="0.25">
      <c r="A580" s="4" t="s">
        <v>21</v>
      </c>
      <c r="B580" s="4" t="s">
        <v>33</v>
      </c>
      <c r="C580" s="4" t="s">
        <v>23</v>
      </c>
      <c r="D580" s="4" t="s">
        <v>47</v>
      </c>
      <c r="E580" s="4" t="s">
        <v>48</v>
      </c>
      <c r="F580" s="4" t="s">
        <v>25</v>
      </c>
      <c r="G580" s="4" t="s">
        <v>25</v>
      </c>
      <c r="H580" s="4" t="s">
        <v>25</v>
      </c>
      <c r="I580" s="5">
        <v>44682</v>
      </c>
      <c r="J580" s="6">
        <v>0</v>
      </c>
      <c r="K580" s="75">
        <v>0</v>
      </c>
      <c r="L580" s="6">
        <v>72.277000000000001</v>
      </c>
      <c r="M580" s="75">
        <v>72.277000000000001</v>
      </c>
      <c r="N580" s="6">
        <v>72.277000000000001</v>
      </c>
      <c r="O580" s="75">
        <v>72.277000000000001</v>
      </c>
      <c r="P580" s="6">
        <v>39</v>
      </c>
      <c r="Q580" s="4" t="s">
        <v>26</v>
      </c>
      <c r="R580" s="4">
        <v>0</v>
      </c>
      <c r="S580" s="4">
        <v>0</v>
      </c>
      <c r="T580" s="4">
        <v>17</v>
      </c>
      <c r="U580" s="4">
        <v>89</v>
      </c>
      <c r="V580" s="75">
        <f>IF(ISERROR(VLOOKUP($S$580,'TAR FIN'!$A$1:$O$93,15,0)),0,VLOOKUP($S$580,'TAR FIN'!$A$1:$O$93,15,0))</f>
        <v>0</v>
      </c>
      <c r="W580" s="75">
        <f>IF(ISERROR(VLOOKUP($T$580,'TAR FIN'!$A$1:$O$93,15,0)),0,VLOOKUP($T$580,'TAR FIN'!$A$1:$O$93,15,0))*(1-0.06)</f>
        <v>256.53539999999998</v>
      </c>
      <c r="X580" s="75">
        <f>IF(ISERROR(VLOOKUP($U$580,'TAR FIN'!$A$1:$O$93,15,0)),0,VLOOKUP($U$580,'TAR FIN'!$A$1:$O$93,15,0))*(1-0.06)</f>
        <v>174.0692</v>
      </c>
      <c r="Y580" s="75"/>
      <c r="Z580" s="75">
        <f ca="1">('TUSD BE'!$AM$52+'TUSD BF'!$AM$52+'TUSD CVA'!$AM$52)*1*(1-0.03)</f>
        <v>283.40155552865474</v>
      </c>
      <c r="AA580" s="75">
        <f>('TE BE'!$AB$41+'TE BF'!$AB$41+'TE CVA'!$AB$41)*1*(1-0.03)</f>
        <v>192.23648936268484</v>
      </c>
      <c r="AB580" s="75">
        <f>(SUBSIDIO!$J$580*SUBSIDIO!$V$580)*(0.06)/(1-0.06)</f>
        <v>0</v>
      </c>
      <c r="AC580" s="75">
        <f>((SUBSIDIO!$L$580*SUBSIDIO!$W$580)+(SUBSIDIO!$N$580*SUBSIDIO!$X$580))*(0.06)/(1-0.06)</f>
        <v>1986.5622557999998</v>
      </c>
      <c r="AD580" s="75">
        <f>(SUBSIDIO!$J$580*SUBSIDIO!$Y$580)*(0.03)/(1-0.03)</f>
        <v>0</v>
      </c>
      <c r="AE580" s="75">
        <f ca="1">((SUBSIDIO!$L$580*SUBSIDIO!$Z$580)+(SUBSIDIO!$N$580*SUBSIDIO!$AA$580))*(0.03)/(1-0.03)</f>
        <v>1063.2275557921037</v>
      </c>
      <c r="AF580" s="4" t="s">
        <v>640</v>
      </c>
    </row>
    <row r="581" spans="1:32" ht="11.25" customHeight="1" x14ac:dyDescent="0.25">
      <c r="A581" s="4" t="s">
        <v>27</v>
      </c>
      <c r="B581" s="4" t="s">
        <v>33</v>
      </c>
      <c r="C581" s="4" t="s">
        <v>23</v>
      </c>
      <c r="D581" s="4" t="s">
        <v>47</v>
      </c>
      <c r="E581" s="4" t="s">
        <v>48</v>
      </c>
      <c r="F581" s="4" t="s">
        <v>25</v>
      </c>
      <c r="G581" s="4" t="s">
        <v>25</v>
      </c>
      <c r="H581" s="4" t="s">
        <v>25</v>
      </c>
      <c r="I581" s="5">
        <v>44682</v>
      </c>
      <c r="J581" s="6">
        <v>0</v>
      </c>
      <c r="K581" s="75">
        <v>0</v>
      </c>
      <c r="L581" s="6">
        <v>-0.19800000000000001</v>
      </c>
      <c r="M581" s="75">
        <v>-0.19800000000000001</v>
      </c>
      <c r="N581" s="6">
        <v>-0.19800000000000001</v>
      </c>
      <c r="O581" s="75">
        <v>-0.19800000000000001</v>
      </c>
      <c r="P581" s="6">
        <v>-1</v>
      </c>
      <c r="Q581" s="4" t="s">
        <v>26</v>
      </c>
      <c r="R581" s="4">
        <v>0</v>
      </c>
      <c r="S581" s="4">
        <v>0</v>
      </c>
      <c r="T581" s="4">
        <v>17</v>
      </c>
      <c r="U581" s="4">
        <v>89</v>
      </c>
      <c r="V581" s="75">
        <f>IF(ISERROR(VLOOKUP($S$581,'TAR FIN'!$A$1:$O$93,15,0)),0,VLOOKUP($S$581,'TAR FIN'!$A$1:$O$93,15,0))</f>
        <v>0</v>
      </c>
      <c r="W581" s="75">
        <f>IF(ISERROR(VLOOKUP($T$581,'TAR FIN'!$A$1:$O$93,15,0)),0,VLOOKUP($T$581,'TAR FIN'!$A$1:$O$93,15,0))*(1-0.06)</f>
        <v>256.53539999999998</v>
      </c>
      <c r="X581" s="75">
        <f>IF(ISERROR(VLOOKUP($U$581,'TAR FIN'!$A$1:$O$93,15,0)),0,VLOOKUP($U$581,'TAR FIN'!$A$1:$O$93,15,0))*(1-0.06)</f>
        <v>174.0692</v>
      </c>
      <c r="Y581" s="75"/>
      <c r="Z581" s="75">
        <f ca="1">('TUSD BE'!$AM$52+'TUSD BF'!$AM$52+'TUSD CVA'!$AM$52)*1*(1-0.03)</f>
        <v>283.40155552865474</v>
      </c>
      <c r="AA581" s="75">
        <f>('TE BE'!$AB$41+'TE BF'!$AB$41+'TE CVA'!$AB$41)*1*(1-0.03)</f>
        <v>192.23648936268484</v>
      </c>
      <c r="AB581" s="75">
        <f>(SUBSIDIO!$J$581*SUBSIDIO!$V$581)*(0.06)/(1-0.06)</f>
        <v>0</v>
      </c>
      <c r="AC581" s="75">
        <f>((SUBSIDIO!$L$581*SUBSIDIO!$W$581)+(SUBSIDIO!$N$581*SUBSIDIO!$X$581))*(0.06)/(1-0.06)</f>
        <v>-5.4421092</v>
      </c>
      <c r="AD581" s="75">
        <f>(SUBSIDIO!$J$581*SUBSIDIO!$Y$581)*(0.03)/(1-0.03)</f>
        <v>0</v>
      </c>
      <c r="AE581" s="75">
        <f ca="1">((SUBSIDIO!$L$581*SUBSIDIO!$Z$581)+(SUBSIDIO!$N$581*SUBSIDIO!$AA$581))*(0.03)/(1-0.03)</f>
        <v>-2.9126700893345947</v>
      </c>
      <c r="AF581" s="4" t="s">
        <v>640</v>
      </c>
    </row>
    <row r="582" spans="1:32" ht="11.25" customHeight="1" x14ac:dyDescent="0.25">
      <c r="A582" s="4" t="s">
        <v>21</v>
      </c>
      <c r="B582" s="4" t="s">
        <v>33</v>
      </c>
      <c r="C582" s="4" t="s">
        <v>23</v>
      </c>
      <c r="D582" s="4" t="s">
        <v>47</v>
      </c>
      <c r="E582" s="4" t="s">
        <v>48</v>
      </c>
      <c r="F582" s="4" t="s">
        <v>25</v>
      </c>
      <c r="G582" s="4" t="s">
        <v>25</v>
      </c>
      <c r="H582" s="4" t="s">
        <v>25</v>
      </c>
      <c r="I582" s="5">
        <v>44713</v>
      </c>
      <c r="J582" s="6">
        <v>0</v>
      </c>
      <c r="K582" s="75">
        <v>0</v>
      </c>
      <c r="L582" s="6">
        <v>68.784999999999997</v>
      </c>
      <c r="M582" s="75">
        <v>68.784999999999997</v>
      </c>
      <c r="N582" s="6">
        <v>68.784999999999997</v>
      </c>
      <c r="O582" s="75">
        <v>68.784999999999997</v>
      </c>
      <c r="P582" s="6">
        <v>38</v>
      </c>
      <c r="Q582" s="4" t="s">
        <v>26</v>
      </c>
      <c r="R582" s="4">
        <v>0</v>
      </c>
      <c r="S582" s="4">
        <v>0</v>
      </c>
      <c r="T582" s="4">
        <v>17</v>
      </c>
      <c r="U582" s="4">
        <v>89</v>
      </c>
      <c r="V582" s="75">
        <f>IF(ISERROR(VLOOKUP($S$582,'TAR FIN'!$A$1:$O$93,15,0)),0,VLOOKUP($S$582,'TAR FIN'!$A$1:$O$93,15,0))</f>
        <v>0</v>
      </c>
      <c r="W582" s="75">
        <f>IF(ISERROR(VLOOKUP($T$582,'TAR FIN'!$A$1:$O$93,15,0)),0,VLOOKUP($T$582,'TAR FIN'!$A$1:$O$93,15,0))*(1-0.06)</f>
        <v>256.53539999999998</v>
      </c>
      <c r="X582" s="75">
        <f>IF(ISERROR(VLOOKUP($U$582,'TAR FIN'!$A$1:$O$93,15,0)),0,VLOOKUP($U$582,'TAR FIN'!$A$1:$O$93,15,0))*(1-0.06)</f>
        <v>174.0692</v>
      </c>
      <c r="Y582" s="75"/>
      <c r="Z582" s="75">
        <f ca="1">('TUSD BE'!$AM$52+'TUSD BF'!$AM$52+'TUSD CVA'!$AM$52)*1*(1-0.03)</f>
        <v>283.40155552865474</v>
      </c>
      <c r="AA582" s="75">
        <f>('TE BE'!$AB$41+'TE BF'!$AB$41+'TE CVA'!$AB$41)*1*(1-0.03)</f>
        <v>192.23648936268484</v>
      </c>
      <c r="AB582" s="75">
        <f>(SUBSIDIO!$J$582*SUBSIDIO!$V$582)*(0.06)/(1-0.06)</f>
        <v>0</v>
      </c>
      <c r="AC582" s="75">
        <f>((SUBSIDIO!$L$582*SUBSIDIO!$W$582)+(SUBSIDIO!$N$582*SUBSIDIO!$X$582))*(0.06)/(1-0.06)</f>
        <v>1890.5832389999996</v>
      </c>
      <c r="AD582" s="75">
        <f>(SUBSIDIO!$J$582*SUBSIDIO!$Y$582)*(0.03)/(1-0.03)</f>
        <v>0</v>
      </c>
      <c r="AE582" s="75">
        <f ca="1">((SUBSIDIO!$L$582*SUBSIDIO!$Z$582)+(SUBSIDIO!$N$582*SUBSIDIO!$AA$582))*(0.03)/(1-0.03)</f>
        <v>1011.8586469438389</v>
      </c>
      <c r="AF582" s="4" t="s">
        <v>640</v>
      </c>
    </row>
    <row r="583" spans="1:32" ht="11.25" customHeight="1" x14ac:dyDescent="0.25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1:32" ht="11.25" customHeight="1" x14ac:dyDescent="0.25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1:32" ht="11.25" customHeight="1" x14ac:dyDescent="0.25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1:32" ht="11.25" customHeight="1" x14ac:dyDescent="0.25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1:32" ht="11.25" customHeight="1" x14ac:dyDescent="0.25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1:32" ht="11.25" customHeight="1" x14ac:dyDescent="0.25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1:32" ht="11.25" customHeight="1" x14ac:dyDescent="0.25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1:32" ht="11.25" customHeight="1" x14ac:dyDescent="0.25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1:32" ht="11.25" customHeight="1" x14ac:dyDescent="0.25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1:32" ht="11.25" customHeight="1" x14ac:dyDescent="0.25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25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25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25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25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25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25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25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25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25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25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25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25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25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25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25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25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25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25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25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25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25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25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25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25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25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25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25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25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25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25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25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25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25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25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25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25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25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25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22:31" ht="11.25" customHeight="1" x14ac:dyDescent="0.25"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22:31" ht="11.25" customHeight="1" x14ac:dyDescent="0.25"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22:31" ht="11.25" customHeight="1" x14ac:dyDescent="0.25"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22:31" ht="11.25" customHeight="1" x14ac:dyDescent="0.25"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22:31" ht="11.25" customHeight="1" x14ac:dyDescent="0.25"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22:31" ht="11.25" customHeight="1" x14ac:dyDescent="0.25"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22:31" ht="11.25" customHeight="1" x14ac:dyDescent="0.25"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22:31" ht="11.25" customHeight="1" x14ac:dyDescent="0.25"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22:31" ht="11.25" customHeight="1" x14ac:dyDescent="0.25"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22:31" ht="11.25" customHeight="1" x14ac:dyDescent="0.25"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22:31" ht="11.25" customHeight="1" x14ac:dyDescent="0.25"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22:31" ht="11.25" customHeight="1" x14ac:dyDescent="0.25"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22:31" ht="11.25" customHeight="1" x14ac:dyDescent="0.25"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22:31" ht="11.25" customHeight="1" x14ac:dyDescent="0.25"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22:31" ht="11.25" customHeight="1" x14ac:dyDescent="0.25"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22:31" ht="11.25" customHeight="1" x14ac:dyDescent="0.25"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22:31" ht="11.25" customHeight="1" x14ac:dyDescent="0.25"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22:31" ht="11.25" customHeight="1" x14ac:dyDescent="0.25"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22:31" ht="11.25" customHeight="1" x14ac:dyDescent="0.25"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spans="22:31" ht="11.25" customHeight="1" x14ac:dyDescent="0.25"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spans="22:31" ht="11.25" customHeight="1" x14ac:dyDescent="0.25"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spans="22:31" ht="11.25" customHeight="1" x14ac:dyDescent="0.25"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spans="22:31" ht="11.25" customHeight="1" x14ac:dyDescent="0.25"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spans="22:31" ht="11.25" customHeight="1" x14ac:dyDescent="0.25"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spans="22:31" ht="11.25" customHeight="1" x14ac:dyDescent="0.25"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spans="22:31" ht="11.25" customHeight="1" x14ac:dyDescent="0.25"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spans="22:31" ht="11.25" customHeight="1" x14ac:dyDescent="0.25"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spans="22:31" ht="11.25" customHeight="1" x14ac:dyDescent="0.25"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spans="22:31" ht="11.25" customHeight="1" x14ac:dyDescent="0.25"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spans="22:31" ht="11.25" customHeight="1" x14ac:dyDescent="0.25"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spans="22:31" ht="11.25" customHeight="1" x14ac:dyDescent="0.25"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spans="22:31" ht="11.25" customHeight="1" x14ac:dyDescent="0.25"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spans="22:31" ht="11.25" customHeight="1" x14ac:dyDescent="0.25"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spans="22:31" ht="11.25" customHeight="1" x14ac:dyDescent="0.25"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spans="22:31" ht="11.25" customHeight="1" x14ac:dyDescent="0.25"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spans="22:31" ht="11.25" customHeight="1" x14ac:dyDescent="0.25"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spans="22:31" ht="11.25" customHeight="1" x14ac:dyDescent="0.25"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spans="22:31" ht="11.25" customHeight="1" x14ac:dyDescent="0.25"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spans="22:31" ht="11.25" customHeight="1" x14ac:dyDescent="0.25"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spans="22:31" ht="11.25" customHeight="1" x14ac:dyDescent="0.25"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spans="22:31" ht="11.25" customHeight="1" x14ac:dyDescent="0.25"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spans="22:31" ht="11.25" customHeight="1" x14ac:dyDescent="0.25"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spans="22:31" ht="11.25" customHeight="1" x14ac:dyDescent="0.25"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spans="22:31" ht="11.25" customHeight="1" x14ac:dyDescent="0.25"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spans="22:31" ht="11.25" customHeight="1" x14ac:dyDescent="0.25"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spans="22:31" ht="11.25" customHeight="1" x14ac:dyDescent="0.25"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spans="22:31" ht="11.25" customHeight="1" x14ac:dyDescent="0.25"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spans="22:31" ht="11.25" customHeight="1" x14ac:dyDescent="0.25"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spans="22:31" ht="11.25" customHeight="1" x14ac:dyDescent="0.25"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spans="22:31" ht="11.25" customHeight="1" x14ac:dyDescent="0.25"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spans="22:31" ht="11.25" customHeight="1" x14ac:dyDescent="0.25"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spans="22:31" ht="11.25" customHeight="1" x14ac:dyDescent="0.25"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spans="22:31" ht="11.25" customHeight="1" x14ac:dyDescent="0.25"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spans="22:31" ht="11.25" customHeight="1" x14ac:dyDescent="0.25"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spans="22:31" ht="11.25" customHeight="1" x14ac:dyDescent="0.25"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spans="22:31" ht="11.25" customHeight="1" x14ac:dyDescent="0.25"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spans="22:31" ht="11.25" customHeight="1" x14ac:dyDescent="0.25"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spans="22:31" ht="11.25" customHeight="1" x14ac:dyDescent="0.25"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spans="22:31" ht="11.25" customHeight="1" x14ac:dyDescent="0.25"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spans="22:31" ht="11.25" customHeight="1" x14ac:dyDescent="0.25"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spans="22:31" ht="11.25" customHeight="1" x14ac:dyDescent="0.25"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spans="22:31" ht="11.25" customHeight="1" x14ac:dyDescent="0.25"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spans="22:31" ht="11.25" customHeight="1" x14ac:dyDescent="0.25"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spans="22:31" ht="11.25" customHeight="1" x14ac:dyDescent="0.25"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spans="22:31" ht="11.25" customHeight="1" x14ac:dyDescent="0.25"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spans="22:31" ht="11.25" customHeight="1" x14ac:dyDescent="0.25"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spans="22:31" ht="11.25" customHeight="1" x14ac:dyDescent="0.25"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spans="22:31" ht="11.25" customHeight="1" x14ac:dyDescent="0.25"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spans="22:31" ht="11.25" customHeight="1" x14ac:dyDescent="0.25"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spans="22:31" ht="11.25" customHeight="1" x14ac:dyDescent="0.25"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spans="22:31" ht="11.25" customHeight="1" x14ac:dyDescent="0.25"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spans="22:31" ht="11.25" customHeight="1" x14ac:dyDescent="0.25"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spans="22:31" ht="11.25" customHeight="1" x14ac:dyDescent="0.25"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spans="22:31" ht="11.25" customHeight="1" x14ac:dyDescent="0.25"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spans="22:31" ht="11.25" customHeight="1" x14ac:dyDescent="0.25"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spans="22:31" ht="11.25" customHeight="1" x14ac:dyDescent="0.25"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spans="22:31" ht="11.25" customHeight="1" x14ac:dyDescent="0.25"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spans="22:31" ht="11.25" customHeight="1" x14ac:dyDescent="0.25"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  <row r="709" spans="22:31" ht="11.25" customHeight="1" x14ac:dyDescent="0.25">
      <c r="V709" s="6"/>
      <c r="W709" s="6"/>
      <c r="X709" s="6"/>
      <c r="Y709" s="6"/>
      <c r="Z709" s="6"/>
      <c r="AA709" s="6"/>
      <c r="AB709" s="6"/>
      <c r="AC709" s="6"/>
      <c r="AD709" s="6"/>
      <c r="AE709" s="6"/>
    </row>
    <row r="710" spans="22:31" ht="11.25" customHeight="1" x14ac:dyDescent="0.25">
      <c r="V710" s="6"/>
      <c r="W710" s="6"/>
      <c r="X710" s="6"/>
      <c r="Y710" s="6"/>
      <c r="Z710" s="6"/>
      <c r="AA710" s="6"/>
      <c r="AB710" s="6"/>
      <c r="AC710" s="6"/>
      <c r="AD710" s="6"/>
      <c r="AE710" s="6"/>
    </row>
    <row r="711" spans="22:31" ht="11.25" customHeight="1" x14ac:dyDescent="0.25">
      <c r="V711" s="6"/>
      <c r="W711" s="6"/>
      <c r="X711" s="6"/>
      <c r="Y711" s="6"/>
      <c r="Z711" s="6"/>
      <c r="AA711" s="6"/>
      <c r="AB711" s="6"/>
      <c r="AC711" s="6"/>
      <c r="AD711" s="6"/>
      <c r="AE711" s="6"/>
    </row>
    <row r="712" spans="22:31" ht="11.25" customHeight="1" x14ac:dyDescent="0.25">
      <c r="V712" s="6"/>
      <c r="W712" s="6"/>
      <c r="X712" s="6"/>
      <c r="Y712" s="6"/>
      <c r="Z712" s="6"/>
      <c r="AA712" s="6"/>
      <c r="AB712" s="6"/>
      <c r="AC712" s="6"/>
      <c r="AD712" s="6"/>
      <c r="AE712" s="6"/>
    </row>
    <row r="713" spans="22:31" ht="11.25" customHeight="1" x14ac:dyDescent="0.25">
      <c r="V713" s="6"/>
      <c r="W713" s="6"/>
      <c r="X713" s="6"/>
      <c r="Y713" s="6"/>
      <c r="Z713" s="6"/>
      <c r="AA713" s="6"/>
      <c r="AB713" s="6"/>
      <c r="AC713" s="6"/>
      <c r="AD713" s="6"/>
      <c r="AE713" s="6"/>
    </row>
    <row r="714" spans="22:31" ht="11.25" customHeight="1" x14ac:dyDescent="0.25">
      <c r="V714" s="6"/>
      <c r="W714" s="6"/>
      <c r="X714" s="6"/>
      <c r="Y714" s="6"/>
      <c r="Z714" s="6"/>
      <c r="AA714" s="6"/>
      <c r="AB714" s="6"/>
      <c r="AC714" s="6"/>
      <c r="AD714" s="6"/>
      <c r="AE714" s="6"/>
    </row>
    <row r="715" spans="22:31" ht="11.25" customHeight="1" x14ac:dyDescent="0.25">
      <c r="V715" s="6"/>
      <c r="W715" s="6"/>
      <c r="X715" s="6"/>
      <c r="Y715" s="6"/>
      <c r="Z715" s="6"/>
      <c r="AA715" s="6"/>
      <c r="AB715" s="6"/>
      <c r="AC715" s="6"/>
      <c r="AD715" s="6"/>
      <c r="AE715" s="6"/>
    </row>
    <row r="716" spans="22:31" ht="11.25" customHeight="1" x14ac:dyDescent="0.25">
      <c r="V716" s="6"/>
      <c r="W716" s="6"/>
      <c r="X716" s="6"/>
      <c r="Y716" s="6"/>
      <c r="Z716" s="6"/>
      <c r="AA716" s="6"/>
      <c r="AB716" s="6"/>
      <c r="AC716" s="6"/>
      <c r="AD716" s="6"/>
      <c r="AE716" s="6"/>
    </row>
    <row r="717" spans="22:31" ht="11.25" customHeight="1" x14ac:dyDescent="0.25">
      <c r="V717" s="6"/>
      <c r="W717" s="6"/>
      <c r="X717" s="6"/>
      <c r="Y717" s="6"/>
      <c r="Z717" s="6"/>
      <c r="AA717" s="6"/>
      <c r="AB717" s="6"/>
      <c r="AC717" s="6"/>
      <c r="AD717" s="6"/>
      <c r="AE717" s="6"/>
    </row>
    <row r="718" spans="22:31" ht="11.25" customHeight="1" x14ac:dyDescent="0.25">
      <c r="V718" s="6"/>
      <c r="W718" s="6"/>
      <c r="X718" s="6"/>
      <c r="Y718" s="6"/>
      <c r="Z718" s="6"/>
      <c r="AA718" s="6"/>
      <c r="AB718" s="6"/>
      <c r="AC718" s="6"/>
      <c r="AD718" s="6"/>
      <c r="AE718" s="6"/>
    </row>
    <row r="719" spans="22:31" ht="11.25" customHeight="1" x14ac:dyDescent="0.25">
      <c r="V719" s="6"/>
      <c r="W719" s="6"/>
      <c r="X719" s="6"/>
      <c r="Y719" s="6"/>
      <c r="Z719" s="6"/>
      <c r="AA719" s="6"/>
      <c r="AB719" s="6"/>
      <c r="AC719" s="6"/>
      <c r="AD719" s="6"/>
      <c r="AE719" s="6"/>
    </row>
    <row r="720" spans="22:31" ht="11.25" customHeight="1" x14ac:dyDescent="0.25">
      <c r="V720" s="6"/>
      <c r="W720" s="6"/>
      <c r="X720" s="6"/>
      <c r="Y720" s="6"/>
      <c r="Z720" s="6"/>
      <c r="AA720" s="6"/>
      <c r="AB720" s="6"/>
      <c r="AC720" s="6"/>
      <c r="AD720" s="6"/>
      <c r="AE720" s="6"/>
    </row>
    <row r="721" spans="22:31" ht="11.25" customHeight="1" x14ac:dyDescent="0.25">
      <c r="V721" s="6"/>
      <c r="W721" s="6"/>
      <c r="X721" s="6"/>
      <c r="Y721" s="6"/>
      <c r="Z721" s="6"/>
      <c r="AA721" s="6"/>
      <c r="AB721" s="6"/>
      <c r="AC721" s="6"/>
      <c r="AD721" s="6"/>
      <c r="AE721" s="6"/>
    </row>
    <row r="722" spans="22:31" ht="11.25" customHeight="1" x14ac:dyDescent="0.25">
      <c r="V722" s="6"/>
      <c r="W722" s="6"/>
      <c r="X722" s="6"/>
      <c r="Y722" s="6"/>
      <c r="Z722" s="6"/>
      <c r="AA722" s="6"/>
      <c r="AB722" s="6"/>
      <c r="AC722" s="6"/>
      <c r="AD722" s="6"/>
      <c r="AE722" s="6"/>
    </row>
    <row r="723" spans="22:31" ht="11.25" customHeight="1" x14ac:dyDescent="0.25">
      <c r="V723" s="6"/>
      <c r="W723" s="6"/>
      <c r="X723" s="6"/>
      <c r="Y723" s="6"/>
      <c r="Z723" s="6"/>
      <c r="AA723" s="6"/>
      <c r="AB723" s="6"/>
      <c r="AC723" s="6"/>
      <c r="AD723" s="6"/>
      <c r="AE723" s="6"/>
    </row>
    <row r="724" spans="22:31" ht="11.25" customHeight="1" x14ac:dyDescent="0.25">
      <c r="V724" s="6"/>
      <c r="W724" s="6"/>
      <c r="X724" s="6"/>
      <c r="Y724" s="6"/>
      <c r="Z724" s="6"/>
      <c r="AA724" s="6"/>
      <c r="AB724" s="6"/>
      <c r="AC724" s="6"/>
      <c r="AD724" s="6"/>
      <c r="AE724" s="6"/>
    </row>
    <row r="725" spans="22:31" ht="11.25" customHeight="1" x14ac:dyDescent="0.25">
      <c r="V725" s="6"/>
      <c r="W725" s="6"/>
      <c r="X725" s="6"/>
      <c r="Y725" s="6"/>
      <c r="Z725" s="6"/>
      <c r="AA725" s="6"/>
      <c r="AB725" s="6"/>
      <c r="AC725" s="6"/>
      <c r="AD725" s="6"/>
      <c r="AE725" s="6"/>
    </row>
    <row r="726" spans="22:31" ht="11.25" customHeight="1" x14ac:dyDescent="0.25">
      <c r="V726" s="6"/>
      <c r="W726" s="6"/>
      <c r="X726" s="6"/>
      <c r="Y726" s="6"/>
      <c r="Z726" s="6"/>
      <c r="AA726" s="6"/>
      <c r="AB726" s="6"/>
      <c r="AC726" s="6"/>
      <c r="AD726" s="6"/>
      <c r="AE726" s="6"/>
    </row>
    <row r="727" spans="22:31" ht="11.25" customHeight="1" x14ac:dyDescent="0.25">
      <c r="V727" s="6"/>
      <c r="W727" s="6"/>
      <c r="X727" s="6"/>
      <c r="Y727" s="6"/>
      <c r="Z727" s="6"/>
      <c r="AA727" s="6"/>
      <c r="AB727" s="6"/>
      <c r="AC727" s="6"/>
      <c r="AD727" s="6"/>
      <c r="AE727" s="6"/>
    </row>
    <row r="728" spans="22:31" ht="11.25" customHeight="1" x14ac:dyDescent="0.25">
      <c r="V728" s="6"/>
      <c r="W728" s="6"/>
      <c r="X728" s="6"/>
      <c r="Y728" s="6"/>
      <c r="Z728" s="6"/>
      <c r="AA728" s="6"/>
      <c r="AB728" s="6"/>
      <c r="AC728" s="6"/>
      <c r="AD728" s="6"/>
      <c r="AE728" s="6"/>
    </row>
    <row r="729" spans="22:31" ht="11.25" customHeight="1" x14ac:dyDescent="0.25">
      <c r="V729" s="6"/>
      <c r="W729" s="6"/>
      <c r="X729" s="6"/>
      <c r="Y729" s="6"/>
      <c r="Z729" s="6"/>
      <c r="AA729" s="6"/>
      <c r="AB729" s="6"/>
      <c r="AC729" s="6"/>
      <c r="AD729" s="6"/>
      <c r="AE729" s="6"/>
    </row>
    <row r="730" spans="22:31" ht="11.25" customHeight="1" x14ac:dyDescent="0.25">
      <c r="V730" s="6"/>
      <c r="W730" s="6"/>
      <c r="X730" s="6"/>
      <c r="Y730" s="6"/>
      <c r="Z730" s="6"/>
      <c r="AA730" s="6"/>
      <c r="AB730" s="6"/>
      <c r="AC730" s="6"/>
      <c r="AD730" s="6"/>
      <c r="AE730" s="6"/>
    </row>
    <row r="731" spans="22:31" ht="11.25" customHeight="1" x14ac:dyDescent="0.25">
      <c r="V731" s="6"/>
      <c r="W731" s="6"/>
      <c r="X731" s="6"/>
      <c r="Y731" s="6"/>
      <c r="Z731" s="6"/>
      <c r="AA731" s="6"/>
      <c r="AB731" s="6"/>
      <c r="AC731" s="6"/>
      <c r="AD731" s="6"/>
      <c r="AE731" s="6"/>
    </row>
    <row r="732" spans="22:31" ht="11.25" customHeight="1" x14ac:dyDescent="0.25">
      <c r="V732" s="6"/>
      <c r="W732" s="6"/>
      <c r="X732" s="6"/>
      <c r="Y732" s="6"/>
      <c r="Z732" s="6"/>
      <c r="AA732" s="6"/>
      <c r="AB732" s="6"/>
      <c r="AC732" s="6"/>
      <c r="AD732" s="6"/>
      <c r="AE732" s="6"/>
    </row>
    <row r="733" spans="22:31" ht="11.25" customHeight="1" x14ac:dyDescent="0.25">
      <c r="V733" s="6"/>
      <c r="W733" s="6"/>
      <c r="X733" s="6"/>
      <c r="Y733" s="6"/>
      <c r="Z733" s="6"/>
      <c r="AA733" s="6"/>
      <c r="AB733" s="6"/>
      <c r="AC733" s="6"/>
      <c r="AD733" s="6"/>
      <c r="AE733" s="6"/>
    </row>
    <row r="734" spans="22:31" ht="11.25" customHeight="1" x14ac:dyDescent="0.25">
      <c r="V734" s="6"/>
      <c r="W734" s="6"/>
      <c r="X734" s="6"/>
      <c r="Y734" s="6"/>
      <c r="Z734" s="6"/>
      <c r="AA734" s="6"/>
      <c r="AB734" s="6"/>
      <c r="AC734" s="6"/>
      <c r="AD734" s="6"/>
      <c r="AE734" s="6"/>
    </row>
    <row r="735" spans="22:31" ht="11.25" customHeight="1" x14ac:dyDescent="0.25">
      <c r="V735" s="6"/>
      <c r="W735" s="6"/>
      <c r="X735" s="6"/>
      <c r="Y735" s="6"/>
      <c r="Z735" s="6"/>
      <c r="AA735" s="6"/>
      <c r="AB735" s="6"/>
      <c r="AC735" s="6"/>
      <c r="AD735" s="6"/>
      <c r="AE735" s="6"/>
    </row>
    <row r="736" spans="22:31" ht="11.25" customHeight="1" x14ac:dyDescent="0.25">
      <c r="V736" s="6"/>
      <c r="W736" s="6"/>
      <c r="X736" s="6"/>
      <c r="Y736" s="6"/>
      <c r="Z736" s="6"/>
      <c r="AA736" s="6"/>
      <c r="AB736" s="6"/>
      <c r="AC736" s="6"/>
      <c r="AD736" s="6"/>
      <c r="AE736" s="6"/>
    </row>
    <row r="737" spans="22:31" ht="11.25" customHeight="1" x14ac:dyDescent="0.25">
      <c r="V737" s="6"/>
      <c r="W737" s="6"/>
      <c r="X737" s="6"/>
      <c r="Y737" s="6"/>
      <c r="Z737" s="6"/>
      <c r="AA737" s="6"/>
      <c r="AB737" s="6"/>
      <c r="AC737" s="6"/>
      <c r="AD737" s="6"/>
      <c r="AE737" s="6"/>
    </row>
    <row r="738" spans="22:31" ht="11.25" customHeight="1" x14ac:dyDescent="0.25">
      <c r="V738" s="6"/>
      <c r="W738" s="6"/>
      <c r="X738" s="6"/>
      <c r="Y738" s="6"/>
      <c r="Z738" s="6"/>
      <c r="AA738" s="6"/>
      <c r="AB738" s="6"/>
      <c r="AC738" s="6"/>
      <c r="AD738" s="6"/>
      <c r="AE738" s="6"/>
    </row>
    <row r="739" spans="22:31" ht="11.25" customHeight="1" x14ac:dyDescent="0.25">
      <c r="V739" s="6"/>
      <c r="W739" s="6"/>
      <c r="X739" s="6"/>
      <c r="Y739" s="6"/>
      <c r="Z739" s="6"/>
      <c r="AA739" s="6"/>
      <c r="AB739" s="6"/>
      <c r="AC739" s="6"/>
      <c r="AD739" s="6"/>
      <c r="AE739" s="6"/>
    </row>
    <row r="740" spans="22:31" ht="11.25" customHeight="1" x14ac:dyDescent="0.25">
      <c r="V740" s="6"/>
      <c r="W740" s="6"/>
      <c r="X740" s="6"/>
      <c r="Y740" s="6"/>
      <c r="Z740" s="6"/>
      <c r="AA740" s="6"/>
      <c r="AB740" s="6"/>
      <c r="AC740" s="6"/>
      <c r="AD740" s="6"/>
      <c r="AE740" s="6"/>
    </row>
    <row r="741" spans="22:31" ht="11.25" customHeight="1" x14ac:dyDescent="0.25">
      <c r="V741" s="6"/>
      <c r="W741" s="6"/>
      <c r="X741" s="6"/>
      <c r="Y741" s="6"/>
      <c r="Z741" s="6"/>
      <c r="AA741" s="6"/>
      <c r="AB741" s="6"/>
      <c r="AC741" s="6"/>
      <c r="AD741" s="6"/>
      <c r="AE741" s="6"/>
    </row>
    <row r="742" spans="22:31" ht="11.25" customHeight="1" x14ac:dyDescent="0.25">
      <c r="V742" s="6"/>
      <c r="W742" s="6"/>
      <c r="X742" s="6"/>
      <c r="Y742" s="6"/>
      <c r="Z742" s="6"/>
      <c r="AA742" s="6"/>
      <c r="AB742" s="6"/>
      <c r="AC742" s="6"/>
      <c r="AD742" s="6"/>
      <c r="AE742" s="6"/>
    </row>
    <row r="743" spans="22:31" ht="11.25" customHeight="1" x14ac:dyDescent="0.25">
      <c r="V743" s="6"/>
      <c r="W743" s="6"/>
      <c r="X743" s="6"/>
      <c r="Y743" s="6"/>
      <c r="Z743" s="6"/>
      <c r="AA743" s="6"/>
      <c r="AB743" s="6"/>
      <c r="AC743" s="6"/>
      <c r="AD743" s="6"/>
      <c r="AE743" s="6"/>
    </row>
    <row r="744" spans="22:31" ht="11.25" customHeight="1" x14ac:dyDescent="0.25">
      <c r="V744" s="6"/>
      <c r="W744" s="6"/>
      <c r="X744" s="6"/>
      <c r="Y744" s="6"/>
      <c r="Z744" s="6"/>
      <c r="AA744" s="6"/>
      <c r="AB744" s="6"/>
      <c r="AC744" s="6"/>
      <c r="AD744" s="6"/>
      <c r="AE744" s="6"/>
    </row>
    <row r="745" spans="22:31" ht="11.25" customHeight="1" x14ac:dyDescent="0.25">
      <c r="V745" s="6"/>
      <c r="W745" s="6"/>
      <c r="X745" s="6"/>
      <c r="Y745" s="6"/>
      <c r="Z745" s="6"/>
      <c r="AA745" s="6"/>
      <c r="AB745" s="6"/>
      <c r="AC745" s="6"/>
      <c r="AD745" s="6"/>
      <c r="AE745" s="6"/>
    </row>
    <row r="746" spans="22:31" ht="11.25" customHeight="1" x14ac:dyDescent="0.25">
      <c r="V746" s="6"/>
      <c r="W746" s="6"/>
      <c r="X746" s="6"/>
      <c r="Y746" s="6"/>
      <c r="Z746" s="6"/>
      <c r="AA746" s="6"/>
      <c r="AB746" s="6"/>
      <c r="AC746" s="6"/>
      <c r="AD746" s="6"/>
      <c r="AE746" s="6"/>
    </row>
    <row r="747" spans="22:31" ht="11.25" customHeight="1" x14ac:dyDescent="0.25">
      <c r="V747" s="6"/>
      <c r="W747" s="6"/>
      <c r="X747" s="6"/>
      <c r="Y747" s="6"/>
      <c r="Z747" s="6"/>
      <c r="AA747" s="6"/>
      <c r="AB747" s="6"/>
      <c r="AC747" s="6"/>
      <c r="AD747" s="6"/>
      <c r="AE747" s="6"/>
    </row>
    <row r="748" spans="22:31" ht="11.25" customHeight="1" x14ac:dyDescent="0.25">
      <c r="V748" s="6"/>
      <c r="W748" s="6"/>
      <c r="X748" s="6"/>
      <c r="Y748" s="6"/>
      <c r="Z748" s="6"/>
      <c r="AA748" s="6"/>
      <c r="AB748" s="6"/>
      <c r="AC748" s="6"/>
      <c r="AD748" s="6"/>
      <c r="AE748" s="6"/>
    </row>
    <row r="749" spans="22:31" ht="11.25" customHeight="1" x14ac:dyDescent="0.25">
      <c r="V749" s="6"/>
      <c r="W749" s="6"/>
      <c r="X749" s="6"/>
      <c r="Y749" s="6"/>
      <c r="Z749" s="6"/>
      <c r="AA749" s="6"/>
      <c r="AB749" s="6"/>
      <c r="AC749" s="6"/>
      <c r="AD749" s="6"/>
      <c r="AE749" s="6"/>
    </row>
    <row r="750" spans="22:31" ht="11.25" customHeight="1" x14ac:dyDescent="0.25"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spans="22:31" ht="11.25" customHeight="1" x14ac:dyDescent="0.25">
      <c r="V751" s="6"/>
      <c r="W751" s="6"/>
      <c r="X751" s="6"/>
      <c r="Y751" s="6"/>
      <c r="Z751" s="6"/>
      <c r="AA751" s="6"/>
      <c r="AB751" s="6"/>
      <c r="AC751" s="6"/>
      <c r="AD751" s="6"/>
      <c r="AE751" s="6"/>
    </row>
    <row r="752" spans="22:31" ht="11.25" customHeight="1" x14ac:dyDescent="0.25">
      <c r="V752" s="6"/>
      <c r="W752" s="6"/>
      <c r="X752" s="6"/>
      <c r="Y752" s="6"/>
      <c r="Z752" s="6"/>
      <c r="AA752" s="6"/>
      <c r="AB752" s="6"/>
      <c r="AC752" s="6"/>
      <c r="AD752" s="6"/>
      <c r="AE752" s="6"/>
    </row>
    <row r="753" spans="22:31" ht="11.25" customHeight="1" x14ac:dyDescent="0.25">
      <c r="V753" s="6"/>
      <c r="W753" s="6"/>
      <c r="X753" s="6"/>
      <c r="Y753" s="6"/>
      <c r="Z753" s="6"/>
      <c r="AA753" s="6"/>
      <c r="AB753" s="6"/>
      <c r="AC753" s="6"/>
      <c r="AD753" s="6"/>
      <c r="AE753" s="6"/>
    </row>
    <row r="754" spans="22:31" ht="11.25" customHeight="1" x14ac:dyDescent="0.25">
      <c r="V754" s="6"/>
      <c r="W754" s="6"/>
      <c r="X754" s="6"/>
      <c r="Y754" s="6"/>
      <c r="Z754" s="6"/>
      <c r="AA754" s="6"/>
      <c r="AB754" s="6"/>
      <c r="AC754" s="6"/>
      <c r="AD754" s="6"/>
      <c r="AE754" s="6"/>
    </row>
    <row r="755" spans="22:31" ht="11.25" customHeight="1" x14ac:dyDescent="0.25">
      <c r="V755" s="6"/>
      <c r="W755" s="6"/>
      <c r="X755" s="6"/>
      <c r="Y755" s="6"/>
      <c r="Z755" s="6"/>
      <c r="AA755" s="6"/>
      <c r="AB755" s="6"/>
      <c r="AC755" s="6"/>
      <c r="AD755" s="6"/>
      <c r="AE755" s="6"/>
    </row>
    <row r="756" spans="22:31" ht="11.25" customHeight="1" x14ac:dyDescent="0.25">
      <c r="V756" s="6"/>
      <c r="W756" s="6"/>
      <c r="X756" s="6"/>
      <c r="Y756" s="6"/>
      <c r="Z756" s="6"/>
      <c r="AA756" s="6"/>
      <c r="AB756" s="6"/>
      <c r="AC756" s="6"/>
      <c r="AD756" s="6"/>
      <c r="AE756" s="6"/>
    </row>
    <row r="757" spans="22:31" ht="11.25" customHeight="1" x14ac:dyDescent="0.25">
      <c r="V757" s="6"/>
      <c r="W757" s="6"/>
      <c r="X757" s="6"/>
      <c r="Y757" s="6"/>
      <c r="Z757" s="6"/>
      <c r="AA757" s="6"/>
      <c r="AB757" s="6"/>
      <c r="AC757" s="6"/>
      <c r="AD757" s="6"/>
      <c r="AE757" s="6"/>
    </row>
    <row r="758" spans="22:31" ht="11.25" customHeight="1" x14ac:dyDescent="0.25">
      <c r="V758" s="6"/>
      <c r="W758" s="6"/>
      <c r="X758" s="6"/>
      <c r="Y758" s="6"/>
      <c r="Z758" s="6"/>
      <c r="AA758" s="6"/>
      <c r="AB758" s="6"/>
      <c r="AC758" s="6"/>
      <c r="AD758" s="6"/>
      <c r="AE758" s="6"/>
    </row>
    <row r="759" spans="22:31" ht="11.25" customHeight="1" x14ac:dyDescent="0.25">
      <c r="V759" s="6"/>
      <c r="W759" s="6"/>
      <c r="X759" s="6"/>
      <c r="Y759" s="6"/>
      <c r="Z759" s="6"/>
      <c r="AA759" s="6"/>
      <c r="AB759" s="6"/>
      <c r="AC759" s="6"/>
      <c r="AD759" s="6"/>
      <c r="AE759" s="6"/>
    </row>
    <row r="760" spans="22:31" ht="11.25" customHeight="1" x14ac:dyDescent="0.25">
      <c r="V760" s="6"/>
      <c r="W760" s="6"/>
      <c r="X760" s="6"/>
      <c r="Y760" s="6"/>
      <c r="Z760" s="6"/>
      <c r="AA760" s="6"/>
      <c r="AB760" s="6"/>
      <c r="AC760" s="6"/>
      <c r="AD760" s="6"/>
      <c r="AE760" s="6"/>
    </row>
    <row r="761" spans="22:31" ht="11.25" customHeight="1" x14ac:dyDescent="0.25">
      <c r="V761" s="6"/>
      <c r="W761" s="6"/>
      <c r="X761" s="6"/>
      <c r="Y761" s="6"/>
      <c r="Z761" s="6"/>
      <c r="AA761" s="6"/>
      <c r="AB761" s="6"/>
      <c r="AC761" s="6"/>
      <c r="AD761" s="6"/>
      <c r="AE761" s="6"/>
    </row>
    <row r="762" spans="22:31" ht="11.25" customHeight="1" x14ac:dyDescent="0.25">
      <c r="V762" s="6"/>
      <c r="W762" s="6"/>
      <c r="X762" s="6"/>
      <c r="Y762" s="6"/>
      <c r="Z762" s="6"/>
      <c r="AA762" s="6"/>
      <c r="AB762" s="6"/>
      <c r="AC762" s="6"/>
      <c r="AD762" s="6"/>
      <c r="AE762" s="6"/>
    </row>
    <row r="763" spans="22:31" ht="11.25" customHeight="1" x14ac:dyDescent="0.25">
      <c r="V763" s="6"/>
      <c r="W763" s="6"/>
      <c r="X763" s="6"/>
      <c r="Y763" s="6"/>
      <c r="Z763" s="6"/>
      <c r="AA763" s="6"/>
      <c r="AB763" s="6"/>
      <c r="AC763" s="6"/>
      <c r="AD763" s="6"/>
      <c r="AE763" s="6"/>
    </row>
    <row r="764" spans="22:31" ht="11.25" customHeight="1" x14ac:dyDescent="0.25">
      <c r="V764" s="6"/>
      <c r="W764" s="6"/>
      <c r="X764" s="6"/>
      <c r="Y764" s="6"/>
      <c r="Z764" s="6"/>
      <c r="AA764" s="6"/>
      <c r="AB764" s="6"/>
      <c r="AC764" s="6"/>
      <c r="AD764" s="6"/>
      <c r="AE764" s="6"/>
    </row>
    <row r="765" spans="22:31" ht="11.25" customHeight="1" x14ac:dyDescent="0.25">
      <c r="V765" s="6"/>
      <c r="W765" s="6"/>
      <c r="X765" s="6"/>
      <c r="Y765" s="6"/>
      <c r="Z765" s="6"/>
      <c r="AA765" s="6"/>
      <c r="AB765" s="6"/>
      <c r="AC765" s="6"/>
      <c r="AD765" s="6"/>
      <c r="AE765" s="6"/>
    </row>
    <row r="766" spans="22:31" ht="11.25" customHeight="1" x14ac:dyDescent="0.25">
      <c r="V766" s="6"/>
      <c r="W766" s="6"/>
      <c r="X766" s="6"/>
      <c r="Y766" s="6"/>
      <c r="Z766" s="6"/>
      <c r="AA766" s="6"/>
      <c r="AB766" s="6"/>
      <c r="AC766" s="6"/>
      <c r="AD766" s="6"/>
      <c r="AE766" s="6"/>
    </row>
    <row r="767" spans="22:31" ht="11.25" customHeight="1" x14ac:dyDescent="0.25">
      <c r="V767" s="6"/>
      <c r="W767" s="6"/>
      <c r="X767" s="6"/>
      <c r="Y767" s="6"/>
      <c r="Z767" s="6"/>
      <c r="AA767" s="6"/>
      <c r="AB767" s="6"/>
      <c r="AC767" s="6"/>
      <c r="AD767" s="6"/>
      <c r="AE767" s="6"/>
    </row>
    <row r="768" spans="22:31" ht="11.25" customHeight="1" x14ac:dyDescent="0.25">
      <c r="V768" s="6"/>
      <c r="W768" s="6"/>
      <c r="X768" s="6"/>
      <c r="Y768" s="6"/>
      <c r="Z768" s="6"/>
      <c r="AA768" s="6"/>
      <c r="AB768" s="6"/>
      <c r="AC768" s="6"/>
      <c r="AD768" s="6"/>
      <c r="AE768" s="6"/>
    </row>
    <row r="769" spans="22:31" ht="11.25" customHeight="1" x14ac:dyDescent="0.25">
      <c r="V769" s="6"/>
      <c r="W769" s="6"/>
      <c r="X769" s="6"/>
      <c r="Y769" s="6"/>
      <c r="Z769" s="6"/>
      <c r="AA769" s="6"/>
      <c r="AB769" s="6"/>
      <c r="AC769" s="6"/>
      <c r="AD769" s="6"/>
      <c r="AE769" s="6"/>
    </row>
    <row r="770" spans="22:31" ht="11.25" customHeight="1" x14ac:dyDescent="0.25">
      <c r="V770" s="6"/>
      <c r="W770" s="6"/>
      <c r="X770" s="6"/>
      <c r="Y770" s="6"/>
      <c r="Z770" s="6"/>
      <c r="AA770" s="6"/>
      <c r="AB770" s="6"/>
      <c r="AC770" s="6"/>
      <c r="AD770" s="6"/>
      <c r="AE770" s="6"/>
    </row>
    <row r="771" spans="22:31" ht="11.25" customHeight="1" x14ac:dyDescent="0.25">
      <c r="V771" s="6"/>
      <c r="W771" s="6"/>
      <c r="X771" s="6"/>
      <c r="Y771" s="6"/>
      <c r="Z771" s="6"/>
      <c r="AA771" s="6"/>
      <c r="AB771" s="6"/>
      <c r="AC771" s="6"/>
      <c r="AD771" s="6"/>
      <c r="AE771" s="6"/>
    </row>
    <row r="772" spans="22:31" ht="11.25" customHeight="1" x14ac:dyDescent="0.25">
      <c r="V772" s="6"/>
      <c r="W772" s="6"/>
      <c r="X772" s="6"/>
      <c r="Y772" s="6"/>
      <c r="Z772" s="6"/>
      <c r="AA772" s="6"/>
      <c r="AB772" s="6"/>
      <c r="AC772" s="6"/>
      <c r="AD772" s="6"/>
      <c r="AE772" s="6"/>
    </row>
    <row r="773" spans="22:31" ht="11.25" customHeight="1" x14ac:dyDescent="0.25">
      <c r="V773" s="6"/>
      <c r="W773" s="6"/>
      <c r="X773" s="6"/>
      <c r="Y773" s="6"/>
      <c r="Z773" s="6"/>
      <c r="AA773" s="6"/>
      <c r="AB773" s="6"/>
      <c r="AC773" s="6"/>
      <c r="AD773" s="6"/>
      <c r="AE773" s="6"/>
    </row>
    <row r="774" spans="22:31" ht="11.25" customHeight="1" x14ac:dyDescent="0.25">
      <c r="V774" s="6"/>
      <c r="W774" s="6"/>
      <c r="X774" s="6"/>
      <c r="Y774" s="6"/>
      <c r="Z774" s="6"/>
      <c r="AA774" s="6"/>
      <c r="AB774" s="6"/>
      <c r="AC774" s="6"/>
      <c r="AD774" s="6"/>
      <c r="AE774" s="6"/>
    </row>
    <row r="775" spans="22:31" ht="11.25" customHeight="1" x14ac:dyDescent="0.25">
      <c r="V775" s="6"/>
      <c r="W775" s="6"/>
      <c r="X775" s="6"/>
      <c r="Y775" s="6"/>
      <c r="Z775" s="6"/>
      <c r="AA775" s="6"/>
      <c r="AB775" s="6"/>
      <c r="AC775" s="6"/>
      <c r="AD775" s="6"/>
      <c r="AE775" s="6"/>
    </row>
    <row r="776" spans="22:31" ht="11.25" customHeight="1" x14ac:dyDescent="0.25">
      <c r="V776" s="6"/>
      <c r="W776" s="6"/>
      <c r="X776" s="6"/>
      <c r="Y776" s="6"/>
      <c r="Z776" s="6"/>
      <c r="AA776" s="6"/>
      <c r="AB776" s="6"/>
      <c r="AC776" s="6"/>
      <c r="AD776" s="6"/>
      <c r="AE776" s="6"/>
    </row>
    <row r="777" spans="22:31" ht="11.25" customHeight="1" x14ac:dyDescent="0.25">
      <c r="V777" s="6"/>
      <c r="W777" s="6"/>
      <c r="X777" s="6"/>
      <c r="Y777" s="6"/>
      <c r="Z777" s="6"/>
      <c r="AA777" s="6"/>
      <c r="AB777" s="6"/>
      <c r="AC777" s="6"/>
      <c r="AD777" s="6"/>
      <c r="AE777" s="6"/>
    </row>
    <row r="778" spans="22:31" ht="11.25" customHeight="1" x14ac:dyDescent="0.25">
      <c r="V778" s="6"/>
      <c r="W778" s="6"/>
      <c r="X778" s="6"/>
      <c r="Y778" s="6"/>
      <c r="Z778" s="6"/>
      <c r="AA778" s="6"/>
      <c r="AB778" s="6"/>
      <c r="AC778" s="6"/>
      <c r="AD778" s="6"/>
      <c r="AE778" s="6"/>
    </row>
    <row r="779" spans="22:31" ht="11.25" customHeight="1" x14ac:dyDescent="0.25">
      <c r="V779" s="6"/>
      <c r="W779" s="6"/>
      <c r="X779" s="6"/>
      <c r="Y779" s="6"/>
      <c r="Z779" s="6"/>
      <c r="AA779" s="6"/>
      <c r="AB779" s="6"/>
      <c r="AC779" s="6"/>
      <c r="AD779" s="6"/>
      <c r="AE779" s="6"/>
    </row>
    <row r="780" spans="22:31" ht="11.25" customHeight="1" x14ac:dyDescent="0.25">
      <c r="V780" s="6"/>
      <c r="W780" s="6"/>
      <c r="X780" s="6"/>
      <c r="Y780" s="6"/>
      <c r="Z780" s="6"/>
      <c r="AA780" s="6"/>
      <c r="AB780" s="6"/>
      <c r="AC780" s="6"/>
      <c r="AD780" s="6"/>
      <c r="AE780" s="6"/>
    </row>
    <row r="781" spans="22:31" ht="11.25" customHeight="1" x14ac:dyDescent="0.25">
      <c r="V781" s="6"/>
      <c r="W781" s="6"/>
      <c r="X781" s="6"/>
      <c r="Y781" s="6"/>
      <c r="Z781" s="6"/>
      <c r="AA781" s="6"/>
      <c r="AB781" s="6"/>
      <c r="AC781" s="6"/>
      <c r="AD781" s="6"/>
      <c r="AE781" s="6"/>
    </row>
    <row r="782" spans="22:31" ht="11.25" customHeight="1" x14ac:dyDescent="0.25">
      <c r="V782" s="6"/>
      <c r="W782" s="6"/>
      <c r="X782" s="6"/>
      <c r="Y782" s="6"/>
      <c r="Z782" s="6"/>
      <c r="AA782" s="6"/>
      <c r="AB782" s="6"/>
      <c r="AC782" s="6"/>
      <c r="AD782" s="6"/>
      <c r="AE782" s="6"/>
    </row>
    <row r="783" spans="22:31" ht="11.25" customHeight="1" x14ac:dyDescent="0.25">
      <c r="V783" s="6"/>
      <c r="W783" s="6"/>
      <c r="X783" s="6"/>
      <c r="Y783" s="6"/>
      <c r="Z783" s="6"/>
      <c r="AA783" s="6"/>
      <c r="AB783" s="6"/>
      <c r="AC783" s="6"/>
      <c r="AD783" s="6"/>
      <c r="AE783" s="6"/>
    </row>
    <row r="784" spans="22:31" ht="11.25" customHeight="1" x14ac:dyDescent="0.25">
      <c r="V784" s="6"/>
      <c r="W784" s="6"/>
      <c r="X784" s="6"/>
      <c r="Y784" s="6"/>
      <c r="Z784" s="6"/>
      <c r="AA784" s="6"/>
      <c r="AB784" s="6"/>
      <c r="AC784" s="6"/>
      <c r="AD784" s="6"/>
      <c r="AE784" s="6"/>
    </row>
    <row r="785" spans="22:31" ht="11.25" customHeight="1" x14ac:dyDescent="0.25">
      <c r="V785" s="6"/>
      <c r="W785" s="6"/>
      <c r="X785" s="6"/>
      <c r="Y785" s="6"/>
      <c r="Z785" s="6"/>
      <c r="AA785" s="6"/>
      <c r="AB785" s="6"/>
      <c r="AC785" s="6"/>
      <c r="AD785" s="6"/>
      <c r="AE785" s="6"/>
    </row>
    <row r="786" spans="22:31" ht="11.25" customHeight="1" x14ac:dyDescent="0.25">
      <c r="V786" s="6"/>
      <c r="W786" s="6"/>
      <c r="X786" s="6"/>
      <c r="Y786" s="6"/>
      <c r="Z786" s="6"/>
      <c r="AA786" s="6"/>
      <c r="AB786" s="6"/>
      <c r="AC786" s="6"/>
      <c r="AD786" s="6"/>
      <c r="AE786" s="6"/>
    </row>
    <row r="787" spans="22:31" ht="11.25" customHeight="1" x14ac:dyDescent="0.25">
      <c r="V787" s="6"/>
      <c r="W787" s="6"/>
      <c r="X787" s="6"/>
      <c r="Y787" s="6"/>
      <c r="Z787" s="6"/>
      <c r="AA787" s="6"/>
      <c r="AB787" s="6"/>
      <c r="AC787" s="6"/>
      <c r="AD787" s="6"/>
      <c r="AE787" s="6"/>
    </row>
    <row r="788" spans="22:31" ht="11.25" customHeight="1" x14ac:dyDescent="0.25">
      <c r="V788" s="6"/>
      <c r="W788" s="6"/>
      <c r="X788" s="6"/>
      <c r="Y788" s="6"/>
      <c r="Z788" s="6"/>
      <c r="AA788" s="6"/>
      <c r="AB788" s="6"/>
      <c r="AC788" s="6"/>
      <c r="AD788" s="6"/>
      <c r="AE788" s="6"/>
    </row>
    <row r="789" spans="22:31" ht="11.25" customHeight="1" x14ac:dyDescent="0.25">
      <c r="V789" s="6"/>
      <c r="W789" s="6"/>
      <c r="X789" s="6"/>
      <c r="Y789" s="6"/>
      <c r="Z789" s="6"/>
      <c r="AA789" s="6"/>
      <c r="AB789" s="6"/>
      <c r="AC789" s="6"/>
      <c r="AD789" s="6"/>
      <c r="AE789" s="6"/>
    </row>
    <row r="790" spans="22:31" ht="11.25" customHeight="1" x14ac:dyDescent="0.25">
      <c r="V790" s="6"/>
      <c r="W790" s="6"/>
      <c r="X790" s="6"/>
      <c r="Y790" s="6"/>
      <c r="Z790" s="6"/>
      <c r="AA790" s="6"/>
      <c r="AB790" s="6"/>
      <c r="AC790" s="6"/>
      <c r="AD790" s="6"/>
      <c r="AE790" s="6"/>
    </row>
    <row r="791" spans="22:31" ht="11.25" customHeight="1" x14ac:dyDescent="0.25">
      <c r="V791" s="6"/>
      <c r="W791" s="6"/>
      <c r="X791" s="6"/>
      <c r="Y791" s="6"/>
      <c r="Z791" s="6"/>
      <c r="AA791" s="6"/>
      <c r="AB791" s="6"/>
      <c r="AC791" s="6"/>
      <c r="AD791" s="6"/>
      <c r="AE791" s="6"/>
    </row>
    <row r="792" spans="22:31" ht="11.25" customHeight="1" x14ac:dyDescent="0.25">
      <c r="V792" s="6"/>
      <c r="W792" s="6"/>
      <c r="X792" s="6"/>
      <c r="Y792" s="6"/>
      <c r="Z792" s="6"/>
      <c r="AA792" s="6"/>
      <c r="AB792" s="6"/>
      <c r="AC792" s="6"/>
      <c r="AD792" s="6"/>
      <c r="AE792" s="6"/>
    </row>
    <row r="793" spans="22:31" ht="11.25" customHeight="1" x14ac:dyDescent="0.25">
      <c r="V793" s="6"/>
      <c r="W793" s="6"/>
      <c r="X793" s="6"/>
      <c r="Y793" s="6"/>
      <c r="Z793" s="6"/>
      <c r="AA793" s="6"/>
      <c r="AB793" s="6"/>
      <c r="AC793" s="6"/>
      <c r="AD793" s="6"/>
      <c r="AE793" s="6"/>
    </row>
    <row r="794" spans="22:31" ht="11.25" customHeight="1" x14ac:dyDescent="0.25">
      <c r="V794" s="6"/>
      <c r="W794" s="6"/>
      <c r="X794" s="6"/>
      <c r="Y794" s="6"/>
      <c r="Z794" s="6"/>
      <c r="AA794" s="6"/>
      <c r="AB794" s="6"/>
      <c r="AC794" s="6"/>
      <c r="AD794" s="6"/>
      <c r="AE794" s="6"/>
    </row>
    <row r="795" spans="22:31" ht="11.25" customHeight="1" x14ac:dyDescent="0.25">
      <c r="V795" s="6"/>
      <c r="W795" s="6"/>
      <c r="X795" s="6"/>
      <c r="Y795" s="6"/>
      <c r="Z795" s="6"/>
      <c r="AA795" s="6"/>
      <c r="AB795" s="6"/>
      <c r="AC795" s="6"/>
      <c r="AD795" s="6"/>
      <c r="AE795" s="6"/>
    </row>
    <row r="796" spans="22:31" ht="11.25" customHeight="1" x14ac:dyDescent="0.25">
      <c r="V796" s="6"/>
      <c r="W796" s="6"/>
      <c r="X796" s="6"/>
      <c r="Y796" s="6"/>
      <c r="Z796" s="6"/>
      <c r="AA796" s="6"/>
      <c r="AB796" s="6"/>
      <c r="AC796" s="6"/>
      <c r="AD796" s="6"/>
      <c r="AE796" s="6"/>
    </row>
    <row r="797" spans="22:31" ht="11.25" customHeight="1" x14ac:dyDescent="0.25">
      <c r="V797" s="6"/>
      <c r="W797" s="6"/>
      <c r="X797" s="6"/>
      <c r="Y797" s="6"/>
      <c r="Z797" s="6"/>
      <c r="AA797" s="6"/>
      <c r="AB797" s="6"/>
      <c r="AC797" s="6"/>
      <c r="AD797" s="6"/>
      <c r="AE797" s="6"/>
    </row>
    <row r="798" spans="22:31" ht="11.25" customHeight="1" x14ac:dyDescent="0.25">
      <c r="V798" s="6"/>
      <c r="W798" s="6"/>
      <c r="X798" s="6"/>
      <c r="Y798" s="6"/>
      <c r="Z798" s="6"/>
      <c r="AA798" s="6"/>
      <c r="AB798" s="6"/>
      <c r="AC798" s="6"/>
      <c r="AD798" s="6"/>
      <c r="AE798" s="6"/>
    </row>
    <row r="799" spans="22:31" ht="11.25" customHeight="1" x14ac:dyDescent="0.25">
      <c r="V799" s="6"/>
      <c r="W799" s="6"/>
      <c r="X799" s="6"/>
      <c r="Y799" s="6"/>
      <c r="Z799" s="6"/>
      <c r="AA799" s="6"/>
      <c r="AB799" s="6"/>
      <c r="AC799" s="6"/>
      <c r="AD799" s="6"/>
      <c r="AE799" s="6"/>
    </row>
    <row r="800" spans="22:31" ht="11.25" customHeight="1" x14ac:dyDescent="0.25">
      <c r="V800" s="6"/>
      <c r="W800" s="6"/>
      <c r="X800" s="6"/>
      <c r="Y800" s="6"/>
      <c r="Z800" s="6"/>
      <c r="AA800" s="6"/>
      <c r="AB800" s="6"/>
      <c r="AC800" s="6"/>
      <c r="AD800" s="6"/>
      <c r="AE800" s="6"/>
    </row>
    <row r="801" spans="22:31" ht="11.25" customHeight="1" x14ac:dyDescent="0.25">
      <c r="V801" s="6"/>
      <c r="W801" s="6"/>
      <c r="X801" s="6"/>
      <c r="Y801" s="6"/>
      <c r="Z801" s="6"/>
      <c r="AA801" s="6"/>
      <c r="AB801" s="6"/>
      <c r="AC801" s="6"/>
      <c r="AD801" s="6"/>
      <c r="AE801" s="6"/>
    </row>
    <row r="802" spans="22:31" ht="11.25" customHeight="1" x14ac:dyDescent="0.25">
      <c r="V802" s="6"/>
      <c r="W802" s="6"/>
      <c r="X802" s="6"/>
      <c r="Y802" s="6"/>
      <c r="Z802" s="6"/>
      <c r="AA802" s="6"/>
      <c r="AB802" s="6"/>
      <c r="AC802" s="6"/>
      <c r="AD802" s="6"/>
      <c r="AE802" s="6"/>
    </row>
    <row r="803" spans="22:31" ht="11.25" customHeight="1" x14ac:dyDescent="0.25">
      <c r="V803" s="6"/>
      <c r="W803" s="6"/>
      <c r="X803" s="6"/>
      <c r="Y803" s="6"/>
      <c r="Z803" s="6"/>
      <c r="AA803" s="6"/>
      <c r="AB803" s="6"/>
      <c r="AC803" s="6"/>
      <c r="AD803" s="6"/>
      <c r="AE803" s="6"/>
    </row>
    <row r="804" spans="22:31" ht="11.25" customHeight="1" x14ac:dyDescent="0.25">
      <c r="V804" s="6"/>
      <c r="W804" s="6"/>
      <c r="X804" s="6"/>
      <c r="Y804" s="6"/>
      <c r="Z804" s="6"/>
      <c r="AA804" s="6"/>
      <c r="AB804" s="6"/>
      <c r="AC804" s="6"/>
      <c r="AD804" s="6"/>
      <c r="AE804" s="6"/>
    </row>
    <row r="805" spans="22:31" ht="11.25" customHeight="1" x14ac:dyDescent="0.25">
      <c r="V805" s="6"/>
      <c r="W805" s="6"/>
      <c r="X805" s="6"/>
      <c r="Y805" s="6"/>
      <c r="Z805" s="6"/>
      <c r="AA805" s="6"/>
      <c r="AB805" s="6"/>
      <c r="AC805" s="6"/>
      <c r="AD805" s="6"/>
      <c r="AE805" s="6"/>
    </row>
    <row r="806" spans="22:31" ht="11.25" customHeight="1" x14ac:dyDescent="0.25">
      <c r="V806" s="6"/>
      <c r="W806" s="6"/>
      <c r="X806" s="6"/>
      <c r="Y806" s="6"/>
      <c r="Z806" s="6"/>
      <c r="AA806" s="6"/>
      <c r="AB806" s="6"/>
      <c r="AC806" s="6"/>
      <c r="AD806" s="6"/>
      <c r="AE806" s="6"/>
    </row>
    <row r="807" spans="22:31" ht="11.25" customHeight="1" x14ac:dyDescent="0.25">
      <c r="V807" s="6"/>
      <c r="W807" s="6"/>
      <c r="X807" s="6"/>
      <c r="Y807" s="6"/>
      <c r="Z807" s="6"/>
      <c r="AA807" s="6"/>
      <c r="AB807" s="6"/>
      <c r="AC807" s="6"/>
      <c r="AD807" s="6"/>
      <c r="AE807" s="6"/>
    </row>
    <row r="808" spans="22:31" ht="11.25" customHeight="1" x14ac:dyDescent="0.25">
      <c r="V808" s="6"/>
      <c r="W808" s="6"/>
      <c r="X808" s="6"/>
      <c r="Y808" s="6"/>
      <c r="Z808" s="6"/>
      <c r="AA808" s="6"/>
      <c r="AB808" s="6"/>
      <c r="AC808" s="6"/>
      <c r="AD808" s="6"/>
      <c r="AE808" s="6"/>
    </row>
    <row r="809" spans="22:31" ht="11.25" customHeight="1" x14ac:dyDescent="0.25">
      <c r="V809" s="6"/>
      <c r="W809" s="6"/>
      <c r="X809" s="6"/>
      <c r="Y809" s="6"/>
      <c r="Z809" s="6"/>
      <c r="AA809" s="6"/>
      <c r="AB809" s="6"/>
      <c r="AC809" s="6"/>
      <c r="AD809" s="6"/>
      <c r="AE809" s="6"/>
    </row>
    <row r="810" spans="22:31" ht="11.25" customHeight="1" x14ac:dyDescent="0.25">
      <c r="V810" s="6"/>
      <c r="W810" s="6"/>
      <c r="X810" s="6"/>
      <c r="Y810" s="6"/>
      <c r="Z810" s="6"/>
      <c r="AA810" s="6"/>
      <c r="AB810" s="6"/>
      <c r="AC810" s="6"/>
      <c r="AD810" s="6"/>
      <c r="AE810" s="6"/>
    </row>
    <row r="811" spans="22:31" ht="11.25" customHeight="1" x14ac:dyDescent="0.25">
      <c r="V811" s="6"/>
      <c r="W811" s="6"/>
      <c r="X811" s="6"/>
      <c r="Y811" s="6"/>
      <c r="Z811" s="6"/>
      <c r="AA811" s="6"/>
      <c r="AB811" s="6"/>
      <c r="AC811" s="6"/>
      <c r="AD811" s="6"/>
      <c r="AE811" s="6"/>
    </row>
    <row r="812" spans="22:31" ht="11.25" customHeight="1" x14ac:dyDescent="0.25">
      <c r="V812" s="6"/>
      <c r="W812" s="6"/>
      <c r="X812" s="6"/>
      <c r="Y812" s="6"/>
      <c r="Z812" s="6"/>
      <c r="AA812" s="6"/>
      <c r="AB812" s="6"/>
      <c r="AC812" s="6"/>
      <c r="AD812" s="6"/>
      <c r="AE812" s="6"/>
    </row>
    <row r="813" spans="22:31" ht="11.25" customHeight="1" x14ac:dyDescent="0.25">
      <c r="V813" s="6"/>
      <c r="W813" s="6"/>
      <c r="X813" s="6"/>
      <c r="Y813" s="6"/>
      <c r="Z813" s="6"/>
      <c r="AA813" s="6"/>
      <c r="AB813" s="6"/>
      <c r="AC813" s="6"/>
      <c r="AD813" s="6"/>
      <c r="AE813" s="6"/>
    </row>
    <row r="814" spans="22:31" ht="11.25" customHeight="1" x14ac:dyDescent="0.25">
      <c r="V814" s="6"/>
      <c r="W814" s="6"/>
      <c r="X814" s="6"/>
      <c r="Y814" s="6"/>
      <c r="Z814" s="6"/>
      <c r="AA814" s="6"/>
      <c r="AB814" s="6"/>
      <c r="AC814" s="6"/>
      <c r="AD814" s="6"/>
      <c r="AE814" s="6"/>
    </row>
    <row r="815" spans="22:31" ht="11.25" customHeight="1" x14ac:dyDescent="0.25">
      <c r="V815" s="6"/>
      <c r="W815" s="6"/>
      <c r="X815" s="6"/>
      <c r="Y815" s="6"/>
      <c r="Z815" s="6"/>
      <c r="AA815" s="6"/>
      <c r="AB815" s="6"/>
      <c r="AC815" s="6"/>
      <c r="AD815" s="6"/>
      <c r="AE815" s="6"/>
    </row>
    <row r="816" spans="22:31" ht="11.25" customHeight="1" x14ac:dyDescent="0.25">
      <c r="V816" s="6"/>
      <c r="W816" s="6"/>
      <c r="X816" s="6"/>
      <c r="Y816" s="6"/>
      <c r="Z816" s="6"/>
      <c r="AA816" s="6"/>
      <c r="AB816" s="6"/>
      <c r="AC816" s="6"/>
      <c r="AD816" s="6"/>
      <c r="AE816" s="6"/>
    </row>
    <row r="817" spans="22:31" ht="11.25" customHeight="1" x14ac:dyDescent="0.25">
      <c r="V817" s="6"/>
      <c r="W817" s="6"/>
      <c r="X817" s="6"/>
      <c r="Y817" s="6"/>
      <c r="Z817" s="6"/>
      <c r="AA817" s="6"/>
      <c r="AB817" s="6"/>
      <c r="AC817" s="6"/>
      <c r="AD817" s="6"/>
      <c r="AE817" s="6"/>
    </row>
    <row r="818" spans="22:31" ht="11.25" customHeight="1" x14ac:dyDescent="0.25">
      <c r="V818" s="6"/>
      <c r="W818" s="6"/>
      <c r="X818" s="6"/>
      <c r="Y818" s="6"/>
      <c r="Z818" s="6"/>
      <c r="AA818" s="6"/>
      <c r="AB818" s="6"/>
      <c r="AC818" s="6"/>
      <c r="AD818" s="6"/>
      <c r="AE818" s="6"/>
    </row>
    <row r="819" spans="22:31" ht="11.25" customHeight="1" x14ac:dyDescent="0.25">
      <c r="V819" s="6"/>
      <c r="W819" s="6"/>
      <c r="X819" s="6"/>
      <c r="Y819" s="6"/>
      <c r="Z819" s="6"/>
      <c r="AA819" s="6"/>
      <c r="AB819" s="6"/>
      <c r="AC819" s="6"/>
      <c r="AD819" s="6"/>
      <c r="AE819" s="6"/>
    </row>
    <row r="820" spans="22:31" ht="11.25" customHeight="1" x14ac:dyDescent="0.25">
      <c r="V820" s="6"/>
      <c r="W820" s="6"/>
      <c r="X820" s="6"/>
      <c r="Y820" s="6"/>
      <c r="Z820" s="6"/>
      <c r="AA820" s="6"/>
      <c r="AB820" s="6"/>
      <c r="AC820" s="6"/>
      <c r="AD820" s="6"/>
      <c r="AE820" s="6"/>
    </row>
    <row r="821" spans="22:31" ht="11.25" customHeight="1" x14ac:dyDescent="0.25">
      <c r="V821" s="6"/>
      <c r="W821" s="6"/>
      <c r="X821" s="6"/>
      <c r="Y821" s="6"/>
      <c r="Z821" s="6"/>
      <c r="AA821" s="6"/>
      <c r="AB821" s="6"/>
      <c r="AC821" s="6"/>
      <c r="AD821" s="6"/>
      <c r="AE821" s="6"/>
    </row>
    <row r="822" spans="22:31" ht="11.25" customHeight="1" x14ac:dyDescent="0.25">
      <c r="V822" s="6"/>
      <c r="W822" s="6"/>
      <c r="X822" s="6"/>
      <c r="Y822" s="6"/>
      <c r="Z822" s="6"/>
      <c r="AA822" s="6"/>
      <c r="AB822" s="6"/>
      <c r="AC822" s="6"/>
      <c r="AD822" s="6"/>
      <c r="AE822" s="6"/>
    </row>
    <row r="823" spans="22:31" ht="11.25" customHeight="1" x14ac:dyDescent="0.25">
      <c r="V823" s="6"/>
      <c r="W823" s="6"/>
      <c r="X823" s="6"/>
      <c r="Y823" s="6"/>
      <c r="Z823" s="6"/>
      <c r="AA823" s="6"/>
      <c r="AB823" s="6"/>
      <c r="AC823" s="6"/>
      <c r="AD823" s="6"/>
      <c r="AE823" s="6"/>
    </row>
    <row r="824" spans="22:31" ht="11.25" customHeight="1" x14ac:dyDescent="0.25">
      <c r="V824" s="6"/>
      <c r="W824" s="6"/>
      <c r="X824" s="6"/>
      <c r="Y824" s="6"/>
      <c r="Z824" s="6"/>
      <c r="AA824" s="6"/>
      <c r="AB824" s="6"/>
      <c r="AC824" s="6"/>
      <c r="AD824" s="6"/>
      <c r="AE824" s="6"/>
    </row>
    <row r="825" spans="22:31" ht="11.25" customHeight="1" x14ac:dyDescent="0.25">
      <c r="V825" s="6"/>
      <c r="W825" s="6"/>
      <c r="X825" s="6"/>
      <c r="Y825" s="6"/>
      <c r="Z825" s="6"/>
      <c r="AA825" s="6"/>
      <c r="AB825" s="6"/>
      <c r="AC825" s="6"/>
      <c r="AD825" s="6"/>
      <c r="AE825" s="6"/>
    </row>
    <row r="826" spans="22:31" ht="11.25" customHeight="1" x14ac:dyDescent="0.25">
      <c r="V826" s="6"/>
      <c r="W826" s="6"/>
      <c r="X826" s="6"/>
      <c r="Y826" s="6"/>
      <c r="Z826" s="6"/>
      <c r="AA826" s="6"/>
      <c r="AB826" s="6"/>
      <c r="AC826" s="6"/>
      <c r="AD826" s="6"/>
      <c r="AE826" s="6"/>
    </row>
    <row r="827" spans="22:31" ht="11.25" customHeight="1" x14ac:dyDescent="0.25">
      <c r="V827" s="6"/>
      <c r="W827" s="6"/>
      <c r="X827" s="6"/>
      <c r="Y827" s="6"/>
      <c r="Z827" s="6"/>
      <c r="AA827" s="6"/>
      <c r="AB827" s="6"/>
      <c r="AC827" s="6"/>
      <c r="AD827" s="6"/>
      <c r="AE827" s="6"/>
    </row>
    <row r="828" spans="22:31" ht="11.25" customHeight="1" x14ac:dyDescent="0.25">
      <c r="V828" s="6"/>
      <c r="W828" s="6"/>
      <c r="X828" s="6"/>
      <c r="Y828" s="6"/>
      <c r="Z828" s="6"/>
      <c r="AA828" s="6"/>
      <c r="AB828" s="6"/>
      <c r="AC828" s="6"/>
      <c r="AD828" s="6"/>
      <c r="AE828" s="6"/>
    </row>
    <row r="829" spans="22:31" ht="11.25" customHeight="1" x14ac:dyDescent="0.25">
      <c r="V829" s="6"/>
      <c r="W829" s="6"/>
      <c r="X829" s="6"/>
      <c r="Y829" s="6"/>
      <c r="Z829" s="6"/>
      <c r="AA829" s="6"/>
      <c r="AB829" s="6"/>
      <c r="AC829" s="6"/>
      <c r="AD829" s="6"/>
      <c r="AE829" s="6"/>
    </row>
    <row r="830" spans="22:31" ht="11.25" customHeight="1" x14ac:dyDescent="0.25">
      <c r="V830" s="6"/>
      <c r="W830" s="6"/>
      <c r="X830" s="6"/>
      <c r="Y830" s="6"/>
      <c r="Z830" s="6"/>
      <c r="AA830" s="6"/>
      <c r="AB830" s="6"/>
      <c r="AC830" s="6"/>
      <c r="AD830" s="6"/>
      <c r="AE830" s="6"/>
    </row>
    <row r="831" spans="22:31" ht="11.25" customHeight="1" x14ac:dyDescent="0.25">
      <c r="V831" s="6"/>
      <c r="W831" s="6"/>
      <c r="X831" s="6"/>
      <c r="Y831" s="6"/>
      <c r="Z831" s="6"/>
      <c r="AA831" s="6"/>
      <c r="AB831" s="6"/>
      <c r="AC831" s="6"/>
      <c r="AD831" s="6"/>
      <c r="AE831" s="6"/>
    </row>
    <row r="832" spans="22:31" ht="11.25" customHeight="1" x14ac:dyDescent="0.25">
      <c r="V832" s="6"/>
      <c r="W832" s="6"/>
      <c r="X832" s="6"/>
      <c r="Y832" s="6"/>
      <c r="Z832" s="6"/>
      <c r="AA832" s="6"/>
      <c r="AB832" s="6"/>
      <c r="AC832" s="6"/>
      <c r="AD832" s="6"/>
      <c r="AE832" s="6"/>
    </row>
    <row r="833" spans="22:31" ht="11.25" customHeight="1" x14ac:dyDescent="0.25">
      <c r="V833" s="6"/>
      <c r="W833" s="6"/>
      <c r="X833" s="6"/>
      <c r="Y833" s="6"/>
      <c r="Z833" s="6"/>
      <c r="AA833" s="6"/>
      <c r="AB833" s="6"/>
      <c r="AC833" s="6"/>
      <c r="AD833" s="6"/>
      <c r="AE833" s="6"/>
    </row>
    <row r="834" spans="22:31" ht="11.25" customHeight="1" x14ac:dyDescent="0.25">
      <c r="V834" s="6"/>
      <c r="W834" s="6"/>
      <c r="X834" s="6"/>
      <c r="Y834" s="6"/>
      <c r="Z834" s="6"/>
      <c r="AA834" s="6"/>
      <c r="AB834" s="6"/>
      <c r="AC834" s="6"/>
      <c r="AD834" s="6"/>
      <c r="AE834" s="6"/>
    </row>
    <row r="835" spans="22:31" ht="11.25" customHeight="1" x14ac:dyDescent="0.25">
      <c r="V835" s="6"/>
      <c r="W835" s="6"/>
      <c r="X835" s="6"/>
      <c r="Y835" s="6"/>
      <c r="Z835" s="6"/>
      <c r="AA835" s="6"/>
      <c r="AB835" s="6"/>
      <c r="AC835" s="6"/>
      <c r="AD835" s="6"/>
      <c r="AE835" s="6"/>
    </row>
    <row r="836" spans="22:31" ht="11.25" customHeight="1" x14ac:dyDescent="0.25">
      <c r="V836" s="6"/>
      <c r="W836" s="6"/>
      <c r="X836" s="6"/>
      <c r="Y836" s="6"/>
      <c r="Z836" s="6"/>
      <c r="AA836" s="6"/>
      <c r="AB836" s="6"/>
      <c r="AC836" s="6"/>
      <c r="AD836" s="6"/>
      <c r="AE836" s="6"/>
    </row>
    <row r="837" spans="22:31" ht="11.25" customHeight="1" x14ac:dyDescent="0.25">
      <c r="V837" s="6"/>
      <c r="W837" s="6"/>
      <c r="X837" s="6"/>
      <c r="Y837" s="6"/>
      <c r="Z837" s="6"/>
      <c r="AA837" s="6"/>
      <c r="AB837" s="6"/>
      <c r="AC837" s="6"/>
      <c r="AD837" s="6"/>
      <c r="AE837" s="6"/>
    </row>
    <row r="838" spans="22:31" ht="11.25" customHeight="1" x14ac:dyDescent="0.25">
      <c r="V838" s="6"/>
      <c r="W838" s="6"/>
      <c r="X838" s="6"/>
      <c r="Y838" s="6"/>
      <c r="Z838" s="6"/>
      <c r="AA838" s="6"/>
      <c r="AB838" s="6"/>
      <c r="AC838" s="6"/>
      <c r="AD838" s="6"/>
      <c r="AE838" s="6"/>
    </row>
    <row r="839" spans="22:31" ht="11.25" customHeight="1" x14ac:dyDescent="0.25">
      <c r="V839" s="6"/>
      <c r="W839" s="6"/>
      <c r="X839" s="6"/>
      <c r="Y839" s="6"/>
      <c r="Z839" s="6"/>
      <c r="AA839" s="6"/>
      <c r="AB839" s="6"/>
      <c r="AC839" s="6"/>
      <c r="AD839" s="6"/>
      <c r="AE839" s="6"/>
    </row>
    <row r="840" spans="22:31" ht="11.25" customHeight="1" x14ac:dyDescent="0.25">
      <c r="V840" s="6"/>
      <c r="W840" s="6"/>
      <c r="X840" s="6"/>
      <c r="Y840" s="6"/>
      <c r="Z840" s="6"/>
      <c r="AA840" s="6"/>
      <c r="AB840" s="6"/>
      <c r="AC840" s="6"/>
      <c r="AD840" s="6"/>
      <c r="AE840" s="6"/>
    </row>
    <row r="841" spans="22:31" ht="11.25" customHeight="1" x14ac:dyDescent="0.25">
      <c r="V841" s="6"/>
      <c r="W841" s="6"/>
      <c r="X841" s="6"/>
      <c r="Y841" s="6"/>
      <c r="Z841" s="6"/>
      <c r="AA841" s="6"/>
      <c r="AB841" s="6"/>
      <c r="AC841" s="6"/>
      <c r="AD841" s="6"/>
      <c r="AE841" s="6"/>
    </row>
    <row r="842" spans="22:31" ht="11.25" customHeight="1" x14ac:dyDescent="0.25">
      <c r="V842" s="6"/>
      <c r="W842" s="6"/>
      <c r="X842" s="6"/>
      <c r="Y842" s="6"/>
      <c r="Z842" s="6"/>
      <c r="AA842" s="6"/>
      <c r="AB842" s="6"/>
      <c r="AC842" s="6"/>
      <c r="AD842" s="6"/>
      <c r="AE842" s="6"/>
    </row>
    <row r="843" spans="22:31" ht="11.25" customHeight="1" x14ac:dyDescent="0.25">
      <c r="V843" s="6"/>
      <c r="W843" s="6"/>
      <c r="X843" s="6"/>
      <c r="Y843" s="6"/>
      <c r="Z843" s="6"/>
      <c r="AA843" s="6"/>
      <c r="AB843" s="6"/>
      <c r="AC843" s="6"/>
      <c r="AD843" s="6"/>
      <c r="AE843" s="6"/>
    </row>
    <row r="844" spans="22:31" ht="11.25" customHeight="1" x14ac:dyDescent="0.25">
      <c r="V844" s="6"/>
      <c r="W844" s="6"/>
      <c r="X844" s="6"/>
      <c r="Y844" s="6"/>
      <c r="Z844" s="6"/>
      <c r="AA844" s="6"/>
      <c r="AB844" s="6"/>
      <c r="AC844" s="6"/>
      <c r="AD844" s="6"/>
      <c r="AE844" s="6"/>
    </row>
    <row r="845" spans="22:31" ht="11.25" customHeight="1" x14ac:dyDescent="0.25">
      <c r="V845" s="6"/>
      <c r="W845" s="6"/>
      <c r="X845" s="6"/>
      <c r="Y845" s="6"/>
      <c r="Z845" s="6"/>
      <c r="AA845" s="6"/>
      <c r="AB845" s="6"/>
      <c r="AC845" s="6"/>
      <c r="AD845" s="6"/>
      <c r="AE845" s="6"/>
    </row>
    <row r="846" spans="22:31" ht="11.25" customHeight="1" x14ac:dyDescent="0.25">
      <c r="V846" s="6"/>
      <c r="W846" s="6"/>
      <c r="X846" s="6"/>
      <c r="Y846" s="6"/>
      <c r="Z846" s="6"/>
      <c r="AA846" s="6"/>
      <c r="AB846" s="6"/>
      <c r="AC846" s="6"/>
      <c r="AD846" s="6"/>
      <c r="AE846" s="6"/>
    </row>
    <row r="847" spans="22:31" ht="11.25" customHeight="1" x14ac:dyDescent="0.25">
      <c r="V847" s="6"/>
      <c r="W847" s="6"/>
      <c r="X847" s="6"/>
      <c r="Y847" s="6"/>
      <c r="Z847" s="6"/>
      <c r="AA847" s="6"/>
      <c r="AB847" s="6"/>
      <c r="AC847" s="6"/>
      <c r="AD847" s="6"/>
      <c r="AE847" s="6"/>
    </row>
    <row r="848" spans="22:31" ht="11.25" customHeight="1" x14ac:dyDescent="0.25">
      <c r="V848" s="6"/>
      <c r="W848" s="6"/>
      <c r="X848" s="6"/>
      <c r="Y848" s="6"/>
      <c r="Z848" s="6"/>
      <c r="AA848" s="6"/>
      <c r="AB848" s="6"/>
      <c r="AC848" s="6"/>
      <c r="AD848" s="6"/>
      <c r="AE848" s="6"/>
    </row>
    <row r="849" spans="22:31" ht="11.25" customHeight="1" x14ac:dyDescent="0.25">
      <c r="V849" s="6"/>
      <c r="W849" s="6"/>
      <c r="X849" s="6"/>
      <c r="Y849" s="6"/>
      <c r="Z849" s="6"/>
      <c r="AA849" s="6"/>
      <c r="AB849" s="6"/>
      <c r="AC849" s="6"/>
      <c r="AD849" s="6"/>
      <c r="AE849" s="6"/>
    </row>
    <row r="850" spans="22:31" ht="11.25" customHeight="1" x14ac:dyDescent="0.25">
      <c r="V850" s="6"/>
      <c r="W850" s="6"/>
      <c r="X850" s="6"/>
      <c r="Y850" s="6"/>
      <c r="Z850" s="6"/>
      <c r="AA850" s="6"/>
      <c r="AB850" s="6"/>
      <c r="AC850" s="6"/>
      <c r="AD850" s="6"/>
      <c r="AE850" s="6"/>
    </row>
    <row r="851" spans="22:31" ht="11.25" customHeight="1" x14ac:dyDescent="0.25">
      <c r="V851" s="6"/>
      <c r="W851" s="6"/>
      <c r="X851" s="6"/>
      <c r="Y851" s="6"/>
      <c r="Z851" s="6"/>
      <c r="AA851" s="6"/>
      <c r="AB851" s="6"/>
      <c r="AC851" s="6"/>
      <c r="AD851" s="6"/>
      <c r="AE851" s="6"/>
    </row>
    <row r="852" spans="22:31" ht="11.25" customHeight="1" x14ac:dyDescent="0.25">
      <c r="V852" s="6"/>
      <c r="W852" s="6"/>
      <c r="X852" s="6"/>
      <c r="Y852" s="6"/>
      <c r="Z852" s="6"/>
      <c r="AA852" s="6"/>
      <c r="AB852" s="6"/>
      <c r="AC852" s="6"/>
      <c r="AD852" s="6"/>
      <c r="AE852" s="6"/>
    </row>
    <row r="853" spans="22:31" ht="11.25" customHeight="1" x14ac:dyDescent="0.25">
      <c r="V853" s="6"/>
      <c r="W853" s="6"/>
      <c r="X853" s="6"/>
      <c r="Y853" s="6"/>
      <c r="Z853" s="6"/>
      <c r="AA853" s="6"/>
      <c r="AB853" s="6"/>
      <c r="AC853" s="6"/>
      <c r="AD853" s="6"/>
      <c r="AE853" s="6"/>
    </row>
    <row r="854" spans="22:31" ht="11.25" customHeight="1" x14ac:dyDescent="0.25">
      <c r="V854" s="6"/>
      <c r="W854" s="6"/>
      <c r="X854" s="6"/>
      <c r="Y854" s="6"/>
      <c r="Z854" s="6"/>
      <c r="AA854" s="6"/>
      <c r="AB854" s="6"/>
      <c r="AC854" s="6"/>
      <c r="AD854" s="6"/>
      <c r="AE854" s="6"/>
    </row>
    <row r="855" spans="22:31" ht="11.25" customHeight="1" x14ac:dyDescent="0.25">
      <c r="V855" s="6"/>
      <c r="W855" s="6"/>
      <c r="X855" s="6"/>
      <c r="Y855" s="6"/>
      <c r="Z855" s="6"/>
      <c r="AA855" s="6"/>
      <c r="AB855" s="6"/>
      <c r="AC855" s="6"/>
      <c r="AD855" s="6"/>
      <c r="AE855" s="6"/>
    </row>
    <row r="856" spans="22:31" ht="11.25" customHeight="1" x14ac:dyDescent="0.25">
      <c r="V856" s="6"/>
      <c r="W856" s="6"/>
      <c r="X856" s="6"/>
      <c r="Y856" s="6"/>
      <c r="Z856" s="6"/>
      <c r="AA856" s="6"/>
      <c r="AB856" s="6"/>
      <c r="AC856" s="6"/>
      <c r="AD856" s="6"/>
      <c r="AE856" s="6"/>
    </row>
    <row r="857" spans="22:31" ht="11.25" customHeight="1" x14ac:dyDescent="0.25">
      <c r="V857" s="6"/>
      <c r="W857" s="6"/>
      <c r="X857" s="6"/>
      <c r="Y857" s="6"/>
      <c r="Z857" s="6"/>
      <c r="AA857" s="6"/>
      <c r="AB857" s="6"/>
      <c r="AC857" s="6"/>
      <c r="AD857" s="6"/>
      <c r="AE857" s="6"/>
    </row>
    <row r="858" spans="22:31" ht="11.25" customHeight="1" x14ac:dyDescent="0.25">
      <c r="V858" s="6"/>
      <c r="W858" s="6"/>
      <c r="X858" s="6"/>
      <c r="Y858" s="6"/>
      <c r="Z858" s="6"/>
      <c r="AA858" s="6"/>
      <c r="AB858" s="6"/>
      <c r="AC858" s="6"/>
      <c r="AD858" s="6"/>
      <c r="AE858" s="6"/>
    </row>
    <row r="859" spans="22:31" ht="11.25" customHeight="1" x14ac:dyDescent="0.25"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spans="22:31" ht="11.25" customHeight="1" x14ac:dyDescent="0.25">
      <c r="V860" s="6"/>
      <c r="W860" s="6"/>
      <c r="X860" s="6"/>
      <c r="Y860" s="6"/>
      <c r="Z860" s="6"/>
      <c r="AA860" s="6"/>
      <c r="AB860" s="6"/>
      <c r="AC860" s="6"/>
      <c r="AD860" s="6"/>
      <c r="AE860" s="6"/>
    </row>
    <row r="861" spans="22:31" ht="11.25" customHeight="1" x14ac:dyDescent="0.25">
      <c r="V861" s="6"/>
      <c r="W861" s="6"/>
      <c r="X861" s="6"/>
      <c r="Y861" s="6"/>
      <c r="Z861" s="6"/>
      <c r="AA861" s="6"/>
      <c r="AB861" s="6"/>
      <c r="AC861" s="6"/>
      <c r="AD861" s="6"/>
      <c r="AE861" s="6"/>
    </row>
    <row r="862" spans="22:31" ht="11.25" customHeight="1" x14ac:dyDescent="0.25">
      <c r="V862" s="6"/>
      <c r="W862" s="6"/>
      <c r="X862" s="6"/>
      <c r="Y862" s="6"/>
      <c r="Z862" s="6"/>
      <c r="AA862" s="6"/>
      <c r="AB862" s="6"/>
      <c r="AC862" s="6"/>
      <c r="AD862" s="6"/>
      <c r="AE862" s="6"/>
    </row>
    <row r="863" spans="22:31" ht="11.25" customHeight="1" x14ac:dyDescent="0.25">
      <c r="V863" s="6"/>
      <c r="W863" s="6"/>
      <c r="X863" s="6"/>
      <c r="Y863" s="6"/>
      <c r="Z863" s="6"/>
      <c r="AA863" s="6"/>
      <c r="AB863" s="6"/>
      <c r="AC863" s="6"/>
      <c r="AD863" s="6"/>
      <c r="AE863" s="6"/>
    </row>
    <row r="864" spans="22:31" ht="11.25" customHeight="1" x14ac:dyDescent="0.25">
      <c r="V864" s="6"/>
      <c r="W864" s="6"/>
      <c r="X864" s="6"/>
      <c r="Y864" s="6"/>
      <c r="Z864" s="6"/>
      <c r="AA864" s="6"/>
      <c r="AB864" s="6"/>
      <c r="AC864" s="6"/>
      <c r="AD864" s="6"/>
      <c r="AE864" s="6"/>
    </row>
    <row r="865" spans="22:31" ht="11.25" customHeight="1" x14ac:dyDescent="0.25">
      <c r="V865" s="6"/>
      <c r="W865" s="6"/>
      <c r="X865" s="6"/>
      <c r="Y865" s="6"/>
      <c r="Z865" s="6"/>
      <c r="AA865" s="6"/>
      <c r="AB865" s="6"/>
      <c r="AC865" s="6"/>
      <c r="AD865" s="6"/>
      <c r="AE865" s="6"/>
    </row>
    <row r="866" spans="22:31" ht="11.25" customHeight="1" x14ac:dyDescent="0.25">
      <c r="V866" s="6"/>
      <c r="W866" s="6"/>
      <c r="X866" s="6"/>
      <c r="Y866" s="6"/>
      <c r="Z866" s="6"/>
      <c r="AA866" s="6"/>
      <c r="AB866" s="6"/>
      <c r="AC866" s="6"/>
      <c r="AD866" s="6"/>
      <c r="AE866" s="6"/>
    </row>
    <row r="867" spans="22:31" ht="11.25" customHeight="1" x14ac:dyDescent="0.25">
      <c r="V867" s="6"/>
      <c r="W867" s="6"/>
      <c r="X867" s="6"/>
      <c r="Y867" s="6"/>
      <c r="Z867" s="6"/>
      <c r="AA867" s="6"/>
      <c r="AB867" s="6"/>
      <c r="AC867" s="6"/>
      <c r="AD867" s="6"/>
      <c r="AE867" s="6"/>
    </row>
    <row r="868" spans="22:31" ht="11.25" customHeight="1" x14ac:dyDescent="0.25">
      <c r="V868" s="6"/>
      <c r="W868" s="6"/>
      <c r="X868" s="6"/>
      <c r="Y868" s="6"/>
      <c r="Z868" s="6"/>
      <c r="AA868" s="6"/>
      <c r="AB868" s="6"/>
      <c r="AC868" s="6"/>
      <c r="AD868" s="6"/>
      <c r="AE868" s="6"/>
    </row>
    <row r="869" spans="22:31" ht="11.25" customHeight="1" x14ac:dyDescent="0.25">
      <c r="V869" s="6"/>
      <c r="W869" s="6"/>
      <c r="X869" s="6"/>
      <c r="Y869" s="6"/>
      <c r="Z869" s="6"/>
      <c r="AA869" s="6"/>
      <c r="AB869" s="6"/>
      <c r="AC869" s="6"/>
      <c r="AD869" s="6"/>
      <c r="AE869" s="6"/>
    </row>
    <row r="870" spans="22:31" ht="11.25" customHeight="1" x14ac:dyDescent="0.25">
      <c r="V870" s="6"/>
      <c r="W870" s="6"/>
      <c r="X870" s="6"/>
      <c r="Y870" s="6"/>
      <c r="Z870" s="6"/>
      <c r="AA870" s="6"/>
      <c r="AB870" s="6"/>
      <c r="AC870" s="6"/>
      <c r="AD870" s="6"/>
      <c r="AE870" s="6"/>
    </row>
    <row r="871" spans="22:31" ht="11.25" customHeight="1" x14ac:dyDescent="0.25">
      <c r="V871" s="6"/>
      <c r="W871" s="6"/>
      <c r="X871" s="6"/>
      <c r="Y871" s="6"/>
      <c r="Z871" s="6"/>
      <c r="AA871" s="6"/>
      <c r="AB871" s="6"/>
      <c r="AC871" s="6"/>
      <c r="AD871" s="6"/>
      <c r="AE871" s="6"/>
    </row>
    <row r="872" spans="22:31" ht="11.25" customHeight="1" x14ac:dyDescent="0.25">
      <c r="V872" s="6"/>
      <c r="W872" s="6"/>
      <c r="X872" s="6"/>
      <c r="Y872" s="6"/>
      <c r="Z872" s="6"/>
      <c r="AA872" s="6"/>
      <c r="AB872" s="6"/>
      <c r="AC872" s="6"/>
      <c r="AD872" s="6"/>
      <c r="AE872" s="6"/>
    </row>
    <row r="873" spans="22:31" ht="11.25" customHeight="1" x14ac:dyDescent="0.25">
      <c r="V873" s="6"/>
      <c r="W873" s="6"/>
      <c r="X873" s="6"/>
      <c r="Y873" s="6"/>
      <c r="Z873" s="6"/>
      <c r="AA873" s="6"/>
      <c r="AB873" s="6"/>
      <c r="AC873" s="6"/>
      <c r="AD873" s="6"/>
      <c r="AE873" s="6"/>
    </row>
    <row r="874" spans="22:31" ht="11.25" customHeight="1" x14ac:dyDescent="0.25">
      <c r="V874" s="6"/>
      <c r="W874" s="6"/>
      <c r="X874" s="6"/>
      <c r="Y874" s="6"/>
      <c r="Z874" s="6"/>
      <c r="AA874" s="6"/>
      <c r="AB874" s="6"/>
      <c r="AC874" s="6"/>
      <c r="AD874" s="6"/>
      <c r="AE874" s="6"/>
    </row>
    <row r="875" spans="22:31" ht="11.25" customHeight="1" x14ac:dyDescent="0.25">
      <c r="V875" s="6"/>
      <c r="W875" s="6"/>
      <c r="X875" s="6"/>
      <c r="Y875" s="6"/>
      <c r="Z875" s="6"/>
      <c r="AA875" s="6"/>
      <c r="AB875" s="6"/>
      <c r="AC875" s="6"/>
      <c r="AD875" s="6"/>
      <c r="AE875" s="6"/>
    </row>
    <row r="876" spans="22:31" ht="11.25" customHeight="1" x14ac:dyDescent="0.25"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spans="22:31" ht="11.25" customHeight="1" x14ac:dyDescent="0.25"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spans="22:31" ht="11.25" customHeight="1" x14ac:dyDescent="0.25"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spans="22:31" ht="11.25" customHeight="1" x14ac:dyDescent="0.25"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spans="22:31" ht="11.25" customHeight="1" x14ac:dyDescent="0.25"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spans="22:31" ht="11.25" customHeight="1" x14ac:dyDescent="0.25"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spans="22:31" ht="11.25" customHeight="1" x14ac:dyDescent="0.25"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spans="22:31" ht="11.25" customHeight="1" x14ac:dyDescent="0.25"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spans="22:31" ht="11.25" customHeight="1" x14ac:dyDescent="0.25"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spans="22:31" ht="11.25" customHeight="1" x14ac:dyDescent="0.25"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spans="22:31" ht="11.25" customHeight="1" x14ac:dyDescent="0.25"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spans="22:31" ht="11.25" customHeight="1" x14ac:dyDescent="0.25"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  <row r="888" spans="22:31" ht="11.25" customHeight="1" x14ac:dyDescent="0.25">
      <c r="V888" s="6"/>
      <c r="W888" s="6"/>
      <c r="X888" s="6"/>
      <c r="Y888" s="6"/>
      <c r="Z888" s="6"/>
      <c r="AA888" s="6"/>
      <c r="AB888" s="6"/>
      <c r="AC888" s="6"/>
      <c r="AD888" s="6"/>
      <c r="AE888" s="6"/>
    </row>
    <row r="889" spans="22:31" ht="11.25" customHeight="1" x14ac:dyDescent="0.25">
      <c r="V889" s="6"/>
      <c r="W889" s="6"/>
      <c r="X889" s="6"/>
      <c r="Y889" s="6"/>
      <c r="Z889" s="6"/>
      <c r="AA889" s="6"/>
      <c r="AB889" s="6"/>
      <c r="AC889" s="6"/>
      <c r="AD889" s="6"/>
      <c r="AE889" s="6"/>
    </row>
    <row r="890" spans="22:31" ht="11.25" customHeight="1" x14ac:dyDescent="0.25">
      <c r="V890" s="6"/>
      <c r="W890" s="6"/>
      <c r="X890" s="6"/>
      <c r="Y890" s="6"/>
      <c r="Z890" s="6"/>
      <c r="AA890" s="6"/>
      <c r="AB890" s="6"/>
      <c r="AC890" s="6"/>
      <c r="AD890" s="6"/>
      <c r="AE890" s="6"/>
    </row>
    <row r="891" spans="22:31" ht="11.25" customHeight="1" x14ac:dyDescent="0.25">
      <c r="V891" s="6"/>
      <c r="W891" s="6"/>
      <c r="X891" s="6"/>
      <c r="Y891" s="6"/>
      <c r="Z891" s="6"/>
      <c r="AA891" s="6"/>
      <c r="AB891" s="6"/>
      <c r="AC891" s="6"/>
      <c r="AD891" s="6"/>
      <c r="AE891" s="6"/>
    </row>
    <row r="892" spans="22:31" ht="11.25" customHeight="1" x14ac:dyDescent="0.25">
      <c r="V892" s="6"/>
      <c r="W892" s="6"/>
      <c r="X892" s="6"/>
      <c r="Y892" s="6"/>
      <c r="Z892" s="6"/>
      <c r="AA892" s="6"/>
      <c r="AB892" s="6"/>
      <c r="AC892" s="6"/>
      <c r="AD892" s="6"/>
      <c r="AE892" s="6"/>
    </row>
    <row r="893" spans="22:31" ht="11.25" customHeight="1" x14ac:dyDescent="0.25">
      <c r="V893" s="6"/>
      <c r="W893" s="6"/>
      <c r="X893" s="6"/>
      <c r="Y893" s="6"/>
      <c r="Z893" s="6"/>
      <c r="AA893" s="6"/>
      <c r="AB893" s="6"/>
      <c r="AC893" s="6"/>
      <c r="AD893" s="6"/>
      <c r="AE893" s="6"/>
    </row>
    <row r="894" spans="22:31" ht="11.25" customHeight="1" x14ac:dyDescent="0.25">
      <c r="V894" s="6"/>
      <c r="W894" s="6"/>
      <c r="X894" s="6"/>
      <c r="Y894" s="6"/>
      <c r="Z894" s="6"/>
      <c r="AA894" s="6"/>
      <c r="AB894" s="6"/>
      <c r="AC894" s="6"/>
      <c r="AD894" s="6"/>
      <c r="AE894" s="6"/>
    </row>
    <row r="895" spans="22:31" ht="11.25" customHeight="1" x14ac:dyDescent="0.25">
      <c r="V895" s="6"/>
      <c r="W895" s="6"/>
      <c r="X895" s="6"/>
      <c r="Y895" s="6"/>
      <c r="Z895" s="6"/>
      <c r="AA895" s="6"/>
      <c r="AB895" s="6"/>
      <c r="AC895" s="6"/>
      <c r="AD895" s="6"/>
      <c r="AE895" s="6"/>
    </row>
    <row r="896" spans="22:31" ht="11.25" customHeight="1" x14ac:dyDescent="0.25">
      <c r="V896" s="6"/>
      <c r="W896" s="6"/>
      <c r="X896" s="6"/>
      <c r="Y896" s="6"/>
      <c r="Z896" s="6"/>
      <c r="AA896" s="6"/>
      <c r="AB896" s="6"/>
      <c r="AC896" s="6"/>
      <c r="AD896" s="6"/>
      <c r="AE896" s="6"/>
    </row>
    <row r="897" spans="22:31" ht="11.25" customHeight="1" x14ac:dyDescent="0.25">
      <c r="V897" s="6"/>
      <c r="W897" s="6"/>
      <c r="X897" s="6"/>
      <c r="Y897" s="6"/>
      <c r="Z897" s="6"/>
      <c r="AA897" s="6"/>
      <c r="AB897" s="6"/>
      <c r="AC897" s="6"/>
      <c r="AD897" s="6"/>
      <c r="AE897" s="6"/>
    </row>
    <row r="898" spans="22:31" ht="11.25" customHeight="1" x14ac:dyDescent="0.25"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spans="22:31" ht="11.25" customHeight="1" x14ac:dyDescent="0.25">
      <c r="V899" s="6"/>
      <c r="W899" s="6"/>
      <c r="X899" s="6"/>
      <c r="Y899" s="6"/>
      <c r="Z899" s="6"/>
      <c r="AA899" s="6"/>
      <c r="AB899" s="6"/>
      <c r="AC899" s="6"/>
      <c r="AD899" s="6"/>
      <c r="AE899" s="6"/>
    </row>
    <row r="900" spans="22:31" ht="11.25" customHeight="1" x14ac:dyDescent="0.25">
      <c r="V900" s="6"/>
      <c r="W900" s="6"/>
      <c r="X900" s="6"/>
      <c r="Y900" s="6"/>
      <c r="Z900" s="6"/>
      <c r="AA900" s="6"/>
      <c r="AB900" s="6"/>
      <c r="AC900" s="6"/>
      <c r="AD900" s="6"/>
      <c r="AE900" s="6"/>
    </row>
    <row r="901" spans="22:31" ht="11.25" customHeight="1" x14ac:dyDescent="0.25">
      <c r="V901" s="6"/>
      <c r="W901" s="6"/>
      <c r="X901" s="6"/>
      <c r="Y901" s="6"/>
      <c r="Z901" s="6"/>
      <c r="AA901" s="6"/>
      <c r="AB901" s="6"/>
      <c r="AC901" s="6"/>
      <c r="AD901" s="6"/>
      <c r="AE901" s="6"/>
    </row>
    <row r="902" spans="22:31" ht="11.25" customHeight="1" x14ac:dyDescent="0.25">
      <c r="V902" s="6"/>
      <c r="W902" s="6"/>
      <c r="X902" s="6"/>
      <c r="Y902" s="6"/>
      <c r="Z902" s="6"/>
      <c r="AA902" s="6"/>
      <c r="AB902" s="6"/>
      <c r="AC902" s="6"/>
      <c r="AD902" s="6"/>
      <c r="AE902" s="6"/>
    </row>
    <row r="903" spans="22:31" ht="11.25" customHeight="1" x14ac:dyDescent="0.25">
      <c r="V903" s="6"/>
      <c r="W903" s="6"/>
      <c r="X903" s="6"/>
      <c r="Y903" s="6"/>
      <c r="Z903" s="6"/>
      <c r="AA903" s="6"/>
      <c r="AB903" s="6"/>
      <c r="AC903" s="6"/>
      <c r="AD903" s="6"/>
      <c r="AE903" s="6"/>
    </row>
    <row r="904" spans="22:31" ht="11.25" customHeight="1" x14ac:dyDescent="0.25">
      <c r="V904" s="6"/>
      <c r="W904" s="6"/>
      <c r="X904" s="6"/>
      <c r="Y904" s="6"/>
      <c r="Z904" s="6"/>
      <c r="AA904" s="6"/>
      <c r="AB904" s="6"/>
      <c r="AC904" s="6"/>
      <c r="AD904" s="6"/>
      <c r="AE904" s="6"/>
    </row>
    <row r="905" spans="22:31" ht="11.25" customHeight="1" x14ac:dyDescent="0.25">
      <c r="V905" s="6"/>
      <c r="W905" s="6"/>
      <c r="X905" s="6"/>
      <c r="Y905" s="6"/>
      <c r="Z905" s="6"/>
      <c r="AA905" s="6"/>
      <c r="AB905" s="6"/>
      <c r="AC905" s="6"/>
      <c r="AD905" s="6"/>
      <c r="AE905" s="6"/>
    </row>
    <row r="906" spans="22:31" ht="11.25" customHeight="1" x14ac:dyDescent="0.25">
      <c r="V906" s="6"/>
      <c r="W906" s="6"/>
      <c r="X906" s="6"/>
      <c r="Y906" s="6"/>
      <c r="Z906" s="6"/>
      <c r="AA906" s="6"/>
      <c r="AB906" s="6"/>
      <c r="AC906" s="6"/>
      <c r="AD906" s="6"/>
      <c r="AE906" s="6"/>
    </row>
    <row r="907" spans="22:31" ht="11.25" customHeight="1" x14ac:dyDescent="0.25">
      <c r="V907" s="6"/>
      <c r="W907" s="6"/>
      <c r="X907" s="6"/>
      <c r="Y907" s="6"/>
      <c r="Z907" s="6"/>
      <c r="AA907" s="6"/>
      <c r="AB907" s="6"/>
      <c r="AC907" s="6"/>
      <c r="AD907" s="6"/>
      <c r="AE907" s="6"/>
    </row>
    <row r="908" spans="22:31" ht="11.25" customHeight="1" x14ac:dyDescent="0.25">
      <c r="V908" s="6"/>
      <c r="W908" s="6"/>
      <c r="X908" s="6"/>
      <c r="Y908" s="6"/>
      <c r="Z908" s="6"/>
      <c r="AA908" s="6"/>
      <c r="AB908" s="6"/>
      <c r="AC908" s="6"/>
      <c r="AD908" s="6"/>
      <c r="AE908" s="6"/>
    </row>
    <row r="909" spans="22:31" ht="11.25" customHeight="1" x14ac:dyDescent="0.25">
      <c r="V909" s="6"/>
      <c r="W909" s="6"/>
      <c r="X909" s="6"/>
      <c r="Y909" s="6"/>
      <c r="Z909" s="6"/>
      <c r="AA909" s="6"/>
      <c r="AB909" s="6"/>
      <c r="AC909" s="6"/>
      <c r="AD909" s="6"/>
      <c r="AE909" s="6"/>
    </row>
    <row r="910" spans="22:31" ht="11.25" customHeight="1" x14ac:dyDescent="0.25">
      <c r="V910" s="6"/>
      <c r="W910" s="6"/>
      <c r="X910" s="6"/>
      <c r="Y910" s="6"/>
      <c r="Z910" s="6"/>
      <c r="AA910" s="6"/>
      <c r="AB910" s="6"/>
      <c r="AC910" s="6"/>
      <c r="AD910" s="6"/>
      <c r="AE910" s="6"/>
    </row>
    <row r="911" spans="22:31" ht="11.25" customHeight="1" x14ac:dyDescent="0.25">
      <c r="V911" s="6"/>
      <c r="W911" s="6"/>
      <c r="X911" s="6"/>
      <c r="Y911" s="6"/>
      <c r="Z911" s="6"/>
      <c r="AA911" s="6"/>
      <c r="AB911" s="6"/>
      <c r="AC911" s="6"/>
      <c r="AD911" s="6"/>
      <c r="AE911" s="6"/>
    </row>
    <row r="912" spans="22:31" ht="11.25" customHeight="1" x14ac:dyDescent="0.25">
      <c r="V912" s="6"/>
      <c r="W912" s="6"/>
      <c r="X912" s="6"/>
      <c r="Y912" s="6"/>
      <c r="Z912" s="6"/>
      <c r="AA912" s="6"/>
      <c r="AB912" s="6"/>
      <c r="AC912" s="6"/>
      <c r="AD912" s="6"/>
      <c r="AE912" s="6"/>
    </row>
    <row r="913" spans="22:31" ht="11.25" customHeight="1" x14ac:dyDescent="0.25">
      <c r="V913" s="6"/>
      <c r="W913" s="6"/>
      <c r="X913" s="6"/>
      <c r="Y913" s="6"/>
      <c r="Z913" s="6"/>
      <c r="AA913" s="6"/>
      <c r="AB913" s="6"/>
      <c r="AC913" s="6"/>
      <c r="AD913" s="6"/>
      <c r="AE913" s="6"/>
    </row>
    <row r="914" spans="22:31" ht="11.25" customHeight="1" x14ac:dyDescent="0.25">
      <c r="V914" s="6"/>
      <c r="W914" s="6"/>
      <c r="X914" s="6"/>
      <c r="Y914" s="6"/>
      <c r="Z914" s="6"/>
      <c r="AA914" s="6"/>
      <c r="AB914" s="6"/>
      <c r="AC914" s="6"/>
      <c r="AD914" s="6"/>
      <c r="AE914" s="6"/>
    </row>
    <row r="915" spans="22:31" ht="11.25" customHeight="1" x14ac:dyDescent="0.25">
      <c r="V915" s="6"/>
      <c r="W915" s="6"/>
      <c r="X915" s="6"/>
      <c r="Y915" s="6"/>
      <c r="Z915" s="6"/>
      <c r="AA915" s="6"/>
      <c r="AB915" s="6"/>
      <c r="AC915" s="6"/>
      <c r="AD915" s="6"/>
      <c r="AE915" s="6"/>
    </row>
    <row r="916" spans="22:31" ht="11.25" customHeight="1" x14ac:dyDescent="0.25">
      <c r="V916" s="6"/>
      <c r="W916" s="6"/>
      <c r="X916" s="6"/>
      <c r="Y916" s="6"/>
      <c r="Z916" s="6"/>
      <c r="AA916" s="6"/>
      <c r="AB916" s="6"/>
      <c r="AC916" s="6"/>
      <c r="AD916" s="6"/>
      <c r="AE916" s="6"/>
    </row>
    <row r="917" spans="22:31" ht="11.25" customHeight="1" x14ac:dyDescent="0.25">
      <c r="V917" s="6"/>
      <c r="W917" s="6"/>
      <c r="X917" s="6"/>
      <c r="Y917" s="6"/>
      <c r="Z917" s="6"/>
      <c r="AA917" s="6"/>
      <c r="AB917" s="6"/>
      <c r="AC917" s="6"/>
      <c r="AD917" s="6"/>
      <c r="AE917" s="6"/>
    </row>
    <row r="918" spans="22:31" ht="11.25" customHeight="1" x14ac:dyDescent="0.25">
      <c r="V918" s="6"/>
      <c r="W918" s="6"/>
      <c r="X918" s="6"/>
      <c r="Y918" s="6"/>
      <c r="Z918" s="6"/>
      <c r="AA918" s="6"/>
      <c r="AB918" s="6"/>
      <c r="AC918" s="6"/>
      <c r="AD918" s="6"/>
      <c r="AE918" s="6"/>
    </row>
    <row r="919" spans="22:31" ht="11.25" customHeight="1" x14ac:dyDescent="0.25">
      <c r="V919" s="6"/>
      <c r="W919" s="6"/>
      <c r="X919" s="6"/>
      <c r="Y919" s="6"/>
      <c r="Z919" s="6"/>
      <c r="AA919" s="6"/>
      <c r="AB919" s="6"/>
      <c r="AC919" s="6"/>
      <c r="AD919" s="6"/>
      <c r="AE919" s="6"/>
    </row>
    <row r="920" spans="22:31" ht="11.25" customHeight="1" x14ac:dyDescent="0.25">
      <c r="V920" s="6"/>
      <c r="W920" s="6"/>
      <c r="X920" s="6"/>
      <c r="Y920" s="6"/>
      <c r="Z920" s="6"/>
      <c r="AA920" s="6"/>
      <c r="AB920" s="6"/>
      <c r="AC920" s="6"/>
      <c r="AD920" s="6"/>
      <c r="AE920" s="6"/>
    </row>
    <row r="921" spans="22:31" ht="11.25" customHeight="1" x14ac:dyDescent="0.25">
      <c r="V921" s="6"/>
      <c r="W921" s="6"/>
      <c r="X921" s="6"/>
      <c r="Y921" s="6"/>
      <c r="Z921" s="6"/>
      <c r="AA921" s="6"/>
      <c r="AB921" s="6"/>
      <c r="AC921" s="6"/>
      <c r="AD921" s="6"/>
      <c r="AE921" s="6"/>
    </row>
    <row r="922" spans="22:31" ht="11.25" customHeight="1" x14ac:dyDescent="0.25">
      <c r="V922" s="6"/>
      <c r="W922" s="6"/>
      <c r="X922" s="6"/>
      <c r="Y922" s="6"/>
      <c r="Z922" s="6"/>
      <c r="AA922" s="6"/>
      <c r="AB922" s="6"/>
      <c r="AC922" s="6"/>
      <c r="AD922" s="6"/>
      <c r="AE922" s="6"/>
    </row>
    <row r="923" spans="22:31" ht="11.25" customHeight="1" x14ac:dyDescent="0.25">
      <c r="V923" s="6"/>
      <c r="W923" s="6"/>
      <c r="X923" s="6"/>
      <c r="Y923" s="6"/>
      <c r="Z923" s="6"/>
      <c r="AA923" s="6"/>
      <c r="AB923" s="6"/>
      <c r="AC923" s="6"/>
      <c r="AD923" s="6"/>
      <c r="AE923" s="6"/>
    </row>
    <row r="924" spans="22:31" ht="11.25" customHeight="1" x14ac:dyDescent="0.25">
      <c r="V924" s="6"/>
      <c r="W924" s="6"/>
      <c r="X924" s="6"/>
      <c r="Y924" s="6"/>
      <c r="Z924" s="6"/>
      <c r="AA924" s="6"/>
      <c r="AB924" s="6"/>
      <c r="AC924" s="6"/>
      <c r="AD924" s="6"/>
      <c r="AE924" s="6"/>
    </row>
    <row r="925" spans="22:31" ht="11.25" customHeight="1" x14ac:dyDescent="0.25">
      <c r="V925" s="6"/>
      <c r="W925" s="6"/>
      <c r="X925" s="6"/>
      <c r="Y925" s="6"/>
      <c r="Z925" s="6"/>
      <c r="AA925" s="6"/>
      <c r="AB925" s="6"/>
      <c r="AC925" s="6"/>
      <c r="AD925" s="6"/>
      <c r="AE925" s="6"/>
    </row>
    <row r="926" spans="22:31" ht="11.25" customHeight="1" x14ac:dyDescent="0.25">
      <c r="V926" s="6"/>
      <c r="W926" s="6"/>
      <c r="X926" s="6"/>
      <c r="Y926" s="6"/>
      <c r="Z926" s="6"/>
      <c r="AA926" s="6"/>
      <c r="AB926" s="6"/>
      <c r="AC926" s="6"/>
      <c r="AD926" s="6"/>
      <c r="AE926" s="6"/>
    </row>
    <row r="927" spans="22:31" ht="11.25" customHeight="1" x14ac:dyDescent="0.25">
      <c r="V927" s="6"/>
      <c r="W927" s="6"/>
      <c r="X927" s="6"/>
      <c r="Y927" s="6"/>
      <c r="Z927" s="6"/>
      <c r="AA927" s="6"/>
      <c r="AB927" s="6"/>
      <c r="AC927" s="6"/>
      <c r="AD927" s="6"/>
      <c r="AE927" s="6"/>
    </row>
    <row r="928" spans="22:31" ht="11.25" customHeight="1" x14ac:dyDescent="0.25">
      <c r="V928" s="6"/>
      <c r="W928" s="6"/>
      <c r="X928" s="6"/>
      <c r="Y928" s="6"/>
      <c r="Z928" s="6"/>
      <c r="AA928" s="6"/>
      <c r="AB928" s="6"/>
      <c r="AC928" s="6"/>
      <c r="AD928" s="6"/>
      <c r="AE928" s="6"/>
    </row>
    <row r="929" spans="22:31" ht="11.25" customHeight="1" x14ac:dyDescent="0.25">
      <c r="V929" s="6"/>
      <c r="W929" s="6"/>
      <c r="X929" s="6"/>
      <c r="Y929" s="6"/>
      <c r="Z929" s="6"/>
      <c r="AA929" s="6"/>
      <c r="AB929" s="6"/>
      <c r="AC929" s="6"/>
      <c r="AD929" s="6"/>
      <c r="AE929" s="6"/>
    </row>
    <row r="930" spans="22:31" ht="11.25" customHeight="1" x14ac:dyDescent="0.25">
      <c r="V930" s="6"/>
      <c r="W930" s="6"/>
      <c r="X930" s="6"/>
      <c r="Y930" s="6"/>
      <c r="Z930" s="6"/>
      <c r="AA930" s="6"/>
      <c r="AB930" s="6"/>
      <c r="AC930" s="6"/>
      <c r="AD930" s="6"/>
      <c r="AE930" s="6"/>
    </row>
    <row r="931" spans="22:31" ht="11.25" customHeight="1" x14ac:dyDescent="0.25">
      <c r="V931" s="6"/>
      <c r="W931" s="6"/>
      <c r="X931" s="6"/>
      <c r="Y931" s="6"/>
      <c r="Z931" s="6"/>
      <c r="AA931" s="6"/>
      <c r="AB931" s="6"/>
      <c r="AC931" s="6"/>
      <c r="AD931" s="6"/>
      <c r="AE931" s="6"/>
    </row>
    <row r="932" spans="22:31" ht="11.25" customHeight="1" x14ac:dyDescent="0.25">
      <c r="V932" s="6"/>
      <c r="W932" s="6"/>
      <c r="X932" s="6"/>
      <c r="Y932" s="6"/>
      <c r="Z932" s="6"/>
      <c r="AA932" s="6"/>
      <c r="AB932" s="6"/>
      <c r="AC932" s="6"/>
      <c r="AD932" s="6"/>
      <c r="AE932" s="6"/>
    </row>
    <row r="933" spans="22:31" ht="11.25" customHeight="1" x14ac:dyDescent="0.25">
      <c r="V933" s="6"/>
      <c r="W933" s="6"/>
      <c r="X933" s="6"/>
      <c r="Y933" s="6"/>
      <c r="Z933" s="6"/>
      <c r="AA933" s="6"/>
      <c r="AB933" s="6"/>
      <c r="AC933" s="6"/>
      <c r="AD933" s="6"/>
      <c r="AE933" s="6"/>
    </row>
    <row r="934" spans="22:31" ht="11.25" customHeight="1" x14ac:dyDescent="0.25">
      <c r="V934" s="6"/>
      <c r="W934" s="6"/>
      <c r="X934" s="6"/>
      <c r="Y934" s="6"/>
      <c r="Z934" s="6"/>
      <c r="AA934" s="6"/>
      <c r="AB934" s="6"/>
      <c r="AC934" s="6"/>
      <c r="AD934" s="6"/>
      <c r="AE934" s="6"/>
    </row>
    <row r="935" spans="22:31" ht="11.25" customHeight="1" x14ac:dyDescent="0.25">
      <c r="V935" s="6"/>
      <c r="W935" s="6"/>
      <c r="X935" s="6"/>
      <c r="Y935" s="6"/>
      <c r="Z935" s="6"/>
      <c r="AA935" s="6"/>
      <c r="AB935" s="6"/>
      <c r="AC935" s="6"/>
      <c r="AD935" s="6"/>
      <c r="AE935" s="6"/>
    </row>
    <row r="936" spans="22:31" ht="11.25" customHeight="1" x14ac:dyDescent="0.25">
      <c r="V936" s="6"/>
      <c r="W936" s="6"/>
      <c r="X936" s="6"/>
      <c r="Y936" s="6"/>
      <c r="Z936" s="6"/>
      <c r="AA936" s="6"/>
      <c r="AB936" s="6"/>
      <c r="AC936" s="6"/>
      <c r="AD936" s="6"/>
      <c r="AE936" s="6"/>
    </row>
    <row r="937" spans="22:31" ht="11.25" customHeight="1" x14ac:dyDescent="0.25">
      <c r="V937" s="6"/>
      <c r="W937" s="6"/>
      <c r="X937" s="6"/>
      <c r="Y937" s="6"/>
      <c r="Z937" s="6"/>
      <c r="AA937" s="6"/>
      <c r="AB937" s="6"/>
      <c r="AC937" s="6"/>
      <c r="AD937" s="6"/>
      <c r="AE937" s="6"/>
    </row>
    <row r="938" spans="22:31" ht="11.25" customHeight="1" x14ac:dyDescent="0.25">
      <c r="V938" s="6"/>
      <c r="W938" s="6"/>
      <c r="X938" s="6"/>
      <c r="Y938" s="6"/>
      <c r="Z938" s="6"/>
      <c r="AA938" s="6"/>
      <c r="AB938" s="6"/>
      <c r="AC938" s="6"/>
      <c r="AD938" s="6"/>
      <c r="AE938" s="6"/>
    </row>
    <row r="939" spans="22:31" ht="11.25" customHeight="1" x14ac:dyDescent="0.25">
      <c r="V939" s="6"/>
      <c r="W939" s="6"/>
      <c r="X939" s="6"/>
      <c r="Y939" s="6"/>
      <c r="Z939" s="6"/>
      <c r="AA939" s="6"/>
      <c r="AB939" s="6"/>
      <c r="AC939" s="6"/>
      <c r="AD939" s="6"/>
      <c r="AE939" s="6"/>
    </row>
    <row r="940" spans="22:31" ht="11.25" customHeight="1" x14ac:dyDescent="0.25">
      <c r="V940" s="6"/>
      <c r="W940" s="6"/>
      <c r="X940" s="6"/>
      <c r="Y940" s="6"/>
      <c r="Z940" s="6"/>
      <c r="AA940" s="6"/>
      <c r="AB940" s="6"/>
      <c r="AC940" s="6"/>
      <c r="AD940" s="6"/>
      <c r="AE940" s="6"/>
    </row>
    <row r="941" spans="22:31" ht="11.25" customHeight="1" x14ac:dyDescent="0.25">
      <c r="V941" s="6"/>
      <c r="W941" s="6"/>
      <c r="X941" s="6"/>
      <c r="Y941" s="6"/>
      <c r="Z941" s="6"/>
      <c r="AA941" s="6"/>
      <c r="AB941" s="6"/>
      <c r="AC941" s="6"/>
      <c r="AD941" s="6"/>
      <c r="AE941" s="6"/>
    </row>
    <row r="942" spans="22:31" ht="11.25" customHeight="1" x14ac:dyDescent="0.25">
      <c r="V942" s="6"/>
      <c r="W942" s="6"/>
      <c r="X942" s="6"/>
      <c r="Y942" s="6"/>
      <c r="Z942" s="6"/>
      <c r="AA942" s="6"/>
      <c r="AB942" s="6"/>
      <c r="AC942" s="6"/>
      <c r="AD942" s="6"/>
      <c r="AE942" s="6"/>
    </row>
    <row r="943" spans="22:31" ht="11.25" customHeight="1" x14ac:dyDescent="0.25">
      <c r="V943" s="6"/>
      <c r="W943" s="6"/>
      <c r="X943" s="6"/>
      <c r="Y943" s="6"/>
      <c r="Z943" s="6"/>
      <c r="AA943" s="6"/>
      <c r="AB943" s="6"/>
      <c r="AC943" s="6"/>
      <c r="AD943" s="6"/>
      <c r="AE943" s="6"/>
    </row>
    <row r="944" spans="22:31" ht="11.25" customHeight="1" x14ac:dyDescent="0.25">
      <c r="V944" s="6"/>
      <c r="W944" s="6"/>
      <c r="X944" s="6"/>
      <c r="Y944" s="6"/>
      <c r="Z944" s="6"/>
      <c r="AA944" s="6"/>
      <c r="AB944" s="6"/>
      <c r="AC944" s="6"/>
      <c r="AD944" s="6"/>
      <c r="AE944" s="6"/>
    </row>
    <row r="945" spans="22:31" ht="11.25" customHeight="1" x14ac:dyDescent="0.25">
      <c r="V945" s="6"/>
      <c r="W945" s="6"/>
      <c r="X945" s="6"/>
      <c r="Y945" s="6"/>
      <c r="Z945" s="6"/>
      <c r="AA945" s="6"/>
      <c r="AB945" s="6"/>
      <c r="AC945" s="6"/>
      <c r="AD945" s="6"/>
      <c r="AE945" s="6"/>
    </row>
    <row r="946" spans="22:31" ht="11.25" customHeight="1" x14ac:dyDescent="0.25">
      <c r="V946" s="6"/>
      <c r="W946" s="6"/>
      <c r="X946" s="6"/>
      <c r="Y946" s="6"/>
      <c r="Z946" s="6"/>
      <c r="AA946" s="6"/>
      <c r="AB946" s="6"/>
      <c r="AC946" s="6"/>
      <c r="AD946" s="6"/>
      <c r="AE946" s="6"/>
    </row>
    <row r="947" spans="22:31" ht="11.25" customHeight="1" x14ac:dyDescent="0.25">
      <c r="V947" s="6"/>
      <c r="W947" s="6"/>
      <c r="X947" s="6"/>
      <c r="Y947" s="6"/>
      <c r="Z947" s="6"/>
      <c r="AA947" s="6"/>
      <c r="AB947" s="6"/>
      <c r="AC947" s="6"/>
      <c r="AD947" s="6"/>
      <c r="AE947" s="6"/>
    </row>
    <row r="948" spans="22:31" ht="11.25" customHeight="1" x14ac:dyDescent="0.25">
      <c r="V948" s="6"/>
      <c r="W948" s="6"/>
      <c r="X948" s="6"/>
      <c r="Y948" s="6"/>
      <c r="Z948" s="6"/>
      <c r="AA948" s="6"/>
      <c r="AB948" s="6"/>
      <c r="AC948" s="6"/>
      <c r="AD948" s="6"/>
      <c r="AE948" s="6"/>
    </row>
    <row r="949" spans="22:31" ht="11.25" customHeight="1" x14ac:dyDescent="0.25">
      <c r="V949" s="6"/>
      <c r="W949" s="6"/>
      <c r="X949" s="6"/>
      <c r="Y949" s="6"/>
      <c r="Z949" s="6"/>
      <c r="AA949" s="6"/>
      <c r="AB949" s="6"/>
      <c r="AC949" s="6"/>
      <c r="AD949" s="6"/>
      <c r="AE949" s="6"/>
    </row>
    <row r="950" spans="22:31" ht="11.25" customHeight="1" x14ac:dyDescent="0.25">
      <c r="V950" s="6"/>
      <c r="W950" s="6"/>
      <c r="X950" s="6"/>
      <c r="Y950" s="6"/>
      <c r="Z950" s="6"/>
      <c r="AA950" s="6"/>
      <c r="AB950" s="6"/>
      <c r="AC950" s="6"/>
      <c r="AD950" s="6"/>
      <c r="AE950" s="6"/>
    </row>
    <row r="951" spans="22:31" ht="11.25" customHeight="1" x14ac:dyDescent="0.25">
      <c r="V951" s="6"/>
      <c r="W951" s="6"/>
      <c r="X951" s="6"/>
      <c r="Y951" s="6"/>
      <c r="Z951" s="6"/>
      <c r="AA951" s="6"/>
      <c r="AB951" s="6"/>
      <c r="AC951" s="6"/>
      <c r="AD951" s="6"/>
      <c r="AE951" s="6"/>
    </row>
    <row r="952" spans="22:31" ht="11.25" customHeight="1" x14ac:dyDescent="0.25">
      <c r="V952" s="6"/>
      <c r="W952" s="6"/>
      <c r="X952" s="6"/>
      <c r="Y952" s="6"/>
      <c r="Z952" s="6"/>
      <c r="AA952" s="6"/>
      <c r="AB952" s="6"/>
      <c r="AC952" s="6"/>
      <c r="AD952" s="6"/>
      <c r="AE952" s="6"/>
    </row>
    <row r="953" spans="22:31" ht="11.25" customHeight="1" x14ac:dyDescent="0.25">
      <c r="V953" s="6"/>
      <c r="W953" s="6"/>
      <c r="X953" s="6"/>
      <c r="Y953" s="6"/>
      <c r="Z953" s="6"/>
      <c r="AA953" s="6"/>
      <c r="AB953" s="6"/>
      <c r="AC953" s="6"/>
      <c r="AD953" s="6"/>
      <c r="AE953" s="6"/>
    </row>
    <row r="954" spans="22:31" ht="11.25" customHeight="1" x14ac:dyDescent="0.25">
      <c r="V954" s="6"/>
      <c r="W954" s="6"/>
      <c r="X954" s="6"/>
      <c r="Y954" s="6"/>
      <c r="Z954" s="6"/>
      <c r="AA954" s="6"/>
      <c r="AB954" s="6"/>
      <c r="AC954" s="6"/>
      <c r="AD954" s="6"/>
      <c r="AE954" s="6"/>
    </row>
    <row r="955" spans="22:31" ht="11.25" customHeight="1" x14ac:dyDescent="0.25">
      <c r="V955" s="6"/>
      <c r="W955" s="6"/>
      <c r="X955" s="6"/>
      <c r="Y955" s="6"/>
      <c r="Z955" s="6"/>
      <c r="AA955" s="6"/>
      <c r="AB955" s="6"/>
      <c r="AC955" s="6"/>
      <c r="AD955" s="6"/>
      <c r="AE955" s="6"/>
    </row>
    <row r="956" spans="22:31" ht="11.25" customHeight="1" x14ac:dyDescent="0.25">
      <c r="V956" s="6"/>
      <c r="W956" s="6"/>
      <c r="X956" s="6"/>
      <c r="Y956" s="6"/>
      <c r="Z956" s="6"/>
      <c r="AA956" s="6"/>
      <c r="AB956" s="6"/>
      <c r="AC956" s="6"/>
      <c r="AD956" s="6"/>
      <c r="AE956" s="6"/>
    </row>
    <row r="957" spans="22:31" ht="11.25" customHeight="1" x14ac:dyDescent="0.25">
      <c r="V957" s="6"/>
      <c r="W957" s="6"/>
      <c r="X957" s="6"/>
      <c r="Y957" s="6"/>
      <c r="Z957" s="6"/>
      <c r="AA957" s="6"/>
      <c r="AB957" s="6"/>
      <c r="AC957" s="6"/>
      <c r="AD957" s="6"/>
      <c r="AE957" s="6"/>
    </row>
    <row r="958" spans="22:31" ht="11.25" customHeight="1" x14ac:dyDescent="0.25">
      <c r="V958" s="6"/>
      <c r="W958" s="6"/>
      <c r="X958" s="6"/>
      <c r="Y958" s="6"/>
      <c r="Z958" s="6"/>
      <c r="AA958" s="6"/>
      <c r="AB958" s="6"/>
      <c r="AC958" s="6"/>
      <c r="AD958" s="6"/>
      <c r="AE958" s="6"/>
    </row>
    <row r="959" spans="22:31" ht="11.25" customHeight="1" x14ac:dyDescent="0.25">
      <c r="V959" s="6"/>
      <c r="W959" s="6"/>
      <c r="X959" s="6"/>
      <c r="Y959" s="6"/>
      <c r="Z959" s="6"/>
      <c r="AA959" s="6"/>
      <c r="AB959" s="6"/>
      <c r="AC959" s="6"/>
      <c r="AD959" s="6"/>
      <c r="AE959" s="6"/>
    </row>
    <row r="960" spans="22:31" ht="11.25" customHeight="1" x14ac:dyDescent="0.25">
      <c r="V960" s="6"/>
      <c r="W960" s="6"/>
      <c r="X960" s="6"/>
      <c r="Y960" s="6"/>
      <c r="Z960" s="6"/>
      <c r="AA960" s="6"/>
      <c r="AB960" s="6"/>
      <c r="AC960" s="6"/>
      <c r="AD960" s="6"/>
      <c r="AE960" s="6"/>
    </row>
    <row r="961" spans="22:31" ht="11.25" customHeight="1" x14ac:dyDescent="0.25">
      <c r="V961" s="6"/>
      <c r="W961" s="6"/>
      <c r="X961" s="6"/>
      <c r="Y961" s="6"/>
      <c r="Z961" s="6"/>
      <c r="AA961" s="6"/>
      <c r="AB961" s="6"/>
      <c r="AC961" s="6"/>
      <c r="AD961" s="6"/>
      <c r="AE961" s="6"/>
    </row>
    <row r="962" spans="22:31" ht="11.25" customHeight="1" x14ac:dyDescent="0.25">
      <c r="V962" s="6"/>
      <c r="W962" s="6"/>
      <c r="X962" s="6"/>
      <c r="Y962" s="6"/>
      <c r="Z962" s="6"/>
      <c r="AA962" s="6"/>
      <c r="AB962" s="6"/>
      <c r="AC962" s="6"/>
      <c r="AD962" s="6"/>
      <c r="AE962" s="6"/>
    </row>
    <row r="963" spans="22:31" ht="11.25" customHeight="1" x14ac:dyDescent="0.25">
      <c r="V963" s="6"/>
      <c r="W963" s="6"/>
      <c r="X963" s="6"/>
      <c r="Y963" s="6"/>
      <c r="Z963" s="6"/>
      <c r="AA963" s="6"/>
      <c r="AB963" s="6"/>
      <c r="AC963" s="6"/>
      <c r="AD963" s="6"/>
      <c r="AE963" s="6"/>
    </row>
    <row r="964" spans="22:31" ht="11.25" customHeight="1" x14ac:dyDescent="0.25">
      <c r="V964" s="6"/>
      <c r="W964" s="6"/>
      <c r="X964" s="6"/>
      <c r="Y964" s="6"/>
      <c r="Z964" s="6"/>
      <c r="AA964" s="6"/>
      <c r="AB964" s="6"/>
      <c r="AC964" s="6"/>
      <c r="AD964" s="6"/>
      <c r="AE964" s="6"/>
    </row>
    <row r="965" spans="22:31" ht="11.25" customHeight="1" x14ac:dyDescent="0.25">
      <c r="V965" s="6"/>
      <c r="W965" s="6"/>
      <c r="X965" s="6"/>
      <c r="Y965" s="6"/>
      <c r="Z965" s="6"/>
      <c r="AA965" s="6"/>
      <c r="AB965" s="6"/>
      <c r="AC965" s="6"/>
      <c r="AD965" s="6"/>
      <c r="AE965" s="6"/>
    </row>
    <row r="966" spans="22:31" ht="11.25" customHeight="1" x14ac:dyDescent="0.25">
      <c r="V966" s="6"/>
      <c r="W966" s="6"/>
      <c r="X966" s="6"/>
      <c r="Y966" s="6"/>
      <c r="Z966" s="6"/>
      <c r="AA966" s="6"/>
      <c r="AB966" s="6"/>
      <c r="AC966" s="6"/>
      <c r="AD966" s="6"/>
      <c r="AE966" s="6"/>
    </row>
    <row r="967" spans="22:31" ht="11.25" customHeight="1" x14ac:dyDescent="0.25">
      <c r="V967" s="6"/>
      <c r="W967" s="6"/>
      <c r="X967" s="6"/>
      <c r="Y967" s="6"/>
      <c r="Z967" s="6"/>
      <c r="AA967" s="6"/>
      <c r="AB967" s="6"/>
      <c r="AC967" s="6"/>
      <c r="AD967" s="6"/>
      <c r="AE967" s="6"/>
    </row>
    <row r="968" spans="22:31" ht="11.25" customHeight="1" x14ac:dyDescent="0.25">
      <c r="V968" s="6"/>
      <c r="W968" s="6"/>
      <c r="X968" s="6"/>
      <c r="Y968" s="6"/>
      <c r="Z968" s="6"/>
      <c r="AA968" s="6"/>
      <c r="AB968" s="6"/>
      <c r="AC968" s="6"/>
      <c r="AD968" s="6"/>
      <c r="AE968" s="6"/>
    </row>
    <row r="969" spans="22:31" ht="11.25" customHeight="1" x14ac:dyDescent="0.25">
      <c r="V969" s="6"/>
      <c r="W969" s="6"/>
      <c r="X969" s="6"/>
      <c r="Y969" s="6"/>
      <c r="Z969" s="6"/>
      <c r="AA969" s="6"/>
      <c r="AB969" s="6"/>
      <c r="AC969" s="6"/>
      <c r="AD969" s="6"/>
      <c r="AE969" s="6"/>
    </row>
    <row r="970" spans="22:31" ht="11.25" customHeight="1" x14ac:dyDescent="0.25">
      <c r="V970" s="6"/>
      <c r="W970" s="6"/>
      <c r="X970" s="6"/>
      <c r="Y970" s="6"/>
      <c r="Z970" s="6"/>
      <c r="AA970" s="6"/>
      <c r="AB970" s="6"/>
      <c r="AC970" s="6"/>
      <c r="AD970" s="6"/>
      <c r="AE970" s="6"/>
    </row>
    <row r="971" spans="22:31" ht="11.25" customHeight="1" x14ac:dyDescent="0.25">
      <c r="V971" s="6"/>
      <c r="W971" s="6"/>
      <c r="X971" s="6"/>
      <c r="Y971" s="6"/>
      <c r="Z971" s="6"/>
      <c r="AA971" s="6"/>
      <c r="AB971" s="6"/>
      <c r="AC971" s="6"/>
      <c r="AD971" s="6"/>
      <c r="AE971" s="6"/>
    </row>
    <row r="972" spans="22:31" ht="11.25" customHeight="1" x14ac:dyDescent="0.25">
      <c r="V972" s="6"/>
      <c r="W972" s="6"/>
      <c r="X972" s="6"/>
      <c r="Y972" s="6"/>
      <c r="Z972" s="6"/>
      <c r="AA972" s="6"/>
      <c r="AB972" s="6"/>
      <c r="AC972" s="6"/>
      <c r="AD972" s="6"/>
      <c r="AE972" s="6"/>
    </row>
    <row r="973" spans="22:31" ht="11.25" customHeight="1" x14ac:dyDescent="0.25">
      <c r="V973" s="6"/>
      <c r="W973" s="6"/>
      <c r="X973" s="6"/>
      <c r="Y973" s="6"/>
      <c r="Z973" s="6"/>
      <c r="AA973" s="6"/>
      <c r="AB973" s="6"/>
      <c r="AC973" s="6"/>
      <c r="AD973" s="6"/>
      <c r="AE973" s="6"/>
    </row>
    <row r="974" spans="22:31" ht="11.25" customHeight="1" x14ac:dyDescent="0.25">
      <c r="V974" s="6"/>
      <c r="W974" s="6"/>
      <c r="X974" s="6"/>
      <c r="Y974" s="6"/>
      <c r="Z974" s="6"/>
      <c r="AA974" s="6"/>
      <c r="AB974" s="6"/>
      <c r="AC974" s="6"/>
      <c r="AD974" s="6"/>
      <c r="AE974" s="6"/>
    </row>
    <row r="975" spans="22:31" ht="11.25" customHeight="1" x14ac:dyDescent="0.25">
      <c r="V975" s="6"/>
      <c r="W975" s="6"/>
      <c r="X975" s="6"/>
      <c r="Y975" s="6"/>
      <c r="Z975" s="6"/>
      <c r="AA975" s="6"/>
      <c r="AB975" s="6"/>
      <c r="AC975" s="6"/>
      <c r="AD975" s="6"/>
      <c r="AE975" s="6"/>
    </row>
    <row r="976" spans="22:31" ht="11.25" customHeight="1" x14ac:dyDescent="0.25">
      <c r="V976" s="6"/>
      <c r="W976" s="6"/>
      <c r="X976" s="6"/>
      <c r="Y976" s="6"/>
      <c r="Z976" s="6"/>
      <c r="AA976" s="6"/>
      <c r="AB976" s="6"/>
      <c r="AC976" s="6"/>
      <c r="AD976" s="6"/>
      <c r="AE976" s="6"/>
    </row>
    <row r="977" spans="22:31" ht="11.25" customHeight="1" x14ac:dyDescent="0.25">
      <c r="V977" s="6"/>
      <c r="W977" s="6"/>
      <c r="X977" s="6"/>
      <c r="Y977" s="6"/>
      <c r="Z977" s="6"/>
      <c r="AA977" s="6"/>
      <c r="AB977" s="6"/>
      <c r="AC977" s="6"/>
      <c r="AD977" s="6"/>
      <c r="AE977" s="6"/>
    </row>
    <row r="978" spans="22:31" ht="11.25" customHeight="1" x14ac:dyDescent="0.25">
      <c r="V978" s="6"/>
      <c r="W978" s="6"/>
      <c r="X978" s="6"/>
      <c r="Y978" s="6"/>
      <c r="Z978" s="6"/>
      <c r="AA978" s="6"/>
      <c r="AB978" s="6"/>
      <c r="AC978" s="6"/>
      <c r="AD978" s="6"/>
      <c r="AE978" s="6"/>
    </row>
    <row r="979" spans="22:31" ht="11.25" customHeight="1" x14ac:dyDescent="0.25">
      <c r="V979" s="6"/>
      <c r="W979" s="6"/>
      <c r="X979" s="6"/>
      <c r="Y979" s="6"/>
      <c r="Z979" s="6"/>
      <c r="AA979" s="6"/>
      <c r="AB979" s="6"/>
      <c r="AC979" s="6"/>
      <c r="AD979" s="6"/>
      <c r="AE979" s="6"/>
    </row>
    <row r="980" spans="22:31" ht="11.25" customHeight="1" x14ac:dyDescent="0.25">
      <c r="V980" s="6"/>
      <c r="W980" s="6"/>
      <c r="X980" s="6"/>
      <c r="Y980" s="6"/>
      <c r="Z980" s="6"/>
      <c r="AA980" s="6"/>
      <c r="AB980" s="6"/>
      <c r="AC980" s="6"/>
      <c r="AD980" s="6"/>
      <c r="AE980" s="6"/>
    </row>
    <row r="981" spans="22:31" ht="11.25" customHeight="1" x14ac:dyDescent="0.25">
      <c r="V981" s="6"/>
      <c r="W981" s="6"/>
      <c r="X981" s="6"/>
      <c r="Y981" s="6"/>
      <c r="Z981" s="6"/>
      <c r="AA981" s="6"/>
      <c r="AB981" s="6"/>
      <c r="AC981" s="6"/>
      <c r="AD981" s="6"/>
      <c r="AE981" s="6"/>
    </row>
    <row r="982" spans="22:31" ht="11.25" customHeight="1" x14ac:dyDescent="0.25">
      <c r="V982" s="6"/>
      <c r="W982" s="6"/>
      <c r="X982" s="6"/>
      <c r="Y982" s="6"/>
      <c r="Z982" s="6"/>
      <c r="AA982" s="6"/>
      <c r="AB982" s="6"/>
      <c r="AC982" s="6"/>
      <c r="AD982" s="6"/>
      <c r="AE982" s="6"/>
    </row>
    <row r="983" spans="22:31" ht="11.25" customHeight="1" x14ac:dyDescent="0.25">
      <c r="V983" s="6"/>
      <c r="W983" s="6"/>
      <c r="X983" s="6"/>
      <c r="Y983" s="6"/>
      <c r="Z983" s="6"/>
      <c r="AA983" s="6"/>
      <c r="AB983" s="6"/>
      <c r="AC983" s="6"/>
      <c r="AD983" s="6"/>
      <c r="AE983" s="6"/>
    </row>
    <row r="984" spans="22:31" ht="11.25" customHeight="1" x14ac:dyDescent="0.25">
      <c r="V984" s="6"/>
      <c r="W984" s="6"/>
      <c r="X984" s="6"/>
      <c r="Y984" s="6"/>
      <c r="Z984" s="6"/>
      <c r="AA984" s="6"/>
      <c r="AB984" s="6"/>
      <c r="AC984" s="6"/>
      <c r="AD984" s="6"/>
      <c r="AE984" s="6"/>
    </row>
    <row r="985" spans="22:31" ht="11.25" customHeight="1" x14ac:dyDescent="0.25">
      <c r="V985" s="6"/>
      <c r="W985" s="6"/>
      <c r="X985" s="6"/>
      <c r="Y985" s="6"/>
      <c r="Z985" s="6"/>
      <c r="AA985" s="6"/>
      <c r="AB985" s="6"/>
      <c r="AC985" s="6"/>
      <c r="AD985" s="6"/>
      <c r="AE985" s="6"/>
    </row>
    <row r="986" spans="22:31" ht="11.25" customHeight="1" x14ac:dyDescent="0.25">
      <c r="V986" s="6"/>
      <c r="W986" s="6"/>
      <c r="X986" s="6"/>
      <c r="Y986" s="6"/>
      <c r="Z986" s="6"/>
      <c r="AA986" s="6"/>
      <c r="AB986" s="6"/>
      <c r="AC986" s="6"/>
      <c r="AD986" s="6"/>
      <c r="AE986" s="6"/>
    </row>
    <row r="987" spans="22:31" ht="11.25" customHeight="1" x14ac:dyDescent="0.25">
      <c r="V987" s="6"/>
      <c r="W987" s="6"/>
      <c r="X987" s="6"/>
      <c r="Y987" s="6"/>
      <c r="Z987" s="6"/>
      <c r="AA987" s="6"/>
      <c r="AB987" s="6"/>
      <c r="AC987" s="6"/>
      <c r="AD987" s="6"/>
      <c r="AE987" s="6"/>
    </row>
    <row r="988" spans="22:31" ht="11.25" customHeight="1" x14ac:dyDescent="0.25">
      <c r="V988" s="6"/>
      <c r="W988" s="6"/>
      <c r="X988" s="6"/>
      <c r="Y988" s="6"/>
      <c r="Z988" s="6"/>
      <c r="AA988" s="6"/>
      <c r="AB988" s="6"/>
      <c r="AC988" s="6"/>
      <c r="AD988" s="6"/>
      <c r="AE988" s="6"/>
    </row>
    <row r="989" spans="22:31" ht="11.25" customHeight="1" x14ac:dyDescent="0.25">
      <c r="V989" s="6"/>
      <c r="W989" s="6"/>
      <c r="X989" s="6"/>
      <c r="Y989" s="6"/>
      <c r="Z989" s="6"/>
      <c r="AA989" s="6"/>
      <c r="AB989" s="6"/>
      <c r="AC989" s="6"/>
      <c r="AD989" s="6"/>
      <c r="AE989" s="6"/>
    </row>
    <row r="990" spans="22:31" ht="11.25" customHeight="1" x14ac:dyDescent="0.25">
      <c r="V990" s="6"/>
      <c r="W990" s="6"/>
      <c r="X990" s="6"/>
      <c r="Y990" s="6"/>
      <c r="Z990" s="6"/>
      <c r="AA990" s="6"/>
      <c r="AB990" s="6"/>
      <c r="AC990" s="6"/>
      <c r="AD990" s="6"/>
      <c r="AE990" s="6"/>
    </row>
    <row r="991" spans="22:31" ht="11.25" customHeight="1" x14ac:dyDescent="0.25">
      <c r="V991" s="6"/>
      <c r="W991" s="6"/>
      <c r="X991" s="6"/>
      <c r="Y991" s="6"/>
      <c r="Z991" s="6"/>
      <c r="AA991" s="6"/>
      <c r="AB991" s="6"/>
      <c r="AC991" s="6"/>
      <c r="AD991" s="6"/>
      <c r="AE991" s="6"/>
    </row>
    <row r="992" spans="22:31" ht="11.25" customHeight="1" x14ac:dyDescent="0.25">
      <c r="V992" s="6"/>
      <c r="W992" s="6"/>
      <c r="X992" s="6"/>
      <c r="Y992" s="6"/>
      <c r="Z992" s="6"/>
      <c r="AA992" s="6"/>
      <c r="AB992" s="6"/>
      <c r="AC992" s="6"/>
      <c r="AD992" s="6"/>
      <c r="AE992" s="6"/>
    </row>
    <row r="993" spans="22:31" ht="11.25" customHeight="1" x14ac:dyDescent="0.25">
      <c r="V993" s="6"/>
      <c r="W993" s="6"/>
      <c r="X993" s="6"/>
      <c r="Y993" s="6"/>
      <c r="Z993" s="6"/>
      <c r="AA993" s="6"/>
      <c r="AB993" s="6"/>
      <c r="AC993" s="6"/>
      <c r="AD993" s="6"/>
      <c r="AE993" s="6"/>
    </row>
    <row r="994" spans="22:31" ht="11.25" customHeight="1" x14ac:dyDescent="0.25">
      <c r="V994" s="6"/>
      <c r="W994" s="6"/>
      <c r="X994" s="6"/>
      <c r="Y994" s="6"/>
      <c r="Z994" s="6"/>
      <c r="AA994" s="6"/>
      <c r="AB994" s="6"/>
      <c r="AC994" s="6"/>
      <c r="AD994" s="6"/>
      <c r="AE994" s="6"/>
    </row>
    <row r="995" spans="22:31" ht="11.25" customHeight="1" x14ac:dyDescent="0.25">
      <c r="V995" s="6"/>
      <c r="W995" s="6"/>
      <c r="X995" s="6"/>
      <c r="Y995" s="6"/>
      <c r="Z995" s="6"/>
      <c r="AA995" s="6"/>
      <c r="AB995" s="6"/>
      <c r="AC995" s="6"/>
      <c r="AD995" s="6"/>
      <c r="AE995" s="6"/>
    </row>
    <row r="996" spans="22:31" ht="11.25" customHeight="1" x14ac:dyDescent="0.25">
      <c r="V996" s="6"/>
      <c r="W996" s="6"/>
      <c r="X996" s="6"/>
      <c r="Y996" s="6"/>
      <c r="Z996" s="6"/>
      <c r="AA996" s="6"/>
      <c r="AB996" s="6"/>
      <c r="AC996" s="6"/>
      <c r="AD996" s="6"/>
      <c r="AE996" s="6"/>
    </row>
    <row r="997" spans="22:31" ht="11.25" customHeight="1" x14ac:dyDescent="0.25">
      <c r="V997" s="6"/>
      <c r="W997" s="6"/>
      <c r="X997" s="6"/>
      <c r="Y997" s="6"/>
      <c r="Z997" s="6"/>
      <c r="AA997" s="6"/>
      <c r="AB997" s="6"/>
      <c r="AC997" s="6"/>
      <c r="AD997" s="6"/>
      <c r="AE997" s="6"/>
    </row>
    <row r="998" spans="22:31" ht="11.25" customHeight="1" x14ac:dyDescent="0.25">
      <c r="V998" s="6"/>
      <c r="W998" s="6"/>
      <c r="X998" s="6"/>
      <c r="Y998" s="6"/>
      <c r="Z998" s="6"/>
      <c r="AA998" s="6"/>
      <c r="AB998" s="6"/>
      <c r="AC998" s="6"/>
      <c r="AD998" s="6"/>
      <c r="AE998" s="6"/>
    </row>
    <row r="999" spans="22:31" ht="11.25" customHeight="1" x14ac:dyDescent="0.25">
      <c r="V999" s="6"/>
      <c r="W999" s="6"/>
      <c r="X999" s="6"/>
      <c r="Y999" s="6"/>
      <c r="Z999" s="6"/>
      <c r="AA999" s="6"/>
      <c r="AB999" s="6"/>
      <c r="AC999" s="6"/>
      <c r="AD999" s="6"/>
      <c r="AE999" s="6"/>
    </row>
    <row r="1000" spans="22:31" ht="11.25" customHeight="1" x14ac:dyDescent="0.25"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</row>
    <row r="1001" spans="22:31" ht="11.25" customHeight="1" x14ac:dyDescent="0.25"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</row>
    <row r="1002" spans="22:31" ht="11.25" customHeight="1" x14ac:dyDescent="0.25"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</row>
    <row r="1003" spans="22:31" ht="11.25" customHeight="1" x14ac:dyDescent="0.25"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</row>
    <row r="1004" spans="22:31" ht="11.25" customHeight="1" x14ac:dyDescent="0.25"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</row>
    <row r="1005" spans="22:31" ht="11.25" customHeight="1" x14ac:dyDescent="0.25"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</row>
    <row r="1006" spans="22:31" ht="11.25" customHeight="1" x14ac:dyDescent="0.25"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</row>
    <row r="1007" spans="22:31" ht="11.25" customHeight="1" x14ac:dyDescent="0.25"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</row>
    <row r="1008" spans="22:31" ht="11.25" customHeight="1" x14ac:dyDescent="0.25"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</row>
    <row r="1009" spans="22:31" ht="11.25" customHeight="1" x14ac:dyDescent="0.25"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</row>
    <row r="1010" spans="22:31" ht="11.25" customHeight="1" x14ac:dyDescent="0.25"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</row>
    <row r="1011" spans="22:31" ht="11.25" customHeight="1" x14ac:dyDescent="0.25"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</row>
    <row r="1012" spans="22:31" ht="11.25" customHeight="1" x14ac:dyDescent="0.25"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</row>
    <row r="1013" spans="22:31" ht="11.25" customHeight="1" x14ac:dyDescent="0.25"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</row>
    <row r="1014" spans="22:31" ht="11.25" customHeight="1" x14ac:dyDescent="0.25"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</row>
    <row r="1015" spans="22:31" ht="11.25" customHeight="1" x14ac:dyDescent="0.25"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</row>
    <row r="1016" spans="22:31" ht="11.25" customHeight="1" x14ac:dyDescent="0.25"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</row>
    <row r="1017" spans="22:31" ht="11.25" customHeight="1" x14ac:dyDescent="0.25"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</row>
    <row r="1018" spans="22:31" ht="11.25" customHeight="1" x14ac:dyDescent="0.25"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</row>
    <row r="1019" spans="22:31" ht="11.25" customHeight="1" x14ac:dyDescent="0.25"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</row>
    <row r="1020" spans="22:31" ht="11.25" customHeight="1" x14ac:dyDescent="0.25"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</row>
    <row r="1021" spans="22:31" ht="11.25" customHeight="1" x14ac:dyDescent="0.25"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</row>
    <row r="1022" spans="22:31" ht="11.25" customHeight="1" x14ac:dyDescent="0.25"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</row>
    <row r="1023" spans="22:31" ht="11.25" customHeight="1" x14ac:dyDescent="0.25"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</row>
    <row r="1024" spans="22:31" ht="11.25" customHeight="1" x14ac:dyDescent="0.25"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</row>
    <row r="1025" spans="22:31" ht="11.25" customHeight="1" x14ac:dyDescent="0.25"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</row>
    <row r="1026" spans="22:31" ht="11.25" customHeight="1" x14ac:dyDescent="0.25"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</row>
    <row r="1027" spans="22:31" ht="11.25" customHeight="1" x14ac:dyDescent="0.25"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</row>
    <row r="1028" spans="22:31" ht="11.25" customHeight="1" x14ac:dyDescent="0.25"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</row>
    <row r="1029" spans="22:31" ht="11.25" customHeight="1" x14ac:dyDescent="0.25"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</row>
    <row r="1030" spans="22:31" ht="11.25" customHeight="1" x14ac:dyDescent="0.25"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</row>
    <row r="1031" spans="22:31" ht="11.25" customHeight="1" x14ac:dyDescent="0.25"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</row>
    <row r="1032" spans="22:31" ht="11.25" customHeight="1" x14ac:dyDescent="0.25"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</row>
    <row r="1033" spans="22:31" ht="11.25" customHeight="1" x14ac:dyDescent="0.25"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</row>
    <row r="1034" spans="22:31" ht="11.25" customHeight="1" x14ac:dyDescent="0.25"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</row>
    <row r="1035" spans="22:31" ht="11.25" customHeight="1" x14ac:dyDescent="0.25"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</row>
    <row r="1036" spans="22:31" ht="11.25" customHeight="1" x14ac:dyDescent="0.25"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</row>
    <row r="1037" spans="22:31" ht="11.25" customHeight="1" x14ac:dyDescent="0.25"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</row>
    <row r="1038" spans="22:31" ht="11.25" customHeight="1" x14ac:dyDescent="0.25"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</row>
    <row r="1039" spans="22:31" ht="11.25" customHeight="1" x14ac:dyDescent="0.25"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</row>
    <row r="1040" spans="22:31" ht="11.25" customHeight="1" x14ac:dyDescent="0.25"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</row>
    <row r="1041" spans="22:31" ht="11.25" customHeight="1" x14ac:dyDescent="0.25"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</row>
    <row r="1042" spans="22:31" ht="11.25" customHeight="1" x14ac:dyDescent="0.25"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</row>
    <row r="1043" spans="22:31" ht="11.25" customHeight="1" x14ac:dyDescent="0.25"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22:31" ht="11.25" customHeight="1" x14ac:dyDescent="0.25"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22:31" ht="11.25" customHeight="1" x14ac:dyDescent="0.25"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22:31" ht="11.25" customHeight="1" x14ac:dyDescent="0.25"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</row>
    <row r="1047" spans="22:31" ht="11.25" customHeight="1" x14ac:dyDescent="0.25"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</row>
    <row r="1048" spans="22:31" ht="11.25" customHeight="1" x14ac:dyDescent="0.25"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</row>
    <row r="1049" spans="22:31" ht="11.25" customHeight="1" x14ac:dyDescent="0.25"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</row>
    <row r="1050" spans="22:31" ht="11.25" customHeight="1" x14ac:dyDescent="0.25"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</row>
    <row r="1051" spans="22:31" ht="11.25" customHeight="1" x14ac:dyDescent="0.25"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</row>
    <row r="1052" spans="22:31" ht="11.25" customHeight="1" x14ac:dyDescent="0.25"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</row>
    <row r="1053" spans="22:31" ht="11.25" customHeight="1" x14ac:dyDescent="0.25"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</row>
    <row r="1054" spans="22:31" ht="11.25" customHeight="1" x14ac:dyDescent="0.25"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</row>
    <row r="1055" spans="22:31" ht="11.25" customHeight="1" x14ac:dyDescent="0.25"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</row>
    <row r="1056" spans="22:31" ht="11.25" customHeight="1" x14ac:dyDescent="0.25"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</row>
    <row r="1057" spans="22:31" ht="11.25" customHeight="1" x14ac:dyDescent="0.25"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</row>
    <row r="1058" spans="22:31" ht="11.25" customHeight="1" x14ac:dyDescent="0.25"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</row>
    <row r="1059" spans="22:31" ht="11.25" customHeight="1" x14ac:dyDescent="0.25"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</row>
    <row r="1060" spans="22:31" ht="11.25" customHeight="1" x14ac:dyDescent="0.25"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</row>
    <row r="1061" spans="22:31" ht="11.25" customHeight="1" x14ac:dyDescent="0.25"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</row>
    <row r="1062" spans="22:31" ht="11.25" customHeight="1" x14ac:dyDescent="0.25"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</row>
    <row r="1063" spans="22:31" ht="11.25" customHeight="1" x14ac:dyDescent="0.25"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</row>
    <row r="1064" spans="22:31" ht="11.25" customHeight="1" x14ac:dyDescent="0.25"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</row>
    <row r="1065" spans="22:31" ht="11.25" customHeight="1" x14ac:dyDescent="0.25"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</row>
    <row r="1066" spans="22:31" ht="11.25" customHeight="1" x14ac:dyDescent="0.25"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</row>
    <row r="1067" spans="22:31" ht="11.25" customHeight="1" x14ac:dyDescent="0.25"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</row>
    <row r="1068" spans="22:31" ht="11.25" customHeight="1" x14ac:dyDescent="0.25"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</row>
    <row r="1069" spans="22:31" ht="11.25" customHeight="1" x14ac:dyDescent="0.25"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</row>
    <row r="1070" spans="22:31" ht="11.25" customHeight="1" x14ac:dyDescent="0.25"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</row>
    <row r="1071" spans="22:31" ht="11.25" customHeight="1" x14ac:dyDescent="0.25"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</row>
    <row r="1072" spans="22:31" ht="11.25" customHeight="1" x14ac:dyDescent="0.25"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</row>
    <row r="1073" spans="22:31" ht="11.25" customHeight="1" x14ac:dyDescent="0.25"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</row>
    <row r="1074" spans="22:31" ht="11.25" customHeight="1" x14ac:dyDescent="0.25"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</row>
    <row r="1075" spans="22:31" ht="11.25" customHeight="1" x14ac:dyDescent="0.25"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</row>
    <row r="1076" spans="22:31" ht="11.25" customHeight="1" x14ac:dyDescent="0.25"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</row>
    <row r="1077" spans="22:31" ht="11.25" customHeight="1" x14ac:dyDescent="0.25"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</row>
    <row r="1078" spans="22:31" ht="11.25" customHeight="1" x14ac:dyDescent="0.25"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</row>
    <row r="1079" spans="22:31" ht="11.25" customHeight="1" x14ac:dyDescent="0.25"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</row>
    <row r="1080" spans="22:31" ht="11.25" customHeight="1" x14ac:dyDescent="0.25"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</row>
    <row r="1081" spans="22:31" ht="11.25" customHeight="1" x14ac:dyDescent="0.25"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</row>
    <row r="1082" spans="22:31" ht="11.25" customHeight="1" x14ac:dyDescent="0.25"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</row>
    <row r="1083" spans="22:31" ht="11.25" customHeight="1" x14ac:dyDescent="0.25"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</row>
    <row r="1084" spans="22:31" ht="11.25" customHeight="1" x14ac:dyDescent="0.25"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</row>
    <row r="1085" spans="22:31" ht="11.25" customHeight="1" x14ac:dyDescent="0.25"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</row>
    <row r="1086" spans="22:31" ht="11.25" customHeight="1" x14ac:dyDescent="0.25"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</row>
    <row r="1087" spans="22:31" ht="11.25" customHeight="1" x14ac:dyDescent="0.25"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</row>
    <row r="1088" spans="22:31" ht="11.25" customHeight="1" x14ac:dyDescent="0.25"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</row>
    <row r="1089" spans="22:31" ht="11.25" customHeight="1" x14ac:dyDescent="0.25"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</row>
    <row r="1090" spans="22:31" ht="11.25" customHeight="1" x14ac:dyDescent="0.25"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</row>
    <row r="1091" spans="22:31" ht="11.25" customHeight="1" x14ac:dyDescent="0.25"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</row>
    <row r="1092" spans="22:31" ht="11.25" customHeight="1" x14ac:dyDescent="0.25"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</row>
    <row r="1093" spans="22:31" ht="11.25" customHeight="1" x14ac:dyDescent="0.25"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</row>
    <row r="1094" spans="22:31" ht="11.25" customHeight="1" x14ac:dyDescent="0.25"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</row>
    <row r="1095" spans="22:31" ht="11.25" customHeight="1" x14ac:dyDescent="0.25"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</row>
    <row r="1096" spans="22:31" ht="11.25" customHeight="1" x14ac:dyDescent="0.25"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</row>
    <row r="1097" spans="22:31" ht="11.25" customHeight="1" x14ac:dyDescent="0.25"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</row>
    <row r="1098" spans="22:31" ht="11.25" customHeight="1" x14ac:dyDescent="0.25"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</row>
    <row r="1099" spans="22:31" ht="11.25" customHeight="1" x14ac:dyDescent="0.25"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</row>
    <row r="1100" spans="22:31" ht="11.25" customHeight="1" x14ac:dyDescent="0.25"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896F-729A-4A43-9FF9-4869EAC3244F}">
  <dimension ref="A1:J860"/>
  <sheetViews>
    <sheetView showGridLines="0" workbookViewId="0"/>
  </sheetViews>
  <sheetFormatPr defaultRowHeight="11.25" customHeight="1" x14ac:dyDescent="0.2"/>
  <cols>
    <col min="1" max="1" width="37.28515625" style="14" bestFit="1" customWidth="1"/>
    <col min="2" max="2" width="24.5703125" style="18" bestFit="1" customWidth="1"/>
    <col min="3" max="3" width="25.5703125" style="18" bestFit="1" customWidth="1"/>
    <col min="4" max="4" width="26" style="18" bestFit="1" customWidth="1"/>
    <col min="5" max="5" width="26.85546875" style="18" bestFit="1" customWidth="1"/>
    <col min="6" max="6" width="23.7109375" style="18" bestFit="1" customWidth="1"/>
    <col min="7" max="7" width="24.5703125" style="18" bestFit="1" customWidth="1"/>
    <col min="8" max="8" width="18.28515625" style="19" bestFit="1" customWidth="1"/>
    <col min="9" max="9" width="16" style="19" bestFit="1" customWidth="1"/>
    <col min="10" max="10" width="13.85546875" style="19" bestFit="1" customWidth="1"/>
    <col min="11" max="16384" width="9.140625" style="14"/>
  </cols>
  <sheetData>
    <row r="1" spans="1:10" ht="11.25" customHeight="1" x14ac:dyDescent="0.2">
      <c r="A1" s="17" t="s">
        <v>621</v>
      </c>
      <c r="B1" s="18" t="s">
        <v>622</v>
      </c>
      <c r="C1" s="18" t="s">
        <v>623</v>
      </c>
      <c r="D1" s="18" t="s">
        <v>624</v>
      </c>
      <c r="E1" s="18" t="s">
        <v>625</v>
      </c>
      <c r="F1" s="18" t="s">
        <v>626</v>
      </c>
      <c r="G1" s="18" t="s">
        <v>627</v>
      </c>
      <c r="H1" s="19" t="s">
        <v>628</v>
      </c>
      <c r="I1" s="19" t="s">
        <v>629</v>
      </c>
      <c r="J1" s="19" t="s">
        <v>630</v>
      </c>
    </row>
    <row r="2" spans="1:10" ht="11.25" customHeight="1" x14ac:dyDescent="0.2">
      <c r="A2" s="20" t="s">
        <v>26</v>
      </c>
      <c r="B2" s="18">
        <v>28127746.156799991</v>
      </c>
      <c r="C2" s="18">
        <v>29786233.564700011</v>
      </c>
      <c r="D2" s="18">
        <v>77406494.657839239</v>
      </c>
      <c r="E2" s="18">
        <v>94017426.732474595</v>
      </c>
      <c r="F2" s="18">
        <v>68992920.918654814</v>
      </c>
      <c r="G2" s="18">
        <v>75970386.041315541</v>
      </c>
      <c r="H2" s="19">
        <v>0.17311366757850588</v>
      </c>
      <c r="I2" s="19">
        <v>0.10113305872188505</v>
      </c>
      <c r="J2" s="19">
        <v>0.14465877032812546</v>
      </c>
    </row>
    <row r="3" spans="1:10" ht="11.25" customHeight="1" x14ac:dyDescent="0.2">
      <c r="A3" s="21" t="s">
        <v>35</v>
      </c>
      <c r="B3" s="18">
        <v>28127746.156799991</v>
      </c>
      <c r="C3" s="18">
        <v>29786233.564700011</v>
      </c>
      <c r="D3" s="18">
        <v>18267073.631000593</v>
      </c>
      <c r="E3" s="18">
        <v>22166965.892074753</v>
      </c>
      <c r="F3" s="18">
        <v>28826554.537576001</v>
      </c>
      <c r="G3" s="18">
        <v>30843060.350389257</v>
      </c>
      <c r="H3" s="19">
        <v>0.1198060407260324</v>
      </c>
      <c r="I3" s="19">
        <v>6.9953063942646665E-2</v>
      </c>
      <c r="J3" s="19">
        <v>0.10070123751025317</v>
      </c>
    </row>
    <row r="4" spans="1:10" ht="11.25" customHeight="1" x14ac:dyDescent="0.2">
      <c r="A4" s="22" t="s">
        <v>36</v>
      </c>
      <c r="B4" s="18">
        <v>4035957.1500000008</v>
      </c>
      <c r="C4" s="18">
        <v>4243379.5242452202</v>
      </c>
      <c r="D4" s="18">
        <v>2057777.4198099999</v>
      </c>
      <c r="E4" s="18">
        <v>2736128.4122387366</v>
      </c>
      <c r="F4" s="18">
        <v>5483655.5274200002</v>
      </c>
      <c r="G4" s="18">
        <v>5867254.0331690637</v>
      </c>
      <c r="H4" s="19">
        <v>0.14535804875097713</v>
      </c>
      <c r="I4" s="19">
        <v>6.9953063942647553E-2</v>
      </c>
      <c r="J4" s="19">
        <v>0.10964231677109426</v>
      </c>
    </row>
    <row r="5" spans="1:10" ht="11.25" customHeight="1" x14ac:dyDescent="0.2">
      <c r="A5" s="23" t="s">
        <v>40</v>
      </c>
      <c r="B5" s="18">
        <v>396557.24000000005</v>
      </c>
      <c r="C5" s="18">
        <v>417097.71412425651</v>
      </c>
      <c r="D5" s="18">
        <v>166943.33191999997</v>
      </c>
      <c r="E5" s="18">
        <v>221976.5798296541</v>
      </c>
      <c r="F5" s="18">
        <v>444877.91343999997</v>
      </c>
      <c r="G5" s="18">
        <v>475998.48656553996</v>
      </c>
      <c r="H5" s="19">
        <v>0.13411472108432876</v>
      </c>
      <c r="I5" s="19">
        <v>6.9953063942647553E-2</v>
      </c>
      <c r="J5" s="19">
        <v>0.10580778617203412</v>
      </c>
    </row>
    <row r="6" spans="1:10" ht="11.25" customHeight="1" x14ac:dyDescent="0.2">
      <c r="A6" s="24" t="s">
        <v>25</v>
      </c>
      <c r="B6" s="18">
        <v>396557.24000000005</v>
      </c>
      <c r="C6" s="18">
        <v>417097.71412425651</v>
      </c>
      <c r="D6" s="18">
        <v>166943.33191999997</v>
      </c>
      <c r="E6" s="18">
        <v>221976.5798296541</v>
      </c>
      <c r="F6" s="18">
        <v>444877.91343999997</v>
      </c>
      <c r="G6" s="18">
        <v>475998.48656553996</v>
      </c>
      <c r="H6" s="19">
        <v>0.13411472108432876</v>
      </c>
      <c r="I6" s="19">
        <v>6.9953063942647553E-2</v>
      </c>
      <c r="J6" s="19">
        <v>0.10580778617203412</v>
      </c>
    </row>
    <row r="7" spans="1:10" ht="11.25" customHeight="1" x14ac:dyDescent="0.2">
      <c r="A7" s="25" t="s">
        <v>25</v>
      </c>
      <c r="B7" s="18">
        <v>396557.24000000005</v>
      </c>
      <c r="C7" s="18">
        <v>417097.71412425651</v>
      </c>
      <c r="D7" s="18">
        <v>166943.33191999997</v>
      </c>
      <c r="E7" s="18">
        <v>221976.5798296541</v>
      </c>
      <c r="F7" s="18">
        <v>444877.91343999997</v>
      </c>
      <c r="G7" s="18">
        <v>475998.48656553996</v>
      </c>
      <c r="H7" s="19">
        <v>0.13411472108432876</v>
      </c>
      <c r="I7" s="19">
        <v>6.9953063942647553E-2</v>
      </c>
      <c r="J7" s="19">
        <v>0.10580778617203412</v>
      </c>
    </row>
    <row r="8" spans="1:10" ht="11.25" customHeight="1" x14ac:dyDescent="0.2">
      <c r="A8" s="26" t="s">
        <v>25</v>
      </c>
      <c r="B8" s="18">
        <v>396557.24000000005</v>
      </c>
      <c r="C8" s="18">
        <v>417097.71412425651</v>
      </c>
      <c r="D8" s="18">
        <v>166943.33191999997</v>
      </c>
      <c r="E8" s="18">
        <v>221976.5798296541</v>
      </c>
      <c r="F8" s="18">
        <v>444877.91343999997</v>
      </c>
      <c r="G8" s="18">
        <v>475998.48656553996</v>
      </c>
      <c r="H8" s="19">
        <v>0.13411472108432876</v>
      </c>
      <c r="I8" s="19">
        <v>6.9953063942647553E-2</v>
      </c>
      <c r="J8" s="19">
        <v>0.10580778617203412</v>
      </c>
    </row>
    <row r="9" spans="1:10" ht="11.25" customHeight="1" x14ac:dyDescent="0.2">
      <c r="A9" s="27" t="s">
        <v>38</v>
      </c>
      <c r="B9" s="18">
        <v>180887.04000000001</v>
      </c>
      <c r="C9" s="18">
        <v>191781.99091922096</v>
      </c>
      <c r="D9" s="18">
        <v>150646.88456999997</v>
      </c>
      <c r="E9" s="18">
        <v>200307.97165870591</v>
      </c>
      <c r="F9" s="18">
        <v>401450.42573999998</v>
      </c>
      <c r="G9" s="18">
        <v>429533.11304159317</v>
      </c>
      <c r="H9" s="19">
        <v>0.18265412230880496</v>
      </c>
      <c r="I9" s="19">
        <v>6.9953063942647331E-2</v>
      </c>
      <c r="J9" s="19">
        <v>0.12092853724916819</v>
      </c>
    </row>
    <row r="10" spans="1:10" ht="11.25" customHeight="1" x14ac:dyDescent="0.2">
      <c r="A10" s="28">
        <v>44378</v>
      </c>
      <c r="B10" s="18">
        <v>15204.77</v>
      </c>
      <c r="C10" s="18">
        <v>16120.563762162526</v>
      </c>
      <c r="D10" s="18">
        <v>11261.757869999998</v>
      </c>
      <c r="E10" s="18">
        <v>14974.221887761461</v>
      </c>
      <c r="F10" s="18">
        <v>30010.82634</v>
      </c>
      <c r="G10" s="18">
        <v>32110.175593933698</v>
      </c>
      <c r="H10" s="19">
        <v>0.17487211781830103</v>
      </c>
      <c r="I10" s="19">
        <v>6.9953063942647109E-2</v>
      </c>
      <c r="J10" s="19">
        <v>0.11912043557923058</v>
      </c>
    </row>
    <row r="11" spans="1:10" ht="11.25" customHeight="1" x14ac:dyDescent="0.2">
      <c r="A11" s="28">
        <v>44409</v>
      </c>
      <c r="B11" s="18">
        <v>14393.500000000002</v>
      </c>
      <c r="C11" s="18">
        <v>15260.430411685697</v>
      </c>
      <c r="D11" s="18">
        <v>11565.2207</v>
      </c>
      <c r="E11" s="18">
        <v>15377.721927769695</v>
      </c>
      <c r="F11" s="18">
        <v>30819.507400000002</v>
      </c>
      <c r="G11" s="18">
        <v>32975.426371833091</v>
      </c>
      <c r="H11" s="19">
        <v>0.1802643394308483</v>
      </c>
      <c r="I11" s="19">
        <v>6.9953063942647109E-2</v>
      </c>
      <c r="J11" s="19">
        <v>0.12038682502119991</v>
      </c>
    </row>
    <row r="12" spans="1:10" ht="11.25" customHeight="1" x14ac:dyDescent="0.2">
      <c r="A12" s="28">
        <v>44440</v>
      </c>
      <c r="B12" s="18">
        <v>14393.500000000002</v>
      </c>
      <c r="C12" s="18">
        <v>15260.430411685697</v>
      </c>
      <c r="D12" s="18">
        <v>11283.508239999999</v>
      </c>
      <c r="E12" s="18">
        <v>15003.142316550695</v>
      </c>
      <c r="F12" s="18">
        <v>30068.787680000001</v>
      </c>
      <c r="G12" s="18">
        <v>32172.191507256925</v>
      </c>
      <c r="H12" s="19">
        <v>0.17862534627735083</v>
      </c>
      <c r="I12" s="19">
        <v>6.9953063942647331E-2</v>
      </c>
      <c r="J12" s="19">
        <v>0.12000848144843057</v>
      </c>
    </row>
    <row r="13" spans="1:10" ht="11.25" customHeight="1" x14ac:dyDescent="0.2">
      <c r="A13" s="28">
        <v>44470</v>
      </c>
      <c r="B13" s="18">
        <v>14393.500000000002</v>
      </c>
      <c r="C13" s="18">
        <v>15260.430411685697</v>
      </c>
      <c r="D13" s="18">
        <v>11281.42354</v>
      </c>
      <c r="E13" s="18">
        <v>15000.370390468659</v>
      </c>
      <c r="F13" s="18">
        <v>30063.23228</v>
      </c>
      <c r="G13" s="18">
        <v>32166.247490005499</v>
      </c>
      <c r="H13" s="19">
        <v>0.17861308350187799</v>
      </c>
      <c r="I13" s="19">
        <v>6.9953063942647331E-2</v>
      </c>
      <c r="J13" s="19">
        <v>0.12000562942485704</v>
      </c>
    </row>
    <row r="14" spans="1:10" ht="11.25" customHeight="1" x14ac:dyDescent="0.2">
      <c r="A14" s="28">
        <v>44501</v>
      </c>
      <c r="B14" s="18">
        <v>14393.500000000002</v>
      </c>
      <c r="C14" s="18">
        <v>15260.430411685697</v>
      </c>
      <c r="D14" s="18">
        <v>11646.662979999999</v>
      </c>
      <c r="E14" s="18">
        <v>15486.011840041198</v>
      </c>
      <c r="F14" s="18">
        <v>31036.538360000002</v>
      </c>
      <c r="G14" s="18">
        <v>33207.639312455503</v>
      </c>
      <c r="H14" s="19">
        <v>0.18073155975796018</v>
      </c>
      <c r="I14" s="19">
        <v>6.9953063942647109E-2</v>
      </c>
      <c r="J14" s="19">
        <v>0.12049365262394129</v>
      </c>
    </row>
    <row r="15" spans="1:10" ht="11.25" customHeight="1" x14ac:dyDescent="0.2">
      <c r="A15" s="28">
        <v>44531</v>
      </c>
      <c r="B15" s="18">
        <v>15257.11</v>
      </c>
      <c r="C15" s="18">
        <v>16176.056236386838</v>
      </c>
      <c r="D15" s="18">
        <v>13187.603729999999</v>
      </c>
      <c r="E15" s="18">
        <v>17534.927202345425</v>
      </c>
      <c r="F15" s="18">
        <v>35142.904860000002</v>
      </c>
      <c r="G15" s="18">
        <v>37601.258730801943</v>
      </c>
      <c r="H15" s="19">
        <v>0.18514054170909255</v>
      </c>
      <c r="I15" s="19">
        <v>6.9953063942647109E-2</v>
      </c>
      <c r="J15" s="19">
        <v>0.12147999486096506</v>
      </c>
    </row>
    <row r="16" spans="1:10" ht="11.25" customHeight="1" x14ac:dyDescent="0.2">
      <c r="A16" s="28">
        <v>44562</v>
      </c>
      <c r="B16" s="18">
        <v>16303.910000000002</v>
      </c>
      <c r="C16" s="18">
        <v>17285.90572087307</v>
      </c>
      <c r="D16" s="18">
        <v>13492.803809999999</v>
      </c>
      <c r="E16" s="18">
        <v>17940.737180755357</v>
      </c>
      <c r="F16" s="18">
        <v>35956.21542</v>
      </c>
      <c r="G16" s="18">
        <v>38471.462856410857</v>
      </c>
      <c r="H16" s="19">
        <v>0.18223248128141223</v>
      </c>
      <c r="I16" s="19">
        <v>6.9953063942647109E-2</v>
      </c>
      <c r="J16" s="19">
        <v>0.12083380346824546</v>
      </c>
    </row>
    <row r="17" spans="1:10" ht="11.25" customHeight="1" x14ac:dyDescent="0.2">
      <c r="A17" s="28">
        <v>44593</v>
      </c>
      <c r="B17" s="18">
        <v>17298.370000000003</v>
      </c>
      <c r="C17" s="18">
        <v>18340.26273113499</v>
      </c>
      <c r="D17" s="18">
        <v>13768.123189999998</v>
      </c>
      <c r="E17" s="18">
        <v>18306.816218656117</v>
      </c>
      <c r="F17" s="18">
        <v>36689.898580000001</v>
      </c>
      <c r="G17" s="18">
        <v>39256.469401415983</v>
      </c>
      <c r="H17" s="19">
        <v>0.17963359191076766</v>
      </c>
      <c r="I17" s="19">
        <v>6.9953063942647331E-2</v>
      </c>
      <c r="J17" s="19">
        <v>0.12024188963400984</v>
      </c>
    </row>
    <row r="18" spans="1:10" ht="11.25" customHeight="1" x14ac:dyDescent="0.2">
      <c r="A18" s="28">
        <v>44621</v>
      </c>
      <c r="B18" s="18">
        <v>15047.750000000002</v>
      </c>
      <c r="C18" s="18">
        <v>15954.086339489591</v>
      </c>
      <c r="D18" s="18">
        <v>13302.609679999998</v>
      </c>
      <c r="E18" s="18">
        <v>17687.845124537693</v>
      </c>
      <c r="F18" s="18">
        <v>35449.377759999996</v>
      </c>
      <c r="G18" s="18">
        <v>37929.170349172331</v>
      </c>
      <c r="H18" s="19">
        <v>0.18664919400512114</v>
      </c>
      <c r="I18" s="19">
        <v>6.9953063942647109E-2</v>
      </c>
      <c r="J18" s="19">
        <v>0.12180872030246426</v>
      </c>
    </row>
    <row r="19" spans="1:10" ht="11.25" customHeight="1" x14ac:dyDescent="0.2">
      <c r="A19" s="28">
        <v>44652</v>
      </c>
      <c r="B19" s="18">
        <v>15414.130000000001</v>
      </c>
      <c r="C19" s="18">
        <v>16342.533659059773</v>
      </c>
      <c r="D19" s="18">
        <v>14084.997589999999</v>
      </c>
      <c r="E19" s="18">
        <v>18728.14898312544</v>
      </c>
      <c r="F19" s="18">
        <v>37534.319380000001</v>
      </c>
      <c r="G19" s="18">
        <v>40159.960023632884</v>
      </c>
      <c r="H19" s="19">
        <v>0.18887185850451838</v>
      </c>
      <c r="I19" s="19">
        <v>6.9953063942647331E-2</v>
      </c>
      <c r="J19" s="19">
        <v>0.12228515862367417</v>
      </c>
    </row>
    <row r="20" spans="1:10" ht="11.25" customHeight="1" x14ac:dyDescent="0.2">
      <c r="A20" s="28">
        <v>44682</v>
      </c>
      <c r="B20" s="18">
        <v>14393.500000000002</v>
      </c>
      <c r="C20" s="18">
        <v>15260.430411685697</v>
      </c>
      <c r="D20" s="18">
        <v>12506.323770000001</v>
      </c>
      <c r="E20" s="18">
        <v>16629.061758736378</v>
      </c>
      <c r="F20" s="18">
        <v>33327.400140000005</v>
      </c>
      <c r="G20" s="18">
        <v>35658.75389303561</v>
      </c>
      <c r="H20" s="19">
        <v>0.18549074681994004</v>
      </c>
      <c r="I20" s="19">
        <v>6.9953063942647109E-2</v>
      </c>
      <c r="J20" s="19">
        <v>0.12155669277398173</v>
      </c>
    </row>
    <row r="21" spans="1:10" ht="11.25" customHeight="1" x14ac:dyDescent="0.2">
      <c r="A21" s="28">
        <v>44713</v>
      </c>
      <c r="B21" s="18">
        <v>14393.500000000002</v>
      </c>
      <c r="C21" s="18">
        <v>15260.430411685697</v>
      </c>
      <c r="D21" s="18">
        <v>13265.849469999999</v>
      </c>
      <c r="E21" s="18">
        <v>17638.966827957807</v>
      </c>
      <c r="F21" s="18">
        <v>35351.417540000002</v>
      </c>
      <c r="G21" s="18">
        <v>37824.357511638838</v>
      </c>
      <c r="H21" s="19">
        <v>0.18944942198756287</v>
      </c>
      <c r="I21" s="19">
        <v>6.9953063942647109E-2</v>
      </c>
      <c r="J21" s="19">
        <v>0.12240745680906029</v>
      </c>
    </row>
    <row r="22" spans="1:10" ht="11.25" customHeight="1" x14ac:dyDescent="0.2">
      <c r="A22" s="27" t="s">
        <v>37</v>
      </c>
      <c r="B22" s="18">
        <v>215670.2</v>
      </c>
      <c r="C22" s="18">
        <v>225315.72320503573</v>
      </c>
      <c r="D22" s="18">
        <v>16296.44735</v>
      </c>
      <c r="E22" s="18">
        <v>21668.608170948206</v>
      </c>
      <c r="F22" s="18">
        <v>43427.487699999998</v>
      </c>
      <c r="G22" s="18">
        <v>46465.373523946619</v>
      </c>
      <c r="H22" s="19">
        <v>6.4740703879401451E-2</v>
      </c>
      <c r="I22" s="19">
        <v>6.9953063942647109E-2</v>
      </c>
      <c r="J22" s="19">
        <v>6.5562652039239389E-2</v>
      </c>
    </row>
    <row r="23" spans="1:10" ht="11.25" customHeight="1" x14ac:dyDescent="0.2">
      <c r="A23" s="28">
        <v>44378</v>
      </c>
      <c r="B23" s="18">
        <v>17552</v>
      </c>
      <c r="C23" s="18">
        <v>18336.986629097511</v>
      </c>
      <c r="D23" s="18">
        <v>1319.96255</v>
      </c>
      <c r="E23" s="18">
        <v>1755.0911976085163</v>
      </c>
      <c r="F23" s="18">
        <v>3517.4941000000003</v>
      </c>
      <c r="G23" s="18">
        <v>3763.5535896951847</v>
      </c>
      <c r="H23" s="19">
        <v>6.4652273099494284E-2</v>
      </c>
      <c r="I23" s="19">
        <v>6.9953063942647109E-2</v>
      </c>
      <c r="J23" s="19">
        <v>6.548505349285505E-2</v>
      </c>
    </row>
    <row r="24" spans="1:10" ht="11.25" customHeight="1" x14ac:dyDescent="0.2">
      <c r="A24" s="28">
        <v>44409</v>
      </c>
      <c r="B24" s="18">
        <v>17552</v>
      </c>
      <c r="C24" s="18">
        <v>18336.986629097511</v>
      </c>
      <c r="D24" s="18">
        <v>1355.33296</v>
      </c>
      <c r="E24" s="18">
        <v>1802.1215434670441</v>
      </c>
      <c r="F24" s="18">
        <v>3611.7507200000005</v>
      </c>
      <c r="G24" s="18">
        <v>3864.4037490610626</v>
      </c>
      <c r="H24" s="19">
        <v>6.5148015067512555E-2</v>
      </c>
      <c r="I24" s="19">
        <v>6.9953063942647331E-2</v>
      </c>
      <c r="J24" s="19">
        <v>6.5918678695794153E-2</v>
      </c>
    </row>
    <row r="25" spans="1:10" ht="11.25" customHeight="1" x14ac:dyDescent="0.2">
      <c r="A25" s="28">
        <v>44440</v>
      </c>
      <c r="B25" s="18">
        <v>17552</v>
      </c>
      <c r="C25" s="18">
        <v>18336.986629097511</v>
      </c>
      <c r="D25" s="18">
        <v>1330.4555399999999</v>
      </c>
      <c r="E25" s="18">
        <v>1769.0432255547594</v>
      </c>
      <c r="F25" s="18">
        <v>3545.4562800000003</v>
      </c>
      <c r="G25" s="18">
        <v>3793.4718098607004</v>
      </c>
      <c r="H25" s="19">
        <v>6.4799533729090086E-2</v>
      </c>
      <c r="I25" s="19">
        <v>6.9953063942647109E-2</v>
      </c>
      <c r="J25" s="19">
        <v>6.5614215729200787E-2</v>
      </c>
    </row>
    <row r="26" spans="1:10" ht="11.25" customHeight="1" x14ac:dyDescent="0.2">
      <c r="A26" s="28">
        <v>44470</v>
      </c>
      <c r="B26" s="18">
        <v>17552</v>
      </c>
      <c r="C26" s="18">
        <v>18336.986629097511</v>
      </c>
      <c r="D26" s="18">
        <v>1310.4424199999999</v>
      </c>
      <c r="E26" s="18">
        <v>1742.432735167223</v>
      </c>
      <c r="F26" s="18">
        <v>3492.12444</v>
      </c>
      <c r="G26" s="18">
        <v>3736.4092442470014</v>
      </c>
      <c r="H26" s="19">
        <v>6.4518524015445777E-2</v>
      </c>
      <c r="I26" s="19">
        <v>6.9953063942647331E-2</v>
      </c>
      <c r="J26" s="19">
        <v>6.5367482074834449E-2</v>
      </c>
    </row>
    <row r="27" spans="1:10" ht="11.25" customHeight="1" x14ac:dyDescent="0.2">
      <c r="A27" s="28">
        <v>44501</v>
      </c>
      <c r="B27" s="18">
        <v>17552</v>
      </c>
      <c r="C27" s="18">
        <v>18336.986629097511</v>
      </c>
      <c r="D27" s="18">
        <v>1219.8969499999998</v>
      </c>
      <c r="E27" s="18">
        <v>1622.0387456708345</v>
      </c>
      <c r="F27" s="18">
        <v>3250.8349000000003</v>
      </c>
      <c r="G27" s="18">
        <v>3478.2407616266892</v>
      </c>
      <c r="H27" s="19">
        <v>6.3239662349006576E-2</v>
      </c>
      <c r="I27" s="19">
        <v>6.9953063942647109E-2</v>
      </c>
      <c r="J27" s="19">
        <v>6.4230645681454535E-2</v>
      </c>
    </row>
    <row r="28" spans="1:10" ht="11.25" customHeight="1" x14ac:dyDescent="0.2">
      <c r="A28" s="28">
        <v>44531</v>
      </c>
      <c r="B28" s="18">
        <v>17552</v>
      </c>
      <c r="C28" s="18">
        <v>18336.986629097511</v>
      </c>
      <c r="D28" s="18">
        <v>1300.8527999999999</v>
      </c>
      <c r="E28" s="18">
        <v>1729.6818751898616</v>
      </c>
      <c r="F28" s="18">
        <v>3466.5695999999998</v>
      </c>
      <c r="G28" s="18">
        <v>3709.0667648904368</v>
      </c>
      <c r="H28" s="19">
        <v>6.4383662099529726E-2</v>
      </c>
      <c r="I28" s="19">
        <v>6.9953063942647331E-2</v>
      </c>
      <c r="J28" s="19">
        <v>6.5248680860926278E-2</v>
      </c>
    </row>
    <row r="29" spans="1:10" ht="11.25" customHeight="1" x14ac:dyDescent="0.2">
      <c r="A29" s="28">
        <v>44562</v>
      </c>
      <c r="B29" s="18">
        <v>17552</v>
      </c>
      <c r="C29" s="18">
        <v>18336.986629097511</v>
      </c>
      <c r="D29" s="18">
        <v>1447.5461899999998</v>
      </c>
      <c r="E29" s="18">
        <v>1924.7330738290602</v>
      </c>
      <c r="F29" s="18">
        <v>3857.4845800000003</v>
      </c>
      <c r="G29" s="18">
        <v>4127.3274454825159</v>
      </c>
      <c r="H29" s="19">
        <v>6.6431771596254796E-2</v>
      </c>
      <c r="I29" s="19">
        <v>6.9953063942647109E-2</v>
      </c>
      <c r="J29" s="19">
        <v>6.7026045238556042E-2</v>
      </c>
    </row>
    <row r="30" spans="1:10" ht="11.25" customHeight="1" x14ac:dyDescent="0.2">
      <c r="A30" s="28">
        <v>44593</v>
      </c>
      <c r="B30" s="18">
        <v>22598.2</v>
      </c>
      <c r="C30" s="18">
        <v>23608.870284963043</v>
      </c>
      <c r="D30" s="18">
        <v>1478.9556700000001</v>
      </c>
      <c r="E30" s="18">
        <v>1966.4967601317217</v>
      </c>
      <c r="F30" s="18">
        <v>3941.1859400000003</v>
      </c>
      <c r="G30" s="18">
        <v>4216.8839720706828</v>
      </c>
      <c r="H30" s="19">
        <v>6.222543042995432E-2</v>
      </c>
      <c r="I30" s="19">
        <v>6.9953063942647331E-2</v>
      </c>
      <c r="J30" s="19">
        <v>6.3312434113956373E-2</v>
      </c>
    </row>
    <row r="31" spans="1:10" ht="11.25" customHeight="1" x14ac:dyDescent="0.2">
      <c r="A31" s="28">
        <v>44621</v>
      </c>
      <c r="B31" s="18">
        <v>17552</v>
      </c>
      <c r="C31" s="18">
        <v>18336.986629097511</v>
      </c>
      <c r="D31" s="18">
        <v>1332.47075</v>
      </c>
      <c r="E31" s="18">
        <v>1771.7227541007264</v>
      </c>
      <c r="F31" s="18">
        <v>3550.8265000000001</v>
      </c>
      <c r="G31" s="18">
        <v>3799.2176932037464</v>
      </c>
      <c r="H31" s="19">
        <v>6.482779683927542E-2</v>
      </c>
      <c r="I31" s="19">
        <v>6.9953063942647331E-2</v>
      </c>
      <c r="J31" s="19">
        <v>6.5638971037122573E-2</v>
      </c>
    </row>
    <row r="32" spans="1:10" ht="11.25" customHeight="1" x14ac:dyDescent="0.2">
      <c r="A32" s="28">
        <v>44652</v>
      </c>
      <c r="B32" s="18">
        <v>17552</v>
      </c>
      <c r="C32" s="18">
        <v>18336.986629097511</v>
      </c>
      <c r="D32" s="18">
        <v>1451.3681399999998</v>
      </c>
      <c r="E32" s="18">
        <v>1929.8149383127911</v>
      </c>
      <c r="F32" s="18">
        <v>3867.66948</v>
      </c>
      <c r="G32" s="18">
        <v>4138.2248104434648</v>
      </c>
      <c r="H32" s="19">
        <v>6.6484710399885127E-2</v>
      </c>
      <c r="I32" s="19">
        <v>6.9953063942647109E-2</v>
      </c>
      <c r="J32" s="19">
        <v>6.7071235828511044E-2</v>
      </c>
    </row>
    <row r="33" spans="1:10" ht="11.25" customHeight="1" x14ac:dyDescent="0.2">
      <c r="A33" s="28">
        <v>44682</v>
      </c>
      <c r="B33" s="18">
        <v>17552</v>
      </c>
      <c r="C33" s="18">
        <v>18336.986629097511</v>
      </c>
      <c r="D33" s="18">
        <v>1252.3487799999998</v>
      </c>
      <c r="E33" s="18">
        <v>1665.1883950145132</v>
      </c>
      <c r="F33" s="18">
        <v>3337.31396</v>
      </c>
      <c r="G33" s="18">
        <v>3570.769296840569</v>
      </c>
      <c r="H33" s="19">
        <v>6.3699427091355121E-2</v>
      </c>
      <c r="I33" s="19">
        <v>6.9953063942647109E-2</v>
      </c>
      <c r="J33" s="19">
        <v>6.4642009850819138E-2</v>
      </c>
    </row>
    <row r="34" spans="1:10" ht="11.25" customHeight="1" x14ac:dyDescent="0.2">
      <c r="A34" s="28">
        <v>44713</v>
      </c>
      <c r="B34" s="18">
        <v>17552</v>
      </c>
      <c r="C34" s="18">
        <v>18336.986629097511</v>
      </c>
      <c r="D34" s="18">
        <v>1496.8145999999999</v>
      </c>
      <c r="E34" s="18">
        <v>1990.242926901155</v>
      </c>
      <c r="F34" s="18">
        <v>3988.7772</v>
      </c>
      <c r="G34" s="18">
        <v>4267.8043865245736</v>
      </c>
      <c r="H34" s="19">
        <v>6.7112572768631251E-2</v>
      </c>
      <c r="I34" s="19">
        <v>6.9953063942647331E-2</v>
      </c>
      <c r="J34" s="19">
        <v>6.7604381397331714E-2</v>
      </c>
    </row>
    <row r="35" spans="1:10" ht="11.25" customHeight="1" x14ac:dyDescent="0.2">
      <c r="A35" s="23" t="s">
        <v>34</v>
      </c>
      <c r="B35" s="18">
        <v>3639399.9100000006</v>
      </c>
      <c r="C35" s="18">
        <v>3826281.8101209635</v>
      </c>
      <c r="D35" s="18">
        <v>1890834.0878899996</v>
      </c>
      <c r="E35" s="18">
        <v>2514151.8324090824</v>
      </c>
      <c r="F35" s="18">
        <v>5038777.6139800008</v>
      </c>
      <c r="G35" s="18">
        <v>5391255.5466035241</v>
      </c>
      <c r="H35" s="19">
        <v>0.14650368229430599</v>
      </c>
      <c r="I35" s="19">
        <v>6.9953063942647331E-2</v>
      </c>
      <c r="J35" s="19">
        <v>0.11000816537638869</v>
      </c>
    </row>
    <row r="36" spans="1:10" ht="11.25" customHeight="1" x14ac:dyDescent="0.2">
      <c r="A36" s="24" t="s">
        <v>25</v>
      </c>
      <c r="B36" s="18">
        <v>3639399.9100000006</v>
      </c>
      <c r="C36" s="18">
        <v>3826281.8101209635</v>
      </c>
      <c r="D36" s="18">
        <v>1890834.0878899996</v>
      </c>
      <c r="E36" s="18">
        <v>2514151.8324090824</v>
      </c>
      <c r="F36" s="18">
        <v>5038777.6139800008</v>
      </c>
      <c r="G36" s="18">
        <v>5391255.5466035241</v>
      </c>
      <c r="H36" s="19">
        <v>0.14650368229430599</v>
      </c>
      <c r="I36" s="19">
        <v>6.9953063942647331E-2</v>
      </c>
      <c r="J36" s="19">
        <v>0.11000816537638869</v>
      </c>
    </row>
    <row r="37" spans="1:10" ht="11.25" customHeight="1" x14ac:dyDescent="0.2">
      <c r="A37" s="25" t="s">
        <v>25</v>
      </c>
      <c r="B37" s="18">
        <v>3639399.9100000006</v>
      </c>
      <c r="C37" s="18">
        <v>3826281.8101209635</v>
      </c>
      <c r="D37" s="18">
        <v>1890834.0878899996</v>
      </c>
      <c r="E37" s="18">
        <v>2514151.8324090824</v>
      </c>
      <c r="F37" s="18">
        <v>5038777.6139800008</v>
      </c>
      <c r="G37" s="18">
        <v>5391255.5466035241</v>
      </c>
      <c r="H37" s="19">
        <v>0.14650368229430599</v>
      </c>
      <c r="I37" s="19">
        <v>6.9953063942647331E-2</v>
      </c>
      <c r="J37" s="19">
        <v>0.11000816537638869</v>
      </c>
    </row>
    <row r="38" spans="1:10" ht="11.25" customHeight="1" x14ac:dyDescent="0.2">
      <c r="A38" s="26" t="s">
        <v>25</v>
      </c>
      <c r="B38" s="18">
        <v>3639399.9100000006</v>
      </c>
      <c r="C38" s="18">
        <v>3826281.8101209635</v>
      </c>
      <c r="D38" s="18">
        <v>1890834.0878899996</v>
      </c>
      <c r="E38" s="18">
        <v>2514151.8324090824</v>
      </c>
      <c r="F38" s="18">
        <v>5038777.6139800008</v>
      </c>
      <c r="G38" s="18">
        <v>5391255.5466035241</v>
      </c>
      <c r="H38" s="19">
        <v>0.14650368229430599</v>
      </c>
      <c r="I38" s="19">
        <v>6.9953063942647331E-2</v>
      </c>
      <c r="J38" s="19">
        <v>0.11000816537638869</v>
      </c>
    </row>
    <row r="39" spans="1:10" ht="11.25" customHeight="1" x14ac:dyDescent="0.2">
      <c r="A39" s="27" t="s">
        <v>38</v>
      </c>
      <c r="B39" s="18">
        <v>1555099.9100000004</v>
      </c>
      <c r="C39" s="18">
        <v>1648764.6479156348</v>
      </c>
      <c r="D39" s="18">
        <v>1721173.7664599998</v>
      </c>
      <c r="E39" s="18">
        <v>2288562.6013167128</v>
      </c>
      <c r="F39" s="18">
        <v>4586659.34772</v>
      </c>
      <c r="G39" s="18">
        <v>4907510.2223541979</v>
      </c>
      <c r="H39" s="19">
        <v>0.20176994904974288</v>
      </c>
      <c r="I39" s="19">
        <v>6.9953063942647331E-2</v>
      </c>
      <c r="J39" s="19">
        <v>0.12487763082643655</v>
      </c>
    </row>
    <row r="40" spans="1:10" ht="11.25" customHeight="1" x14ac:dyDescent="0.2">
      <c r="A40" s="28">
        <v>44378</v>
      </c>
      <c r="B40" s="18">
        <v>66419.460000000006</v>
      </c>
      <c r="C40" s="18">
        <v>70419.949790651444</v>
      </c>
      <c r="D40" s="18">
        <v>80323.90793999999</v>
      </c>
      <c r="E40" s="18">
        <v>106802.8663260263</v>
      </c>
      <c r="F40" s="18">
        <v>214050.67308000001</v>
      </c>
      <c r="G40" s="18">
        <v>229024.17350093191</v>
      </c>
      <c r="H40" s="19">
        <v>0.20770579689257307</v>
      </c>
      <c r="I40" s="19">
        <v>6.9953063942647109E-2</v>
      </c>
      <c r="J40" s="19">
        <v>0.12598031960037281</v>
      </c>
    </row>
    <row r="41" spans="1:10" ht="11.25" customHeight="1" x14ac:dyDescent="0.2">
      <c r="A41" s="28">
        <v>44409</v>
      </c>
      <c r="B41" s="18">
        <v>66995.200000000012</v>
      </c>
      <c r="C41" s="18">
        <v>71030.367007118883</v>
      </c>
      <c r="D41" s="18">
        <v>84735.411099999998</v>
      </c>
      <c r="E41" s="18">
        <v>112668.63150575671</v>
      </c>
      <c r="F41" s="18">
        <v>225806.64020000002</v>
      </c>
      <c r="G41" s="18">
        <v>241602.50654058496</v>
      </c>
      <c r="H41" s="19">
        <v>0.21069174625419773</v>
      </c>
      <c r="I41" s="19">
        <v>6.9953063942647331E-2</v>
      </c>
      <c r="J41" s="19">
        <v>0.12651534011277188</v>
      </c>
    </row>
    <row r="42" spans="1:10" ht="11.25" customHeight="1" x14ac:dyDescent="0.2">
      <c r="A42" s="28">
        <v>44440</v>
      </c>
      <c r="B42" s="18">
        <v>66602.649999999994</v>
      </c>
      <c r="C42" s="18">
        <v>70614.17345043653</v>
      </c>
      <c r="D42" s="18">
        <v>83476.808219999977</v>
      </c>
      <c r="E42" s="18">
        <v>110995.12733249608</v>
      </c>
      <c r="F42" s="18">
        <v>222452.66003999993</v>
      </c>
      <c r="G42" s="18">
        <v>238013.90519199008</v>
      </c>
      <c r="H42" s="19">
        <v>0.21008766247485622</v>
      </c>
      <c r="I42" s="19">
        <v>6.9953063942647553E-2</v>
      </c>
      <c r="J42" s="19">
        <v>0.12640812806925994</v>
      </c>
    </row>
    <row r="43" spans="1:10" ht="11.25" customHeight="1" x14ac:dyDescent="0.2">
      <c r="A43" s="28">
        <v>44470</v>
      </c>
      <c r="B43" s="18">
        <v>66000.739999999991</v>
      </c>
      <c r="C43" s="18">
        <v>69976.009996856941</v>
      </c>
      <c r="D43" s="18">
        <v>80402.709599999973</v>
      </c>
      <c r="E43" s="18">
        <v>106907.6451319272</v>
      </c>
      <c r="F43" s="18">
        <v>214260.66719999997</v>
      </c>
      <c r="G43" s="18">
        <v>229248.85735303583</v>
      </c>
      <c r="H43" s="19">
        <v>0.2081932195727727</v>
      </c>
      <c r="I43" s="19">
        <v>6.9953063942647331E-2</v>
      </c>
      <c r="J43" s="19">
        <v>0.12606853181081412</v>
      </c>
    </row>
    <row r="44" spans="1:10" ht="11.25" customHeight="1" x14ac:dyDescent="0.2">
      <c r="A44" s="28">
        <v>44501</v>
      </c>
      <c r="B44" s="18">
        <v>173271.57</v>
      </c>
      <c r="C44" s="18">
        <v>183707.83591958362</v>
      </c>
      <c r="D44" s="18">
        <v>202074.00141999999</v>
      </c>
      <c r="E44" s="18">
        <v>268688.15418874787</v>
      </c>
      <c r="F44" s="18">
        <v>538495.66243999999</v>
      </c>
      <c r="G44" s="18">
        <v>576165.08394750347</v>
      </c>
      <c r="H44" s="19">
        <v>0.20527861404314929</v>
      </c>
      <c r="I44" s="19">
        <v>6.9953063942647109E-2</v>
      </c>
      <c r="J44" s="19">
        <v>0.12553585452832605</v>
      </c>
    </row>
    <row r="45" spans="1:10" ht="11.25" customHeight="1" x14ac:dyDescent="0.2">
      <c r="A45" s="28">
        <v>44531</v>
      </c>
      <c r="B45" s="18">
        <v>176778.35</v>
      </c>
      <c r="C45" s="18">
        <v>187425.8316926125</v>
      </c>
      <c r="D45" s="18">
        <v>199559.50576999999</v>
      </c>
      <c r="E45" s="18">
        <v>265344.74934613326</v>
      </c>
      <c r="F45" s="18">
        <v>531794.92414000002</v>
      </c>
      <c r="G45" s="18">
        <v>568995.60847274063</v>
      </c>
      <c r="H45" s="19">
        <v>0.20309603218725303</v>
      </c>
      <c r="I45" s="19">
        <v>6.9953063942647109E-2</v>
      </c>
      <c r="J45" s="19">
        <v>0.12512862889141374</v>
      </c>
    </row>
    <row r="46" spans="1:10" ht="11.25" customHeight="1" x14ac:dyDescent="0.2">
      <c r="A46" s="28">
        <v>44562</v>
      </c>
      <c r="B46" s="18">
        <v>178714.93000000002</v>
      </c>
      <c r="C46" s="18">
        <v>189479.05323891202</v>
      </c>
      <c r="D46" s="18">
        <v>177004.92799999999</v>
      </c>
      <c r="E46" s="18">
        <v>235355.00387198801</v>
      </c>
      <c r="F46" s="18">
        <v>471690.49599999998</v>
      </c>
      <c r="G46" s="18">
        <v>504686.69142782694</v>
      </c>
      <c r="H46" s="19">
        <v>0.19429390166601279</v>
      </c>
      <c r="I46" s="19">
        <v>6.9953063942647109E-2</v>
      </c>
      <c r="J46" s="19">
        <v>0.12340961657669425</v>
      </c>
    </row>
    <row r="47" spans="1:10" ht="11.25" customHeight="1" x14ac:dyDescent="0.2">
      <c r="A47" s="28">
        <v>44593</v>
      </c>
      <c r="B47" s="18">
        <v>176045.59000000003</v>
      </c>
      <c r="C47" s="18">
        <v>186648.93705347215</v>
      </c>
      <c r="D47" s="18">
        <v>179494.82418999998</v>
      </c>
      <c r="E47" s="18">
        <v>238665.6999868346</v>
      </c>
      <c r="F47" s="18">
        <v>478325.68057999999</v>
      </c>
      <c r="G47" s="18">
        <v>511786.02749902301</v>
      </c>
      <c r="H47" s="19">
        <v>0.19624835902064142</v>
      </c>
      <c r="I47" s="19">
        <v>6.9953063942647331E-2</v>
      </c>
      <c r="J47" s="19">
        <v>0.12380233519124451</v>
      </c>
    </row>
    <row r="48" spans="1:10" ht="11.25" customHeight="1" x14ac:dyDescent="0.2">
      <c r="A48" s="28">
        <v>44621</v>
      </c>
      <c r="B48" s="18">
        <v>177040.05000000002</v>
      </c>
      <c r="C48" s="18">
        <v>187703.29406373407</v>
      </c>
      <c r="D48" s="18">
        <v>185110.93649999998</v>
      </c>
      <c r="E48" s="18">
        <v>246133.1764543009</v>
      </c>
      <c r="F48" s="18">
        <v>493291.74300000002</v>
      </c>
      <c r="G48" s="18">
        <v>527799.01184045884</v>
      </c>
      <c r="H48" s="19">
        <v>0.19794363867633691</v>
      </c>
      <c r="I48" s="19">
        <v>6.9953063942647109E-2</v>
      </c>
      <c r="J48" s="19">
        <v>0.12413777006505478</v>
      </c>
    </row>
    <row r="49" spans="1:10" ht="11.25" customHeight="1" x14ac:dyDescent="0.2">
      <c r="A49" s="28">
        <v>44652</v>
      </c>
      <c r="B49" s="18">
        <v>179002.80000000002</v>
      </c>
      <c r="C49" s="18">
        <v>189784.26184714574</v>
      </c>
      <c r="D49" s="18">
        <v>216482.40546999997</v>
      </c>
      <c r="E49" s="18">
        <v>287846.32130473299</v>
      </c>
      <c r="F49" s="18">
        <v>576891.80954000005</v>
      </c>
      <c r="G49" s="18">
        <v>617247.15918074106</v>
      </c>
      <c r="H49" s="19">
        <v>0.20770783975156815</v>
      </c>
      <c r="I49" s="19">
        <v>6.9953063942647109E-2</v>
      </c>
      <c r="J49" s="19">
        <v>0.12598069003241519</v>
      </c>
    </row>
    <row r="50" spans="1:10" ht="11.25" customHeight="1" x14ac:dyDescent="0.2">
      <c r="A50" s="28">
        <v>44682</v>
      </c>
      <c r="B50" s="18">
        <v>113446.95000000001</v>
      </c>
      <c r="C50" s="18">
        <v>120279.93788119544</v>
      </c>
      <c r="D50" s="18">
        <v>104961.17049999999</v>
      </c>
      <c r="E50" s="18">
        <v>139561.85835366062</v>
      </c>
      <c r="F50" s="18">
        <v>279705.13099999999</v>
      </c>
      <c r="G50" s="18">
        <v>299271.36191392952</v>
      </c>
      <c r="H50" s="19">
        <v>0.18970757882079781</v>
      </c>
      <c r="I50" s="19">
        <v>6.9953063942647331E-2</v>
      </c>
      <c r="J50" s="19">
        <v>0.12246192299661307</v>
      </c>
    </row>
    <row r="51" spans="1:10" ht="11.25" customHeight="1" x14ac:dyDescent="0.2">
      <c r="A51" s="28">
        <v>44713</v>
      </c>
      <c r="B51" s="18">
        <v>114781.62000000001</v>
      </c>
      <c r="C51" s="18">
        <v>121694.99597391539</v>
      </c>
      <c r="D51" s="18">
        <v>127547.15774999998</v>
      </c>
      <c r="E51" s="18">
        <v>169593.36751410851</v>
      </c>
      <c r="F51" s="18">
        <v>339893.26049999997</v>
      </c>
      <c r="G51" s="18">
        <v>363669.83548543131</v>
      </c>
      <c r="H51" s="19">
        <v>0.20203785201497326</v>
      </c>
      <c r="I51" s="19">
        <v>6.9953063942647109E-2</v>
      </c>
      <c r="J51" s="19">
        <v>0.12492855980182438</v>
      </c>
    </row>
    <row r="52" spans="1:10" ht="11.25" customHeight="1" x14ac:dyDescent="0.2">
      <c r="A52" s="27" t="s">
        <v>37</v>
      </c>
      <c r="B52" s="18">
        <v>2084300.0000000002</v>
      </c>
      <c r="C52" s="18">
        <v>2177517.1622053296</v>
      </c>
      <c r="D52" s="18">
        <v>169660.32143000001</v>
      </c>
      <c r="E52" s="18">
        <v>225589.23109237041</v>
      </c>
      <c r="F52" s="18">
        <v>452118.26626000006</v>
      </c>
      <c r="G52" s="18">
        <v>483745.32424932456</v>
      </c>
      <c r="H52" s="19">
        <v>6.6170673214458242E-2</v>
      </c>
      <c r="I52" s="19">
        <v>6.9953063942646887E-2</v>
      </c>
      <c r="J52" s="19">
        <v>6.6802616405659654E-2</v>
      </c>
    </row>
    <row r="53" spans="1:10" ht="11.25" customHeight="1" x14ac:dyDescent="0.2">
      <c r="A53" s="28">
        <v>44378</v>
      </c>
      <c r="B53" s="18">
        <v>81221.88</v>
      </c>
      <c r="C53" s="18">
        <v>84854.405626148728</v>
      </c>
      <c r="D53" s="18">
        <v>7244.7494399999996</v>
      </c>
      <c r="E53" s="18">
        <v>9632.9975202881524</v>
      </c>
      <c r="F53" s="18">
        <v>19306.126080000002</v>
      </c>
      <c r="G53" s="18">
        <v>20656.64875215905</v>
      </c>
      <c r="H53" s="19">
        <v>6.8057003466152066E-2</v>
      </c>
      <c r="I53" s="19">
        <v>6.9953063942647109E-2</v>
      </c>
      <c r="J53" s="19">
        <v>6.8396658719818815E-2</v>
      </c>
    </row>
    <row r="54" spans="1:10" ht="11.25" customHeight="1" x14ac:dyDescent="0.2">
      <c r="A54" s="28">
        <v>44409</v>
      </c>
      <c r="B54" s="18">
        <v>83284.240000000005</v>
      </c>
      <c r="C54" s="18">
        <v>87009.001555067676</v>
      </c>
      <c r="D54" s="18">
        <v>7651.9608399999997</v>
      </c>
      <c r="E54" s="18">
        <v>10174.447081645663</v>
      </c>
      <c r="F54" s="18">
        <v>20391.280880000002</v>
      </c>
      <c r="G54" s="18">
        <v>21817.713455271121</v>
      </c>
      <c r="H54" s="19">
        <v>6.8699239015991065E-2</v>
      </c>
      <c r="I54" s="19">
        <v>6.9953063942647109E-2</v>
      </c>
      <c r="J54" s="19">
        <v>6.8928895663736833E-2</v>
      </c>
    </row>
    <row r="55" spans="1:10" ht="11.25" customHeight="1" x14ac:dyDescent="0.2">
      <c r="A55" s="28">
        <v>44440</v>
      </c>
      <c r="B55" s="18">
        <v>84030.199999999983</v>
      </c>
      <c r="C55" s="18">
        <v>87788.323486804322</v>
      </c>
      <c r="D55" s="18">
        <v>7689.7634000000016</v>
      </c>
      <c r="E55" s="18">
        <v>10224.711341266568</v>
      </c>
      <c r="F55" s="18">
        <v>20492.018800000005</v>
      </c>
      <c r="G55" s="18">
        <v>21925.498301430329</v>
      </c>
      <c r="H55" s="19">
        <v>6.8611796110582768E-2</v>
      </c>
      <c r="I55" s="19">
        <v>6.9953063942646887E-2</v>
      </c>
      <c r="J55" s="19">
        <v>6.8856736847673572E-2</v>
      </c>
    </row>
    <row r="56" spans="1:10" ht="11.25" customHeight="1" x14ac:dyDescent="0.2">
      <c r="A56" s="28">
        <v>44470</v>
      </c>
      <c r="B56" s="18">
        <v>85873.160000000018</v>
      </c>
      <c r="C56" s="18">
        <v>89713.707082859575</v>
      </c>
      <c r="D56" s="18">
        <v>7354.6131299999997</v>
      </c>
      <c r="E56" s="18">
        <v>9779.0780248113988</v>
      </c>
      <c r="F56" s="18">
        <v>19598.895659999998</v>
      </c>
      <c r="G56" s="18">
        <v>20969.898461309247</v>
      </c>
      <c r="H56" s="19">
        <v>6.7201132959969101E-2</v>
      </c>
      <c r="I56" s="19">
        <v>6.9953063942647109E-2</v>
      </c>
      <c r="J56" s="19">
        <v>6.7679165403640829E-2</v>
      </c>
    </row>
    <row r="57" spans="1:10" ht="11.25" customHeight="1" x14ac:dyDescent="0.2">
      <c r="A57" s="28">
        <v>44501</v>
      </c>
      <c r="B57" s="18">
        <v>233836.52000000002</v>
      </c>
      <c r="C57" s="18">
        <v>244294.50436615158</v>
      </c>
      <c r="D57" s="18">
        <v>19191.470239999999</v>
      </c>
      <c r="E57" s="18">
        <v>25517.981921070259</v>
      </c>
      <c r="F57" s="18">
        <v>51142.271679999998</v>
      </c>
      <c r="G57" s="18">
        <v>54719.830281003276</v>
      </c>
      <c r="H57" s="19">
        <v>6.6334542796239848E-2</v>
      </c>
      <c r="I57" s="19">
        <v>6.9953063942647331E-2</v>
      </c>
      <c r="J57" s="19">
        <v>6.6942950042830018E-2</v>
      </c>
    </row>
    <row r="58" spans="1:10" ht="11.25" customHeight="1" x14ac:dyDescent="0.2">
      <c r="A58" s="28">
        <v>44531</v>
      </c>
      <c r="B58" s="18">
        <v>236864.24000000002</v>
      </c>
      <c r="C58" s="18">
        <v>247457.6345596709</v>
      </c>
      <c r="D58" s="18">
        <v>19354.14633</v>
      </c>
      <c r="E58" s="18">
        <v>25734.284553005058</v>
      </c>
      <c r="F58" s="18">
        <v>51575.778060000004</v>
      </c>
      <c r="G58" s="18">
        <v>55183.661760522962</v>
      </c>
      <c r="H58" s="19">
        <v>6.6246349552817163E-2</v>
      </c>
      <c r="I58" s="19">
        <v>6.9953063942647109E-2</v>
      </c>
      <c r="J58" s="19">
        <v>6.6867468147058906E-2</v>
      </c>
    </row>
    <row r="59" spans="1:10" ht="11.25" customHeight="1" x14ac:dyDescent="0.2">
      <c r="A59" s="28">
        <v>44562</v>
      </c>
      <c r="B59" s="18">
        <v>230721.04</v>
      </c>
      <c r="C59" s="18">
        <v>241039.68923948676</v>
      </c>
      <c r="D59" s="18">
        <v>16821.93073</v>
      </c>
      <c r="E59" s="18">
        <v>22367.318338693171</v>
      </c>
      <c r="F59" s="18">
        <v>44827.818859999999</v>
      </c>
      <c r="G59" s="18">
        <v>47963.662139122986</v>
      </c>
      <c r="H59" s="19">
        <v>6.4085992025534555E-2</v>
      </c>
      <c r="I59" s="19">
        <v>6.9953063942647109E-2</v>
      </c>
      <c r="J59" s="19">
        <v>6.4985562182689138E-2</v>
      </c>
    </row>
    <row r="60" spans="1:10" ht="11.25" customHeight="1" x14ac:dyDescent="0.2">
      <c r="A60" s="28">
        <v>44593</v>
      </c>
      <c r="B60" s="18">
        <v>239760.32</v>
      </c>
      <c r="C60" s="18">
        <v>250483.23735347198</v>
      </c>
      <c r="D60" s="18">
        <v>16787.324710000001</v>
      </c>
      <c r="E60" s="18">
        <v>22321.30436573139</v>
      </c>
      <c r="F60" s="18">
        <v>44735.599220000004</v>
      </c>
      <c r="G60" s="18">
        <v>47864.991452749302</v>
      </c>
      <c r="H60" s="19">
        <v>6.3367944880492022E-2</v>
      </c>
      <c r="I60" s="19">
        <v>6.9953063942647109E-2</v>
      </c>
      <c r="J60" s="19">
        <v>6.4345726596255259E-2</v>
      </c>
    </row>
    <row r="61" spans="1:10" ht="11.25" customHeight="1" x14ac:dyDescent="0.2">
      <c r="A61" s="28">
        <v>44621</v>
      </c>
      <c r="B61" s="18">
        <v>239233.76</v>
      </c>
      <c r="C61" s="18">
        <v>249933.12775459906</v>
      </c>
      <c r="D61" s="18">
        <v>19035.743149999998</v>
      </c>
      <c r="E61" s="18">
        <v>25310.919042742244</v>
      </c>
      <c r="F61" s="18">
        <v>50727.283300000003</v>
      </c>
      <c r="G61" s="18">
        <v>54275.812192321682</v>
      </c>
      <c r="H61" s="19">
        <v>6.5724150317053365E-2</v>
      </c>
      <c r="I61" s="19">
        <v>6.9953063942647109E-2</v>
      </c>
      <c r="J61" s="19">
        <v>6.6418401224971779E-2</v>
      </c>
    </row>
    <row r="62" spans="1:10" ht="11.25" customHeight="1" x14ac:dyDescent="0.2">
      <c r="A62" s="28">
        <v>44652</v>
      </c>
      <c r="B62" s="18">
        <v>236864.24000000002</v>
      </c>
      <c r="C62" s="18">
        <v>247457.6345596709</v>
      </c>
      <c r="D62" s="18">
        <v>21254.35038</v>
      </c>
      <c r="E62" s="18">
        <v>28260.895176779995</v>
      </c>
      <c r="F62" s="18">
        <v>56639.525160000005</v>
      </c>
      <c r="G62" s="18">
        <v>60601.633485198661</v>
      </c>
      <c r="H62" s="19">
        <v>6.8185477576568232E-2</v>
      </c>
      <c r="I62" s="19">
        <v>6.9953063942647331E-2</v>
      </c>
      <c r="J62" s="19">
        <v>6.8503548017046612E-2</v>
      </c>
    </row>
    <row r="63" spans="1:10" ht="11.25" customHeight="1" x14ac:dyDescent="0.2">
      <c r="A63" s="28">
        <v>44682</v>
      </c>
      <c r="B63" s="18">
        <v>163321.36000000002</v>
      </c>
      <c r="C63" s="18">
        <v>170625.66058375232</v>
      </c>
      <c r="D63" s="18">
        <v>11974.447309999998</v>
      </c>
      <c r="E63" s="18">
        <v>15921.851017673171</v>
      </c>
      <c r="F63" s="18">
        <v>31910.03242</v>
      </c>
      <c r="G63" s="18">
        <v>34142.236958288202</v>
      </c>
      <c r="H63" s="19">
        <v>6.418695611770997E-2</v>
      </c>
      <c r="I63" s="19">
        <v>6.9953063942647109E-2</v>
      </c>
      <c r="J63" s="19">
        <v>6.5074945992274813E-2</v>
      </c>
    </row>
    <row r="64" spans="1:10" ht="11.25" customHeight="1" x14ac:dyDescent="0.2">
      <c r="A64" s="28">
        <v>44713</v>
      </c>
      <c r="B64" s="18">
        <v>169289.04</v>
      </c>
      <c r="C64" s="18">
        <v>176860.23603764549</v>
      </c>
      <c r="D64" s="18">
        <v>15299.821769999999</v>
      </c>
      <c r="E64" s="18">
        <v>20343.442708663326</v>
      </c>
      <c r="F64" s="18">
        <v>40771.636140000002</v>
      </c>
      <c r="G64" s="18">
        <v>43623.73700994777</v>
      </c>
      <c r="H64" s="19">
        <v>6.8340076726985943E-2</v>
      </c>
      <c r="I64" s="19">
        <v>6.9953063942647331E-2</v>
      </c>
      <c r="J64" s="19">
        <v>6.86318941859696E-2</v>
      </c>
    </row>
    <row r="65" spans="1:10" ht="11.25" customHeight="1" x14ac:dyDescent="0.2">
      <c r="A65" s="22" t="s">
        <v>39</v>
      </c>
      <c r="B65" s="18">
        <v>24091789.006799996</v>
      </c>
      <c r="C65" s="18">
        <v>25542854.040454764</v>
      </c>
      <c r="D65" s="18">
        <v>16209296.211190604</v>
      </c>
      <c r="E65" s="18">
        <v>19430837.479836017</v>
      </c>
      <c r="F65" s="18">
        <v>23342899.010156002</v>
      </c>
      <c r="G65" s="18">
        <v>24975806.317220189</v>
      </c>
      <c r="H65" s="19">
        <v>0.11594244365941608</v>
      </c>
      <c r="I65" s="19">
        <v>6.9953063942646887E-2</v>
      </c>
      <c r="J65" s="19">
        <v>9.9074778014538234E-2</v>
      </c>
    </row>
    <row r="66" spans="1:10" ht="11.25" customHeight="1" x14ac:dyDescent="0.2">
      <c r="A66" s="23" t="s">
        <v>40</v>
      </c>
      <c r="B66" s="18">
        <v>5813691.6699999999</v>
      </c>
      <c r="C66" s="18">
        <v>6163854.3207025258</v>
      </c>
      <c r="D66" s="18">
        <v>3145443.1236500009</v>
      </c>
      <c r="E66" s="18">
        <v>3732248.7487977585</v>
      </c>
      <c r="F66" s="18">
        <v>4171021.1711000013</v>
      </c>
      <c r="G66" s="18">
        <v>4462796.8817880927</v>
      </c>
      <c r="H66" s="19">
        <v>0.10458245103247932</v>
      </c>
      <c r="I66" s="19">
        <v>6.9953063942646887E-2</v>
      </c>
      <c r="J66" s="19">
        <v>9.3581827195132528E-2</v>
      </c>
    </row>
    <row r="67" spans="1:10" ht="11.25" customHeight="1" x14ac:dyDescent="0.2">
      <c r="A67" s="24" t="s">
        <v>25</v>
      </c>
      <c r="B67" s="18">
        <v>5813691.6699999999</v>
      </c>
      <c r="C67" s="18">
        <v>6163854.3207025258</v>
      </c>
      <c r="D67" s="18">
        <v>3145443.1236500009</v>
      </c>
      <c r="E67" s="18">
        <v>3732248.7487977585</v>
      </c>
      <c r="F67" s="18">
        <v>4171021.1711000013</v>
      </c>
      <c r="G67" s="18">
        <v>4462796.8817880927</v>
      </c>
      <c r="H67" s="19">
        <v>0.10458245103247932</v>
      </c>
      <c r="I67" s="19">
        <v>6.9953063942646887E-2</v>
      </c>
      <c r="J67" s="19">
        <v>9.3581827195132528E-2</v>
      </c>
    </row>
    <row r="68" spans="1:10" ht="11.25" customHeight="1" x14ac:dyDescent="0.2">
      <c r="A68" s="25" t="s">
        <v>25</v>
      </c>
      <c r="B68" s="18">
        <v>5813691.6699999999</v>
      </c>
      <c r="C68" s="18">
        <v>6163854.3207025258</v>
      </c>
      <c r="D68" s="18">
        <v>3145443.1236500009</v>
      </c>
      <c r="E68" s="18">
        <v>3732248.7487977585</v>
      </c>
      <c r="F68" s="18">
        <v>4171021.1711000013</v>
      </c>
      <c r="G68" s="18">
        <v>4462796.8817880927</v>
      </c>
      <c r="H68" s="19">
        <v>0.10458245103247932</v>
      </c>
      <c r="I68" s="19">
        <v>6.9953063942646887E-2</v>
      </c>
      <c r="J68" s="19">
        <v>9.3581827195132528E-2</v>
      </c>
    </row>
    <row r="69" spans="1:10" ht="11.25" customHeight="1" x14ac:dyDescent="0.2">
      <c r="A69" s="26" t="s">
        <v>25</v>
      </c>
      <c r="B69" s="18">
        <v>5813691.6699999999</v>
      </c>
      <c r="C69" s="18">
        <v>6163854.3207025258</v>
      </c>
      <c r="D69" s="18">
        <v>3145443.1236500009</v>
      </c>
      <c r="E69" s="18">
        <v>3732248.7487977585</v>
      </c>
      <c r="F69" s="18">
        <v>4171021.1711000013</v>
      </c>
      <c r="G69" s="18">
        <v>4462796.8817880927</v>
      </c>
      <c r="H69" s="19">
        <v>0.10458245103247932</v>
      </c>
      <c r="I69" s="19">
        <v>6.9953063942646887E-2</v>
      </c>
      <c r="J69" s="19">
        <v>9.3581827195132528E-2</v>
      </c>
    </row>
    <row r="70" spans="1:10" ht="11.25" customHeight="1" x14ac:dyDescent="0.2">
      <c r="A70" s="27" t="s">
        <v>38</v>
      </c>
      <c r="B70" s="18">
        <v>0</v>
      </c>
      <c r="C70" s="18">
        <v>0</v>
      </c>
      <c r="D70" s="18">
        <v>1461137.3916500001</v>
      </c>
      <c r="E70" s="18">
        <v>1942804.6459208876</v>
      </c>
      <c r="F70" s="18">
        <v>3893703.0103000007</v>
      </c>
      <c r="G70" s="18">
        <v>4166079.4659531936</v>
      </c>
      <c r="H70" s="19">
        <v>0.32965226748934384</v>
      </c>
      <c r="I70" s="19">
        <v>6.9953063942647331E-2</v>
      </c>
      <c r="J70" s="19">
        <v>0.14081534711090415</v>
      </c>
    </row>
    <row r="71" spans="1:10" ht="11.25" customHeight="1" x14ac:dyDescent="0.2">
      <c r="A71" s="28">
        <v>44378</v>
      </c>
      <c r="B71" s="18">
        <v>0</v>
      </c>
      <c r="C71" s="18">
        <v>0</v>
      </c>
      <c r="D71" s="18">
        <v>85472.908469999995</v>
      </c>
      <c r="E71" s="18">
        <v>113649.24655604464</v>
      </c>
      <c r="F71" s="18">
        <v>227771.95554</v>
      </c>
      <c r="G71" s="18">
        <v>243705.30171023143</v>
      </c>
      <c r="H71" s="19">
        <v>0.32965226748934384</v>
      </c>
      <c r="I71" s="19">
        <v>6.9953063942647331E-2</v>
      </c>
      <c r="J71" s="19">
        <v>0.14081534711090393</v>
      </c>
    </row>
    <row r="72" spans="1:10" ht="11.25" customHeight="1" x14ac:dyDescent="0.2">
      <c r="A72" s="28">
        <v>44409</v>
      </c>
      <c r="B72" s="18">
        <v>0</v>
      </c>
      <c r="C72" s="18">
        <v>0</v>
      </c>
      <c r="D72" s="18">
        <v>86182.679329999999</v>
      </c>
      <c r="E72" s="18">
        <v>114592.9949894415</v>
      </c>
      <c r="F72" s="18">
        <v>229663.38406000004</v>
      </c>
      <c r="G72" s="18">
        <v>245729.04145043396</v>
      </c>
      <c r="H72" s="19">
        <v>0.32965226748934384</v>
      </c>
      <c r="I72" s="19">
        <v>6.9953063942647109E-2</v>
      </c>
      <c r="J72" s="19">
        <v>0.14081534711090415</v>
      </c>
    </row>
    <row r="73" spans="1:10" ht="11.25" customHeight="1" x14ac:dyDescent="0.2">
      <c r="A73" s="28">
        <v>44440</v>
      </c>
      <c r="B73" s="18">
        <v>0</v>
      </c>
      <c r="C73" s="18">
        <v>0</v>
      </c>
      <c r="D73" s="18">
        <v>71393.470079999999</v>
      </c>
      <c r="E73" s="18">
        <v>94928.489375804624</v>
      </c>
      <c r="F73" s="18">
        <v>190252.45056000003</v>
      </c>
      <c r="G73" s="18">
        <v>203561.19239926903</v>
      </c>
      <c r="H73" s="19">
        <v>0.32965226748934384</v>
      </c>
      <c r="I73" s="19">
        <v>6.9953063942647109E-2</v>
      </c>
      <c r="J73" s="19">
        <v>0.14081534711090393</v>
      </c>
    </row>
    <row r="74" spans="1:10" ht="11.25" customHeight="1" x14ac:dyDescent="0.2">
      <c r="A74" s="28">
        <v>44470</v>
      </c>
      <c r="B74" s="18">
        <v>0</v>
      </c>
      <c r="C74" s="18">
        <v>0</v>
      </c>
      <c r="D74" s="18">
        <v>63474.250699999997</v>
      </c>
      <c r="E74" s="18">
        <v>84398.681370442049</v>
      </c>
      <c r="F74" s="18">
        <v>169148.96739999999</v>
      </c>
      <c r="G74" s="18">
        <v>180981.45593236494</v>
      </c>
      <c r="H74" s="19">
        <v>0.32965226748934362</v>
      </c>
      <c r="I74" s="19">
        <v>6.9953063942647331E-2</v>
      </c>
      <c r="J74" s="19">
        <v>0.14081534711090393</v>
      </c>
    </row>
    <row r="75" spans="1:10" ht="11.25" customHeight="1" x14ac:dyDescent="0.2">
      <c r="A75" s="28">
        <v>44501</v>
      </c>
      <c r="B75" s="18">
        <v>0</v>
      </c>
      <c r="C75" s="18">
        <v>0</v>
      </c>
      <c r="D75" s="18">
        <v>84484.413220000002</v>
      </c>
      <c r="E75" s="18">
        <v>112334.89160547969</v>
      </c>
      <c r="F75" s="18">
        <v>225137.77004000003</v>
      </c>
      <c r="G75" s="18">
        <v>240886.84686351314</v>
      </c>
      <c r="H75" s="19">
        <v>0.32965226748934362</v>
      </c>
      <c r="I75" s="19">
        <v>6.9953063942647109E-2</v>
      </c>
      <c r="J75" s="19">
        <v>0.14081534711090393</v>
      </c>
    </row>
    <row r="76" spans="1:10" ht="11.25" customHeight="1" x14ac:dyDescent="0.2">
      <c r="A76" s="28">
        <v>44531</v>
      </c>
      <c r="B76" s="18">
        <v>0</v>
      </c>
      <c r="C76" s="18">
        <v>0</v>
      </c>
      <c r="D76" s="18">
        <v>153778.65988999998</v>
      </c>
      <c r="E76" s="18">
        <v>204472.14381421107</v>
      </c>
      <c r="F76" s="18">
        <v>409796.11797999998</v>
      </c>
      <c r="G76" s="18">
        <v>438462.61202450353</v>
      </c>
      <c r="H76" s="19">
        <v>0.32965226748934384</v>
      </c>
      <c r="I76" s="19">
        <v>6.9953063942647331E-2</v>
      </c>
      <c r="J76" s="19">
        <v>0.14081534711090371</v>
      </c>
    </row>
    <row r="77" spans="1:10" ht="11.25" customHeight="1" x14ac:dyDescent="0.2">
      <c r="A77" s="28">
        <v>44562</v>
      </c>
      <c r="B77" s="18">
        <v>0</v>
      </c>
      <c r="C77" s="18">
        <v>0</v>
      </c>
      <c r="D77" s="18">
        <v>101417.38897</v>
      </c>
      <c r="E77" s="18">
        <v>134849.86120680926</v>
      </c>
      <c r="F77" s="18">
        <v>270261.50653999997</v>
      </c>
      <c r="G77" s="18">
        <v>289167.12698822882</v>
      </c>
      <c r="H77" s="19">
        <v>0.32965226748934384</v>
      </c>
      <c r="I77" s="19">
        <v>6.9953063942647331E-2</v>
      </c>
      <c r="J77" s="19">
        <v>0.14081534711090415</v>
      </c>
    </row>
    <row r="78" spans="1:10" ht="11.25" customHeight="1" x14ac:dyDescent="0.2">
      <c r="A78" s="28">
        <v>44593</v>
      </c>
      <c r="B78" s="18">
        <v>0</v>
      </c>
      <c r="C78" s="18">
        <v>0</v>
      </c>
      <c r="D78" s="18">
        <v>126045.33986999998</v>
      </c>
      <c r="E78" s="18">
        <v>167596.47196461048</v>
      </c>
      <c r="F78" s="18">
        <v>335891.15033999999</v>
      </c>
      <c r="G78" s="18">
        <v>359387.76545750332</v>
      </c>
      <c r="H78" s="19">
        <v>0.32965226748934384</v>
      </c>
      <c r="I78" s="19">
        <v>6.9953063942647109E-2</v>
      </c>
      <c r="J78" s="19">
        <v>0.14081534711090393</v>
      </c>
    </row>
    <row r="79" spans="1:10" ht="11.25" customHeight="1" x14ac:dyDescent="0.2">
      <c r="A79" s="28">
        <v>44621</v>
      </c>
      <c r="B79" s="18">
        <v>0</v>
      </c>
      <c r="C79" s="18">
        <v>0</v>
      </c>
      <c r="D79" s="18">
        <v>134018.83093999999</v>
      </c>
      <c r="E79" s="18">
        <v>178198.44244564199</v>
      </c>
      <c r="F79" s="18">
        <v>357139.25907999999</v>
      </c>
      <c r="G79" s="18">
        <v>382122.24450685288</v>
      </c>
      <c r="H79" s="19">
        <v>0.32965226748934362</v>
      </c>
      <c r="I79" s="19">
        <v>6.9953063942647109E-2</v>
      </c>
      <c r="J79" s="19">
        <v>0.14081534711090393</v>
      </c>
    </row>
    <row r="80" spans="1:10" ht="11.25" customHeight="1" x14ac:dyDescent="0.2">
      <c r="A80" s="28">
        <v>44652</v>
      </c>
      <c r="B80" s="18">
        <v>0</v>
      </c>
      <c r="C80" s="18">
        <v>0</v>
      </c>
      <c r="D80" s="18">
        <v>162641.76194</v>
      </c>
      <c r="E80" s="18">
        <v>216256.98755198304</v>
      </c>
      <c r="F80" s="18">
        <v>433414.90107999998</v>
      </c>
      <c r="G80" s="18">
        <v>463733.60136894532</v>
      </c>
      <c r="H80" s="19">
        <v>0.32965226748934362</v>
      </c>
      <c r="I80" s="19">
        <v>6.9953063942647109E-2</v>
      </c>
      <c r="J80" s="19">
        <v>0.14081534711090393</v>
      </c>
    </row>
    <row r="81" spans="1:10" ht="11.25" customHeight="1" x14ac:dyDescent="0.2">
      <c r="A81" s="28">
        <v>44682</v>
      </c>
      <c r="B81" s="18">
        <v>0</v>
      </c>
      <c r="C81" s="18">
        <v>0</v>
      </c>
      <c r="D81" s="18">
        <v>204879.52119</v>
      </c>
      <c r="E81" s="18">
        <v>272418.51991241454</v>
      </c>
      <c r="F81" s="18">
        <v>545971.93458</v>
      </c>
      <c r="G81" s="18">
        <v>584164.34423056548</v>
      </c>
      <c r="H81" s="19">
        <v>0.32965226748934362</v>
      </c>
      <c r="I81" s="19">
        <v>6.9953063942647109E-2</v>
      </c>
      <c r="J81" s="19">
        <v>0.14081534711090371</v>
      </c>
    </row>
    <row r="82" spans="1:10" ht="11.25" customHeight="1" x14ac:dyDescent="0.2">
      <c r="A82" s="28">
        <v>44713</v>
      </c>
      <c r="B82" s="18">
        <v>0</v>
      </c>
      <c r="C82" s="18">
        <v>0</v>
      </c>
      <c r="D82" s="18">
        <v>187348.16705000002</v>
      </c>
      <c r="E82" s="18">
        <v>249107.91512800485</v>
      </c>
      <c r="F82" s="18">
        <v>499253.61310000002</v>
      </c>
      <c r="G82" s="18">
        <v>534177.93302078196</v>
      </c>
      <c r="H82" s="19">
        <v>0.32965226748934362</v>
      </c>
      <c r="I82" s="19">
        <v>6.9953063942647109E-2</v>
      </c>
      <c r="J82" s="19">
        <v>0.14081534711090393</v>
      </c>
    </row>
    <row r="83" spans="1:10" ht="11.25" customHeight="1" x14ac:dyDescent="0.2">
      <c r="A83" s="27" t="s">
        <v>25</v>
      </c>
      <c r="B83" s="18">
        <v>5813691.6699999999</v>
      </c>
      <c r="C83" s="18">
        <v>6163854.3207025258</v>
      </c>
      <c r="D83" s="18">
        <v>0</v>
      </c>
      <c r="E83" s="18">
        <v>0</v>
      </c>
      <c r="F83" s="18">
        <v>0</v>
      </c>
      <c r="G83" s="18">
        <v>0</v>
      </c>
      <c r="H83" s="19">
        <v>6.0230688274963917E-2</v>
      </c>
      <c r="I83" s="19">
        <v>0</v>
      </c>
      <c r="J83" s="19">
        <v>6.0230688274963917E-2</v>
      </c>
    </row>
    <row r="84" spans="1:10" ht="11.25" customHeight="1" x14ac:dyDescent="0.2">
      <c r="A84" s="28">
        <v>44378</v>
      </c>
      <c r="B84" s="18">
        <v>476895.91000000003</v>
      </c>
      <c r="C84" s="18">
        <v>505619.67889481533</v>
      </c>
      <c r="D84" s="18">
        <v>0</v>
      </c>
      <c r="E84" s="18">
        <v>0</v>
      </c>
      <c r="F84" s="18">
        <v>0</v>
      </c>
      <c r="G84" s="18">
        <v>0</v>
      </c>
      <c r="H84" s="19">
        <v>6.0230688274963917E-2</v>
      </c>
      <c r="I84" s="19">
        <v>0</v>
      </c>
      <c r="J84" s="19">
        <v>6.0230688274963917E-2</v>
      </c>
    </row>
    <row r="85" spans="1:10" ht="11.25" customHeight="1" x14ac:dyDescent="0.2">
      <c r="A85" s="28">
        <v>44409</v>
      </c>
      <c r="B85" s="18">
        <v>453369.08</v>
      </c>
      <c r="C85" s="18">
        <v>480675.81173098728</v>
      </c>
      <c r="D85" s="18">
        <v>0</v>
      </c>
      <c r="E85" s="18">
        <v>0</v>
      </c>
      <c r="F85" s="18">
        <v>0</v>
      </c>
      <c r="G85" s="18">
        <v>0</v>
      </c>
      <c r="H85" s="19">
        <v>6.0230688274964139E-2</v>
      </c>
      <c r="I85" s="19">
        <v>0</v>
      </c>
      <c r="J85" s="19">
        <v>6.0230688274964139E-2</v>
      </c>
    </row>
    <row r="86" spans="1:10" ht="11.25" customHeight="1" x14ac:dyDescent="0.2">
      <c r="A86" s="28">
        <v>44440</v>
      </c>
      <c r="B86" s="18">
        <v>396527.84</v>
      </c>
      <c r="C86" s="18">
        <v>420410.98472338484</v>
      </c>
      <c r="D86" s="18">
        <v>0</v>
      </c>
      <c r="E86" s="18">
        <v>0</v>
      </c>
      <c r="F86" s="18">
        <v>0</v>
      </c>
      <c r="G86" s="18">
        <v>0</v>
      </c>
      <c r="H86" s="19">
        <v>6.0230688274964139E-2</v>
      </c>
      <c r="I86" s="19">
        <v>0</v>
      </c>
      <c r="J86" s="19">
        <v>6.0230688274964139E-2</v>
      </c>
    </row>
    <row r="87" spans="1:10" ht="11.25" customHeight="1" x14ac:dyDescent="0.2">
      <c r="A87" s="28">
        <v>44470</v>
      </c>
      <c r="B87" s="18">
        <v>417620.86000000004</v>
      </c>
      <c r="C87" s="18">
        <v>442774.45183578238</v>
      </c>
      <c r="D87" s="18">
        <v>0</v>
      </c>
      <c r="E87" s="18">
        <v>0</v>
      </c>
      <c r="F87" s="18">
        <v>0</v>
      </c>
      <c r="G87" s="18">
        <v>0</v>
      </c>
      <c r="H87" s="19">
        <v>6.0230688274963917E-2</v>
      </c>
      <c r="I87" s="19">
        <v>0</v>
      </c>
      <c r="J87" s="19">
        <v>6.0230688274963917E-2</v>
      </c>
    </row>
    <row r="88" spans="1:10" ht="11.25" customHeight="1" x14ac:dyDescent="0.2">
      <c r="A88" s="28">
        <v>44501</v>
      </c>
      <c r="B88" s="18">
        <v>433322.86</v>
      </c>
      <c r="C88" s="18">
        <v>459422.19410307595</v>
      </c>
      <c r="D88" s="18">
        <v>0</v>
      </c>
      <c r="E88" s="18">
        <v>0</v>
      </c>
      <c r="F88" s="18">
        <v>0</v>
      </c>
      <c r="G88" s="18">
        <v>0</v>
      </c>
      <c r="H88" s="19">
        <v>6.0230688274964139E-2</v>
      </c>
      <c r="I88" s="19">
        <v>0</v>
      </c>
      <c r="J88" s="19">
        <v>6.0230688274964139E-2</v>
      </c>
    </row>
    <row r="89" spans="1:10" ht="11.25" customHeight="1" x14ac:dyDescent="0.2">
      <c r="A89" s="28">
        <v>44531</v>
      </c>
      <c r="B89" s="18">
        <v>476451.02</v>
      </c>
      <c r="C89" s="18">
        <v>505147.9928639087</v>
      </c>
      <c r="D89" s="18">
        <v>0</v>
      </c>
      <c r="E89" s="18">
        <v>0</v>
      </c>
      <c r="F89" s="18">
        <v>0</v>
      </c>
      <c r="G89" s="18">
        <v>0</v>
      </c>
      <c r="H89" s="19">
        <v>6.0230688274964139E-2</v>
      </c>
      <c r="I89" s="19">
        <v>0</v>
      </c>
      <c r="J89" s="19">
        <v>6.0230688274964139E-2</v>
      </c>
    </row>
    <row r="90" spans="1:10" ht="11.25" customHeight="1" x14ac:dyDescent="0.2">
      <c r="A90" s="28">
        <v>44562</v>
      </c>
      <c r="B90" s="18">
        <v>458262.87000000005</v>
      </c>
      <c r="C90" s="18">
        <v>485864.35807096044</v>
      </c>
      <c r="D90" s="18">
        <v>0</v>
      </c>
      <c r="E90" s="18">
        <v>0</v>
      </c>
      <c r="F90" s="18">
        <v>0</v>
      </c>
      <c r="G90" s="18">
        <v>0</v>
      </c>
      <c r="H90" s="19">
        <v>6.0230688274964139E-2</v>
      </c>
      <c r="I90" s="19">
        <v>0</v>
      </c>
      <c r="J90" s="19">
        <v>6.0230688274964139E-2</v>
      </c>
    </row>
    <row r="91" spans="1:10" ht="11.25" customHeight="1" x14ac:dyDescent="0.2">
      <c r="A91" s="28">
        <v>44593</v>
      </c>
      <c r="B91" s="18">
        <v>479382.06000000006</v>
      </c>
      <c r="C91" s="18">
        <v>508255.57142047014</v>
      </c>
      <c r="D91" s="18">
        <v>0</v>
      </c>
      <c r="E91" s="18">
        <v>0</v>
      </c>
      <c r="F91" s="18">
        <v>0</v>
      </c>
      <c r="G91" s="18">
        <v>0</v>
      </c>
      <c r="H91" s="19">
        <v>6.0230688274963917E-2</v>
      </c>
      <c r="I91" s="19">
        <v>0</v>
      </c>
      <c r="J91" s="19">
        <v>6.0230688274963917E-2</v>
      </c>
    </row>
    <row r="92" spans="1:10" ht="11.25" customHeight="1" x14ac:dyDescent="0.2">
      <c r="A92" s="28">
        <v>44621</v>
      </c>
      <c r="B92" s="18">
        <v>512539.45</v>
      </c>
      <c r="C92" s="18">
        <v>543410.05384157156</v>
      </c>
      <c r="D92" s="18">
        <v>0</v>
      </c>
      <c r="E92" s="18">
        <v>0</v>
      </c>
      <c r="F92" s="18">
        <v>0</v>
      </c>
      <c r="G92" s="18">
        <v>0</v>
      </c>
      <c r="H92" s="19">
        <v>6.0230688274964139E-2</v>
      </c>
      <c r="I92" s="19">
        <v>0</v>
      </c>
      <c r="J92" s="19">
        <v>6.0230688274964139E-2</v>
      </c>
    </row>
    <row r="93" spans="1:10" ht="11.25" customHeight="1" x14ac:dyDescent="0.2">
      <c r="A93" s="28">
        <v>44652</v>
      </c>
      <c r="B93" s="18">
        <v>588039.9</v>
      </c>
      <c r="C93" s="18">
        <v>623457.94791014108</v>
      </c>
      <c r="D93" s="18">
        <v>0</v>
      </c>
      <c r="E93" s="18">
        <v>0</v>
      </c>
      <c r="F93" s="18">
        <v>0</v>
      </c>
      <c r="G93" s="18">
        <v>0</v>
      </c>
      <c r="H93" s="19">
        <v>6.0230688274964139E-2</v>
      </c>
      <c r="I93" s="19">
        <v>0</v>
      </c>
      <c r="J93" s="19">
        <v>6.0230688274964139E-2</v>
      </c>
    </row>
    <row r="94" spans="1:10" ht="11.25" customHeight="1" x14ac:dyDescent="0.2">
      <c r="A94" s="28">
        <v>44682</v>
      </c>
      <c r="B94" s="18">
        <v>541561.98</v>
      </c>
      <c r="C94" s="18">
        <v>574180.6307989523</v>
      </c>
      <c r="D94" s="18">
        <v>0</v>
      </c>
      <c r="E94" s="18">
        <v>0</v>
      </c>
      <c r="F94" s="18">
        <v>0</v>
      </c>
      <c r="G94" s="18">
        <v>0</v>
      </c>
      <c r="H94" s="19">
        <v>6.0230688274964139E-2</v>
      </c>
      <c r="I94" s="19">
        <v>0</v>
      </c>
      <c r="J94" s="19">
        <v>6.0230688274964139E-2</v>
      </c>
    </row>
    <row r="95" spans="1:10" ht="11.25" customHeight="1" x14ac:dyDescent="0.2">
      <c r="A95" s="28">
        <v>44713</v>
      </c>
      <c r="B95" s="18">
        <v>579717.84</v>
      </c>
      <c r="C95" s="18">
        <v>614634.64450847544</v>
      </c>
      <c r="D95" s="18">
        <v>0</v>
      </c>
      <c r="E95" s="18">
        <v>0</v>
      </c>
      <c r="F95" s="18">
        <v>0</v>
      </c>
      <c r="G95" s="18">
        <v>0</v>
      </c>
      <c r="H95" s="19">
        <v>6.0230688274963917E-2</v>
      </c>
      <c r="I95" s="19">
        <v>0</v>
      </c>
      <c r="J95" s="19">
        <v>6.0230688274963917E-2</v>
      </c>
    </row>
    <row r="96" spans="1:10" ht="11.25" customHeight="1" x14ac:dyDescent="0.2">
      <c r="A96" s="27" t="s">
        <v>37</v>
      </c>
      <c r="B96" s="18">
        <v>0</v>
      </c>
      <c r="C96" s="18">
        <v>0</v>
      </c>
      <c r="D96" s="18">
        <v>1684305.7320000001</v>
      </c>
      <c r="E96" s="18">
        <v>1789444.1028768709</v>
      </c>
      <c r="F96" s="18">
        <v>277318.16080000001</v>
      </c>
      <c r="G96" s="18">
        <v>296717.4158348997</v>
      </c>
      <c r="H96" s="19">
        <v>6.2422379072489376E-2</v>
      </c>
      <c r="I96" s="19">
        <v>6.9953063942647109E-2</v>
      </c>
      <c r="J96" s="19">
        <v>6.3487005010938624E-2</v>
      </c>
    </row>
    <row r="97" spans="1:10" ht="11.25" customHeight="1" x14ac:dyDescent="0.2">
      <c r="A97" s="28">
        <v>44378</v>
      </c>
      <c r="B97" s="18">
        <v>0</v>
      </c>
      <c r="C97" s="18">
        <v>0</v>
      </c>
      <c r="D97" s="18">
        <v>88474.525499999989</v>
      </c>
      <c r="E97" s="18">
        <v>93997.315869019629</v>
      </c>
      <c r="F97" s="18">
        <v>14567.184700000002</v>
      </c>
      <c r="G97" s="18">
        <v>15586.203902783453</v>
      </c>
      <c r="H97" s="19">
        <v>6.2422379072489598E-2</v>
      </c>
      <c r="I97" s="19">
        <v>6.9953063942647109E-2</v>
      </c>
      <c r="J97" s="19">
        <v>6.3487005010938846E-2</v>
      </c>
    </row>
    <row r="98" spans="1:10" ht="11.25" customHeight="1" x14ac:dyDescent="0.2">
      <c r="A98" s="28">
        <v>44409</v>
      </c>
      <c r="B98" s="18">
        <v>0</v>
      </c>
      <c r="C98" s="18">
        <v>0</v>
      </c>
      <c r="D98" s="18">
        <v>88133.741400000014</v>
      </c>
      <c r="E98" s="18">
        <v>93635.259214747581</v>
      </c>
      <c r="F98" s="18">
        <v>14511.075160000002</v>
      </c>
      <c r="G98" s="18">
        <v>15526.16932854404</v>
      </c>
      <c r="H98" s="19">
        <v>6.2422379072489598E-2</v>
      </c>
      <c r="I98" s="19">
        <v>6.9953063942647109E-2</v>
      </c>
      <c r="J98" s="19">
        <v>6.3487005010938624E-2</v>
      </c>
    </row>
    <row r="99" spans="1:10" ht="11.25" customHeight="1" x14ac:dyDescent="0.2">
      <c r="A99" s="28">
        <v>44440</v>
      </c>
      <c r="B99" s="18">
        <v>0</v>
      </c>
      <c r="C99" s="18">
        <v>0</v>
      </c>
      <c r="D99" s="18">
        <v>77079.065100000007</v>
      </c>
      <c r="E99" s="18">
        <v>81890.523720225305</v>
      </c>
      <c r="F99" s="18">
        <v>12690.940939999999</v>
      </c>
      <c r="G99" s="18">
        <v>13578.71114306818</v>
      </c>
      <c r="H99" s="19">
        <v>6.2422379072489598E-2</v>
      </c>
      <c r="I99" s="19">
        <v>6.9953063942647331E-2</v>
      </c>
      <c r="J99" s="19">
        <v>6.3487005010938624E-2</v>
      </c>
    </row>
    <row r="100" spans="1:10" ht="11.25" customHeight="1" x14ac:dyDescent="0.2">
      <c r="A100" s="28">
        <v>44470</v>
      </c>
      <c r="B100" s="18">
        <v>0</v>
      </c>
      <c r="C100" s="18">
        <v>0</v>
      </c>
      <c r="D100" s="18">
        <v>72004.418700000009</v>
      </c>
      <c r="E100" s="18">
        <v>76499.105818985656</v>
      </c>
      <c r="F100" s="18">
        <v>11855.408780000002</v>
      </c>
      <c r="G100" s="18">
        <v>12684.73094845356</v>
      </c>
      <c r="H100" s="19">
        <v>6.2422379072489376E-2</v>
      </c>
      <c r="I100" s="19">
        <v>6.9953063942646887E-2</v>
      </c>
      <c r="J100" s="19">
        <v>6.3487005010938624E-2</v>
      </c>
    </row>
    <row r="101" spans="1:10" ht="11.25" customHeight="1" x14ac:dyDescent="0.2">
      <c r="A101" s="28">
        <v>44501</v>
      </c>
      <c r="B101" s="18">
        <v>0</v>
      </c>
      <c r="C101" s="18">
        <v>0</v>
      </c>
      <c r="D101" s="18">
        <v>108199.5141</v>
      </c>
      <c r="E101" s="18">
        <v>114953.58518460937</v>
      </c>
      <c r="F101" s="18">
        <v>17814.87154</v>
      </c>
      <c r="G101" s="18">
        <v>19061.076387967667</v>
      </c>
      <c r="H101" s="19">
        <v>6.2422379072489598E-2</v>
      </c>
      <c r="I101" s="19">
        <v>6.9953063942647331E-2</v>
      </c>
      <c r="J101" s="19">
        <v>6.3487005010938624E-2</v>
      </c>
    </row>
    <row r="102" spans="1:10" ht="11.25" customHeight="1" x14ac:dyDescent="0.2">
      <c r="A102" s="28">
        <v>44531</v>
      </c>
      <c r="B102" s="18">
        <v>0</v>
      </c>
      <c r="C102" s="18">
        <v>0</v>
      </c>
      <c r="D102" s="18">
        <v>177236.97420000003</v>
      </c>
      <c r="E102" s="18">
        <v>188300.52778917347</v>
      </c>
      <c r="F102" s="18">
        <v>29181.775480000004</v>
      </c>
      <c r="G102" s="18">
        <v>31223.130086112418</v>
      </c>
      <c r="H102" s="19">
        <v>6.2422379072489598E-2</v>
      </c>
      <c r="I102" s="19">
        <v>6.9953063942647109E-2</v>
      </c>
      <c r="J102" s="19">
        <v>6.3487005010938624E-2</v>
      </c>
    </row>
    <row r="103" spans="1:10" ht="11.25" customHeight="1" x14ac:dyDescent="0.2">
      <c r="A103" s="28">
        <v>44562</v>
      </c>
      <c r="B103" s="18">
        <v>0</v>
      </c>
      <c r="C103" s="18">
        <v>0</v>
      </c>
      <c r="D103" s="18">
        <v>95866.053899999999</v>
      </c>
      <c r="E103" s="18">
        <v>101850.24105672952</v>
      </c>
      <c r="F103" s="18">
        <v>15784.18766</v>
      </c>
      <c r="G103" s="18">
        <v>16888.339948662724</v>
      </c>
      <c r="H103" s="19">
        <v>6.2422379072489598E-2</v>
      </c>
      <c r="I103" s="19">
        <v>6.9953063942647331E-2</v>
      </c>
      <c r="J103" s="19">
        <v>6.3487005010938846E-2</v>
      </c>
    </row>
    <row r="104" spans="1:10" ht="11.25" customHeight="1" x14ac:dyDescent="0.2">
      <c r="A104" s="28">
        <v>44593</v>
      </c>
      <c r="B104" s="18">
        <v>0</v>
      </c>
      <c r="C104" s="18">
        <v>0</v>
      </c>
      <c r="D104" s="18">
        <v>143484.72720000002</v>
      </c>
      <c r="E104" s="18">
        <v>152441.38523239113</v>
      </c>
      <c r="F104" s="18">
        <v>23624.523679999998</v>
      </c>
      <c r="G104" s="18">
        <v>25277.131495601625</v>
      </c>
      <c r="H104" s="19">
        <v>6.2422379072489154E-2</v>
      </c>
      <c r="I104" s="19">
        <v>6.9953063942647331E-2</v>
      </c>
      <c r="J104" s="19">
        <v>6.3487005010938402E-2</v>
      </c>
    </row>
    <row r="105" spans="1:10" ht="11.25" customHeight="1" x14ac:dyDescent="0.2">
      <c r="A105" s="28">
        <v>44621</v>
      </c>
      <c r="B105" s="18">
        <v>0</v>
      </c>
      <c r="C105" s="18">
        <v>0</v>
      </c>
      <c r="D105" s="18">
        <v>165736.91669999997</v>
      </c>
      <c r="E105" s="18">
        <v>176082.609340553</v>
      </c>
      <c r="F105" s="18">
        <v>27288.309980000002</v>
      </c>
      <c r="G105" s="18">
        <v>29197.21087291772</v>
      </c>
      <c r="H105" s="19">
        <v>6.2422379072489598E-2</v>
      </c>
      <c r="I105" s="19">
        <v>6.9953063942647109E-2</v>
      </c>
      <c r="J105" s="19">
        <v>6.3487005010938846E-2</v>
      </c>
    </row>
    <row r="106" spans="1:10" ht="11.25" customHeight="1" x14ac:dyDescent="0.2">
      <c r="A106" s="28">
        <v>44652</v>
      </c>
      <c r="B106" s="18">
        <v>0</v>
      </c>
      <c r="C106" s="18">
        <v>0</v>
      </c>
      <c r="D106" s="18">
        <v>214936.91820000001</v>
      </c>
      <c r="E106" s="18">
        <v>228353.7919845531</v>
      </c>
      <c r="F106" s="18">
        <v>35389.009080000003</v>
      </c>
      <c r="G106" s="18">
        <v>37864.57869504016</v>
      </c>
      <c r="H106" s="19">
        <v>6.2422379072489598E-2</v>
      </c>
      <c r="I106" s="19">
        <v>6.9953063942647109E-2</v>
      </c>
      <c r="J106" s="19">
        <v>6.3487005010938624E-2</v>
      </c>
    </row>
    <row r="107" spans="1:10" ht="11.25" customHeight="1" x14ac:dyDescent="0.2">
      <c r="A107" s="28">
        <v>44682</v>
      </c>
      <c r="B107" s="18">
        <v>0</v>
      </c>
      <c r="C107" s="18">
        <v>0</v>
      </c>
      <c r="D107" s="18">
        <v>224871.3933</v>
      </c>
      <c r="E107" s="18">
        <v>238908.4006551315</v>
      </c>
      <c r="F107" s="18">
        <v>37024.704020000005</v>
      </c>
      <c r="G107" s="18">
        <v>39614.695507768643</v>
      </c>
      <c r="H107" s="19">
        <v>6.2422379072489598E-2</v>
      </c>
      <c r="I107" s="19">
        <v>6.9953063942646887E-2</v>
      </c>
      <c r="J107" s="19">
        <v>6.3487005010938846E-2</v>
      </c>
    </row>
    <row r="108" spans="1:10" ht="11.25" customHeight="1" x14ac:dyDescent="0.2">
      <c r="A108" s="28">
        <v>44713</v>
      </c>
      <c r="B108" s="18">
        <v>0</v>
      </c>
      <c r="C108" s="18">
        <v>0</v>
      </c>
      <c r="D108" s="18">
        <v>228281.48370000001</v>
      </c>
      <c r="E108" s="18">
        <v>242531.35701075173</v>
      </c>
      <c r="F108" s="18">
        <v>37586.169780000004</v>
      </c>
      <c r="G108" s="18">
        <v>40215.437517979539</v>
      </c>
      <c r="H108" s="19">
        <v>6.2422379072489376E-2</v>
      </c>
      <c r="I108" s="19">
        <v>6.9953063942647331E-2</v>
      </c>
      <c r="J108" s="19">
        <v>6.3487005010938402E-2</v>
      </c>
    </row>
    <row r="109" spans="1:10" ht="11.25" customHeight="1" x14ac:dyDescent="0.2">
      <c r="A109" s="23" t="s">
        <v>49</v>
      </c>
      <c r="B109" s="18">
        <v>48676.19999999999</v>
      </c>
      <c r="C109" s="18">
        <v>51608.001028609819</v>
      </c>
      <c r="D109" s="18">
        <v>79884.054099999994</v>
      </c>
      <c r="E109" s="18">
        <v>92500.753961175244</v>
      </c>
      <c r="F109" s="18">
        <v>84540.22540000001</v>
      </c>
      <c r="G109" s="18">
        <v>90454.073193132004</v>
      </c>
      <c r="H109" s="19">
        <v>0.12094329618927735</v>
      </c>
      <c r="I109" s="19">
        <v>6.9953063942647109E-2</v>
      </c>
      <c r="J109" s="19">
        <v>0.10071468977110909</v>
      </c>
    </row>
    <row r="110" spans="1:10" ht="11.25" customHeight="1" x14ac:dyDescent="0.2">
      <c r="A110" s="24" t="s">
        <v>25</v>
      </c>
      <c r="B110" s="18">
        <v>48676.19999999999</v>
      </c>
      <c r="C110" s="18">
        <v>51608.001028609819</v>
      </c>
      <c r="D110" s="18">
        <v>79884.054099999994</v>
      </c>
      <c r="E110" s="18">
        <v>92500.753961175244</v>
      </c>
      <c r="F110" s="18">
        <v>84540.22540000001</v>
      </c>
      <c r="G110" s="18">
        <v>90454.073193132004</v>
      </c>
      <c r="H110" s="19">
        <v>0.12094329618927735</v>
      </c>
      <c r="I110" s="19">
        <v>6.9953063942647109E-2</v>
      </c>
      <c r="J110" s="19">
        <v>0.10071468977110909</v>
      </c>
    </row>
    <row r="111" spans="1:10" ht="11.25" customHeight="1" x14ac:dyDescent="0.2">
      <c r="A111" s="25" t="s">
        <v>25</v>
      </c>
      <c r="B111" s="18">
        <v>48676.19999999999</v>
      </c>
      <c r="C111" s="18">
        <v>51608.001028609819</v>
      </c>
      <c r="D111" s="18">
        <v>79884.054099999994</v>
      </c>
      <c r="E111" s="18">
        <v>92500.753961175244</v>
      </c>
      <c r="F111" s="18">
        <v>84540.22540000001</v>
      </c>
      <c r="G111" s="18">
        <v>90454.073193132004</v>
      </c>
      <c r="H111" s="19">
        <v>0.12094329618927735</v>
      </c>
      <c r="I111" s="19">
        <v>6.9953063942647109E-2</v>
      </c>
      <c r="J111" s="19">
        <v>0.10071468977110909</v>
      </c>
    </row>
    <row r="112" spans="1:10" ht="11.25" customHeight="1" x14ac:dyDescent="0.2">
      <c r="A112" s="26" t="s">
        <v>25</v>
      </c>
      <c r="B112" s="18">
        <v>48676.19999999999</v>
      </c>
      <c r="C112" s="18">
        <v>51608.001028609819</v>
      </c>
      <c r="D112" s="18">
        <v>79884.054099999994</v>
      </c>
      <c r="E112" s="18">
        <v>92500.753961175244</v>
      </c>
      <c r="F112" s="18">
        <v>84540.22540000001</v>
      </c>
      <c r="G112" s="18">
        <v>90454.073193132004</v>
      </c>
      <c r="H112" s="19">
        <v>0.12094329618927735</v>
      </c>
      <c r="I112" s="19">
        <v>6.9953063942647109E-2</v>
      </c>
      <c r="J112" s="19">
        <v>0.10071468977110909</v>
      </c>
    </row>
    <row r="113" spans="1:10" ht="11.25" customHeight="1" x14ac:dyDescent="0.2">
      <c r="A113" s="27" t="s">
        <v>38</v>
      </c>
      <c r="B113" s="18">
        <v>0</v>
      </c>
      <c r="C113" s="18">
        <v>0</v>
      </c>
      <c r="D113" s="18">
        <v>28552.7461</v>
      </c>
      <c r="E113" s="18">
        <v>37965.223594912517</v>
      </c>
      <c r="F113" s="18">
        <v>76088.61020000001</v>
      </c>
      <c r="G113" s="18">
        <v>81411.241614627768</v>
      </c>
      <c r="H113" s="19">
        <v>0.32965226748934384</v>
      </c>
      <c r="I113" s="19">
        <v>6.9953063942647109E-2</v>
      </c>
      <c r="J113" s="19">
        <v>0.14081534711090371</v>
      </c>
    </row>
    <row r="114" spans="1:10" ht="11.25" customHeight="1" x14ac:dyDescent="0.2">
      <c r="A114" s="28">
        <v>44378</v>
      </c>
      <c r="B114" s="18">
        <v>0</v>
      </c>
      <c r="C114" s="18">
        <v>0</v>
      </c>
      <c r="D114" s="18">
        <v>2090.8151199999998</v>
      </c>
      <c r="E114" s="18">
        <v>2780.0570652090041</v>
      </c>
      <c r="F114" s="18">
        <v>5571.6958400000003</v>
      </c>
      <c r="G114" s="18">
        <v>5961.4530353645014</v>
      </c>
      <c r="H114" s="19">
        <v>0.32965226748934384</v>
      </c>
      <c r="I114" s="19">
        <v>6.9953063942647109E-2</v>
      </c>
      <c r="J114" s="19">
        <v>0.14081534711090393</v>
      </c>
    </row>
    <row r="115" spans="1:10" ht="11.25" customHeight="1" x14ac:dyDescent="0.2">
      <c r="A115" s="28">
        <v>44409</v>
      </c>
      <c r="B115" s="18">
        <v>0</v>
      </c>
      <c r="C115" s="18">
        <v>0</v>
      </c>
      <c r="D115" s="18">
        <v>2342.4384100000002</v>
      </c>
      <c r="E115" s="18">
        <v>3114.6285433106332</v>
      </c>
      <c r="F115" s="18">
        <v>6242.2326200000007</v>
      </c>
      <c r="G115" s="18">
        <v>6678.8959176117387</v>
      </c>
      <c r="H115" s="19">
        <v>0.32965226748934362</v>
      </c>
      <c r="I115" s="19">
        <v>6.9953063942647109E-2</v>
      </c>
      <c r="J115" s="19">
        <v>0.14081534711090393</v>
      </c>
    </row>
    <row r="116" spans="1:10" ht="11.25" customHeight="1" x14ac:dyDescent="0.2">
      <c r="A116" s="28">
        <v>44440</v>
      </c>
      <c r="B116" s="18">
        <v>0</v>
      </c>
      <c r="C116" s="18">
        <v>0</v>
      </c>
      <c r="D116" s="18">
        <v>2274.06025</v>
      </c>
      <c r="E116" s="18">
        <v>3023.7093678198839</v>
      </c>
      <c r="F116" s="18">
        <v>6060.0155000000004</v>
      </c>
      <c r="G116" s="18">
        <v>6483.9321517649332</v>
      </c>
      <c r="H116" s="19">
        <v>0.32965226748934384</v>
      </c>
      <c r="I116" s="19">
        <v>6.9953063942647109E-2</v>
      </c>
      <c r="J116" s="19">
        <v>0.14081534711090393</v>
      </c>
    </row>
    <row r="117" spans="1:10" ht="11.25" customHeight="1" x14ac:dyDescent="0.2">
      <c r="A117" s="28">
        <v>44470</v>
      </c>
      <c r="B117" s="18">
        <v>0</v>
      </c>
      <c r="C117" s="18">
        <v>0</v>
      </c>
      <c r="D117" s="18">
        <v>2140.5699599999998</v>
      </c>
      <c r="E117" s="18">
        <v>2846.2137010335737</v>
      </c>
      <c r="F117" s="18">
        <v>5704.2847199999997</v>
      </c>
      <c r="G117" s="18">
        <v>6103.3169137652249</v>
      </c>
      <c r="H117" s="19">
        <v>0.32965226748934384</v>
      </c>
      <c r="I117" s="19">
        <v>6.9953063942647109E-2</v>
      </c>
      <c r="J117" s="19">
        <v>0.14081534711090371</v>
      </c>
    </row>
    <row r="118" spans="1:10" ht="11.25" customHeight="1" x14ac:dyDescent="0.2">
      <c r="A118" s="28">
        <v>44501</v>
      </c>
      <c r="B118" s="18">
        <v>0</v>
      </c>
      <c r="C118" s="18">
        <v>0</v>
      </c>
      <c r="D118" s="18">
        <v>2279.7584299999994</v>
      </c>
      <c r="E118" s="18">
        <v>3031.2859657774457</v>
      </c>
      <c r="F118" s="18">
        <v>6075.2002599999996</v>
      </c>
      <c r="G118" s="18">
        <v>6500.1791322521667</v>
      </c>
      <c r="H118" s="19">
        <v>0.32965226748934384</v>
      </c>
      <c r="I118" s="19">
        <v>6.9953063942647331E-2</v>
      </c>
      <c r="J118" s="19">
        <v>0.14081534711090393</v>
      </c>
    </row>
    <row r="119" spans="1:10" ht="11.25" customHeight="1" x14ac:dyDescent="0.2">
      <c r="A119" s="28">
        <v>44531</v>
      </c>
      <c r="B119" s="18">
        <v>0</v>
      </c>
      <c r="C119" s="18">
        <v>0</v>
      </c>
      <c r="D119" s="18">
        <v>2381.7697499999999</v>
      </c>
      <c r="E119" s="18">
        <v>3166.9255487250271</v>
      </c>
      <c r="F119" s="18">
        <v>6347.0445</v>
      </c>
      <c r="G119" s="18">
        <v>6791.0397097553268</v>
      </c>
      <c r="H119" s="19">
        <v>0.32965226748934362</v>
      </c>
      <c r="I119" s="19">
        <v>6.9953063942647109E-2</v>
      </c>
      <c r="J119" s="19">
        <v>0.14081534711090393</v>
      </c>
    </row>
    <row r="120" spans="1:10" ht="11.25" customHeight="1" x14ac:dyDescent="0.2">
      <c r="A120" s="28">
        <v>44562</v>
      </c>
      <c r="B120" s="18">
        <v>0</v>
      </c>
      <c r="C120" s="18">
        <v>0</v>
      </c>
      <c r="D120" s="18">
        <v>2651.9468699999998</v>
      </c>
      <c r="E120" s="18">
        <v>3526.1671689567675</v>
      </c>
      <c r="F120" s="18">
        <v>7067.0243399999999</v>
      </c>
      <c r="G120" s="18">
        <v>7561.3843455402639</v>
      </c>
      <c r="H120" s="19">
        <v>0.32965226748934362</v>
      </c>
      <c r="I120" s="19">
        <v>6.9953063942647109E-2</v>
      </c>
      <c r="J120" s="19">
        <v>0.14081534711090371</v>
      </c>
    </row>
    <row r="121" spans="1:10" ht="11.25" customHeight="1" x14ac:dyDescent="0.2">
      <c r="A121" s="28">
        <v>44593</v>
      </c>
      <c r="B121" s="18">
        <v>0</v>
      </c>
      <c r="C121" s="18">
        <v>0</v>
      </c>
      <c r="D121" s="18">
        <v>2864.0998399999999</v>
      </c>
      <c r="E121" s="18">
        <v>3808.2568465718659</v>
      </c>
      <c r="F121" s="18">
        <v>7632.378880000002</v>
      </c>
      <c r="G121" s="18">
        <v>8166.2871678271495</v>
      </c>
      <c r="H121" s="19">
        <v>0.32965226748934362</v>
      </c>
      <c r="I121" s="19">
        <v>6.9953063942646887E-2</v>
      </c>
      <c r="J121" s="19">
        <v>0.14081534711090371</v>
      </c>
    </row>
    <row r="122" spans="1:10" ht="11.25" customHeight="1" x14ac:dyDescent="0.2">
      <c r="A122" s="28">
        <v>44621</v>
      </c>
      <c r="B122" s="18">
        <v>0</v>
      </c>
      <c r="C122" s="18">
        <v>0</v>
      </c>
      <c r="D122" s="18">
        <v>2525.1276200000007</v>
      </c>
      <c r="E122" s="18">
        <v>3357.5416656329708</v>
      </c>
      <c r="F122" s="18">
        <v>6729.0708400000012</v>
      </c>
      <c r="G122" s="18">
        <v>7199.7899627451243</v>
      </c>
      <c r="H122" s="19">
        <v>0.32965226748934362</v>
      </c>
      <c r="I122" s="19">
        <v>6.9953063942647331E-2</v>
      </c>
      <c r="J122" s="19">
        <v>0.14081534711090393</v>
      </c>
    </row>
    <row r="123" spans="1:10" ht="11.25" customHeight="1" x14ac:dyDescent="0.2">
      <c r="A123" s="28">
        <v>44652</v>
      </c>
      <c r="B123" s="18">
        <v>0</v>
      </c>
      <c r="C123" s="18">
        <v>0</v>
      </c>
      <c r="D123" s="18">
        <v>2660.7026099999998</v>
      </c>
      <c r="E123" s="18">
        <v>3537.8092585013151</v>
      </c>
      <c r="F123" s="18">
        <v>7090.3570200000004</v>
      </c>
      <c r="G123" s="18">
        <v>7586.3492179962577</v>
      </c>
      <c r="H123" s="19">
        <v>0.32965226748934384</v>
      </c>
      <c r="I123" s="19">
        <v>6.9953063942647109E-2</v>
      </c>
      <c r="J123" s="19">
        <v>0.14081534711090393</v>
      </c>
    </row>
    <row r="124" spans="1:10" ht="11.25" customHeight="1" x14ac:dyDescent="0.2">
      <c r="A124" s="28">
        <v>44682</v>
      </c>
      <c r="B124" s="18">
        <v>0</v>
      </c>
      <c r="C124" s="18">
        <v>0</v>
      </c>
      <c r="D124" s="18">
        <v>2179.5538499999998</v>
      </c>
      <c r="E124" s="18">
        <v>2898.0487187676285</v>
      </c>
      <c r="F124" s="18">
        <v>5808.1706999999997</v>
      </c>
      <c r="G124" s="18">
        <v>6214.4700363669099</v>
      </c>
      <c r="H124" s="19">
        <v>0.32965226748934362</v>
      </c>
      <c r="I124" s="19">
        <v>6.9953063942647331E-2</v>
      </c>
      <c r="J124" s="19">
        <v>0.14081534711090415</v>
      </c>
    </row>
    <row r="125" spans="1:10" ht="11.25" customHeight="1" x14ac:dyDescent="0.2">
      <c r="A125" s="28">
        <v>44713</v>
      </c>
      <c r="B125" s="18">
        <v>0</v>
      </c>
      <c r="C125" s="18">
        <v>0</v>
      </c>
      <c r="D125" s="18">
        <v>2161.9033899999999</v>
      </c>
      <c r="E125" s="18">
        <v>2874.5797446063989</v>
      </c>
      <c r="F125" s="18">
        <v>5761.1349800000007</v>
      </c>
      <c r="G125" s="18">
        <v>6164.1440236381613</v>
      </c>
      <c r="H125" s="19">
        <v>0.32965226748934362</v>
      </c>
      <c r="I125" s="19">
        <v>6.9953063942647109E-2</v>
      </c>
      <c r="J125" s="19">
        <v>0.14081534711090371</v>
      </c>
    </row>
    <row r="126" spans="1:10" ht="11.25" customHeight="1" x14ac:dyDescent="0.2">
      <c r="A126" s="27" t="s">
        <v>25</v>
      </c>
      <c r="B126" s="18">
        <v>48676.19999999999</v>
      </c>
      <c r="C126" s="18">
        <v>51608.001028609819</v>
      </c>
      <c r="D126" s="18">
        <v>0</v>
      </c>
      <c r="E126" s="18">
        <v>0</v>
      </c>
      <c r="F126" s="18">
        <v>0</v>
      </c>
      <c r="G126" s="18">
        <v>0</v>
      </c>
      <c r="H126" s="19">
        <v>6.0230688274964139E-2</v>
      </c>
      <c r="I126" s="19">
        <v>0</v>
      </c>
      <c r="J126" s="19">
        <v>6.0230688274964139E-2</v>
      </c>
    </row>
    <row r="127" spans="1:10" ht="11.25" customHeight="1" x14ac:dyDescent="0.2">
      <c r="A127" s="28">
        <v>44378</v>
      </c>
      <c r="B127" s="18">
        <v>4056.3500000000004</v>
      </c>
      <c r="C127" s="18">
        <v>4300.6667523841506</v>
      </c>
      <c r="D127" s="18">
        <v>0</v>
      </c>
      <c r="E127" s="18">
        <v>0</v>
      </c>
      <c r="F127" s="18">
        <v>0</v>
      </c>
      <c r="G127" s="18">
        <v>0</v>
      </c>
      <c r="H127" s="19">
        <v>6.0230688274963917E-2</v>
      </c>
      <c r="I127" s="19">
        <v>0</v>
      </c>
      <c r="J127" s="19">
        <v>6.0230688274963917E-2</v>
      </c>
    </row>
    <row r="128" spans="1:10" ht="11.25" customHeight="1" x14ac:dyDescent="0.2">
      <c r="A128" s="28">
        <v>44409</v>
      </c>
      <c r="B128" s="18">
        <v>4056.3500000000004</v>
      </c>
      <c r="C128" s="18">
        <v>4300.6667523841506</v>
      </c>
      <c r="D128" s="18">
        <v>0</v>
      </c>
      <c r="E128" s="18">
        <v>0</v>
      </c>
      <c r="F128" s="18">
        <v>0</v>
      </c>
      <c r="G128" s="18">
        <v>0</v>
      </c>
      <c r="H128" s="19">
        <v>6.0230688274963917E-2</v>
      </c>
      <c r="I128" s="19">
        <v>0</v>
      </c>
      <c r="J128" s="19">
        <v>6.0230688274963917E-2</v>
      </c>
    </row>
    <row r="129" spans="1:10" ht="11.25" customHeight="1" x14ac:dyDescent="0.2">
      <c r="A129" s="28">
        <v>44440</v>
      </c>
      <c r="B129" s="18">
        <v>4056.3500000000004</v>
      </c>
      <c r="C129" s="18">
        <v>4300.6667523841506</v>
      </c>
      <c r="D129" s="18">
        <v>0</v>
      </c>
      <c r="E129" s="18">
        <v>0</v>
      </c>
      <c r="F129" s="18">
        <v>0</v>
      </c>
      <c r="G129" s="18">
        <v>0</v>
      </c>
      <c r="H129" s="19">
        <v>6.0230688274963917E-2</v>
      </c>
      <c r="I129" s="19">
        <v>0</v>
      </c>
      <c r="J129" s="19">
        <v>6.0230688274963917E-2</v>
      </c>
    </row>
    <row r="130" spans="1:10" ht="11.25" customHeight="1" x14ac:dyDescent="0.2">
      <c r="A130" s="28">
        <v>44470</v>
      </c>
      <c r="B130" s="18">
        <v>4056.3500000000004</v>
      </c>
      <c r="C130" s="18">
        <v>4300.6667523841506</v>
      </c>
      <c r="D130" s="18">
        <v>0</v>
      </c>
      <c r="E130" s="18">
        <v>0</v>
      </c>
      <c r="F130" s="18">
        <v>0</v>
      </c>
      <c r="G130" s="18">
        <v>0</v>
      </c>
      <c r="H130" s="19">
        <v>6.0230688274963917E-2</v>
      </c>
      <c r="I130" s="19">
        <v>0</v>
      </c>
      <c r="J130" s="19">
        <v>6.0230688274963917E-2</v>
      </c>
    </row>
    <row r="131" spans="1:10" ht="11.25" customHeight="1" x14ac:dyDescent="0.2">
      <c r="A131" s="28">
        <v>44501</v>
      </c>
      <c r="B131" s="18">
        <v>4056.3500000000004</v>
      </c>
      <c r="C131" s="18">
        <v>4300.6667523841506</v>
      </c>
      <c r="D131" s="18">
        <v>0</v>
      </c>
      <c r="E131" s="18">
        <v>0</v>
      </c>
      <c r="F131" s="18">
        <v>0</v>
      </c>
      <c r="G131" s="18">
        <v>0</v>
      </c>
      <c r="H131" s="19">
        <v>6.0230688274963917E-2</v>
      </c>
      <c r="I131" s="19">
        <v>0</v>
      </c>
      <c r="J131" s="19">
        <v>6.0230688274963917E-2</v>
      </c>
    </row>
    <row r="132" spans="1:10" ht="11.25" customHeight="1" x14ac:dyDescent="0.2">
      <c r="A132" s="28">
        <v>44531</v>
      </c>
      <c r="B132" s="18">
        <v>4056.3500000000004</v>
      </c>
      <c r="C132" s="18">
        <v>4300.6667523841506</v>
      </c>
      <c r="D132" s="18">
        <v>0</v>
      </c>
      <c r="E132" s="18">
        <v>0</v>
      </c>
      <c r="F132" s="18">
        <v>0</v>
      </c>
      <c r="G132" s="18">
        <v>0</v>
      </c>
      <c r="H132" s="19">
        <v>6.0230688274963917E-2</v>
      </c>
      <c r="I132" s="19">
        <v>0</v>
      </c>
      <c r="J132" s="19">
        <v>6.0230688274963917E-2</v>
      </c>
    </row>
    <row r="133" spans="1:10" ht="11.25" customHeight="1" x14ac:dyDescent="0.2">
      <c r="A133" s="28">
        <v>44562</v>
      </c>
      <c r="B133" s="18">
        <v>4056.3500000000004</v>
      </c>
      <c r="C133" s="18">
        <v>4300.6667523841506</v>
      </c>
      <c r="D133" s="18">
        <v>0</v>
      </c>
      <c r="E133" s="18">
        <v>0</v>
      </c>
      <c r="F133" s="18">
        <v>0</v>
      </c>
      <c r="G133" s="18">
        <v>0</v>
      </c>
      <c r="H133" s="19">
        <v>6.0230688274963917E-2</v>
      </c>
      <c r="I133" s="19">
        <v>0</v>
      </c>
      <c r="J133" s="19">
        <v>6.0230688274963917E-2</v>
      </c>
    </row>
    <row r="134" spans="1:10" ht="11.25" customHeight="1" x14ac:dyDescent="0.2">
      <c r="A134" s="28">
        <v>44593</v>
      </c>
      <c r="B134" s="18">
        <v>4056.3500000000004</v>
      </c>
      <c r="C134" s="18">
        <v>4300.6667523841506</v>
      </c>
      <c r="D134" s="18">
        <v>0</v>
      </c>
      <c r="E134" s="18">
        <v>0</v>
      </c>
      <c r="F134" s="18">
        <v>0</v>
      </c>
      <c r="G134" s="18">
        <v>0</v>
      </c>
      <c r="H134" s="19">
        <v>6.0230688274963917E-2</v>
      </c>
      <c r="I134" s="19">
        <v>0</v>
      </c>
      <c r="J134" s="19">
        <v>6.0230688274963917E-2</v>
      </c>
    </row>
    <row r="135" spans="1:10" ht="11.25" customHeight="1" x14ac:dyDescent="0.2">
      <c r="A135" s="28">
        <v>44621</v>
      </c>
      <c r="B135" s="18">
        <v>4056.3500000000004</v>
      </c>
      <c r="C135" s="18">
        <v>4300.6667523841506</v>
      </c>
      <c r="D135" s="18">
        <v>0</v>
      </c>
      <c r="E135" s="18">
        <v>0</v>
      </c>
      <c r="F135" s="18">
        <v>0</v>
      </c>
      <c r="G135" s="18">
        <v>0</v>
      </c>
      <c r="H135" s="19">
        <v>6.0230688274963917E-2</v>
      </c>
      <c r="I135" s="19">
        <v>0</v>
      </c>
      <c r="J135" s="19">
        <v>6.0230688274963917E-2</v>
      </c>
    </row>
    <row r="136" spans="1:10" ht="11.25" customHeight="1" x14ac:dyDescent="0.2">
      <c r="A136" s="28">
        <v>44652</v>
      </c>
      <c r="B136" s="18">
        <v>4056.3500000000004</v>
      </c>
      <c r="C136" s="18">
        <v>4300.6667523841506</v>
      </c>
      <c r="D136" s="18">
        <v>0</v>
      </c>
      <c r="E136" s="18">
        <v>0</v>
      </c>
      <c r="F136" s="18">
        <v>0</v>
      </c>
      <c r="G136" s="18">
        <v>0</v>
      </c>
      <c r="H136" s="19">
        <v>6.0230688274963917E-2</v>
      </c>
      <c r="I136" s="19">
        <v>0</v>
      </c>
      <c r="J136" s="19">
        <v>6.0230688274963917E-2</v>
      </c>
    </row>
    <row r="137" spans="1:10" ht="11.25" customHeight="1" x14ac:dyDescent="0.2">
      <c r="A137" s="28">
        <v>44682</v>
      </c>
      <c r="B137" s="18">
        <v>4056.3500000000004</v>
      </c>
      <c r="C137" s="18">
        <v>4300.6667523841506</v>
      </c>
      <c r="D137" s="18">
        <v>0</v>
      </c>
      <c r="E137" s="18">
        <v>0</v>
      </c>
      <c r="F137" s="18">
        <v>0</v>
      </c>
      <c r="G137" s="18">
        <v>0</v>
      </c>
      <c r="H137" s="19">
        <v>6.0230688274963917E-2</v>
      </c>
      <c r="I137" s="19">
        <v>0</v>
      </c>
      <c r="J137" s="19">
        <v>6.0230688274963917E-2</v>
      </c>
    </row>
    <row r="138" spans="1:10" ht="11.25" customHeight="1" x14ac:dyDescent="0.2">
      <c r="A138" s="28">
        <v>44713</v>
      </c>
      <c r="B138" s="18">
        <v>4056.3500000000004</v>
      </c>
      <c r="C138" s="18">
        <v>4300.6667523841506</v>
      </c>
      <c r="D138" s="18">
        <v>0</v>
      </c>
      <c r="E138" s="18">
        <v>0</v>
      </c>
      <c r="F138" s="18">
        <v>0</v>
      </c>
      <c r="G138" s="18">
        <v>0</v>
      </c>
      <c r="H138" s="19">
        <v>6.0230688274963917E-2</v>
      </c>
      <c r="I138" s="19">
        <v>0</v>
      </c>
      <c r="J138" s="19">
        <v>6.0230688274963917E-2</v>
      </c>
    </row>
    <row r="139" spans="1:10" ht="11.25" customHeight="1" x14ac:dyDescent="0.2">
      <c r="A139" s="27" t="s">
        <v>37</v>
      </c>
      <c r="B139" s="18">
        <v>0</v>
      </c>
      <c r="C139" s="18">
        <v>0</v>
      </c>
      <c r="D139" s="18">
        <v>51331.308000000005</v>
      </c>
      <c r="E139" s="18">
        <v>54535.530366262712</v>
      </c>
      <c r="F139" s="18">
        <v>8451.615200000002</v>
      </c>
      <c r="G139" s="18">
        <v>9042.8315785042487</v>
      </c>
      <c r="H139" s="19">
        <v>6.2422379072489154E-2</v>
      </c>
      <c r="I139" s="19">
        <v>6.9953063942647109E-2</v>
      </c>
      <c r="J139" s="19">
        <v>6.3487005010938402E-2</v>
      </c>
    </row>
    <row r="140" spans="1:10" ht="11.25" customHeight="1" x14ac:dyDescent="0.2">
      <c r="A140" s="28">
        <v>44378</v>
      </c>
      <c r="B140" s="18">
        <v>0</v>
      </c>
      <c r="C140" s="18">
        <v>0</v>
      </c>
      <c r="D140" s="18">
        <v>3813.8577</v>
      </c>
      <c r="E140" s="18">
        <v>4051.9277710779329</v>
      </c>
      <c r="F140" s="18">
        <v>627.94538</v>
      </c>
      <c r="G140" s="18">
        <v>671.87208331962995</v>
      </c>
      <c r="H140" s="19">
        <v>6.2422379072489376E-2</v>
      </c>
      <c r="I140" s="19">
        <v>6.9953063942647331E-2</v>
      </c>
      <c r="J140" s="19">
        <v>6.3487005010938624E-2</v>
      </c>
    </row>
    <row r="141" spans="1:10" ht="11.25" customHeight="1" x14ac:dyDescent="0.2">
      <c r="A141" s="28">
        <v>44409</v>
      </c>
      <c r="B141" s="18">
        <v>0</v>
      </c>
      <c r="C141" s="18">
        <v>0</v>
      </c>
      <c r="D141" s="18">
        <v>4398.7017000000005</v>
      </c>
      <c r="E141" s="18">
        <v>4673.2791249442043</v>
      </c>
      <c r="F141" s="18">
        <v>724.23898000000008</v>
      </c>
      <c r="G141" s="18">
        <v>774.90171567769767</v>
      </c>
      <c r="H141" s="19">
        <v>6.2422379072489376E-2</v>
      </c>
      <c r="I141" s="19">
        <v>6.9953063942647109E-2</v>
      </c>
      <c r="J141" s="19">
        <v>6.3487005010938624E-2</v>
      </c>
    </row>
    <row r="142" spans="1:10" ht="11.25" customHeight="1" x14ac:dyDescent="0.2">
      <c r="A142" s="28">
        <v>44440</v>
      </c>
      <c r="B142" s="18">
        <v>0</v>
      </c>
      <c r="C142" s="18">
        <v>0</v>
      </c>
      <c r="D142" s="18">
        <v>4399.8263999999999</v>
      </c>
      <c r="E142" s="18">
        <v>4674.4740313939465</v>
      </c>
      <c r="F142" s="18">
        <v>724.42416000000003</v>
      </c>
      <c r="G142" s="18">
        <v>775.09984958607845</v>
      </c>
      <c r="H142" s="19">
        <v>6.2422379072489376E-2</v>
      </c>
      <c r="I142" s="19">
        <v>6.9953063942647109E-2</v>
      </c>
      <c r="J142" s="19">
        <v>6.3487005010938624E-2</v>
      </c>
    </row>
    <row r="143" spans="1:10" ht="11.25" customHeight="1" x14ac:dyDescent="0.2">
      <c r="A143" s="28">
        <v>44470</v>
      </c>
      <c r="B143" s="18">
        <v>0</v>
      </c>
      <c r="C143" s="18">
        <v>0</v>
      </c>
      <c r="D143" s="18">
        <v>4017.4284000000002</v>
      </c>
      <c r="E143" s="18">
        <v>4268.2058384813854</v>
      </c>
      <c r="F143" s="18">
        <v>661.46296000000007</v>
      </c>
      <c r="G143" s="18">
        <v>707.73432073657273</v>
      </c>
      <c r="H143" s="19">
        <v>6.2422379072489598E-2</v>
      </c>
      <c r="I143" s="19">
        <v>6.9953063942647109E-2</v>
      </c>
      <c r="J143" s="19">
        <v>6.3487005010938624E-2</v>
      </c>
    </row>
    <row r="144" spans="1:10" ht="11.25" customHeight="1" x14ac:dyDescent="0.2">
      <c r="A144" s="28">
        <v>44501</v>
      </c>
      <c r="B144" s="18">
        <v>0</v>
      </c>
      <c r="C144" s="18">
        <v>0</v>
      </c>
      <c r="D144" s="18">
        <v>3888.0879</v>
      </c>
      <c r="E144" s="18">
        <v>4130.7915967609597</v>
      </c>
      <c r="F144" s="18">
        <v>640.16725999999994</v>
      </c>
      <c r="G144" s="18">
        <v>684.94892127276921</v>
      </c>
      <c r="H144" s="19">
        <v>6.2422379072489598E-2</v>
      </c>
      <c r="I144" s="19">
        <v>6.9953063942647331E-2</v>
      </c>
      <c r="J144" s="19">
        <v>6.3487005010938846E-2</v>
      </c>
    </row>
    <row r="145" spans="1:10" ht="11.25" customHeight="1" x14ac:dyDescent="0.2">
      <c r="A145" s="28">
        <v>44531</v>
      </c>
      <c r="B145" s="18">
        <v>0</v>
      </c>
      <c r="C145" s="18">
        <v>0</v>
      </c>
      <c r="D145" s="18">
        <v>4095.0327000000002</v>
      </c>
      <c r="E145" s="18">
        <v>4350.6543835136399</v>
      </c>
      <c r="F145" s="18">
        <v>674.24038000000007</v>
      </c>
      <c r="G145" s="18">
        <v>721.40556041485479</v>
      </c>
      <c r="H145" s="19">
        <v>6.2422379072489376E-2</v>
      </c>
      <c r="I145" s="19">
        <v>6.9953063942647109E-2</v>
      </c>
      <c r="J145" s="19">
        <v>6.3487005010938624E-2</v>
      </c>
    </row>
    <row r="146" spans="1:10" ht="11.25" customHeight="1" x14ac:dyDescent="0.2">
      <c r="A146" s="28">
        <v>44562</v>
      </c>
      <c r="B146" s="18">
        <v>0</v>
      </c>
      <c r="C146" s="18">
        <v>0</v>
      </c>
      <c r="D146" s="18">
        <v>5044.2795000000006</v>
      </c>
      <c r="E146" s="18">
        <v>5359.155427096588</v>
      </c>
      <c r="F146" s="18">
        <v>830.53230000000008</v>
      </c>
      <c r="G146" s="18">
        <v>888.63057908833389</v>
      </c>
      <c r="H146" s="19">
        <v>6.2422379072489376E-2</v>
      </c>
      <c r="I146" s="19">
        <v>6.9953063942647109E-2</v>
      </c>
      <c r="J146" s="19">
        <v>6.3487005010938624E-2</v>
      </c>
    </row>
    <row r="147" spans="1:10" ht="11.25" customHeight="1" x14ac:dyDescent="0.2">
      <c r="A147" s="28">
        <v>44593</v>
      </c>
      <c r="B147" s="18">
        <v>0</v>
      </c>
      <c r="C147" s="18">
        <v>0</v>
      </c>
      <c r="D147" s="18">
        <v>4743.9845999999998</v>
      </c>
      <c r="E147" s="18">
        <v>5040.1154050152527</v>
      </c>
      <c r="F147" s="18">
        <v>781.08924000000002</v>
      </c>
      <c r="G147" s="18">
        <v>835.7288255506337</v>
      </c>
      <c r="H147" s="19">
        <v>6.2422379072489598E-2</v>
      </c>
      <c r="I147" s="19">
        <v>6.9953063942647109E-2</v>
      </c>
      <c r="J147" s="19">
        <v>6.3487005010938624E-2</v>
      </c>
    </row>
    <row r="148" spans="1:10" ht="11.25" customHeight="1" x14ac:dyDescent="0.2">
      <c r="A148" s="28">
        <v>44621</v>
      </c>
      <c r="B148" s="18">
        <v>0</v>
      </c>
      <c r="C148" s="18">
        <v>0</v>
      </c>
      <c r="D148" s="18">
        <v>4480.8047999999999</v>
      </c>
      <c r="E148" s="18">
        <v>4760.507295775431</v>
      </c>
      <c r="F148" s="18">
        <v>737.75711999999999</v>
      </c>
      <c r="G148" s="18">
        <v>789.36549098950331</v>
      </c>
      <c r="H148" s="19">
        <v>6.2422379072489598E-2</v>
      </c>
      <c r="I148" s="19">
        <v>6.9953063942647331E-2</v>
      </c>
      <c r="J148" s="19">
        <v>6.3487005010938624E-2</v>
      </c>
    </row>
    <row r="149" spans="1:10" ht="11.25" customHeight="1" x14ac:dyDescent="0.2">
      <c r="A149" s="28">
        <v>44652</v>
      </c>
      <c r="B149" s="18">
        <v>0</v>
      </c>
      <c r="C149" s="18">
        <v>0</v>
      </c>
      <c r="D149" s="18">
        <v>4929.5601000000006</v>
      </c>
      <c r="E149" s="18">
        <v>5237.274969222819</v>
      </c>
      <c r="F149" s="18">
        <v>811.64394000000004</v>
      </c>
      <c r="G149" s="18">
        <v>868.42092043348214</v>
      </c>
      <c r="H149" s="19">
        <v>6.2422379072489376E-2</v>
      </c>
      <c r="I149" s="19">
        <v>6.9953063942647109E-2</v>
      </c>
      <c r="J149" s="19">
        <v>6.3487005010938624E-2</v>
      </c>
    </row>
    <row r="150" spans="1:10" ht="11.25" customHeight="1" x14ac:dyDescent="0.2">
      <c r="A150" s="28">
        <v>44682</v>
      </c>
      <c r="B150" s="18">
        <v>0</v>
      </c>
      <c r="C150" s="18">
        <v>0</v>
      </c>
      <c r="D150" s="18">
        <v>3614.7858000000001</v>
      </c>
      <c r="E150" s="18">
        <v>3840.4293294734521</v>
      </c>
      <c r="F150" s="18">
        <v>595.16852000000006</v>
      </c>
      <c r="G150" s="18">
        <v>636.80238153621076</v>
      </c>
      <c r="H150" s="19">
        <v>6.2422379072489376E-2</v>
      </c>
      <c r="I150" s="19">
        <v>6.9953063942647109E-2</v>
      </c>
      <c r="J150" s="19">
        <v>6.3487005010938624E-2</v>
      </c>
    </row>
    <row r="151" spans="1:10" ht="11.25" customHeight="1" x14ac:dyDescent="0.2">
      <c r="A151" s="28">
        <v>44713</v>
      </c>
      <c r="B151" s="18">
        <v>0</v>
      </c>
      <c r="C151" s="18">
        <v>0</v>
      </c>
      <c r="D151" s="18">
        <v>3904.9584</v>
      </c>
      <c r="E151" s="18">
        <v>4148.7151935071024</v>
      </c>
      <c r="F151" s="18">
        <v>642.94496000000004</v>
      </c>
      <c r="G151" s="18">
        <v>687.92092989848277</v>
      </c>
      <c r="H151" s="19">
        <v>6.2422379072489598E-2</v>
      </c>
      <c r="I151" s="19">
        <v>6.9953063942647109E-2</v>
      </c>
      <c r="J151" s="19">
        <v>6.3487005010938624E-2</v>
      </c>
    </row>
    <row r="152" spans="1:10" ht="11.25" customHeight="1" x14ac:dyDescent="0.2">
      <c r="A152" s="23" t="s">
        <v>34</v>
      </c>
      <c r="B152" s="18">
        <v>7371068.3700000001</v>
      </c>
      <c r="C152" s="18">
        <v>7815032.8912469177</v>
      </c>
      <c r="D152" s="18">
        <v>8219707.4776499998</v>
      </c>
      <c r="E152" s="18">
        <v>9904446.7681788877</v>
      </c>
      <c r="F152" s="18">
        <v>12315245.348660003</v>
      </c>
      <c r="G152" s="18">
        <v>13176734.494004201</v>
      </c>
      <c r="H152" s="19">
        <v>0.13653610523152171</v>
      </c>
      <c r="I152" s="19">
        <v>6.9953063942647553E-2</v>
      </c>
      <c r="J152" s="19">
        <v>0.1071522499063895</v>
      </c>
    </row>
    <row r="153" spans="1:10" ht="11.25" customHeight="1" x14ac:dyDescent="0.2">
      <c r="A153" s="24" t="s">
        <v>25</v>
      </c>
      <c r="B153" s="18">
        <v>7371068.3700000001</v>
      </c>
      <c r="C153" s="18">
        <v>7815032.8912469177</v>
      </c>
      <c r="D153" s="18">
        <v>8219707.4776499998</v>
      </c>
      <c r="E153" s="18">
        <v>9904446.7681788877</v>
      </c>
      <c r="F153" s="18">
        <v>12315245.348660003</v>
      </c>
      <c r="G153" s="18">
        <v>13176734.494004201</v>
      </c>
      <c r="H153" s="19">
        <v>0.13653610523152171</v>
      </c>
      <c r="I153" s="19">
        <v>6.9953063942647553E-2</v>
      </c>
      <c r="J153" s="19">
        <v>0.1071522499063895</v>
      </c>
    </row>
    <row r="154" spans="1:10" ht="11.25" customHeight="1" x14ac:dyDescent="0.2">
      <c r="A154" s="25" t="s">
        <v>25</v>
      </c>
      <c r="B154" s="18">
        <v>7371068.3700000001</v>
      </c>
      <c r="C154" s="18">
        <v>7815032.8912469177</v>
      </c>
      <c r="D154" s="18">
        <v>8219707.4776499998</v>
      </c>
      <c r="E154" s="18">
        <v>9904446.7681788877</v>
      </c>
      <c r="F154" s="18">
        <v>12315245.348660003</v>
      </c>
      <c r="G154" s="18">
        <v>13176734.494004201</v>
      </c>
      <c r="H154" s="19">
        <v>0.13653610523152171</v>
      </c>
      <c r="I154" s="19">
        <v>6.9953063942647553E-2</v>
      </c>
      <c r="J154" s="19">
        <v>0.1071522499063895</v>
      </c>
    </row>
    <row r="155" spans="1:10" ht="11.25" customHeight="1" x14ac:dyDescent="0.2">
      <c r="A155" s="26" t="s">
        <v>25</v>
      </c>
      <c r="B155" s="18">
        <v>7371068.3700000001</v>
      </c>
      <c r="C155" s="18">
        <v>7815032.8912469177</v>
      </c>
      <c r="D155" s="18">
        <v>8219707.4776499998</v>
      </c>
      <c r="E155" s="18">
        <v>9904446.7681788877</v>
      </c>
      <c r="F155" s="18">
        <v>12315245.348660003</v>
      </c>
      <c r="G155" s="18">
        <v>13176734.494004201</v>
      </c>
      <c r="H155" s="19">
        <v>0.13653610523152171</v>
      </c>
      <c r="I155" s="19">
        <v>6.9953063942647553E-2</v>
      </c>
      <c r="J155" s="19">
        <v>0.1071522499063895</v>
      </c>
    </row>
    <row r="156" spans="1:10" ht="11.25" customHeight="1" x14ac:dyDescent="0.2">
      <c r="A156" s="27" t="s">
        <v>38</v>
      </c>
      <c r="B156" s="18">
        <v>0</v>
      </c>
      <c r="C156" s="18">
        <v>0</v>
      </c>
      <c r="D156" s="18">
        <v>4384410.7462499999</v>
      </c>
      <c r="E156" s="18">
        <v>5829741.6903559566</v>
      </c>
      <c r="F156" s="18">
        <v>11683770.067500003</v>
      </c>
      <c r="G156" s="18">
        <v>12501085.582123017</v>
      </c>
      <c r="H156" s="19">
        <v>0.32965226748934384</v>
      </c>
      <c r="I156" s="19">
        <v>6.9953063942647109E-2</v>
      </c>
      <c r="J156" s="19">
        <v>0.14081534711090393</v>
      </c>
    </row>
    <row r="157" spans="1:10" ht="11.25" customHeight="1" x14ac:dyDescent="0.2">
      <c r="A157" s="28">
        <v>44378</v>
      </c>
      <c r="B157" s="18">
        <v>0</v>
      </c>
      <c r="C157" s="18">
        <v>0</v>
      </c>
      <c r="D157" s="18">
        <v>457756.34129999997</v>
      </c>
      <c r="E157" s="18">
        <v>608656.75716717099</v>
      </c>
      <c r="F157" s="18">
        <v>1219849.1766000004</v>
      </c>
      <c r="G157" s="18">
        <v>1305181.3640510854</v>
      </c>
      <c r="H157" s="19">
        <v>0.32965226748934406</v>
      </c>
      <c r="I157" s="19">
        <v>6.9953063942646887E-2</v>
      </c>
      <c r="J157" s="19">
        <v>0.14081534711090371</v>
      </c>
    </row>
    <row r="158" spans="1:10" ht="11.25" customHeight="1" x14ac:dyDescent="0.2">
      <c r="A158" s="28">
        <v>44409</v>
      </c>
      <c r="B158" s="18">
        <v>0</v>
      </c>
      <c r="C158" s="18">
        <v>0</v>
      </c>
      <c r="D158" s="18">
        <v>466293.60473999992</v>
      </c>
      <c r="E158" s="18">
        <v>620008.34885832085</v>
      </c>
      <c r="F158" s="18">
        <v>1242599.65068</v>
      </c>
      <c r="G158" s="18">
        <v>1329523.3034991291</v>
      </c>
      <c r="H158" s="19">
        <v>0.32965226748934406</v>
      </c>
      <c r="I158" s="19">
        <v>6.9953063942647331E-2</v>
      </c>
      <c r="J158" s="19">
        <v>0.14081534711090415</v>
      </c>
    </row>
    <row r="159" spans="1:10" ht="11.25" customHeight="1" x14ac:dyDescent="0.2">
      <c r="A159" s="28">
        <v>44440</v>
      </c>
      <c r="B159" s="18">
        <v>0</v>
      </c>
      <c r="C159" s="18">
        <v>0</v>
      </c>
      <c r="D159" s="18">
        <v>484821.23700999992</v>
      </c>
      <c r="E159" s="18">
        <v>644643.65711733489</v>
      </c>
      <c r="F159" s="18">
        <v>1291972.8978200001</v>
      </c>
      <c r="G159" s="18">
        <v>1382350.3605533696</v>
      </c>
      <c r="H159" s="19">
        <v>0.32965226748934362</v>
      </c>
      <c r="I159" s="19">
        <v>6.9953063942647109E-2</v>
      </c>
      <c r="J159" s="19">
        <v>0.14081534711090393</v>
      </c>
    </row>
    <row r="160" spans="1:10" ht="11.25" customHeight="1" x14ac:dyDescent="0.2">
      <c r="A160" s="28">
        <v>44470</v>
      </c>
      <c r="B160" s="18">
        <v>0</v>
      </c>
      <c r="C160" s="18">
        <v>0</v>
      </c>
      <c r="D160" s="18">
        <v>476088.91514</v>
      </c>
      <c r="E160" s="18">
        <v>633032.70554244274</v>
      </c>
      <c r="F160" s="18">
        <v>1268702.6234800001</v>
      </c>
      <c r="G160" s="18">
        <v>1357452.2592245007</v>
      </c>
      <c r="H160" s="19">
        <v>0.32965226748934362</v>
      </c>
      <c r="I160" s="19">
        <v>6.9953063942647109E-2</v>
      </c>
      <c r="J160" s="19">
        <v>0.14081534711090393</v>
      </c>
    </row>
    <row r="161" spans="1:10" ht="11.25" customHeight="1" x14ac:dyDescent="0.2">
      <c r="A161" s="28">
        <v>44501</v>
      </c>
      <c r="B161" s="18">
        <v>0</v>
      </c>
      <c r="C161" s="18">
        <v>0</v>
      </c>
      <c r="D161" s="18">
        <v>369927.51335999998</v>
      </c>
      <c r="E161" s="18">
        <v>491874.9569458185</v>
      </c>
      <c r="F161" s="18">
        <v>985799.06352000008</v>
      </c>
      <c r="G161" s="18">
        <v>1054758.7284450163</v>
      </c>
      <c r="H161" s="19">
        <v>0.32965226748934384</v>
      </c>
      <c r="I161" s="19">
        <v>6.9953063942647109E-2</v>
      </c>
      <c r="J161" s="19">
        <v>0.14081534711090371</v>
      </c>
    </row>
    <row r="162" spans="1:10" ht="11.25" customHeight="1" x14ac:dyDescent="0.2">
      <c r="A162" s="28">
        <v>44531</v>
      </c>
      <c r="B162" s="18">
        <v>0</v>
      </c>
      <c r="C162" s="18">
        <v>0</v>
      </c>
      <c r="D162" s="18">
        <v>328219.68485000002</v>
      </c>
      <c r="E162" s="18">
        <v>436418.04819544032</v>
      </c>
      <c r="F162" s="18">
        <v>874654.21270000015</v>
      </c>
      <c r="G162" s="18">
        <v>935838.95476870891</v>
      </c>
      <c r="H162" s="19">
        <v>0.32965226748934362</v>
      </c>
      <c r="I162" s="19">
        <v>6.9953063942647109E-2</v>
      </c>
      <c r="J162" s="19">
        <v>0.14081534711090393</v>
      </c>
    </row>
    <row r="163" spans="1:10" ht="11.25" customHeight="1" x14ac:dyDescent="0.2">
      <c r="A163" s="28">
        <v>44562</v>
      </c>
      <c r="B163" s="18">
        <v>0</v>
      </c>
      <c r="C163" s="18">
        <v>0</v>
      </c>
      <c r="D163" s="18">
        <v>307044.34459999995</v>
      </c>
      <c r="E163" s="18">
        <v>408262.20901716943</v>
      </c>
      <c r="F163" s="18">
        <v>818225.23719999997</v>
      </c>
      <c r="G163" s="18">
        <v>875462.59953733918</v>
      </c>
      <c r="H163" s="19">
        <v>0.32965226748934384</v>
      </c>
      <c r="I163" s="19">
        <v>6.9953063942647109E-2</v>
      </c>
      <c r="J163" s="19">
        <v>0.14081534711090415</v>
      </c>
    </row>
    <row r="164" spans="1:10" ht="11.25" customHeight="1" x14ac:dyDescent="0.2">
      <c r="A164" s="28">
        <v>44593</v>
      </c>
      <c r="B164" s="18">
        <v>0</v>
      </c>
      <c r="C164" s="18">
        <v>0</v>
      </c>
      <c r="D164" s="18">
        <v>309477.05051999999</v>
      </c>
      <c r="E164" s="18">
        <v>411496.8619598322</v>
      </c>
      <c r="F164" s="18">
        <v>824708.01864000014</v>
      </c>
      <c r="G164" s="18">
        <v>882398.87140193779</v>
      </c>
      <c r="H164" s="19">
        <v>0.32965226748934384</v>
      </c>
      <c r="I164" s="19">
        <v>6.9953063942647109E-2</v>
      </c>
      <c r="J164" s="19">
        <v>0.14081534711090371</v>
      </c>
    </row>
    <row r="165" spans="1:10" ht="11.25" customHeight="1" x14ac:dyDescent="0.2">
      <c r="A165" s="28">
        <v>44621</v>
      </c>
      <c r="B165" s="18">
        <v>0</v>
      </c>
      <c r="C165" s="18">
        <v>0</v>
      </c>
      <c r="D165" s="18">
        <v>321072.63835000002</v>
      </c>
      <c r="E165" s="18">
        <v>426914.96161086351</v>
      </c>
      <c r="F165" s="18">
        <v>855608.44970000011</v>
      </c>
      <c r="G165" s="18">
        <v>915460.8822917334</v>
      </c>
      <c r="H165" s="19">
        <v>0.32965226748934362</v>
      </c>
      <c r="I165" s="19">
        <v>6.9953063942647109E-2</v>
      </c>
      <c r="J165" s="19">
        <v>0.14081534711090393</v>
      </c>
    </row>
    <row r="166" spans="1:10" ht="11.25" customHeight="1" x14ac:dyDescent="0.2">
      <c r="A166" s="28">
        <v>44652</v>
      </c>
      <c r="B166" s="18">
        <v>0</v>
      </c>
      <c r="C166" s="18">
        <v>0</v>
      </c>
      <c r="D166" s="18">
        <v>307845.84226</v>
      </c>
      <c r="E166" s="18">
        <v>409327.92219817586</v>
      </c>
      <c r="F166" s="18">
        <v>820361.10332000011</v>
      </c>
      <c r="G166" s="18">
        <v>877747.87603660463</v>
      </c>
      <c r="H166" s="19">
        <v>0.32965226748934384</v>
      </c>
      <c r="I166" s="19">
        <v>6.9953063942647109E-2</v>
      </c>
      <c r="J166" s="19">
        <v>0.14081534711090393</v>
      </c>
    </row>
    <row r="167" spans="1:10" ht="11.25" customHeight="1" x14ac:dyDescent="0.2">
      <c r="A167" s="28">
        <v>44682</v>
      </c>
      <c r="B167" s="18">
        <v>0</v>
      </c>
      <c r="C167" s="18">
        <v>0</v>
      </c>
      <c r="D167" s="18">
        <v>266636.46551999997</v>
      </c>
      <c r="E167" s="18">
        <v>354533.78097401228</v>
      </c>
      <c r="F167" s="18">
        <v>710544.54864000017</v>
      </c>
      <c r="G167" s="18">
        <v>760249.31688511348</v>
      </c>
      <c r="H167" s="19">
        <v>0.32965226748934406</v>
      </c>
      <c r="I167" s="19">
        <v>6.9953063942647109E-2</v>
      </c>
      <c r="J167" s="19">
        <v>0.14081534711090415</v>
      </c>
    </row>
    <row r="168" spans="1:10" ht="11.25" customHeight="1" x14ac:dyDescent="0.2">
      <c r="A168" s="28">
        <v>44713</v>
      </c>
      <c r="B168" s="18">
        <v>0</v>
      </c>
      <c r="C168" s="18">
        <v>0</v>
      </c>
      <c r="D168" s="18">
        <v>289227.10859999998</v>
      </c>
      <c r="E168" s="18">
        <v>384571.48076937662</v>
      </c>
      <c r="F168" s="18">
        <v>770745.08519999997</v>
      </c>
      <c r="G168" s="18">
        <v>824661.06542847666</v>
      </c>
      <c r="H168" s="19">
        <v>0.32965226748934362</v>
      </c>
      <c r="I168" s="19">
        <v>6.9953063942647331E-2</v>
      </c>
      <c r="J168" s="19">
        <v>0.14081534711090393</v>
      </c>
    </row>
    <row r="169" spans="1:10" ht="11.25" customHeight="1" x14ac:dyDescent="0.2">
      <c r="A169" s="27" t="s">
        <v>25</v>
      </c>
      <c r="B169" s="18">
        <v>7371068.3700000001</v>
      </c>
      <c r="C169" s="18">
        <v>7815032.8912469177</v>
      </c>
      <c r="D169" s="18">
        <v>0</v>
      </c>
      <c r="E169" s="18">
        <v>0</v>
      </c>
      <c r="F169" s="18">
        <v>0</v>
      </c>
      <c r="G169" s="18">
        <v>0</v>
      </c>
      <c r="H169" s="19">
        <v>6.0230688274964139E-2</v>
      </c>
      <c r="I169" s="19">
        <v>0</v>
      </c>
      <c r="J169" s="19">
        <v>6.0230688274964139E-2</v>
      </c>
    </row>
    <row r="170" spans="1:10" ht="11.25" customHeight="1" x14ac:dyDescent="0.2">
      <c r="A170" s="28">
        <v>44378</v>
      </c>
      <c r="B170" s="18">
        <v>684554.86</v>
      </c>
      <c r="C170" s="18">
        <v>725786.07037977176</v>
      </c>
      <c r="D170" s="18">
        <v>0</v>
      </c>
      <c r="E170" s="18">
        <v>0</v>
      </c>
      <c r="F170" s="18">
        <v>0</v>
      </c>
      <c r="G170" s="18">
        <v>0</v>
      </c>
      <c r="H170" s="19">
        <v>6.0230688274964139E-2</v>
      </c>
      <c r="I170" s="19">
        <v>0</v>
      </c>
      <c r="J170" s="19">
        <v>6.0230688274964139E-2</v>
      </c>
    </row>
    <row r="171" spans="1:10" ht="11.25" customHeight="1" x14ac:dyDescent="0.2">
      <c r="A171" s="28">
        <v>44409</v>
      </c>
      <c r="B171" s="18">
        <v>679608.73</v>
      </c>
      <c r="C171" s="18">
        <v>720542.03156557423</v>
      </c>
      <c r="D171" s="18">
        <v>0</v>
      </c>
      <c r="E171" s="18">
        <v>0</v>
      </c>
      <c r="F171" s="18">
        <v>0</v>
      </c>
      <c r="G171" s="18">
        <v>0</v>
      </c>
      <c r="H171" s="19">
        <v>6.0230688274964139E-2</v>
      </c>
      <c r="I171" s="19">
        <v>0</v>
      </c>
      <c r="J171" s="19">
        <v>6.0230688274964139E-2</v>
      </c>
    </row>
    <row r="172" spans="1:10" ht="11.25" customHeight="1" x14ac:dyDescent="0.2">
      <c r="A172" s="28">
        <v>44440</v>
      </c>
      <c r="B172" s="18">
        <v>694996.69000000006</v>
      </c>
      <c r="C172" s="18">
        <v>736856.81898752193</v>
      </c>
      <c r="D172" s="18">
        <v>0</v>
      </c>
      <c r="E172" s="18">
        <v>0</v>
      </c>
      <c r="F172" s="18">
        <v>0</v>
      </c>
      <c r="G172" s="18">
        <v>0</v>
      </c>
      <c r="H172" s="19">
        <v>6.0230688274964139E-2</v>
      </c>
      <c r="I172" s="19">
        <v>0</v>
      </c>
      <c r="J172" s="19">
        <v>6.0230688274964139E-2</v>
      </c>
    </row>
    <row r="173" spans="1:10" ht="11.25" customHeight="1" x14ac:dyDescent="0.2">
      <c r="A173" s="28">
        <v>44470</v>
      </c>
      <c r="B173" s="18">
        <v>699105.38</v>
      </c>
      <c r="C173" s="18">
        <v>741212.97821413039</v>
      </c>
      <c r="D173" s="18">
        <v>0</v>
      </c>
      <c r="E173" s="18">
        <v>0</v>
      </c>
      <c r="F173" s="18">
        <v>0</v>
      </c>
      <c r="G173" s="18">
        <v>0</v>
      </c>
      <c r="H173" s="19">
        <v>6.0230688274964139E-2</v>
      </c>
      <c r="I173" s="19">
        <v>0</v>
      </c>
      <c r="J173" s="19">
        <v>6.0230688274964139E-2</v>
      </c>
    </row>
    <row r="174" spans="1:10" ht="11.25" customHeight="1" x14ac:dyDescent="0.2">
      <c r="A174" s="28">
        <v>44501</v>
      </c>
      <c r="B174" s="18">
        <v>602119.36</v>
      </c>
      <c r="C174" s="18">
        <v>638385.42347648088</v>
      </c>
      <c r="D174" s="18">
        <v>0</v>
      </c>
      <c r="E174" s="18">
        <v>0</v>
      </c>
      <c r="F174" s="18">
        <v>0</v>
      </c>
      <c r="G174" s="18">
        <v>0</v>
      </c>
      <c r="H174" s="19">
        <v>6.0230688274964139E-2</v>
      </c>
      <c r="I174" s="19">
        <v>0</v>
      </c>
      <c r="J174" s="19">
        <v>6.0230688274964139E-2</v>
      </c>
    </row>
    <row r="175" spans="1:10" ht="11.25" customHeight="1" x14ac:dyDescent="0.2">
      <c r="A175" s="28">
        <v>44531</v>
      </c>
      <c r="B175" s="18">
        <v>558232.27</v>
      </c>
      <c r="C175" s="18">
        <v>591854.98383939557</v>
      </c>
      <c r="D175" s="18">
        <v>0</v>
      </c>
      <c r="E175" s="18">
        <v>0</v>
      </c>
      <c r="F175" s="18">
        <v>0</v>
      </c>
      <c r="G175" s="18">
        <v>0</v>
      </c>
      <c r="H175" s="19">
        <v>6.0230688274963917E-2</v>
      </c>
      <c r="I175" s="19">
        <v>0</v>
      </c>
      <c r="J175" s="19">
        <v>6.0230688274963917E-2</v>
      </c>
    </row>
    <row r="176" spans="1:10" ht="11.25" customHeight="1" x14ac:dyDescent="0.2">
      <c r="A176" s="28">
        <v>44562</v>
      </c>
      <c r="B176" s="18">
        <v>596257.28000000003</v>
      </c>
      <c r="C176" s="18">
        <v>632170.26636335801</v>
      </c>
      <c r="D176" s="18">
        <v>0</v>
      </c>
      <c r="E176" s="18">
        <v>0</v>
      </c>
      <c r="F176" s="18">
        <v>0</v>
      </c>
      <c r="G176" s="18">
        <v>0</v>
      </c>
      <c r="H176" s="19">
        <v>6.0230688274964139E-2</v>
      </c>
      <c r="I176" s="19">
        <v>0</v>
      </c>
      <c r="J176" s="19">
        <v>6.0230688274964139E-2</v>
      </c>
    </row>
    <row r="177" spans="1:10" ht="11.25" customHeight="1" x14ac:dyDescent="0.2">
      <c r="A177" s="28">
        <v>44593</v>
      </c>
      <c r="B177" s="18">
        <v>596754.51000000013</v>
      </c>
      <c r="C177" s="18">
        <v>632697.44486848894</v>
      </c>
      <c r="D177" s="18">
        <v>0</v>
      </c>
      <c r="E177" s="18">
        <v>0</v>
      </c>
      <c r="F177" s="18">
        <v>0</v>
      </c>
      <c r="G177" s="18">
        <v>0</v>
      </c>
      <c r="H177" s="19">
        <v>6.0230688274963917E-2</v>
      </c>
      <c r="I177" s="19">
        <v>0</v>
      </c>
      <c r="J177" s="19">
        <v>6.0230688274963917E-2</v>
      </c>
    </row>
    <row r="178" spans="1:10" ht="11.25" customHeight="1" x14ac:dyDescent="0.2">
      <c r="A178" s="28">
        <v>44621</v>
      </c>
      <c r="B178" s="18">
        <v>607013.15</v>
      </c>
      <c r="C178" s="18">
        <v>643573.96981645399</v>
      </c>
      <c r="D178" s="18">
        <v>0</v>
      </c>
      <c r="E178" s="18">
        <v>0</v>
      </c>
      <c r="F178" s="18">
        <v>0</v>
      </c>
      <c r="G178" s="18">
        <v>0</v>
      </c>
      <c r="H178" s="19">
        <v>6.0230688274963917E-2</v>
      </c>
      <c r="I178" s="19">
        <v>0</v>
      </c>
      <c r="J178" s="19">
        <v>6.0230688274963917E-2</v>
      </c>
    </row>
    <row r="179" spans="1:10" ht="11.25" customHeight="1" x14ac:dyDescent="0.2">
      <c r="A179" s="28">
        <v>44652</v>
      </c>
      <c r="B179" s="18">
        <v>564094.35000000009</v>
      </c>
      <c r="C179" s="18">
        <v>598070.14095251844</v>
      </c>
      <c r="D179" s="18">
        <v>0</v>
      </c>
      <c r="E179" s="18">
        <v>0</v>
      </c>
      <c r="F179" s="18">
        <v>0</v>
      </c>
      <c r="G179" s="18">
        <v>0</v>
      </c>
      <c r="H179" s="19">
        <v>6.0230688274963917E-2</v>
      </c>
      <c r="I179" s="19">
        <v>0</v>
      </c>
      <c r="J179" s="19">
        <v>6.0230688274963917E-2</v>
      </c>
    </row>
    <row r="180" spans="1:10" ht="11.25" customHeight="1" x14ac:dyDescent="0.2">
      <c r="A180" s="28">
        <v>44682</v>
      </c>
      <c r="B180" s="18">
        <v>542399.42000000004</v>
      </c>
      <c r="C180" s="18">
        <v>575068.51038654137</v>
      </c>
      <c r="D180" s="18">
        <v>0</v>
      </c>
      <c r="E180" s="18">
        <v>0</v>
      </c>
      <c r="F180" s="18">
        <v>0</v>
      </c>
      <c r="G180" s="18">
        <v>0</v>
      </c>
      <c r="H180" s="19">
        <v>6.0230688274964139E-2</v>
      </c>
      <c r="I180" s="19">
        <v>0</v>
      </c>
      <c r="J180" s="19">
        <v>6.0230688274964139E-2</v>
      </c>
    </row>
    <row r="181" spans="1:10" ht="11.25" customHeight="1" x14ac:dyDescent="0.2">
      <c r="A181" s="28">
        <v>44713</v>
      </c>
      <c r="B181" s="18">
        <v>545932.37000000011</v>
      </c>
      <c r="C181" s="18">
        <v>578814.25239668239</v>
      </c>
      <c r="D181" s="18">
        <v>0</v>
      </c>
      <c r="E181" s="18">
        <v>0</v>
      </c>
      <c r="F181" s="18">
        <v>0</v>
      </c>
      <c r="G181" s="18">
        <v>0</v>
      </c>
      <c r="H181" s="19">
        <v>6.0230688274963917E-2</v>
      </c>
      <c r="I181" s="19">
        <v>0</v>
      </c>
      <c r="J181" s="19">
        <v>6.0230688274963917E-2</v>
      </c>
    </row>
    <row r="182" spans="1:10" ht="11.25" customHeight="1" x14ac:dyDescent="0.2">
      <c r="A182" s="27" t="s">
        <v>37</v>
      </c>
      <c r="B182" s="18">
        <v>0</v>
      </c>
      <c r="C182" s="18">
        <v>0</v>
      </c>
      <c r="D182" s="18">
        <v>3835296.7313999999</v>
      </c>
      <c r="E182" s="18">
        <v>4074705.0778229297</v>
      </c>
      <c r="F182" s="18">
        <v>631475.28116000001</v>
      </c>
      <c r="G182" s="18">
        <v>675648.91188118677</v>
      </c>
      <c r="H182" s="19">
        <v>6.2422379072489598E-2</v>
      </c>
      <c r="I182" s="19">
        <v>6.9953063942647331E-2</v>
      </c>
      <c r="J182" s="19">
        <v>6.3487005010938624E-2</v>
      </c>
    </row>
    <row r="183" spans="1:10" ht="11.25" customHeight="1" x14ac:dyDescent="0.2">
      <c r="A183" s="28">
        <v>44378</v>
      </c>
      <c r="B183" s="18">
        <v>0</v>
      </c>
      <c r="C183" s="18">
        <v>0</v>
      </c>
      <c r="D183" s="18">
        <v>496042.18680000002</v>
      </c>
      <c r="E183" s="18">
        <v>527006.32022037625</v>
      </c>
      <c r="F183" s="18">
        <v>81672.527919999993</v>
      </c>
      <c r="G183" s="18">
        <v>87385.7714879454</v>
      </c>
      <c r="H183" s="19">
        <v>6.2422379072489376E-2</v>
      </c>
      <c r="I183" s="19">
        <v>6.9953063942647331E-2</v>
      </c>
      <c r="J183" s="19">
        <v>6.3487005010938402E-2</v>
      </c>
    </row>
    <row r="184" spans="1:10" ht="11.25" customHeight="1" x14ac:dyDescent="0.2">
      <c r="A184" s="28">
        <v>44409</v>
      </c>
      <c r="B184" s="18">
        <v>0</v>
      </c>
      <c r="C184" s="18">
        <v>0</v>
      </c>
      <c r="D184" s="18">
        <v>478917.50459999999</v>
      </c>
      <c r="E184" s="18">
        <v>508812.67461659195</v>
      </c>
      <c r="F184" s="18">
        <v>78852.977240000007</v>
      </c>
      <c r="G184" s="18">
        <v>84368.984598937823</v>
      </c>
      <c r="H184" s="19">
        <v>6.2422379072489598E-2</v>
      </c>
      <c r="I184" s="19">
        <v>6.9953063942647109E-2</v>
      </c>
      <c r="J184" s="19">
        <v>6.3487005010938624E-2</v>
      </c>
    </row>
    <row r="185" spans="1:10" ht="11.25" customHeight="1" x14ac:dyDescent="0.2">
      <c r="A185" s="28">
        <v>44440</v>
      </c>
      <c r="B185" s="18">
        <v>0</v>
      </c>
      <c r="C185" s="18">
        <v>0</v>
      </c>
      <c r="D185" s="18">
        <v>461363.18699999998</v>
      </c>
      <c r="E185" s="18">
        <v>490162.57474900584</v>
      </c>
      <c r="F185" s="18">
        <v>75962.6878</v>
      </c>
      <c r="G185" s="18">
        <v>81276.510556928755</v>
      </c>
      <c r="H185" s="19">
        <v>6.2422379072489598E-2</v>
      </c>
      <c r="I185" s="19">
        <v>6.9953063942647331E-2</v>
      </c>
      <c r="J185" s="19">
        <v>6.3487005010938624E-2</v>
      </c>
    </row>
    <row r="186" spans="1:10" ht="11.25" customHeight="1" x14ac:dyDescent="0.2">
      <c r="A186" s="28">
        <v>44470</v>
      </c>
      <c r="B186" s="18">
        <v>0</v>
      </c>
      <c r="C186" s="18">
        <v>0</v>
      </c>
      <c r="D186" s="18">
        <v>429040.43369999999</v>
      </c>
      <c r="E186" s="18">
        <v>455822.15828984667</v>
      </c>
      <c r="F186" s="18">
        <v>70640.799780000001</v>
      </c>
      <c r="G186" s="18">
        <v>75582.340163970075</v>
      </c>
      <c r="H186" s="19">
        <v>6.2422379072489376E-2</v>
      </c>
      <c r="I186" s="19">
        <v>6.9953063942647109E-2</v>
      </c>
      <c r="J186" s="19">
        <v>6.3487005010938624E-2</v>
      </c>
    </row>
    <row r="187" spans="1:10" ht="11.25" customHeight="1" x14ac:dyDescent="0.2">
      <c r="A187" s="28">
        <v>44501</v>
      </c>
      <c r="B187" s="18">
        <v>0</v>
      </c>
      <c r="C187" s="18">
        <v>0</v>
      </c>
      <c r="D187" s="18">
        <v>216773.55330000003</v>
      </c>
      <c r="E187" s="18">
        <v>230305.07421698314</v>
      </c>
      <c r="F187" s="18">
        <v>35691.408020000003</v>
      </c>
      <c r="G187" s="18">
        <v>38188.131367426176</v>
      </c>
      <c r="H187" s="19">
        <v>6.2422379072489598E-2</v>
      </c>
      <c r="I187" s="19">
        <v>6.9953063942647331E-2</v>
      </c>
      <c r="J187" s="19">
        <v>6.3487005010938624E-2</v>
      </c>
    </row>
    <row r="188" spans="1:10" ht="11.25" customHeight="1" x14ac:dyDescent="0.2">
      <c r="A188" s="28">
        <v>44531</v>
      </c>
      <c r="B188" s="18">
        <v>0</v>
      </c>
      <c r="C188" s="18">
        <v>0</v>
      </c>
      <c r="D188" s="18">
        <v>206881.8168</v>
      </c>
      <c r="E188" s="18">
        <v>219795.8719914949</v>
      </c>
      <c r="F188" s="18">
        <v>34062.749920000002</v>
      </c>
      <c r="G188" s="18">
        <v>36445.543643216159</v>
      </c>
      <c r="H188" s="19">
        <v>6.2422379072489376E-2</v>
      </c>
      <c r="I188" s="19">
        <v>6.9953063942647109E-2</v>
      </c>
      <c r="J188" s="19">
        <v>6.3487005010938624E-2</v>
      </c>
    </row>
    <row r="189" spans="1:10" ht="11.25" customHeight="1" x14ac:dyDescent="0.2">
      <c r="A189" s="28">
        <v>44562</v>
      </c>
      <c r="B189" s="18">
        <v>0</v>
      </c>
      <c r="C189" s="18">
        <v>0</v>
      </c>
      <c r="D189" s="18">
        <v>222962.77740000002</v>
      </c>
      <c r="E189" s="18">
        <v>236880.64440991794</v>
      </c>
      <c r="F189" s="18">
        <v>36710.453560000009</v>
      </c>
      <c r="G189" s="18">
        <v>39278.462265246271</v>
      </c>
      <c r="H189" s="19">
        <v>6.2422379072489598E-2</v>
      </c>
      <c r="I189" s="19">
        <v>6.9953063942647331E-2</v>
      </c>
      <c r="J189" s="19">
        <v>6.3487005010938846E-2</v>
      </c>
    </row>
    <row r="190" spans="1:10" ht="11.25" customHeight="1" x14ac:dyDescent="0.2">
      <c r="A190" s="28">
        <v>44593</v>
      </c>
      <c r="B190" s="18">
        <v>0</v>
      </c>
      <c r="C190" s="18">
        <v>0</v>
      </c>
      <c r="D190" s="18">
        <v>215178.72870000004</v>
      </c>
      <c r="E190" s="18">
        <v>228610.69687124778</v>
      </c>
      <c r="F190" s="18">
        <v>35428.822779999995</v>
      </c>
      <c r="G190" s="18">
        <v>37907.177485342057</v>
      </c>
      <c r="H190" s="19">
        <v>6.2422379072489376E-2</v>
      </c>
      <c r="I190" s="19">
        <v>6.9953063942647331E-2</v>
      </c>
      <c r="J190" s="19">
        <v>6.3487005010938624E-2</v>
      </c>
    </row>
    <row r="191" spans="1:10" ht="11.25" customHeight="1" x14ac:dyDescent="0.2">
      <c r="A191" s="28">
        <v>44621</v>
      </c>
      <c r="B191" s="18">
        <v>0</v>
      </c>
      <c r="C191" s="18">
        <v>0</v>
      </c>
      <c r="D191" s="18">
        <v>209933.12790000002</v>
      </c>
      <c r="E191" s="18">
        <v>223037.65318964722</v>
      </c>
      <c r="F191" s="18">
        <v>34565.143260000004</v>
      </c>
      <c r="G191" s="18">
        <v>36983.08093665354</v>
      </c>
      <c r="H191" s="19">
        <v>6.2422379072489376E-2</v>
      </c>
      <c r="I191" s="19">
        <v>6.9953063942647109E-2</v>
      </c>
      <c r="J191" s="19">
        <v>6.3487005010938402E-2</v>
      </c>
    </row>
    <row r="192" spans="1:10" ht="11.25" customHeight="1" x14ac:dyDescent="0.2">
      <c r="A192" s="28">
        <v>44652</v>
      </c>
      <c r="B192" s="18">
        <v>0</v>
      </c>
      <c r="C192" s="18">
        <v>0</v>
      </c>
      <c r="D192" s="18">
        <v>323553.696</v>
      </c>
      <c r="E192" s="18">
        <v>343750.68746201706</v>
      </c>
      <c r="F192" s="18">
        <v>53272.582399999999</v>
      </c>
      <c r="G192" s="18">
        <v>56999.162763017135</v>
      </c>
      <c r="H192" s="19">
        <v>6.2422379072489598E-2</v>
      </c>
      <c r="I192" s="19">
        <v>6.9953063942647109E-2</v>
      </c>
      <c r="J192" s="19">
        <v>6.3487005010938624E-2</v>
      </c>
    </row>
    <row r="193" spans="1:10" ht="11.25" customHeight="1" x14ac:dyDescent="0.2">
      <c r="A193" s="28">
        <v>44682</v>
      </c>
      <c r="B193" s="18">
        <v>0</v>
      </c>
      <c r="C193" s="18">
        <v>0</v>
      </c>
      <c r="D193" s="18">
        <v>282947.52720000001</v>
      </c>
      <c r="E193" s="18">
        <v>300609.7850005019</v>
      </c>
      <c r="F193" s="18">
        <v>46586.843680000005</v>
      </c>
      <c r="G193" s="18">
        <v>49845.736134833147</v>
      </c>
      <c r="H193" s="19">
        <v>6.2422379072489376E-2</v>
      </c>
      <c r="I193" s="19">
        <v>6.9953063942647109E-2</v>
      </c>
      <c r="J193" s="19">
        <v>6.3487005010938402E-2</v>
      </c>
    </row>
    <row r="194" spans="1:10" ht="11.25" customHeight="1" x14ac:dyDescent="0.2">
      <c r="A194" s="28">
        <v>44713</v>
      </c>
      <c r="B194" s="18">
        <v>0</v>
      </c>
      <c r="C194" s="18">
        <v>0</v>
      </c>
      <c r="D194" s="18">
        <v>291702.19200000004</v>
      </c>
      <c r="E194" s="18">
        <v>309910.93680530012</v>
      </c>
      <c r="F194" s="18">
        <v>48028.284800000001</v>
      </c>
      <c r="G194" s="18">
        <v>51388.010477670068</v>
      </c>
      <c r="H194" s="19">
        <v>6.2422379072489376E-2</v>
      </c>
      <c r="I194" s="19">
        <v>6.9953063942647109E-2</v>
      </c>
      <c r="J194" s="19">
        <v>6.3487005010938402E-2</v>
      </c>
    </row>
    <row r="195" spans="1:10" ht="11.25" customHeight="1" x14ac:dyDescent="0.2">
      <c r="A195" s="23" t="s">
        <v>43</v>
      </c>
      <c r="B195" s="18">
        <v>100571.31000000001</v>
      </c>
      <c r="C195" s="18">
        <v>106628.78922201476</v>
      </c>
      <c r="D195" s="18">
        <v>23265.375700000004</v>
      </c>
      <c r="E195" s="18">
        <v>28125.586404915208</v>
      </c>
      <c r="F195" s="18">
        <v>35715.111060000003</v>
      </c>
      <c r="G195" s="18">
        <v>38213.492507698931</v>
      </c>
      <c r="H195" s="19">
        <v>8.8162000341147628E-2</v>
      </c>
      <c r="I195" s="19">
        <v>6.9953063942647331E-2</v>
      </c>
      <c r="J195" s="19">
        <v>8.4085993683979288E-2</v>
      </c>
    </row>
    <row r="196" spans="1:10" ht="11.25" customHeight="1" x14ac:dyDescent="0.2">
      <c r="A196" s="24" t="s">
        <v>25</v>
      </c>
      <c r="B196" s="18">
        <v>100571.31000000001</v>
      </c>
      <c r="C196" s="18">
        <v>106628.78922201476</v>
      </c>
      <c r="D196" s="18">
        <v>23265.375700000004</v>
      </c>
      <c r="E196" s="18">
        <v>28125.586404915208</v>
      </c>
      <c r="F196" s="18">
        <v>35715.111060000003</v>
      </c>
      <c r="G196" s="18">
        <v>38213.492507698931</v>
      </c>
      <c r="H196" s="19">
        <v>8.8162000341147628E-2</v>
      </c>
      <c r="I196" s="19">
        <v>6.9953063942647331E-2</v>
      </c>
      <c r="J196" s="19">
        <v>8.4085993683979288E-2</v>
      </c>
    </row>
    <row r="197" spans="1:10" ht="11.25" customHeight="1" x14ac:dyDescent="0.2">
      <c r="A197" s="25" t="s">
        <v>25</v>
      </c>
      <c r="B197" s="18">
        <v>100571.31000000001</v>
      </c>
      <c r="C197" s="18">
        <v>106628.78922201476</v>
      </c>
      <c r="D197" s="18">
        <v>23265.375700000004</v>
      </c>
      <c r="E197" s="18">
        <v>28125.586404915208</v>
      </c>
      <c r="F197" s="18">
        <v>35715.111060000003</v>
      </c>
      <c r="G197" s="18">
        <v>38213.492507698931</v>
      </c>
      <c r="H197" s="19">
        <v>8.8162000341147628E-2</v>
      </c>
      <c r="I197" s="19">
        <v>6.9953063942647331E-2</v>
      </c>
      <c r="J197" s="19">
        <v>8.4085993683979288E-2</v>
      </c>
    </row>
    <row r="198" spans="1:10" ht="11.25" customHeight="1" x14ac:dyDescent="0.2">
      <c r="A198" s="26" t="s">
        <v>25</v>
      </c>
      <c r="B198" s="18">
        <v>100571.31000000001</v>
      </c>
      <c r="C198" s="18">
        <v>106628.78922201476</v>
      </c>
      <c r="D198" s="18">
        <v>23265.375700000004</v>
      </c>
      <c r="E198" s="18">
        <v>28125.586404915208</v>
      </c>
      <c r="F198" s="18">
        <v>35715.111060000003</v>
      </c>
      <c r="G198" s="18">
        <v>38213.492507698931</v>
      </c>
      <c r="H198" s="19">
        <v>8.8162000341147628E-2</v>
      </c>
      <c r="I198" s="19">
        <v>6.9953063942647331E-2</v>
      </c>
      <c r="J198" s="19">
        <v>8.4085993683979288E-2</v>
      </c>
    </row>
    <row r="199" spans="1:10" ht="11.25" customHeight="1" x14ac:dyDescent="0.2">
      <c r="A199" s="27" t="s">
        <v>38</v>
      </c>
      <c r="B199" s="18">
        <v>0</v>
      </c>
      <c r="C199" s="18">
        <v>0</v>
      </c>
      <c r="D199" s="18">
        <v>12752.804799999998</v>
      </c>
      <c r="E199" s="18">
        <v>16956.795819168987</v>
      </c>
      <c r="F199" s="18">
        <v>33984.2336</v>
      </c>
      <c r="G199" s="18">
        <v>36361.534866062662</v>
      </c>
      <c r="H199" s="19">
        <v>0.32965226748934384</v>
      </c>
      <c r="I199" s="19">
        <v>6.9953063942647553E-2</v>
      </c>
      <c r="J199" s="19">
        <v>0.14081534711090438</v>
      </c>
    </row>
    <row r="200" spans="1:10" ht="11.25" customHeight="1" x14ac:dyDescent="0.2">
      <c r="A200" s="28">
        <v>44378</v>
      </c>
      <c r="B200" s="18">
        <v>0</v>
      </c>
      <c r="C200" s="18">
        <v>0</v>
      </c>
      <c r="D200" s="18">
        <v>1347.55008</v>
      </c>
      <c r="E200" s="18">
        <v>1791.7730194274463</v>
      </c>
      <c r="F200" s="18">
        <v>3591.0105600000002</v>
      </c>
      <c r="G200" s="18">
        <v>3842.2127513224013</v>
      </c>
      <c r="H200" s="19">
        <v>0.32965226748934362</v>
      </c>
      <c r="I200" s="19">
        <v>6.9953063942647109E-2</v>
      </c>
      <c r="J200" s="19">
        <v>0.14081534711090393</v>
      </c>
    </row>
    <row r="201" spans="1:10" ht="11.25" customHeight="1" x14ac:dyDescent="0.2">
      <c r="A201" s="28">
        <v>44409</v>
      </c>
      <c r="B201" s="18">
        <v>0</v>
      </c>
      <c r="C201" s="18">
        <v>0</v>
      </c>
      <c r="D201" s="18">
        <v>1441.4310699999999</v>
      </c>
      <c r="E201" s="18">
        <v>1916.6020906550907</v>
      </c>
      <c r="F201" s="18">
        <v>3841.1887400000001</v>
      </c>
      <c r="G201" s="18">
        <v>4109.8916615449962</v>
      </c>
      <c r="H201" s="19">
        <v>0.32965226748934362</v>
      </c>
      <c r="I201" s="19">
        <v>6.9953063942647109E-2</v>
      </c>
      <c r="J201" s="19">
        <v>0.14081534711090393</v>
      </c>
    </row>
    <row r="202" spans="1:10" ht="11.25" customHeight="1" x14ac:dyDescent="0.2">
      <c r="A202" s="28">
        <v>44440</v>
      </c>
      <c r="B202" s="18">
        <v>0</v>
      </c>
      <c r="C202" s="18">
        <v>0</v>
      </c>
      <c r="D202" s="18">
        <v>1432.1888999999999</v>
      </c>
      <c r="E202" s="18">
        <v>1904.313218358069</v>
      </c>
      <c r="F202" s="18">
        <v>3816.5598</v>
      </c>
      <c r="G202" s="18">
        <v>4083.539851730337</v>
      </c>
      <c r="H202" s="19">
        <v>0.32965226748934384</v>
      </c>
      <c r="I202" s="19">
        <v>6.9953063942647331E-2</v>
      </c>
      <c r="J202" s="19">
        <v>0.14081534711090393</v>
      </c>
    </row>
    <row r="203" spans="1:10" ht="11.25" customHeight="1" x14ac:dyDescent="0.2">
      <c r="A203" s="28">
        <v>44470</v>
      </c>
      <c r="B203" s="18">
        <v>0</v>
      </c>
      <c r="C203" s="18">
        <v>0</v>
      </c>
      <c r="D203" s="18">
        <v>1163.40158</v>
      </c>
      <c r="E203" s="18">
        <v>1546.9195488476853</v>
      </c>
      <c r="F203" s="18">
        <v>3100.2835600000003</v>
      </c>
      <c r="G203" s="18">
        <v>3317.1578941130183</v>
      </c>
      <c r="H203" s="19">
        <v>0.32965226748934384</v>
      </c>
      <c r="I203" s="19">
        <v>6.9953063942647331E-2</v>
      </c>
      <c r="J203" s="19">
        <v>0.14081534711090393</v>
      </c>
    </row>
    <row r="204" spans="1:10" ht="11.25" customHeight="1" x14ac:dyDescent="0.2">
      <c r="A204" s="28">
        <v>44501</v>
      </c>
      <c r="B204" s="18">
        <v>0</v>
      </c>
      <c r="C204" s="18">
        <v>0</v>
      </c>
      <c r="D204" s="18">
        <v>1351.3025399999999</v>
      </c>
      <c r="E204" s="18">
        <v>1796.7624863751098</v>
      </c>
      <c r="F204" s="18">
        <v>3601.0102800000004</v>
      </c>
      <c r="G204" s="18">
        <v>3852.9119823749702</v>
      </c>
      <c r="H204" s="19">
        <v>0.32965226748934406</v>
      </c>
      <c r="I204" s="19">
        <v>6.9953063942647109E-2</v>
      </c>
      <c r="J204" s="19">
        <v>0.14081534711090393</v>
      </c>
    </row>
    <row r="205" spans="1:10" ht="11.25" customHeight="1" x14ac:dyDescent="0.2">
      <c r="A205" s="28">
        <v>44531</v>
      </c>
      <c r="B205" s="18">
        <v>0</v>
      </c>
      <c r="C205" s="18">
        <v>0</v>
      </c>
      <c r="D205" s="18">
        <v>1491.60285</v>
      </c>
      <c r="E205" s="18">
        <v>1983.3131116960674</v>
      </c>
      <c r="F205" s="18">
        <v>3974.8887</v>
      </c>
      <c r="G205" s="18">
        <v>4252.9443433960059</v>
      </c>
      <c r="H205" s="19">
        <v>0.32965226748934362</v>
      </c>
      <c r="I205" s="19">
        <v>6.9953063942647331E-2</v>
      </c>
      <c r="J205" s="19">
        <v>0.14081534711090393</v>
      </c>
    </row>
    <row r="206" spans="1:10" ht="11.25" customHeight="1" x14ac:dyDescent="0.2">
      <c r="A206" s="28">
        <v>44562</v>
      </c>
      <c r="B206" s="18">
        <v>0</v>
      </c>
      <c r="C206" s="18">
        <v>0</v>
      </c>
      <c r="D206" s="18">
        <v>1411.8978199999999</v>
      </c>
      <c r="E206" s="18">
        <v>1877.3331378262615</v>
      </c>
      <c r="F206" s="18">
        <v>3762.4872400000004</v>
      </c>
      <c r="G206" s="18">
        <v>4025.6847504831144</v>
      </c>
      <c r="H206" s="19">
        <v>0.32965226748934384</v>
      </c>
      <c r="I206" s="19">
        <v>6.9953063942647109E-2</v>
      </c>
      <c r="J206" s="19">
        <v>0.14081534711090393</v>
      </c>
    </row>
    <row r="207" spans="1:10" ht="11.25" customHeight="1" x14ac:dyDescent="0.2">
      <c r="A207" s="28">
        <v>44593</v>
      </c>
      <c r="B207" s="18">
        <v>0</v>
      </c>
      <c r="C207" s="18">
        <v>0</v>
      </c>
      <c r="D207" s="18">
        <v>378.30355999999995</v>
      </c>
      <c r="E207" s="18">
        <v>503.01218635329099</v>
      </c>
      <c r="F207" s="18">
        <v>1008.11992</v>
      </c>
      <c r="G207" s="18">
        <v>1078.6409972256165</v>
      </c>
      <c r="H207" s="19">
        <v>0.32965226748934384</v>
      </c>
      <c r="I207" s="19">
        <v>6.9953063942647331E-2</v>
      </c>
      <c r="J207" s="19">
        <v>0.14081534711090393</v>
      </c>
    </row>
    <row r="208" spans="1:10" ht="11.25" customHeight="1" x14ac:dyDescent="0.2">
      <c r="A208" s="28">
        <v>44621</v>
      </c>
      <c r="B208" s="18">
        <v>0</v>
      </c>
      <c r="C208" s="18">
        <v>0</v>
      </c>
      <c r="D208" s="18">
        <v>479.61997999999994</v>
      </c>
      <c r="E208" s="18">
        <v>637.72779394019369</v>
      </c>
      <c r="F208" s="18">
        <v>1278.1123600000001</v>
      </c>
      <c r="G208" s="18">
        <v>1367.5202356449677</v>
      </c>
      <c r="H208" s="19">
        <v>0.32965226748934384</v>
      </c>
      <c r="I208" s="19">
        <v>6.9953063942647109E-2</v>
      </c>
      <c r="J208" s="19">
        <v>0.14081534711090393</v>
      </c>
    </row>
    <row r="209" spans="1:10" ht="11.25" customHeight="1" x14ac:dyDescent="0.2">
      <c r="A209" s="28">
        <v>44652</v>
      </c>
      <c r="B209" s="18">
        <v>0</v>
      </c>
      <c r="C209" s="18">
        <v>0</v>
      </c>
      <c r="D209" s="18">
        <v>690.31365999999991</v>
      </c>
      <c r="E209" s="18">
        <v>917.87712329786791</v>
      </c>
      <c r="F209" s="18">
        <v>1839.5781200000004</v>
      </c>
      <c r="G209" s="18">
        <v>1968.2622458558549</v>
      </c>
      <c r="H209" s="19">
        <v>0.32965226748934384</v>
      </c>
      <c r="I209" s="19">
        <v>6.9953063942647109E-2</v>
      </c>
      <c r="J209" s="19">
        <v>0.14081534711090393</v>
      </c>
    </row>
    <row r="210" spans="1:10" ht="11.25" customHeight="1" x14ac:dyDescent="0.2">
      <c r="A210" s="28">
        <v>44682</v>
      </c>
      <c r="B210" s="18">
        <v>0</v>
      </c>
      <c r="C210" s="18">
        <v>0</v>
      </c>
      <c r="D210" s="18">
        <v>671.69033999999999</v>
      </c>
      <c r="E210" s="18">
        <v>893.11458363168822</v>
      </c>
      <c r="F210" s="18">
        <v>1789.9498800000001</v>
      </c>
      <c r="G210" s="18">
        <v>1915.1623584097738</v>
      </c>
      <c r="H210" s="19">
        <v>0.32965226748934362</v>
      </c>
      <c r="I210" s="19">
        <v>6.9953063942647109E-2</v>
      </c>
      <c r="J210" s="19">
        <v>0.14081534711090393</v>
      </c>
    </row>
    <row r="211" spans="1:10" ht="11.25" customHeight="1" x14ac:dyDescent="0.2">
      <c r="A211" s="28">
        <v>44713</v>
      </c>
      <c r="B211" s="18">
        <v>0</v>
      </c>
      <c r="C211" s="18">
        <v>0</v>
      </c>
      <c r="D211" s="18">
        <v>893.50241999999992</v>
      </c>
      <c r="E211" s="18">
        <v>1188.047518760216</v>
      </c>
      <c r="F211" s="18">
        <v>2381.0444400000001</v>
      </c>
      <c r="G211" s="18">
        <v>2547.6057939616048</v>
      </c>
      <c r="H211" s="19">
        <v>0.32965226748934384</v>
      </c>
      <c r="I211" s="19">
        <v>6.9953063942647331E-2</v>
      </c>
      <c r="J211" s="19">
        <v>0.14081534711090415</v>
      </c>
    </row>
    <row r="212" spans="1:10" ht="11.25" customHeight="1" x14ac:dyDescent="0.2">
      <c r="A212" s="27" t="s">
        <v>25</v>
      </c>
      <c r="B212" s="18">
        <v>100571.31000000001</v>
      </c>
      <c r="C212" s="18">
        <v>106628.78922201476</v>
      </c>
      <c r="D212" s="18">
        <v>0</v>
      </c>
      <c r="E212" s="18">
        <v>0</v>
      </c>
      <c r="F212" s="18">
        <v>0</v>
      </c>
      <c r="G212" s="18">
        <v>0</v>
      </c>
      <c r="H212" s="19">
        <v>6.0230688274964139E-2</v>
      </c>
      <c r="I212" s="19">
        <v>0</v>
      </c>
      <c r="J212" s="19">
        <v>6.0230688274964139E-2</v>
      </c>
    </row>
    <row r="213" spans="1:10" ht="11.25" customHeight="1" x14ac:dyDescent="0.2">
      <c r="A213" s="28">
        <v>44378</v>
      </c>
      <c r="B213" s="18">
        <v>8688.44</v>
      </c>
      <c r="C213" s="18">
        <v>9211.7507212357305</v>
      </c>
      <c r="D213" s="18">
        <v>0</v>
      </c>
      <c r="E213" s="18">
        <v>0</v>
      </c>
      <c r="F213" s="18">
        <v>0</v>
      </c>
      <c r="G213" s="18">
        <v>0</v>
      </c>
      <c r="H213" s="19">
        <v>6.0230688274964139E-2</v>
      </c>
      <c r="I213" s="19">
        <v>0</v>
      </c>
      <c r="J213" s="19">
        <v>6.0230688274964139E-2</v>
      </c>
    </row>
    <row r="214" spans="1:10" ht="11.25" customHeight="1" x14ac:dyDescent="0.2">
      <c r="A214" s="28">
        <v>44409</v>
      </c>
      <c r="B214" s="18">
        <v>8714.61</v>
      </c>
      <c r="C214" s="18">
        <v>9239.4969583478851</v>
      </c>
      <c r="D214" s="18">
        <v>0</v>
      </c>
      <c r="E214" s="18">
        <v>0</v>
      </c>
      <c r="F214" s="18">
        <v>0</v>
      </c>
      <c r="G214" s="18">
        <v>0</v>
      </c>
      <c r="H214" s="19">
        <v>6.0230688274964139E-2</v>
      </c>
      <c r="I214" s="19">
        <v>0</v>
      </c>
      <c r="J214" s="19">
        <v>6.0230688274964139E-2</v>
      </c>
    </row>
    <row r="215" spans="1:10" ht="11.25" customHeight="1" x14ac:dyDescent="0.2">
      <c r="A215" s="28">
        <v>44440</v>
      </c>
      <c r="B215" s="18">
        <v>8766.9500000000007</v>
      </c>
      <c r="C215" s="18">
        <v>9294.9894325721962</v>
      </c>
      <c r="D215" s="18">
        <v>0</v>
      </c>
      <c r="E215" s="18">
        <v>0</v>
      </c>
      <c r="F215" s="18">
        <v>0</v>
      </c>
      <c r="G215" s="18">
        <v>0</v>
      </c>
      <c r="H215" s="19">
        <v>6.0230688274963917E-2</v>
      </c>
      <c r="I215" s="19">
        <v>0</v>
      </c>
      <c r="J215" s="19">
        <v>6.0230688274963917E-2</v>
      </c>
    </row>
    <row r="216" spans="1:10" ht="11.25" customHeight="1" x14ac:dyDescent="0.2">
      <c r="A216" s="28">
        <v>44470</v>
      </c>
      <c r="B216" s="18">
        <v>8688.44</v>
      </c>
      <c r="C216" s="18">
        <v>9211.7507212357286</v>
      </c>
      <c r="D216" s="18">
        <v>0</v>
      </c>
      <c r="E216" s="18">
        <v>0</v>
      </c>
      <c r="F216" s="18">
        <v>0</v>
      </c>
      <c r="G216" s="18">
        <v>0</v>
      </c>
      <c r="H216" s="19">
        <v>6.0230688274963917E-2</v>
      </c>
      <c r="I216" s="19">
        <v>0</v>
      </c>
      <c r="J216" s="19">
        <v>6.0230688274963917E-2</v>
      </c>
    </row>
    <row r="217" spans="1:10" ht="11.25" customHeight="1" x14ac:dyDescent="0.2">
      <c r="A217" s="28">
        <v>44501</v>
      </c>
      <c r="B217" s="18">
        <v>8688.44</v>
      </c>
      <c r="C217" s="18">
        <v>9211.7507212357286</v>
      </c>
      <c r="D217" s="18">
        <v>0</v>
      </c>
      <c r="E217" s="18">
        <v>0</v>
      </c>
      <c r="F217" s="18">
        <v>0</v>
      </c>
      <c r="G217" s="18">
        <v>0</v>
      </c>
      <c r="H217" s="19">
        <v>6.0230688274963917E-2</v>
      </c>
      <c r="I217" s="19">
        <v>0</v>
      </c>
      <c r="J217" s="19">
        <v>6.0230688274963917E-2</v>
      </c>
    </row>
    <row r="218" spans="1:10" ht="11.25" customHeight="1" x14ac:dyDescent="0.2">
      <c r="A218" s="28">
        <v>44531</v>
      </c>
      <c r="B218" s="18">
        <v>8871.630000000001</v>
      </c>
      <c r="C218" s="18">
        <v>9405.9743810208201</v>
      </c>
      <c r="D218" s="18">
        <v>0</v>
      </c>
      <c r="E218" s="18">
        <v>0</v>
      </c>
      <c r="F218" s="18">
        <v>0</v>
      </c>
      <c r="G218" s="18">
        <v>0</v>
      </c>
      <c r="H218" s="19">
        <v>6.0230688274963917E-2</v>
      </c>
      <c r="I218" s="19">
        <v>0</v>
      </c>
      <c r="J218" s="19">
        <v>6.0230688274963917E-2</v>
      </c>
    </row>
    <row r="219" spans="1:10" ht="11.25" customHeight="1" x14ac:dyDescent="0.2">
      <c r="A219" s="28">
        <v>44562</v>
      </c>
      <c r="B219" s="18">
        <v>8897.8000000000011</v>
      </c>
      <c r="C219" s="18">
        <v>9433.7206181329748</v>
      </c>
      <c r="D219" s="18">
        <v>0</v>
      </c>
      <c r="E219" s="18">
        <v>0</v>
      </c>
      <c r="F219" s="18">
        <v>0</v>
      </c>
      <c r="G219" s="18">
        <v>0</v>
      </c>
      <c r="H219" s="19">
        <v>6.0230688274963917E-2</v>
      </c>
      <c r="I219" s="19">
        <v>0</v>
      </c>
      <c r="J219" s="19">
        <v>6.0230688274963917E-2</v>
      </c>
    </row>
    <row r="220" spans="1:10" ht="11.25" customHeight="1" x14ac:dyDescent="0.2">
      <c r="A220" s="28">
        <v>44593</v>
      </c>
      <c r="B220" s="18">
        <v>7851.0000000000009</v>
      </c>
      <c r="C220" s="18">
        <v>8323.8711336467441</v>
      </c>
      <c r="D220" s="18">
        <v>0</v>
      </c>
      <c r="E220" s="18">
        <v>0</v>
      </c>
      <c r="F220" s="18">
        <v>0</v>
      </c>
      <c r="G220" s="18">
        <v>0</v>
      </c>
      <c r="H220" s="19">
        <v>6.0230688274964139E-2</v>
      </c>
      <c r="I220" s="19">
        <v>0</v>
      </c>
      <c r="J220" s="19">
        <v>6.0230688274964139E-2</v>
      </c>
    </row>
    <row r="221" spans="1:10" ht="11.25" customHeight="1" x14ac:dyDescent="0.2">
      <c r="A221" s="28">
        <v>44621</v>
      </c>
      <c r="B221" s="18">
        <v>7851</v>
      </c>
      <c r="C221" s="18">
        <v>8323.8711336467441</v>
      </c>
      <c r="D221" s="18">
        <v>0</v>
      </c>
      <c r="E221" s="18">
        <v>0</v>
      </c>
      <c r="F221" s="18">
        <v>0</v>
      </c>
      <c r="G221" s="18">
        <v>0</v>
      </c>
      <c r="H221" s="19">
        <v>6.0230688274964139E-2</v>
      </c>
      <c r="I221" s="19">
        <v>0</v>
      </c>
      <c r="J221" s="19">
        <v>6.0230688274964139E-2</v>
      </c>
    </row>
    <row r="222" spans="1:10" ht="11.25" customHeight="1" x14ac:dyDescent="0.2">
      <c r="A222" s="28">
        <v>44652</v>
      </c>
      <c r="B222" s="18">
        <v>7851</v>
      </c>
      <c r="C222" s="18">
        <v>8323.8711336467441</v>
      </c>
      <c r="D222" s="18">
        <v>0</v>
      </c>
      <c r="E222" s="18">
        <v>0</v>
      </c>
      <c r="F222" s="18">
        <v>0</v>
      </c>
      <c r="G222" s="18">
        <v>0</v>
      </c>
      <c r="H222" s="19">
        <v>6.0230688274964139E-2</v>
      </c>
      <c r="I222" s="19">
        <v>0</v>
      </c>
      <c r="J222" s="19">
        <v>6.0230688274964139E-2</v>
      </c>
    </row>
    <row r="223" spans="1:10" ht="11.25" customHeight="1" x14ac:dyDescent="0.2">
      <c r="A223" s="28">
        <v>44682</v>
      </c>
      <c r="B223" s="18">
        <v>7851.0000000000009</v>
      </c>
      <c r="C223" s="18">
        <v>8323.8711336467441</v>
      </c>
      <c r="D223" s="18">
        <v>0</v>
      </c>
      <c r="E223" s="18">
        <v>0</v>
      </c>
      <c r="F223" s="18">
        <v>0</v>
      </c>
      <c r="G223" s="18">
        <v>0</v>
      </c>
      <c r="H223" s="19">
        <v>6.0230688274964139E-2</v>
      </c>
      <c r="I223" s="19">
        <v>0</v>
      </c>
      <c r="J223" s="19">
        <v>6.0230688274964139E-2</v>
      </c>
    </row>
    <row r="224" spans="1:10" ht="11.25" customHeight="1" x14ac:dyDescent="0.2">
      <c r="A224" s="28">
        <v>44713</v>
      </c>
      <c r="B224" s="18">
        <v>7851.0000000000009</v>
      </c>
      <c r="C224" s="18">
        <v>8323.8711336467441</v>
      </c>
      <c r="D224" s="18">
        <v>0</v>
      </c>
      <c r="E224" s="18">
        <v>0</v>
      </c>
      <c r="F224" s="18">
        <v>0</v>
      </c>
      <c r="G224" s="18">
        <v>0</v>
      </c>
      <c r="H224" s="19">
        <v>6.0230688274964139E-2</v>
      </c>
      <c r="I224" s="19">
        <v>0</v>
      </c>
      <c r="J224" s="19">
        <v>6.0230688274964139E-2</v>
      </c>
    </row>
    <row r="225" spans="1:10" ht="11.25" customHeight="1" x14ac:dyDescent="0.2">
      <c r="A225" s="27" t="s">
        <v>37</v>
      </c>
      <c r="B225" s="18">
        <v>0</v>
      </c>
      <c r="C225" s="18">
        <v>0</v>
      </c>
      <c r="D225" s="18">
        <v>10512.570900000001</v>
      </c>
      <c r="E225" s="18">
        <v>11168.790585746225</v>
      </c>
      <c r="F225" s="18">
        <v>1730.8774599999997</v>
      </c>
      <c r="G225" s="18">
        <v>1851.9576416362665</v>
      </c>
      <c r="H225" s="19">
        <v>6.242237907248982E-2</v>
      </c>
      <c r="I225" s="19">
        <v>6.9953063942647331E-2</v>
      </c>
      <c r="J225" s="19">
        <v>6.3487005010939068E-2</v>
      </c>
    </row>
    <row r="226" spans="1:10" ht="11.25" customHeight="1" x14ac:dyDescent="0.2">
      <c r="A226" s="28">
        <v>44378</v>
      </c>
      <c r="B226" s="18">
        <v>0</v>
      </c>
      <c r="C226" s="18">
        <v>0</v>
      </c>
      <c r="D226" s="18">
        <v>837.90149999999994</v>
      </c>
      <c r="E226" s="18">
        <v>890.20530505840748</v>
      </c>
      <c r="F226" s="18">
        <v>137.95910000000001</v>
      </c>
      <c r="G226" s="18">
        <v>147.60976174377006</v>
      </c>
      <c r="H226" s="19">
        <v>6.2422379072489376E-2</v>
      </c>
      <c r="I226" s="19">
        <v>6.9953063942647109E-2</v>
      </c>
      <c r="J226" s="19">
        <v>6.3487005010938624E-2</v>
      </c>
    </row>
    <row r="227" spans="1:10" ht="11.25" customHeight="1" x14ac:dyDescent="0.2">
      <c r="A227" s="28">
        <v>44409</v>
      </c>
      <c r="B227" s="18">
        <v>0</v>
      </c>
      <c r="C227" s="18">
        <v>0</v>
      </c>
      <c r="D227" s="18">
        <v>1171.9374</v>
      </c>
      <c r="E227" s="18">
        <v>1245.0925206320278</v>
      </c>
      <c r="F227" s="18">
        <v>192.95756</v>
      </c>
      <c r="G227" s="18">
        <v>206.45553253289719</v>
      </c>
      <c r="H227" s="19">
        <v>6.2422379072489598E-2</v>
      </c>
      <c r="I227" s="19">
        <v>6.9953063942647331E-2</v>
      </c>
      <c r="J227" s="19">
        <v>6.3487005010938624E-2</v>
      </c>
    </row>
    <row r="228" spans="1:10" ht="11.25" customHeight="1" x14ac:dyDescent="0.2">
      <c r="A228" s="28">
        <v>44440</v>
      </c>
      <c r="B228" s="18">
        <v>0</v>
      </c>
      <c r="C228" s="18">
        <v>0</v>
      </c>
      <c r="D228" s="18">
        <v>1105.5801000000001</v>
      </c>
      <c r="E228" s="18">
        <v>1174.5930400972009</v>
      </c>
      <c r="F228" s="18">
        <v>182.03193999999999</v>
      </c>
      <c r="G228" s="18">
        <v>194.76563193842412</v>
      </c>
      <c r="H228" s="19">
        <v>6.2422379072489376E-2</v>
      </c>
      <c r="I228" s="19">
        <v>6.9953063942647331E-2</v>
      </c>
      <c r="J228" s="19">
        <v>6.3487005010938402E-2</v>
      </c>
    </row>
    <row r="229" spans="1:10" ht="11.25" customHeight="1" x14ac:dyDescent="0.2">
      <c r="A229" s="28">
        <v>44470</v>
      </c>
      <c r="B229" s="18">
        <v>0</v>
      </c>
      <c r="C229" s="18">
        <v>0</v>
      </c>
      <c r="D229" s="18">
        <v>1024.6017000000002</v>
      </c>
      <c r="E229" s="18">
        <v>1088.5597757157173</v>
      </c>
      <c r="F229" s="18">
        <v>168.69898000000001</v>
      </c>
      <c r="G229" s="18">
        <v>180.49999053499937</v>
      </c>
      <c r="H229" s="19">
        <v>6.2422379072489376E-2</v>
      </c>
      <c r="I229" s="19">
        <v>6.9953063942647109E-2</v>
      </c>
      <c r="J229" s="19">
        <v>6.3487005010938402E-2</v>
      </c>
    </row>
    <row r="230" spans="1:10" ht="11.25" customHeight="1" x14ac:dyDescent="0.2">
      <c r="A230" s="28">
        <v>44501</v>
      </c>
      <c r="B230" s="18">
        <v>0</v>
      </c>
      <c r="C230" s="18">
        <v>0</v>
      </c>
      <c r="D230" s="18">
        <v>945.87270000000001</v>
      </c>
      <c r="E230" s="18">
        <v>1004.9163242337191</v>
      </c>
      <c r="F230" s="18">
        <v>155.73638</v>
      </c>
      <c r="G230" s="18">
        <v>166.63061694833641</v>
      </c>
      <c r="H230" s="19">
        <v>6.2422379072489598E-2</v>
      </c>
      <c r="I230" s="19">
        <v>6.9953063942647331E-2</v>
      </c>
      <c r="J230" s="19">
        <v>6.3487005010938624E-2</v>
      </c>
    </row>
    <row r="231" spans="1:10" ht="11.25" customHeight="1" x14ac:dyDescent="0.2">
      <c r="A231" s="28">
        <v>44531</v>
      </c>
      <c r="B231" s="18">
        <v>0</v>
      </c>
      <c r="C231" s="18">
        <v>0</v>
      </c>
      <c r="D231" s="18">
        <v>918.87990000000002</v>
      </c>
      <c r="E231" s="18">
        <v>976.23856943989119</v>
      </c>
      <c r="F231" s="18">
        <v>151.29205999999999</v>
      </c>
      <c r="G231" s="18">
        <v>161.87540314719482</v>
      </c>
      <c r="H231" s="19">
        <v>6.2422379072489376E-2</v>
      </c>
      <c r="I231" s="19">
        <v>6.9953063942647331E-2</v>
      </c>
      <c r="J231" s="19">
        <v>6.3487005010938402E-2</v>
      </c>
    </row>
    <row r="232" spans="1:10" ht="11.25" customHeight="1" x14ac:dyDescent="0.2">
      <c r="A232" s="28">
        <v>44562</v>
      </c>
      <c r="B232" s="18">
        <v>0</v>
      </c>
      <c r="C232" s="18">
        <v>0</v>
      </c>
      <c r="D232" s="18">
        <v>1031.3499000000002</v>
      </c>
      <c r="E232" s="18">
        <v>1095.7292144141743</v>
      </c>
      <c r="F232" s="18">
        <v>169.81006000000002</v>
      </c>
      <c r="G232" s="18">
        <v>181.68879398528478</v>
      </c>
      <c r="H232" s="19">
        <v>6.2422379072489376E-2</v>
      </c>
      <c r="I232" s="19">
        <v>6.9953063942647109E-2</v>
      </c>
      <c r="J232" s="19">
        <v>6.3487005010938624E-2</v>
      </c>
    </row>
    <row r="233" spans="1:10" ht="11.25" customHeight="1" x14ac:dyDescent="0.2">
      <c r="A233" s="28">
        <v>44593</v>
      </c>
      <c r="B233" s="18">
        <v>0</v>
      </c>
      <c r="C233" s="18">
        <v>0</v>
      </c>
      <c r="D233" s="18">
        <v>506.11500000000001</v>
      </c>
      <c r="E233" s="18">
        <v>537.7079023842731</v>
      </c>
      <c r="F233" s="18">
        <v>83.331000000000003</v>
      </c>
      <c r="G233" s="18">
        <v>89.160258771404742</v>
      </c>
      <c r="H233" s="19">
        <v>6.2422379072489598E-2</v>
      </c>
      <c r="I233" s="19">
        <v>6.9953063942647331E-2</v>
      </c>
      <c r="J233" s="19">
        <v>6.3487005010938846E-2</v>
      </c>
    </row>
    <row r="234" spans="1:10" ht="11.25" customHeight="1" x14ac:dyDescent="0.2">
      <c r="A234" s="28">
        <v>44621</v>
      </c>
      <c r="B234" s="18">
        <v>0</v>
      </c>
      <c r="C234" s="18">
        <v>0</v>
      </c>
      <c r="D234" s="18">
        <v>503.86560000000003</v>
      </c>
      <c r="E234" s="18">
        <v>535.31808948478738</v>
      </c>
      <c r="F234" s="18">
        <v>82.960640000000012</v>
      </c>
      <c r="G234" s="18">
        <v>88.763990954642935</v>
      </c>
      <c r="H234" s="19">
        <v>6.2422379072489376E-2</v>
      </c>
      <c r="I234" s="19">
        <v>6.9953063942647109E-2</v>
      </c>
      <c r="J234" s="19">
        <v>6.3487005010938624E-2</v>
      </c>
    </row>
    <row r="235" spans="1:10" ht="11.25" customHeight="1" x14ac:dyDescent="0.2">
      <c r="A235" s="28">
        <v>44652</v>
      </c>
      <c r="B235" s="18">
        <v>0</v>
      </c>
      <c r="C235" s="18">
        <v>0</v>
      </c>
      <c r="D235" s="18">
        <v>801.91110000000003</v>
      </c>
      <c r="E235" s="18">
        <v>851.96829866663711</v>
      </c>
      <c r="F235" s="18">
        <v>132.03333999999998</v>
      </c>
      <c r="G235" s="18">
        <v>141.26947667558127</v>
      </c>
      <c r="H235" s="19">
        <v>6.2422379072489598E-2</v>
      </c>
      <c r="I235" s="19">
        <v>6.9953063942647331E-2</v>
      </c>
      <c r="J235" s="19">
        <v>6.3487005010938624E-2</v>
      </c>
    </row>
    <row r="236" spans="1:10" ht="11.25" customHeight="1" x14ac:dyDescent="0.2">
      <c r="A236" s="28">
        <v>44682</v>
      </c>
      <c r="B236" s="18">
        <v>0</v>
      </c>
      <c r="C236" s="18">
        <v>0</v>
      </c>
      <c r="D236" s="18">
        <v>732.17970000000003</v>
      </c>
      <c r="E236" s="18">
        <v>777.88409878258165</v>
      </c>
      <c r="F236" s="18">
        <v>120.55218000000001</v>
      </c>
      <c r="G236" s="18">
        <v>128.98517435596551</v>
      </c>
      <c r="H236" s="19">
        <v>6.2422379072489376E-2</v>
      </c>
      <c r="I236" s="19">
        <v>6.9953063942647109E-2</v>
      </c>
      <c r="J236" s="19">
        <v>6.3487005010938624E-2</v>
      </c>
    </row>
    <row r="237" spans="1:10" ht="11.25" customHeight="1" x14ac:dyDescent="0.2">
      <c r="A237" s="28">
        <v>44713</v>
      </c>
      <c r="B237" s="18">
        <v>0</v>
      </c>
      <c r="C237" s="18">
        <v>0</v>
      </c>
      <c r="D237" s="18">
        <v>932.37630000000001</v>
      </c>
      <c r="E237" s="18">
        <v>990.57744683680517</v>
      </c>
      <c r="F237" s="18">
        <v>153.51421999999999</v>
      </c>
      <c r="G237" s="18">
        <v>164.2530100477656</v>
      </c>
      <c r="H237" s="19">
        <v>6.2422379072489376E-2</v>
      </c>
      <c r="I237" s="19">
        <v>6.9953063942647109E-2</v>
      </c>
      <c r="J237" s="19">
        <v>6.3487005010938846E-2</v>
      </c>
    </row>
    <row r="238" spans="1:10" ht="11.25" customHeight="1" x14ac:dyDescent="0.2">
      <c r="A238" s="23" t="s">
        <v>42</v>
      </c>
      <c r="B238" s="18">
        <v>10674320.092800001</v>
      </c>
      <c r="C238" s="18">
        <v>11317241.738856621</v>
      </c>
      <c r="D238" s="18">
        <v>4655896.5847733999</v>
      </c>
      <c r="E238" s="18">
        <v>5569926.6280584717</v>
      </c>
      <c r="F238" s="18">
        <v>6599079.3761591977</v>
      </c>
      <c r="G238" s="18">
        <v>7060705.1977222683</v>
      </c>
      <c r="H238" s="19">
        <v>0.10156097086477378</v>
      </c>
      <c r="I238" s="19">
        <v>6.9953063942647109E-2</v>
      </c>
      <c r="J238" s="19">
        <v>9.2049352882040525E-2</v>
      </c>
    </row>
    <row r="239" spans="1:10" ht="11.25" customHeight="1" x14ac:dyDescent="0.2">
      <c r="A239" s="24" t="s">
        <v>50</v>
      </c>
      <c r="B239" s="18">
        <v>7420991.3088000007</v>
      </c>
      <c r="C239" s="18">
        <v>7867962.7230115505</v>
      </c>
      <c r="D239" s="18">
        <v>1132114.7353109997</v>
      </c>
      <c r="E239" s="18">
        <v>1459311.9751614435</v>
      </c>
      <c r="F239" s="18">
        <v>2586469.2435000003</v>
      </c>
      <c r="G239" s="18">
        <v>2767400.6918762457</v>
      </c>
      <c r="H239" s="19">
        <v>9.0513159788896846E-2</v>
      </c>
      <c r="I239" s="19">
        <v>6.9953063942647109E-2</v>
      </c>
      <c r="J239" s="19">
        <v>8.5739364183881284E-2</v>
      </c>
    </row>
    <row r="240" spans="1:10" ht="11.25" customHeight="1" x14ac:dyDescent="0.2">
      <c r="A240" s="25" t="s">
        <v>51</v>
      </c>
      <c r="B240" s="18">
        <v>0</v>
      </c>
      <c r="C240" s="18">
        <v>0</v>
      </c>
      <c r="D240" s="18">
        <v>675264.38378399983</v>
      </c>
      <c r="E240" s="18">
        <v>851859.86935026443</v>
      </c>
      <c r="F240" s="18">
        <v>1369034.3881860001</v>
      </c>
      <c r="G240" s="18">
        <v>1464802.5382824582</v>
      </c>
      <c r="H240" s="19">
        <v>0.26152050931025128</v>
      </c>
      <c r="I240" s="19">
        <v>6.9953063942646887E-2</v>
      </c>
      <c r="J240" s="19">
        <v>0.13323083660626467</v>
      </c>
    </row>
    <row r="241" spans="1:10" ht="11.25" customHeight="1" x14ac:dyDescent="0.2">
      <c r="A241" s="26" t="s">
        <v>25</v>
      </c>
      <c r="B241" s="18">
        <v>0</v>
      </c>
      <c r="C241" s="18">
        <v>0</v>
      </c>
      <c r="D241" s="18">
        <v>675264.38378399983</v>
      </c>
      <c r="E241" s="18">
        <v>851859.86935026443</v>
      </c>
      <c r="F241" s="18">
        <v>1369034.3881860001</v>
      </c>
      <c r="G241" s="18">
        <v>1464802.5382824582</v>
      </c>
      <c r="H241" s="19">
        <v>0.26152050931025128</v>
      </c>
      <c r="I241" s="19">
        <v>6.9953063942646887E-2</v>
      </c>
      <c r="J241" s="19">
        <v>0.13323083660626467</v>
      </c>
    </row>
    <row r="242" spans="1:10" ht="11.25" customHeight="1" x14ac:dyDescent="0.2">
      <c r="A242" s="27" t="s">
        <v>38</v>
      </c>
      <c r="B242" s="18">
        <v>0</v>
      </c>
      <c r="C242" s="18">
        <v>0</v>
      </c>
      <c r="D242" s="18">
        <v>503101.94351399993</v>
      </c>
      <c r="E242" s="18">
        <v>668950.63997168583</v>
      </c>
      <c r="F242" s="18">
        <v>1340688.126348</v>
      </c>
      <c r="G242" s="18">
        <v>1434473.3685775695</v>
      </c>
      <c r="H242" s="19">
        <v>0.32965226748934384</v>
      </c>
      <c r="I242" s="19">
        <v>6.9953063942646887E-2</v>
      </c>
      <c r="J242" s="19">
        <v>0.14081534711090371</v>
      </c>
    </row>
    <row r="243" spans="1:10" ht="11.25" customHeight="1" x14ac:dyDescent="0.2">
      <c r="A243" s="28">
        <v>44378</v>
      </c>
      <c r="B243" s="18">
        <v>0</v>
      </c>
      <c r="C243" s="18">
        <v>0</v>
      </c>
      <c r="D243" s="18">
        <v>2574.3126419999999</v>
      </c>
      <c r="E243" s="18">
        <v>3422.940641661783</v>
      </c>
      <c r="F243" s="18">
        <v>6860.1412440000004</v>
      </c>
      <c r="G243" s="18">
        <v>7340.0291430971229</v>
      </c>
      <c r="H243" s="19">
        <v>0.32965226748934384</v>
      </c>
      <c r="I243" s="19">
        <v>6.9953063942647109E-2</v>
      </c>
      <c r="J243" s="19">
        <v>0.14081534711090393</v>
      </c>
    </row>
    <row r="244" spans="1:10" ht="11.25" customHeight="1" x14ac:dyDescent="0.2">
      <c r="A244" s="28">
        <v>44409</v>
      </c>
      <c r="B244" s="18">
        <v>0</v>
      </c>
      <c r="C244" s="18">
        <v>0</v>
      </c>
      <c r="D244" s="18">
        <v>4532.3045759999995</v>
      </c>
      <c r="E244" s="18">
        <v>6026.3890564307285</v>
      </c>
      <c r="F244" s="18">
        <v>12077.884032000002</v>
      </c>
      <c r="G244" s="18">
        <v>12922.769025982374</v>
      </c>
      <c r="H244" s="19">
        <v>0.32965226748934384</v>
      </c>
      <c r="I244" s="19">
        <v>6.9953063942647109E-2</v>
      </c>
      <c r="J244" s="19">
        <v>0.14081534711090393</v>
      </c>
    </row>
    <row r="245" spans="1:10" ht="11.25" customHeight="1" x14ac:dyDescent="0.2">
      <c r="A245" s="28">
        <v>44440</v>
      </c>
      <c r="B245" s="18">
        <v>0</v>
      </c>
      <c r="C245" s="18">
        <v>0</v>
      </c>
      <c r="D245" s="18">
        <v>13071.506786999998</v>
      </c>
      <c r="E245" s="18">
        <v>17380.558638836894</v>
      </c>
      <c r="F245" s="18">
        <v>34833.524634000001</v>
      </c>
      <c r="G245" s="18">
        <v>37270.236410069978</v>
      </c>
      <c r="H245" s="19">
        <v>0.32965226748934362</v>
      </c>
      <c r="I245" s="19">
        <v>6.9953063942647109E-2</v>
      </c>
      <c r="J245" s="19">
        <v>0.14081534711090393</v>
      </c>
    </row>
    <row r="246" spans="1:10" ht="11.25" customHeight="1" x14ac:dyDescent="0.2">
      <c r="A246" s="28">
        <v>44470</v>
      </c>
      <c r="B246" s="18">
        <v>0</v>
      </c>
      <c r="C246" s="18">
        <v>0</v>
      </c>
      <c r="D246" s="18">
        <v>6586.4011799999989</v>
      </c>
      <c r="E246" s="18">
        <v>8757.6232635814886</v>
      </c>
      <c r="F246" s="18">
        <v>17551.730759999999</v>
      </c>
      <c r="G246" s="18">
        <v>18779.528104158406</v>
      </c>
      <c r="H246" s="19">
        <v>0.32965226748934384</v>
      </c>
      <c r="I246" s="19">
        <v>6.9953063942647109E-2</v>
      </c>
      <c r="J246" s="19">
        <v>0.14081534711090393</v>
      </c>
    </row>
    <row r="247" spans="1:10" ht="11.25" customHeight="1" x14ac:dyDescent="0.2">
      <c r="A247" s="28">
        <v>44501</v>
      </c>
      <c r="B247" s="18">
        <v>0</v>
      </c>
      <c r="C247" s="18">
        <v>0</v>
      </c>
      <c r="D247" s="18">
        <v>12369.296438999998</v>
      </c>
      <c r="E247" s="18">
        <v>16446.863057364215</v>
      </c>
      <c r="F247" s="18">
        <v>32962.243698000006</v>
      </c>
      <c r="G247" s="18">
        <v>35268.053639099315</v>
      </c>
      <c r="H247" s="19">
        <v>0.32965226748934406</v>
      </c>
      <c r="I247" s="19">
        <v>6.9953063942647109E-2</v>
      </c>
      <c r="J247" s="19">
        <v>0.14081534711090393</v>
      </c>
    </row>
    <row r="248" spans="1:10" ht="11.25" customHeight="1" x14ac:dyDescent="0.2">
      <c r="A248" s="28">
        <v>44531</v>
      </c>
      <c r="B248" s="18">
        <v>0</v>
      </c>
      <c r="C248" s="18">
        <v>0</v>
      </c>
      <c r="D248" s="18">
        <v>107339.243382</v>
      </c>
      <c r="E248" s="18">
        <v>142723.86835346682</v>
      </c>
      <c r="F248" s="18">
        <v>286042.32392400003</v>
      </c>
      <c r="G248" s="18">
        <v>306051.86089975899</v>
      </c>
      <c r="H248" s="19">
        <v>0.32965226748934362</v>
      </c>
      <c r="I248" s="19">
        <v>6.9953063942647109E-2</v>
      </c>
      <c r="J248" s="19">
        <v>0.14081534711090393</v>
      </c>
    </row>
    <row r="249" spans="1:10" ht="11.25" customHeight="1" x14ac:dyDescent="0.2">
      <c r="A249" s="28">
        <v>44562</v>
      </c>
      <c r="B249" s="18">
        <v>0</v>
      </c>
      <c r="C249" s="18">
        <v>0</v>
      </c>
      <c r="D249" s="18">
        <v>142953.77870099997</v>
      </c>
      <c r="E249" s="18">
        <v>190078.8159959545</v>
      </c>
      <c r="F249" s="18">
        <v>380949.49978199997</v>
      </c>
      <c r="G249" s="18">
        <v>407598.08449916966</v>
      </c>
      <c r="H249" s="19">
        <v>0.32965226748934406</v>
      </c>
      <c r="I249" s="19">
        <v>6.9953063942647109E-2</v>
      </c>
      <c r="J249" s="19">
        <v>0.14081534711090393</v>
      </c>
    </row>
    <row r="250" spans="1:10" ht="11.25" customHeight="1" x14ac:dyDescent="0.2">
      <c r="A250" s="28">
        <v>44593</v>
      </c>
      <c r="B250" s="18">
        <v>0</v>
      </c>
      <c r="C250" s="18">
        <v>0</v>
      </c>
      <c r="D250" s="18">
        <v>109784.65902299999</v>
      </c>
      <c r="E250" s="18">
        <v>145975.4208054764</v>
      </c>
      <c r="F250" s="18">
        <v>292558.97478599998</v>
      </c>
      <c r="G250" s="18">
        <v>313024.37145620037</v>
      </c>
      <c r="H250" s="19">
        <v>0.32965226748934406</v>
      </c>
      <c r="I250" s="19">
        <v>6.9953063942647331E-2</v>
      </c>
      <c r="J250" s="19">
        <v>0.14081534711090393</v>
      </c>
    </row>
    <row r="251" spans="1:10" ht="11.25" customHeight="1" x14ac:dyDescent="0.2">
      <c r="A251" s="28">
        <v>44621</v>
      </c>
      <c r="B251" s="18">
        <v>0</v>
      </c>
      <c r="C251" s="18">
        <v>0</v>
      </c>
      <c r="D251" s="18">
        <v>69876.746595000004</v>
      </c>
      <c r="E251" s="18">
        <v>92911.774554820033</v>
      </c>
      <c r="F251" s="18">
        <v>186210.61929</v>
      </c>
      <c r="G251" s="18">
        <v>199236.6226479933</v>
      </c>
      <c r="H251" s="19">
        <v>0.32965226748934362</v>
      </c>
      <c r="I251" s="19">
        <v>6.9953063942647109E-2</v>
      </c>
      <c r="J251" s="19">
        <v>0.14081534711090371</v>
      </c>
    </row>
    <row r="252" spans="1:10" ht="11.25" customHeight="1" x14ac:dyDescent="0.2">
      <c r="A252" s="28">
        <v>44652</v>
      </c>
      <c r="B252" s="18">
        <v>0</v>
      </c>
      <c r="C252" s="18">
        <v>0</v>
      </c>
      <c r="D252" s="18">
        <v>21283.119239999996</v>
      </c>
      <c r="E252" s="18">
        <v>28299.147756712075</v>
      </c>
      <c r="F252" s="18">
        <v>56716.189679999996</v>
      </c>
      <c r="G252" s="18">
        <v>60683.66092326834</v>
      </c>
      <c r="H252" s="19">
        <v>0.32965226748934384</v>
      </c>
      <c r="I252" s="19">
        <v>6.9953063942647109E-2</v>
      </c>
      <c r="J252" s="19">
        <v>0.14081534711090393</v>
      </c>
    </row>
    <row r="253" spans="1:10" ht="11.25" customHeight="1" x14ac:dyDescent="0.2">
      <c r="A253" s="28">
        <v>44682</v>
      </c>
      <c r="B253" s="18">
        <v>0</v>
      </c>
      <c r="C253" s="18">
        <v>0</v>
      </c>
      <c r="D253" s="18">
        <v>7458.1601790000004</v>
      </c>
      <c r="E253" s="18">
        <v>9916.7595933060802</v>
      </c>
      <c r="F253" s="18">
        <v>19874.832377999999</v>
      </c>
      <c r="G253" s="18">
        <v>21265.137798187629</v>
      </c>
      <c r="H253" s="19">
        <v>0.32965226748934362</v>
      </c>
      <c r="I253" s="19">
        <v>6.9953063942647331E-2</v>
      </c>
      <c r="J253" s="19">
        <v>0.14081534711090393</v>
      </c>
    </row>
    <row r="254" spans="1:10" ht="11.25" customHeight="1" x14ac:dyDescent="0.2">
      <c r="A254" s="28">
        <v>44713</v>
      </c>
      <c r="B254" s="18">
        <v>0</v>
      </c>
      <c r="C254" s="18">
        <v>0</v>
      </c>
      <c r="D254" s="18">
        <v>5272.4147699999994</v>
      </c>
      <c r="E254" s="18">
        <v>7010.4782540748065</v>
      </c>
      <c r="F254" s="18">
        <v>14050.16214</v>
      </c>
      <c r="G254" s="18">
        <v>15033.014030583981</v>
      </c>
      <c r="H254" s="19">
        <v>0.32965226748934384</v>
      </c>
      <c r="I254" s="19">
        <v>6.9953063942647109E-2</v>
      </c>
      <c r="J254" s="19">
        <v>0.14081534711090393</v>
      </c>
    </row>
    <row r="255" spans="1:10" ht="11.25" customHeight="1" x14ac:dyDescent="0.2">
      <c r="A255" s="27" t="s">
        <v>37</v>
      </c>
      <c r="B255" s="18">
        <v>0</v>
      </c>
      <c r="C255" s="18">
        <v>0</v>
      </c>
      <c r="D255" s="18">
        <v>172162.44026999999</v>
      </c>
      <c r="E255" s="18">
        <v>182909.22937857878</v>
      </c>
      <c r="F255" s="18">
        <v>28346.261838000002</v>
      </c>
      <c r="G255" s="18">
        <v>30329.169704888638</v>
      </c>
      <c r="H255" s="19">
        <v>6.2422379072489598E-2</v>
      </c>
      <c r="I255" s="19">
        <v>6.9953063942646887E-2</v>
      </c>
      <c r="J255" s="19">
        <v>6.3487005010938624E-2</v>
      </c>
    </row>
    <row r="256" spans="1:10" ht="11.25" customHeight="1" x14ac:dyDescent="0.2">
      <c r="A256" s="28">
        <v>44378</v>
      </c>
      <c r="B256" s="18">
        <v>0</v>
      </c>
      <c r="C256" s="18">
        <v>0</v>
      </c>
      <c r="D256" s="18">
        <v>5062.1622299999999</v>
      </c>
      <c r="E256" s="18">
        <v>5378.1544396474983</v>
      </c>
      <c r="F256" s="18">
        <v>833.47666199999992</v>
      </c>
      <c r="G256" s="18">
        <v>891.78090823159016</v>
      </c>
      <c r="H256" s="19">
        <v>6.2422379072489376E-2</v>
      </c>
      <c r="I256" s="19">
        <v>6.9953063942647331E-2</v>
      </c>
      <c r="J256" s="19">
        <v>6.3487005010938624E-2</v>
      </c>
    </row>
    <row r="257" spans="1:10" ht="11.25" customHeight="1" x14ac:dyDescent="0.2">
      <c r="A257" s="28">
        <v>44409</v>
      </c>
      <c r="B257" s="18">
        <v>0</v>
      </c>
      <c r="C257" s="18">
        <v>0</v>
      </c>
      <c r="D257" s="18">
        <v>5724.1606500000007</v>
      </c>
      <c r="E257" s="18">
        <v>6081.4763759661282</v>
      </c>
      <c r="F257" s="18">
        <v>942.47361000000012</v>
      </c>
      <c r="G257" s="18">
        <v>1008.4025267045876</v>
      </c>
      <c r="H257" s="19">
        <v>6.2422379072489376E-2</v>
      </c>
      <c r="I257" s="19">
        <v>6.9953063942647109E-2</v>
      </c>
      <c r="J257" s="19">
        <v>6.3487005010938624E-2</v>
      </c>
    </row>
    <row r="258" spans="1:10" ht="11.25" customHeight="1" x14ac:dyDescent="0.2">
      <c r="A258" s="28">
        <v>44440</v>
      </c>
      <c r="B258" s="18">
        <v>0</v>
      </c>
      <c r="C258" s="18">
        <v>0</v>
      </c>
      <c r="D258" s="18">
        <v>7510.0717800000002</v>
      </c>
      <c r="E258" s="18">
        <v>7978.868327512766</v>
      </c>
      <c r="F258" s="18">
        <v>1236.5209320000001</v>
      </c>
      <c r="G258" s="18">
        <v>1323.0193598226178</v>
      </c>
      <c r="H258" s="19">
        <v>6.2422379072489376E-2</v>
      </c>
      <c r="I258" s="19">
        <v>6.9953063942647109E-2</v>
      </c>
      <c r="J258" s="19">
        <v>6.3487005010938624E-2</v>
      </c>
    </row>
    <row r="259" spans="1:10" ht="11.25" customHeight="1" x14ac:dyDescent="0.2">
      <c r="A259" s="28">
        <v>44470</v>
      </c>
      <c r="B259" s="18">
        <v>0</v>
      </c>
      <c r="C259" s="18">
        <v>0</v>
      </c>
      <c r="D259" s="18">
        <v>6373.3374899999999</v>
      </c>
      <c r="E259" s="18">
        <v>6771.1763787576883</v>
      </c>
      <c r="F259" s="18">
        <v>1049.359506</v>
      </c>
      <c r="G259" s="18">
        <v>1122.7654186220427</v>
      </c>
      <c r="H259" s="19">
        <v>6.2422379072489376E-2</v>
      </c>
      <c r="I259" s="19">
        <v>6.9953063942647331E-2</v>
      </c>
      <c r="J259" s="19">
        <v>6.3487005010938624E-2</v>
      </c>
    </row>
    <row r="260" spans="1:10" ht="11.25" customHeight="1" x14ac:dyDescent="0.2">
      <c r="A260" s="28">
        <v>44501</v>
      </c>
      <c r="B260" s="18">
        <v>0</v>
      </c>
      <c r="C260" s="18">
        <v>0</v>
      </c>
      <c r="D260" s="18">
        <v>7000.2452700000003</v>
      </c>
      <c r="E260" s="18">
        <v>7437.2172338443415</v>
      </c>
      <c r="F260" s="18">
        <v>1152.5788380000001</v>
      </c>
      <c r="G260" s="18">
        <v>1233.2052591535562</v>
      </c>
      <c r="H260" s="19">
        <v>6.2422379072489376E-2</v>
      </c>
      <c r="I260" s="19">
        <v>6.9953063942647331E-2</v>
      </c>
      <c r="J260" s="19">
        <v>6.3487005010938624E-2</v>
      </c>
    </row>
    <row r="261" spans="1:10" ht="11.25" customHeight="1" x14ac:dyDescent="0.2">
      <c r="A261" s="28">
        <v>44531</v>
      </c>
      <c r="B261" s="18">
        <v>0</v>
      </c>
      <c r="C261" s="18">
        <v>0</v>
      </c>
      <c r="D261" s="18">
        <v>20471.676929999998</v>
      </c>
      <c r="E261" s="18">
        <v>21749.567707573995</v>
      </c>
      <c r="F261" s="18">
        <v>3370.6278419999999</v>
      </c>
      <c r="G261" s="18">
        <v>3606.4135869582929</v>
      </c>
      <c r="H261" s="19">
        <v>6.2422379072489376E-2</v>
      </c>
      <c r="I261" s="19">
        <v>6.9953063942647109E-2</v>
      </c>
      <c r="J261" s="19">
        <v>6.3487005010938846E-2</v>
      </c>
    </row>
    <row r="262" spans="1:10" ht="11.25" customHeight="1" x14ac:dyDescent="0.2">
      <c r="A262" s="28">
        <v>44562</v>
      </c>
      <c r="B262" s="18">
        <v>0</v>
      </c>
      <c r="C262" s="18">
        <v>0</v>
      </c>
      <c r="D262" s="18">
        <v>42789.998789999998</v>
      </c>
      <c r="E262" s="18">
        <v>45461.052314980749</v>
      </c>
      <c r="F262" s="18">
        <v>7045.3027259999999</v>
      </c>
      <c r="G262" s="18">
        <v>7538.1432380871847</v>
      </c>
      <c r="H262" s="19">
        <v>6.2422379072489598E-2</v>
      </c>
      <c r="I262" s="19">
        <v>6.9953063942647331E-2</v>
      </c>
      <c r="J262" s="19">
        <v>6.3487005010938624E-2</v>
      </c>
    </row>
    <row r="263" spans="1:10" ht="11.25" customHeight="1" x14ac:dyDescent="0.2">
      <c r="A263" s="28">
        <v>44593</v>
      </c>
      <c r="B263" s="18">
        <v>0</v>
      </c>
      <c r="C263" s="18">
        <v>0</v>
      </c>
      <c r="D263" s="18">
        <v>26939.489219999999</v>
      </c>
      <c r="E263" s="18">
        <v>28621.116228110088</v>
      </c>
      <c r="F263" s="18">
        <v>4435.5424680000006</v>
      </c>
      <c r="G263" s="18">
        <v>4745.8222538843311</v>
      </c>
      <c r="H263" s="19">
        <v>6.2422379072489598E-2</v>
      </c>
      <c r="I263" s="19">
        <v>6.9953063942647109E-2</v>
      </c>
      <c r="J263" s="19">
        <v>6.3487005010938846E-2</v>
      </c>
    </row>
    <row r="264" spans="1:10" ht="11.25" customHeight="1" x14ac:dyDescent="0.2">
      <c r="A264" s="28">
        <v>44621</v>
      </c>
      <c r="B264" s="18">
        <v>0</v>
      </c>
      <c r="C264" s="18">
        <v>0</v>
      </c>
      <c r="D264" s="18">
        <v>27944.971020000001</v>
      </c>
      <c r="E264" s="18">
        <v>29689.362594180177</v>
      </c>
      <c r="F264" s="18">
        <v>4601.0933880000002</v>
      </c>
      <c r="G264" s="18">
        <v>4922.953967976855</v>
      </c>
      <c r="H264" s="19">
        <v>6.2422379072489598E-2</v>
      </c>
      <c r="I264" s="19">
        <v>6.9953063942647109E-2</v>
      </c>
      <c r="J264" s="19">
        <v>6.3487005010938624E-2</v>
      </c>
    </row>
    <row r="265" spans="1:10" ht="11.25" customHeight="1" x14ac:dyDescent="0.2">
      <c r="A265" s="28">
        <v>44652</v>
      </c>
      <c r="B265" s="18">
        <v>0</v>
      </c>
      <c r="C265" s="18">
        <v>0</v>
      </c>
      <c r="D265" s="18">
        <v>9578.7324900000003</v>
      </c>
      <c r="E265" s="18">
        <v>10176.659760524752</v>
      </c>
      <c r="F265" s="18">
        <v>1577.1225060000002</v>
      </c>
      <c r="G265" s="18">
        <v>1687.4470575076059</v>
      </c>
      <c r="H265" s="19">
        <v>6.2422379072489598E-2</v>
      </c>
      <c r="I265" s="19">
        <v>6.9953063942647109E-2</v>
      </c>
      <c r="J265" s="19">
        <v>6.3487005010938846E-2</v>
      </c>
    </row>
    <row r="266" spans="1:10" ht="11.25" customHeight="1" x14ac:dyDescent="0.2">
      <c r="A266" s="28">
        <v>44682</v>
      </c>
      <c r="B266" s="18">
        <v>0</v>
      </c>
      <c r="C266" s="18">
        <v>0</v>
      </c>
      <c r="D266" s="18">
        <v>6253.2195300000003</v>
      </c>
      <c r="E266" s="18">
        <v>6643.5603699251542</v>
      </c>
      <c r="F266" s="18">
        <v>1029.5822820000001</v>
      </c>
      <c r="G266" s="18">
        <v>1101.6047172069625</v>
      </c>
      <c r="H266" s="19">
        <v>6.2422379072489376E-2</v>
      </c>
      <c r="I266" s="19">
        <v>6.9953063942647109E-2</v>
      </c>
      <c r="J266" s="19">
        <v>6.3487005010938402E-2</v>
      </c>
    </row>
    <row r="267" spans="1:10" ht="11.25" customHeight="1" x14ac:dyDescent="0.2">
      <c r="A267" s="28">
        <v>44713</v>
      </c>
      <c r="B267" s="18">
        <v>0</v>
      </c>
      <c r="C267" s="18">
        <v>0</v>
      </c>
      <c r="D267" s="18">
        <v>6514.3748699999996</v>
      </c>
      <c r="E267" s="18">
        <v>6921.017647555439</v>
      </c>
      <c r="F267" s="18">
        <v>1072.5810780000002</v>
      </c>
      <c r="G267" s="18">
        <v>1147.6114107330075</v>
      </c>
      <c r="H267" s="19">
        <v>6.2422379072489376E-2</v>
      </c>
      <c r="I267" s="19">
        <v>6.9953063942647109E-2</v>
      </c>
      <c r="J267" s="19">
        <v>6.3487005010938624E-2</v>
      </c>
    </row>
    <row r="268" spans="1:10" ht="11.25" customHeight="1" x14ac:dyDescent="0.2">
      <c r="A268" s="25" t="s">
        <v>52</v>
      </c>
      <c r="B268" s="18">
        <v>0</v>
      </c>
      <c r="C268" s="18">
        <v>0</v>
      </c>
      <c r="D268" s="18">
        <v>456850.3515269999</v>
      </c>
      <c r="E268" s="18">
        <v>607452.10581117915</v>
      </c>
      <c r="F268" s="18">
        <v>1217434.855314</v>
      </c>
      <c r="G268" s="18">
        <v>1302598.1535937877</v>
      </c>
      <c r="H268" s="19">
        <v>0.3296522674893434</v>
      </c>
      <c r="I268" s="19">
        <v>6.9953063942646887E-2</v>
      </c>
      <c r="J268" s="19">
        <v>0.14081534711090371</v>
      </c>
    </row>
    <row r="269" spans="1:10" ht="11.25" customHeight="1" x14ac:dyDescent="0.2">
      <c r="A269" s="26" t="s">
        <v>25</v>
      </c>
      <c r="B269" s="18">
        <v>0</v>
      </c>
      <c r="C269" s="18">
        <v>0</v>
      </c>
      <c r="D269" s="18">
        <v>456850.3515269999</v>
      </c>
      <c r="E269" s="18">
        <v>607452.10581117915</v>
      </c>
      <c r="F269" s="18">
        <v>1217434.855314</v>
      </c>
      <c r="G269" s="18">
        <v>1302598.1535937877</v>
      </c>
      <c r="H269" s="19">
        <v>0.3296522674893434</v>
      </c>
      <c r="I269" s="19">
        <v>6.9953063942646887E-2</v>
      </c>
      <c r="J269" s="19">
        <v>0.14081534711090371</v>
      </c>
    </row>
    <row r="270" spans="1:10" ht="11.25" customHeight="1" x14ac:dyDescent="0.2">
      <c r="A270" s="27" t="s">
        <v>38</v>
      </c>
      <c r="B270" s="18">
        <v>0</v>
      </c>
      <c r="C270" s="18">
        <v>0</v>
      </c>
      <c r="D270" s="18">
        <v>456850.3515269999</v>
      </c>
      <c r="E270" s="18">
        <v>607452.10581117915</v>
      </c>
      <c r="F270" s="18">
        <v>1217434.855314</v>
      </c>
      <c r="G270" s="18">
        <v>1302598.1535937877</v>
      </c>
      <c r="H270" s="19">
        <v>0.3296522674893434</v>
      </c>
      <c r="I270" s="19">
        <v>6.9953063942646887E-2</v>
      </c>
      <c r="J270" s="19">
        <v>0.14081534711090371</v>
      </c>
    </row>
    <row r="271" spans="1:10" ht="11.25" customHeight="1" x14ac:dyDescent="0.2">
      <c r="A271" s="28">
        <v>44378</v>
      </c>
      <c r="B271" s="18">
        <v>0</v>
      </c>
      <c r="C271" s="18">
        <v>0</v>
      </c>
      <c r="D271" s="18">
        <v>1754.6502959999998</v>
      </c>
      <c r="E271" s="18">
        <v>2333.0747447272479</v>
      </c>
      <c r="F271" s="18">
        <v>4675.8690720000004</v>
      </c>
      <c r="G271" s="18">
        <v>5002.960440181062</v>
      </c>
      <c r="H271" s="19">
        <v>0.32965226748934384</v>
      </c>
      <c r="I271" s="19">
        <v>6.9953063942647109E-2</v>
      </c>
      <c r="J271" s="19">
        <v>0.14081534711090371</v>
      </c>
    </row>
    <row r="272" spans="1:10" ht="11.25" customHeight="1" x14ac:dyDescent="0.2">
      <c r="A272" s="28">
        <v>44409</v>
      </c>
      <c r="B272" s="18">
        <v>0</v>
      </c>
      <c r="C272" s="18">
        <v>0</v>
      </c>
      <c r="D272" s="18">
        <v>3435.0644249999996</v>
      </c>
      <c r="E272" s="18">
        <v>4567.4412016732285</v>
      </c>
      <c r="F272" s="18">
        <v>9153.9103499999983</v>
      </c>
      <c r="G272" s="18">
        <v>9794.2544260388113</v>
      </c>
      <c r="H272" s="19">
        <v>0.32965226748934384</v>
      </c>
      <c r="I272" s="19">
        <v>6.9953063942647553E-2</v>
      </c>
      <c r="J272" s="19">
        <v>0.14081534711090415</v>
      </c>
    </row>
    <row r="273" spans="1:10" ht="11.25" customHeight="1" x14ac:dyDescent="0.2">
      <c r="A273" s="28">
        <v>44440</v>
      </c>
      <c r="B273" s="18">
        <v>0</v>
      </c>
      <c r="C273" s="18">
        <v>0</v>
      </c>
      <c r="D273" s="18">
        <v>11119.977423</v>
      </c>
      <c r="E273" s="18">
        <v>14785.703194922258</v>
      </c>
      <c r="F273" s="18">
        <v>29633.003586000003</v>
      </c>
      <c r="G273" s="18">
        <v>31705.922980664152</v>
      </c>
      <c r="H273" s="19">
        <v>0.32965226748934362</v>
      </c>
      <c r="I273" s="19">
        <v>6.9953063942647109E-2</v>
      </c>
      <c r="J273" s="19">
        <v>0.14081534711090393</v>
      </c>
    </row>
    <row r="274" spans="1:10" ht="11.25" customHeight="1" x14ac:dyDescent="0.2">
      <c r="A274" s="28">
        <v>44470</v>
      </c>
      <c r="B274" s="18">
        <v>0</v>
      </c>
      <c r="C274" s="18">
        <v>0</v>
      </c>
      <c r="D274" s="18">
        <v>5206.7050259999996</v>
      </c>
      <c r="E274" s="18">
        <v>6923.1071439690631</v>
      </c>
      <c r="F274" s="18">
        <v>13875.055932000001</v>
      </c>
      <c r="G274" s="18">
        <v>14845.658606819004</v>
      </c>
      <c r="H274" s="19">
        <v>0.32965226748934406</v>
      </c>
      <c r="I274" s="19">
        <v>6.9953063942647331E-2</v>
      </c>
      <c r="J274" s="19">
        <v>0.14081534711090415</v>
      </c>
    </row>
    <row r="275" spans="1:10" ht="11.25" customHeight="1" x14ac:dyDescent="0.2">
      <c r="A275" s="28">
        <v>44501</v>
      </c>
      <c r="B275" s="18">
        <v>0</v>
      </c>
      <c r="C275" s="18">
        <v>0</v>
      </c>
      <c r="D275" s="18">
        <v>10427.961257999998</v>
      </c>
      <c r="E275" s="18">
        <v>13865.562331990728</v>
      </c>
      <c r="F275" s="18">
        <v>27788.888556000002</v>
      </c>
      <c r="G275" s="18">
        <v>29732.806454052967</v>
      </c>
      <c r="H275" s="19">
        <v>0.32965226748934384</v>
      </c>
      <c r="I275" s="19">
        <v>6.9953063942647109E-2</v>
      </c>
      <c r="J275" s="19">
        <v>0.14081534711090371</v>
      </c>
    </row>
    <row r="276" spans="1:10" ht="11.25" customHeight="1" x14ac:dyDescent="0.2">
      <c r="A276" s="28">
        <v>44531</v>
      </c>
      <c r="B276" s="18">
        <v>0</v>
      </c>
      <c r="C276" s="18">
        <v>0</v>
      </c>
      <c r="D276" s="18">
        <v>91622.523305999988</v>
      </c>
      <c r="E276" s="18">
        <v>121826.09586691813</v>
      </c>
      <c r="F276" s="18">
        <v>244159.718892</v>
      </c>
      <c r="G276" s="18">
        <v>261239.43931987084</v>
      </c>
      <c r="H276" s="19">
        <v>0.32965226748934384</v>
      </c>
      <c r="I276" s="19">
        <v>6.9953063942647109E-2</v>
      </c>
      <c r="J276" s="19">
        <v>0.14081534711090415</v>
      </c>
    </row>
    <row r="277" spans="1:10" ht="11.25" customHeight="1" x14ac:dyDescent="0.2">
      <c r="A277" s="28">
        <v>44562</v>
      </c>
      <c r="B277" s="18">
        <v>0</v>
      </c>
      <c r="C277" s="18">
        <v>0</v>
      </c>
      <c r="D277" s="18">
        <v>130955.95495499998</v>
      </c>
      <c r="E277" s="18">
        <v>174125.88244714809</v>
      </c>
      <c r="F277" s="18">
        <v>348977.17281000002</v>
      </c>
      <c r="G277" s="18">
        <v>373389.19529410219</v>
      </c>
      <c r="H277" s="19">
        <v>0.32965226748934384</v>
      </c>
      <c r="I277" s="19">
        <v>6.9953063942647109E-2</v>
      </c>
      <c r="J277" s="19">
        <v>0.14081534711090393</v>
      </c>
    </row>
    <row r="278" spans="1:10" ht="11.25" customHeight="1" x14ac:dyDescent="0.2">
      <c r="A278" s="28">
        <v>44593</v>
      </c>
      <c r="B278" s="18">
        <v>0</v>
      </c>
      <c r="C278" s="18">
        <v>0</v>
      </c>
      <c r="D278" s="18">
        <v>99088.396874999991</v>
      </c>
      <c r="E278" s="18">
        <v>131753.11158672775</v>
      </c>
      <c r="F278" s="18">
        <v>264055.10625000001</v>
      </c>
      <c r="G278" s="18">
        <v>282526.56998188875</v>
      </c>
      <c r="H278" s="19">
        <v>0.32965226748934384</v>
      </c>
      <c r="I278" s="19">
        <v>6.9953063942647109E-2</v>
      </c>
      <c r="J278" s="19">
        <v>0.14081534711090415</v>
      </c>
    </row>
    <row r="279" spans="1:10" ht="11.25" customHeight="1" x14ac:dyDescent="0.2">
      <c r="A279" s="28">
        <v>44621</v>
      </c>
      <c r="B279" s="18">
        <v>0</v>
      </c>
      <c r="C279" s="18">
        <v>0</v>
      </c>
      <c r="D279" s="18">
        <v>74440.780304999993</v>
      </c>
      <c r="E279" s="18">
        <v>98980.352326219319</v>
      </c>
      <c r="F279" s="18">
        <v>198373.05650999999</v>
      </c>
      <c r="G279" s="18">
        <v>212249.85961654241</v>
      </c>
      <c r="H279" s="19">
        <v>0.32965226748934362</v>
      </c>
      <c r="I279" s="19">
        <v>6.9953063942647331E-2</v>
      </c>
      <c r="J279" s="19">
        <v>0.14081534711090393</v>
      </c>
    </row>
    <row r="280" spans="1:10" ht="11.25" customHeight="1" x14ac:dyDescent="0.2">
      <c r="A280" s="28">
        <v>44652</v>
      </c>
      <c r="B280" s="18">
        <v>0</v>
      </c>
      <c r="C280" s="18">
        <v>0</v>
      </c>
      <c r="D280" s="18">
        <v>18293.450970000002</v>
      </c>
      <c r="E280" s="18">
        <v>24323.928562465633</v>
      </c>
      <c r="F280" s="18">
        <v>48749.190540000003</v>
      </c>
      <c r="G280" s="18">
        <v>52159.345782996912</v>
      </c>
      <c r="H280" s="19">
        <v>0.32965226748934362</v>
      </c>
      <c r="I280" s="19">
        <v>6.9953063942647109E-2</v>
      </c>
      <c r="J280" s="19">
        <v>0.14081534711090393</v>
      </c>
    </row>
    <row r="281" spans="1:10" ht="11.25" customHeight="1" x14ac:dyDescent="0.2">
      <c r="A281" s="28">
        <v>44682</v>
      </c>
      <c r="B281" s="18">
        <v>0</v>
      </c>
      <c r="C281" s="18">
        <v>0</v>
      </c>
      <c r="D281" s="18">
        <v>5866.4291879999992</v>
      </c>
      <c r="E281" s="18">
        <v>7800.3108718898693</v>
      </c>
      <c r="F281" s="18">
        <v>15633.117816000002</v>
      </c>
      <c r="G281" s="18">
        <v>16726.702306205585</v>
      </c>
      <c r="H281" s="19">
        <v>0.32965226748934384</v>
      </c>
      <c r="I281" s="19">
        <v>6.9953063942647109E-2</v>
      </c>
      <c r="J281" s="19">
        <v>0.14081534711090393</v>
      </c>
    </row>
    <row r="282" spans="1:10" ht="11.25" customHeight="1" x14ac:dyDescent="0.2">
      <c r="A282" s="28">
        <v>44713</v>
      </c>
      <c r="B282" s="18">
        <v>0</v>
      </c>
      <c r="C282" s="18">
        <v>0</v>
      </c>
      <c r="D282" s="18">
        <v>4638.4574999999995</v>
      </c>
      <c r="E282" s="18">
        <v>6167.5355325279525</v>
      </c>
      <c r="F282" s="18">
        <v>12360.765000000001</v>
      </c>
      <c r="G282" s="18">
        <v>13225.438384425035</v>
      </c>
      <c r="H282" s="19">
        <v>0.32965226748934384</v>
      </c>
      <c r="I282" s="19">
        <v>6.9953063942647109E-2</v>
      </c>
      <c r="J282" s="19">
        <v>0.14081534711090371</v>
      </c>
    </row>
    <row r="283" spans="1:10" ht="11.25" customHeight="1" x14ac:dyDescent="0.2">
      <c r="A283" s="25" t="s">
        <v>25</v>
      </c>
      <c r="B283" s="18">
        <v>7420991.3088000007</v>
      </c>
      <c r="C283" s="18">
        <v>7867962.7230115505</v>
      </c>
      <c r="D283" s="18">
        <v>0</v>
      </c>
      <c r="E283" s="18">
        <v>0</v>
      </c>
      <c r="F283" s="18">
        <v>0</v>
      </c>
      <c r="G283" s="18">
        <v>0</v>
      </c>
      <c r="H283" s="19">
        <v>6.0230688274964583E-2</v>
      </c>
      <c r="I283" s="19">
        <v>0</v>
      </c>
      <c r="J283" s="19">
        <v>6.0230688274964583E-2</v>
      </c>
    </row>
    <row r="284" spans="1:10" ht="11.25" customHeight="1" x14ac:dyDescent="0.2">
      <c r="A284" s="26" t="s">
        <v>25</v>
      </c>
      <c r="B284" s="18">
        <v>7420991.3088000007</v>
      </c>
      <c r="C284" s="18">
        <v>7867962.7230115505</v>
      </c>
      <c r="D284" s="18">
        <v>0</v>
      </c>
      <c r="E284" s="18">
        <v>0</v>
      </c>
      <c r="F284" s="18">
        <v>0</v>
      </c>
      <c r="G284" s="18">
        <v>0</v>
      </c>
      <c r="H284" s="19">
        <v>6.0230688274964583E-2</v>
      </c>
      <c r="I284" s="19">
        <v>0</v>
      </c>
      <c r="J284" s="19">
        <v>6.0230688274964583E-2</v>
      </c>
    </row>
    <row r="285" spans="1:10" ht="11.25" customHeight="1" x14ac:dyDescent="0.2">
      <c r="A285" s="27" t="s">
        <v>25</v>
      </c>
      <c r="B285" s="18">
        <v>7420991.3088000007</v>
      </c>
      <c r="C285" s="18">
        <v>7867962.7230115505</v>
      </c>
      <c r="D285" s="18">
        <v>0</v>
      </c>
      <c r="E285" s="18">
        <v>0</v>
      </c>
      <c r="F285" s="18">
        <v>0</v>
      </c>
      <c r="G285" s="18">
        <v>0</v>
      </c>
      <c r="H285" s="19">
        <v>6.0230688274964583E-2</v>
      </c>
      <c r="I285" s="19">
        <v>0</v>
      </c>
      <c r="J285" s="19">
        <v>6.0230688274964583E-2</v>
      </c>
    </row>
    <row r="286" spans="1:10" ht="11.25" customHeight="1" x14ac:dyDescent="0.2">
      <c r="A286" s="28">
        <v>44378</v>
      </c>
      <c r="B286" s="18">
        <v>160235.7696</v>
      </c>
      <c r="C286" s="18">
        <v>169886.88028927657</v>
      </c>
      <c r="D286" s="18">
        <v>0</v>
      </c>
      <c r="E286" s="18">
        <v>0</v>
      </c>
      <c r="F286" s="18">
        <v>0</v>
      </c>
      <c r="G286" s="18">
        <v>0</v>
      </c>
      <c r="H286" s="19">
        <v>6.0230688274964139E-2</v>
      </c>
      <c r="I286" s="19">
        <v>0</v>
      </c>
      <c r="J286" s="19">
        <v>6.0230688274964139E-2</v>
      </c>
    </row>
    <row r="287" spans="1:10" ht="11.25" customHeight="1" x14ac:dyDescent="0.2">
      <c r="A287" s="28">
        <v>44409</v>
      </c>
      <c r="B287" s="18">
        <v>208924.5312</v>
      </c>
      <c r="C287" s="18">
        <v>221508.19951170022</v>
      </c>
      <c r="D287" s="18">
        <v>0</v>
      </c>
      <c r="E287" s="18">
        <v>0</v>
      </c>
      <c r="F287" s="18">
        <v>0</v>
      </c>
      <c r="G287" s="18">
        <v>0</v>
      </c>
      <c r="H287" s="19">
        <v>6.0230688274964139E-2</v>
      </c>
      <c r="I287" s="19">
        <v>0</v>
      </c>
      <c r="J287" s="19">
        <v>6.0230688274964139E-2</v>
      </c>
    </row>
    <row r="288" spans="1:10" ht="11.25" customHeight="1" x14ac:dyDescent="0.2">
      <c r="A288" s="28">
        <v>44440</v>
      </c>
      <c r="B288" s="18">
        <v>430611.64800000004</v>
      </c>
      <c r="C288" s="18">
        <v>456547.68393825652</v>
      </c>
      <c r="D288" s="18">
        <v>0</v>
      </c>
      <c r="E288" s="18">
        <v>0</v>
      </c>
      <c r="F288" s="18">
        <v>0</v>
      </c>
      <c r="G288" s="18">
        <v>0</v>
      </c>
      <c r="H288" s="19">
        <v>6.0230688274963917E-2</v>
      </c>
      <c r="I288" s="19">
        <v>0</v>
      </c>
      <c r="J288" s="19">
        <v>6.0230688274963917E-2</v>
      </c>
    </row>
    <row r="289" spans="1:10" ht="11.25" customHeight="1" x14ac:dyDescent="0.2">
      <c r="A289" s="28">
        <v>44470</v>
      </c>
      <c r="B289" s="18">
        <v>398479.07520000002</v>
      </c>
      <c r="C289" s="18">
        <v>422479.74416246719</v>
      </c>
      <c r="D289" s="18">
        <v>0</v>
      </c>
      <c r="E289" s="18">
        <v>0</v>
      </c>
      <c r="F289" s="18">
        <v>0</v>
      </c>
      <c r="G289" s="18">
        <v>0</v>
      </c>
      <c r="H289" s="19">
        <v>6.0230688274964139E-2</v>
      </c>
      <c r="I289" s="19">
        <v>0</v>
      </c>
      <c r="J289" s="19">
        <v>6.0230688274964139E-2</v>
      </c>
    </row>
    <row r="290" spans="1:10" ht="11.25" customHeight="1" x14ac:dyDescent="0.2">
      <c r="A290" s="28">
        <v>44501</v>
      </c>
      <c r="B290" s="18">
        <v>587204.55359999998</v>
      </c>
      <c r="C290" s="18">
        <v>622572.28802152118</v>
      </c>
      <c r="D290" s="18">
        <v>0</v>
      </c>
      <c r="E290" s="18">
        <v>0</v>
      </c>
      <c r="F290" s="18">
        <v>0</v>
      </c>
      <c r="G290" s="18">
        <v>0</v>
      </c>
      <c r="H290" s="19">
        <v>6.0230688274964361E-2</v>
      </c>
      <c r="I290" s="19">
        <v>0</v>
      </c>
      <c r="J290" s="19">
        <v>6.0230688274964361E-2</v>
      </c>
    </row>
    <row r="291" spans="1:10" ht="11.25" customHeight="1" x14ac:dyDescent="0.2">
      <c r="A291" s="28">
        <v>44531</v>
      </c>
      <c r="B291" s="18">
        <v>1034849.7312</v>
      </c>
      <c r="C291" s="18">
        <v>1097179.4427713377</v>
      </c>
      <c r="D291" s="18">
        <v>0</v>
      </c>
      <c r="E291" s="18">
        <v>0</v>
      </c>
      <c r="F291" s="18">
        <v>0</v>
      </c>
      <c r="G291" s="18">
        <v>0</v>
      </c>
      <c r="H291" s="19">
        <v>6.0230688274964139E-2</v>
      </c>
      <c r="I291" s="19">
        <v>0</v>
      </c>
      <c r="J291" s="19">
        <v>6.0230688274964139E-2</v>
      </c>
    </row>
    <row r="292" spans="1:10" ht="11.25" customHeight="1" x14ac:dyDescent="0.2">
      <c r="A292" s="28">
        <v>44562</v>
      </c>
      <c r="B292" s="18">
        <v>1167475.1040000001</v>
      </c>
      <c r="C292" s="18">
        <v>1237792.9330578053</v>
      </c>
      <c r="D292" s="18">
        <v>0</v>
      </c>
      <c r="E292" s="18">
        <v>0</v>
      </c>
      <c r="F292" s="18">
        <v>0</v>
      </c>
      <c r="G292" s="18">
        <v>0</v>
      </c>
      <c r="H292" s="19">
        <v>6.0230688274964139E-2</v>
      </c>
      <c r="I292" s="19">
        <v>0</v>
      </c>
      <c r="J292" s="19">
        <v>6.0230688274964139E-2</v>
      </c>
    </row>
    <row r="293" spans="1:10" ht="11.25" customHeight="1" x14ac:dyDescent="0.2">
      <c r="A293" s="28">
        <v>44593</v>
      </c>
      <c r="B293" s="18">
        <v>1146547.4783999999</v>
      </c>
      <c r="C293" s="18">
        <v>1215604.8221639565</v>
      </c>
      <c r="D293" s="18">
        <v>0</v>
      </c>
      <c r="E293" s="18">
        <v>0</v>
      </c>
      <c r="F293" s="18">
        <v>0</v>
      </c>
      <c r="G293" s="18">
        <v>0</v>
      </c>
      <c r="H293" s="19">
        <v>6.0230688274964139E-2</v>
      </c>
      <c r="I293" s="19">
        <v>0</v>
      </c>
      <c r="J293" s="19">
        <v>6.0230688274964139E-2</v>
      </c>
    </row>
    <row r="294" spans="1:10" ht="11.25" customHeight="1" x14ac:dyDescent="0.2">
      <c r="A294" s="28">
        <v>44621</v>
      </c>
      <c r="B294" s="18">
        <v>1084568.544</v>
      </c>
      <c r="C294" s="18">
        <v>1149892.8538864956</v>
      </c>
      <c r="D294" s="18">
        <v>0</v>
      </c>
      <c r="E294" s="18">
        <v>0</v>
      </c>
      <c r="F294" s="18">
        <v>0</v>
      </c>
      <c r="G294" s="18">
        <v>0</v>
      </c>
      <c r="H294" s="19">
        <v>6.0230688274963917E-2</v>
      </c>
      <c r="I294" s="19">
        <v>0</v>
      </c>
      <c r="J294" s="19">
        <v>6.0230688274963917E-2</v>
      </c>
    </row>
    <row r="295" spans="1:10" ht="11.25" customHeight="1" x14ac:dyDescent="0.2">
      <c r="A295" s="28">
        <v>44652</v>
      </c>
      <c r="B295" s="18">
        <v>713297.89440000011</v>
      </c>
      <c r="C295" s="18">
        <v>756260.31752479472</v>
      </c>
      <c r="D295" s="18">
        <v>0</v>
      </c>
      <c r="E295" s="18">
        <v>0</v>
      </c>
      <c r="F295" s="18">
        <v>0</v>
      </c>
      <c r="G295" s="18">
        <v>0</v>
      </c>
      <c r="H295" s="19">
        <v>6.0230688274963917E-2</v>
      </c>
      <c r="I295" s="19">
        <v>0</v>
      </c>
      <c r="J295" s="19">
        <v>6.0230688274963917E-2</v>
      </c>
    </row>
    <row r="296" spans="1:10" ht="11.25" customHeight="1" x14ac:dyDescent="0.2">
      <c r="A296" s="28">
        <v>44682</v>
      </c>
      <c r="B296" s="18">
        <v>305171.51040000009</v>
      </c>
      <c r="C296" s="18">
        <v>323552.20051330235</v>
      </c>
      <c r="D296" s="18">
        <v>0</v>
      </c>
      <c r="E296" s="18">
        <v>0</v>
      </c>
      <c r="F296" s="18">
        <v>0</v>
      </c>
      <c r="G296" s="18">
        <v>0</v>
      </c>
      <c r="H296" s="19">
        <v>6.0230688274963695E-2</v>
      </c>
      <c r="I296" s="19">
        <v>0</v>
      </c>
      <c r="J296" s="19">
        <v>6.0230688274963695E-2</v>
      </c>
    </row>
    <row r="297" spans="1:10" ht="11.25" customHeight="1" x14ac:dyDescent="0.2">
      <c r="A297" s="28">
        <v>44713</v>
      </c>
      <c r="B297" s="18">
        <v>183625.4688</v>
      </c>
      <c r="C297" s="18">
        <v>194685.35717063694</v>
      </c>
      <c r="D297" s="18">
        <v>0</v>
      </c>
      <c r="E297" s="18">
        <v>0</v>
      </c>
      <c r="F297" s="18">
        <v>0</v>
      </c>
      <c r="G297" s="18">
        <v>0</v>
      </c>
      <c r="H297" s="19">
        <v>6.0230688274964139E-2</v>
      </c>
      <c r="I297" s="19">
        <v>0</v>
      </c>
      <c r="J297" s="19">
        <v>6.0230688274964139E-2</v>
      </c>
    </row>
    <row r="298" spans="1:10" ht="11.25" customHeight="1" x14ac:dyDescent="0.2">
      <c r="A298" s="24" t="s">
        <v>25</v>
      </c>
      <c r="B298" s="18">
        <v>3253328.7839999995</v>
      </c>
      <c r="C298" s="18">
        <v>3449279.015845072</v>
      </c>
      <c r="D298" s="18">
        <v>3523781.8494624007</v>
      </c>
      <c r="E298" s="18">
        <v>4110614.6528970296</v>
      </c>
      <c r="F298" s="18">
        <v>4012610.1326592001</v>
      </c>
      <c r="G298" s="18">
        <v>4293304.5058460226</v>
      </c>
      <c r="H298" s="19">
        <v>0.11550394815965714</v>
      </c>
      <c r="I298" s="19">
        <v>6.9953063942647109E-2</v>
      </c>
      <c r="J298" s="19">
        <v>9.8563941692143997E-2</v>
      </c>
    </row>
    <row r="299" spans="1:10" ht="11.25" customHeight="1" x14ac:dyDescent="0.2">
      <c r="A299" s="25" t="s">
        <v>25</v>
      </c>
      <c r="B299" s="18">
        <v>3253328.7839999995</v>
      </c>
      <c r="C299" s="18">
        <v>3449279.015845072</v>
      </c>
      <c r="D299" s="18">
        <v>3523781.8494624007</v>
      </c>
      <c r="E299" s="18">
        <v>4110614.6528970296</v>
      </c>
      <c r="F299" s="18">
        <v>4012610.1326592001</v>
      </c>
      <c r="G299" s="18">
        <v>4293304.5058460226</v>
      </c>
      <c r="H299" s="19">
        <v>0.11550394815965714</v>
      </c>
      <c r="I299" s="19">
        <v>6.9953063942647109E-2</v>
      </c>
      <c r="J299" s="19">
        <v>9.8563941692143997E-2</v>
      </c>
    </row>
    <row r="300" spans="1:10" ht="11.25" customHeight="1" x14ac:dyDescent="0.2">
      <c r="A300" s="26" t="s">
        <v>25</v>
      </c>
      <c r="B300" s="18">
        <v>3253328.7839999995</v>
      </c>
      <c r="C300" s="18">
        <v>3449279.015845072</v>
      </c>
      <c r="D300" s="18">
        <v>3523781.8494624007</v>
      </c>
      <c r="E300" s="18">
        <v>4110614.6528970296</v>
      </c>
      <c r="F300" s="18">
        <v>4012610.1326592001</v>
      </c>
      <c r="G300" s="18">
        <v>4293304.5058460226</v>
      </c>
      <c r="H300" s="19">
        <v>0.11550394815965714</v>
      </c>
      <c r="I300" s="19">
        <v>6.9953063942647109E-2</v>
      </c>
      <c r="J300" s="19">
        <v>9.8563941692143997E-2</v>
      </c>
    </row>
    <row r="301" spans="1:10" ht="11.25" customHeight="1" x14ac:dyDescent="0.2">
      <c r="A301" s="27" t="s">
        <v>38</v>
      </c>
      <c r="B301" s="18">
        <v>0</v>
      </c>
      <c r="C301" s="18">
        <v>0</v>
      </c>
      <c r="D301" s="18">
        <v>1372862.7408864</v>
      </c>
      <c r="E301" s="18">
        <v>1825430.0563712372</v>
      </c>
      <c r="F301" s="18">
        <v>3658464.8490047995</v>
      </c>
      <c r="G301" s="18">
        <v>3914385.6745191598</v>
      </c>
      <c r="H301" s="19">
        <v>0.32965226748934362</v>
      </c>
      <c r="I301" s="19">
        <v>6.9953063942647109E-2</v>
      </c>
      <c r="J301" s="19">
        <v>0.14081534711090393</v>
      </c>
    </row>
    <row r="302" spans="1:10" ht="11.25" customHeight="1" x14ac:dyDescent="0.2">
      <c r="A302" s="28">
        <v>44378</v>
      </c>
      <c r="B302" s="18">
        <v>0</v>
      </c>
      <c r="C302" s="18">
        <v>0</v>
      </c>
      <c r="D302" s="18">
        <v>101900.40284159999</v>
      </c>
      <c r="E302" s="18">
        <v>135492.101696411</v>
      </c>
      <c r="F302" s="18">
        <v>271548.6630912</v>
      </c>
      <c r="G302" s="18">
        <v>290544.32408395904</v>
      </c>
      <c r="H302" s="19">
        <v>0.32965226748934384</v>
      </c>
      <c r="I302" s="19">
        <v>6.9953063942647109E-2</v>
      </c>
      <c r="J302" s="19">
        <v>0.14081534711090371</v>
      </c>
    </row>
    <row r="303" spans="1:10" ht="11.25" customHeight="1" x14ac:dyDescent="0.2">
      <c r="A303" s="28">
        <v>44409</v>
      </c>
      <c r="B303" s="18">
        <v>0</v>
      </c>
      <c r="C303" s="18">
        <v>0</v>
      </c>
      <c r="D303" s="18">
        <v>103551.68537279998</v>
      </c>
      <c r="E303" s="18">
        <v>137687.73325828661</v>
      </c>
      <c r="F303" s="18">
        <v>275949.07320959994</v>
      </c>
      <c r="G303" s="18">
        <v>295252.55637274537</v>
      </c>
      <c r="H303" s="19">
        <v>0.32965226748934384</v>
      </c>
      <c r="I303" s="19">
        <v>6.9953063942647331E-2</v>
      </c>
      <c r="J303" s="19">
        <v>0.14081534711090415</v>
      </c>
    </row>
    <row r="304" spans="1:10" ht="11.25" customHeight="1" x14ac:dyDescent="0.2">
      <c r="A304" s="28">
        <v>44440</v>
      </c>
      <c r="B304" s="18">
        <v>0</v>
      </c>
      <c r="C304" s="18">
        <v>0</v>
      </c>
      <c r="D304" s="18">
        <v>92922.250367999994</v>
      </c>
      <c r="E304" s="18">
        <v>123554.28090202369</v>
      </c>
      <c r="F304" s="18">
        <v>247623.28857599999</v>
      </c>
      <c r="G304" s="18">
        <v>264945.29631544551</v>
      </c>
      <c r="H304" s="19">
        <v>0.32965226748934362</v>
      </c>
      <c r="I304" s="19">
        <v>6.9953063942647331E-2</v>
      </c>
      <c r="J304" s="19">
        <v>0.14081534711090415</v>
      </c>
    </row>
    <row r="305" spans="1:10" ht="11.25" customHeight="1" x14ac:dyDescent="0.2">
      <c r="A305" s="28">
        <v>44470</v>
      </c>
      <c r="B305" s="18">
        <v>0</v>
      </c>
      <c r="C305" s="18">
        <v>0</v>
      </c>
      <c r="D305" s="18">
        <v>84780.913151999994</v>
      </c>
      <c r="E305" s="18">
        <v>112729.13341237392</v>
      </c>
      <c r="F305" s="18">
        <v>225927.896064</v>
      </c>
      <c r="G305" s="18">
        <v>241732.24462379274</v>
      </c>
      <c r="H305" s="19">
        <v>0.32965226748934384</v>
      </c>
      <c r="I305" s="19">
        <v>6.9953063942647109E-2</v>
      </c>
      <c r="J305" s="19">
        <v>0.14081534711090371</v>
      </c>
    </row>
    <row r="306" spans="1:10" ht="11.25" customHeight="1" x14ac:dyDescent="0.2">
      <c r="A306" s="28">
        <v>44501</v>
      </c>
      <c r="B306" s="18">
        <v>0</v>
      </c>
      <c r="C306" s="18">
        <v>0</v>
      </c>
      <c r="D306" s="18">
        <v>96250.298803199985</v>
      </c>
      <c r="E306" s="18">
        <v>127979.42805020174</v>
      </c>
      <c r="F306" s="18">
        <v>256492.01802239998</v>
      </c>
      <c r="G306" s="18">
        <v>274434.42055989953</v>
      </c>
      <c r="H306" s="19">
        <v>0.32965226748934384</v>
      </c>
      <c r="I306" s="19">
        <v>6.9953063942647109E-2</v>
      </c>
      <c r="J306" s="19">
        <v>0.14081534711090393</v>
      </c>
    </row>
    <row r="307" spans="1:10" ht="11.25" customHeight="1" x14ac:dyDescent="0.2">
      <c r="A307" s="28">
        <v>44531</v>
      </c>
      <c r="B307" s="18">
        <v>0</v>
      </c>
      <c r="C307" s="18">
        <v>0</v>
      </c>
      <c r="D307" s="18">
        <v>128303.9788992</v>
      </c>
      <c r="E307" s="18">
        <v>170599.67647122618</v>
      </c>
      <c r="F307" s="18">
        <v>341910.0706944</v>
      </c>
      <c r="G307" s="18">
        <v>365827.72773232037</v>
      </c>
      <c r="H307" s="19">
        <v>0.32965226748934362</v>
      </c>
      <c r="I307" s="19">
        <v>6.9953063942647109E-2</v>
      </c>
      <c r="J307" s="19">
        <v>0.14081534711090393</v>
      </c>
    </row>
    <row r="308" spans="1:10" ht="11.25" customHeight="1" x14ac:dyDescent="0.2">
      <c r="A308" s="28">
        <v>44562</v>
      </c>
      <c r="B308" s="18">
        <v>0</v>
      </c>
      <c r="C308" s="18">
        <v>0</v>
      </c>
      <c r="D308" s="18">
        <v>102129.01938239997</v>
      </c>
      <c r="E308" s="18">
        <v>135796.08219827127</v>
      </c>
      <c r="F308" s="18">
        <v>272157.89047679998</v>
      </c>
      <c r="G308" s="18">
        <v>291196.16879181948</v>
      </c>
      <c r="H308" s="19">
        <v>0.32965226748934384</v>
      </c>
      <c r="I308" s="19">
        <v>6.9953063942646887E-2</v>
      </c>
      <c r="J308" s="19">
        <v>0.14081534711090393</v>
      </c>
    </row>
    <row r="309" spans="1:10" ht="11.25" customHeight="1" x14ac:dyDescent="0.2">
      <c r="A309" s="28">
        <v>44593</v>
      </c>
      <c r="B309" s="18">
        <v>0</v>
      </c>
      <c r="C309" s="18">
        <v>0</v>
      </c>
      <c r="D309" s="18">
        <v>147690.42140159998</v>
      </c>
      <c r="E309" s="18">
        <v>196376.90370309411</v>
      </c>
      <c r="F309" s="18">
        <v>393571.91301119997</v>
      </c>
      <c r="G309" s="18">
        <v>421103.47420810239</v>
      </c>
      <c r="H309" s="19">
        <v>0.32965226748934384</v>
      </c>
      <c r="I309" s="19">
        <v>6.9953063942647109E-2</v>
      </c>
      <c r="J309" s="19">
        <v>0.14081534711090393</v>
      </c>
    </row>
    <row r="310" spans="1:10" ht="11.25" customHeight="1" x14ac:dyDescent="0.2">
      <c r="A310" s="28">
        <v>44621</v>
      </c>
      <c r="B310" s="18">
        <v>0</v>
      </c>
      <c r="C310" s="18">
        <v>0</v>
      </c>
      <c r="D310" s="18">
        <v>119768.98361279997</v>
      </c>
      <c r="E310" s="18">
        <v>159251.10063565357</v>
      </c>
      <c r="F310" s="18">
        <v>319165.64088959998</v>
      </c>
      <c r="G310" s="18">
        <v>341492.25537504611</v>
      </c>
      <c r="H310" s="19">
        <v>0.32965226748934406</v>
      </c>
      <c r="I310" s="19">
        <v>6.9953063942647109E-2</v>
      </c>
      <c r="J310" s="19">
        <v>0.14081534711090393</v>
      </c>
    </row>
    <row r="311" spans="1:10" ht="11.25" customHeight="1" x14ac:dyDescent="0.2">
      <c r="A311" s="28">
        <v>44652</v>
      </c>
      <c r="B311" s="18">
        <v>0</v>
      </c>
      <c r="C311" s="18">
        <v>0</v>
      </c>
      <c r="D311" s="18">
        <v>117298.89763199998</v>
      </c>
      <c r="E311" s="18">
        <v>155966.7452103892</v>
      </c>
      <c r="F311" s="18">
        <v>312583.247424</v>
      </c>
      <c r="G311" s="18">
        <v>334449.40331845137</v>
      </c>
      <c r="H311" s="19">
        <v>0.32965226748934384</v>
      </c>
      <c r="I311" s="19">
        <v>6.9953063942647109E-2</v>
      </c>
      <c r="J311" s="19">
        <v>0.14081534711090393</v>
      </c>
    </row>
    <row r="312" spans="1:10" ht="11.25" customHeight="1" x14ac:dyDescent="0.2">
      <c r="A312" s="28">
        <v>44682</v>
      </c>
      <c r="B312" s="18">
        <v>0</v>
      </c>
      <c r="C312" s="18">
        <v>0</v>
      </c>
      <c r="D312" s="18">
        <v>139124.6726208</v>
      </c>
      <c r="E312" s="18">
        <v>184987.43641395931</v>
      </c>
      <c r="F312" s="18">
        <v>370745.52994559996</v>
      </c>
      <c r="G312" s="18">
        <v>396680.31570833514</v>
      </c>
      <c r="H312" s="19">
        <v>0.3296522674893434</v>
      </c>
      <c r="I312" s="19">
        <v>6.9953063942647109E-2</v>
      </c>
      <c r="J312" s="19">
        <v>0.14081534711090393</v>
      </c>
    </row>
    <row r="313" spans="1:10" ht="11.25" customHeight="1" x14ac:dyDescent="0.2">
      <c r="A313" s="28">
        <v>44713</v>
      </c>
      <c r="B313" s="18">
        <v>0</v>
      </c>
      <c r="C313" s="18">
        <v>0</v>
      </c>
      <c r="D313" s="18">
        <v>139141.21679999999</v>
      </c>
      <c r="E313" s="18">
        <v>185009.43441934639</v>
      </c>
      <c r="F313" s="18">
        <v>370789.6176</v>
      </c>
      <c r="G313" s="18">
        <v>396727.48742924252</v>
      </c>
      <c r="H313" s="19">
        <v>0.32965226748934384</v>
      </c>
      <c r="I313" s="19">
        <v>6.9953063942647331E-2</v>
      </c>
      <c r="J313" s="19">
        <v>0.14081534711090393</v>
      </c>
    </row>
    <row r="314" spans="1:10" ht="11.25" customHeight="1" x14ac:dyDescent="0.2">
      <c r="A314" s="27" t="s">
        <v>25</v>
      </c>
      <c r="B314" s="18">
        <v>3253328.7839999995</v>
      </c>
      <c r="C314" s="18">
        <v>3449279.015845072</v>
      </c>
      <c r="D314" s="18">
        <v>0</v>
      </c>
      <c r="E314" s="18">
        <v>0</v>
      </c>
      <c r="F314" s="18">
        <v>0</v>
      </c>
      <c r="G314" s="18">
        <v>0</v>
      </c>
      <c r="H314" s="19">
        <v>6.0230688274963917E-2</v>
      </c>
      <c r="I314" s="19">
        <v>0</v>
      </c>
      <c r="J314" s="19">
        <v>6.0230688274963917E-2</v>
      </c>
    </row>
    <row r="315" spans="1:10" ht="11.25" customHeight="1" x14ac:dyDescent="0.2">
      <c r="A315" s="28">
        <v>44378</v>
      </c>
      <c r="B315" s="18">
        <v>248543.81760000004</v>
      </c>
      <c r="C315" s="18">
        <v>263513.78280053515</v>
      </c>
      <c r="D315" s="18">
        <v>0</v>
      </c>
      <c r="E315" s="18">
        <v>0</v>
      </c>
      <c r="F315" s="18">
        <v>0</v>
      </c>
      <c r="G315" s="18">
        <v>0</v>
      </c>
      <c r="H315" s="19">
        <v>6.0230688274963917E-2</v>
      </c>
      <c r="I315" s="19">
        <v>0</v>
      </c>
      <c r="J315" s="19">
        <v>6.0230688274963917E-2</v>
      </c>
    </row>
    <row r="316" spans="1:10" ht="11.25" customHeight="1" x14ac:dyDescent="0.2">
      <c r="A316" s="28">
        <v>44409</v>
      </c>
      <c r="B316" s="18">
        <v>233369.40479999999</v>
      </c>
      <c r="C316" s="18">
        <v>247425.40467342269</v>
      </c>
      <c r="D316" s="18">
        <v>0</v>
      </c>
      <c r="E316" s="18">
        <v>0</v>
      </c>
      <c r="F316" s="18">
        <v>0</v>
      </c>
      <c r="G316" s="18">
        <v>0</v>
      </c>
      <c r="H316" s="19">
        <v>6.0230688274964139E-2</v>
      </c>
      <c r="I316" s="19">
        <v>0</v>
      </c>
      <c r="J316" s="19">
        <v>6.0230688274964139E-2</v>
      </c>
    </row>
    <row r="317" spans="1:10" ht="11.25" customHeight="1" x14ac:dyDescent="0.2">
      <c r="A317" s="28">
        <v>44440</v>
      </c>
      <c r="B317" s="18">
        <v>218797.94880000001</v>
      </c>
      <c r="C317" s="18">
        <v>231976.29984937434</v>
      </c>
      <c r="D317" s="18">
        <v>0</v>
      </c>
      <c r="E317" s="18">
        <v>0</v>
      </c>
      <c r="F317" s="18">
        <v>0</v>
      </c>
      <c r="G317" s="18">
        <v>0</v>
      </c>
      <c r="H317" s="19">
        <v>6.0230688274963917E-2</v>
      </c>
      <c r="I317" s="19">
        <v>0</v>
      </c>
      <c r="J317" s="19">
        <v>6.0230688274963917E-2</v>
      </c>
    </row>
    <row r="318" spans="1:10" ht="11.25" customHeight="1" x14ac:dyDescent="0.2">
      <c r="A318" s="28">
        <v>44470</v>
      </c>
      <c r="B318" s="18">
        <v>211311.23520000002</v>
      </c>
      <c r="C318" s="18">
        <v>224038.65633632883</v>
      </c>
      <c r="D318" s="18">
        <v>0</v>
      </c>
      <c r="E318" s="18">
        <v>0</v>
      </c>
      <c r="F318" s="18">
        <v>0</v>
      </c>
      <c r="G318" s="18">
        <v>0</v>
      </c>
      <c r="H318" s="19">
        <v>6.0230688274963917E-2</v>
      </c>
      <c r="I318" s="19">
        <v>0</v>
      </c>
      <c r="J318" s="19">
        <v>6.0230688274963917E-2</v>
      </c>
    </row>
    <row r="319" spans="1:10" ht="11.25" customHeight="1" x14ac:dyDescent="0.2">
      <c r="A319" s="28">
        <v>44501</v>
      </c>
      <c r="B319" s="18">
        <v>246182.23680000001</v>
      </c>
      <c r="C319" s="18">
        <v>261009.9623635342</v>
      </c>
      <c r="D319" s="18">
        <v>0</v>
      </c>
      <c r="E319" s="18">
        <v>0</v>
      </c>
      <c r="F319" s="18">
        <v>0</v>
      </c>
      <c r="G319" s="18">
        <v>0</v>
      </c>
      <c r="H319" s="19">
        <v>6.0230688274964139E-2</v>
      </c>
      <c r="I319" s="19">
        <v>0</v>
      </c>
      <c r="J319" s="19">
        <v>6.0230688274964139E-2</v>
      </c>
    </row>
    <row r="320" spans="1:10" ht="11.25" customHeight="1" x14ac:dyDescent="0.2">
      <c r="A320" s="28">
        <v>44531</v>
      </c>
      <c r="B320" s="18">
        <v>266632.52159999998</v>
      </c>
      <c r="C320" s="18">
        <v>282691.98189245723</v>
      </c>
      <c r="D320" s="18">
        <v>0</v>
      </c>
      <c r="E320" s="18">
        <v>0</v>
      </c>
      <c r="F320" s="18">
        <v>0</v>
      </c>
      <c r="G320" s="18">
        <v>0</v>
      </c>
      <c r="H320" s="19">
        <v>6.0230688274964139E-2</v>
      </c>
      <c r="I320" s="19">
        <v>0</v>
      </c>
      <c r="J320" s="19">
        <v>6.0230688274964139E-2</v>
      </c>
    </row>
    <row r="321" spans="1:10" ht="11.25" customHeight="1" x14ac:dyDescent="0.2">
      <c r="A321" s="28">
        <v>44562</v>
      </c>
      <c r="B321" s="18">
        <v>241534.4448</v>
      </c>
      <c r="C321" s="18">
        <v>256082.23065241534</v>
      </c>
      <c r="D321" s="18">
        <v>0</v>
      </c>
      <c r="E321" s="18">
        <v>0</v>
      </c>
      <c r="F321" s="18">
        <v>0</v>
      </c>
      <c r="G321" s="18">
        <v>0</v>
      </c>
      <c r="H321" s="19">
        <v>6.0230688274964139E-2</v>
      </c>
      <c r="I321" s="19">
        <v>0</v>
      </c>
      <c r="J321" s="19">
        <v>6.0230688274964139E-2</v>
      </c>
    </row>
    <row r="322" spans="1:10" ht="11.25" customHeight="1" x14ac:dyDescent="0.2">
      <c r="A322" s="28">
        <v>44593</v>
      </c>
      <c r="B322" s="18">
        <v>305272.00320000004</v>
      </c>
      <c r="C322" s="18">
        <v>323658.74606381304</v>
      </c>
      <c r="D322" s="18">
        <v>0</v>
      </c>
      <c r="E322" s="18">
        <v>0</v>
      </c>
      <c r="F322" s="18">
        <v>0</v>
      </c>
      <c r="G322" s="18">
        <v>0</v>
      </c>
      <c r="H322" s="19">
        <v>6.0230688274963917E-2</v>
      </c>
      <c r="I322" s="19">
        <v>0</v>
      </c>
      <c r="J322" s="19">
        <v>6.0230688274963917E-2</v>
      </c>
    </row>
    <row r="323" spans="1:10" ht="11.25" customHeight="1" x14ac:dyDescent="0.2">
      <c r="A323" s="28">
        <v>44621</v>
      </c>
      <c r="B323" s="18">
        <v>298865.58720000001</v>
      </c>
      <c r="C323" s="18">
        <v>316866.46721875732</v>
      </c>
      <c r="D323" s="18">
        <v>0</v>
      </c>
      <c r="E323" s="18">
        <v>0</v>
      </c>
      <c r="F323" s="18">
        <v>0</v>
      </c>
      <c r="G323" s="18">
        <v>0</v>
      </c>
      <c r="H323" s="19">
        <v>6.0230688274964139E-2</v>
      </c>
      <c r="I323" s="19">
        <v>0</v>
      </c>
      <c r="J323" s="19">
        <v>6.0230688274964139E-2</v>
      </c>
    </row>
    <row r="324" spans="1:10" ht="11.25" customHeight="1" x14ac:dyDescent="0.2">
      <c r="A324" s="28">
        <v>44652</v>
      </c>
      <c r="B324" s="18">
        <v>304116.33599999995</v>
      </c>
      <c r="C324" s="18">
        <v>322433.4722329402</v>
      </c>
      <c r="D324" s="18">
        <v>0</v>
      </c>
      <c r="E324" s="18">
        <v>0</v>
      </c>
      <c r="F324" s="18">
        <v>0</v>
      </c>
      <c r="G324" s="18">
        <v>0</v>
      </c>
      <c r="H324" s="19">
        <v>6.0230688274964139E-2</v>
      </c>
      <c r="I324" s="19">
        <v>0</v>
      </c>
      <c r="J324" s="19">
        <v>6.0230688274964139E-2</v>
      </c>
    </row>
    <row r="325" spans="1:10" ht="11.25" customHeight="1" x14ac:dyDescent="0.2">
      <c r="A325" s="28">
        <v>44682</v>
      </c>
      <c r="B325" s="18">
        <v>337479.94559999998</v>
      </c>
      <c r="C325" s="18">
        <v>357806.59500248538</v>
      </c>
      <c r="D325" s="18">
        <v>0</v>
      </c>
      <c r="E325" s="18">
        <v>0</v>
      </c>
      <c r="F325" s="18">
        <v>0</v>
      </c>
      <c r="G325" s="18">
        <v>0</v>
      </c>
      <c r="H325" s="19">
        <v>6.0230688274963917E-2</v>
      </c>
      <c r="I325" s="19">
        <v>0</v>
      </c>
      <c r="J325" s="19">
        <v>6.0230688274963917E-2</v>
      </c>
    </row>
    <row r="326" spans="1:10" ht="11.25" customHeight="1" x14ac:dyDescent="0.2">
      <c r="A326" s="28">
        <v>44713</v>
      </c>
      <c r="B326" s="18">
        <v>341223.30240000004</v>
      </c>
      <c r="C326" s="18">
        <v>361775.41675900819</v>
      </c>
      <c r="D326" s="18">
        <v>0</v>
      </c>
      <c r="E326" s="18">
        <v>0</v>
      </c>
      <c r="F326" s="18">
        <v>0</v>
      </c>
      <c r="G326" s="18">
        <v>0</v>
      </c>
      <c r="H326" s="19">
        <v>6.0230688274963917E-2</v>
      </c>
      <c r="I326" s="19">
        <v>0</v>
      </c>
      <c r="J326" s="19">
        <v>6.0230688274963917E-2</v>
      </c>
    </row>
    <row r="327" spans="1:10" ht="11.25" customHeight="1" x14ac:dyDescent="0.2">
      <c r="A327" s="27" t="s">
        <v>37</v>
      </c>
      <c r="B327" s="18">
        <v>0</v>
      </c>
      <c r="C327" s="18">
        <v>0</v>
      </c>
      <c r="D327" s="18">
        <v>2150919.1085759997</v>
      </c>
      <c r="E327" s="18">
        <v>2285184.5965257925</v>
      </c>
      <c r="F327" s="18">
        <v>354145.28365439997</v>
      </c>
      <c r="G327" s="18">
        <v>378918.8313268632</v>
      </c>
      <c r="H327" s="19">
        <v>6.242237907248982E-2</v>
      </c>
      <c r="I327" s="19">
        <v>6.9953063942646887E-2</v>
      </c>
      <c r="J327" s="19">
        <v>6.3487005010938846E-2</v>
      </c>
    </row>
    <row r="328" spans="1:10" ht="11.25" customHeight="1" x14ac:dyDescent="0.2">
      <c r="A328" s="28">
        <v>44378</v>
      </c>
      <c r="B328" s="18">
        <v>0</v>
      </c>
      <c r="C328" s="18">
        <v>0</v>
      </c>
      <c r="D328" s="18">
        <v>157753.481184</v>
      </c>
      <c r="E328" s="18">
        <v>167600.8287864725</v>
      </c>
      <c r="F328" s="18">
        <v>25973.850489600001</v>
      </c>
      <c r="G328" s="18">
        <v>27790.800913735748</v>
      </c>
      <c r="H328" s="19">
        <v>6.2422379072489598E-2</v>
      </c>
      <c r="I328" s="19">
        <v>6.9953063942647109E-2</v>
      </c>
      <c r="J328" s="19">
        <v>6.3487005010938624E-2</v>
      </c>
    </row>
    <row r="329" spans="1:10" ht="11.25" customHeight="1" x14ac:dyDescent="0.2">
      <c r="A329" s="28">
        <v>44409</v>
      </c>
      <c r="B329" s="18">
        <v>0</v>
      </c>
      <c r="C329" s="18">
        <v>0</v>
      </c>
      <c r="D329" s="18">
        <v>170757.53251200001</v>
      </c>
      <c r="E329" s="18">
        <v>181416.62393594702</v>
      </c>
      <c r="F329" s="18">
        <v>28114.946092800001</v>
      </c>
      <c r="G329" s="18">
        <v>30081.67271457372</v>
      </c>
      <c r="H329" s="19">
        <v>6.2422379072489598E-2</v>
      </c>
      <c r="I329" s="19">
        <v>6.9953063942647331E-2</v>
      </c>
      <c r="J329" s="19">
        <v>6.3487005010938624E-2</v>
      </c>
    </row>
    <row r="330" spans="1:10" ht="11.25" customHeight="1" x14ac:dyDescent="0.2">
      <c r="A330" s="28">
        <v>44440</v>
      </c>
      <c r="B330" s="18">
        <v>0</v>
      </c>
      <c r="C330" s="18">
        <v>0</v>
      </c>
      <c r="D330" s="18">
        <v>149434.30022400001</v>
      </c>
      <c r="E330" s="18">
        <v>158762.34475901473</v>
      </c>
      <c r="F330" s="18">
        <v>24604.111065599998</v>
      </c>
      <c r="G330" s="18">
        <v>26325.244020223909</v>
      </c>
      <c r="H330" s="19">
        <v>6.2422379072489376E-2</v>
      </c>
      <c r="I330" s="19">
        <v>6.9953063942647109E-2</v>
      </c>
      <c r="J330" s="19">
        <v>6.3487005010938624E-2</v>
      </c>
    </row>
    <row r="331" spans="1:10" ht="11.25" customHeight="1" x14ac:dyDescent="0.2">
      <c r="A331" s="28">
        <v>44470</v>
      </c>
      <c r="B331" s="18">
        <v>0</v>
      </c>
      <c r="C331" s="18">
        <v>0</v>
      </c>
      <c r="D331" s="18">
        <v>133213.78684799999</v>
      </c>
      <c r="E331" s="18">
        <v>141529.30834830765</v>
      </c>
      <c r="F331" s="18">
        <v>21933.430291199998</v>
      </c>
      <c r="G331" s="18">
        <v>23467.740942841909</v>
      </c>
      <c r="H331" s="19">
        <v>6.2422379072489376E-2</v>
      </c>
      <c r="I331" s="19">
        <v>6.9953063942647331E-2</v>
      </c>
      <c r="J331" s="19">
        <v>6.3487005010938624E-2</v>
      </c>
    </row>
    <row r="332" spans="1:10" ht="11.25" customHeight="1" x14ac:dyDescent="0.2">
      <c r="A332" s="28">
        <v>44501</v>
      </c>
      <c r="B332" s="18">
        <v>0</v>
      </c>
      <c r="C332" s="18">
        <v>0</v>
      </c>
      <c r="D332" s="18">
        <v>145471.75718399999</v>
      </c>
      <c r="E332" s="18">
        <v>154552.45035528077</v>
      </c>
      <c r="F332" s="18">
        <v>23951.684889599997</v>
      </c>
      <c r="G332" s="18">
        <v>25627.178634216325</v>
      </c>
      <c r="H332" s="19">
        <v>6.2422379072489376E-2</v>
      </c>
      <c r="I332" s="19">
        <v>6.9953063942647331E-2</v>
      </c>
      <c r="J332" s="19">
        <v>6.3487005010938624E-2</v>
      </c>
    </row>
    <row r="333" spans="1:10" ht="11.25" customHeight="1" x14ac:dyDescent="0.2">
      <c r="A333" s="28">
        <v>44531</v>
      </c>
      <c r="B333" s="18">
        <v>0</v>
      </c>
      <c r="C333" s="18">
        <v>0</v>
      </c>
      <c r="D333" s="18">
        <v>194537.10960000003</v>
      </c>
      <c r="E333" s="18">
        <v>206680.57879911765</v>
      </c>
      <c r="F333" s="18">
        <v>32030.214240000005</v>
      </c>
      <c r="G333" s="18">
        <v>34270.825864827413</v>
      </c>
      <c r="H333" s="19">
        <v>6.2422379072489376E-2</v>
      </c>
      <c r="I333" s="19">
        <v>6.9953063942647109E-2</v>
      </c>
      <c r="J333" s="19">
        <v>6.3487005010938624E-2</v>
      </c>
    </row>
    <row r="334" spans="1:10" ht="11.25" customHeight="1" x14ac:dyDescent="0.2">
      <c r="A334" s="28">
        <v>44562</v>
      </c>
      <c r="B334" s="18">
        <v>0</v>
      </c>
      <c r="C334" s="18">
        <v>0</v>
      </c>
      <c r="D334" s="18">
        <v>159099.88204799997</v>
      </c>
      <c r="E334" s="18">
        <v>169031.27519558862</v>
      </c>
      <c r="F334" s="18">
        <v>26195.533171200001</v>
      </c>
      <c r="G334" s="18">
        <v>28027.990978136688</v>
      </c>
      <c r="H334" s="19">
        <v>6.2422379072489598E-2</v>
      </c>
      <c r="I334" s="19">
        <v>6.9953063942647109E-2</v>
      </c>
      <c r="J334" s="19">
        <v>6.3487005010938846E-2</v>
      </c>
    </row>
    <row r="335" spans="1:10" ht="11.25" customHeight="1" x14ac:dyDescent="0.2">
      <c r="A335" s="28">
        <v>44593</v>
      </c>
      <c r="B335" s="18">
        <v>0</v>
      </c>
      <c r="C335" s="18">
        <v>0</v>
      </c>
      <c r="D335" s="18">
        <v>230774.40374400001</v>
      </c>
      <c r="E335" s="18">
        <v>245179.89105473572</v>
      </c>
      <c r="F335" s="18">
        <v>37996.624953599996</v>
      </c>
      <c r="G335" s="18">
        <v>40654.605288583967</v>
      </c>
      <c r="H335" s="19">
        <v>6.2422379072489598E-2</v>
      </c>
      <c r="I335" s="19">
        <v>6.9953063942647331E-2</v>
      </c>
      <c r="J335" s="19">
        <v>6.3487005010938846E-2</v>
      </c>
    </row>
    <row r="336" spans="1:10" ht="11.25" customHeight="1" x14ac:dyDescent="0.2">
      <c r="A336" s="28">
        <v>44621</v>
      </c>
      <c r="B336" s="18">
        <v>0</v>
      </c>
      <c r="C336" s="18">
        <v>0</v>
      </c>
      <c r="D336" s="18">
        <v>198512.609184</v>
      </c>
      <c r="E336" s="18">
        <v>210904.23852515261</v>
      </c>
      <c r="F336" s="18">
        <v>32684.773689599999</v>
      </c>
      <c r="G336" s="18">
        <v>34971.173753459538</v>
      </c>
      <c r="H336" s="19">
        <v>6.2422379072489598E-2</v>
      </c>
      <c r="I336" s="19">
        <v>6.9953063942647109E-2</v>
      </c>
      <c r="J336" s="19">
        <v>6.3487005010938624E-2</v>
      </c>
    </row>
    <row r="337" spans="1:10" ht="11.25" customHeight="1" x14ac:dyDescent="0.2">
      <c r="A337" s="28">
        <v>44652</v>
      </c>
      <c r="B337" s="18">
        <v>0</v>
      </c>
      <c r="C337" s="18">
        <v>0</v>
      </c>
      <c r="D337" s="18">
        <v>202632.79017600001</v>
      </c>
      <c r="E337" s="18">
        <v>215281.6110168825</v>
      </c>
      <c r="F337" s="18">
        <v>33363.1546944</v>
      </c>
      <c r="G337" s="18">
        <v>35697.009588065797</v>
      </c>
      <c r="H337" s="19">
        <v>6.2422379072489376E-2</v>
      </c>
      <c r="I337" s="19">
        <v>6.9953063942647331E-2</v>
      </c>
      <c r="J337" s="19">
        <v>6.3487005010938624E-2</v>
      </c>
    </row>
    <row r="338" spans="1:10" ht="11.25" customHeight="1" x14ac:dyDescent="0.2">
      <c r="A338" s="28">
        <v>44682</v>
      </c>
      <c r="B338" s="18">
        <v>0</v>
      </c>
      <c r="C338" s="18">
        <v>0</v>
      </c>
      <c r="D338" s="18">
        <v>191566.82188800003</v>
      </c>
      <c r="E338" s="18">
        <v>203524.8786616048</v>
      </c>
      <c r="F338" s="18">
        <v>31541.161267200001</v>
      </c>
      <c r="G338" s="18">
        <v>33747.562138149791</v>
      </c>
      <c r="H338" s="19">
        <v>6.2422379072489154E-2</v>
      </c>
      <c r="I338" s="19">
        <v>6.9953063942647331E-2</v>
      </c>
      <c r="J338" s="19">
        <v>6.3487005010938402E-2</v>
      </c>
    </row>
    <row r="339" spans="1:10" ht="11.25" customHeight="1" x14ac:dyDescent="0.2">
      <c r="A339" s="28">
        <v>44713</v>
      </c>
      <c r="B339" s="18">
        <v>0</v>
      </c>
      <c r="C339" s="18">
        <v>0</v>
      </c>
      <c r="D339" s="18">
        <v>217164.63398400001</v>
      </c>
      <c r="E339" s="18">
        <v>230720.5670876877</v>
      </c>
      <c r="F339" s="18">
        <v>35755.798809600004</v>
      </c>
      <c r="G339" s="18">
        <v>38257.026490048382</v>
      </c>
      <c r="H339" s="19">
        <v>6.2422379072489598E-2</v>
      </c>
      <c r="I339" s="19">
        <v>6.9953063942647109E-2</v>
      </c>
      <c r="J339" s="19">
        <v>6.3487005010938624E-2</v>
      </c>
    </row>
    <row r="340" spans="1:10" ht="11.25" customHeight="1" x14ac:dyDescent="0.2">
      <c r="A340" s="23" t="s">
        <v>47</v>
      </c>
      <c r="B340" s="18">
        <v>83461.364000000001</v>
      </c>
      <c r="C340" s="18">
        <v>88488.299398087329</v>
      </c>
      <c r="D340" s="18">
        <v>85099.595317199972</v>
      </c>
      <c r="E340" s="18">
        <v>103588.99443481215</v>
      </c>
      <c r="F340" s="18">
        <v>137297.77777679998</v>
      </c>
      <c r="G340" s="18">
        <v>146902.17800480386</v>
      </c>
      <c r="H340" s="19">
        <v>0.13951234384853128</v>
      </c>
      <c r="I340" s="19">
        <v>6.9953063942647331E-2</v>
      </c>
      <c r="J340" s="19">
        <v>0.10828768554525325</v>
      </c>
    </row>
    <row r="341" spans="1:10" ht="11.25" customHeight="1" x14ac:dyDescent="0.2">
      <c r="A341" s="24" t="s">
        <v>48</v>
      </c>
      <c r="B341" s="18">
        <v>83461.364000000001</v>
      </c>
      <c r="C341" s="18">
        <v>88488.299398087329</v>
      </c>
      <c r="D341" s="18">
        <v>85099.595317199972</v>
      </c>
      <c r="E341" s="18">
        <v>103588.99443481215</v>
      </c>
      <c r="F341" s="18">
        <v>137297.77777679998</v>
      </c>
      <c r="G341" s="18">
        <v>146902.17800480386</v>
      </c>
      <c r="H341" s="19">
        <v>0.13951234384853128</v>
      </c>
      <c r="I341" s="19">
        <v>6.9953063942647331E-2</v>
      </c>
      <c r="J341" s="19">
        <v>0.10828768554525325</v>
      </c>
    </row>
    <row r="342" spans="1:10" ht="11.25" customHeight="1" x14ac:dyDescent="0.2">
      <c r="A342" s="25" t="s">
        <v>25</v>
      </c>
      <c r="B342" s="18">
        <v>83461.364000000001</v>
      </c>
      <c r="C342" s="18">
        <v>88488.299398087329</v>
      </c>
      <c r="D342" s="18">
        <v>85099.595317199972</v>
      </c>
      <c r="E342" s="18">
        <v>103588.99443481215</v>
      </c>
      <c r="F342" s="18">
        <v>137297.77777679998</v>
      </c>
      <c r="G342" s="18">
        <v>146902.17800480386</v>
      </c>
      <c r="H342" s="19">
        <v>0.13951234384853128</v>
      </c>
      <c r="I342" s="19">
        <v>6.9953063942647331E-2</v>
      </c>
      <c r="J342" s="19">
        <v>0.10828768554525325</v>
      </c>
    </row>
    <row r="343" spans="1:10" ht="11.25" customHeight="1" x14ac:dyDescent="0.2">
      <c r="A343" s="26" t="s">
        <v>25</v>
      </c>
      <c r="B343" s="18">
        <v>83461.364000000001</v>
      </c>
      <c r="C343" s="18">
        <v>88488.299398087329</v>
      </c>
      <c r="D343" s="18">
        <v>85099.595317199972</v>
      </c>
      <c r="E343" s="18">
        <v>103588.99443481215</v>
      </c>
      <c r="F343" s="18">
        <v>137297.77777679998</v>
      </c>
      <c r="G343" s="18">
        <v>146902.17800480386</v>
      </c>
      <c r="H343" s="19">
        <v>0.13951234384853128</v>
      </c>
      <c r="I343" s="19">
        <v>6.9953063942647331E-2</v>
      </c>
      <c r="J343" s="19">
        <v>0.10828768554525325</v>
      </c>
    </row>
    <row r="344" spans="1:10" ht="11.25" customHeight="1" x14ac:dyDescent="0.2">
      <c r="A344" s="27" t="s">
        <v>38</v>
      </c>
      <c r="B344" s="18">
        <v>0</v>
      </c>
      <c r="C344" s="18">
        <v>0</v>
      </c>
      <c r="D344" s="18">
        <v>49310.651581199993</v>
      </c>
      <c r="E344" s="18">
        <v>65566.019686319574</v>
      </c>
      <c r="F344" s="18">
        <v>131405.18721840001</v>
      </c>
      <c r="G344" s="18">
        <v>140597.38268228425</v>
      </c>
      <c r="H344" s="19">
        <v>0.32965226748934406</v>
      </c>
      <c r="I344" s="19">
        <v>6.9953063942647109E-2</v>
      </c>
      <c r="J344" s="19">
        <v>0.14081534711090393</v>
      </c>
    </row>
    <row r="345" spans="1:10" ht="11.25" customHeight="1" x14ac:dyDescent="0.2">
      <c r="A345" s="28">
        <v>44378</v>
      </c>
      <c r="B345" s="18">
        <v>0</v>
      </c>
      <c r="C345" s="18">
        <v>0</v>
      </c>
      <c r="D345" s="18">
        <v>3435.7329187999994</v>
      </c>
      <c r="E345" s="18">
        <v>4568.3300659702018</v>
      </c>
      <c r="F345" s="18">
        <v>9155.6917816000005</v>
      </c>
      <c r="G345" s="18">
        <v>9796.1604742374329</v>
      </c>
      <c r="H345" s="19">
        <v>0.32965226748934406</v>
      </c>
      <c r="I345" s="19">
        <v>6.9953063942647109E-2</v>
      </c>
      <c r="J345" s="19">
        <v>0.14081534711090393</v>
      </c>
    </row>
    <row r="346" spans="1:10" ht="11.25" customHeight="1" x14ac:dyDescent="0.2">
      <c r="A346" s="28">
        <v>44409</v>
      </c>
      <c r="B346" s="18">
        <v>0</v>
      </c>
      <c r="C346" s="18">
        <v>0</v>
      </c>
      <c r="D346" s="18">
        <v>3879.5210751999998</v>
      </c>
      <c r="E346" s="18">
        <v>5158.4139944123763</v>
      </c>
      <c r="F346" s="18">
        <v>10338.317926400001</v>
      </c>
      <c r="G346" s="18">
        <v>11061.514941364874</v>
      </c>
      <c r="H346" s="19">
        <v>0.32965226748934362</v>
      </c>
      <c r="I346" s="19">
        <v>6.9953063942647109E-2</v>
      </c>
      <c r="J346" s="19">
        <v>0.14081534711090371</v>
      </c>
    </row>
    <row r="347" spans="1:10" ht="11.25" customHeight="1" x14ac:dyDescent="0.2">
      <c r="A347" s="28">
        <v>44440</v>
      </c>
      <c r="B347" s="18">
        <v>0</v>
      </c>
      <c r="C347" s="18">
        <v>0</v>
      </c>
      <c r="D347" s="18">
        <v>4335.3935425999989</v>
      </c>
      <c r="E347" s="18">
        <v>5764.5658543767477</v>
      </c>
      <c r="F347" s="18">
        <v>11553.146873199999</v>
      </c>
      <c r="G347" s="18">
        <v>12361.324895159752</v>
      </c>
      <c r="H347" s="19">
        <v>0.32965226748934384</v>
      </c>
      <c r="I347" s="19">
        <v>6.9953063942647109E-2</v>
      </c>
      <c r="J347" s="19">
        <v>0.14081534711090371</v>
      </c>
    </row>
    <row r="348" spans="1:10" ht="11.25" customHeight="1" x14ac:dyDescent="0.2">
      <c r="A348" s="28">
        <v>44470</v>
      </c>
      <c r="B348" s="18">
        <v>0</v>
      </c>
      <c r="C348" s="18">
        <v>0</v>
      </c>
      <c r="D348" s="18">
        <v>4365.8982627999994</v>
      </c>
      <c r="E348" s="18">
        <v>5805.1265247598058</v>
      </c>
      <c r="F348" s="18">
        <v>11634.437189599999</v>
      </c>
      <c r="G348" s="18">
        <v>12448.3017182608</v>
      </c>
      <c r="H348" s="19">
        <v>0.32965226748934362</v>
      </c>
      <c r="I348" s="19">
        <v>6.9953063942647109E-2</v>
      </c>
      <c r="J348" s="19">
        <v>0.14081534711090393</v>
      </c>
    </row>
    <row r="349" spans="1:10" ht="11.25" customHeight="1" x14ac:dyDescent="0.2">
      <c r="A349" s="28">
        <v>44501</v>
      </c>
      <c r="B349" s="18">
        <v>0</v>
      </c>
      <c r="C349" s="18">
        <v>0</v>
      </c>
      <c r="D349" s="18">
        <v>4612.4835277999991</v>
      </c>
      <c r="E349" s="18">
        <v>6132.999181496516</v>
      </c>
      <c r="F349" s="18">
        <v>12291.548419599998</v>
      </c>
      <c r="G349" s="18">
        <v>13151.37989215042</v>
      </c>
      <c r="H349" s="19">
        <v>0.32965226748934362</v>
      </c>
      <c r="I349" s="19">
        <v>6.9953063942647109E-2</v>
      </c>
      <c r="J349" s="19">
        <v>0.14081534711090393</v>
      </c>
    </row>
    <row r="350" spans="1:10" ht="11.25" customHeight="1" x14ac:dyDescent="0.2">
      <c r="A350" s="28">
        <v>44531</v>
      </c>
      <c r="B350" s="18">
        <v>0</v>
      </c>
      <c r="C350" s="18">
        <v>0</v>
      </c>
      <c r="D350" s="18">
        <v>4240.2867489999999</v>
      </c>
      <c r="E350" s="18">
        <v>5638.1068906128676</v>
      </c>
      <c r="F350" s="18">
        <v>11299.702118000001</v>
      </c>
      <c r="G350" s="18">
        <v>12090.150902793321</v>
      </c>
      <c r="H350" s="19">
        <v>0.32965226748934384</v>
      </c>
      <c r="I350" s="19">
        <v>6.9953063942647109E-2</v>
      </c>
      <c r="J350" s="19">
        <v>0.14081534711090393</v>
      </c>
    </row>
    <row r="351" spans="1:10" ht="11.25" customHeight="1" x14ac:dyDescent="0.2">
      <c r="A351" s="28">
        <v>44562</v>
      </c>
      <c r="B351" s="18">
        <v>0</v>
      </c>
      <c r="C351" s="18">
        <v>0</v>
      </c>
      <c r="D351" s="18">
        <v>4767.4239909999988</v>
      </c>
      <c r="E351" s="18">
        <v>6339.0161197162461</v>
      </c>
      <c r="F351" s="18">
        <v>12704.440561999998</v>
      </c>
      <c r="G351" s="18">
        <v>13593.155104989146</v>
      </c>
      <c r="H351" s="19">
        <v>0.32965226748934406</v>
      </c>
      <c r="I351" s="19">
        <v>6.9953063942647331E-2</v>
      </c>
      <c r="J351" s="19">
        <v>0.14081534711090415</v>
      </c>
    </row>
    <row r="352" spans="1:10" ht="11.25" customHeight="1" x14ac:dyDescent="0.2">
      <c r="A352" s="28">
        <v>44593</v>
      </c>
      <c r="B352" s="18">
        <v>0</v>
      </c>
      <c r="C352" s="18">
        <v>0</v>
      </c>
      <c r="D352" s="18">
        <v>4215.2689591999988</v>
      </c>
      <c r="E352" s="18">
        <v>5604.8419296777256</v>
      </c>
      <c r="F352" s="18">
        <v>11233.033614399999</v>
      </c>
      <c r="G352" s="18">
        <v>12018.818733098027</v>
      </c>
      <c r="H352" s="19">
        <v>0.32965226748934406</v>
      </c>
      <c r="I352" s="19">
        <v>6.9953063942647109E-2</v>
      </c>
      <c r="J352" s="19">
        <v>0.14081534711090393</v>
      </c>
    </row>
    <row r="353" spans="1:10" ht="11.25" customHeight="1" x14ac:dyDescent="0.2">
      <c r="A353" s="28">
        <v>44621</v>
      </c>
      <c r="B353" s="18">
        <v>0</v>
      </c>
      <c r="C353" s="18">
        <v>0</v>
      </c>
      <c r="D353" s="18">
        <v>3564.8717449999999</v>
      </c>
      <c r="E353" s="18">
        <v>4740.0397990479432</v>
      </c>
      <c r="F353" s="18">
        <v>9499.8265900000006</v>
      </c>
      <c r="G353" s="18">
        <v>10164.368566894331</v>
      </c>
      <c r="H353" s="19">
        <v>0.32965226748934362</v>
      </c>
      <c r="I353" s="19">
        <v>6.9953063942647109E-2</v>
      </c>
      <c r="J353" s="19">
        <v>0.14081534711090393</v>
      </c>
    </row>
    <row r="354" spans="1:10" ht="11.25" customHeight="1" x14ac:dyDescent="0.2">
      <c r="A354" s="28">
        <v>44652</v>
      </c>
      <c r="B354" s="18">
        <v>0</v>
      </c>
      <c r="C354" s="18">
        <v>0</v>
      </c>
      <c r="D354" s="18">
        <v>4066.5992735999998</v>
      </c>
      <c r="E354" s="18">
        <v>5407.1629451127583</v>
      </c>
      <c r="F354" s="18">
        <v>10836.852115200001</v>
      </c>
      <c r="G354" s="18">
        <v>11594.923124151597</v>
      </c>
      <c r="H354" s="19">
        <v>0.32965226748934384</v>
      </c>
      <c r="I354" s="19">
        <v>6.9953063942647109E-2</v>
      </c>
      <c r="J354" s="19">
        <v>0.14081534711090393</v>
      </c>
    </row>
    <row r="355" spans="1:10" ht="11.25" customHeight="1" x14ac:dyDescent="0.2">
      <c r="A355" s="28">
        <v>44682</v>
      </c>
      <c r="B355" s="18">
        <v>0</v>
      </c>
      <c r="C355" s="18">
        <v>0</v>
      </c>
      <c r="D355" s="18">
        <v>3731.1779925999995</v>
      </c>
      <c r="E355" s="18">
        <v>4961.1692782669279</v>
      </c>
      <c r="F355" s="18">
        <v>9943.0067732000007</v>
      </c>
      <c r="G355" s="18">
        <v>10638.550561787833</v>
      </c>
      <c r="H355" s="19">
        <v>0.32965226748934384</v>
      </c>
      <c r="I355" s="19">
        <v>6.9953063942647109E-2</v>
      </c>
      <c r="J355" s="19">
        <v>0.14081534711090371</v>
      </c>
    </row>
    <row r="356" spans="1:10" ht="11.25" customHeight="1" x14ac:dyDescent="0.2">
      <c r="A356" s="28">
        <v>44713</v>
      </c>
      <c r="B356" s="18">
        <v>0</v>
      </c>
      <c r="C356" s="18">
        <v>0</v>
      </c>
      <c r="D356" s="18">
        <v>4095.9935436000001</v>
      </c>
      <c r="E356" s="18">
        <v>5446.2471028694517</v>
      </c>
      <c r="F356" s="18">
        <v>10915.183255200001</v>
      </c>
      <c r="G356" s="18">
        <v>11678.733767396718</v>
      </c>
      <c r="H356" s="19">
        <v>0.32965226748934362</v>
      </c>
      <c r="I356" s="19">
        <v>6.9953063942647109E-2</v>
      </c>
      <c r="J356" s="19">
        <v>0.14081534711090371</v>
      </c>
    </row>
    <row r="357" spans="1:10" ht="11.25" customHeight="1" x14ac:dyDescent="0.2">
      <c r="A357" s="27" t="s">
        <v>25</v>
      </c>
      <c r="B357" s="18">
        <v>83461.364000000001</v>
      </c>
      <c r="C357" s="18">
        <v>88488.299398087329</v>
      </c>
      <c r="D357" s="18">
        <v>0</v>
      </c>
      <c r="E357" s="18">
        <v>0</v>
      </c>
      <c r="F357" s="18">
        <v>0</v>
      </c>
      <c r="G357" s="18">
        <v>0</v>
      </c>
      <c r="H357" s="19">
        <v>6.0230688274964361E-2</v>
      </c>
      <c r="I357" s="19">
        <v>0</v>
      </c>
      <c r="J357" s="19">
        <v>6.0230688274964361E-2</v>
      </c>
    </row>
    <row r="358" spans="1:10" ht="11.25" customHeight="1" x14ac:dyDescent="0.2">
      <c r="A358" s="28">
        <v>44378</v>
      </c>
      <c r="B358" s="18">
        <v>6762.3279999999995</v>
      </c>
      <c r="C358" s="18">
        <v>7169.6276697810617</v>
      </c>
      <c r="D358" s="18">
        <v>0</v>
      </c>
      <c r="E358" s="18">
        <v>0</v>
      </c>
      <c r="F358" s="18">
        <v>0</v>
      </c>
      <c r="G358" s="18">
        <v>0</v>
      </c>
      <c r="H358" s="19">
        <v>6.0230688274964139E-2</v>
      </c>
      <c r="I358" s="19">
        <v>0</v>
      </c>
      <c r="J358" s="19">
        <v>6.0230688274964139E-2</v>
      </c>
    </row>
    <row r="359" spans="1:10" ht="11.25" customHeight="1" x14ac:dyDescent="0.2">
      <c r="A359" s="28">
        <v>44409</v>
      </c>
      <c r="B359" s="18">
        <v>6829.0614999999998</v>
      </c>
      <c r="C359" s="18">
        <v>7240.3805744170586</v>
      </c>
      <c r="D359" s="18">
        <v>0</v>
      </c>
      <c r="E359" s="18">
        <v>0</v>
      </c>
      <c r="F359" s="18">
        <v>0</v>
      </c>
      <c r="G359" s="18">
        <v>0</v>
      </c>
      <c r="H359" s="19">
        <v>6.0230688274964139E-2</v>
      </c>
      <c r="I359" s="19">
        <v>0</v>
      </c>
      <c r="J359" s="19">
        <v>6.0230688274964139E-2</v>
      </c>
    </row>
    <row r="360" spans="1:10" ht="11.25" customHeight="1" x14ac:dyDescent="0.2">
      <c r="A360" s="28">
        <v>44440</v>
      </c>
      <c r="B360" s="18">
        <v>7118.2400000000007</v>
      </c>
      <c r="C360" s="18">
        <v>7546.9764945063807</v>
      </c>
      <c r="D360" s="18">
        <v>0</v>
      </c>
      <c r="E360" s="18">
        <v>0</v>
      </c>
      <c r="F360" s="18">
        <v>0</v>
      </c>
      <c r="G360" s="18">
        <v>0</v>
      </c>
      <c r="H360" s="19">
        <v>6.0230688274964139E-2</v>
      </c>
      <c r="I360" s="19">
        <v>0</v>
      </c>
      <c r="J360" s="19">
        <v>6.0230688274964139E-2</v>
      </c>
    </row>
    <row r="361" spans="1:10" ht="11.25" customHeight="1" x14ac:dyDescent="0.2">
      <c r="A361" s="28">
        <v>44470</v>
      </c>
      <c r="B361" s="18">
        <v>7029.2619999999997</v>
      </c>
      <c r="C361" s="18">
        <v>7452.6392883250501</v>
      </c>
      <c r="D361" s="18">
        <v>0</v>
      </c>
      <c r="E361" s="18">
        <v>0</v>
      </c>
      <c r="F361" s="18">
        <v>0</v>
      </c>
      <c r="G361" s="18">
        <v>0</v>
      </c>
      <c r="H361" s="19">
        <v>6.0230688274964139E-2</v>
      </c>
      <c r="I361" s="19">
        <v>0</v>
      </c>
      <c r="J361" s="19">
        <v>6.0230688274964139E-2</v>
      </c>
    </row>
    <row r="362" spans="1:10" ht="11.25" customHeight="1" x14ac:dyDescent="0.2">
      <c r="A362" s="28">
        <v>44501</v>
      </c>
      <c r="B362" s="18">
        <v>7095.9955</v>
      </c>
      <c r="C362" s="18">
        <v>7523.3921929610478</v>
      </c>
      <c r="D362" s="18">
        <v>0</v>
      </c>
      <c r="E362" s="18">
        <v>0</v>
      </c>
      <c r="F362" s="18">
        <v>0</v>
      </c>
      <c r="G362" s="18">
        <v>0</v>
      </c>
      <c r="H362" s="19">
        <v>6.0230688274964139E-2</v>
      </c>
      <c r="I362" s="19">
        <v>0</v>
      </c>
      <c r="J362" s="19">
        <v>6.0230688274964139E-2</v>
      </c>
    </row>
    <row r="363" spans="1:10" ht="11.25" customHeight="1" x14ac:dyDescent="0.2">
      <c r="A363" s="28">
        <v>44531</v>
      </c>
      <c r="B363" s="18">
        <v>6940.2840000000006</v>
      </c>
      <c r="C363" s="18">
        <v>7358.3020821437203</v>
      </c>
      <c r="D363" s="18">
        <v>0</v>
      </c>
      <c r="E363" s="18">
        <v>0</v>
      </c>
      <c r="F363" s="18">
        <v>0</v>
      </c>
      <c r="G363" s="18">
        <v>0</v>
      </c>
      <c r="H363" s="19">
        <v>6.0230688274963917E-2</v>
      </c>
      <c r="I363" s="19">
        <v>0</v>
      </c>
      <c r="J363" s="19">
        <v>6.0230688274963917E-2</v>
      </c>
    </row>
    <row r="364" spans="1:10" ht="11.25" customHeight="1" x14ac:dyDescent="0.2">
      <c r="A364" s="28">
        <v>44562</v>
      </c>
      <c r="B364" s="18">
        <v>6784.5725000000002</v>
      </c>
      <c r="C364" s="18">
        <v>7193.2119713263937</v>
      </c>
      <c r="D364" s="18">
        <v>0</v>
      </c>
      <c r="E364" s="18">
        <v>0</v>
      </c>
      <c r="F364" s="18">
        <v>0</v>
      </c>
      <c r="G364" s="18">
        <v>0</v>
      </c>
      <c r="H364" s="19">
        <v>6.0230688274964139E-2</v>
      </c>
      <c r="I364" s="19">
        <v>0</v>
      </c>
      <c r="J364" s="19">
        <v>6.0230688274964139E-2</v>
      </c>
    </row>
    <row r="365" spans="1:10" ht="11.25" customHeight="1" x14ac:dyDescent="0.2">
      <c r="A365" s="28">
        <v>44593</v>
      </c>
      <c r="B365" s="18">
        <v>6984.7730000000001</v>
      </c>
      <c r="C365" s="18">
        <v>7405.4706852343852</v>
      </c>
      <c r="D365" s="18">
        <v>0</v>
      </c>
      <c r="E365" s="18">
        <v>0</v>
      </c>
      <c r="F365" s="18">
        <v>0</v>
      </c>
      <c r="G365" s="18">
        <v>0</v>
      </c>
      <c r="H365" s="19">
        <v>6.0230688274963917E-2</v>
      </c>
      <c r="I365" s="19">
        <v>0</v>
      </c>
      <c r="J365" s="19">
        <v>6.0230688274963917E-2</v>
      </c>
    </row>
    <row r="366" spans="1:10" ht="11.25" customHeight="1" x14ac:dyDescent="0.2">
      <c r="A366" s="28">
        <v>44621</v>
      </c>
      <c r="B366" s="18">
        <v>6918.0394999999999</v>
      </c>
      <c r="C366" s="18">
        <v>7334.7177805983874</v>
      </c>
      <c r="D366" s="18">
        <v>0</v>
      </c>
      <c r="E366" s="18">
        <v>0</v>
      </c>
      <c r="F366" s="18">
        <v>0</v>
      </c>
      <c r="G366" s="18">
        <v>0</v>
      </c>
      <c r="H366" s="19">
        <v>6.0230688274963917E-2</v>
      </c>
      <c r="I366" s="19">
        <v>0</v>
      </c>
      <c r="J366" s="19">
        <v>6.0230688274963917E-2</v>
      </c>
    </row>
    <row r="367" spans="1:10" ht="11.25" customHeight="1" x14ac:dyDescent="0.2">
      <c r="A367" s="28">
        <v>44652</v>
      </c>
      <c r="B367" s="18">
        <v>7007.0175000000008</v>
      </c>
      <c r="C367" s="18">
        <v>7429.0549867797181</v>
      </c>
      <c r="D367" s="18">
        <v>0</v>
      </c>
      <c r="E367" s="18">
        <v>0</v>
      </c>
      <c r="F367" s="18">
        <v>0</v>
      </c>
      <c r="G367" s="18">
        <v>0</v>
      </c>
      <c r="H367" s="19">
        <v>6.0230688274963917E-2</v>
      </c>
      <c r="I367" s="19">
        <v>0</v>
      </c>
      <c r="J367" s="19">
        <v>6.0230688274963917E-2</v>
      </c>
    </row>
    <row r="368" spans="1:10" ht="11.25" customHeight="1" x14ac:dyDescent="0.2">
      <c r="A368" s="28">
        <v>44682</v>
      </c>
      <c r="B368" s="18">
        <v>7095.9955</v>
      </c>
      <c r="C368" s="18">
        <v>7523.3921929610478</v>
      </c>
      <c r="D368" s="18">
        <v>0</v>
      </c>
      <c r="E368" s="18">
        <v>0</v>
      </c>
      <c r="F368" s="18">
        <v>0</v>
      </c>
      <c r="G368" s="18">
        <v>0</v>
      </c>
      <c r="H368" s="19">
        <v>6.0230688274964139E-2</v>
      </c>
      <c r="I368" s="19">
        <v>0</v>
      </c>
      <c r="J368" s="19">
        <v>6.0230688274964139E-2</v>
      </c>
    </row>
    <row r="369" spans="1:10" ht="11.25" customHeight="1" x14ac:dyDescent="0.2">
      <c r="A369" s="28">
        <v>44713</v>
      </c>
      <c r="B369" s="18">
        <v>6895.7950000000001</v>
      </c>
      <c r="C369" s="18">
        <v>7311.1334790530564</v>
      </c>
      <c r="D369" s="18">
        <v>0</v>
      </c>
      <c r="E369" s="18">
        <v>0</v>
      </c>
      <c r="F369" s="18">
        <v>0</v>
      </c>
      <c r="G369" s="18">
        <v>0</v>
      </c>
      <c r="H369" s="19">
        <v>6.0230688274964139E-2</v>
      </c>
      <c r="I369" s="19">
        <v>0</v>
      </c>
      <c r="J369" s="19">
        <v>6.0230688274964139E-2</v>
      </c>
    </row>
    <row r="370" spans="1:10" ht="11.25" customHeight="1" x14ac:dyDescent="0.2">
      <c r="A370" s="27" t="s">
        <v>37</v>
      </c>
      <c r="B370" s="18">
        <v>0</v>
      </c>
      <c r="C370" s="18">
        <v>0</v>
      </c>
      <c r="D370" s="18">
        <v>35788.943736000001</v>
      </c>
      <c r="E370" s="18">
        <v>38022.974748492583</v>
      </c>
      <c r="F370" s="18">
        <v>5892.5905584000002</v>
      </c>
      <c r="G370" s="18">
        <v>6304.7953225195961</v>
      </c>
      <c r="H370" s="19">
        <v>6.2422379072489154E-2</v>
      </c>
      <c r="I370" s="19">
        <v>6.9953063942647553E-2</v>
      </c>
      <c r="J370" s="19">
        <v>6.3487005010938624E-2</v>
      </c>
    </row>
    <row r="371" spans="1:10" ht="11.25" customHeight="1" x14ac:dyDescent="0.2">
      <c r="A371" s="28">
        <v>44378</v>
      </c>
      <c r="B371" s="18">
        <v>0</v>
      </c>
      <c r="C371" s="18">
        <v>0</v>
      </c>
      <c r="D371" s="18">
        <v>530.72343599999999</v>
      </c>
      <c r="E371" s="18">
        <v>563.85245550464629</v>
      </c>
      <c r="F371" s="18">
        <v>87.382738399999994</v>
      </c>
      <c r="G371" s="18">
        <v>93.495428686778837</v>
      </c>
      <c r="H371" s="19">
        <v>6.242237907248982E-2</v>
      </c>
      <c r="I371" s="19">
        <v>6.9953063942647553E-2</v>
      </c>
      <c r="J371" s="19">
        <v>6.3487005010939068E-2</v>
      </c>
    </row>
    <row r="372" spans="1:10" ht="11.25" customHeight="1" x14ac:dyDescent="0.2">
      <c r="A372" s="28">
        <v>44409</v>
      </c>
      <c r="B372" s="18">
        <v>0</v>
      </c>
      <c r="C372" s="18">
        <v>0</v>
      </c>
      <c r="D372" s="18">
        <v>839.43109200000004</v>
      </c>
      <c r="E372" s="18">
        <v>891.83037783005784</v>
      </c>
      <c r="F372" s="18">
        <v>138.21094480000002</v>
      </c>
      <c r="G372" s="18">
        <v>147.87922385916809</v>
      </c>
      <c r="H372" s="19">
        <v>6.2422379072489598E-2</v>
      </c>
      <c r="I372" s="19">
        <v>6.9953063942647109E-2</v>
      </c>
      <c r="J372" s="19">
        <v>6.3487005010938846E-2</v>
      </c>
    </row>
    <row r="373" spans="1:10" ht="11.25" customHeight="1" x14ac:dyDescent="0.2">
      <c r="A373" s="28">
        <v>44440</v>
      </c>
      <c r="B373" s="18">
        <v>0</v>
      </c>
      <c r="C373" s="18">
        <v>0</v>
      </c>
      <c r="D373" s="18">
        <v>2572.2113939999995</v>
      </c>
      <c r="E373" s="18">
        <v>2732.7749486908442</v>
      </c>
      <c r="F373" s="18">
        <v>423.51036359999995</v>
      </c>
      <c r="G373" s="18">
        <v>453.13621114528451</v>
      </c>
      <c r="H373" s="19">
        <v>6.2422379072489598E-2</v>
      </c>
      <c r="I373" s="19">
        <v>6.9953063942647109E-2</v>
      </c>
      <c r="J373" s="19">
        <v>6.3487005010938624E-2</v>
      </c>
    </row>
    <row r="374" spans="1:10" ht="11.25" customHeight="1" x14ac:dyDescent="0.2">
      <c r="A374" s="28">
        <v>44470</v>
      </c>
      <c r="B374" s="18">
        <v>0</v>
      </c>
      <c r="C374" s="18">
        <v>0</v>
      </c>
      <c r="D374" s="18">
        <v>5185.6542899999995</v>
      </c>
      <c r="E374" s="18">
        <v>5509.3551678292606</v>
      </c>
      <c r="F374" s="18">
        <v>853.80942599999992</v>
      </c>
      <c r="G374" s="18">
        <v>913.53601137181283</v>
      </c>
      <c r="H374" s="19">
        <v>6.2422379072489376E-2</v>
      </c>
      <c r="I374" s="19">
        <v>6.9953063942647331E-2</v>
      </c>
      <c r="J374" s="19">
        <v>6.3487005010938624E-2</v>
      </c>
    </row>
    <row r="375" spans="1:10" ht="11.25" customHeight="1" x14ac:dyDescent="0.2">
      <c r="A375" s="28">
        <v>44501</v>
      </c>
      <c r="B375" s="18">
        <v>0</v>
      </c>
      <c r="C375" s="18">
        <v>0</v>
      </c>
      <c r="D375" s="18">
        <v>5372.781876</v>
      </c>
      <c r="E375" s="18">
        <v>5708.1637029374733</v>
      </c>
      <c r="F375" s="18">
        <v>884.61967440000001</v>
      </c>
      <c r="G375" s="18">
        <v>946.50153104822698</v>
      </c>
      <c r="H375" s="19">
        <v>6.2422379072489598E-2</v>
      </c>
      <c r="I375" s="19">
        <v>6.9953063942647331E-2</v>
      </c>
      <c r="J375" s="19">
        <v>6.3487005010938624E-2</v>
      </c>
    </row>
    <row r="376" spans="1:10" ht="11.25" customHeight="1" x14ac:dyDescent="0.2">
      <c r="A376" s="28">
        <v>44531</v>
      </c>
      <c r="B376" s="18">
        <v>0</v>
      </c>
      <c r="C376" s="18">
        <v>0</v>
      </c>
      <c r="D376" s="18">
        <v>5652.9446459999999</v>
      </c>
      <c r="E376" s="18">
        <v>6005.8148995684123</v>
      </c>
      <c r="F376" s="18">
        <v>930.74801240000011</v>
      </c>
      <c r="G376" s="18">
        <v>995.85668762590899</v>
      </c>
      <c r="H376" s="19">
        <v>6.2422379072489598E-2</v>
      </c>
      <c r="I376" s="19">
        <v>6.9953063942647109E-2</v>
      </c>
      <c r="J376" s="19">
        <v>6.3487005010938624E-2</v>
      </c>
    </row>
    <row r="377" spans="1:10" ht="11.25" customHeight="1" x14ac:dyDescent="0.2">
      <c r="A377" s="28">
        <v>44562</v>
      </c>
      <c r="B377" s="18">
        <v>0</v>
      </c>
      <c r="C377" s="18">
        <v>0</v>
      </c>
      <c r="D377" s="18">
        <v>5712.148854</v>
      </c>
      <c r="E377" s="18">
        <v>6068.7147750828735</v>
      </c>
      <c r="F377" s="18">
        <v>940.49588759999995</v>
      </c>
      <c r="G377" s="18">
        <v>1006.2864565630795</v>
      </c>
      <c r="H377" s="19">
        <v>6.2422379072489376E-2</v>
      </c>
      <c r="I377" s="19">
        <v>6.9953063942647109E-2</v>
      </c>
      <c r="J377" s="19">
        <v>6.3487005010938624E-2</v>
      </c>
    </row>
    <row r="378" spans="1:10" ht="11.25" customHeight="1" x14ac:dyDescent="0.2">
      <c r="A378" s="28">
        <v>44593</v>
      </c>
      <c r="B378" s="18">
        <v>0</v>
      </c>
      <c r="C378" s="18">
        <v>0</v>
      </c>
      <c r="D378" s="18">
        <v>2040.4307399999998</v>
      </c>
      <c r="E378" s="18">
        <v>2167.7992811234399</v>
      </c>
      <c r="F378" s="18">
        <v>335.95355599999999</v>
      </c>
      <c r="G378" s="18">
        <v>359.4545365846277</v>
      </c>
      <c r="H378" s="19">
        <v>6.2422379072489376E-2</v>
      </c>
      <c r="I378" s="19">
        <v>6.9953063942647109E-2</v>
      </c>
      <c r="J378" s="19">
        <v>6.3487005010938624E-2</v>
      </c>
    </row>
    <row r="379" spans="1:10" ht="11.25" customHeight="1" x14ac:dyDescent="0.2">
      <c r="A379" s="28">
        <v>44621</v>
      </c>
      <c r="B379" s="18">
        <v>0</v>
      </c>
      <c r="C379" s="18">
        <v>0</v>
      </c>
      <c r="D379" s="18">
        <v>2896.7773200000001</v>
      </c>
      <c r="E379" s="18">
        <v>3077.6010519576303</v>
      </c>
      <c r="F379" s="18">
        <v>476.94960800000001</v>
      </c>
      <c r="G379" s="18">
        <v>510.31369442584457</v>
      </c>
      <c r="H379" s="19">
        <v>6.2422379072489376E-2</v>
      </c>
      <c r="I379" s="19">
        <v>6.9953063942647331E-2</v>
      </c>
      <c r="J379" s="19">
        <v>6.3487005010938624E-2</v>
      </c>
    </row>
    <row r="380" spans="1:10" ht="11.25" customHeight="1" x14ac:dyDescent="0.2">
      <c r="A380" s="28">
        <v>44652</v>
      </c>
      <c r="B380" s="18">
        <v>0</v>
      </c>
      <c r="C380" s="18">
        <v>0</v>
      </c>
      <c r="D380" s="18">
        <v>1648.2028619999999</v>
      </c>
      <c r="E380" s="18">
        <v>1751.0876058401259</v>
      </c>
      <c r="F380" s="18">
        <v>271.37388279999999</v>
      </c>
      <c r="G380" s="18">
        <v>290.35731737587281</v>
      </c>
      <c r="H380" s="19">
        <v>6.2422379072489376E-2</v>
      </c>
      <c r="I380" s="19">
        <v>6.9953063942647109E-2</v>
      </c>
      <c r="J380" s="19">
        <v>6.3487005010938624E-2</v>
      </c>
    </row>
    <row r="381" spans="1:10" ht="11.25" customHeight="1" x14ac:dyDescent="0.2">
      <c r="A381" s="28">
        <v>44682</v>
      </c>
      <c r="B381" s="18">
        <v>0</v>
      </c>
      <c r="C381" s="18">
        <v>0</v>
      </c>
      <c r="D381" s="18">
        <v>1352.181822</v>
      </c>
      <c r="E381" s="18">
        <v>1436.5882282678133</v>
      </c>
      <c r="F381" s="18">
        <v>222.6345068</v>
      </c>
      <c r="G381" s="18">
        <v>238.2084726900201</v>
      </c>
      <c r="H381" s="19">
        <v>6.2422379072489376E-2</v>
      </c>
      <c r="I381" s="19">
        <v>6.9953063942647109E-2</v>
      </c>
      <c r="J381" s="19">
        <v>6.3487005010938402E-2</v>
      </c>
    </row>
    <row r="382" spans="1:10" ht="11.25" customHeight="1" x14ac:dyDescent="0.2">
      <c r="A382" s="28">
        <v>44713</v>
      </c>
      <c r="B382" s="18">
        <v>0</v>
      </c>
      <c r="C382" s="18">
        <v>0</v>
      </c>
      <c r="D382" s="18">
        <v>1985.4554039999998</v>
      </c>
      <c r="E382" s="18">
        <v>2109.3922538600104</v>
      </c>
      <c r="F382" s="18">
        <v>326.90195759999995</v>
      </c>
      <c r="G382" s="18">
        <v>349.76975114296931</v>
      </c>
      <c r="H382" s="19">
        <v>6.2422379072489376E-2</v>
      </c>
      <c r="I382" s="19">
        <v>6.9953063942647331E-2</v>
      </c>
      <c r="J382" s="19">
        <v>6.3487005010938624E-2</v>
      </c>
    </row>
    <row r="383" spans="1:10" ht="11.25" customHeight="1" x14ac:dyDescent="0.2">
      <c r="A383" s="21" t="s">
        <v>22</v>
      </c>
      <c r="B383" s="18">
        <v>0</v>
      </c>
      <c r="C383" s="18">
        <v>0</v>
      </c>
      <c r="D383" s="18">
        <v>6874165.6715900023</v>
      </c>
      <c r="E383" s="18">
        <v>7939332.5224714568</v>
      </c>
      <c r="F383" s="18">
        <v>4701970.6091200011</v>
      </c>
      <c r="G383" s="18">
        <v>5030889.2869327851</v>
      </c>
      <c r="H383" s="19">
        <v>0.15495216463630479</v>
      </c>
      <c r="I383" s="19">
        <v>6.9953367461465854E-2</v>
      </c>
      <c r="J383" s="19">
        <v>0.12042753254531746</v>
      </c>
    </row>
    <row r="384" spans="1:10" ht="11.25" customHeight="1" x14ac:dyDescent="0.2">
      <c r="A384" s="22" t="s">
        <v>23</v>
      </c>
      <c r="B384" s="18">
        <v>0</v>
      </c>
      <c r="C384" s="18">
        <v>0</v>
      </c>
      <c r="D384" s="18">
        <v>6874165.6715900023</v>
      </c>
      <c r="E384" s="18">
        <v>7939332.5224714568</v>
      </c>
      <c r="F384" s="18">
        <v>4701970.6091200011</v>
      </c>
      <c r="G384" s="18">
        <v>5030889.2869327851</v>
      </c>
      <c r="H384" s="19">
        <v>0.15495216463630479</v>
      </c>
      <c r="I384" s="19">
        <v>6.9953367461465854E-2</v>
      </c>
      <c r="J384" s="19">
        <v>0.12042753254531746</v>
      </c>
    </row>
    <row r="385" spans="1:10" ht="11.25" customHeight="1" x14ac:dyDescent="0.2">
      <c r="A385" s="23" t="s">
        <v>24</v>
      </c>
      <c r="B385" s="18">
        <v>0</v>
      </c>
      <c r="C385" s="18">
        <v>0</v>
      </c>
      <c r="D385" s="18">
        <v>6874165.6715900023</v>
      </c>
      <c r="E385" s="18">
        <v>7939332.5224714568</v>
      </c>
      <c r="F385" s="18">
        <v>4701970.6091200011</v>
      </c>
      <c r="G385" s="18">
        <v>5030889.2869327851</v>
      </c>
      <c r="H385" s="19">
        <v>0.15495216463630479</v>
      </c>
      <c r="I385" s="19">
        <v>6.9953367461465854E-2</v>
      </c>
      <c r="J385" s="19">
        <v>0.12042753254531746</v>
      </c>
    </row>
    <row r="386" spans="1:10" ht="11.25" customHeight="1" x14ac:dyDescent="0.2">
      <c r="A386" s="24" t="s">
        <v>24</v>
      </c>
      <c r="B386" s="18">
        <v>0</v>
      </c>
      <c r="C386" s="18">
        <v>0</v>
      </c>
      <c r="D386" s="18">
        <v>6706230.2567700008</v>
      </c>
      <c r="E386" s="18">
        <v>7760478.9729741653</v>
      </c>
      <c r="F386" s="18">
        <v>4550436.8434600001</v>
      </c>
      <c r="G386" s="18">
        <v>4868753.8429375356</v>
      </c>
      <c r="H386" s="19">
        <v>0.15720437203000692</v>
      </c>
      <c r="I386" s="19">
        <v>6.9953063942647331E-2</v>
      </c>
      <c r="J386" s="19">
        <v>0.12193357975858166</v>
      </c>
    </row>
    <row r="387" spans="1:10" ht="11.25" customHeight="1" x14ac:dyDescent="0.2">
      <c r="A387" s="25" t="s">
        <v>25</v>
      </c>
      <c r="B387" s="18">
        <v>0</v>
      </c>
      <c r="C387" s="18">
        <v>0</v>
      </c>
      <c r="D387" s="18">
        <v>6706230.2567700008</v>
      </c>
      <c r="E387" s="18">
        <v>7760478.9729741653</v>
      </c>
      <c r="F387" s="18">
        <v>4550436.8434600001</v>
      </c>
      <c r="G387" s="18">
        <v>4868753.8429375356</v>
      </c>
      <c r="H387" s="19">
        <v>0.15720437203000692</v>
      </c>
      <c r="I387" s="19">
        <v>6.9953063942647331E-2</v>
      </c>
      <c r="J387" s="19">
        <v>0.12193357975858166</v>
      </c>
    </row>
    <row r="388" spans="1:10" ht="11.25" customHeight="1" x14ac:dyDescent="0.2">
      <c r="A388" s="26" t="s">
        <v>25</v>
      </c>
      <c r="B388" s="18">
        <v>0</v>
      </c>
      <c r="C388" s="18">
        <v>0</v>
      </c>
      <c r="D388" s="18">
        <v>6706230.2567700008</v>
      </c>
      <c r="E388" s="18">
        <v>7760478.9729741653</v>
      </c>
      <c r="F388" s="18">
        <v>4550436.8434600001</v>
      </c>
      <c r="G388" s="18">
        <v>4868753.8429375356</v>
      </c>
      <c r="H388" s="19">
        <v>0.15720437203000692</v>
      </c>
      <c r="I388" s="19">
        <v>6.9953063942647331E-2</v>
      </c>
      <c r="J388" s="19">
        <v>0.12193357975858166</v>
      </c>
    </row>
    <row r="389" spans="1:10" ht="11.25" customHeight="1" x14ac:dyDescent="0.2">
      <c r="A389" s="27" t="s">
        <v>25</v>
      </c>
      <c r="B389" s="18">
        <v>0</v>
      </c>
      <c r="C389" s="18">
        <v>0</v>
      </c>
      <c r="D389" s="18">
        <v>6706230.2567700008</v>
      </c>
      <c r="E389" s="18">
        <v>7760478.9729741653</v>
      </c>
      <c r="F389" s="18">
        <v>4550436.8434600001</v>
      </c>
      <c r="G389" s="18">
        <v>4868753.8429375356</v>
      </c>
      <c r="H389" s="19">
        <v>0.15720437203000692</v>
      </c>
      <c r="I389" s="19">
        <v>6.9953063942647331E-2</v>
      </c>
      <c r="J389" s="19">
        <v>0.12193357975858166</v>
      </c>
    </row>
    <row r="390" spans="1:10" ht="11.25" customHeight="1" x14ac:dyDescent="0.2">
      <c r="A390" s="28">
        <v>44378</v>
      </c>
      <c r="B390" s="18">
        <v>0</v>
      </c>
      <c r="C390" s="18">
        <v>0</v>
      </c>
      <c r="D390" s="18">
        <v>536083.38992999995</v>
      </c>
      <c r="E390" s="18">
        <v>620358.04259966337</v>
      </c>
      <c r="F390" s="18">
        <v>363753.33314</v>
      </c>
      <c r="G390" s="18">
        <v>389198.99331249349</v>
      </c>
      <c r="H390" s="19">
        <v>0.15720437203000781</v>
      </c>
      <c r="I390" s="19">
        <v>6.9953063942647331E-2</v>
      </c>
      <c r="J390" s="19">
        <v>0.12193357975858188</v>
      </c>
    </row>
    <row r="391" spans="1:10" ht="11.25" customHeight="1" x14ac:dyDescent="0.2">
      <c r="A391" s="28">
        <v>44409</v>
      </c>
      <c r="B391" s="18">
        <v>0</v>
      </c>
      <c r="C391" s="18">
        <v>0</v>
      </c>
      <c r="D391" s="18">
        <v>556001.72628000006</v>
      </c>
      <c r="E391" s="18">
        <v>643407.62850744766</v>
      </c>
      <c r="F391" s="18">
        <v>377268.69543999998</v>
      </c>
      <c r="G391" s="18">
        <v>403659.7966156734</v>
      </c>
      <c r="H391" s="19">
        <v>0.15720437203000759</v>
      </c>
      <c r="I391" s="19">
        <v>6.9953063942647331E-2</v>
      </c>
      <c r="J391" s="19">
        <v>0.1219335797585821</v>
      </c>
    </row>
    <row r="392" spans="1:10" ht="11.25" customHeight="1" x14ac:dyDescent="0.2">
      <c r="A392" s="28">
        <v>44440</v>
      </c>
      <c r="B392" s="18">
        <v>0</v>
      </c>
      <c r="C392" s="18">
        <v>0</v>
      </c>
      <c r="D392" s="18">
        <v>536697.43743000017</v>
      </c>
      <c r="E392" s="18">
        <v>621068.62105129752</v>
      </c>
      <c r="F392" s="18">
        <v>364169.98814000003</v>
      </c>
      <c r="G392" s="18">
        <v>389644.79460635042</v>
      </c>
      <c r="H392" s="19">
        <v>0.15720437203000737</v>
      </c>
      <c r="I392" s="19">
        <v>6.9953063942646887E-2</v>
      </c>
      <c r="J392" s="19">
        <v>0.12193357975858166</v>
      </c>
    </row>
    <row r="393" spans="1:10" ht="11.25" customHeight="1" x14ac:dyDescent="0.2">
      <c r="A393" s="28">
        <v>44470</v>
      </c>
      <c r="B393" s="18">
        <v>0</v>
      </c>
      <c r="C393" s="18">
        <v>0</v>
      </c>
      <c r="D393" s="18">
        <v>515477.04747000005</v>
      </c>
      <c r="E393" s="18">
        <v>596512.29301340389</v>
      </c>
      <c r="F393" s="18">
        <v>349771.13206000003</v>
      </c>
      <c r="G393" s="18">
        <v>374238.69442628534</v>
      </c>
      <c r="H393" s="19">
        <v>0.15720437203000781</v>
      </c>
      <c r="I393" s="19">
        <v>6.9953063942647331E-2</v>
      </c>
      <c r="J393" s="19">
        <v>0.1219335797585821</v>
      </c>
    </row>
    <row r="394" spans="1:10" ht="11.25" customHeight="1" x14ac:dyDescent="0.2">
      <c r="A394" s="28">
        <v>44501</v>
      </c>
      <c r="B394" s="18">
        <v>0</v>
      </c>
      <c r="C394" s="18">
        <v>0</v>
      </c>
      <c r="D394" s="18">
        <v>556942.44704999996</v>
      </c>
      <c r="E394" s="18">
        <v>644496.2346953511</v>
      </c>
      <c r="F394" s="18">
        <v>377907.01089999999</v>
      </c>
      <c r="G394" s="18">
        <v>404342.76419786236</v>
      </c>
      <c r="H394" s="19">
        <v>0.15720437203000781</v>
      </c>
      <c r="I394" s="19">
        <v>6.9953063942647109E-2</v>
      </c>
      <c r="J394" s="19">
        <v>0.1219335797585821</v>
      </c>
    </row>
    <row r="395" spans="1:10" ht="11.25" customHeight="1" x14ac:dyDescent="0.2">
      <c r="A395" s="28">
        <v>44531</v>
      </c>
      <c r="B395" s="18">
        <v>0</v>
      </c>
      <c r="C395" s="18">
        <v>0</v>
      </c>
      <c r="D395" s="18">
        <v>507738.68442000001</v>
      </c>
      <c r="E395" s="18">
        <v>587557.42545958841</v>
      </c>
      <c r="F395" s="18">
        <v>344520.35316</v>
      </c>
      <c r="G395" s="18">
        <v>368620.60745414492</v>
      </c>
      <c r="H395" s="19">
        <v>0.15720437203000781</v>
      </c>
      <c r="I395" s="19">
        <v>6.9953063942647331E-2</v>
      </c>
      <c r="J395" s="19">
        <v>0.1219335797585821</v>
      </c>
    </row>
    <row r="396" spans="1:10" ht="11.25" customHeight="1" x14ac:dyDescent="0.2">
      <c r="A396" s="28">
        <v>44562</v>
      </c>
      <c r="B396" s="18">
        <v>0</v>
      </c>
      <c r="C396" s="18">
        <v>0</v>
      </c>
      <c r="D396" s="18">
        <v>693019.19379000005</v>
      </c>
      <c r="E396" s="18">
        <v>801964.84095449932</v>
      </c>
      <c r="F396" s="18">
        <v>470240.35142000002</v>
      </c>
      <c r="G396" s="18">
        <v>503135.10479129618</v>
      </c>
      <c r="H396" s="19">
        <v>0.15720437203000781</v>
      </c>
      <c r="I396" s="19">
        <v>6.9953063942647109E-2</v>
      </c>
      <c r="J396" s="19">
        <v>0.1219335797585821</v>
      </c>
    </row>
    <row r="397" spans="1:10" ht="11.25" customHeight="1" x14ac:dyDescent="0.2">
      <c r="A397" s="28">
        <v>44593</v>
      </c>
      <c r="B397" s="18">
        <v>0</v>
      </c>
      <c r="C397" s="18">
        <v>0</v>
      </c>
      <c r="D397" s="18">
        <v>673792.68429000012</v>
      </c>
      <c r="E397" s="18">
        <v>779715.84010222275</v>
      </c>
      <c r="F397" s="18">
        <v>457194.42042000004</v>
      </c>
      <c r="G397" s="18">
        <v>489176.57094586181</v>
      </c>
      <c r="H397" s="19">
        <v>0.15720437203000759</v>
      </c>
      <c r="I397" s="19">
        <v>6.9953063942647109E-2</v>
      </c>
      <c r="J397" s="19">
        <v>0.12193357975858188</v>
      </c>
    </row>
    <row r="398" spans="1:10" ht="11.25" customHeight="1" x14ac:dyDescent="0.2">
      <c r="A398" s="28">
        <v>44621</v>
      </c>
      <c r="B398" s="18">
        <v>0</v>
      </c>
      <c r="C398" s="18">
        <v>0</v>
      </c>
      <c r="D398" s="18">
        <v>601515.47280000022</v>
      </c>
      <c r="E398" s="18">
        <v>696076.33496785734</v>
      </c>
      <c r="F398" s="18">
        <v>408151.5344</v>
      </c>
      <c r="G398" s="18">
        <v>436702.98478417279</v>
      </c>
      <c r="H398" s="19">
        <v>0.15720437203000759</v>
      </c>
      <c r="I398" s="19">
        <v>6.9953063942647331E-2</v>
      </c>
      <c r="J398" s="19">
        <v>0.12193357975858188</v>
      </c>
    </row>
    <row r="399" spans="1:10" ht="11.25" customHeight="1" x14ac:dyDescent="0.2">
      <c r="A399" s="28">
        <v>44652</v>
      </c>
      <c r="B399" s="18">
        <v>0</v>
      </c>
      <c r="C399" s="18">
        <v>0</v>
      </c>
      <c r="D399" s="18">
        <v>528049.73826000001</v>
      </c>
      <c r="E399" s="18">
        <v>611061.4657637733</v>
      </c>
      <c r="F399" s="18">
        <v>358302.18948</v>
      </c>
      <c r="G399" s="18">
        <v>383366.52545148489</v>
      </c>
      <c r="H399" s="19">
        <v>0.15720437203000781</v>
      </c>
      <c r="I399" s="19">
        <v>6.9953063942647109E-2</v>
      </c>
      <c r="J399" s="19">
        <v>0.12193357975858188</v>
      </c>
    </row>
    <row r="400" spans="1:10" ht="11.25" customHeight="1" x14ac:dyDescent="0.2">
      <c r="A400" s="28">
        <v>44682</v>
      </c>
      <c r="B400" s="18">
        <v>0</v>
      </c>
      <c r="C400" s="18">
        <v>0</v>
      </c>
      <c r="D400" s="18">
        <v>467028.42681000009</v>
      </c>
      <c r="E400" s="18">
        <v>540447.33736682858</v>
      </c>
      <c r="F400" s="18">
        <v>316896.86738000001</v>
      </c>
      <c r="G400" s="18">
        <v>339064.77420705772</v>
      </c>
      <c r="H400" s="19">
        <v>0.15720437203000781</v>
      </c>
      <c r="I400" s="19">
        <v>6.9953063942647109E-2</v>
      </c>
      <c r="J400" s="19">
        <v>0.1219335797585821</v>
      </c>
    </row>
    <row r="401" spans="1:10" ht="11.25" customHeight="1" x14ac:dyDescent="0.2">
      <c r="A401" s="28">
        <v>44713</v>
      </c>
      <c r="B401" s="18">
        <v>0</v>
      </c>
      <c r="C401" s="18">
        <v>0</v>
      </c>
      <c r="D401" s="18">
        <v>533884.00824000011</v>
      </c>
      <c r="E401" s="18">
        <v>617812.90849223256</v>
      </c>
      <c r="F401" s="18">
        <v>362260.96752000001</v>
      </c>
      <c r="G401" s="18">
        <v>387602.23214485182</v>
      </c>
      <c r="H401" s="19">
        <v>0.15720437203000737</v>
      </c>
      <c r="I401" s="19">
        <v>6.9953063942647331E-2</v>
      </c>
      <c r="J401" s="19">
        <v>0.12193357975858188</v>
      </c>
    </row>
    <row r="402" spans="1:10" ht="11.25" customHeight="1" x14ac:dyDescent="0.2">
      <c r="A402" s="24" t="s">
        <v>29</v>
      </c>
      <c r="B402" s="18">
        <v>0</v>
      </c>
      <c r="C402" s="18">
        <v>0</v>
      </c>
      <c r="D402" s="18">
        <v>12623.188709999999</v>
      </c>
      <c r="E402" s="18">
        <v>13443.416606703166</v>
      </c>
      <c r="F402" s="18">
        <v>11389.51497</v>
      </c>
      <c r="G402" s="18">
        <v>12186.810529996939</v>
      </c>
      <c r="H402" s="19">
        <v>6.4977868551817641E-2</v>
      </c>
      <c r="I402" s="19">
        <v>7.0002591163628836E-2</v>
      </c>
      <c r="J402" s="19">
        <v>6.7361155089226132E-2</v>
      </c>
    </row>
    <row r="403" spans="1:10" ht="11.25" customHeight="1" x14ac:dyDescent="0.2">
      <c r="A403" s="25" t="s">
        <v>25</v>
      </c>
      <c r="B403" s="18">
        <v>0</v>
      </c>
      <c r="C403" s="18">
        <v>0</v>
      </c>
      <c r="D403" s="18">
        <v>12623.188709999999</v>
      </c>
      <c r="E403" s="18">
        <v>13443.416606703166</v>
      </c>
      <c r="F403" s="18">
        <v>11389.51497</v>
      </c>
      <c r="G403" s="18">
        <v>12186.810529996939</v>
      </c>
      <c r="H403" s="19">
        <v>6.4977868551817641E-2</v>
      </c>
      <c r="I403" s="19">
        <v>7.0002591163628836E-2</v>
      </c>
      <c r="J403" s="19">
        <v>6.7361155089226132E-2</v>
      </c>
    </row>
    <row r="404" spans="1:10" ht="11.25" customHeight="1" x14ac:dyDescent="0.2">
      <c r="A404" s="26" t="s">
        <v>25</v>
      </c>
      <c r="B404" s="18">
        <v>0</v>
      </c>
      <c r="C404" s="18">
        <v>0</v>
      </c>
      <c r="D404" s="18">
        <v>12623.188709999999</v>
      </c>
      <c r="E404" s="18">
        <v>13443.416606703166</v>
      </c>
      <c r="F404" s="18">
        <v>11389.51497</v>
      </c>
      <c r="G404" s="18">
        <v>12186.810529996939</v>
      </c>
      <c r="H404" s="19">
        <v>6.4977868551817641E-2</v>
      </c>
      <c r="I404" s="19">
        <v>7.0002591163628836E-2</v>
      </c>
      <c r="J404" s="19">
        <v>6.7361155089226132E-2</v>
      </c>
    </row>
    <row r="405" spans="1:10" ht="11.25" customHeight="1" x14ac:dyDescent="0.2">
      <c r="A405" s="27" t="s">
        <v>25</v>
      </c>
      <c r="B405" s="18">
        <v>0</v>
      </c>
      <c r="C405" s="18">
        <v>0</v>
      </c>
      <c r="D405" s="18">
        <v>12623.188709999999</v>
      </c>
      <c r="E405" s="18">
        <v>13443.416606703166</v>
      </c>
      <c r="F405" s="18">
        <v>11389.51497</v>
      </c>
      <c r="G405" s="18">
        <v>12186.810529996939</v>
      </c>
      <c r="H405" s="19">
        <v>6.4977868551817641E-2</v>
      </c>
      <c r="I405" s="19">
        <v>7.0002591163628836E-2</v>
      </c>
      <c r="J405" s="19">
        <v>6.7361155089226132E-2</v>
      </c>
    </row>
    <row r="406" spans="1:10" ht="11.25" customHeight="1" x14ac:dyDescent="0.2">
      <c r="A406" s="28">
        <v>44378</v>
      </c>
      <c r="B406" s="18">
        <v>0</v>
      </c>
      <c r="C406" s="18">
        <v>0</v>
      </c>
      <c r="D406" s="18">
        <v>512.86619999999994</v>
      </c>
      <c r="E406" s="18">
        <v>546.19115252827009</v>
      </c>
      <c r="F406" s="18">
        <v>462.74340000000001</v>
      </c>
      <c r="G406" s="18">
        <v>495.13663704386755</v>
      </c>
      <c r="H406" s="19">
        <v>6.4977868551817641E-2</v>
      </c>
      <c r="I406" s="19">
        <v>7.0002591163628836E-2</v>
      </c>
      <c r="J406" s="19">
        <v>6.736115508922591E-2</v>
      </c>
    </row>
    <row r="407" spans="1:10" ht="11.25" customHeight="1" x14ac:dyDescent="0.2">
      <c r="A407" s="28">
        <v>44409</v>
      </c>
      <c r="B407" s="18">
        <v>0</v>
      </c>
      <c r="C407" s="18">
        <v>0</v>
      </c>
      <c r="D407" s="18">
        <v>517.17600000000004</v>
      </c>
      <c r="E407" s="18">
        <v>550.78099414615485</v>
      </c>
      <c r="F407" s="18">
        <v>466.63200000000001</v>
      </c>
      <c r="G407" s="18">
        <v>499.29744911986643</v>
      </c>
      <c r="H407" s="19">
        <v>6.4977868551817641E-2</v>
      </c>
      <c r="I407" s="19">
        <v>7.0002591163628836E-2</v>
      </c>
      <c r="J407" s="19">
        <v>6.736115508922591E-2</v>
      </c>
    </row>
    <row r="408" spans="1:10" ht="11.25" customHeight="1" x14ac:dyDescent="0.2">
      <c r="A408" s="28">
        <v>44440</v>
      </c>
      <c r="B408" s="18">
        <v>0</v>
      </c>
      <c r="C408" s="18">
        <v>0</v>
      </c>
      <c r="D408" s="18">
        <v>523.64070000000004</v>
      </c>
      <c r="E408" s="18">
        <v>557.66575657298176</v>
      </c>
      <c r="F408" s="18">
        <v>472.4649</v>
      </c>
      <c r="G408" s="18">
        <v>505.53866723386477</v>
      </c>
      <c r="H408" s="19">
        <v>6.4977868551817641E-2</v>
      </c>
      <c r="I408" s="19">
        <v>7.0002591163628836E-2</v>
      </c>
      <c r="J408" s="19">
        <v>6.736115508922591E-2</v>
      </c>
    </row>
    <row r="409" spans="1:10" ht="11.25" customHeight="1" x14ac:dyDescent="0.2">
      <c r="A409" s="28">
        <v>44470</v>
      </c>
      <c r="B409" s="18">
        <v>0</v>
      </c>
      <c r="C409" s="18">
        <v>0</v>
      </c>
      <c r="D409" s="18">
        <v>530.10540000000003</v>
      </c>
      <c r="E409" s="18">
        <v>564.55051899980867</v>
      </c>
      <c r="F409" s="18">
        <v>478.2978</v>
      </c>
      <c r="G409" s="18">
        <v>511.77988534786311</v>
      </c>
      <c r="H409" s="19">
        <v>6.4977868551817419E-2</v>
      </c>
      <c r="I409" s="19">
        <v>7.0002591163628836E-2</v>
      </c>
      <c r="J409" s="19">
        <v>6.7361155089226132E-2</v>
      </c>
    </row>
    <row r="410" spans="1:10" ht="11.25" customHeight="1" x14ac:dyDescent="0.2">
      <c r="A410" s="28">
        <v>44501</v>
      </c>
      <c r="B410" s="18">
        <v>0</v>
      </c>
      <c r="C410" s="18">
        <v>0</v>
      </c>
      <c r="D410" s="18">
        <v>558.1191</v>
      </c>
      <c r="E410" s="18">
        <v>594.38448951605869</v>
      </c>
      <c r="F410" s="18">
        <v>503.57370000000003</v>
      </c>
      <c r="G410" s="18">
        <v>538.8251638418559</v>
      </c>
      <c r="H410" s="19">
        <v>6.4977868551817419E-2</v>
      </c>
      <c r="I410" s="19">
        <v>7.0002591163628836E-2</v>
      </c>
      <c r="J410" s="19">
        <v>6.7361155089226132E-2</v>
      </c>
    </row>
    <row r="411" spans="1:10" ht="11.25" customHeight="1" x14ac:dyDescent="0.2">
      <c r="A411" s="28">
        <v>44531</v>
      </c>
      <c r="B411" s="18">
        <v>0</v>
      </c>
      <c r="C411" s="18">
        <v>0</v>
      </c>
      <c r="D411" s="18">
        <v>562.4289</v>
      </c>
      <c r="E411" s="18">
        <v>598.97433113394334</v>
      </c>
      <c r="F411" s="18">
        <v>507.46230000000003</v>
      </c>
      <c r="G411" s="18">
        <v>542.98597591785472</v>
      </c>
      <c r="H411" s="19">
        <v>6.4977868551817641E-2</v>
      </c>
      <c r="I411" s="19">
        <v>7.0002591163628614E-2</v>
      </c>
      <c r="J411" s="19">
        <v>6.736115508922591E-2</v>
      </c>
    </row>
    <row r="412" spans="1:10" ht="11.25" customHeight="1" x14ac:dyDescent="0.2">
      <c r="A412" s="28">
        <v>44562</v>
      </c>
      <c r="B412" s="18">
        <v>0</v>
      </c>
      <c r="C412" s="18">
        <v>0</v>
      </c>
      <c r="D412" s="18">
        <v>571.04849999999999</v>
      </c>
      <c r="E412" s="18">
        <v>608.15401436971263</v>
      </c>
      <c r="F412" s="18">
        <v>515.23950000000002</v>
      </c>
      <c r="G412" s="18">
        <v>551.30760006985258</v>
      </c>
      <c r="H412" s="19">
        <v>6.4977868551817641E-2</v>
      </c>
      <c r="I412" s="19">
        <v>7.0002591163628836E-2</v>
      </c>
      <c r="J412" s="19">
        <v>6.7361155089226132E-2</v>
      </c>
    </row>
    <row r="413" spans="1:10" ht="11.25" customHeight="1" x14ac:dyDescent="0.2">
      <c r="A413" s="28">
        <v>44593</v>
      </c>
      <c r="B413" s="18">
        <v>0</v>
      </c>
      <c r="C413" s="18">
        <v>0</v>
      </c>
      <c r="D413" s="18">
        <v>999.87360000000001</v>
      </c>
      <c r="E413" s="18">
        <v>1064.8432553492325</v>
      </c>
      <c r="F413" s="18">
        <v>902.15520000000004</v>
      </c>
      <c r="G413" s="18">
        <v>965.30840163174173</v>
      </c>
      <c r="H413" s="19">
        <v>6.4977868551817419E-2</v>
      </c>
      <c r="I413" s="19">
        <v>7.0002591163628614E-2</v>
      </c>
      <c r="J413" s="19">
        <v>6.736115508922591E-2</v>
      </c>
    </row>
    <row r="414" spans="1:10" ht="11.25" customHeight="1" x14ac:dyDescent="0.2">
      <c r="A414" s="28">
        <v>44621</v>
      </c>
      <c r="B414" s="18">
        <v>0</v>
      </c>
      <c r="C414" s="18">
        <v>0</v>
      </c>
      <c r="D414" s="18">
        <v>1245.7476900000001</v>
      </c>
      <c r="E414" s="18">
        <v>1326.6937196495503</v>
      </c>
      <c r="F414" s="18">
        <v>1123.99983</v>
      </c>
      <c r="G414" s="18">
        <v>1202.6827305674783</v>
      </c>
      <c r="H414" s="19">
        <v>6.4977868551817419E-2</v>
      </c>
      <c r="I414" s="19">
        <v>7.0002591163628836E-2</v>
      </c>
      <c r="J414" s="19">
        <v>6.7361155089226132E-2</v>
      </c>
    </row>
    <row r="415" spans="1:10" ht="11.25" customHeight="1" x14ac:dyDescent="0.2">
      <c r="A415" s="28">
        <v>44652</v>
      </c>
      <c r="B415" s="18">
        <v>0</v>
      </c>
      <c r="C415" s="18">
        <v>0</v>
      </c>
      <c r="D415" s="18">
        <v>2092.47973</v>
      </c>
      <c r="E415" s="18">
        <v>2228.4446028432826</v>
      </c>
      <c r="F415" s="18">
        <v>1887.98011</v>
      </c>
      <c r="G415" s="18">
        <v>2020.143609765393</v>
      </c>
      <c r="H415" s="19">
        <v>6.4977868551817419E-2</v>
      </c>
      <c r="I415" s="19">
        <v>7.0002591163628836E-2</v>
      </c>
      <c r="J415" s="19">
        <v>6.736115508922591E-2</v>
      </c>
    </row>
    <row r="416" spans="1:10" ht="11.25" customHeight="1" x14ac:dyDescent="0.2">
      <c r="A416" s="28">
        <v>44682</v>
      </c>
      <c r="B416" s="18">
        <v>0</v>
      </c>
      <c r="C416" s="18">
        <v>0</v>
      </c>
      <c r="D416" s="18">
        <v>2254.95919</v>
      </c>
      <c r="E416" s="18">
        <v>2401.4816318375329</v>
      </c>
      <c r="F416" s="18">
        <v>2034.58033</v>
      </c>
      <c r="G416" s="18">
        <v>2177.0062250305509</v>
      </c>
      <c r="H416" s="19">
        <v>6.4977868551817419E-2</v>
      </c>
      <c r="I416" s="19">
        <v>7.0002591163628836E-2</v>
      </c>
      <c r="J416" s="19">
        <v>6.7361155089225688E-2</v>
      </c>
    </row>
    <row r="417" spans="1:10" ht="11.25" customHeight="1" x14ac:dyDescent="0.2">
      <c r="A417" s="28">
        <v>44713</v>
      </c>
      <c r="B417" s="18">
        <v>0</v>
      </c>
      <c r="C417" s="18">
        <v>0</v>
      </c>
      <c r="D417" s="18">
        <v>2254.7437</v>
      </c>
      <c r="E417" s="18">
        <v>2401.2521397566384</v>
      </c>
      <c r="F417" s="18">
        <v>2034.3859</v>
      </c>
      <c r="G417" s="18">
        <v>2176.798184426751</v>
      </c>
      <c r="H417" s="19">
        <v>6.4977868551817419E-2</v>
      </c>
      <c r="I417" s="19">
        <v>7.0002591163628836E-2</v>
      </c>
      <c r="J417" s="19">
        <v>6.736115508922591E-2</v>
      </c>
    </row>
    <row r="418" spans="1:10" ht="11.25" customHeight="1" x14ac:dyDescent="0.2">
      <c r="A418" s="24" t="s">
        <v>30</v>
      </c>
      <c r="B418" s="18">
        <v>0</v>
      </c>
      <c r="C418" s="18">
        <v>0</v>
      </c>
      <c r="D418" s="18">
        <v>7402.94499</v>
      </c>
      <c r="E418" s="18">
        <v>7884.4299312022076</v>
      </c>
      <c r="F418" s="18">
        <v>6680.2665300000008</v>
      </c>
      <c r="G418" s="18">
        <v>7147.4429841508891</v>
      </c>
      <c r="H418" s="19">
        <v>6.503964866044587E-2</v>
      </c>
      <c r="I418" s="19">
        <v>6.9933804594902726E-2</v>
      </c>
      <c r="J418" s="19">
        <v>6.7361155089226132E-2</v>
      </c>
    </row>
    <row r="419" spans="1:10" ht="11.25" customHeight="1" x14ac:dyDescent="0.2">
      <c r="A419" s="25" t="s">
        <v>25</v>
      </c>
      <c r="B419" s="18">
        <v>0</v>
      </c>
      <c r="C419" s="18">
        <v>0</v>
      </c>
      <c r="D419" s="18">
        <v>7402.94499</v>
      </c>
      <c r="E419" s="18">
        <v>7884.4299312022076</v>
      </c>
      <c r="F419" s="18">
        <v>6680.2665300000008</v>
      </c>
      <c r="G419" s="18">
        <v>7147.4429841508891</v>
      </c>
      <c r="H419" s="19">
        <v>6.503964866044587E-2</v>
      </c>
      <c r="I419" s="19">
        <v>6.9933804594902726E-2</v>
      </c>
      <c r="J419" s="19">
        <v>6.7361155089226132E-2</v>
      </c>
    </row>
    <row r="420" spans="1:10" ht="11.25" customHeight="1" x14ac:dyDescent="0.2">
      <c r="A420" s="26" t="s">
        <v>25</v>
      </c>
      <c r="B420" s="18">
        <v>0</v>
      </c>
      <c r="C420" s="18">
        <v>0</v>
      </c>
      <c r="D420" s="18">
        <v>7402.94499</v>
      </c>
      <c r="E420" s="18">
        <v>7884.4299312022076</v>
      </c>
      <c r="F420" s="18">
        <v>6680.2665300000008</v>
      </c>
      <c r="G420" s="18">
        <v>7147.4429841508891</v>
      </c>
      <c r="H420" s="19">
        <v>6.503964866044587E-2</v>
      </c>
      <c r="I420" s="19">
        <v>6.9933804594902726E-2</v>
      </c>
      <c r="J420" s="19">
        <v>6.7361155089226132E-2</v>
      </c>
    </row>
    <row r="421" spans="1:10" ht="11.25" customHeight="1" x14ac:dyDescent="0.2">
      <c r="A421" s="27" t="s">
        <v>25</v>
      </c>
      <c r="B421" s="18">
        <v>0</v>
      </c>
      <c r="C421" s="18">
        <v>0</v>
      </c>
      <c r="D421" s="18">
        <v>7402.94499</v>
      </c>
      <c r="E421" s="18">
        <v>7884.4299312022076</v>
      </c>
      <c r="F421" s="18">
        <v>6680.2665300000008</v>
      </c>
      <c r="G421" s="18">
        <v>7147.4429841508891</v>
      </c>
      <c r="H421" s="19">
        <v>6.503964866044587E-2</v>
      </c>
      <c r="I421" s="19">
        <v>6.9933804594902726E-2</v>
      </c>
      <c r="J421" s="19">
        <v>6.7361155089226132E-2</v>
      </c>
    </row>
    <row r="422" spans="1:10" ht="11.25" customHeight="1" x14ac:dyDescent="0.2">
      <c r="A422" s="28">
        <v>44378</v>
      </c>
      <c r="B422" s="18">
        <v>0</v>
      </c>
      <c r="C422" s="18">
        <v>0</v>
      </c>
      <c r="D422" s="18">
        <v>223.72720999999999</v>
      </c>
      <c r="E422" s="18">
        <v>238.27834913418175</v>
      </c>
      <c r="F422" s="18">
        <v>201.88686999999999</v>
      </c>
      <c r="G422" s="18">
        <v>216.00558691685652</v>
      </c>
      <c r="H422" s="19">
        <v>6.503964866044587E-2</v>
      </c>
      <c r="I422" s="19">
        <v>6.9933804594902726E-2</v>
      </c>
      <c r="J422" s="19">
        <v>6.7361155089226132E-2</v>
      </c>
    </row>
    <row r="423" spans="1:10" ht="11.25" customHeight="1" x14ac:dyDescent="0.2">
      <c r="A423" s="28">
        <v>44409</v>
      </c>
      <c r="B423" s="18">
        <v>0</v>
      </c>
      <c r="C423" s="18">
        <v>0</v>
      </c>
      <c r="D423" s="18">
        <v>239.48785000000001</v>
      </c>
      <c r="E423" s="18">
        <v>255.06405562244555</v>
      </c>
      <c r="F423" s="18">
        <v>216.10894999999999</v>
      </c>
      <c r="G423" s="18">
        <v>231.22227108050961</v>
      </c>
      <c r="H423" s="19">
        <v>6.503964866044587E-2</v>
      </c>
      <c r="I423" s="19">
        <v>6.9933804594902726E-2</v>
      </c>
      <c r="J423" s="19">
        <v>6.7361155089226132E-2</v>
      </c>
    </row>
    <row r="424" spans="1:10" ht="11.25" customHeight="1" x14ac:dyDescent="0.2">
      <c r="A424" s="28">
        <v>44440</v>
      </c>
      <c r="B424" s="18">
        <v>0</v>
      </c>
      <c r="C424" s="18">
        <v>0</v>
      </c>
      <c r="D424" s="18">
        <v>209.69039000000001</v>
      </c>
      <c r="E424" s="18">
        <v>223.32857929307187</v>
      </c>
      <c r="F424" s="18">
        <v>189.22033000000002</v>
      </c>
      <c r="G424" s="18">
        <v>202.453227583603</v>
      </c>
      <c r="H424" s="19">
        <v>6.503964866044587E-2</v>
      </c>
      <c r="I424" s="19">
        <v>6.9933804594902504E-2</v>
      </c>
      <c r="J424" s="19">
        <v>6.7361155089226132E-2</v>
      </c>
    </row>
    <row r="425" spans="1:10" ht="11.25" customHeight="1" x14ac:dyDescent="0.2">
      <c r="A425" s="28">
        <v>44470</v>
      </c>
      <c r="B425" s="18">
        <v>0</v>
      </c>
      <c r="C425" s="18">
        <v>0</v>
      </c>
      <c r="D425" s="18">
        <v>228.52928</v>
      </c>
      <c r="E425" s="18">
        <v>243.39274407982464</v>
      </c>
      <c r="F425" s="18">
        <v>206.22016000000002</v>
      </c>
      <c r="G425" s="18">
        <v>220.64192037296957</v>
      </c>
      <c r="H425" s="19">
        <v>6.503964866044587E-2</v>
      </c>
      <c r="I425" s="19">
        <v>6.9933804594902504E-2</v>
      </c>
      <c r="J425" s="19">
        <v>6.7361155089226132E-2</v>
      </c>
    </row>
    <row r="426" spans="1:10" ht="11.25" customHeight="1" x14ac:dyDescent="0.2">
      <c r="A426" s="28">
        <v>44501</v>
      </c>
      <c r="B426" s="18">
        <v>0</v>
      </c>
      <c r="C426" s="18">
        <v>0</v>
      </c>
      <c r="D426" s="18">
        <v>194.05287999999999</v>
      </c>
      <c r="E426" s="18">
        <v>206.67401113674765</v>
      </c>
      <c r="F426" s="18">
        <v>175.10935999999998</v>
      </c>
      <c r="G426" s="18">
        <v>187.35542376497847</v>
      </c>
      <c r="H426" s="19">
        <v>6.503964866044587E-2</v>
      </c>
      <c r="I426" s="19">
        <v>6.9933804594902726E-2</v>
      </c>
      <c r="J426" s="19">
        <v>6.7361155089226132E-2</v>
      </c>
    </row>
    <row r="427" spans="1:10" ht="11.25" customHeight="1" x14ac:dyDescent="0.2">
      <c r="A427" s="28">
        <v>44531</v>
      </c>
      <c r="B427" s="18">
        <v>0</v>
      </c>
      <c r="C427" s="18">
        <v>0</v>
      </c>
      <c r="D427" s="18">
        <v>251.18520000000001</v>
      </c>
      <c r="E427" s="18">
        <v>267.52219715670378</v>
      </c>
      <c r="F427" s="18">
        <v>226.6644</v>
      </c>
      <c r="G427" s="18">
        <v>242.51590385822087</v>
      </c>
      <c r="H427" s="19">
        <v>6.5039648660445648E-2</v>
      </c>
      <c r="I427" s="19">
        <v>6.9933804594902726E-2</v>
      </c>
      <c r="J427" s="19">
        <v>6.7361155089226132E-2</v>
      </c>
    </row>
    <row r="428" spans="1:10" ht="11.25" customHeight="1" x14ac:dyDescent="0.2">
      <c r="A428" s="28">
        <v>44562</v>
      </c>
      <c r="B428" s="18">
        <v>0</v>
      </c>
      <c r="C428" s="18">
        <v>0</v>
      </c>
      <c r="D428" s="18">
        <v>1387.55197</v>
      </c>
      <c r="E428" s="18">
        <v>1477.7978626269094</v>
      </c>
      <c r="F428" s="18">
        <v>1252.0985900000001</v>
      </c>
      <c r="G428" s="18">
        <v>1339.6626081266131</v>
      </c>
      <c r="H428" s="19">
        <v>6.503964866044587E-2</v>
      </c>
      <c r="I428" s="19">
        <v>6.9933804594902504E-2</v>
      </c>
      <c r="J428" s="19">
        <v>6.7361155089226132E-2</v>
      </c>
    </row>
    <row r="429" spans="1:10" ht="11.25" customHeight="1" x14ac:dyDescent="0.2">
      <c r="A429" s="28">
        <v>44593</v>
      </c>
      <c r="B429" s="18">
        <v>0</v>
      </c>
      <c r="C429" s="18">
        <v>0</v>
      </c>
      <c r="D429" s="18">
        <v>372.71451000000002</v>
      </c>
      <c r="E429" s="18">
        <v>396.95573078105019</v>
      </c>
      <c r="F429" s="18">
        <v>336.32997</v>
      </c>
      <c r="G429" s="18">
        <v>359.8508044013895</v>
      </c>
      <c r="H429" s="19">
        <v>6.5039648660445648E-2</v>
      </c>
      <c r="I429" s="19">
        <v>6.9933804594902726E-2</v>
      </c>
      <c r="J429" s="19">
        <v>6.7361155089226132E-2</v>
      </c>
    </row>
    <row r="430" spans="1:10" ht="11.25" customHeight="1" x14ac:dyDescent="0.2">
      <c r="A430" s="28">
        <v>44621</v>
      </c>
      <c r="B430" s="18">
        <v>0</v>
      </c>
      <c r="C430" s="18">
        <v>0</v>
      </c>
      <c r="D430" s="18">
        <v>585.72941000000003</v>
      </c>
      <c r="E430" s="18">
        <v>623.82504503649022</v>
      </c>
      <c r="F430" s="18">
        <v>528.55027000000007</v>
      </c>
      <c r="G430" s="18">
        <v>565.51380130076313</v>
      </c>
      <c r="H430" s="19">
        <v>6.503964866044587E-2</v>
      </c>
      <c r="I430" s="19">
        <v>6.9933804594902726E-2</v>
      </c>
      <c r="J430" s="19">
        <v>6.7361155089226132E-2</v>
      </c>
    </row>
    <row r="431" spans="1:10" ht="11.25" customHeight="1" x14ac:dyDescent="0.2">
      <c r="A431" s="28">
        <v>44652</v>
      </c>
      <c r="B431" s="18">
        <v>0</v>
      </c>
      <c r="C431" s="18">
        <v>0</v>
      </c>
      <c r="D431" s="18">
        <v>1152.0042799999999</v>
      </c>
      <c r="E431" s="18">
        <v>1226.9302336265298</v>
      </c>
      <c r="F431" s="18">
        <v>1039.5451599999999</v>
      </c>
      <c r="G431" s="18">
        <v>1112.2445080870168</v>
      </c>
      <c r="H431" s="19">
        <v>6.503964866044587E-2</v>
      </c>
      <c r="I431" s="19">
        <v>6.9933804594902726E-2</v>
      </c>
      <c r="J431" s="19">
        <v>6.7361155089226132E-2</v>
      </c>
    </row>
    <row r="432" spans="1:10" ht="11.25" customHeight="1" x14ac:dyDescent="0.2">
      <c r="A432" s="28">
        <v>44682</v>
      </c>
      <c r="B432" s="18">
        <v>0</v>
      </c>
      <c r="C432" s="18">
        <v>0</v>
      </c>
      <c r="D432" s="18">
        <v>1346.5496799999999</v>
      </c>
      <c r="E432" s="18">
        <v>1434.1287980910356</v>
      </c>
      <c r="F432" s="18">
        <v>1215.09896</v>
      </c>
      <c r="G432" s="18">
        <v>1300.0754532321096</v>
      </c>
      <c r="H432" s="19">
        <v>6.503964866044587E-2</v>
      </c>
      <c r="I432" s="19">
        <v>6.9933804594902726E-2</v>
      </c>
      <c r="J432" s="19">
        <v>6.7361155089226354E-2</v>
      </c>
    </row>
    <row r="433" spans="1:10" ht="11.25" customHeight="1" x14ac:dyDescent="0.2">
      <c r="A433" s="28">
        <v>44713</v>
      </c>
      <c r="B433" s="18">
        <v>0</v>
      </c>
      <c r="C433" s="18">
        <v>0</v>
      </c>
      <c r="D433" s="18">
        <v>1211.7223299999998</v>
      </c>
      <c r="E433" s="18">
        <v>1290.5323246172165</v>
      </c>
      <c r="F433" s="18">
        <v>1093.4335099999998</v>
      </c>
      <c r="G433" s="18">
        <v>1169.9014754258585</v>
      </c>
      <c r="H433" s="19">
        <v>6.503964866044587E-2</v>
      </c>
      <c r="I433" s="19">
        <v>6.9933804594902726E-2</v>
      </c>
      <c r="J433" s="19">
        <v>6.7361155089226354E-2</v>
      </c>
    </row>
    <row r="434" spans="1:10" ht="11.25" customHeight="1" x14ac:dyDescent="0.2">
      <c r="A434" s="24" t="s">
        <v>31</v>
      </c>
      <c r="B434" s="18">
        <v>0</v>
      </c>
      <c r="C434" s="18">
        <v>0</v>
      </c>
      <c r="D434" s="18">
        <v>85596.075100000002</v>
      </c>
      <c r="E434" s="18">
        <v>91160.745878619637</v>
      </c>
      <c r="F434" s="18">
        <v>77235.74377999999</v>
      </c>
      <c r="G434" s="18">
        <v>82639.612406416825</v>
      </c>
      <c r="H434" s="19">
        <v>6.5010817051115666E-2</v>
      </c>
      <c r="I434" s="19">
        <v>6.9965903893012715E-2</v>
      </c>
      <c r="J434" s="19">
        <v>6.7361155089226354E-2</v>
      </c>
    </row>
    <row r="435" spans="1:10" ht="11.25" customHeight="1" x14ac:dyDescent="0.2">
      <c r="A435" s="25" t="s">
        <v>25</v>
      </c>
      <c r="B435" s="18">
        <v>0</v>
      </c>
      <c r="C435" s="18">
        <v>0</v>
      </c>
      <c r="D435" s="18">
        <v>85596.075100000002</v>
      </c>
      <c r="E435" s="18">
        <v>91160.745878619637</v>
      </c>
      <c r="F435" s="18">
        <v>77235.74377999999</v>
      </c>
      <c r="G435" s="18">
        <v>82639.612406416825</v>
      </c>
      <c r="H435" s="19">
        <v>6.5010817051115666E-2</v>
      </c>
      <c r="I435" s="19">
        <v>6.9965903893012715E-2</v>
      </c>
      <c r="J435" s="19">
        <v>6.7361155089226354E-2</v>
      </c>
    </row>
    <row r="436" spans="1:10" ht="11.25" customHeight="1" x14ac:dyDescent="0.2">
      <c r="A436" s="26" t="s">
        <v>25</v>
      </c>
      <c r="B436" s="18">
        <v>0</v>
      </c>
      <c r="C436" s="18">
        <v>0</v>
      </c>
      <c r="D436" s="18">
        <v>85596.075100000002</v>
      </c>
      <c r="E436" s="18">
        <v>91160.745878619637</v>
      </c>
      <c r="F436" s="18">
        <v>77235.74377999999</v>
      </c>
      <c r="G436" s="18">
        <v>82639.612406416825</v>
      </c>
      <c r="H436" s="19">
        <v>6.5010817051115666E-2</v>
      </c>
      <c r="I436" s="19">
        <v>6.9965903893012715E-2</v>
      </c>
      <c r="J436" s="19">
        <v>6.7361155089226354E-2</v>
      </c>
    </row>
    <row r="437" spans="1:10" ht="11.25" customHeight="1" x14ac:dyDescent="0.2">
      <c r="A437" s="27" t="s">
        <v>25</v>
      </c>
      <c r="B437" s="18">
        <v>0</v>
      </c>
      <c r="C437" s="18">
        <v>0</v>
      </c>
      <c r="D437" s="18">
        <v>85596.075100000002</v>
      </c>
      <c r="E437" s="18">
        <v>91160.745878619637</v>
      </c>
      <c r="F437" s="18">
        <v>77235.74377999999</v>
      </c>
      <c r="G437" s="18">
        <v>82639.612406416825</v>
      </c>
      <c r="H437" s="19">
        <v>6.5010817051115666E-2</v>
      </c>
      <c r="I437" s="19">
        <v>6.9965903893012715E-2</v>
      </c>
      <c r="J437" s="19">
        <v>6.7361155089226354E-2</v>
      </c>
    </row>
    <row r="438" spans="1:10" ht="11.25" customHeight="1" x14ac:dyDescent="0.2">
      <c r="A438" s="28">
        <v>44378</v>
      </c>
      <c r="B438" s="18">
        <v>0</v>
      </c>
      <c r="C438" s="18">
        <v>0</v>
      </c>
      <c r="D438" s="18">
        <v>3715.7945999999997</v>
      </c>
      <c r="E438" s="18">
        <v>3957.3614429401223</v>
      </c>
      <c r="F438" s="18">
        <v>3352.8658799999998</v>
      </c>
      <c r="G438" s="18">
        <v>3587.4521719262411</v>
      </c>
      <c r="H438" s="19">
        <v>6.5010817051115444E-2</v>
      </c>
      <c r="I438" s="19">
        <v>6.9965903893012715E-2</v>
      </c>
      <c r="J438" s="19">
        <v>6.7361155089226132E-2</v>
      </c>
    </row>
    <row r="439" spans="1:10" ht="11.25" customHeight="1" x14ac:dyDescent="0.2">
      <c r="A439" s="28">
        <v>44409</v>
      </c>
      <c r="B439" s="18">
        <v>0</v>
      </c>
      <c r="C439" s="18">
        <v>0</v>
      </c>
      <c r="D439" s="18">
        <v>3932.8170999999998</v>
      </c>
      <c r="E439" s="18">
        <v>4188.4927529835977</v>
      </c>
      <c r="F439" s="18">
        <v>3548.6913799999998</v>
      </c>
      <c r="G439" s="18">
        <v>3796.9787800390422</v>
      </c>
      <c r="H439" s="19">
        <v>6.5010817051115444E-2</v>
      </c>
      <c r="I439" s="19">
        <v>6.9965903893012715E-2</v>
      </c>
      <c r="J439" s="19">
        <v>6.7361155089226132E-2</v>
      </c>
    </row>
    <row r="440" spans="1:10" ht="11.25" customHeight="1" x14ac:dyDescent="0.2">
      <c r="A440" s="28">
        <v>44440</v>
      </c>
      <c r="B440" s="18">
        <v>0</v>
      </c>
      <c r="C440" s="18">
        <v>0</v>
      </c>
      <c r="D440" s="18">
        <v>4157.7816999999995</v>
      </c>
      <c r="E440" s="18">
        <v>4428.0824854371758</v>
      </c>
      <c r="F440" s="18">
        <v>3751.6832599999998</v>
      </c>
      <c r="G440" s="18">
        <v>4014.173170406184</v>
      </c>
      <c r="H440" s="19">
        <v>6.5010817051115666E-2</v>
      </c>
      <c r="I440" s="19">
        <v>6.9965903893012715E-2</v>
      </c>
      <c r="J440" s="19">
        <v>6.7361155089226354E-2</v>
      </c>
    </row>
    <row r="441" spans="1:10" ht="11.25" customHeight="1" x14ac:dyDescent="0.2">
      <c r="A441" s="28">
        <v>44470</v>
      </c>
      <c r="B441" s="18">
        <v>0</v>
      </c>
      <c r="C441" s="18">
        <v>0</v>
      </c>
      <c r="D441" s="18">
        <v>4087.2262999999998</v>
      </c>
      <c r="E441" s="18">
        <v>4352.9402212358073</v>
      </c>
      <c r="F441" s="18">
        <v>3688.0191400000003</v>
      </c>
      <c r="G441" s="18">
        <v>3946.0547327048312</v>
      </c>
      <c r="H441" s="19">
        <v>6.5010817051115444E-2</v>
      </c>
      <c r="I441" s="19">
        <v>6.9965903893012493E-2</v>
      </c>
      <c r="J441" s="19">
        <v>6.7361155089226132E-2</v>
      </c>
    </row>
    <row r="442" spans="1:10" ht="11.25" customHeight="1" x14ac:dyDescent="0.2">
      <c r="A442" s="28">
        <v>44501</v>
      </c>
      <c r="B442" s="18">
        <v>0</v>
      </c>
      <c r="C442" s="18">
        <v>0</v>
      </c>
      <c r="D442" s="18">
        <v>4157.2276000000002</v>
      </c>
      <c r="E442" s="18">
        <v>4427.492362943447</v>
      </c>
      <c r="F442" s="18">
        <v>3751.1832799999997</v>
      </c>
      <c r="G442" s="18">
        <v>4013.6382088535556</v>
      </c>
      <c r="H442" s="19">
        <v>6.5010817051115222E-2</v>
      </c>
      <c r="I442" s="19">
        <v>6.9965903893012715E-2</v>
      </c>
      <c r="J442" s="19">
        <v>6.7361155089226132E-2</v>
      </c>
    </row>
    <row r="443" spans="1:10" ht="11.25" customHeight="1" x14ac:dyDescent="0.2">
      <c r="A443" s="28">
        <v>44531</v>
      </c>
      <c r="B443" s="18">
        <v>0</v>
      </c>
      <c r="C443" s="18">
        <v>0</v>
      </c>
      <c r="D443" s="18">
        <v>4227.7829999999994</v>
      </c>
      <c r="E443" s="18">
        <v>4502.6346271448156</v>
      </c>
      <c r="F443" s="18">
        <v>3814.8474000000001</v>
      </c>
      <c r="G443" s="18">
        <v>4081.7566465549094</v>
      </c>
      <c r="H443" s="19">
        <v>6.5010817051115444E-2</v>
      </c>
      <c r="I443" s="19">
        <v>6.9965903893012715E-2</v>
      </c>
      <c r="J443" s="19">
        <v>6.7361155089226132E-2</v>
      </c>
    </row>
    <row r="444" spans="1:10" ht="11.25" customHeight="1" x14ac:dyDescent="0.2">
      <c r="A444" s="28">
        <v>44562</v>
      </c>
      <c r="B444" s="18">
        <v>0</v>
      </c>
      <c r="C444" s="18">
        <v>0</v>
      </c>
      <c r="D444" s="18">
        <v>3927.0913999999998</v>
      </c>
      <c r="E444" s="18">
        <v>4182.3948205484085</v>
      </c>
      <c r="F444" s="18">
        <v>3543.5249199999998</v>
      </c>
      <c r="G444" s="18">
        <v>3791.4508439952151</v>
      </c>
      <c r="H444" s="19">
        <v>6.5010817051115444E-2</v>
      </c>
      <c r="I444" s="19">
        <v>6.9965903893012715E-2</v>
      </c>
      <c r="J444" s="19">
        <v>6.7361155089226132E-2</v>
      </c>
    </row>
    <row r="445" spans="1:10" ht="11.25" customHeight="1" x14ac:dyDescent="0.2">
      <c r="A445" s="28">
        <v>44593</v>
      </c>
      <c r="B445" s="18">
        <v>0</v>
      </c>
      <c r="C445" s="18">
        <v>0</v>
      </c>
      <c r="D445" s="18">
        <v>6892.0804999999991</v>
      </c>
      <c r="E445" s="18">
        <v>7340.140284487059</v>
      </c>
      <c r="F445" s="18">
        <v>6218.9178999999986</v>
      </c>
      <c r="G445" s="18">
        <v>6654.0301121099355</v>
      </c>
      <c r="H445" s="19">
        <v>6.5010817051115444E-2</v>
      </c>
      <c r="I445" s="19">
        <v>6.9965903893012715E-2</v>
      </c>
      <c r="J445" s="19">
        <v>6.7361155089226132E-2</v>
      </c>
    </row>
    <row r="446" spans="1:10" ht="11.25" customHeight="1" x14ac:dyDescent="0.2">
      <c r="A446" s="28">
        <v>44621</v>
      </c>
      <c r="B446" s="18">
        <v>0</v>
      </c>
      <c r="C446" s="18">
        <v>0</v>
      </c>
      <c r="D446" s="18">
        <v>8507.6514000000006</v>
      </c>
      <c r="E446" s="18">
        <v>9060.740768700065</v>
      </c>
      <c r="F446" s="18">
        <v>7676.6929199999995</v>
      </c>
      <c r="G446" s="18">
        <v>8213.7996790568905</v>
      </c>
      <c r="H446" s="19">
        <v>6.5010817051115222E-2</v>
      </c>
      <c r="I446" s="19">
        <v>6.9965903893012715E-2</v>
      </c>
      <c r="J446" s="19">
        <v>6.736115508922591E-2</v>
      </c>
    </row>
    <row r="447" spans="1:10" ht="11.25" customHeight="1" x14ac:dyDescent="0.2">
      <c r="A447" s="28">
        <v>44652</v>
      </c>
      <c r="B447" s="18">
        <v>0</v>
      </c>
      <c r="C447" s="18">
        <v>0</v>
      </c>
      <c r="D447" s="18">
        <v>13796.351199999997</v>
      </c>
      <c r="E447" s="18">
        <v>14693.263263836136</v>
      </c>
      <c r="F447" s="18">
        <v>12448.835359999999</v>
      </c>
      <c r="G447" s="18">
        <v>13319.829378377695</v>
      </c>
      <c r="H447" s="19">
        <v>6.5010817051115444E-2</v>
      </c>
      <c r="I447" s="19">
        <v>6.9965903893012493E-2</v>
      </c>
      <c r="J447" s="19">
        <v>6.7361155089226132E-2</v>
      </c>
    </row>
    <row r="448" spans="1:10" ht="11.25" customHeight="1" x14ac:dyDescent="0.2">
      <c r="A448" s="28">
        <v>44682</v>
      </c>
      <c r="B448" s="18">
        <v>0</v>
      </c>
      <c r="C448" s="18">
        <v>0</v>
      </c>
      <c r="D448" s="18">
        <v>14102.029699999997</v>
      </c>
      <c r="E448" s="18">
        <v>15018.814172876097</v>
      </c>
      <c r="F448" s="18">
        <v>12724.657659999999</v>
      </c>
      <c r="G448" s="18">
        <v>13614.949834911045</v>
      </c>
      <c r="H448" s="19">
        <v>6.5010817051115666E-2</v>
      </c>
      <c r="I448" s="19">
        <v>6.9965903893012493E-2</v>
      </c>
      <c r="J448" s="19">
        <v>6.7361155089226132E-2</v>
      </c>
    </row>
    <row r="449" spans="1:10" ht="11.25" customHeight="1" x14ac:dyDescent="0.2">
      <c r="A449" s="28">
        <v>44713</v>
      </c>
      <c r="B449" s="18">
        <v>0</v>
      </c>
      <c r="C449" s="18">
        <v>0</v>
      </c>
      <c r="D449" s="18">
        <v>14092.240599999999</v>
      </c>
      <c r="E449" s="18">
        <v>15008.388675486902</v>
      </c>
      <c r="F449" s="18">
        <v>12715.82468</v>
      </c>
      <c r="G449" s="18">
        <v>13605.498847481278</v>
      </c>
      <c r="H449" s="19">
        <v>6.5010817051115444E-2</v>
      </c>
      <c r="I449" s="19">
        <v>6.9965903893012715E-2</v>
      </c>
      <c r="J449" s="19">
        <v>6.7361155089226132E-2</v>
      </c>
    </row>
    <row r="450" spans="1:10" ht="11.25" customHeight="1" x14ac:dyDescent="0.2">
      <c r="A450" s="24" t="s">
        <v>32</v>
      </c>
      <c r="B450" s="18">
        <v>0</v>
      </c>
      <c r="C450" s="18">
        <v>0</v>
      </c>
      <c r="D450" s="18">
        <v>62313.206020000005</v>
      </c>
      <c r="E450" s="18">
        <v>66364.957080766908</v>
      </c>
      <c r="F450" s="18">
        <v>56228.240380000003</v>
      </c>
      <c r="G450" s="18">
        <v>60161.578074684679</v>
      </c>
      <c r="H450" s="19">
        <v>6.5022349507525945E-2</v>
      </c>
      <c r="I450" s="19">
        <v>6.9953063942647331E-2</v>
      </c>
      <c r="J450" s="19">
        <v>6.7361155089226354E-2</v>
      </c>
    </row>
    <row r="451" spans="1:10" ht="11.25" customHeight="1" x14ac:dyDescent="0.2">
      <c r="A451" s="25" t="s">
        <v>25</v>
      </c>
      <c r="B451" s="18">
        <v>0</v>
      </c>
      <c r="C451" s="18">
        <v>0</v>
      </c>
      <c r="D451" s="18">
        <v>62313.206020000005</v>
      </c>
      <c r="E451" s="18">
        <v>66364.957080766908</v>
      </c>
      <c r="F451" s="18">
        <v>56228.240380000003</v>
      </c>
      <c r="G451" s="18">
        <v>60161.578074684679</v>
      </c>
      <c r="H451" s="19">
        <v>6.5022349507525945E-2</v>
      </c>
      <c r="I451" s="19">
        <v>6.9953063942647331E-2</v>
      </c>
      <c r="J451" s="19">
        <v>6.7361155089226354E-2</v>
      </c>
    </row>
    <row r="452" spans="1:10" ht="11.25" customHeight="1" x14ac:dyDescent="0.2">
      <c r="A452" s="26" t="s">
        <v>25</v>
      </c>
      <c r="B452" s="18">
        <v>0</v>
      </c>
      <c r="C452" s="18">
        <v>0</v>
      </c>
      <c r="D452" s="18">
        <v>62313.206020000005</v>
      </c>
      <c r="E452" s="18">
        <v>66364.957080766908</v>
      </c>
      <c r="F452" s="18">
        <v>56228.240380000003</v>
      </c>
      <c r="G452" s="18">
        <v>60161.578074684679</v>
      </c>
      <c r="H452" s="19">
        <v>6.5022349507525945E-2</v>
      </c>
      <c r="I452" s="19">
        <v>6.9953063942647331E-2</v>
      </c>
      <c r="J452" s="19">
        <v>6.7361155089226354E-2</v>
      </c>
    </row>
    <row r="453" spans="1:10" ht="11.25" customHeight="1" x14ac:dyDescent="0.2">
      <c r="A453" s="27" t="s">
        <v>25</v>
      </c>
      <c r="B453" s="18">
        <v>0</v>
      </c>
      <c r="C453" s="18">
        <v>0</v>
      </c>
      <c r="D453" s="18">
        <v>62313.206020000005</v>
      </c>
      <c r="E453" s="18">
        <v>66364.957080766908</v>
      </c>
      <c r="F453" s="18">
        <v>56228.240380000003</v>
      </c>
      <c r="G453" s="18">
        <v>60161.578074684679</v>
      </c>
      <c r="H453" s="19">
        <v>6.5022349507525945E-2</v>
      </c>
      <c r="I453" s="19">
        <v>6.9953063942647331E-2</v>
      </c>
      <c r="J453" s="19">
        <v>6.7361155089226354E-2</v>
      </c>
    </row>
    <row r="454" spans="1:10" ht="11.25" customHeight="1" x14ac:dyDescent="0.2">
      <c r="A454" s="28">
        <v>44378</v>
      </c>
      <c r="B454" s="18">
        <v>0</v>
      </c>
      <c r="C454" s="18">
        <v>0</v>
      </c>
      <c r="D454" s="18">
        <v>2357.7725799999998</v>
      </c>
      <c r="E454" s="18">
        <v>2511.0804927560212</v>
      </c>
      <c r="F454" s="18">
        <v>2127.5330200000003</v>
      </c>
      <c r="G454" s="18">
        <v>2276.360473388153</v>
      </c>
      <c r="H454" s="19">
        <v>6.5022349507525945E-2</v>
      </c>
      <c r="I454" s="19">
        <v>6.9953063942646887E-2</v>
      </c>
      <c r="J454" s="19">
        <v>6.7361155089226132E-2</v>
      </c>
    </row>
    <row r="455" spans="1:10" ht="11.25" customHeight="1" x14ac:dyDescent="0.2">
      <c r="A455" s="28">
        <v>44409</v>
      </c>
      <c r="B455" s="18">
        <v>0</v>
      </c>
      <c r="C455" s="18">
        <v>0</v>
      </c>
      <c r="D455" s="18">
        <v>2477.0054</v>
      </c>
      <c r="E455" s="18">
        <v>2638.0661108508289</v>
      </c>
      <c r="F455" s="18">
        <v>2235.1225999999997</v>
      </c>
      <c r="G455" s="18">
        <v>2391.4762741574559</v>
      </c>
      <c r="H455" s="19">
        <v>6.5022349507525945E-2</v>
      </c>
      <c r="I455" s="19">
        <v>6.9953063942647331E-2</v>
      </c>
      <c r="J455" s="19">
        <v>6.7361155089226132E-2</v>
      </c>
    </row>
    <row r="456" spans="1:10" ht="11.25" customHeight="1" x14ac:dyDescent="0.2">
      <c r="A456" s="28">
        <v>44440</v>
      </c>
      <c r="B456" s="18">
        <v>0</v>
      </c>
      <c r="C456" s="18">
        <v>0</v>
      </c>
      <c r="D456" s="18">
        <v>2646.1066799999999</v>
      </c>
      <c r="E456" s="18">
        <v>2818.1627533811593</v>
      </c>
      <c r="F456" s="18">
        <v>2387.71092</v>
      </c>
      <c r="G456" s="18">
        <v>2554.7386146633175</v>
      </c>
      <c r="H456" s="19">
        <v>6.5022349507526167E-2</v>
      </c>
      <c r="I456" s="19">
        <v>6.9953063942647553E-2</v>
      </c>
      <c r="J456" s="19">
        <v>6.7361155089226132E-2</v>
      </c>
    </row>
    <row r="457" spans="1:10" ht="11.25" customHeight="1" x14ac:dyDescent="0.2">
      <c r="A457" s="28">
        <v>44470</v>
      </c>
      <c r="B457" s="18">
        <v>0</v>
      </c>
      <c r="C457" s="18">
        <v>0</v>
      </c>
      <c r="D457" s="18">
        <v>2338.8923399999999</v>
      </c>
      <c r="E457" s="18">
        <v>2490.9726151919554</v>
      </c>
      <c r="F457" s="18">
        <v>2110.4964600000003</v>
      </c>
      <c r="G457" s="18">
        <v>2258.1321538171105</v>
      </c>
      <c r="H457" s="19">
        <v>6.5022349507526167E-2</v>
      </c>
      <c r="I457" s="19">
        <v>6.9953063942647109E-2</v>
      </c>
      <c r="J457" s="19">
        <v>6.736115508922591E-2</v>
      </c>
    </row>
    <row r="458" spans="1:10" ht="11.25" customHeight="1" x14ac:dyDescent="0.2">
      <c r="A458" s="28">
        <v>44501</v>
      </c>
      <c r="B458" s="18">
        <v>0</v>
      </c>
      <c r="C458" s="18">
        <v>0</v>
      </c>
      <c r="D458" s="18">
        <v>3037.66644</v>
      </c>
      <c r="E458" s="18">
        <v>3235.1826489489622</v>
      </c>
      <c r="F458" s="18">
        <v>2741.0343600000006</v>
      </c>
      <c r="G458" s="18">
        <v>2932.7781118540734</v>
      </c>
      <c r="H458" s="19">
        <v>6.5022349507525945E-2</v>
      </c>
      <c r="I458" s="19">
        <v>6.9953063942647109E-2</v>
      </c>
      <c r="J458" s="19">
        <v>6.7361155089226132E-2</v>
      </c>
    </row>
    <row r="459" spans="1:10" ht="11.25" customHeight="1" x14ac:dyDescent="0.2">
      <c r="A459" s="28">
        <v>44531</v>
      </c>
      <c r="B459" s="18">
        <v>0</v>
      </c>
      <c r="C459" s="18">
        <v>0</v>
      </c>
      <c r="D459" s="18">
        <v>2673.1957200000002</v>
      </c>
      <c r="E459" s="18">
        <v>2847.0131864078621</v>
      </c>
      <c r="F459" s="18">
        <v>2412.1546800000001</v>
      </c>
      <c r="G459" s="18">
        <v>2580.8922905695958</v>
      </c>
      <c r="H459" s="19">
        <v>6.5022349507525723E-2</v>
      </c>
      <c r="I459" s="19">
        <v>6.9953063942647109E-2</v>
      </c>
      <c r="J459" s="19">
        <v>6.736115508922591E-2</v>
      </c>
    </row>
    <row r="460" spans="1:10" ht="11.25" customHeight="1" x14ac:dyDescent="0.2">
      <c r="A460" s="28">
        <v>44562</v>
      </c>
      <c r="B460" s="18">
        <v>0</v>
      </c>
      <c r="C460" s="18">
        <v>0</v>
      </c>
      <c r="D460" s="18">
        <v>3249.8639200000002</v>
      </c>
      <c r="E460" s="18">
        <v>3461.1777076581384</v>
      </c>
      <c r="F460" s="18">
        <v>2932.5104800000004</v>
      </c>
      <c r="G460" s="18">
        <v>3137.6485731199232</v>
      </c>
      <c r="H460" s="19">
        <v>6.5022349507525945E-2</v>
      </c>
      <c r="I460" s="19">
        <v>6.9953063942647109E-2</v>
      </c>
      <c r="J460" s="19">
        <v>6.736115508922591E-2</v>
      </c>
    </row>
    <row r="461" spans="1:10" ht="11.25" customHeight="1" x14ac:dyDescent="0.2">
      <c r="A461" s="28">
        <v>44593</v>
      </c>
      <c r="B461" s="18">
        <v>0</v>
      </c>
      <c r="C461" s="18">
        <v>0</v>
      </c>
      <c r="D461" s="18">
        <v>8016.7140799999997</v>
      </c>
      <c r="E461" s="18">
        <v>8537.9796648116644</v>
      </c>
      <c r="F461" s="18">
        <v>7233.8715200000006</v>
      </c>
      <c r="G461" s="18">
        <v>7739.9029969914545</v>
      </c>
      <c r="H461" s="19">
        <v>6.5022349507525945E-2</v>
      </c>
      <c r="I461" s="19">
        <v>6.9953063942647109E-2</v>
      </c>
      <c r="J461" s="19">
        <v>6.7361155089226132E-2</v>
      </c>
    </row>
    <row r="462" spans="1:10" ht="11.25" customHeight="1" x14ac:dyDescent="0.2">
      <c r="A462" s="28">
        <v>44621</v>
      </c>
      <c r="B462" s="18">
        <v>0</v>
      </c>
      <c r="C462" s="18">
        <v>0</v>
      </c>
      <c r="D462" s="18">
        <v>7283.6682399999991</v>
      </c>
      <c r="E462" s="18">
        <v>7757.2694619981457</v>
      </c>
      <c r="F462" s="18">
        <v>6572.4085599999999</v>
      </c>
      <c r="G462" s="18">
        <v>7032.1686762548816</v>
      </c>
      <c r="H462" s="19">
        <v>6.5022349507525945E-2</v>
      </c>
      <c r="I462" s="19">
        <v>6.9953063942647109E-2</v>
      </c>
      <c r="J462" s="19">
        <v>6.7361155089226132E-2</v>
      </c>
    </row>
    <row r="463" spans="1:10" ht="11.25" customHeight="1" x14ac:dyDescent="0.2">
      <c r="A463" s="28">
        <v>44652</v>
      </c>
      <c r="B463" s="18">
        <v>0</v>
      </c>
      <c r="C463" s="18">
        <v>0</v>
      </c>
      <c r="D463" s="18">
        <v>9391.4828600000001</v>
      </c>
      <c r="E463" s="18">
        <v>10002.139140916859</v>
      </c>
      <c r="F463" s="18">
        <v>8474.3923400000003</v>
      </c>
      <c r="G463" s="18">
        <v>9067.2020492351003</v>
      </c>
      <c r="H463" s="19">
        <v>6.5022349507525945E-2</v>
      </c>
      <c r="I463" s="19">
        <v>6.9953063942647331E-2</v>
      </c>
      <c r="J463" s="19">
        <v>6.736115508922591E-2</v>
      </c>
    </row>
    <row r="464" spans="1:10" ht="11.25" customHeight="1" x14ac:dyDescent="0.2">
      <c r="A464" s="28">
        <v>44682</v>
      </c>
      <c r="B464" s="18">
        <v>0</v>
      </c>
      <c r="C464" s="18">
        <v>0</v>
      </c>
      <c r="D464" s="18">
        <v>8786.6995200000001</v>
      </c>
      <c r="E464" s="18">
        <v>9358.0313672070497</v>
      </c>
      <c r="F464" s="18">
        <v>7928.6668799999998</v>
      </c>
      <c r="G464" s="18">
        <v>8483.3014212365888</v>
      </c>
      <c r="H464" s="19">
        <v>6.5022349507525945E-2</v>
      </c>
      <c r="I464" s="19">
        <v>6.9953063942647109E-2</v>
      </c>
      <c r="J464" s="19">
        <v>6.7361155089226132E-2</v>
      </c>
    </row>
    <row r="465" spans="1:10" ht="11.25" customHeight="1" x14ac:dyDescent="0.2">
      <c r="A465" s="28">
        <v>44713</v>
      </c>
      <c r="B465" s="18">
        <v>0</v>
      </c>
      <c r="C465" s="18">
        <v>0</v>
      </c>
      <c r="D465" s="18">
        <v>10054.13824</v>
      </c>
      <c r="E465" s="18">
        <v>10707.881930638261</v>
      </c>
      <c r="F465" s="18">
        <v>9072.3385600000001</v>
      </c>
      <c r="G465" s="18">
        <v>9706.9764393970254</v>
      </c>
      <c r="H465" s="19">
        <v>6.5022349507525945E-2</v>
      </c>
      <c r="I465" s="19">
        <v>6.9953063942647331E-2</v>
      </c>
      <c r="J465" s="19">
        <v>6.7361155089226132E-2</v>
      </c>
    </row>
    <row r="466" spans="1:10" ht="11.25" customHeight="1" x14ac:dyDescent="0.2">
      <c r="A466" s="21" t="s">
        <v>41</v>
      </c>
      <c r="B466" s="18">
        <v>0</v>
      </c>
      <c r="C466" s="18">
        <v>0</v>
      </c>
      <c r="D466" s="18">
        <v>43464519.009311996</v>
      </c>
      <c r="E466" s="18">
        <v>53726873.901728846</v>
      </c>
      <c r="F466" s="18">
        <v>29492746.576272</v>
      </c>
      <c r="G466" s="18">
        <v>33707059.150475651</v>
      </c>
      <c r="H466" s="19">
        <v>0.23610878772679356</v>
      </c>
      <c r="I466" s="19">
        <v>0.14289318776414728</v>
      </c>
      <c r="J466" s="19">
        <v>0.1984266727984525</v>
      </c>
    </row>
    <row r="467" spans="1:10" ht="11.25" customHeight="1" x14ac:dyDescent="0.2">
      <c r="A467" s="22" t="s">
        <v>23</v>
      </c>
      <c r="B467" s="18">
        <v>0</v>
      </c>
      <c r="C467" s="18">
        <v>0</v>
      </c>
      <c r="D467" s="18">
        <v>43464519.009311996</v>
      </c>
      <c r="E467" s="18">
        <v>53726873.901728846</v>
      </c>
      <c r="F467" s="18">
        <v>29492746.576272</v>
      </c>
      <c r="G467" s="18">
        <v>33707059.150475651</v>
      </c>
      <c r="H467" s="19">
        <v>0.23610878772679356</v>
      </c>
      <c r="I467" s="19">
        <v>0.14289318776414728</v>
      </c>
      <c r="J467" s="19">
        <v>0.1984266727984525</v>
      </c>
    </row>
    <row r="468" spans="1:10" ht="11.25" customHeight="1" x14ac:dyDescent="0.2">
      <c r="A468" s="23" t="s">
        <v>42</v>
      </c>
      <c r="B468" s="18">
        <v>0</v>
      </c>
      <c r="C468" s="18">
        <v>0</v>
      </c>
      <c r="D468" s="18">
        <v>43464519.009311996</v>
      </c>
      <c r="E468" s="18">
        <v>53726873.901728846</v>
      </c>
      <c r="F468" s="18">
        <v>29492746.576272</v>
      </c>
      <c r="G468" s="18">
        <v>33707059.150475651</v>
      </c>
      <c r="H468" s="19">
        <v>0.23610878772679356</v>
      </c>
      <c r="I468" s="19">
        <v>0.14289318776414728</v>
      </c>
      <c r="J468" s="19">
        <v>0.1984266727984525</v>
      </c>
    </row>
    <row r="469" spans="1:10" ht="11.25" customHeight="1" x14ac:dyDescent="0.2">
      <c r="A469" s="24" t="s">
        <v>50</v>
      </c>
      <c r="B469" s="18">
        <v>0</v>
      </c>
      <c r="C469" s="18">
        <v>0</v>
      </c>
      <c r="D469" s="18">
        <v>800808.04435200011</v>
      </c>
      <c r="E469" s="18">
        <v>989885.86090581527</v>
      </c>
      <c r="F469" s="18">
        <v>543386.40451200004</v>
      </c>
      <c r="G469" s="18">
        <v>621032.62004041811</v>
      </c>
      <c r="H469" s="19">
        <v>0.23610878772679378</v>
      </c>
      <c r="I469" s="19">
        <v>0.14289318776414817</v>
      </c>
      <c r="J469" s="19">
        <v>0.19842667279845294</v>
      </c>
    </row>
    <row r="470" spans="1:10" ht="11.25" customHeight="1" x14ac:dyDescent="0.2">
      <c r="A470" s="25" t="s">
        <v>51</v>
      </c>
      <c r="B470" s="18">
        <v>0</v>
      </c>
      <c r="C470" s="18">
        <v>0</v>
      </c>
      <c r="D470" s="18">
        <v>431173.46547200007</v>
      </c>
      <c r="E470" s="18">
        <v>532977.3097045545</v>
      </c>
      <c r="F470" s="18">
        <v>292571.73523200001</v>
      </c>
      <c r="G470" s="18">
        <v>334378.24312898854</v>
      </c>
      <c r="H470" s="19">
        <v>0.23610878772679356</v>
      </c>
      <c r="I470" s="19">
        <v>0.14289318776414772</v>
      </c>
      <c r="J470" s="19">
        <v>0.19842667279845272</v>
      </c>
    </row>
    <row r="471" spans="1:10" ht="11.25" customHeight="1" x14ac:dyDescent="0.2">
      <c r="A471" s="26" t="s">
        <v>25</v>
      </c>
      <c r="B471" s="18">
        <v>0</v>
      </c>
      <c r="C471" s="18">
        <v>0</v>
      </c>
      <c r="D471" s="18">
        <v>431173.46547200007</v>
      </c>
      <c r="E471" s="18">
        <v>532977.3097045545</v>
      </c>
      <c r="F471" s="18">
        <v>292571.73523200001</v>
      </c>
      <c r="G471" s="18">
        <v>334378.24312898854</v>
      </c>
      <c r="H471" s="19">
        <v>0.23610878772679356</v>
      </c>
      <c r="I471" s="19">
        <v>0.14289318776414772</v>
      </c>
      <c r="J471" s="19">
        <v>0.19842667279845272</v>
      </c>
    </row>
    <row r="472" spans="1:10" ht="11.25" customHeight="1" x14ac:dyDescent="0.2">
      <c r="A472" s="27" t="s">
        <v>25</v>
      </c>
      <c r="B472" s="18">
        <v>0</v>
      </c>
      <c r="C472" s="18">
        <v>0</v>
      </c>
      <c r="D472" s="18">
        <v>431173.46547200007</v>
      </c>
      <c r="E472" s="18">
        <v>532977.3097045545</v>
      </c>
      <c r="F472" s="18">
        <v>292571.73523200001</v>
      </c>
      <c r="G472" s="18">
        <v>334378.24312898854</v>
      </c>
      <c r="H472" s="19">
        <v>0.23610878772679356</v>
      </c>
      <c r="I472" s="19">
        <v>0.14289318776414772</v>
      </c>
      <c r="J472" s="19">
        <v>0.19842667279845272</v>
      </c>
    </row>
    <row r="473" spans="1:10" ht="11.25" customHeight="1" x14ac:dyDescent="0.2">
      <c r="A473" s="28">
        <v>44378</v>
      </c>
      <c r="B473" s="18">
        <v>0</v>
      </c>
      <c r="C473" s="18">
        <v>0</v>
      </c>
      <c r="D473" s="18">
        <v>6115.2421120000008</v>
      </c>
      <c r="E473" s="18">
        <v>7559.1045137201581</v>
      </c>
      <c r="F473" s="18">
        <v>4149.483072</v>
      </c>
      <c r="G473" s="18">
        <v>4742.4159357314475</v>
      </c>
      <c r="H473" s="19">
        <v>0.23610878772679356</v>
      </c>
      <c r="I473" s="19">
        <v>0.1428931877641475</v>
      </c>
      <c r="J473" s="19">
        <v>0.19842667279845272</v>
      </c>
    </row>
    <row r="474" spans="1:10" ht="11.25" customHeight="1" x14ac:dyDescent="0.2">
      <c r="A474" s="28">
        <v>44409</v>
      </c>
      <c r="B474" s="18">
        <v>0</v>
      </c>
      <c r="C474" s="18">
        <v>0</v>
      </c>
      <c r="D474" s="18">
        <v>8670.8327039999986</v>
      </c>
      <c r="E474" s="18">
        <v>10718.092502323278</v>
      </c>
      <c r="F474" s="18">
        <v>5883.5730240000003</v>
      </c>
      <c r="G474" s="18">
        <v>6724.2955288425037</v>
      </c>
      <c r="H474" s="19">
        <v>0.236108787726794</v>
      </c>
      <c r="I474" s="19">
        <v>0.14289318776414728</v>
      </c>
      <c r="J474" s="19">
        <v>0.19842667279845294</v>
      </c>
    </row>
    <row r="475" spans="1:10" ht="11.25" customHeight="1" x14ac:dyDescent="0.2">
      <c r="A475" s="28">
        <v>44440</v>
      </c>
      <c r="B475" s="18">
        <v>0</v>
      </c>
      <c r="C475" s="18">
        <v>0</v>
      </c>
      <c r="D475" s="18">
        <v>12136.629695999998</v>
      </c>
      <c r="E475" s="18">
        <v>15002.194620611564</v>
      </c>
      <c r="F475" s="18">
        <v>8235.2813760000008</v>
      </c>
      <c r="G475" s="18">
        <v>9412.0469839513535</v>
      </c>
      <c r="H475" s="19">
        <v>0.23610878772679378</v>
      </c>
      <c r="I475" s="19">
        <v>0.14289318776414728</v>
      </c>
      <c r="J475" s="19">
        <v>0.19842667279845272</v>
      </c>
    </row>
    <row r="476" spans="1:10" ht="11.25" customHeight="1" x14ac:dyDescent="0.2">
      <c r="A476" s="28">
        <v>44470</v>
      </c>
      <c r="B476" s="18">
        <v>0</v>
      </c>
      <c r="C476" s="18">
        <v>0</v>
      </c>
      <c r="D476" s="18">
        <v>7988.7783039999995</v>
      </c>
      <c r="E476" s="18">
        <v>9874.9990647755512</v>
      </c>
      <c r="F476" s="18">
        <v>5420.766623999999</v>
      </c>
      <c r="G476" s="18">
        <v>6195.3572470288536</v>
      </c>
      <c r="H476" s="19">
        <v>0.23610878772679378</v>
      </c>
      <c r="I476" s="19">
        <v>0.14289318776414728</v>
      </c>
      <c r="J476" s="19">
        <v>0.1984266727984525</v>
      </c>
    </row>
    <row r="477" spans="1:10" ht="11.25" customHeight="1" x14ac:dyDescent="0.2">
      <c r="A477" s="28">
        <v>44501</v>
      </c>
      <c r="B477" s="18">
        <v>0</v>
      </c>
      <c r="C477" s="18">
        <v>0</v>
      </c>
      <c r="D477" s="18">
        <v>18138.420224000001</v>
      </c>
      <c r="E477" s="18">
        <v>22421.060634367801</v>
      </c>
      <c r="F477" s="18">
        <v>12307.782144000001</v>
      </c>
      <c r="G477" s="18">
        <v>14066.480368862811</v>
      </c>
      <c r="H477" s="19">
        <v>0.23610878772679378</v>
      </c>
      <c r="I477" s="19">
        <v>0.14289318776414728</v>
      </c>
      <c r="J477" s="19">
        <v>0.1984266727984525</v>
      </c>
    </row>
    <row r="478" spans="1:10" ht="11.25" customHeight="1" x14ac:dyDescent="0.2">
      <c r="A478" s="28">
        <v>44531</v>
      </c>
      <c r="B478" s="18">
        <v>0</v>
      </c>
      <c r="C478" s="18">
        <v>0</v>
      </c>
      <c r="D478" s="18">
        <v>84676.957696000012</v>
      </c>
      <c r="E478" s="18">
        <v>104669.93152599558</v>
      </c>
      <c r="F478" s="18">
        <v>57457.349376000006</v>
      </c>
      <c r="G478" s="18">
        <v>65667.613188814983</v>
      </c>
      <c r="H478" s="19">
        <v>0.23610878772679378</v>
      </c>
      <c r="I478" s="19">
        <v>0.14289318776414728</v>
      </c>
      <c r="J478" s="19">
        <v>0.1984266727984525</v>
      </c>
    </row>
    <row r="479" spans="1:10" ht="11.25" customHeight="1" x14ac:dyDescent="0.2">
      <c r="A479" s="28">
        <v>44562</v>
      </c>
      <c r="B479" s="18">
        <v>0</v>
      </c>
      <c r="C479" s="18">
        <v>0</v>
      </c>
      <c r="D479" s="18">
        <v>111937.03897600001</v>
      </c>
      <c r="E479" s="18">
        <v>138366.35755035025</v>
      </c>
      <c r="F479" s="18">
        <v>75954.613056000017</v>
      </c>
      <c r="G479" s="18">
        <v>86808.009840964165</v>
      </c>
      <c r="H479" s="19">
        <v>0.23610878772679378</v>
      </c>
      <c r="I479" s="19">
        <v>0.14289318776414706</v>
      </c>
      <c r="J479" s="19">
        <v>0.19842667279845272</v>
      </c>
    </row>
    <row r="480" spans="1:10" ht="11.25" customHeight="1" x14ac:dyDescent="0.2">
      <c r="A480" s="28">
        <v>44593</v>
      </c>
      <c r="B480" s="18">
        <v>0</v>
      </c>
      <c r="C480" s="18">
        <v>0</v>
      </c>
      <c r="D480" s="18">
        <v>78884.58668800001</v>
      </c>
      <c r="E480" s="18">
        <v>97509.930821232861</v>
      </c>
      <c r="F480" s="18">
        <v>53526.949728000007</v>
      </c>
      <c r="G480" s="18">
        <v>61175.586205925174</v>
      </c>
      <c r="H480" s="19">
        <v>0.23610878772679378</v>
      </c>
      <c r="I480" s="19">
        <v>0.14289318776414706</v>
      </c>
      <c r="J480" s="19">
        <v>0.1984266727984525</v>
      </c>
    </row>
    <row r="481" spans="1:10" ht="11.25" customHeight="1" x14ac:dyDescent="0.2">
      <c r="A481" s="28">
        <v>44621</v>
      </c>
      <c r="B481" s="18">
        <v>0</v>
      </c>
      <c r="C481" s="18">
        <v>0</v>
      </c>
      <c r="D481" s="18">
        <v>54777.710143999997</v>
      </c>
      <c r="E481" s="18">
        <v>67711.20888054953</v>
      </c>
      <c r="F481" s="18">
        <v>37169.285664000003</v>
      </c>
      <c r="G481" s="18">
        <v>42480.523379445185</v>
      </c>
      <c r="H481" s="19">
        <v>0.23610878772679378</v>
      </c>
      <c r="I481" s="19">
        <v>0.14289318776414728</v>
      </c>
      <c r="J481" s="19">
        <v>0.19842667279845272</v>
      </c>
    </row>
    <row r="482" spans="1:10" ht="11.25" customHeight="1" x14ac:dyDescent="0.2">
      <c r="A482" s="28">
        <v>44652</v>
      </c>
      <c r="B482" s="18">
        <v>0</v>
      </c>
      <c r="C482" s="18">
        <v>0</v>
      </c>
      <c r="D482" s="18">
        <v>21588.078464000002</v>
      </c>
      <c r="E482" s="18">
        <v>26685.213499485944</v>
      </c>
      <c r="F482" s="18">
        <v>14648.539584</v>
      </c>
      <c r="G482" s="18">
        <v>16741.716101247057</v>
      </c>
      <c r="H482" s="19">
        <v>0.23610878772679356</v>
      </c>
      <c r="I482" s="19">
        <v>0.14289318776414728</v>
      </c>
      <c r="J482" s="19">
        <v>0.1984266727984525</v>
      </c>
    </row>
    <row r="483" spans="1:10" ht="11.25" customHeight="1" x14ac:dyDescent="0.2">
      <c r="A483" s="28">
        <v>44682</v>
      </c>
      <c r="B483" s="18">
        <v>0</v>
      </c>
      <c r="C483" s="18">
        <v>0</v>
      </c>
      <c r="D483" s="18">
        <v>12605.51808</v>
      </c>
      <c r="E483" s="18">
        <v>15581.791672536981</v>
      </c>
      <c r="F483" s="18">
        <v>8553.4444800000001</v>
      </c>
      <c r="G483" s="18">
        <v>9775.6734281108493</v>
      </c>
      <c r="H483" s="19">
        <v>0.23610878772679378</v>
      </c>
      <c r="I483" s="19">
        <v>0.14289318776414728</v>
      </c>
      <c r="J483" s="19">
        <v>0.19842667279845272</v>
      </c>
    </row>
    <row r="484" spans="1:10" ht="11.25" customHeight="1" x14ac:dyDescent="0.2">
      <c r="A484" s="28">
        <v>44713</v>
      </c>
      <c r="B484" s="18">
        <v>0</v>
      </c>
      <c r="C484" s="18">
        <v>0</v>
      </c>
      <c r="D484" s="18">
        <v>13653.672384</v>
      </c>
      <c r="E484" s="18">
        <v>16877.424418605042</v>
      </c>
      <c r="F484" s="18">
        <v>9264.6671040000001</v>
      </c>
      <c r="G484" s="18">
        <v>10588.52492006419</v>
      </c>
      <c r="H484" s="19">
        <v>0.23610878772679378</v>
      </c>
      <c r="I484" s="19">
        <v>0.14289318776414728</v>
      </c>
      <c r="J484" s="19">
        <v>0.19842667279845272</v>
      </c>
    </row>
    <row r="485" spans="1:10" ht="11.25" customHeight="1" x14ac:dyDescent="0.2">
      <c r="A485" s="25" t="s">
        <v>52</v>
      </c>
      <c r="B485" s="18">
        <v>0</v>
      </c>
      <c r="C485" s="18">
        <v>0</v>
      </c>
      <c r="D485" s="18">
        <v>369634.57887999993</v>
      </c>
      <c r="E485" s="18">
        <v>456908.55120126077</v>
      </c>
      <c r="F485" s="18">
        <v>250814.66928</v>
      </c>
      <c r="G485" s="18">
        <v>286654.37691142951</v>
      </c>
      <c r="H485" s="19">
        <v>0.23610878772679378</v>
      </c>
      <c r="I485" s="19">
        <v>0.1428931877641475</v>
      </c>
      <c r="J485" s="19">
        <v>0.19842667279845294</v>
      </c>
    </row>
    <row r="486" spans="1:10" ht="11.25" customHeight="1" x14ac:dyDescent="0.2">
      <c r="A486" s="26" t="s">
        <v>25</v>
      </c>
      <c r="B486" s="18">
        <v>0</v>
      </c>
      <c r="C486" s="18">
        <v>0</v>
      </c>
      <c r="D486" s="18">
        <v>369634.57887999993</v>
      </c>
      <c r="E486" s="18">
        <v>456908.55120126077</v>
      </c>
      <c r="F486" s="18">
        <v>250814.66928</v>
      </c>
      <c r="G486" s="18">
        <v>286654.37691142951</v>
      </c>
      <c r="H486" s="19">
        <v>0.23610878772679378</v>
      </c>
      <c r="I486" s="19">
        <v>0.1428931877641475</v>
      </c>
      <c r="J486" s="19">
        <v>0.19842667279845294</v>
      </c>
    </row>
    <row r="487" spans="1:10" ht="11.25" customHeight="1" x14ac:dyDescent="0.2">
      <c r="A487" s="27" t="s">
        <v>25</v>
      </c>
      <c r="B487" s="18">
        <v>0</v>
      </c>
      <c r="C487" s="18">
        <v>0</v>
      </c>
      <c r="D487" s="18">
        <v>369634.57887999993</v>
      </c>
      <c r="E487" s="18">
        <v>456908.55120126077</v>
      </c>
      <c r="F487" s="18">
        <v>250814.66928</v>
      </c>
      <c r="G487" s="18">
        <v>286654.37691142951</v>
      </c>
      <c r="H487" s="19">
        <v>0.23610878772679378</v>
      </c>
      <c r="I487" s="19">
        <v>0.1428931877641475</v>
      </c>
      <c r="J487" s="19">
        <v>0.19842667279845294</v>
      </c>
    </row>
    <row r="488" spans="1:10" ht="11.25" customHeight="1" x14ac:dyDescent="0.2">
      <c r="A488" s="28">
        <v>44378</v>
      </c>
      <c r="B488" s="18">
        <v>0</v>
      </c>
      <c r="C488" s="18">
        <v>0</v>
      </c>
      <c r="D488" s="18">
        <v>3717.9649919999997</v>
      </c>
      <c r="E488" s="18">
        <v>4595.8091990717785</v>
      </c>
      <c r="F488" s="18">
        <v>2522.8163519999998</v>
      </c>
      <c r="G488" s="18">
        <v>2883.309622680797</v>
      </c>
      <c r="H488" s="19">
        <v>0.23610878772679378</v>
      </c>
      <c r="I488" s="19">
        <v>0.14289318776414728</v>
      </c>
      <c r="J488" s="19">
        <v>0.19842667279845294</v>
      </c>
    </row>
    <row r="489" spans="1:10" ht="11.25" customHeight="1" x14ac:dyDescent="0.2">
      <c r="A489" s="28">
        <v>44409</v>
      </c>
      <c r="B489" s="18">
        <v>0</v>
      </c>
      <c r="C489" s="18">
        <v>0</v>
      </c>
      <c r="D489" s="18">
        <v>6045.5957120000003</v>
      </c>
      <c r="E489" s="18">
        <v>7473.0139866466234</v>
      </c>
      <c r="F489" s="18">
        <v>4102.2246720000003</v>
      </c>
      <c r="G489" s="18">
        <v>4688.4046323068142</v>
      </c>
      <c r="H489" s="19">
        <v>0.23610878772679378</v>
      </c>
      <c r="I489" s="19">
        <v>0.14289318776414728</v>
      </c>
      <c r="J489" s="19">
        <v>0.19842667279845272</v>
      </c>
    </row>
    <row r="490" spans="1:10" ht="11.25" customHeight="1" x14ac:dyDescent="0.2">
      <c r="A490" s="28">
        <v>44440</v>
      </c>
      <c r="B490" s="18">
        <v>0</v>
      </c>
      <c r="C490" s="18">
        <v>0</v>
      </c>
      <c r="D490" s="18">
        <v>9677.199168000001</v>
      </c>
      <c r="E490" s="18">
        <v>11962.070932147217</v>
      </c>
      <c r="F490" s="18">
        <v>6566.4406079999999</v>
      </c>
      <c r="G490" s="18">
        <v>7504.7402387410657</v>
      </c>
      <c r="H490" s="19">
        <v>0.23610878772679356</v>
      </c>
      <c r="I490" s="19">
        <v>0.14289318776414728</v>
      </c>
      <c r="J490" s="19">
        <v>0.19842667279845272</v>
      </c>
    </row>
    <row r="491" spans="1:10" ht="11.25" customHeight="1" x14ac:dyDescent="0.2">
      <c r="A491" s="28">
        <v>44470</v>
      </c>
      <c r="B491" s="18">
        <v>0</v>
      </c>
      <c r="C491" s="18">
        <v>0</v>
      </c>
      <c r="D491" s="18">
        <v>4606.0766720000001</v>
      </c>
      <c r="E491" s="18">
        <v>5693.6118512025851</v>
      </c>
      <c r="F491" s="18">
        <v>3125.4424320000003</v>
      </c>
      <c r="G491" s="18">
        <v>3572.0468642818091</v>
      </c>
      <c r="H491" s="19">
        <v>0.23610878772679378</v>
      </c>
      <c r="I491" s="19">
        <v>0.14289318776414728</v>
      </c>
      <c r="J491" s="19">
        <v>0.19842667279845272</v>
      </c>
    </row>
    <row r="492" spans="1:10" ht="11.25" customHeight="1" x14ac:dyDescent="0.2">
      <c r="A492" s="28">
        <v>44501</v>
      </c>
      <c r="B492" s="18">
        <v>0</v>
      </c>
      <c r="C492" s="18">
        <v>0</v>
      </c>
      <c r="D492" s="18">
        <v>12621.176511999998</v>
      </c>
      <c r="E492" s="18">
        <v>15601.147197934202</v>
      </c>
      <c r="F492" s="18">
        <v>8564.0694719999992</v>
      </c>
      <c r="G492" s="18">
        <v>9787.8166590876972</v>
      </c>
      <c r="H492" s="19">
        <v>0.23610878772679378</v>
      </c>
      <c r="I492" s="19">
        <v>0.14289318776414728</v>
      </c>
      <c r="J492" s="19">
        <v>0.19842667279845272</v>
      </c>
    </row>
    <row r="493" spans="1:10" ht="11.25" customHeight="1" x14ac:dyDescent="0.2">
      <c r="A493" s="28">
        <v>44531</v>
      </c>
      <c r="B493" s="18">
        <v>0</v>
      </c>
      <c r="C493" s="18">
        <v>0</v>
      </c>
      <c r="D493" s="18">
        <v>73817.979200000002</v>
      </c>
      <c r="E493" s="18">
        <v>91247.05278135369</v>
      </c>
      <c r="F493" s="18">
        <v>50089.015200000002</v>
      </c>
      <c r="G493" s="18">
        <v>57246.394253894832</v>
      </c>
      <c r="H493" s="19">
        <v>0.236108787726794</v>
      </c>
      <c r="I493" s="19">
        <v>0.14289318776414728</v>
      </c>
      <c r="J493" s="19">
        <v>0.19842667279845272</v>
      </c>
    </row>
    <row r="494" spans="1:10" ht="11.25" customHeight="1" x14ac:dyDescent="0.2">
      <c r="A494" s="28">
        <v>44562</v>
      </c>
      <c r="B494" s="18">
        <v>0</v>
      </c>
      <c r="C494" s="18">
        <v>0</v>
      </c>
      <c r="D494" s="18">
        <v>100419.829952</v>
      </c>
      <c r="E494" s="18">
        <v>124129.8342656975</v>
      </c>
      <c r="F494" s="18">
        <v>68139.638112000001</v>
      </c>
      <c r="G494" s="18">
        <v>77876.328214919064</v>
      </c>
      <c r="H494" s="19">
        <v>0.23610878772679378</v>
      </c>
      <c r="I494" s="19">
        <v>0.14289318776414728</v>
      </c>
      <c r="J494" s="19">
        <v>0.1984266727984525</v>
      </c>
    </row>
    <row r="495" spans="1:10" ht="11.25" customHeight="1" x14ac:dyDescent="0.2">
      <c r="A495" s="28">
        <v>44593</v>
      </c>
      <c r="B495" s="18">
        <v>0</v>
      </c>
      <c r="C495" s="18">
        <v>0</v>
      </c>
      <c r="D495" s="18">
        <v>70463.616448000001</v>
      </c>
      <c r="E495" s="18">
        <v>87100.695506383054</v>
      </c>
      <c r="F495" s="18">
        <v>47812.920288000001</v>
      </c>
      <c r="G495" s="18">
        <v>54645.060884265389</v>
      </c>
      <c r="H495" s="19">
        <v>0.23610878772679378</v>
      </c>
      <c r="I495" s="19">
        <v>0.14289318776414728</v>
      </c>
      <c r="J495" s="19">
        <v>0.1984266727984525</v>
      </c>
    </row>
    <row r="496" spans="1:10" ht="11.25" customHeight="1" x14ac:dyDescent="0.2">
      <c r="A496" s="28">
        <v>44621</v>
      </c>
      <c r="B496" s="18">
        <v>0</v>
      </c>
      <c r="C496" s="18">
        <v>0</v>
      </c>
      <c r="D496" s="18">
        <v>54937.560640000003</v>
      </c>
      <c r="E496" s="18">
        <v>67908.801483377625</v>
      </c>
      <c r="F496" s="18">
        <v>37277.751840000004</v>
      </c>
      <c r="G496" s="18">
        <v>42604.488633098408</v>
      </c>
      <c r="H496" s="19">
        <v>0.23610878772679378</v>
      </c>
      <c r="I496" s="19">
        <v>0.14289318776414728</v>
      </c>
      <c r="J496" s="19">
        <v>0.19842667279845272</v>
      </c>
    </row>
    <row r="497" spans="1:10" ht="11.25" customHeight="1" x14ac:dyDescent="0.2">
      <c r="A497" s="28">
        <v>44652</v>
      </c>
      <c r="B497" s="18">
        <v>0</v>
      </c>
      <c r="C497" s="18">
        <v>0</v>
      </c>
      <c r="D497" s="18">
        <v>16931.568191999999</v>
      </c>
      <c r="E497" s="18">
        <v>20929.26023212666</v>
      </c>
      <c r="F497" s="18">
        <v>11488.875552</v>
      </c>
      <c r="G497" s="18">
        <v>13130.557603450858</v>
      </c>
      <c r="H497" s="19">
        <v>0.23610878772679378</v>
      </c>
      <c r="I497" s="19">
        <v>0.14289318776414728</v>
      </c>
      <c r="J497" s="19">
        <v>0.19842667279845272</v>
      </c>
    </row>
    <row r="498" spans="1:10" ht="11.25" customHeight="1" x14ac:dyDescent="0.2">
      <c r="A498" s="28">
        <v>44682</v>
      </c>
      <c r="B498" s="18">
        <v>0</v>
      </c>
      <c r="C498" s="18">
        <v>0</v>
      </c>
      <c r="D498" s="18">
        <v>8949.1301119999989</v>
      </c>
      <c r="E498" s="18">
        <v>11062.098373953666</v>
      </c>
      <c r="F498" s="18">
        <v>6072.4110719999999</v>
      </c>
      <c r="G498" s="18">
        <v>6940.1172474923824</v>
      </c>
      <c r="H498" s="19">
        <v>0.236108787726794</v>
      </c>
      <c r="I498" s="19">
        <v>0.14289318776414728</v>
      </c>
      <c r="J498" s="19">
        <v>0.19842667279845272</v>
      </c>
    </row>
    <row r="499" spans="1:10" ht="11.25" customHeight="1" x14ac:dyDescent="0.2">
      <c r="A499" s="28">
        <v>44713</v>
      </c>
      <c r="B499" s="18">
        <v>0</v>
      </c>
      <c r="C499" s="18">
        <v>0</v>
      </c>
      <c r="D499" s="18">
        <v>7446.8812799999996</v>
      </c>
      <c r="E499" s="18">
        <v>9205.1553913661537</v>
      </c>
      <c r="F499" s="18">
        <v>5053.0636800000011</v>
      </c>
      <c r="G499" s="18">
        <v>5775.1120572104337</v>
      </c>
      <c r="H499" s="19">
        <v>0.23610878772679378</v>
      </c>
      <c r="I499" s="19">
        <v>0.14289318776414706</v>
      </c>
      <c r="J499" s="19">
        <v>0.1984266727984525</v>
      </c>
    </row>
    <row r="500" spans="1:10" ht="11.25" customHeight="1" x14ac:dyDescent="0.2">
      <c r="A500" s="24" t="s">
        <v>25</v>
      </c>
      <c r="B500" s="18">
        <v>0</v>
      </c>
      <c r="C500" s="18">
        <v>0</v>
      </c>
      <c r="D500" s="18">
        <v>42663710.964960001</v>
      </c>
      <c r="E500" s="18">
        <v>52736988.040823027</v>
      </c>
      <c r="F500" s="18">
        <v>28949360.17176</v>
      </c>
      <c r="G500" s="18">
        <v>33086026.530435227</v>
      </c>
      <c r="H500" s="19">
        <v>0.23610878772679356</v>
      </c>
      <c r="I500" s="19">
        <v>0.14289318776414728</v>
      </c>
      <c r="J500" s="19">
        <v>0.1984266727984525</v>
      </c>
    </row>
    <row r="501" spans="1:10" ht="11.25" customHeight="1" x14ac:dyDescent="0.2">
      <c r="A501" s="25" t="s">
        <v>25</v>
      </c>
      <c r="B501" s="18">
        <v>0</v>
      </c>
      <c r="C501" s="18">
        <v>0</v>
      </c>
      <c r="D501" s="18">
        <v>42663710.964960001</v>
      </c>
      <c r="E501" s="18">
        <v>52736988.040823027</v>
      </c>
      <c r="F501" s="18">
        <v>28949360.17176</v>
      </c>
      <c r="G501" s="18">
        <v>33086026.530435227</v>
      </c>
      <c r="H501" s="19">
        <v>0.23610878772679356</v>
      </c>
      <c r="I501" s="19">
        <v>0.14289318776414728</v>
      </c>
      <c r="J501" s="19">
        <v>0.1984266727984525</v>
      </c>
    </row>
    <row r="502" spans="1:10" ht="11.25" customHeight="1" x14ac:dyDescent="0.2">
      <c r="A502" s="26" t="s">
        <v>25</v>
      </c>
      <c r="B502" s="18">
        <v>0</v>
      </c>
      <c r="C502" s="18">
        <v>0</v>
      </c>
      <c r="D502" s="18">
        <v>42663710.964960001</v>
      </c>
      <c r="E502" s="18">
        <v>52736988.040823027</v>
      </c>
      <c r="F502" s="18">
        <v>28949360.17176</v>
      </c>
      <c r="G502" s="18">
        <v>33086026.530435227</v>
      </c>
      <c r="H502" s="19">
        <v>0.23610878772679356</v>
      </c>
      <c r="I502" s="19">
        <v>0.14289318776414728</v>
      </c>
      <c r="J502" s="19">
        <v>0.1984266727984525</v>
      </c>
    </row>
    <row r="503" spans="1:10" ht="11.25" customHeight="1" x14ac:dyDescent="0.2">
      <c r="A503" s="27" t="s">
        <v>25</v>
      </c>
      <c r="B503" s="18">
        <v>0</v>
      </c>
      <c r="C503" s="18">
        <v>0</v>
      </c>
      <c r="D503" s="18">
        <v>42663710.964960001</v>
      </c>
      <c r="E503" s="18">
        <v>52736988.040823027</v>
      </c>
      <c r="F503" s="18">
        <v>28949360.17176</v>
      </c>
      <c r="G503" s="18">
        <v>33086026.530435227</v>
      </c>
      <c r="H503" s="19">
        <v>0.23610878772679356</v>
      </c>
      <c r="I503" s="19">
        <v>0.14289318776414728</v>
      </c>
      <c r="J503" s="19">
        <v>0.1984266727984525</v>
      </c>
    </row>
    <row r="504" spans="1:10" ht="11.25" customHeight="1" x14ac:dyDescent="0.2">
      <c r="A504" s="28">
        <v>44378</v>
      </c>
      <c r="B504" s="18">
        <v>0</v>
      </c>
      <c r="C504" s="18">
        <v>0</v>
      </c>
      <c r="D504" s="18">
        <v>3184953.4076800002</v>
      </c>
      <c r="E504" s="18">
        <v>3936948.8957336461</v>
      </c>
      <c r="F504" s="18">
        <v>2161142.6020800001</v>
      </c>
      <c r="G504" s="18">
        <v>2469955.1577041158</v>
      </c>
      <c r="H504" s="19">
        <v>0.23610878772679378</v>
      </c>
      <c r="I504" s="19">
        <v>0.1428931877641475</v>
      </c>
      <c r="J504" s="19">
        <v>0.19842667279845294</v>
      </c>
    </row>
    <row r="505" spans="1:10" ht="11.25" customHeight="1" x14ac:dyDescent="0.2">
      <c r="A505" s="28">
        <v>44409</v>
      </c>
      <c r="B505" s="18">
        <v>0</v>
      </c>
      <c r="C505" s="18">
        <v>0</v>
      </c>
      <c r="D505" s="18">
        <v>3384045.5673599998</v>
      </c>
      <c r="E505" s="18">
        <v>4183048.4638815997</v>
      </c>
      <c r="F505" s="18">
        <v>2296236.1161600002</v>
      </c>
      <c r="G505" s="18">
        <v>2624352.614657267</v>
      </c>
      <c r="H505" s="19">
        <v>0.23610878772679378</v>
      </c>
      <c r="I505" s="19">
        <v>0.14289318776414706</v>
      </c>
      <c r="J505" s="19">
        <v>0.1984266727984525</v>
      </c>
    </row>
    <row r="506" spans="1:10" ht="11.25" customHeight="1" x14ac:dyDescent="0.2">
      <c r="A506" s="28">
        <v>44440</v>
      </c>
      <c r="B506" s="18">
        <v>0</v>
      </c>
      <c r="C506" s="18">
        <v>0</v>
      </c>
      <c r="D506" s="18">
        <v>3427127.14928</v>
      </c>
      <c r="E506" s="18">
        <v>4236301.9858820839</v>
      </c>
      <c r="F506" s="18">
        <v>2325469.0216800007</v>
      </c>
      <c r="G506" s="18">
        <v>2657762.7032346283</v>
      </c>
      <c r="H506" s="19">
        <v>0.236108787726794</v>
      </c>
      <c r="I506" s="19">
        <v>0.14289318776414706</v>
      </c>
      <c r="J506" s="19">
        <v>0.19842667279845272</v>
      </c>
    </row>
    <row r="507" spans="1:10" ht="11.25" customHeight="1" x14ac:dyDescent="0.2">
      <c r="A507" s="28">
        <v>44470</v>
      </c>
      <c r="B507" s="18">
        <v>0</v>
      </c>
      <c r="C507" s="18">
        <v>0</v>
      </c>
      <c r="D507" s="18">
        <v>3356439.6556799999</v>
      </c>
      <c r="E507" s="18">
        <v>4148924.5538607417</v>
      </c>
      <c r="F507" s="18">
        <v>2277504.1900799996</v>
      </c>
      <c r="G507" s="18">
        <v>2602944.0239467337</v>
      </c>
      <c r="H507" s="19">
        <v>0.23610878772679378</v>
      </c>
      <c r="I507" s="19">
        <v>0.1428931877641475</v>
      </c>
      <c r="J507" s="19">
        <v>0.19842667279845272</v>
      </c>
    </row>
    <row r="508" spans="1:10" ht="11.25" customHeight="1" x14ac:dyDescent="0.2">
      <c r="A508" s="28">
        <v>44501</v>
      </c>
      <c r="B508" s="18">
        <v>0</v>
      </c>
      <c r="C508" s="18">
        <v>0</v>
      </c>
      <c r="D508" s="18">
        <v>3495315.7780799996</v>
      </c>
      <c r="E508" s="18">
        <v>4320590.5491648037</v>
      </c>
      <c r="F508" s="18">
        <v>2371738.2544800001</v>
      </c>
      <c r="G508" s="18">
        <v>2710643.4942048211</v>
      </c>
      <c r="H508" s="19">
        <v>0.236108787726794</v>
      </c>
      <c r="I508" s="19">
        <v>0.14289318776414706</v>
      </c>
      <c r="J508" s="19">
        <v>0.1984266727984525</v>
      </c>
    </row>
    <row r="509" spans="1:10" ht="11.25" customHeight="1" x14ac:dyDescent="0.2">
      <c r="A509" s="28">
        <v>44531</v>
      </c>
      <c r="B509" s="18">
        <v>0</v>
      </c>
      <c r="C509" s="18">
        <v>0</v>
      </c>
      <c r="D509" s="18">
        <v>3451130.4208</v>
      </c>
      <c r="E509" s="18">
        <v>4265972.6407421473</v>
      </c>
      <c r="F509" s="18">
        <v>2341756.3847999997</v>
      </c>
      <c r="G509" s="18">
        <v>2676377.4195911172</v>
      </c>
      <c r="H509" s="19">
        <v>0.23610878772679378</v>
      </c>
      <c r="I509" s="19">
        <v>0.1428931877641475</v>
      </c>
      <c r="J509" s="19">
        <v>0.19842667279845272</v>
      </c>
    </row>
    <row r="510" spans="1:10" ht="11.25" customHeight="1" x14ac:dyDescent="0.2">
      <c r="A510" s="28">
        <v>44562</v>
      </c>
      <c r="B510" s="18">
        <v>0</v>
      </c>
      <c r="C510" s="18">
        <v>0</v>
      </c>
      <c r="D510" s="18">
        <v>4212918.9014400002</v>
      </c>
      <c r="E510" s="18">
        <v>5207626.0760502946</v>
      </c>
      <c r="F510" s="18">
        <v>2858666.1566399997</v>
      </c>
      <c r="G510" s="18">
        <v>3267150.0765157728</v>
      </c>
      <c r="H510" s="19">
        <v>0.23610878772679378</v>
      </c>
      <c r="I510" s="19">
        <v>0.1428931877641475</v>
      </c>
      <c r="J510" s="19">
        <v>0.19842667279845272</v>
      </c>
    </row>
    <row r="511" spans="1:10" ht="11.25" customHeight="1" x14ac:dyDescent="0.2">
      <c r="A511" s="28">
        <v>44593</v>
      </c>
      <c r="B511" s="18">
        <v>0</v>
      </c>
      <c r="C511" s="18">
        <v>0</v>
      </c>
      <c r="D511" s="18">
        <v>4152964.3983999998</v>
      </c>
      <c r="E511" s="18">
        <v>5133515.7879787581</v>
      </c>
      <c r="F511" s="18">
        <v>2817984.1704000002</v>
      </c>
      <c r="G511" s="18">
        <v>3220654.9115773621</v>
      </c>
      <c r="H511" s="19">
        <v>0.236108787726794</v>
      </c>
      <c r="I511" s="19">
        <v>0.14289318776414728</v>
      </c>
      <c r="J511" s="19">
        <v>0.19842667279845272</v>
      </c>
    </row>
    <row r="512" spans="1:10" ht="11.25" customHeight="1" x14ac:dyDescent="0.2">
      <c r="A512" s="28">
        <v>44621</v>
      </c>
      <c r="B512" s="18">
        <v>0</v>
      </c>
      <c r="C512" s="18">
        <v>0</v>
      </c>
      <c r="D512" s="18">
        <v>3745350.6769599998</v>
      </c>
      <c r="E512" s="18">
        <v>4629660.8849087516</v>
      </c>
      <c r="F512" s="18">
        <v>2541398.8437599996</v>
      </c>
      <c r="G512" s="18">
        <v>2904547.4259249847</v>
      </c>
      <c r="H512" s="19">
        <v>0.23610878772679378</v>
      </c>
      <c r="I512" s="19">
        <v>0.1428931877641475</v>
      </c>
      <c r="J512" s="19">
        <v>0.19842667279845272</v>
      </c>
    </row>
    <row r="513" spans="1:10" ht="11.25" customHeight="1" x14ac:dyDescent="0.2">
      <c r="A513" s="28">
        <v>44652</v>
      </c>
      <c r="B513" s="18">
        <v>0</v>
      </c>
      <c r="C513" s="18">
        <v>0</v>
      </c>
      <c r="D513" s="18">
        <v>3542241.6011199998</v>
      </c>
      <c r="E513" s="18">
        <v>4378595.9713958595</v>
      </c>
      <c r="F513" s="18">
        <v>2403579.6607199996</v>
      </c>
      <c r="G513" s="18">
        <v>2747034.8204853483</v>
      </c>
      <c r="H513" s="19">
        <v>0.23610878772679356</v>
      </c>
      <c r="I513" s="19">
        <v>0.1428931877641475</v>
      </c>
      <c r="J513" s="19">
        <v>0.19842667279845272</v>
      </c>
    </row>
    <row r="514" spans="1:10" ht="11.25" customHeight="1" x14ac:dyDescent="0.2">
      <c r="A514" s="28">
        <v>44682</v>
      </c>
      <c r="B514" s="18">
        <v>0</v>
      </c>
      <c r="C514" s="18">
        <v>0</v>
      </c>
      <c r="D514" s="18">
        <v>3353931.1844800003</v>
      </c>
      <c r="E514" s="18">
        <v>4145823.8105666623</v>
      </c>
      <c r="F514" s="18">
        <v>2275802.0728800003</v>
      </c>
      <c r="G514" s="18">
        <v>2600998.6857940773</v>
      </c>
      <c r="H514" s="19">
        <v>0.23610878772679378</v>
      </c>
      <c r="I514" s="19">
        <v>0.14289318776414706</v>
      </c>
      <c r="J514" s="19">
        <v>0.1984266727984525</v>
      </c>
    </row>
    <row r="515" spans="1:10" ht="11.25" customHeight="1" x14ac:dyDescent="0.2">
      <c r="A515" s="28">
        <v>44713</v>
      </c>
      <c r="B515" s="18">
        <v>0</v>
      </c>
      <c r="C515" s="18">
        <v>0</v>
      </c>
      <c r="D515" s="18">
        <v>3357292.2236799998</v>
      </c>
      <c r="E515" s="18">
        <v>4149978.4206576762</v>
      </c>
      <c r="F515" s="18">
        <v>2278082.69808</v>
      </c>
      <c r="G515" s="18">
        <v>2603605.1967990003</v>
      </c>
      <c r="H515" s="19">
        <v>0.23610878772679378</v>
      </c>
      <c r="I515" s="19">
        <v>0.14289318776414706</v>
      </c>
      <c r="J515" s="19">
        <v>0.1984266727984525</v>
      </c>
    </row>
    <row r="516" spans="1:10" ht="11.25" customHeight="1" x14ac:dyDescent="0.2">
      <c r="A516" s="21" t="s">
        <v>33</v>
      </c>
      <c r="B516" s="18">
        <v>0</v>
      </c>
      <c r="C516" s="18">
        <v>0</v>
      </c>
      <c r="D516" s="18">
        <v>7804674.2469366025</v>
      </c>
      <c r="E516" s="18">
        <v>9031603.1608250383</v>
      </c>
      <c r="F516" s="18">
        <v>5295773.6141867992</v>
      </c>
      <c r="G516" s="18">
        <v>5666229.2044457952</v>
      </c>
      <c r="H516" s="19">
        <v>0.1572043720300067</v>
      </c>
      <c r="I516" s="19">
        <v>6.9953063942647109E-2</v>
      </c>
      <c r="J516" s="19">
        <v>0.12193357975858143</v>
      </c>
    </row>
    <row r="517" spans="1:10" ht="11.25" customHeight="1" x14ac:dyDescent="0.2">
      <c r="A517" s="22" t="s">
        <v>23</v>
      </c>
      <c r="B517" s="18">
        <v>0</v>
      </c>
      <c r="C517" s="18">
        <v>0</v>
      </c>
      <c r="D517" s="18">
        <v>7804674.2469366025</v>
      </c>
      <c r="E517" s="18">
        <v>9031603.1608250383</v>
      </c>
      <c r="F517" s="18">
        <v>5295773.6141867992</v>
      </c>
      <c r="G517" s="18">
        <v>5666229.2044457952</v>
      </c>
      <c r="H517" s="19">
        <v>0.1572043720300067</v>
      </c>
      <c r="I517" s="19">
        <v>6.9953063942647109E-2</v>
      </c>
      <c r="J517" s="19">
        <v>0.12193357975858143</v>
      </c>
    </row>
    <row r="518" spans="1:10" ht="11.25" customHeight="1" x14ac:dyDescent="0.2">
      <c r="A518" s="23" t="s">
        <v>40</v>
      </c>
      <c r="B518" s="18">
        <v>0</v>
      </c>
      <c r="C518" s="18">
        <v>0</v>
      </c>
      <c r="D518" s="18">
        <v>3827502.1639800002</v>
      </c>
      <c r="E518" s="18">
        <v>4429202.2381119719</v>
      </c>
      <c r="F518" s="18">
        <v>2597108.39004</v>
      </c>
      <c r="G518" s="18">
        <v>2778784.079314454</v>
      </c>
      <c r="H518" s="19">
        <v>0.15720437203000781</v>
      </c>
      <c r="I518" s="19">
        <v>6.9953063942647109E-2</v>
      </c>
      <c r="J518" s="19">
        <v>0.1219335797585821</v>
      </c>
    </row>
    <row r="519" spans="1:10" ht="11.25" customHeight="1" x14ac:dyDescent="0.2">
      <c r="A519" s="24" t="s">
        <v>25</v>
      </c>
      <c r="B519" s="18">
        <v>0</v>
      </c>
      <c r="C519" s="18">
        <v>0</v>
      </c>
      <c r="D519" s="18">
        <v>3827502.1639800002</v>
      </c>
      <c r="E519" s="18">
        <v>4429202.2381119719</v>
      </c>
      <c r="F519" s="18">
        <v>2597108.39004</v>
      </c>
      <c r="G519" s="18">
        <v>2778784.079314454</v>
      </c>
      <c r="H519" s="19">
        <v>0.15720437203000781</v>
      </c>
      <c r="I519" s="19">
        <v>6.9953063942647109E-2</v>
      </c>
      <c r="J519" s="19">
        <v>0.1219335797585821</v>
      </c>
    </row>
    <row r="520" spans="1:10" ht="11.25" customHeight="1" x14ac:dyDescent="0.2">
      <c r="A520" s="25" t="s">
        <v>25</v>
      </c>
      <c r="B520" s="18">
        <v>0</v>
      </c>
      <c r="C520" s="18">
        <v>0</v>
      </c>
      <c r="D520" s="18">
        <v>3827502.1639800002</v>
      </c>
      <c r="E520" s="18">
        <v>4429202.2381119719</v>
      </c>
      <c r="F520" s="18">
        <v>2597108.39004</v>
      </c>
      <c r="G520" s="18">
        <v>2778784.079314454</v>
      </c>
      <c r="H520" s="19">
        <v>0.15720437203000781</v>
      </c>
      <c r="I520" s="19">
        <v>6.9953063942647109E-2</v>
      </c>
      <c r="J520" s="19">
        <v>0.1219335797585821</v>
      </c>
    </row>
    <row r="521" spans="1:10" ht="11.25" customHeight="1" x14ac:dyDescent="0.2">
      <c r="A521" s="26" t="s">
        <v>25</v>
      </c>
      <c r="B521" s="18">
        <v>0</v>
      </c>
      <c r="C521" s="18">
        <v>0</v>
      </c>
      <c r="D521" s="18">
        <v>3827502.1639800002</v>
      </c>
      <c r="E521" s="18">
        <v>4429202.2381119719</v>
      </c>
      <c r="F521" s="18">
        <v>2597108.39004</v>
      </c>
      <c r="G521" s="18">
        <v>2778784.079314454</v>
      </c>
      <c r="H521" s="19">
        <v>0.15720437203000781</v>
      </c>
      <c r="I521" s="19">
        <v>6.9953063942647109E-2</v>
      </c>
      <c r="J521" s="19">
        <v>0.1219335797585821</v>
      </c>
    </row>
    <row r="522" spans="1:10" ht="11.25" customHeight="1" x14ac:dyDescent="0.2">
      <c r="A522" s="27" t="s">
        <v>25</v>
      </c>
      <c r="B522" s="18">
        <v>0</v>
      </c>
      <c r="C522" s="18">
        <v>0</v>
      </c>
      <c r="D522" s="18">
        <v>3827502.1639800002</v>
      </c>
      <c r="E522" s="18">
        <v>4429202.2381119719</v>
      </c>
      <c r="F522" s="18">
        <v>2597108.39004</v>
      </c>
      <c r="G522" s="18">
        <v>2778784.079314454</v>
      </c>
      <c r="H522" s="19">
        <v>0.15720437203000781</v>
      </c>
      <c r="I522" s="19">
        <v>6.9953063942647109E-2</v>
      </c>
      <c r="J522" s="19">
        <v>0.1219335797585821</v>
      </c>
    </row>
    <row r="523" spans="1:10" ht="11.25" customHeight="1" x14ac:dyDescent="0.2">
      <c r="A523" s="28">
        <v>44378</v>
      </c>
      <c r="B523" s="18">
        <v>0</v>
      </c>
      <c r="C523" s="18">
        <v>0</v>
      </c>
      <c r="D523" s="18">
        <v>281902.65741000004</v>
      </c>
      <c r="E523" s="18">
        <v>326218.98764172947</v>
      </c>
      <c r="F523" s="18">
        <v>191281.86617999998</v>
      </c>
      <c r="G523" s="18">
        <v>204662.61879595843</v>
      </c>
      <c r="H523" s="19">
        <v>0.15720437203000759</v>
      </c>
      <c r="I523" s="19">
        <v>6.9953063942647331E-2</v>
      </c>
      <c r="J523" s="19">
        <v>0.12193357975858188</v>
      </c>
    </row>
    <row r="524" spans="1:10" ht="11.25" customHeight="1" x14ac:dyDescent="0.2">
      <c r="A524" s="28">
        <v>44409</v>
      </c>
      <c r="B524" s="18">
        <v>0</v>
      </c>
      <c r="C524" s="18">
        <v>0</v>
      </c>
      <c r="D524" s="18">
        <v>297230.10174000001</v>
      </c>
      <c r="E524" s="18">
        <v>343955.973232452</v>
      </c>
      <c r="F524" s="18">
        <v>201682.13052000001</v>
      </c>
      <c r="G524" s="18">
        <v>215790.41349235488</v>
      </c>
      <c r="H524" s="19">
        <v>0.15720437203000759</v>
      </c>
      <c r="I524" s="19">
        <v>6.9953063942647109E-2</v>
      </c>
      <c r="J524" s="19">
        <v>0.12193357975858188</v>
      </c>
    </row>
    <row r="525" spans="1:10" ht="11.25" customHeight="1" x14ac:dyDescent="0.2">
      <c r="A525" s="28">
        <v>44440</v>
      </c>
      <c r="B525" s="18">
        <v>0</v>
      </c>
      <c r="C525" s="18">
        <v>0</v>
      </c>
      <c r="D525" s="18">
        <v>307959.55839000008</v>
      </c>
      <c r="E525" s="18">
        <v>356372.14737733844</v>
      </c>
      <c r="F525" s="18">
        <v>208962.48222000001</v>
      </c>
      <c r="G525" s="18">
        <v>223580.04810034996</v>
      </c>
      <c r="H525" s="19">
        <v>0.15720437203000737</v>
      </c>
      <c r="I525" s="19">
        <v>6.9953063942647331E-2</v>
      </c>
      <c r="J525" s="19">
        <v>0.12193357975858188</v>
      </c>
    </row>
    <row r="526" spans="1:10" ht="11.25" customHeight="1" x14ac:dyDescent="0.2">
      <c r="A526" s="28">
        <v>44470</v>
      </c>
      <c r="B526" s="18">
        <v>0</v>
      </c>
      <c r="C526" s="18">
        <v>0</v>
      </c>
      <c r="D526" s="18">
        <v>287222.49204000004</v>
      </c>
      <c r="E526" s="18">
        <v>332375.12353404216</v>
      </c>
      <c r="F526" s="18">
        <v>194891.57992000005</v>
      </c>
      <c r="G526" s="18">
        <v>208524.84307202735</v>
      </c>
      <c r="H526" s="19">
        <v>0.15720437203000781</v>
      </c>
      <c r="I526" s="19">
        <v>6.9953063942647109E-2</v>
      </c>
      <c r="J526" s="19">
        <v>0.12193357975858188</v>
      </c>
    </row>
    <row r="527" spans="1:10" ht="11.25" customHeight="1" x14ac:dyDescent="0.2">
      <c r="A527" s="28">
        <v>44501</v>
      </c>
      <c r="B527" s="18">
        <v>0</v>
      </c>
      <c r="C527" s="18">
        <v>0</v>
      </c>
      <c r="D527" s="18">
        <v>301375.60464000003</v>
      </c>
      <c r="E527" s="18">
        <v>348753.167312595</v>
      </c>
      <c r="F527" s="18">
        <v>204495.01472000001</v>
      </c>
      <c r="G527" s="18">
        <v>218800.06756066074</v>
      </c>
      <c r="H527" s="19">
        <v>0.15720437203000737</v>
      </c>
      <c r="I527" s="19">
        <v>6.9953063942647109E-2</v>
      </c>
      <c r="J527" s="19">
        <v>0.12193357975858166</v>
      </c>
    </row>
    <row r="528" spans="1:10" ht="11.25" customHeight="1" x14ac:dyDescent="0.2">
      <c r="A528" s="28">
        <v>44531</v>
      </c>
      <c r="B528" s="18">
        <v>0</v>
      </c>
      <c r="C528" s="18">
        <v>0</v>
      </c>
      <c r="D528" s="18">
        <v>293375.79381</v>
      </c>
      <c r="E528" s="18">
        <v>339495.75124470604</v>
      </c>
      <c r="F528" s="18">
        <v>199066.83338</v>
      </c>
      <c r="G528" s="18">
        <v>212992.16830429144</v>
      </c>
      <c r="H528" s="19">
        <v>0.15720437203000759</v>
      </c>
      <c r="I528" s="19">
        <v>6.9953063942647331E-2</v>
      </c>
      <c r="J528" s="19">
        <v>0.12193357975858166</v>
      </c>
    </row>
    <row r="529" spans="1:10" ht="11.25" customHeight="1" x14ac:dyDescent="0.2">
      <c r="A529" s="28">
        <v>44562</v>
      </c>
      <c r="B529" s="18">
        <v>0</v>
      </c>
      <c r="C529" s="18">
        <v>0</v>
      </c>
      <c r="D529" s="18">
        <v>370263.27392999997</v>
      </c>
      <c r="E529" s="18">
        <v>428470.27939394035</v>
      </c>
      <c r="F529" s="18">
        <v>251237.96514000001</v>
      </c>
      <c r="G529" s="18">
        <v>268812.83058025897</v>
      </c>
      <c r="H529" s="19">
        <v>0.15720437203000781</v>
      </c>
      <c r="I529" s="19">
        <v>6.9953063942647109E-2</v>
      </c>
      <c r="J529" s="19">
        <v>0.12193357975858188</v>
      </c>
    </row>
    <row r="530" spans="1:10" ht="11.25" customHeight="1" x14ac:dyDescent="0.2">
      <c r="A530" s="28">
        <v>44593</v>
      </c>
      <c r="B530" s="18">
        <v>0</v>
      </c>
      <c r="C530" s="18">
        <v>0</v>
      </c>
      <c r="D530" s="18">
        <v>352056.08327999996</v>
      </c>
      <c r="E530" s="18">
        <v>407400.83877137647</v>
      </c>
      <c r="F530" s="18">
        <v>238883.68144000001</v>
      </c>
      <c r="G530" s="18">
        <v>255594.32688262727</v>
      </c>
      <c r="H530" s="19">
        <v>0.15720437203000781</v>
      </c>
      <c r="I530" s="19">
        <v>6.9953063942647109E-2</v>
      </c>
      <c r="J530" s="19">
        <v>0.12193357975858188</v>
      </c>
    </row>
    <row r="531" spans="1:10" ht="11.25" customHeight="1" x14ac:dyDescent="0.2">
      <c r="A531" s="28">
        <v>44621</v>
      </c>
      <c r="B531" s="18">
        <v>0</v>
      </c>
      <c r="C531" s="18">
        <v>0</v>
      </c>
      <c r="D531" s="18">
        <v>348867.94866000005</v>
      </c>
      <c r="E531" s="18">
        <v>403711.51545049233</v>
      </c>
      <c r="F531" s="18">
        <v>236720.40867999999</v>
      </c>
      <c r="G531" s="18">
        <v>253279.72656492161</v>
      </c>
      <c r="H531" s="19">
        <v>0.15720437203000759</v>
      </c>
      <c r="I531" s="19">
        <v>6.9953063942647109E-2</v>
      </c>
      <c r="J531" s="19">
        <v>0.12193357975858188</v>
      </c>
    </row>
    <row r="532" spans="1:10" ht="11.25" customHeight="1" x14ac:dyDescent="0.2">
      <c r="A532" s="28">
        <v>44652</v>
      </c>
      <c r="B532" s="18">
        <v>0</v>
      </c>
      <c r="C532" s="18">
        <v>0</v>
      </c>
      <c r="D532" s="18">
        <v>328544.06805</v>
      </c>
      <c r="E532" s="18">
        <v>380192.63195198437</v>
      </c>
      <c r="F532" s="18">
        <v>222929.8689</v>
      </c>
      <c r="G532" s="18">
        <v>238524.49627388763</v>
      </c>
      <c r="H532" s="19">
        <v>0.15720437203000759</v>
      </c>
      <c r="I532" s="19">
        <v>6.9953063942647109E-2</v>
      </c>
      <c r="J532" s="19">
        <v>0.1219335797585821</v>
      </c>
    </row>
    <row r="533" spans="1:10" ht="11.25" customHeight="1" x14ac:dyDescent="0.2">
      <c r="A533" s="28">
        <v>44682</v>
      </c>
      <c r="B533" s="18">
        <v>0</v>
      </c>
      <c r="C533" s="18">
        <v>0</v>
      </c>
      <c r="D533" s="18">
        <v>331067.9397300001</v>
      </c>
      <c r="E533" s="18">
        <v>383113.26729452313</v>
      </c>
      <c r="F533" s="18">
        <v>224642.41354000001</v>
      </c>
      <c r="G533" s="18">
        <v>240356.83865859424</v>
      </c>
      <c r="H533" s="19">
        <v>0.15720437203000759</v>
      </c>
      <c r="I533" s="19">
        <v>6.9953063942647331E-2</v>
      </c>
      <c r="J533" s="19">
        <v>0.12193357975858188</v>
      </c>
    </row>
    <row r="534" spans="1:10" ht="11.25" customHeight="1" x14ac:dyDescent="0.2">
      <c r="A534" s="28">
        <v>44713</v>
      </c>
      <c r="B534" s="18">
        <v>0</v>
      </c>
      <c r="C534" s="18">
        <v>0</v>
      </c>
      <c r="D534" s="18">
        <v>327636.64230000007</v>
      </c>
      <c r="E534" s="18">
        <v>379142.55490679177</v>
      </c>
      <c r="F534" s="18">
        <v>222314.14540000001</v>
      </c>
      <c r="G534" s="18">
        <v>237865.70102852117</v>
      </c>
      <c r="H534" s="19">
        <v>0.15720437203000759</v>
      </c>
      <c r="I534" s="19">
        <v>6.9953063942647109E-2</v>
      </c>
      <c r="J534" s="19">
        <v>0.12193357975858188</v>
      </c>
    </row>
    <row r="535" spans="1:10" ht="11.25" customHeight="1" x14ac:dyDescent="0.2">
      <c r="A535" s="23" t="s">
        <v>49</v>
      </c>
      <c r="B535" s="18">
        <v>0</v>
      </c>
      <c r="C535" s="18">
        <v>0</v>
      </c>
      <c r="D535" s="18">
        <v>64595.340810000002</v>
      </c>
      <c r="E535" s="18">
        <v>74750.010798100382</v>
      </c>
      <c r="F535" s="18">
        <v>43830.439379999996</v>
      </c>
      <c r="G535" s="18">
        <v>46896.512908583456</v>
      </c>
      <c r="H535" s="19">
        <v>0.15720437203000781</v>
      </c>
      <c r="I535" s="19">
        <v>6.9953063942647109E-2</v>
      </c>
      <c r="J535" s="19">
        <v>0.12193357975858188</v>
      </c>
    </row>
    <row r="536" spans="1:10" ht="11.25" customHeight="1" x14ac:dyDescent="0.2">
      <c r="A536" s="24" t="s">
        <v>25</v>
      </c>
      <c r="B536" s="18">
        <v>0</v>
      </c>
      <c r="C536" s="18">
        <v>0</v>
      </c>
      <c r="D536" s="18">
        <v>64595.340810000002</v>
      </c>
      <c r="E536" s="18">
        <v>74750.010798100382</v>
      </c>
      <c r="F536" s="18">
        <v>43830.439379999996</v>
      </c>
      <c r="G536" s="18">
        <v>46896.512908583456</v>
      </c>
      <c r="H536" s="19">
        <v>0.15720437203000781</v>
      </c>
      <c r="I536" s="19">
        <v>6.9953063942647109E-2</v>
      </c>
      <c r="J536" s="19">
        <v>0.12193357975858188</v>
      </c>
    </row>
    <row r="537" spans="1:10" ht="11.25" customHeight="1" x14ac:dyDescent="0.2">
      <c r="A537" s="25" t="s">
        <v>25</v>
      </c>
      <c r="B537" s="18">
        <v>0</v>
      </c>
      <c r="C537" s="18">
        <v>0</v>
      </c>
      <c r="D537" s="18">
        <v>64595.340810000002</v>
      </c>
      <c r="E537" s="18">
        <v>74750.010798100382</v>
      </c>
      <c r="F537" s="18">
        <v>43830.439379999996</v>
      </c>
      <c r="G537" s="18">
        <v>46896.512908583456</v>
      </c>
      <c r="H537" s="19">
        <v>0.15720437203000781</v>
      </c>
      <c r="I537" s="19">
        <v>6.9953063942647109E-2</v>
      </c>
      <c r="J537" s="19">
        <v>0.12193357975858188</v>
      </c>
    </row>
    <row r="538" spans="1:10" ht="11.25" customHeight="1" x14ac:dyDescent="0.2">
      <c r="A538" s="26" t="s">
        <v>25</v>
      </c>
      <c r="B538" s="18">
        <v>0</v>
      </c>
      <c r="C538" s="18">
        <v>0</v>
      </c>
      <c r="D538" s="18">
        <v>64595.340810000002</v>
      </c>
      <c r="E538" s="18">
        <v>74750.010798100382</v>
      </c>
      <c r="F538" s="18">
        <v>43830.439379999996</v>
      </c>
      <c r="G538" s="18">
        <v>46896.512908583456</v>
      </c>
      <c r="H538" s="19">
        <v>0.15720437203000781</v>
      </c>
      <c r="I538" s="19">
        <v>6.9953063942647109E-2</v>
      </c>
      <c r="J538" s="19">
        <v>0.12193357975858188</v>
      </c>
    </row>
    <row r="539" spans="1:10" ht="11.25" customHeight="1" x14ac:dyDescent="0.2">
      <c r="A539" s="27" t="s">
        <v>25</v>
      </c>
      <c r="B539" s="18">
        <v>0</v>
      </c>
      <c r="C539" s="18">
        <v>0</v>
      </c>
      <c r="D539" s="18">
        <v>64595.340810000002</v>
      </c>
      <c r="E539" s="18">
        <v>74750.010798100382</v>
      </c>
      <c r="F539" s="18">
        <v>43830.439379999996</v>
      </c>
      <c r="G539" s="18">
        <v>46896.512908583456</v>
      </c>
      <c r="H539" s="19">
        <v>0.15720437203000781</v>
      </c>
      <c r="I539" s="19">
        <v>6.9953063942647109E-2</v>
      </c>
      <c r="J539" s="19">
        <v>0.12193357975858188</v>
      </c>
    </row>
    <row r="540" spans="1:10" ht="11.25" customHeight="1" x14ac:dyDescent="0.2">
      <c r="A540" s="28">
        <v>44378</v>
      </c>
      <c r="B540" s="18">
        <v>0</v>
      </c>
      <c r="C540" s="18">
        <v>0</v>
      </c>
      <c r="D540" s="18">
        <v>4545.0431400000007</v>
      </c>
      <c r="E540" s="18">
        <v>5259.5437926729946</v>
      </c>
      <c r="F540" s="18">
        <v>3083.9877200000001</v>
      </c>
      <c r="G540" s="18">
        <v>3299.722110175499</v>
      </c>
      <c r="H540" s="19">
        <v>0.15720437203000759</v>
      </c>
      <c r="I540" s="19">
        <v>6.9953063942647331E-2</v>
      </c>
      <c r="J540" s="19">
        <v>0.12193357975858188</v>
      </c>
    </row>
    <row r="541" spans="1:10" ht="11.25" customHeight="1" x14ac:dyDescent="0.2">
      <c r="A541" s="28">
        <v>44409</v>
      </c>
      <c r="B541" s="18">
        <v>0</v>
      </c>
      <c r="C541" s="18">
        <v>0</v>
      </c>
      <c r="D541" s="18">
        <v>4783.5664800000004</v>
      </c>
      <c r="E541" s="18">
        <v>5535.564044552194</v>
      </c>
      <c r="F541" s="18">
        <v>3245.8350399999999</v>
      </c>
      <c r="G541" s="18">
        <v>3472.8911461004045</v>
      </c>
      <c r="H541" s="19">
        <v>0.15720437203000759</v>
      </c>
      <c r="I541" s="19">
        <v>6.9953063942647109E-2</v>
      </c>
      <c r="J541" s="19">
        <v>0.12193357975858188</v>
      </c>
    </row>
    <row r="542" spans="1:10" ht="11.25" customHeight="1" x14ac:dyDescent="0.2">
      <c r="A542" s="28">
        <v>44440</v>
      </c>
      <c r="B542" s="18">
        <v>0</v>
      </c>
      <c r="C542" s="18">
        <v>0</v>
      </c>
      <c r="D542" s="18">
        <v>5135.3474700000006</v>
      </c>
      <c r="E542" s="18">
        <v>5942.6465441772389</v>
      </c>
      <c r="F542" s="18">
        <v>3484.53206</v>
      </c>
      <c r="G542" s="18">
        <v>3728.2857540033842</v>
      </c>
      <c r="H542" s="19">
        <v>0.15720437203000759</v>
      </c>
      <c r="I542" s="19">
        <v>6.9953063942647109E-2</v>
      </c>
      <c r="J542" s="19">
        <v>0.1219335797585821</v>
      </c>
    </row>
    <row r="543" spans="1:10" ht="11.25" customHeight="1" x14ac:dyDescent="0.2">
      <c r="A543" s="28">
        <v>44470</v>
      </c>
      <c r="B543" s="18">
        <v>0</v>
      </c>
      <c r="C543" s="18">
        <v>0</v>
      </c>
      <c r="D543" s="18">
        <v>5013.9025200000005</v>
      </c>
      <c r="E543" s="18">
        <v>5802.1099170762727</v>
      </c>
      <c r="F543" s="18">
        <v>3402.1269600000001</v>
      </c>
      <c r="G543" s="18">
        <v>3640.1161647738841</v>
      </c>
      <c r="H543" s="19">
        <v>0.15720437203000759</v>
      </c>
      <c r="I543" s="19">
        <v>6.9953063942647331E-2</v>
      </c>
      <c r="J543" s="19">
        <v>0.12193357975858166</v>
      </c>
    </row>
    <row r="544" spans="1:10" ht="11.25" customHeight="1" x14ac:dyDescent="0.2">
      <c r="A544" s="28">
        <v>44501</v>
      </c>
      <c r="B544" s="18">
        <v>0</v>
      </c>
      <c r="C544" s="18">
        <v>0</v>
      </c>
      <c r="D544" s="18">
        <v>5361.589860000001</v>
      </c>
      <c r="E544" s="18">
        <v>6204.4552270237573</v>
      </c>
      <c r="F544" s="18">
        <v>3638.0462800000005</v>
      </c>
      <c r="G544" s="18">
        <v>3892.5387640511499</v>
      </c>
      <c r="H544" s="19">
        <v>0.15720437203000759</v>
      </c>
      <c r="I544" s="19">
        <v>6.9953063942647109E-2</v>
      </c>
      <c r="J544" s="19">
        <v>0.12193357975858166</v>
      </c>
    </row>
    <row r="545" spans="1:10" ht="11.25" customHeight="1" x14ac:dyDescent="0.2">
      <c r="A545" s="28">
        <v>44531</v>
      </c>
      <c r="B545" s="18">
        <v>0</v>
      </c>
      <c r="C545" s="18">
        <v>0</v>
      </c>
      <c r="D545" s="18">
        <v>5452.1959800000013</v>
      </c>
      <c r="E545" s="18">
        <v>6309.305025220433</v>
      </c>
      <c r="F545" s="18">
        <v>3699.5260400000002</v>
      </c>
      <c r="G545" s="18">
        <v>3958.3192216336088</v>
      </c>
      <c r="H545" s="19">
        <v>0.15720437203000759</v>
      </c>
      <c r="I545" s="19">
        <v>6.9953063942647331E-2</v>
      </c>
      <c r="J545" s="19">
        <v>0.12193357975858188</v>
      </c>
    </row>
    <row r="546" spans="1:10" ht="11.25" customHeight="1" x14ac:dyDescent="0.2">
      <c r="A546" s="28">
        <v>44562</v>
      </c>
      <c r="B546" s="18">
        <v>0</v>
      </c>
      <c r="C546" s="18">
        <v>0</v>
      </c>
      <c r="D546" s="18">
        <v>6791.9111700000003</v>
      </c>
      <c r="E546" s="18">
        <v>7859.6293003634446</v>
      </c>
      <c r="F546" s="18">
        <v>4608.5746600000002</v>
      </c>
      <c r="G546" s="18">
        <v>4930.9585778754436</v>
      </c>
      <c r="H546" s="19">
        <v>0.15720437203000759</v>
      </c>
      <c r="I546" s="19">
        <v>6.9953063942647109E-2</v>
      </c>
      <c r="J546" s="19">
        <v>0.12193357975858188</v>
      </c>
    </row>
    <row r="547" spans="1:10" ht="11.25" customHeight="1" x14ac:dyDescent="0.2">
      <c r="A547" s="28">
        <v>44593</v>
      </c>
      <c r="B547" s="18">
        <v>0</v>
      </c>
      <c r="C547" s="18">
        <v>0</v>
      </c>
      <c r="D547" s="18">
        <v>6633.8962800000008</v>
      </c>
      <c r="E547" s="18">
        <v>7676.7737788096038</v>
      </c>
      <c r="F547" s="18">
        <v>4501.3554400000003</v>
      </c>
      <c r="G547" s="18">
        <v>4816.2390449229033</v>
      </c>
      <c r="H547" s="19">
        <v>0.15720437203000759</v>
      </c>
      <c r="I547" s="19">
        <v>6.9953063942647331E-2</v>
      </c>
      <c r="J547" s="19">
        <v>0.1219335797585821</v>
      </c>
    </row>
    <row r="548" spans="1:10" ht="11.25" customHeight="1" x14ac:dyDescent="0.2">
      <c r="A548" s="28">
        <v>44621</v>
      </c>
      <c r="B548" s="18">
        <v>0</v>
      </c>
      <c r="C548" s="18">
        <v>0</v>
      </c>
      <c r="D548" s="18">
        <v>5254.3362300000008</v>
      </c>
      <c r="E548" s="18">
        <v>6080.3408574716677</v>
      </c>
      <c r="F548" s="18">
        <v>3565.27054</v>
      </c>
      <c r="G548" s="18">
        <v>3814.6721380574563</v>
      </c>
      <c r="H548" s="19">
        <v>0.15720437203000737</v>
      </c>
      <c r="I548" s="19">
        <v>6.9953063942647109E-2</v>
      </c>
      <c r="J548" s="19">
        <v>0.12193357975858188</v>
      </c>
    </row>
    <row r="549" spans="1:10" ht="11.25" customHeight="1" x14ac:dyDescent="0.2">
      <c r="A549" s="28">
        <v>44652</v>
      </c>
      <c r="B549" s="18">
        <v>0</v>
      </c>
      <c r="C549" s="18">
        <v>0</v>
      </c>
      <c r="D549" s="18">
        <v>5470.2080400000004</v>
      </c>
      <c r="E549" s="18">
        <v>6330.1486598016991</v>
      </c>
      <c r="F549" s="18">
        <v>3711.7479200000002</v>
      </c>
      <c r="G549" s="18">
        <v>3971.3960595867479</v>
      </c>
      <c r="H549" s="19">
        <v>0.15720437203000759</v>
      </c>
      <c r="I549" s="19">
        <v>6.9953063942647109E-2</v>
      </c>
      <c r="J549" s="19">
        <v>0.12193357975858188</v>
      </c>
    </row>
    <row r="550" spans="1:10" ht="11.25" customHeight="1" x14ac:dyDescent="0.2">
      <c r="A550" s="28">
        <v>44682</v>
      </c>
      <c r="B550" s="18">
        <v>0</v>
      </c>
      <c r="C550" s="18">
        <v>0</v>
      </c>
      <c r="D550" s="18">
        <v>4783.2935700000007</v>
      </c>
      <c r="E550" s="18">
        <v>5535.2482319070241</v>
      </c>
      <c r="F550" s="18">
        <v>3245.6498600000004</v>
      </c>
      <c r="G550" s="18">
        <v>3472.6930121920241</v>
      </c>
      <c r="H550" s="19">
        <v>0.15720437203000759</v>
      </c>
      <c r="I550" s="19">
        <v>6.9953063942647109E-2</v>
      </c>
      <c r="J550" s="19">
        <v>0.12193357975858188</v>
      </c>
    </row>
    <row r="551" spans="1:10" ht="11.25" customHeight="1" x14ac:dyDescent="0.2">
      <c r="A551" s="28">
        <v>44713</v>
      </c>
      <c r="B551" s="18">
        <v>0</v>
      </c>
      <c r="C551" s="18">
        <v>0</v>
      </c>
      <c r="D551" s="18">
        <v>5370.0500700000002</v>
      </c>
      <c r="E551" s="18">
        <v>6214.2454190240487</v>
      </c>
      <c r="F551" s="18">
        <v>3643.7868600000002</v>
      </c>
      <c r="G551" s="18">
        <v>3898.6809152109577</v>
      </c>
      <c r="H551" s="19">
        <v>0.15720437203000759</v>
      </c>
      <c r="I551" s="19">
        <v>6.9953063942647109E-2</v>
      </c>
      <c r="J551" s="19">
        <v>0.12193357975858166</v>
      </c>
    </row>
    <row r="552" spans="1:10" ht="11.25" customHeight="1" x14ac:dyDescent="0.2">
      <c r="A552" s="23" t="s">
        <v>34</v>
      </c>
      <c r="B552" s="18">
        <v>0</v>
      </c>
      <c r="C552" s="18">
        <v>0</v>
      </c>
      <c r="D552" s="18">
        <v>1364825.9120100001</v>
      </c>
      <c r="E552" s="18">
        <v>1579382.5124378146</v>
      </c>
      <c r="F552" s="18">
        <v>926087.21698000003</v>
      </c>
      <c r="G552" s="18">
        <v>990869.85528587003</v>
      </c>
      <c r="H552" s="19">
        <v>0.15720437203000781</v>
      </c>
      <c r="I552" s="19">
        <v>6.9953063942647331E-2</v>
      </c>
      <c r="J552" s="19">
        <v>0.12193357975858188</v>
      </c>
    </row>
    <row r="553" spans="1:10" ht="11.25" customHeight="1" x14ac:dyDescent="0.2">
      <c r="A553" s="24" t="s">
        <v>25</v>
      </c>
      <c r="B553" s="18">
        <v>0</v>
      </c>
      <c r="C553" s="18">
        <v>0</v>
      </c>
      <c r="D553" s="18">
        <v>1364825.9120100001</v>
      </c>
      <c r="E553" s="18">
        <v>1579382.5124378146</v>
      </c>
      <c r="F553" s="18">
        <v>926087.21698000003</v>
      </c>
      <c r="G553" s="18">
        <v>990869.85528587003</v>
      </c>
      <c r="H553" s="19">
        <v>0.15720437203000781</v>
      </c>
      <c r="I553" s="19">
        <v>6.9953063942647331E-2</v>
      </c>
      <c r="J553" s="19">
        <v>0.12193357975858188</v>
      </c>
    </row>
    <row r="554" spans="1:10" ht="11.25" customHeight="1" x14ac:dyDescent="0.2">
      <c r="A554" s="25" t="s">
        <v>25</v>
      </c>
      <c r="B554" s="18">
        <v>0</v>
      </c>
      <c r="C554" s="18">
        <v>0</v>
      </c>
      <c r="D554" s="18">
        <v>1364825.9120100001</v>
      </c>
      <c r="E554" s="18">
        <v>1579382.5124378146</v>
      </c>
      <c r="F554" s="18">
        <v>926087.21698000003</v>
      </c>
      <c r="G554" s="18">
        <v>990869.85528587003</v>
      </c>
      <c r="H554" s="19">
        <v>0.15720437203000781</v>
      </c>
      <c r="I554" s="19">
        <v>6.9953063942647331E-2</v>
      </c>
      <c r="J554" s="19">
        <v>0.12193357975858188</v>
      </c>
    </row>
    <row r="555" spans="1:10" ht="11.25" customHeight="1" x14ac:dyDescent="0.2">
      <c r="A555" s="26" t="s">
        <v>25</v>
      </c>
      <c r="B555" s="18">
        <v>0</v>
      </c>
      <c r="C555" s="18">
        <v>0</v>
      </c>
      <c r="D555" s="18">
        <v>1364825.9120100001</v>
      </c>
      <c r="E555" s="18">
        <v>1579382.5124378146</v>
      </c>
      <c r="F555" s="18">
        <v>926087.21698000003</v>
      </c>
      <c r="G555" s="18">
        <v>990869.85528587003</v>
      </c>
      <c r="H555" s="19">
        <v>0.15720437203000781</v>
      </c>
      <c r="I555" s="19">
        <v>6.9953063942647331E-2</v>
      </c>
      <c r="J555" s="19">
        <v>0.12193357975858188</v>
      </c>
    </row>
    <row r="556" spans="1:10" ht="11.25" customHeight="1" x14ac:dyDescent="0.2">
      <c r="A556" s="27" t="s">
        <v>25</v>
      </c>
      <c r="B556" s="18">
        <v>0</v>
      </c>
      <c r="C556" s="18">
        <v>0</v>
      </c>
      <c r="D556" s="18">
        <v>1364825.9120100001</v>
      </c>
      <c r="E556" s="18">
        <v>1579382.5124378146</v>
      </c>
      <c r="F556" s="18">
        <v>926087.21698000003</v>
      </c>
      <c r="G556" s="18">
        <v>990869.85528587003</v>
      </c>
      <c r="H556" s="19">
        <v>0.15720437203000781</v>
      </c>
      <c r="I556" s="19">
        <v>6.9953063942647331E-2</v>
      </c>
      <c r="J556" s="19">
        <v>0.12193357975858188</v>
      </c>
    </row>
    <row r="557" spans="1:10" ht="11.25" customHeight="1" x14ac:dyDescent="0.2">
      <c r="A557" s="28">
        <v>44378</v>
      </c>
      <c r="B557" s="18">
        <v>0</v>
      </c>
      <c r="C557" s="18">
        <v>0</v>
      </c>
      <c r="D557" s="18">
        <v>107582.75946000002</v>
      </c>
      <c r="E557" s="18">
        <v>124495.23960216467</v>
      </c>
      <c r="F557" s="18">
        <v>72999.067079999993</v>
      </c>
      <c r="G557" s="18">
        <v>78105.575487200826</v>
      </c>
      <c r="H557" s="19">
        <v>0.15720437203000759</v>
      </c>
      <c r="I557" s="19">
        <v>6.9953063942647109E-2</v>
      </c>
      <c r="J557" s="19">
        <v>0.12193357975858188</v>
      </c>
    </row>
    <row r="558" spans="1:10" ht="11.25" customHeight="1" x14ac:dyDescent="0.2">
      <c r="A558" s="28">
        <v>44409</v>
      </c>
      <c r="B558" s="18">
        <v>0</v>
      </c>
      <c r="C558" s="18">
        <v>0</v>
      </c>
      <c r="D558" s="18">
        <v>119060.26242</v>
      </c>
      <c r="E558" s="18">
        <v>137777.05620746405</v>
      </c>
      <c r="F558" s="18">
        <v>80786.997159999999</v>
      </c>
      <c r="G558" s="18">
        <v>86438.29513806793</v>
      </c>
      <c r="H558" s="19">
        <v>0.15720437203000781</v>
      </c>
      <c r="I558" s="19">
        <v>6.9953063942647109E-2</v>
      </c>
      <c r="J558" s="19">
        <v>0.1219335797585821</v>
      </c>
    </row>
    <row r="559" spans="1:10" ht="11.25" customHeight="1" x14ac:dyDescent="0.2">
      <c r="A559" s="28">
        <v>44440</v>
      </c>
      <c r="B559" s="18">
        <v>0</v>
      </c>
      <c r="C559" s="18">
        <v>0</v>
      </c>
      <c r="D559" s="18">
        <v>120516.78309000001</v>
      </c>
      <c r="E559" s="18">
        <v>139462.54829474009</v>
      </c>
      <c r="F559" s="18">
        <v>81775.302820000012</v>
      </c>
      <c r="G559" s="18">
        <v>87495.735807096789</v>
      </c>
      <c r="H559" s="19">
        <v>0.15720437203000759</v>
      </c>
      <c r="I559" s="19">
        <v>6.9953063942646887E-2</v>
      </c>
      <c r="J559" s="19">
        <v>0.12193357975858166</v>
      </c>
    </row>
    <row r="560" spans="1:10" ht="11.25" customHeight="1" x14ac:dyDescent="0.2">
      <c r="A560" s="28">
        <v>44470</v>
      </c>
      <c r="B560" s="18">
        <v>0</v>
      </c>
      <c r="C560" s="18">
        <v>0</v>
      </c>
      <c r="D560" s="18">
        <v>121963.75191000001</v>
      </c>
      <c r="E560" s="18">
        <v>141136.98693943521</v>
      </c>
      <c r="F560" s="18">
        <v>82757.127179999996</v>
      </c>
      <c r="G560" s="18">
        <v>88546.241789332329</v>
      </c>
      <c r="H560" s="19">
        <v>0.15720437203000781</v>
      </c>
      <c r="I560" s="19">
        <v>6.9953063942647331E-2</v>
      </c>
      <c r="J560" s="19">
        <v>0.1219335797585821</v>
      </c>
    </row>
    <row r="561" spans="1:10" ht="11.25" customHeight="1" x14ac:dyDescent="0.2">
      <c r="A561" s="28">
        <v>44501</v>
      </c>
      <c r="B561" s="18">
        <v>0</v>
      </c>
      <c r="C561" s="18">
        <v>0</v>
      </c>
      <c r="D561" s="18">
        <v>115841.01606000001</v>
      </c>
      <c r="E561" s="18">
        <v>134051.73024503034</v>
      </c>
      <c r="F561" s="18">
        <v>78602.613880000004</v>
      </c>
      <c r="G561" s="18">
        <v>84101.107554806847</v>
      </c>
      <c r="H561" s="19">
        <v>0.15720437203000759</v>
      </c>
      <c r="I561" s="19">
        <v>6.9953063942647109E-2</v>
      </c>
      <c r="J561" s="19">
        <v>0.12193357975858188</v>
      </c>
    </row>
    <row r="562" spans="1:10" ht="11.25" customHeight="1" x14ac:dyDescent="0.2">
      <c r="A562" s="28">
        <v>44531</v>
      </c>
      <c r="B562" s="18">
        <v>0</v>
      </c>
      <c r="C562" s="18">
        <v>0</v>
      </c>
      <c r="D562" s="18">
        <v>104727.84795000001</v>
      </c>
      <c r="E562" s="18">
        <v>121191.52352103386</v>
      </c>
      <c r="F562" s="18">
        <v>71061.899099999995</v>
      </c>
      <c r="G562" s="18">
        <v>76032.896671628245</v>
      </c>
      <c r="H562" s="19">
        <v>0.15720437203000737</v>
      </c>
      <c r="I562" s="19">
        <v>6.9953063942647331E-2</v>
      </c>
      <c r="J562" s="19">
        <v>0.12193357975858188</v>
      </c>
    </row>
    <row r="563" spans="1:10" ht="11.25" customHeight="1" x14ac:dyDescent="0.2">
      <c r="A563" s="28">
        <v>44562</v>
      </c>
      <c r="B563" s="18">
        <v>0</v>
      </c>
      <c r="C563" s="18">
        <v>0</v>
      </c>
      <c r="D563" s="18">
        <v>117195.19548000001</v>
      </c>
      <c r="E563" s="18">
        <v>135618.7925903674</v>
      </c>
      <c r="F563" s="18">
        <v>79521.477040000012</v>
      </c>
      <c r="G563" s="18">
        <v>85084.248008192866</v>
      </c>
      <c r="H563" s="19">
        <v>0.15720437203000759</v>
      </c>
      <c r="I563" s="19">
        <v>6.9953063942646887E-2</v>
      </c>
      <c r="J563" s="19">
        <v>0.12193357975858188</v>
      </c>
    </row>
    <row r="564" spans="1:10" ht="11.25" customHeight="1" x14ac:dyDescent="0.2">
      <c r="A564" s="28">
        <v>44593</v>
      </c>
      <c r="B564" s="18">
        <v>0</v>
      </c>
      <c r="C564" s="18">
        <v>0</v>
      </c>
      <c r="D564" s="18">
        <v>117639.22005</v>
      </c>
      <c r="E564" s="18">
        <v>136132.61976406013</v>
      </c>
      <c r="F564" s="18">
        <v>79822.764899999995</v>
      </c>
      <c r="G564" s="18">
        <v>85406.611877128598</v>
      </c>
      <c r="H564" s="19">
        <v>0.15720437203000759</v>
      </c>
      <c r="I564" s="19">
        <v>6.9953063942647331E-2</v>
      </c>
      <c r="J564" s="19">
        <v>0.12193357975858188</v>
      </c>
    </row>
    <row r="565" spans="1:10" ht="11.25" customHeight="1" x14ac:dyDescent="0.2">
      <c r="A565" s="28">
        <v>44621</v>
      </c>
      <c r="B565" s="18">
        <v>0</v>
      </c>
      <c r="C565" s="18">
        <v>0</v>
      </c>
      <c r="D565" s="18">
        <v>122162.70330000001</v>
      </c>
      <c r="E565" s="18">
        <v>141367.21435776463</v>
      </c>
      <c r="F565" s="18">
        <v>82892.123400000011</v>
      </c>
      <c r="G565" s="18">
        <v>88690.681408542005</v>
      </c>
      <c r="H565" s="19">
        <v>0.15720437203000759</v>
      </c>
      <c r="I565" s="19">
        <v>6.9953063942647109E-2</v>
      </c>
      <c r="J565" s="19">
        <v>0.12193357975858166</v>
      </c>
    </row>
    <row r="566" spans="1:10" ht="11.25" customHeight="1" x14ac:dyDescent="0.2">
      <c r="A566" s="28">
        <v>44652</v>
      </c>
      <c r="B566" s="18">
        <v>0</v>
      </c>
      <c r="C566" s="18">
        <v>0</v>
      </c>
      <c r="D566" s="18">
        <v>148853.02838999999</v>
      </c>
      <c r="E566" s="18">
        <v>172253.37524281483</v>
      </c>
      <c r="F566" s="18">
        <v>101002.54222</v>
      </c>
      <c r="G566" s="18">
        <v>108067.97951428557</v>
      </c>
      <c r="H566" s="19">
        <v>0.15720437203000759</v>
      </c>
      <c r="I566" s="19">
        <v>6.9953063942647109E-2</v>
      </c>
      <c r="J566" s="19">
        <v>0.12193357975858188</v>
      </c>
    </row>
    <row r="567" spans="1:10" ht="11.25" customHeight="1" x14ac:dyDescent="0.2">
      <c r="A567" s="28">
        <v>44682</v>
      </c>
      <c r="B567" s="18">
        <v>0</v>
      </c>
      <c r="C567" s="18">
        <v>0</v>
      </c>
      <c r="D567" s="18">
        <v>109950.25371</v>
      </c>
      <c r="E567" s="18">
        <v>127234.91429902057</v>
      </c>
      <c r="F567" s="18">
        <v>74605.50357999999</v>
      </c>
      <c r="G567" s="18">
        <v>79824.387142405132</v>
      </c>
      <c r="H567" s="19">
        <v>0.15720437203000759</v>
      </c>
      <c r="I567" s="19">
        <v>6.9953063942647331E-2</v>
      </c>
      <c r="J567" s="19">
        <v>0.12193357975858188</v>
      </c>
    </row>
    <row r="568" spans="1:10" ht="11.25" customHeight="1" x14ac:dyDescent="0.2">
      <c r="A568" s="28">
        <v>44713</v>
      </c>
      <c r="B568" s="18">
        <v>0</v>
      </c>
      <c r="C568" s="18">
        <v>0</v>
      </c>
      <c r="D568" s="18">
        <v>59333.090190000017</v>
      </c>
      <c r="E568" s="18">
        <v>68660.511373918765</v>
      </c>
      <c r="F568" s="18">
        <v>40259.798620000016</v>
      </c>
      <c r="G568" s="18">
        <v>43076.094887182975</v>
      </c>
      <c r="H568" s="19">
        <v>0.15720437203000737</v>
      </c>
      <c r="I568" s="19">
        <v>6.9953063942647109E-2</v>
      </c>
      <c r="J568" s="19">
        <v>0.12193357975858188</v>
      </c>
    </row>
    <row r="569" spans="1:10" ht="11.25" customHeight="1" x14ac:dyDescent="0.2">
      <c r="A569" s="23" t="s">
        <v>43</v>
      </c>
      <c r="B569" s="18">
        <v>0</v>
      </c>
      <c r="C569" s="18">
        <v>0</v>
      </c>
      <c r="D569" s="18">
        <v>2339898.4095300003</v>
      </c>
      <c r="E569" s="18">
        <v>2707740.6696141772</v>
      </c>
      <c r="F569" s="18">
        <v>1587711.6539400001</v>
      </c>
      <c r="G569" s="18">
        <v>1698776.9487905509</v>
      </c>
      <c r="H569" s="19">
        <v>0.15720437203000781</v>
      </c>
      <c r="I569" s="19">
        <v>6.9953063942647331E-2</v>
      </c>
      <c r="J569" s="19">
        <v>0.1219335797585821</v>
      </c>
    </row>
    <row r="570" spans="1:10" ht="11.25" customHeight="1" x14ac:dyDescent="0.2">
      <c r="A570" s="24" t="s">
        <v>25</v>
      </c>
      <c r="B570" s="18">
        <v>0</v>
      </c>
      <c r="C570" s="18">
        <v>0</v>
      </c>
      <c r="D570" s="18">
        <v>2339898.4095300003</v>
      </c>
      <c r="E570" s="18">
        <v>2707740.6696141772</v>
      </c>
      <c r="F570" s="18">
        <v>1587711.6539400001</v>
      </c>
      <c r="G570" s="18">
        <v>1698776.9487905509</v>
      </c>
      <c r="H570" s="19">
        <v>0.15720437203000781</v>
      </c>
      <c r="I570" s="19">
        <v>6.9953063942647331E-2</v>
      </c>
      <c r="J570" s="19">
        <v>0.1219335797585821</v>
      </c>
    </row>
    <row r="571" spans="1:10" ht="11.25" customHeight="1" x14ac:dyDescent="0.2">
      <c r="A571" s="25" t="s">
        <v>25</v>
      </c>
      <c r="B571" s="18">
        <v>0</v>
      </c>
      <c r="C571" s="18">
        <v>0</v>
      </c>
      <c r="D571" s="18">
        <v>2339898.4095300003</v>
      </c>
      <c r="E571" s="18">
        <v>2707740.6696141772</v>
      </c>
      <c r="F571" s="18">
        <v>1587711.6539400001</v>
      </c>
      <c r="G571" s="18">
        <v>1698776.9487905509</v>
      </c>
      <c r="H571" s="19">
        <v>0.15720437203000781</v>
      </c>
      <c r="I571" s="19">
        <v>6.9953063942647331E-2</v>
      </c>
      <c r="J571" s="19">
        <v>0.1219335797585821</v>
      </c>
    </row>
    <row r="572" spans="1:10" ht="11.25" customHeight="1" x14ac:dyDescent="0.2">
      <c r="A572" s="26" t="s">
        <v>25</v>
      </c>
      <c r="B572" s="18">
        <v>0</v>
      </c>
      <c r="C572" s="18">
        <v>0</v>
      </c>
      <c r="D572" s="18">
        <v>2339898.4095300003</v>
      </c>
      <c r="E572" s="18">
        <v>2707740.6696141772</v>
      </c>
      <c r="F572" s="18">
        <v>1587711.6539400001</v>
      </c>
      <c r="G572" s="18">
        <v>1698776.9487905509</v>
      </c>
      <c r="H572" s="19">
        <v>0.15720437203000781</v>
      </c>
      <c r="I572" s="19">
        <v>6.9953063942647331E-2</v>
      </c>
      <c r="J572" s="19">
        <v>0.1219335797585821</v>
      </c>
    </row>
    <row r="573" spans="1:10" ht="11.25" customHeight="1" x14ac:dyDescent="0.2">
      <c r="A573" s="27" t="s">
        <v>25</v>
      </c>
      <c r="B573" s="18">
        <v>0</v>
      </c>
      <c r="C573" s="18">
        <v>0</v>
      </c>
      <c r="D573" s="18">
        <v>2339898.4095300003</v>
      </c>
      <c r="E573" s="18">
        <v>2707740.6696141772</v>
      </c>
      <c r="F573" s="18">
        <v>1587711.6539400001</v>
      </c>
      <c r="G573" s="18">
        <v>1698776.9487905509</v>
      </c>
      <c r="H573" s="19">
        <v>0.15720437203000781</v>
      </c>
      <c r="I573" s="19">
        <v>6.9953063942647331E-2</v>
      </c>
      <c r="J573" s="19">
        <v>0.1219335797585821</v>
      </c>
    </row>
    <row r="574" spans="1:10" ht="11.25" customHeight="1" x14ac:dyDescent="0.2">
      <c r="A574" s="28">
        <v>44378</v>
      </c>
      <c r="B574" s="18">
        <v>0</v>
      </c>
      <c r="C574" s="18">
        <v>0</v>
      </c>
      <c r="D574" s="18">
        <v>183471.11607000002</v>
      </c>
      <c r="E574" s="18">
        <v>212313.57765742901</v>
      </c>
      <c r="F574" s="18">
        <v>124492.25486000002</v>
      </c>
      <c r="G574" s="18">
        <v>133200.86952458593</v>
      </c>
      <c r="H574" s="19">
        <v>0.15720437203000759</v>
      </c>
      <c r="I574" s="19">
        <v>6.9953063942647109E-2</v>
      </c>
      <c r="J574" s="19">
        <v>0.12193357975858188</v>
      </c>
    </row>
    <row r="575" spans="1:10" ht="11.25" customHeight="1" x14ac:dyDescent="0.2">
      <c r="A575" s="28">
        <v>44409</v>
      </c>
      <c r="B575" s="18">
        <v>0</v>
      </c>
      <c r="C575" s="18">
        <v>0</v>
      </c>
      <c r="D575" s="18">
        <v>188805.14202000003</v>
      </c>
      <c r="E575" s="18">
        <v>218486.13580729053</v>
      </c>
      <c r="F575" s="18">
        <v>128111.59796</v>
      </c>
      <c r="G575" s="18">
        <v>137073.3967638906</v>
      </c>
      <c r="H575" s="19">
        <v>0.15720437203000759</v>
      </c>
      <c r="I575" s="19">
        <v>6.9953063942647331E-2</v>
      </c>
      <c r="J575" s="19">
        <v>0.12193357975858188</v>
      </c>
    </row>
    <row r="576" spans="1:10" ht="11.25" customHeight="1" x14ac:dyDescent="0.2">
      <c r="A576" s="28">
        <v>44440</v>
      </c>
      <c r="B576" s="18">
        <v>0</v>
      </c>
      <c r="C576" s="18">
        <v>0</v>
      </c>
      <c r="D576" s="18">
        <v>186625.13694</v>
      </c>
      <c r="E576" s="18">
        <v>215963.42439766688</v>
      </c>
      <c r="F576" s="18">
        <v>126632.38012</v>
      </c>
      <c r="G576" s="18">
        <v>135490.70310374396</v>
      </c>
      <c r="H576" s="19">
        <v>0.15720437203000759</v>
      </c>
      <c r="I576" s="19">
        <v>6.9953063942647109E-2</v>
      </c>
      <c r="J576" s="19">
        <v>0.12193357975858188</v>
      </c>
    </row>
    <row r="577" spans="1:10" ht="11.25" customHeight="1" x14ac:dyDescent="0.2">
      <c r="A577" s="28">
        <v>44470</v>
      </c>
      <c r="B577" s="18">
        <v>0</v>
      </c>
      <c r="C577" s="18">
        <v>0</v>
      </c>
      <c r="D577" s="18">
        <v>173184.31943999999</v>
      </c>
      <c r="E577" s="18">
        <v>200409.65162300944</v>
      </c>
      <c r="F577" s="18">
        <v>117512.26512</v>
      </c>
      <c r="G577" s="18">
        <v>125732.60811598467</v>
      </c>
      <c r="H577" s="19">
        <v>0.15720437203000759</v>
      </c>
      <c r="I577" s="19">
        <v>6.9953063942647109E-2</v>
      </c>
      <c r="J577" s="19">
        <v>0.1219335797585821</v>
      </c>
    </row>
    <row r="578" spans="1:10" ht="11.25" customHeight="1" x14ac:dyDescent="0.2">
      <c r="A578" s="28">
        <v>44501</v>
      </c>
      <c r="B578" s="18">
        <v>0</v>
      </c>
      <c r="C578" s="18">
        <v>0</v>
      </c>
      <c r="D578" s="18">
        <v>184055.41638000001</v>
      </c>
      <c r="E578" s="18">
        <v>212989.73253073951</v>
      </c>
      <c r="F578" s="18">
        <v>124888.72524</v>
      </c>
      <c r="G578" s="18">
        <v>133625.07422242942</v>
      </c>
      <c r="H578" s="19">
        <v>0.15720437203000781</v>
      </c>
      <c r="I578" s="19">
        <v>6.9953063942647331E-2</v>
      </c>
      <c r="J578" s="19">
        <v>0.1219335797585821</v>
      </c>
    </row>
    <row r="579" spans="1:10" ht="11.25" customHeight="1" x14ac:dyDescent="0.2">
      <c r="A579" s="28">
        <v>44531</v>
      </c>
      <c r="B579" s="18">
        <v>0</v>
      </c>
      <c r="C579" s="18">
        <v>0</v>
      </c>
      <c r="D579" s="18">
        <v>185933.31009000001</v>
      </c>
      <c r="E579" s="18">
        <v>215162.83934215913</v>
      </c>
      <c r="F579" s="18">
        <v>126162.94882000001</v>
      </c>
      <c r="G579" s="18">
        <v>134988.43364599836</v>
      </c>
      <c r="H579" s="19">
        <v>0.15720437203000759</v>
      </c>
      <c r="I579" s="19">
        <v>6.9953063942646887E-2</v>
      </c>
      <c r="J579" s="19">
        <v>0.12193357975858166</v>
      </c>
    </row>
    <row r="580" spans="1:10" ht="11.25" customHeight="1" x14ac:dyDescent="0.2">
      <c r="A580" s="28">
        <v>44562</v>
      </c>
      <c r="B580" s="18">
        <v>0</v>
      </c>
      <c r="C580" s="18">
        <v>0</v>
      </c>
      <c r="D580" s="18">
        <v>241412.91108000002</v>
      </c>
      <c r="E580" s="18">
        <v>279364.07616626745</v>
      </c>
      <c r="F580" s="18">
        <v>163808.00584</v>
      </c>
      <c r="G580" s="18">
        <v>175266.87774684303</v>
      </c>
      <c r="H580" s="19">
        <v>0.15720437203000737</v>
      </c>
      <c r="I580" s="19">
        <v>6.9953063942647109E-2</v>
      </c>
      <c r="J580" s="19">
        <v>0.12193357975858188</v>
      </c>
    </row>
    <row r="581" spans="1:10" ht="11.25" customHeight="1" x14ac:dyDescent="0.2">
      <c r="A581" s="28">
        <v>44593</v>
      </c>
      <c r="B581" s="18">
        <v>0</v>
      </c>
      <c r="C581" s="18">
        <v>0</v>
      </c>
      <c r="D581" s="18">
        <v>209140.48485000004</v>
      </c>
      <c r="E581" s="18">
        <v>242018.28343689561</v>
      </c>
      <c r="F581" s="18">
        <v>141909.91530000002</v>
      </c>
      <c r="G581" s="18">
        <v>151836.94867907657</v>
      </c>
      <c r="H581" s="19">
        <v>0.15720437203000759</v>
      </c>
      <c r="I581" s="19">
        <v>6.9953063942647109E-2</v>
      </c>
      <c r="J581" s="19">
        <v>0.12193357975858188</v>
      </c>
    </row>
    <row r="582" spans="1:10" ht="11.25" customHeight="1" x14ac:dyDescent="0.2">
      <c r="A582" s="28">
        <v>44621</v>
      </c>
      <c r="B582" s="18">
        <v>0</v>
      </c>
      <c r="C582" s="18">
        <v>0</v>
      </c>
      <c r="D582" s="18">
        <v>200207.04891000001</v>
      </c>
      <c r="E582" s="18">
        <v>231680.47230987757</v>
      </c>
      <c r="F582" s="18">
        <v>135848.23318000001</v>
      </c>
      <c r="G582" s="18">
        <v>145351.23332213619</v>
      </c>
      <c r="H582" s="19">
        <v>0.15720437203000759</v>
      </c>
      <c r="I582" s="19">
        <v>6.9953063942647109E-2</v>
      </c>
      <c r="J582" s="19">
        <v>0.12193357975858188</v>
      </c>
    </row>
    <row r="583" spans="1:10" ht="11.25" customHeight="1" x14ac:dyDescent="0.2">
      <c r="A583" s="28">
        <v>44652</v>
      </c>
      <c r="B583" s="18">
        <v>0</v>
      </c>
      <c r="C583" s="18">
        <v>0</v>
      </c>
      <c r="D583" s="18">
        <v>202239.95550000001</v>
      </c>
      <c r="E583" s="18">
        <v>234032.96070375419</v>
      </c>
      <c r="F583" s="18">
        <v>137227.639</v>
      </c>
      <c r="G583" s="18">
        <v>146827.13280566552</v>
      </c>
      <c r="H583" s="19">
        <v>0.15720437203000759</v>
      </c>
      <c r="I583" s="19">
        <v>6.9953063942647331E-2</v>
      </c>
      <c r="J583" s="19">
        <v>0.12193357975858188</v>
      </c>
    </row>
    <row r="584" spans="1:10" ht="11.25" customHeight="1" x14ac:dyDescent="0.2">
      <c r="A584" s="28">
        <v>44682</v>
      </c>
      <c r="B584" s="18">
        <v>0</v>
      </c>
      <c r="C584" s="18">
        <v>0</v>
      </c>
      <c r="D584" s="18">
        <v>179111.10591000001</v>
      </c>
      <c r="E584" s="18">
        <v>207268.15483818174</v>
      </c>
      <c r="F584" s="18">
        <v>121533.81917999999</v>
      </c>
      <c r="G584" s="18">
        <v>130035.48220429267</v>
      </c>
      <c r="H584" s="19">
        <v>0.15720437203000759</v>
      </c>
      <c r="I584" s="19">
        <v>6.9953063942647331E-2</v>
      </c>
      <c r="J584" s="19">
        <v>0.12193357975858188</v>
      </c>
    </row>
    <row r="585" spans="1:10" ht="11.25" customHeight="1" x14ac:dyDescent="0.2">
      <c r="A585" s="28">
        <v>44713</v>
      </c>
      <c r="B585" s="18">
        <v>0</v>
      </c>
      <c r="C585" s="18">
        <v>0</v>
      </c>
      <c r="D585" s="18">
        <v>205712.46234</v>
      </c>
      <c r="E585" s="18">
        <v>238051.36080090632</v>
      </c>
      <c r="F585" s="18">
        <v>139583.86932</v>
      </c>
      <c r="G585" s="18">
        <v>149348.18865590409</v>
      </c>
      <c r="H585" s="19">
        <v>0.15720437203000781</v>
      </c>
      <c r="I585" s="19">
        <v>6.9953063942647331E-2</v>
      </c>
      <c r="J585" s="19">
        <v>0.12193357975858188</v>
      </c>
    </row>
    <row r="586" spans="1:10" ht="11.25" customHeight="1" x14ac:dyDescent="0.2">
      <c r="A586" s="23" t="s">
        <v>47</v>
      </c>
      <c r="B586" s="18">
        <v>0</v>
      </c>
      <c r="C586" s="18">
        <v>0</v>
      </c>
      <c r="D586" s="18">
        <v>207852.42060660003</v>
      </c>
      <c r="E586" s="18">
        <v>240527.72986297755</v>
      </c>
      <c r="F586" s="18">
        <v>141035.91384679999</v>
      </c>
      <c r="G586" s="18">
        <v>150901.80814633486</v>
      </c>
      <c r="H586" s="19">
        <v>0.15720437203000759</v>
      </c>
      <c r="I586" s="19">
        <v>6.9953063942647109E-2</v>
      </c>
      <c r="J586" s="19">
        <v>0.12193357975858188</v>
      </c>
    </row>
    <row r="587" spans="1:10" ht="11.25" customHeight="1" x14ac:dyDescent="0.2">
      <c r="A587" s="24" t="s">
        <v>48</v>
      </c>
      <c r="B587" s="18">
        <v>0</v>
      </c>
      <c r="C587" s="18">
        <v>0</v>
      </c>
      <c r="D587" s="18">
        <v>207852.42060660003</v>
      </c>
      <c r="E587" s="18">
        <v>240527.72986297755</v>
      </c>
      <c r="F587" s="18">
        <v>141035.91384679999</v>
      </c>
      <c r="G587" s="18">
        <v>150901.80814633486</v>
      </c>
      <c r="H587" s="19">
        <v>0.15720437203000759</v>
      </c>
      <c r="I587" s="19">
        <v>6.9953063942647109E-2</v>
      </c>
      <c r="J587" s="19">
        <v>0.12193357975858188</v>
      </c>
    </row>
    <row r="588" spans="1:10" ht="11.25" customHeight="1" x14ac:dyDescent="0.2">
      <c r="A588" s="25" t="s">
        <v>25</v>
      </c>
      <c r="B588" s="18">
        <v>0</v>
      </c>
      <c r="C588" s="18">
        <v>0</v>
      </c>
      <c r="D588" s="18">
        <v>207852.42060660003</v>
      </c>
      <c r="E588" s="18">
        <v>240527.72986297755</v>
      </c>
      <c r="F588" s="18">
        <v>141035.91384679999</v>
      </c>
      <c r="G588" s="18">
        <v>150901.80814633486</v>
      </c>
      <c r="H588" s="19">
        <v>0.15720437203000759</v>
      </c>
      <c r="I588" s="19">
        <v>6.9953063942647109E-2</v>
      </c>
      <c r="J588" s="19">
        <v>0.12193357975858188</v>
      </c>
    </row>
    <row r="589" spans="1:10" ht="11.25" customHeight="1" x14ac:dyDescent="0.2">
      <c r="A589" s="26" t="s">
        <v>25</v>
      </c>
      <c r="B589" s="18">
        <v>0</v>
      </c>
      <c r="C589" s="18">
        <v>0</v>
      </c>
      <c r="D589" s="18">
        <v>207852.42060660003</v>
      </c>
      <c r="E589" s="18">
        <v>240527.72986297755</v>
      </c>
      <c r="F589" s="18">
        <v>141035.91384679999</v>
      </c>
      <c r="G589" s="18">
        <v>150901.80814633486</v>
      </c>
      <c r="H589" s="19">
        <v>0.15720437203000759</v>
      </c>
      <c r="I589" s="19">
        <v>6.9953063942647109E-2</v>
      </c>
      <c r="J589" s="19">
        <v>0.12193357975858188</v>
      </c>
    </row>
    <row r="590" spans="1:10" ht="11.25" customHeight="1" x14ac:dyDescent="0.2">
      <c r="A590" s="27" t="s">
        <v>25</v>
      </c>
      <c r="B590" s="18">
        <v>0</v>
      </c>
      <c r="C590" s="18">
        <v>0</v>
      </c>
      <c r="D590" s="18">
        <v>207852.42060660003</v>
      </c>
      <c r="E590" s="18">
        <v>240527.72986297755</v>
      </c>
      <c r="F590" s="18">
        <v>141035.91384679999</v>
      </c>
      <c r="G590" s="18">
        <v>150901.80814633486</v>
      </c>
      <c r="H590" s="19">
        <v>0.15720437203000759</v>
      </c>
      <c r="I590" s="19">
        <v>6.9953063942647109E-2</v>
      </c>
      <c r="J590" s="19">
        <v>0.12193357975858188</v>
      </c>
    </row>
    <row r="591" spans="1:10" ht="11.25" customHeight="1" x14ac:dyDescent="0.2">
      <c r="A591" s="28">
        <v>44378</v>
      </c>
      <c r="B591" s="18">
        <v>0</v>
      </c>
      <c r="C591" s="18">
        <v>0</v>
      </c>
      <c r="D591" s="18">
        <v>16797.681456599999</v>
      </c>
      <c r="E591" s="18">
        <v>19438.350421544907</v>
      </c>
      <c r="F591" s="18">
        <v>11397.8771468</v>
      </c>
      <c r="G591" s="18">
        <v>12195.193575660536</v>
      </c>
      <c r="H591" s="19">
        <v>0.15720437203000759</v>
      </c>
      <c r="I591" s="19">
        <v>6.9953063942647109E-2</v>
      </c>
      <c r="J591" s="19">
        <v>0.12193357975858188</v>
      </c>
    </row>
    <row r="592" spans="1:10" ht="11.25" customHeight="1" x14ac:dyDescent="0.2">
      <c r="A592" s="28">
        <v>44409</v>
      </c>
      <c r="B592" s="18">
        <v>0</v>
      </c>
      <c r="C592" s="18">
        <v>0</v>
      </c>
      <c r="D592" s="18">
        <v>16994.187573000003</v>
      </c>
      <c r="E592" s="18">
        <v>19665.748158573624</v>
      </c>
      <c r="F592" s="18">
        <v>11531.214153999999</v>
      </c>
      <c r="G592" s="18">
        <v>12337.857915051121</v>
      </c>
      <c r="H592" s="19">
        <v>0.15720437203000737</v>
      </c>
      <c r="I592" s="19">
        <v>6.9953063942647331E-2</v>
      </c>
      <c r="J592" s="19">
        <v>0.12193357975858188</v>
      </c>
    </row>
    <row r="593" spans="1:10" ht="11.25" customHeight="1" x14ac:dyDescent="0.2">
      <c r="A593" s="28">
        <v>44440</v>
      </c>
      <c r="B593" s="18">
        <v>0</v>
      </c>
      <c r="C593" s="18">
        <v>0</v>
      </c>
      <c r="D593" s="18">
        <v>17376.168783599998</v>
      </c>
      <c r="E593" s="18">
        <v>20107.778485513256</v>
      </c>
      <c r="F593" s="18">
        <v>11790.403192799999</v>
      </c>
      <c r="G593" s="18">
        <v>12615.178021255528</v>
      </c>
      <c r="H593" s="19">
        <v>0.15720437203000759</v>
      </c>
      <c r="I593" s="19">
        <v>6.9953063942647109E-2</v>
      </c>
      <c r="J593" s="19">
        <v>0.12193357975858188</v>
      </c>
    </row>
    <row r="594" spans="1:10" ht="11.25" customHeight="1" x14ac:dyDescent="0.2">
      <c r="A594" s="28">
        <v>44470</v>
      </c>
      <c r="B594" s="18">
        <v>0</v>
      </c>
      <c r="C594" s="18">
        <v>0</v>
      </c>
      <c r="D594" s="18">
        <v>17298.438557400001</v>
      </c>
      <c r="E594" s="18">
        <v>20017.828727915738</v>
      </c>
      <c r="F594" s="18">
        <v>11737.660225199999</v>
      </c>
      <c r="G594" s="18">
        <v>12558.745521470481</v>
      </c>
      <c r="H594" s="19">
        <v>0.15720437203000759</v>
      </c>
      <c r="I594" s="19">
        <v>6.9953063942647109E-2</v>
      </c>
      <c r="J594" s="19">
        <v>0.12193357975858188</v>
      </c>
    </row>
    <row r="595" spans="1:10" ht="11.25" customHeight="1" x14ac:dyDescent="0.2">
      <c r="A595" s="28">
        <v>44501</v>
      </c>
      <c r="B595" s="18">
        <v>0</v>
      </c>
      <c r="C595" s="18">
        <v>0</v>
      </c>
      <c r="D595" s="18">
        <v>17668.362604200003</v>
      </c>
      <c r="E595" s="18">
        <v>20445.906452191735</v>
      </c>
      <c r="F595" s="18">
        <v>11988.668011600003</v>
      </c>
      <c r="G595" s="18">
        <v>12827.312071602626</v>
      </c>
      <c r="H595" s="19">
        <v>0.15720437203000759</v>
      </c>
      <c r="I595" s="19">
        <v>6.9953063942647109E-2</v>
      </c>
      <c r="J595" s="19">
        <v>0.12193357975858188</v>
      </c>
    </row>
    <row r="596" spans="1:10" ht="11.25" customHeight="1" x14ac:dyDescent="0.2">
      <c r="A596" s="28">
        <v>44531</v>
      </c>
      <c r="B596" s="18">
        <v>0</v>
      </c>
      <c r="C596" s="18">
        <v>0</v>
      </c>
      <c r="D596" s="18">
        <v>14278.5038286</v>
      </c>
      <c r="E596" s="18">
        <v>16523.147056503123</v>
      </c>
      <c r="F596" s="18">
        <v>9688.5176028000005</v>
      </c>
      <c r="G596" s="18">
        <v>10366.259094178131</v>
      </c>
      <c r="H596" s="19">
        <v>0.15720437203000759</v>
      </c>
      <c r="I596" s="19">
        <v>6.9953063942647109E-2</v>
      </c>
      <c r="J596" s="19">
        <v>0.12193357975858188</v>
      </c>
    </row>
    <row r="597" spans="1:10" ht="11.25" customHeight="1" x14ac:dyDescent="0.2">
      <c r="A597" s="28">
        <v>44562</v>
      </c>
      <c r="B597" s="18">
        <v>0</v>
      </c>
      <c r="C597" s="18">
        <v>0</v>
      </c>
      <c r="D597" s="18">
        <v>19540.044882599999</v>
      </c>
      <c r="E597" s="18">
        <v>22611.825367807294</v>
      </c>
      <c r="F597" s="18">
        <v>13258.676894799999</v>
      </c>
      <c r="G597" s="18">
        <v>14186.161967416841</v>
      </c>
      <c r="H597" s="19">
        <v>0.15720437203000759</v>
      </c>
      <c r="I597" s="19">
        <v>6.9953063942647109E-2</v>
      </c>
      <c r="J597" s="19">
        <v>0.12193357975858166</v>
      </c>
    </row>
    <row r="598" spans="1:10" ht="11.25" customHeight="1" x14ac:dyDescent="0.2">
      <c r="A598" s="28">
        <v>44593</v>
      </c>
      <c r="B598" s="18">
        <v>0</v>
      </c>
      <c r="C598" s="18">
        <v>0</v>
      </c>
      <c r="D598" s="18">
        <v>17176.327707</v>
      </c>
      <c r="E598" s="18">
        <v>19876.521517960555</v>
      </c>
      <c r="F598" s="18">
        <v>11654.803285999998</v>
      </c>
      <c r="G598" s="18">
        <v>12470.092485504532</v>
      </c>
      <c r="H598" s="19">
        <v>0.15720437203000759</v>
      </c>
      <c r="I598" s="19">
        <v>6.9953063942647331E-2</v>
      </c>
      <c r="J598" s="19">
        <v>0.12193357975858188</v>
      </c>
    </row>
    <row r="599" spans="1:10" ht="11.25" customHeight="1" x14ac:dyDescent="0.2">
      <c r="A599" s="28">
        <v>44621</v>
      </c>
      <c r="B599" s="18">
        <v>0</v>
      </c>
      <c r="C599" s="18">
        <v>0</v>
      </c>
      <c r="D599" s="18">
        <v>16816.408540800003</v>
      </c>
      <c r="E599" s="18">
        <v>19460.021485256522</v>
      </c>
      <c r="F599" s="18">
        <v>11410.584198400002</v>
      </c>
      <c r="G599" s="18">
        <v>12208.789524453636</v>
      </c>
      <c r="H599" s="19">
        <v>0.15720437203000759</v>
      </c>
      <c r="I599" s="19">
        <v>6.9953063942647109E-2</v>
      </c>
      <c r="J599" s="19">
        <v>0.12193357975858188</v>
      </c>
    </row>
    <row r="600" spans="1:10" ht="11.25" customHeight="1" x14ac:dyDescent="0.2">
      <c r="A600" s="28">
        <v>44652</v>
      </c>
      <c r="B600" s="18">
        <v>0</v>
      </c>
      <c r="C600" s="18">
        <v>0</v>
      </c>
      <c r="D600" s="18">
        <v>17769.694087200001</v>
      </c>
      <c r="E600" s="18">
        <v>20563.167687343615</v>
      </c>
      <c r="F600" s="18">
        <v>12057.425345600001</v>
      </c>
      <c r="G600" s="18">
        <v>12900.879191784452</v>
      </c>
      <c r="H600" s="19">
        <v>0.15720437203000759</v>
      </c>
      <c r="I600" s="19">
        <v>6.9953063942647109E-2</v>
      </c>
      <c r="J600" s="19">
        <v>0.12193357975858188</v>
      </c>
    </row>
    <row r="601" spans="1:10" ht="11.25" customHeight="1" x14ac:dyDescent="0.2">
      <c r="A601" s="28">
        <v>44682</v>
      </c>
      <c r="B601" s="18">
        <v>0</v>
      </c>
      <c r="C601" s="18">
        <v>0</v>
      </c>
      <c r="D601" s="18">
        <v>18490.815096599999</v>
      </c>
      <c r="E601" s="18">
        <v>21397.652072183984</v>
      </c>
      <c r="F601" s="18">
        <v>12546.733866799999</v>
      </c>
      <c r="G601" s="18">
        <v>13424.416343255636</v>
      </c>
      <c r="H601" s="19">
        <v>0.15720437203000737</v>
      </c>
      <c r="I601" s="19">
        <v>6.9953063942647109E-2</v>
      </c>
      <c r="J601" s="19">
        <v>0.12193357975858188</v>
      </c>
    </row>
    <row r="602" spans="1:10" ht="11.25" customHeight="1" x14ac:dyDescent="0.2">
      <c r="A602" s="28">
        <v>44713</v>
      </c>
      <c r="B602" s="18">
        <v>0</v>
      </c>
      <c r="C602" s="18">
        <v>0</v>
      </c>
      <c r="D602" s="18">
        <v>17645.787489000002</v>
      </c>
      <c r="E602" s="18">
        <v>20419.782430183212</v>
      </c>
      <c r="F602" s="18">
        <v>11973.349921999999</v>
      </c>
      <c r="G602" s="18">
        <v>12810.922434701355</v>
      </c>
      <c r="H602" s="19">
        <v>0.15720437203000759</v>
      </c>
      <c r="I602" s="19">
        <v>6.9953063942647109E-2</v>
      </c>
      <c r="J602" s="19">
        <v>0.12193357975858188</v>
      </c>
    </row>
    <row r="603" spans="1:10" ht="11.25" customHeight="1" x14ac:dyDescent="0.2">
      <c r="A603" s="21" t="s">
        <v>44</v>
      </c>
      <c r="B603" s="18">
        <v>0</v>
      </c>
      <c r="C603" s="18">
        <v>0</v>
      </c>
      <c r="D603" s="18">
        <v>996062.09900000005</v>
      </c>
      <c r="E603" s="18">
        <v>1152651.2553745066</v>
      </c>
      <c r="F603" s="18">
        <v>675875.58149999997</v>
      </c>
      <c r="G603" s="18">
        <v>723148.04907211079</v>
      </c>
      <c r="H603" s="19">
        <v>0.15720822680806279</v>
      </c>
      <c r="I603" s="19">
        <v>6.9942558757925433E-2</v>
      </c>
      <c r="J603" s="19">
        <v>0.12193135325812632</v>
      </c>
    </row>
    <row r="604" spans="1:10" ht="11.25" customHeight="1" x14ac:dyDescent="0.2">
      <c r="A604" s="22" t="s">
        <v>23</v>
      </c>
      <c r="B604" s="18">
        <v>0</v>
      </c>
      <c r="C604" s="18">
        <v>0</v>
      </c>
      <c r="D604" s="18">
        <v>996062.09900000005</v>
      </c>
      <c r="E604" s="18">
        <v>1152651.2553745066</v>
      </c>
      <c r="F604" s="18">
        <v>675875.58149999997</v>
      </c>
      <c r="G604" s="18">
        <v>723148.04907211079</v>
      </c>
      <c r="H604" s="19">
        <v>0.15720822680806279</v>
      </c>
      <c r="I604" s="19">
        <v>6.9942558757925433E-2</v>
      </c>
      <c r="J604" s="19">
        <v>0.12193135325812632</v>
      </c>
    </row>
    <row r="605" spans="1:10" ht="11.25" customHeight="1" x14ac:dyDescent="0.2">
      <c r="A605" s="23" t="s">
        <v>45</v>
      </c>
      <c r="B605" s="18">
        <v>0</v>
      </c>
      <c r="C605" s="18">
        <v>0</v>
      </c>
      <c r="D605" s="18">
        <v>996062.09900000005</v>
      </c>
      <c r="E605" s="18">
        <v>1152651.2553745066</v>
      </c>
      <c r="F605" s="18">
        <v>675875.58149999997</v>
      </c>
      <c r="G605" s="18">
        <v>723148.04907211079</v>
      </c>
      <c r="H605" s="19">
        <v>0.15720822680806279</v>
      </c>
      <c r="I605" s="19">
        <v>6.9942558757925433E-2</v>
      </c>
      <c r="J605" s="19">
        <v>0.12193135325812632</v>
      </c>
    </row>
    <row r="606" spans="1:10" ht="11.25" customHeight="1" x14ac:dyDescent="0.2">
      <c r="A606" s="24" t="s">
        <v>46</v>
      </c>
      <c r="B606" s="18">
        <v>0</v>
      </c>
      <c r="C606" s="18">
        <v>0</v>
      </c>
      <c r="D606" s="18">
        <v>996062.09900000005</v>
      </c>
      <c r="E606" s="18">
        <v>1152651.2553745066</v>
      </c>
      <c r="F606" s="18">
        <v>675875.58149999997</v>
      </c>
      <c r="G606" s="18">
        <v>723148.04907211079</v>
      </c>
      <c r="H606" s="19">
        <v>0.15720822680806279</v>
      </c>
      <c r="I606" s="19">
        <v>6.9942558757925433E-2</v>
      </c>
      <c r="J606" s="19">
        <v>0.12193135325812632</v>
      </c>
    </row>
    <row r="607" spans="1:10" ht="11.25" customHeight="1" x14ac:dyDescent="0.2">
      <c r="A607" s="25" t="s">
        <v>25</v>
      </c>
      <c r="B607" s="18">
        <v>0</v>
      </c>
      <c r="C607" s="18">
        <v>0</v>
      </c>
      <c r="D607" s="18">
        <v>996062.09900000005</v>
      </c>
      <c r="E607" s="18">
        <v>1152651.2553745066</v>
      </c>
      <c r="F607" s="18">
        <v>675875.58149999997</v>
      </c>
      <c r="G607" s="18">
        <v>723148.04907211079</v>
      </c>
      <c r="H607" s="19">
        <v>0.15720822680806279</v>
      </c>
      <c r="I607" s="19">
        <v>6.9942558757925433E-2</v>
      </c>
      <c r="J607" s="19">
        <v>0.12193135325812632</v>
      </c>
    </row>
    <row r="608" spans="1:10" ht="11.25" customHeight="1" x14ac:dyDescent="0.2">
      <c r="A608" s="26" t="s">
        <v>25</v>
      </c>
      <c r="B608" s="18">
        <v>0</v>
      </c>
      <c r="C608" s="18">
        <v>0</v>
      </c>
      <c r="D608" s="18">
        <v>996062.09900000005</v>
      </c>
      <c r="E608" s="18">
        <v>1152651.2553745066</v>
      </c>
      <c r="F608" s="18">
        <v>675875.58149999997</v>
      </c>
      <c r="G608" s="18">
        <v>723148.04907211079</v>
      </c>
      <c r="H608" s="19">
        <v>0.15720822680806279</v>
      </c>
      <c r="I608" s="19">
        <v>6.9942558757925433E-2</v>
      </c>
      <c r="J608" s="19">
        <v>0.12193135325812632</v>
      </c>
    </row>
    <row r="609" spans="1:10" ht="11.25" customHeight="1" x14ac:dyDescent="0.2">
      <c r="A609" s="27" t="s">
        <v>25</v>
      </c>
      <c r="B609" s="18">
        <v>0</v>
      </c>
      <c r="C609" s="18">
        <v>0</v>
      </c>
      <c r="D609" s="18">
        <v>996062.09900000005</v>
      </c>
      <c r="E609" s="18">
        <v>1152651.2553745066</v>
      </c>
      <c r="F609" s="18">
        <v>675875.58149999997</v>
      </c>
      <c r="G609" s="18">
        <v>723148.04907211079</v>
      </c>
      <c r="H609" s="19">
        <v>0.15720822680806279</v>
      </c>
      <c r="I609" s="19">
        <v>6.9942558757925433E-2</v>
      </c>
      <c r="J609" s="19">
        <v>0.12193135325812632</v>
      </c>
    </row>
    <row r="610" spans="1:10" ht="11.25" customHeight="1" x14ac:dyDescent="0.2">
      <c r="A610" s="28">
        <v>44378</v>
      </c>
      <c r="B610" s="18">
        <v>0</v>
      </c>
      <c r="C610" s="18">
        <v>0</v>
      </c>
      <c r="D610" s="18">
        <v>91345.606500000009</v>
      </c>
      <c r="E610" s="18">
        <v>105705.88732457203</v>
      </c>
      <c r="F610" s="18">
        <v>61982.345249999998</v>
      </c>
      <c r="G610" s="18">
        <v>66317.549074602153</v>
      </c>
      <c r="H610" s="19">
        <v>0.15720822680806235</v>
      </c>
      <c r="I610" s="19">
        <v>6.9942558757925655E-2</v>
      </c>
      <c r="J610" s="19">
        <v>0.1219313532581261</v>
      </c>
    </row>
    <row r="611" spans="1:10" ht="11.25" customHeight="1" x14ac:dyDescent="0.2">
      <c r="A611" s="28">
        <v>44409</v>
      </c>
      <c r="B611" s="18">
        <v>0</v>
      </c>
      <c r="C611" s="18">
        <v>0</v>
      </c>
      <c r="D611" s="18">
        <v>30761.7942</v>
      </c>
      <c r="E611" s="18">
        <v>35597.801319616541</v>
      </c>
      <c r="F611" s="18">
        <v>20873.342700000001</v>
      </c>
      <c r="G611" s="18">
        <v>22333.277698269063</v>
      </c>
      <c r="H611" s="19">
        <v>0.15720822680806257</v>
      </c>
      <c r="I611" s="19">
        <v>6.9942558757925433E-2</v>
      </c>
      <c r="J611" s="19">
        <v>0.1219313532581261</v>
      </c>
    </row>
    <row r="612" spans="1:10" ht="11.25" customHeight="1" x14ac:dyDescent="0.2">
      <c r="A612" s="28">
        <v>44440</v>
      </c>
      <c r="B612" s="18">
        <v>0</v>
      </c>
      <c r="C612" s="18">
        <v>0</v>
      </c>
      <c r="D612" s="18">
        <v>92802.627200000003</v>
      </c>
      <c r="E612" s="18">
        <v>107391.96366524168</v>
      </c>
      <c r="F612" s="18">
        <v>62971.003199999999</v>
      </c>
      <c r="G612" s="18">
        <v>67375.356291361517</v>
      </c>
      <c r="H612" s="19">
        <v>0.15720822680806257</v>
      </c>
      <c r="I612" s="19">
        <v>6.9942558757925655E-2</v>
      </c>
      <c r="J612" s="19">
        <v>0.12193135325812632</v>
      </c>
    </row>
    <row r="613" spans="1:10" ht="11.25" customHeight="1" x14ac:dyDescent="0.2">
      <c r="A613" s="28">
        <v>44470</v>
      </c>
      <c r="B613" s="18">
        <v>0</v>
      </c>
      <c r="C613" s="18">
        <v>0</v>
      </c>
      <c r="D613" s="18">
        <v>90147.508299999987</v>
      </c>
      <c r="E613" s="18">
        <v>104319.4382310081</v>
      </c>
      <c r="F613" s="18">
        <v>61169.378549999994</v>
      </c>
      <c r="G613" s="18">
        <v>65447.721403419149</v>
      </c>
      <c r="H613" s="19">
        <v>0.15720822680806279</v>
      </c>
      <c r="I613" s="19">
        <v>6.9942558757925433E-2</v>
      </c>
      <c r="J613" s="19">
        <v>0.12193135325812632</v>
      </c>
    </row>
    <row r="614" spans="1:10" ht="11.25" customHeight="1" x14ac:dyDescent="0.2">
      <c r="A614" s="28">
        <v>44501</v>
      </c>
      <c r="B614" s="18">
        <v>0</v>
      </c>
      <c r="C614" s="18">
        <v>0</v>
      </c>
      <c r="D614" s="18">
        <v>92703.861399999994</v>
      </c>
      <c r="E614" s="18">
        <v>107277.6710689544</v>
      </c>
      <c r="F614" s="18">
        <v>62903.985899999992</v>
      </c>
      <c r="G614" s="18">
        <v>67303.651629918459</v>
      </c>
      <c r="H614" s="19">
        <v>0.15720822680806257</v>
      </c>
      <c r="I614" s="19">
        <v>6.9942558757925433E-2</v>
      </c>
      <c r="J614" s="19">
        <v>0.12193135325812632</v>
      </c>
    </row>
    <row r="615" spans="1:10" ht="11.25" customHeight="1" x14ac:dyDescent="0.2">
      <c r="A615" s="28">
        <v>44531</v>
      </c>
      <c r="B615" s="18">
        <v>0</v>
      </c>
      <c r="C615" s="18">
        <v>0</v>
      </c>
      <c r="D615" s="18">
        <v>84513.955100000006</v>
      </c>
      <c r="E615" s="18">
        <v>97800.24412180722</v>
      </c>
      <c r="F615" s="18">
        <v>57346.744350000001</v>
      </c>
      <c r="G615" s="18">
        <v>61357.7223862756</v>
      </c>
      <c r="H615" s="19">
        <v>0.15720822680806257</v>
      </c>
      <c r="I615" s="19">
        <v>6.9942558757925433E-2</v>
      </c>
      <c r="J615" s="19">
        <v>0.1219313532581261</v>
      </c>
    </row>
    <row r="616" spans="1:10" ht="11.25" customHeight="1" x14ac:dyDescent="0.2">
      <c r="A616" s="28">
        <v>44562</v>
      </c>
      <c r="B616" s="18">
        <v>0</v>
      </c>
      <c r="C616" s="18">
        <v>0</v>
      </c>
      <c r="D616" s="18">
        <v>87907.115700000009</v>
      </c>
      <c r="E616" s="18">
        <v>101726.8374830082</v>
      </c>
      <c r="F616" s="18">
        <v>59649.16545</v>
      </c>
      <c r="G616" s="18">
        <v>63821.180709347842</v>
      </c>
      <c r="H616" s="19">
        <v>0.15720822680806257</v>
      </c>
      <c r="I616" s="19">
        <v>6.9942558757925433E-2</v>
      </c>
      <c r="J616" s="19">
        <v>0.12193135325812632</v>
      </c>
    </row>
    <row r="617" spans="1:10" ht="11.25" customHeight="1" x14ac:dyDescent="0.2">
      <c r="A617" s="28">
        <v>44593</v>
      </c>
      <c r="B617" s="18">
        <v>0</v>
      </c>
      <c r="C617" s="18">
        <v>0</v>
      </c>
      <c r="D617" s="18">
        <v>86871.725900000005</v>
      </c>
      <c r="E617" s="18">
        <v>100528.67588849504</v>
      </c>
      <c r="F617" s="18">
        <v>58946.604149999999</v>
      </c>
      <c r="G617" s="18">
        <v>63069.480474341544</v>
      </c>
      <c r="H617" s="19">
        <v>0.15720822680806257</v>
      </c>
      <c r="I617" s="19">
        <v>6.9942558757925433E-2</v>
      </c>
      <c r="J617" s="19">
        <v>0.12193135325812632</v>
      </c>
    </row>
    <row r="618" spans="1:10" ht="11.25" customHeight="1" x14ac:dyDescent="0.2">
      <c r="A618" s="28">
        <v>44621</v>
      </c>
      <c r="B618" s="18">
        <v>0</v>
      </c>
      <c r="C618" s="18">
        <v>0</v>
      </c>
      <c r="D618" s="18">
        <v>79102.850099999996</v>
      </c>
      <c r="E618" s="18">
        <v>91538.468899684958</v>
      </c>
      <c r="F618" s="18">
        <v>53675.051849999996</v>
      </c>
      <c r="G618" s="18">
        <v>57429.222317853317</v>
      </c>
      <c r="H618" s="19">
        <v>0.15720822680806235</v>
      </c>
      <c r="I618" s="19">
        <v>6.9942558757925433E-2</v>
      </c>
      <c r="J618" s="19">
        <v>0.12193135325812587</v>
      </c>
    </row>
    <row r="619" spans="1:10" ht="11.25" customHeight="1" x14ac:dyDescent="0.2">
      <c r="A619" s="28">
        <v>44652</v>
      </c>
      <c r="B619" s="18">
        <v>0</v>
      </c>
      <c r="C619" s="18">
        <v>0</v>
      </c>
      <c r="D619" s="18">
        <v>88264.653900000005</v>
      </c>
      <c r="E619" s="18">
        <v>102140.58362944635</v>
      </c>
      <c r="F619" s="18">
        <v>59891.772149999997</v>
      </c>
      <c r="G619" s="18">
        <v>64080.755942717653</v>
      </c>
      <c r="H619" s="19">
        <v>0.15720822680806257</v>
      </c>
      <c r="I619" s="19">
        <v>6.9942558757925433E-2</v>
      </c>
      <c r="J619" s="19">
        <v>0.1219313532581261</v>
      </c>
    </row>
    <row r="620" spans="1:10" ht="11.25" customHeight="1" x14ac:dyDescent="0.2">
      <c r="A620" s="28">
        <v>44682</v>
      </c>
      <c r="B620" s="18">
        <v>0</v>
      </c>
      <c r="C620" s="18">
        <v>0</v>
      </c>
      <c r="D620" s="18">
        <v>84353.047900000005</v>
      </c>
      <c r="E620" s="18">
        <v>97614.040986214575</v>
      </c>
      <c r="F620" s="18">
        <v>57237.561150000001</v>
      </c>
      <c r="G620" s="18">
        <v>61240.902633894228</v>
      </c>
      <c r="H620" s="19">
        <v>0.15720822680806257</v>
      </c>
      <c r="I620" s="19">
        <v>6.9942558757925433E-2</v>
      </c>
      <c r="J620" s="19">
        <v>0.12193135325812632</v>
      </c>
    </row>
    <row r="621" spans="1:10" ht="11.25" customHeight="1" x14ac:dyDescent="0.2">
      <c r="A621" s="28">
        <v>44713</v>
      </c>
      <c r="B621" s="18">
        <v>0</v>
      </c>
      <c r="C621" s="18">
        <v>0</v>
      </c>
      <c r="D621" s="18">
        <v>87287.352800000008</v>
      </c>
      <c r="E621" s="18">
        <v>101009.64275645778</v>
      </c>
      <c r="F621" s="18">
        <v>59228.626799999998</v>
      </c>
      <c r="G621" s="18">
        <v>63371.228510110232</v>
      </c>
      <c r="H621" s="19">
        <v>0.15720822680806257</v>
      </c>
      <c r="I621" s="19">
        <v>6.9942558757925433E-2</v>
      </c>
      <c r="J621" s="19">
        <v>0.1219313532581261</v>
      </c>
    </row>
    <row r="622" spans="1:10" ht="11.25" customHeight="1" x14ac:dyDescent="0.2">
      <c r="A622" s="20" t="s">
        <v>58</v>
      </c>
      <c r="B622" s="18">
        <v>527684.60000000021</v>
      </c>
      <c r="C622" s="18">
        <v>496379.19353320403</v>
      </c>
      <c r="D622" s="18">
        <v>0</v>
      </c>
      <c r="E622" s="18">
        <v>0</v>
      </c>
      <c r="F622" s="18">
        <v>0</v>
      </c>
      <c r="G622" s="18">
        <v>0</v>
      </c>
      <c r="H622" s="19">
        <v>-5.9325980835514547E-2</v>
      </c>
      <c r="I622" s="19">
        <v>0</v>
      </c>
      <c r="J622" s="19">
        <v>-5.9325980835514547E-2</v>
      </c>
    </row>
    <row r="623" spans="1:10" ht="11.25" customHeight="1" x14ac:dyDescent="0.2">
      <c r="A623" s="21" t="s">
        <v>35</v>
      </c>
      <c r="B623" s="18">
        <v>527684.60000000021</v>
      </c>
      <c r="C623" s="18">
        <v>496379.19353320403</v>
      </c>
      <c r="D623" s="18">
        <v>0</v>
      </c>
      <c r="E623" s="18">
        <v>0</v>
      </c>
      <c r="F623" s="18">
        <v>0</v>
      </c>
      <c r="G623" s="18">
        <v>0</v>
      </c>
      <c r="H623" s="19">
        <v>-5.9325980835514547E-2</v>
      </c>
      <c r="I623" s="19">
        <v>0</v>
      </c>
      <c r="J623" s="19">
        <v>-5.9325980835514547E-2</v>
      </c>
    </row>
    <row r="624" spans="1:10" ht="11.25" customHeight="1" x14ac:dyDescent="0.2">
      <c r="A624" s="22" t="s">
        <v>56</v>
      </c>
      <c r="B624" s="18">
        <v>527684.60000000021</v>
      </c>
      <c r="C624" s="18">
        <v>496379.19353320403</v>
      </c>
      <c r="D624" s="18">
        <v>0</v>
      </c>
      <c r="E624" s="18">
        <v>0</v>
      </c>
      <c r="F624" s="18">
        <v>0</v>
      </c>
      <c r="G624" s="18">
        <v>0</v>
      </c>
      <c r="H624" s="19">
        <v>-5.9325980835514547E-2</v>
      </c>
      <c r="I624" s="19">
        <v>0</v>
      </c>
      <c r="J624" s="19">
        <v>-5.9325980835514547E-2</v>
      </c>
    </row>
    <row r="625" spans="1:10" ht="11.25" customHeight="1" x14ac:dyDescent="0.2">
      <c r="A625" s="23" t="s">
        <v>25</v>
      </c>
      <c r="B625" s="18">
        <v>527684.60000000021</v>
      </c>
      <c r="C625" s="18">
        <v>496379.19353320403</v>
      </c>
      <c r="D625" s="18">
        <v>0</v>
      </c>
      <c r="E625" s="18">
        <v>0</v>
      </c>
      <c r="F625" s="18">
        <v>0</v>
      </c>
      <c r="G625" s="18">
        <v>0</v>
      </c>
      <c r="H625" s="19">
        <v>-5.9325980835514547E-2</v>
      </c>
      <c r="I625" s="19">
        <v>0</v>
      </c>
      <c r="J625" s="19">
        <v>-5.9325980835514547E-2</v>
      </c>
    </row>
    <row r="626" spans="1:10" ht="11.25" customHeight="1" x14ac:dyDescent="0.2">
      <c r="A626" s="24" t="s">
        <v>25</v>
      </c>
      <c r="B626" s="18">
        <v>527684.60000000021</v>
      </c>
      <c r="C626" s="18">
        <v>496379.19353320403</v>
      </c>
      <c r="D626" s="18">
        <v>0</v>
      </c>
      <c r="E626" s="18">
        <v>0</v>
      </c>
      <c r="F626" s="18">
        <v>0</v>
      </c>
      <c r="G626" s="18">
        <v>0</v>
      </c>
      <c r="H626" s="19">
        <v>-5.9325980835514547E-2</v>
      </c>
      <c r="I626" s="19">
        <v>0</v>
      </c>
      <c r="J626" s="19">
        <v>-5.9325980835514547E-2</v>
      </c>
    </row>
    <row r="627" spans="1:10" ht="11.25" customHeight="1" x14ac:dyDescent="0.2">
      <c r="A627" s="25" t="s">
        <v>25</v>
      </c>
      <c r="B627" s="18">
        <v>527684.60000000021</v>
      </c>
      <c r="C627" s="18">
        <v>496379.19353320403</v>
      </c>
      <c r="D627" s="18">
        <v>0</v>
      </c>
      <c r="E627" s="18">
        <v>0</v>
      </c>
      <c r="F627" s="18">
        <v>0</v>
      </c>
      <c r="G627" s="18">
        <v>0</v>
      </c>
      <c r="H627" s="19">
        <v>-5.9325980835514547E-2</v>
      </c>
      <c r="I627" s="19">
        <v>0</v>
      </c>
      <c r="J627" s="19">
        <v>-5.9325980835514547E-2</v>
      </c>
    </row>
    <row r="628" spans="1:10" ht="11.25" customHeight="1" x14ac:dyDescent="0.2">
      <c r="A628" s="26" t="s">
        <v>57</v>
      </c>
      <c r="B628" s="18">
        <v>34885.4</v>
      </c>
      <c r="C628" s="18">
        <v>32815.789428160715</v>
      </c>
      <c r="D628" s="18">
        <v>0</v>
      </c>
      <c r="E628" s="18">
        <v>0</v>
      </c>
      <c r="F628" s="18">
        <v>0</v>
      </c>
      <c r="G628" s="18">
        <v>0</v>
      </c>
      <c r="H628" s="19">
        <v>-5.9325980835515324E-2</v>
      </c>
      <c r="I628" s="19">
        <v>0</v>
      </c>
      <c r="J628" s="19">
        <v>-5.9325980835515324E-2</v>
      </c>
    </row>
    <row r="629" spans="1:10" ht="11.25" customHeight="1" x14ac:dyDescent="0.2">
      <c r="A629" s="27" t="s">
        <v>25</v>
      </c>
      <c r="B629" s="18">
        <v>34885.4</v>
      </c>
      <c r="C629" s="18">
        <v>32815.789428160715</v>
      </c>
      <c r="D629" s="18">
        <v>0</v>
      </c>
      <c r="E629" s="18">
        <v>0</v>
      </c>
      <c r="F629" s="18">
        <v>0</v>
      </c>
      <c r="G629" s="18">
        <v>0</v>
      </c>
      <c r="H629" s="19">
        <v>-5.9325980835515324E-2</v>
      </c>
      <c r="I629" s="19">
        <v>0</v>
      </c>
      <c r="J629" s="19">
        <v>-5.9325980835515324E-2</v>
      </c>
    </row>
    <row r="630" spans="1:10" ht="11.25" customHeight="1" x14ac:dyDescent="0.2">
      <c r="A630" s="28">
        <v>44378</v>
      </c>
      <c r="B630" s="18">
        <v>2848.2</v>
      </c>
      <c r="C630" s="18">
        <v>2679.2277413842849</v>
      </c>
      <c r="D630" s="18">
        <v>0</v>
      </c>
      <c r="E630" s="18">
        <v>0</v>
      </c>
      <c r="F630" s="18">
        <v>0</v>
      </c>
      <c r="G630" s="18">
        <v>0</v>
      </c>
      <c r="H630" s="19">
        <v>-5.9325980835515435E-2</v>
      </c>
      <c r="I630" s="19">
        <v>0</v>
      </c>
      <c r="J630" s="19">
        <v>-5.9325980835515435E-2</v>
      </c>
    </row>
    <row r="631" spans="1:10" ht="11.25" customHeight="1" x14ac:dyDescent="0.2">
      <c r="A631" s="28">
        <v>44409</v>
      </c>
      <c r="B631" s="18">
        <v>2848.2</v>
      </c>
      <c r="C631" s="18">
        <v>2679.2277413842849</v>
      </c>
      <c r="D631" s="18">
        <v>0</v>
      </c>
      <c r="E631" s="18">
        <v>0</v>
      </c>
      <c r="F631" s="18">
        <v>0</v>
      </c>
      <c r="G631" s="18">
        <v>0</v>
      </c>
      <c r="H631" s="19">
        <v>-5.9325980835515435E-2</v>
      </c>
      <c r="I631" s="19">
        <v>0</v>
      </c>
      <c r="J631" s="19">
        <v>-5.9325980835515435E-2</v>
      </c>
    </row>
    <row r="632" spans="1:10" ht="11.25" customHeight="1" x14ac:dyDescent="0.2">
      <c r="A632" s="28">
        <v>44440</v>
      </c>
      <c r="B632" s="18">
        <v>2848.2</v>
      </c>
      <c r="C632" s="18">
        <v>2679.2277413842849</v>
      </c>
      <c r="D632" s="18">
        <v>0</v>
      </c>
      <c r="E632" s="18">
        <v>0</v>
      </c>
      <c r="F632" s="18">
        <v>0</v>
      </c>
      <c r="G632" s="18">
        <v>0</v>
      </c>
      <c r="H632" s="19">
        <v>-5.9325980835515435E-2</v>
      </c>
      <c r="I632" s="19">
        <v>0</v>
      </c>
      <c r="J632" s="19">
        <v>-5.9325980835515435E-2</v>
      </c>
    </row>
    <row r="633" spans="1:10" ht="11.25" customHeight="1" x14ac:dyDescent="0.2">
      <c r="A633" s="28">
        <v>44470</v>
      </c>
      <c r="B633" s="18">
        <v>2848.2</v>
      </c>
      <c r="C633" s="18">
        <v>2679.2277413842849</v>
      </c>
      <c r="D633" s="18">
        <v>0</v>
      </c>
      <c r="E633" s="18">
        <v>0</v>
      </c>
      <c r="F633" s="18">
        <v>0</v>
      </c>
      <c r="G633" s="18">
        <v>0</v>
      </c>
      <c r="H633" s="19">
        <v>-5.9325980835515435E-2</v>
      </c>
      <c r="I633" s="19">
        <v>0</v>
      </c>
      <c r="J633" s="19">
        <v>-5.9325980835515435E-2</v>
      </c>
    </row>
    <row r="634" spans="1:10" ht="11.25" customHeight="1" x14ac:dyDescent="0.2">
      <c r="A634" s="28">
        <v>44501</v>
      </c>
      <c r="B634" s="18">
        <v>2848.2</v>
      </c>
      <c r="C634" s="18">
        <v>2679.2277413842849</v>
      </c>
      <c r="D634" s="18">
        <v>0</v>
      </c>
      <c r="E634" s="18">
        <v>0</v>
      </c>
      <c r="F634" s="18">
        <v>0</v>
      </c>
      <c r="G634" s="18">
        <v>0</v>
      </c>
      <c r="H634" s="19">
        <v>-5.9325980835515435E-2</v>
      </c>
      <c r="I634" s="19">
        <v>0</v>
      </c>
      <c r="J634" s="19">
        <v>-5.9325980835515435E-2</v>
      </c>
    </row>
    <row r="635" spans="1:10" ht="11.25" customHeight="1" x14ac:dyDescent="0.2">
      <c r="A635" s="28">
        <v>44531</v>
      </c>
      <c r="B635" s="18">
        <v>2848.2</v>
      </c>
      <c r="C635" s="18">
        <v>2679.2277413842849</v>
      </c>
      <c r="D635" s="18">
        <v>0</v>
      </c>
      <c r="E635" s="18">
        <v>0</v>
      </c>
      <c r="F635" s="18">
        <v>0</v>
      </c>
      <c r="G635" s="18">
        <v>0</v>
      </c>
      <c r="H635" s="19">
        <v>-5.9325980835515435E-2</v>
      </c>
      <c r="I635" s="19">
        <v>0</v>
      </c>
      <c r="J635" s="19">
        <v>-5.9325980835515435E-2</v>
      </c>
    </row>
    <row r="636" spans="1:10" ht="11.25" customHeight="1" x14ac:dyDescent="0.2">
      <c r="A636" s="28">
        <v>44562</v>
      </c>
      <c r="B636" s="18">
        <v>2848.2</v>
      </c>
      <c r="C636" s="18">
        <v>2679.2277413842849</v>
      </c>
      <c r="D636" s="18">
        <v>0</v>
      </c>
      <c r="E636" s="18">
        <v>0</v>
      </c>
      <c r="F636" s="18">
        <v>0</v>
      </c>
      <c r="G636" s="18">
        <v>0</v>
      </c>
      <c r="H636" s="19">
        <v>-5.9325980835515435E-2</v>
      </c>
      <c r="I636" s="19">
        <v>0</v>
      </c>
      <c r="J636" s="19">
        <v>-5.9325980835515435E-2</v>
      </c>
    </row>
    <row r="637" spans="1:10" ht="11.25" customHeight="1" x14ac:dyDescent="0.2">
      <c r="A637" s="28">
        <v>44593</v>
      </c>
      <c r="B637" s="18">
        <v>2848.2</v>
      </c>
      <c r="C637" s="18">
        <v>2679.2277413842849</v>
      </c>
      <c r="D637" s="18">
        <v>0</v>
      </c>
      <c r="E637" s="18">
        <v>0</v>
      </c>
      <c r="F637" s="18">
        <v>0</v>
      </c>
      <c r="G637" s="18">
        <v>0</v>
      </c>
      <c r="H637" s="19">
        <v>-5.9325980835515435E-2</v>
      </c>
      <c r="I637" s="19">
        <v>0</v>
      </c>
      <c r="J637" s="19">
        <v>-5.9325980835515435E-2</v>
      </c>
    </row>
    <row r="638" spans="1:10" ht="11.25" customHeight="1" x14ac:dyDescent="0.2">
      <c r="A638" s="28">
        <v>44621</v>
      </c>
      <c r="B638" s="18">
        <v>2848.2</v>
      </c>
      <c r="C638" s="18">
        <v>2679.2277413842849</v>
      </c>
      <c r="D638" s="18">
        <v>0</v>
      </c>
      <c r="E638" s="18">
        <v>0</v>
      </c>
      <c r="F638" s="18">
        <v>0</v>
      </c>
      <c r="G638" s="18">
        <v>0</v>
      </c>
      <c r="H638" s="19">
        <v>-5.9325980835515435E-2</v>
      </c>
      <c r="I638" s="19">
        <v>0</v>
      </c>
      <c r="J638" s="19">
        <v>-5.9325980835515435E-2</v>
      </c>
    </row>
    <row r="639" spans="1:10" ht="11.25" customHeight="1" x14ac:dyDescent="0.2">
      <c r="A639" s="28">
        <v>44652</v>
      </c>
      <c r="B639" s="18">
        <v>2848.2</v>
      </c>
      <c r="C639" s="18">
        <v>2679.2277413842849</v>
      </c>
      <c r="D639" s="18">
        <v>0</v>
      </c>
      <c r="E639" s="18">
        <v>0</v>
      </c>
      <c r="F639" s="18">
        <v>0</v>
      </c>
      <c r="G639" s="18">
        <v>0</v>
      </c>
      <c r="H639" s="19">
        <v>-5.9325980835515435E-2</v>
      </c>
      <c r="I639" s="19">
        <v>0</v>
      </c>
      <c r="J639" s="19">
        <v>-5.9325980835515435E-2</v>
      </c>
    </row>
    <row r="640" spans="1:10" ht="11.25" customHeight="1" x14ac:dyDescent="0.2">
      <c r="A640" s="28">
        <v>44682</v>
      </c>
      <c r="B640" s="18">
        <v>2848.2</v>
      </c>
      <c r="C640" s="18">
        <v>2679.2277413842849</v>
      </c>
      <c r="D640" s="18">
        <v>0</v>
      </c>
      <c r="E640" s="18">
        <v>0</v>
      </c>
      <c r="F640" s="18">
        <v>0</v>
      </c>
      <c r="G640" s="18">
        <v>0</v>
      </c>
      <c r="H640" s="19">
        <v>-5.9325980835515435E-2</v>
      </c>
      <c r="I640" s="19">
        <v>0</v>
      </c>
      <c r="J640" s="19">
        <v>-5.9325980835515435E-2</v>
      </c>
    </row>
    <row r="641" spans="1:10" ht="11.25" customHeight="1" x14ac:dyDescent="0.2">
      <c r="A641" s="28">
        <v>44713</v>
      </c>
      <c r="B641" s="18">
        <v>3555.2</v>
      </c>
      <c r="C641" s="18">
        <v>3344.2842729335753</v>
      </c>
      <c r="D641" s="18">
        <v>0</v>
      </c>
      <c r="E641" s="18">
        <v>0</v>
      </c>
      <c r="F641" s="18">
        <v>0</v>
      </c>
      <c r="G641" s="18">
        <v>0</v>
      </c>
      <c r="H641" s="19">
        <v>-5.9325980835515435E-2</v>
      </c>
      <c r="I641" s="19">
        <v>0</v>
      </c>
      <c r="J641" s="19">
        <v>-5.9325980835515435E-2</v>
      </c>
    </row>
    <row r="642" spans="1:10" ht="11.25" customHeight="1" x14ac:dyDescent="0.2">
      <c r="A642" s="26" t="s">
        <v>60</v>
      </c>
      <c r="B642" s="18">
        <v>42662.399999999994</v>
      </c>
      <c r="C642" s="18">
        <v>40131.411275202903</v>
      </c>
      <c r="D642" s="18">
        <v>0</v>
      </c>
      <c r="E642" s="18">
        <v>0</v>
      </c>
      <c r="F642" s="18">
        <v>0</v>
      </c>
      <c r="G642" s="18">
        <v>0</v>
      </c>
      <c r="H642" s="19">
        <v>-5.9325980835515435E-2</v>
      </c>
      <c r="I642" s="19">
        <v>0</v>
      </c>
      <c r="J642" s="19">
        <v>-5.9325980835515435E-2</v>
      </c>
    </row>
    <row r="643" spans="1:10" ht="11.25" customHeight="1" x14ac:dyDescent="0.2">
      <c r="A643" s="27" t="s">
        <v>25</v>
      </c>
      <c r="B643" s="18">
        <v>42662.399999999994</v>
      </c>
      <c r="C643" s="18">
        <v>40131.411275202903</v>
      </c>
      <c r="D643" s="18">
        <v>0</v>
      </c>
      <c r="E643" s="18">
        <v>0</v>
      </c>
      <c r="F643" s="18">
        <v>0</v>
      </c>
      <c r="G643" s="18">
        <v>0</v>
      </c>
      <c r="H643" s="19">
        <v>-5.9325980835515435E-2</v>
      </c>
      <c r="I643" s="19">
        <v>0</v>
      </c>
      <c r="J643" s="19">
        <v>-5.9325980835515435E-2</v>
      </c>
    </row>
    <row r="644" spans="1:10" ht="11.25" customHeight="1" x14ac:dyDescent="0.2">
      <c r="A644" s="28">
        <v>44378</v>
      </c>
      <c r="B644" s="18">
        <v>3555.2</v>
      </c>
      <c r="C644" s="18">
        <v>3344.2842729335753</v>
      </c>
      <c r="D644" s="18">
        <v>0</v>
      </c>
      <c r="E644" s="18">
        <v>0</v>
      </c>
      <c r="F644" s="18">
        <v>0</v>
      </c>
      <c r="G644" s="18">
        <v>0</v>
      </c>
      <c r="H644" s="19">
        <v>-5.9325980835515435E-2</v>
      </c>
      <c r="I644" s="19">
        <v>0</v>
      </c>
      <c r="J644" s="19">
        <v>-5.9325980835515435E-2</v>
      </c>
    </row>
    <row r="645" spans="1:10" ht="11.25" customHeight="1" x14ac:dyDescent="0.2">
      <c r="A645" s="28">
        <v>44409</v>
      </c>
      <c r="B645" s="18">
        <v>3555.2</v>
      </c>
      <c r="C645" s="18">
        <v>3344.2842729335753</v>
      </c>
      <c r="D645" s="18">
        <v>0</v>
      </c>
      <c r="E645" s="18">
        <v>0</v>
      </c>
      <c r="F645" s="18">
        <v>0</v>
      </c>
      <c r="G645" s="18">
        <v>0</v>
      </c>
      <c r="H645" s="19">
        <v>-5.9325980835515435E-2</v>
      </c>
      <c r="I645" s="19">
        <v>0</v>
      </c>
      <c r="J645" s="19">
        <v>-5.9325980835515435E-2</v>
      </c>
    </row>
    <row r="646" spans="1:10" ht="11.25" customHeight="1" x14ac:dyDescent="0.2">
      <c r="A646" s="28">
        <v>44440</v>
      </c>
      <c r="B646" s="18">
        <v>3555.2</v>
      </c>
      <c r="C646" s="18">
        <v>3344.2842729335753</v>
      </c>
      <c r="D646" s="18">
        <v>0</v>
      </c>
      <c r="E646" s="18">
        <v>0</v>
      </c>
      <c r="F646" s="18">
        <v>0</v>
      </c>
      <c r="G646" s="18">
        <v>0</v>
      </c>
      <c r="H646" s="19">
        <v>-5.9325980835515435E-2</v>
      </c>
      <c r="I646" s="19">
        <v>0</v>
      </c>
      <c r="J646" s="19">
        <v>-5.9325980835515435E-2</v>
      </c>
    </row>
    <row r="647" spans="1:10" ht="11.25" customHeight="1" x14ac:dyDescent="0.2">
      <c r="A647" s="28">
        <v>44470</v>
      </c>
      <c r="B647" s="18">
        <v>3555.2</v>
      </c>
      <c r="C647" s="18">
        <v>3344.2842729335753</v>
      </c>
      <c r="D647" s="18">
        <v>0</v>
      </c>
      <c r="E647" s="18">
        <v>0</v>
      </c>
      <c r="F647" s="18">
        <v>0</v>
      </c>
      <c r="G647" s="18">
        <v>0</v>
      </c>
      <c r="H647" s="19">
        <v>-5.9325980835515435E-2</v>
      </c>
      <c r="I647" s="19">
        <v>0</v>
      </c>
      <c r="J647" s="19">
        <v>-5.9325980835515435E-2</v>
      </c>
    </row>
    <row r="648" spans="1:10" ht="11.25" customHeight="1" x14ac:dyDescent="0.2">
      <c r="A648" s="28">
        <v>44501</v>
      </c>
      <c r="B648" s="18">
        <v>3555.2</v>
      </c>
      <c r="C648" s="18">
        <v>3344.2842729335753</v>
      </c>
      <c r="D648" s="18">
        <v>0</v>
      </c>
      <c r="E648" s="18">
        <v>0</v>
      </c>
      <c r="F648" s="18">
        <v>0</v>
      </c>
      <c r="G648" s="18">
        <v>0</v>
      </c>
      <c r="H648" s="19">
        <v>-5.9325980835515435E-2</v>
      </c>
      <c r="I648" s="19">
        <v>0</v>
      </c>
      <c r="J648" s="19">
        <v>-5.9325980835515435E-2</v>
      </c>
    </row>
    <row r="649" spans="1:10" ht="11.25" customHeight="1" x14ac:dyDescent="0.2">
      <c r="A649" s="28">
        <v>44531</v>
      </c>
      <c r="B649" s="18">
        <v>3555.2</v>
      </c>
      <c r="C649" s="18">
        <v>3344.2842729335753</v>
      </c>
      <c r="D649" s="18">
        <v>0</v>
      </c>
      <c r="E649" s="18">
        <v>0</v>
      </c>
      <c r="F649" s="18">
        <v>0</v>
      </c>
      <c r="G649" s="18">
        <v>0</v>
      </c>
      <c r="H649" s="19">
        <v>-5.9325980835515435E-2</v>
      </c>
      <c r="I649" s="19">
        <v>0</v>
      </c>
      <c r="J649" s="19">
        <v>-5.9325980835515435E-2</v>
      </c>
    </row>
    <row r="650" spans="1:10" ht="11.25" customHeight="1" x14ac:dyDescent="0.2">
      <c r="A650" s="28">
        <v>44562</v>
      </c>
      <c r="B650" s="18">
        <v>3555.2</v>
      </c>
      <c r="C650" s="18">
        <v>3344.2842729335753</v>
      </c>
      <c r="D650" s="18">
        <v>0</v>
      </c>
      <c r="E650" s="18">
        <v>0</v>
      </c>
      <c r="F650" s="18">
        <v>0</v>
      </c>
      <c r="G650" s="18">
        <v>0</v>
      </c>
      <c r="H650" s="19">
        <v>-5.9325980835515435E-2</v>
      </c>
      <c r="I650" s="19">
        <v>0</v>
      </c>
      <c r="J650" s="19">
        <v>-5.9325980835515435E-2</v>
      </c>
    </row>
    <row r="651" spans="1:10" ht="11.25" customHeight="1" x14ac:dyDescent="0.2">
      <c r="A651" s="28">
        <v>44593</v>
      </c>
      <c r="B651" s="18">
        <v>3555.2</v>
      </c>
      <c r="C651" s="18">
        <v>3344.2842729335753</v>
      </c>
      <c r="D651" s="18">
        <v>0</v>
      </c>
      <c r="E651" s="18">
        <v>0</v>
      </c>
      <c r="F651" s="18">
        <v>0</v>
      </c>
      <c r="G651" s="18">
        <v>0</v>
      </c>
      <c r="H651" s="19">
        <v>-5.9325980835515435E-2</v>
      </c>
      <c r="I651" s="19">
        <v>0</v>
      </c>
      <c r="J651" s="19">
        <v>-5.9325980835515435E-2</v>
      </c>
    </row>
    <row r="652" spans="1:10" ht="11.25" customHeight="1" x14ac:dyDescent="0.2">
      <c r="A652" s="28">
        <v>44621</v>
      </c>
      <c r="B652" s="18">
        <v>3555.2</v>
      </c>
      <c r="C652" s="18">
        <v>3344.2842729335753</v>
      </c>
      <c r="D652" s="18">
        <v>0</v>
      </c>
      <c r="E652" s="18">
        <v>0</v>
      </c>
      <c r="F652" s="18">
        <v>0</v>
      </c>
      <c r="G652" s="18">
        <v>0</v>
      </c>
      <c r="H652" s="19">
        <v>-5.9325980835515435E-2</v>
      </c>
      <c r="I652" s="19">
        <v>0</v>
      </c>
      <c r="J652" s="19">
        <v>-5.9325980835515435E-2</v>
      </c>
    </row>
    <row r="653" spans="1:10" ht="11.25" customHeight="1" x14ac:dyDescent="0.2">
      <c r="A653" s="28">
        <v>44652</v>
      </c>
      <c r="B653" s="18">
        <v>3555.2</v>
      </c>
      <c r="C653" s="18">
        <v>3344.2842729335753</v>
      </c>
      <c r="D653" s="18">
        <v>0</v>
      </c>
      <c r="E653" s="18">
        <v>0</v>
      </c>
      <c r="F653" s="18">
        <v>0</v>
      </c>
      <c r="G653" s="18">
        <v>0</v>
      </c>
      <c r="H653" s="19">
        <v>-5.9325980835515435E-2</v>
      </c>
      <c r="I653" s="19">
        <v>0</v>
      </c>
      <c r="J653" s="19">
        <v>-5.9325980835515435E-2</v>
      </c>
    </row>
    <row r="654" spans="1:10" ht="11.25" customHeight="1" x14ac:dyDescent="0.2">
      <c r="A654" s="28">
        <v>44682</v>
      </c>
      <c r="B654" s="18">
        <v>3555.2</v>
      </c>
      <c r="C654" s="18">
        <v>3344.2842729335753</v>
      </c>
      <c r="D654" s="18">
        <v>0</v>
      </c>
      <c r="E654" s="18">
        <v>0</v>
      </c>
      <c r="F654" s="18">
        <v>0</v>
      </c>
      <c r="G654" s="18">
        <v>0</v>
      </c>
      <c r="H654" s="19">
        <v>-5.9325980835515435E-2</v>
      </c>
      <c r="I654" s="19">
        <v>0</v>
      </c>
      <c r="J654" s="19">
        <v>-5.9325980835515435E-2</v>
      </c>
    </row>
    <row r="655" spans="1:10" ht="11.25" customHeight="1" x14ac:dyDescent="0.2">
      <c r="A655" s="28">
        <v>44713</v>
      </c>
      <c r="B655" s="18">
        <v>3555.2</v>
      </c>
      <c r="C655" s="18">
        <v>3344.2842729335753</v>
      </c>
      <c r="D655" s="18">
        <v>0</v>
      </c>
      <c r="E655" s="18">
        <v>0</v>
      </c>
      <c r="F655" s="18">
        <v>0</v>
      </c>
      <c r="G655" s="18">
        <v>0</v>
      </c>
      <c r="H655" s="19">
        <v>-5.9325980835515435E-2</v>
      </c>
      <c r="I655" s="19">
        <v>0</v>
      </c>
      <c r="J655" s="19">
        <v>-5.9325980835515435E-2</v>
      </c>
    </row>
    <row r="656" spans="1:10" ht="11.25" customHeight="1" x14ac:dyDescent="0.2">
      <c r="A656" s="26" t="s">
        <v>64</v>
      </c>
      <c r="B656" s="18">
        <v>53328</v>
      </c>
      <c r="C656" s="18">
        <v>50164.264094003644</v>
      </c>
      <c r="D656" s="18">
        <v>0</v>
      </c>
      <c r="E656" s="18">
        <v>0</v>
      </c>
      <c r="F656" s="18">
        <v>0</v>
      </c>
      <c r="G656" s="18">
        <v>0</v>
      </c>
      <c r="H656" s="19">
        <v>-5.9325980835515213E-2</v>
      </c>
      <c r="I656" s="19">
        <v>0</v>
      </c>
      <c r="J656" s="19">
        <v>-5.9325980835515213E-2</v>
      </c>
    </row>
    <row r="657" spans="1:10" ht="11.25" customHeight="1" x14ac:dyDescent="0.2">
      <c r="A657" s="27" t="s">
        <v>25</v>
      </c>
      <c r="B657" s="18">
        <v>53328</v>
      </c>
      <c r="C657" s="18">
        <v>50164.264094003644</v>
      </c>
      <c r="D657" s="18">
        <v>0</v>
      </c>
      <c r="E657" s="18">
        <v>0</v>
      </c>
      <c r="F657" s="18">
        <v>0</v>
      </c>
      <c r="G657" s="18">
        <v>0</v>
      </c>
      <c r="H657" s="19">
        <v>-5.9325980835515213E-2</v>
      </c>
      <c r="I657" s="19">
        <v>0</v>
      </c>
      <c r="J657" s="19">
        <v>-5.9325980835515213E-2</v>
      </c>
    </row>
    <row r="658" spans="1:10" ht="11.25" customHeight="1" x14ac:dyDescent="0.2">
      <c r="A658" s="28">
        <v>44378</v>
      </c>
      <c r="B658" s="18">
        <v>4444</v>
      </c>
      <c r="C658" s="18">
        <v>4180.3553411669691</v>
      </c>
      <c r="D658" s="18">
        <v>0</v>
      </c>
      <c r="E658" s="18">
        <v>0</v>
      </c>
      <c r="F658" s="18">
        <v>0</v>
      </c>
      <c r="G658" s="18">
        <v>0</v>
      </c>
      <c r="H658" s="19">
        <v>-5.9325980835515546E-2</v>
      </c>
      <c r="I658" s="19">
        <v>0</v>
      </c>
      <c r="J658" s="19">
        <v>-5.9325980835515546E-2</v>
      </c>
    </row>
    <row r="659" spans="1:10" ht="11.25" customHeight="1" x14ac:dyDescent="0.2">
      <c r="A659" s="28">
        <v>44409</v>
      </c>
      <c r="B659" s="18">
        <v>4444</v>
      </c>
      <c r="C659" s="18">
        <v>4180.3553411669691</v>
      </c>
      <c r="D659" s="18">
        <v>0</v>
      </c>
      <c r="E659" s="18">
        <v>0</v>
      </c>
      <c r="F659" s="18">
        <v>0</v>
      </c>
      <c r="G659" s="18">
        <v>0</v>
      </c>
      <c r="H659" s="19">
        <v>-5.9325980835515546E-2</v>
      </c>
      <c r="I659" s="19">
        <v>0</v>
      </c>
      <c r="J659" s="19">
        <v>-5.9325980835515546E-2</v>
      </c>
    </row>
    <row r="660" spans="1:10" ht="11.25" customHeight="1" x14ac:dyDescent="0.2">
      <c r="A660" s="28">
        <v>44440</v>
      </c>
      <c r="B660" s="18">
        <v>4444</v>
      </c>
      <c r="C660" s="18">
        <v>4180.3553411669691</v>
      </c>
      <c r="D660" s="18">
        <v>0</v>
      </c>
      <c r="E660" s="18">
        <v>0</v>
      </c>
      <c r="F660" s="18">
        <v>0</v>
      </c>
      <c r="G660" s="18">
        <v>0</v>
      </c>
      <c r="H660" s="19">
        <v>-5.9325980835515546E-2</v>
      </c>
      <c r="I660" s="19">
        <v>0</v>
      </c>
      <c r="J660" s="19">
        <v>-5.9325980835515546E-2</v>
      </c>
    </row>
    <row r="661" spans="1:10" ht="11.25" customHeight="1" x14ac:dyDescent="0.2">
      <c r="A661" s="28">
        <v>44470</v>
      </c>
      <c r="B661" s="18">
        <v>4444</v>
      </c>
      <c r="C661" s="18">
        <v>4180.3553411669691</v>
      </c>
      <c r="D661" s="18">
        <v>0</v>
      </c>
      <c r="E661" s="18">
        <v>0</v>
      </c>
      <c r="F661" s="18">
        <v>0</v>
      </c>
      <c r="G661" s="18">
        <v>0</v>
      </c>
      <c r="H661" s="19">
        <v>-5.9325980835515546E-2</v>
      </c>
      <c r="I661" s="19">
        <v>0</v>
      </c>
      <c r="J661" s="19">
        <v>-5.9325980835515546E-2</v>
      </c>
    </row>
    <row r="662" spans="1:10" ht="11.25" customHeight="1" x14ac:dyDescent="0.2">
      <c r="A662" s="28">
        <v>44501</v>
      </c>
      <c r="B662" s="18">
        <v>4444</v>
      </c>
      <c r="C662" s="18">
        <v>4180.3553411669691</v>
      </c>
      <c r="D662" s="18">
        <v>0</v>
      </c>
      <c r="E662" s="18">
        <v>0</v>
      </c>
      <c r="F662" s="18">
        <v>0</v>
      </c>
      <c r="G662" s="18">
        <v>0</v>
      </c>
      <c r="H662" s="19">
        <v>-5.9325980835515546E-2</v>
      </c>
      <c r="I662" s="19">
        <v>0</v>
      </c>
      <c r="J662" s="19">
        <v>-5.9325980835515546E-2</v>
      </c>
    </row>
    <row r="663" spans="1:10" ht="11.25" customHeight="1" x14ac:dyDescent="0.2">
      <c r="A663" s="28">
        <v>44531</v>
      </c>
      <c r="B663" s="18">
        <v>4444</v>
      </c>
      <c r="C663" s="18">
        <v>4180.3553411669691</v>
      </c>
      <c r="D663" s="18">
        <v>0</v>
      </c>
      <c r="E663" s="18">
        <v>0</v>
      </c>
      <c r="F663" s="18">
        <v>0</v>
      </c>
      <c r="G663" s="18">
        <v>0</v>
      </c>
      <c r="H663" s="19">
        <v>-5.9325980835515546E-2</v>
      </c>
      <c r="I663" s="19">
        <v>0</v>
      </c>
      <c r="J663" s="19">
        <v>-5.9325980835515546E-2</v>
      </c>
    </row>
    <row r="664" spans="1:10" ht="11.25" customHeight="1" x14ac:dyDescent="0.2">
      <c r="A664" s="28">
        <v>44562</v>
      </c>
      <c r="B664" s="18">
        <v>4444</v>
      </c>
      <c r="C664" s="18">
        <v>4180.3553411669691</v>
      </c>
      <c r="D664" s="18">
        <v>0</v>
      </c>
      <c r="E664" s="18">
        <v>0</v>
      </c>
      <c r="F664" s="18">
        <v>0</v>
      </c>
      <c r="G664" s="18">
        <v>0</v>
      </c>
      <c r="H664" s="19">
        <v>-5.9325980835515546E-2</v>
      </c>
      <c r="I664" s="19">
        <v>0</v>
      </c>
      <c r="J664" s="19">
        <v>-5.9325980835515546E-2</v>
      </c>
    </row>
    <row r="665" spans="1:10" ht="11.25" customHeight="1" x14ac:dyDescent="0.2">
      <c r="A665" s="28">
        <v>44593</v>
      </c>
      <c r="B665" s="18">
        <v>4444</v>
      </c>
      <c r="C665" s="18">
        <v>4180.3553411669691</v>
      </c>
      <c r="D665" s="18">
        <v>0</v>
      </c>
      <c r="E665" s="18">
        <v>0</v>
      </c>
      <c r="F665" s="18">
        <v>0</v>
      </c>
      <c r="G665" s="18">
        <v>0</v>
      </c>
      <c r="H665" s="19">
        <v>-5.9325980835515546E-2</v>
      </c>
      <c r="I665" s="19">
        <v>0</v>
      </c>
      <c r="J665" s="19">
        <v>-5.9325980835515546E-2</v>
      </c>
    </row>
    <row r="666" spans="1:10" ht="11.25" customHeight="1" x14ac:dyDescent="0.2">
      <c r="A666" s="28">
        <v>44621</v>
      </c>
      <c r="B666" s="18">
        <v>4444</v>
      </c>
      <c r="C666" s="18">
        <v>4180.3553411669691</v>
      </c>
      <c r="D666" s="18">
        <v>0</v>
      </c>
      <c r="E666" s="18">
        <v>0</v>
      </c>
      <c r="F666" s="18">
        <v>0</v>
      </c>
      <c r="G666" s="18">
        <v>0</v>
      </c>
      <c r="H666" s="19">
        <v>-5.9325980835515546E-2</v>
      </c>
      <c r="I666" s="19">
        <v>0</v>
      </c>
      <c r="J666" s="19">
        <v>-5.9325980835515546E-2</v>
      </c>
    </row>
    <row r="667" spans="1:10" ht="11.25" customHeight="1" x14ac:dyDescent="0.2">
      <c r="A667" s="28">
        <v>44652</v>
      </c>
      <c r="B667" s="18">
        <v>4444</v>
      </c>
      <c r="C667" s="18">
        <v>4180.3553411669691</v>
      </c>
      <c r="D667" s="18">
        <v>0</v>
      </c>
      <c r="E667" s="18">
        <v>0</v>
      </c>
      <c r="F667" s="18">
        <v>0</v>
      </c>
      <c r="G667" s="18">
        <v>0</v>
      </c>
      <c r="H667" s="19">
        <v>-5.9325980835515546E-2</v>
      </c>
      <c r="I667" s="19">
        <v>0</v>
      </c>
      <c r="J667" s="19">
        <v>-5.9325980835515546E-2</v>
      </c>
    </row>
    <row r="668" spans="1:10" ht="11.25" customHeight="1" x14ac:dyDescent="0.2">
      <c r="A668" s="28">
        <v>44682</v>
      </c>
      <c r="B668" s="18">
        <v>4444</v>
      </c>
      <c r="C668" s="18">
        <v>4180.3553411669691</v>
      </c>
      <c r="D668" s="18">
        <v>0</v>
      </c>
      <c r="E668" s="18">
        <v>0</v>
      </c>
      <c r="F668" s="18">
        <v>0</v>
      </c>
      <c r="G668" s="18">
        <v>0</v>
      </c>
      <c r="H668" s="19">
        <v>-5.9325980835515546E-2</v>
      </c>
      <c r="I668" s="19">
        <v>0</v>
      </c>
      <c r="J668" s="19">
        <v>-5.9325980835515546E-2</v>
      </c>
    </row>
    <row r="669" spans="1:10" ht="11.25" customHeight="1" x14ac:dyDescent="0.2">
      <c r="A669" s="28">
        <v>44713</v>
      </c>
      <c r="B669" s="18">
        <v>4444</v>
      </c>
      <c r="C669" s="18">
        <v>4180.3553411669691</v>
      </c>
      <c r="D669" s="18">
        <v>0</v>
      </c>
      <c r="E669" s="18">
        <v>0</v>
      </c>
      <c r="F669" s="18">
        <v>0</v>
      </c>
      <c r="G669" s="18">
        <v>0</v>
      </c>
      <c r="H669" s="19">
        <v>-5.9325980835515546E-2</v>
      </c>
      <c r="I669" s="19">
        <v>0</v>
      </c>
      <c r="J669" s="19">
        <v>-5.9325980835515546E-2</v>
      </c>
    </row>
    <row r="670" spans="1:10" ht="11.25" customHeight="1" x14ac:dyDescent="0.2">
      <c r="A670" s="26" t="s">
        <v>62</v>
      </c>
      <c r="B670" s="18">
        <v>62054.399999999987</v>
      </c>
      <c r="C670" s="18">
        <v>58372.961854840578</v>
      </c>
      <c r="D670" s="18">
        <v>0</v>
      </c>
      <c r="E670" s="18">
        <v>0</v>
      </c>
      <c r="F670" s="18">
        <v>0</v>
      </c>
      <c r="G670" s="18">
        <v>0</v>
      </c>
      <c r="H670" s="19">
        <v>-5.9325980835515435E-2</v>
      </c>
      <c r="I670" s="19">
        <v>0</v>
      </c>
      <c r="J670" s="19">
        <v>-5.9325980835515435E-2</v>
      </c>
    </row>
    <row r="671" spans="1:10" ht="11.25" customHeight="1" x14ac:dyDescent="0.2">
      <c r="A671" s="27" t="s">
        <v>25</v>
      </c>
      <c r="B671" s="18">
        <v>62054.399999999987</v>
      </c>
      <c r="C671" s="18">
        <v>58372.961854840578</v>
      </c>
      <c r="D671" s="18">
        <v>0</v>
      </c>
      <c r="E671" s="18">
        <v>0</v>
      </c>
      <c r="F671" s="18">
        <v>0</v>
      </c>
      <c r="G671" s="18">
        <v>0</v>
      </c>
      <c r="H671" s="19">
        <v>-5.9325980835515435E-2</v>
      </c>
      <c r="I671" s="19">
        <v>0</v>
      </c>
      <c r="J671" s="19">
        <v>-5.9325980835515435E-2</v>
      </c>
    </row>
    <row r="672" spans="1:10" ht="11.25" customHeight="1" x14ac:dyDescent="0.2">
      <c r="A672" s="28">
        <v>44378</v>
      </c>
      <c r="B672" s="18">
        <v>5171.2</v>
      </c>
      <c r="C672" s="18">
        <v>4864.4134879033827</v>
      </c>
      <c r="D672" s="18">
        <v>0</v>
      </c>
      <c r="E672" s="18">
        <v>0</v>
      </c>
      <c r="F672" s="18">
        <v>0</v>
      </c>
      <c r="G672" s="18">
        <v>0</v>
      </c>
      <c r="H672" s="19">
        <v>-5.9325980835515324E-2</v>
      </c>
      <c r="I672" s="19">
        <v>0</v>
      </c>
      <c r="J672" s="19">
        <v>-5.9325980835515324E-2</v>
      </c>
    </row>
    <row r="673" spans="1:10" ht="11.25" customHeight="1" x14ac:dyDescent="0.2">
      <c r="A673" s="28">
        <v>44409</v>
      </c>
      <c r="B673" s="18">
        <v>5171.2</v>
      </c>
      <c r="C673" s="18">
        <v>4864.4134879033827</v>
      </c>
      <c r="D673" s="18">
        <v>0</v>
      </c>
      <c r="E673" s="18">
        <v>0</v>
      </c>
      <c r="F673" s="18">
        <v>0</v>
      </c>
      <c r="G673" s="18">
        <v>0</v>
      </c>
      <c r="H673" s="19">
        <v>-5.9325980835515324E-2</v>
      </c>
      <c r="I673" s="19">
        <v>0</v>
      </c>
      <c r="J673" s="19">
        <v>-5.9325980835515324E-2</v>
      </c>
    </row>
    <row r="674" spans="1:10" ht="11.25" customHeight="1" x14ac:dyDescent="0.2">
      <c r="A674" s="28">
        <v>44440</v>
      </c>
      <c r="B674" s="18">
        <v>5171.2</v>
      </c>
      <c r="C674" s="18">
        <v>4864.4134879033827</v>
      </c>
      <c r="D674" s="18">
        <v>0</v>
      </c>
      <c r="E674" s="18">
        <v>0</v>
      </c>
      <c r="F674" s="18">
        <v>0</v>
      </c>
      <c r="G674" s="18">
        <v>0</v>
      </c>
      <c r="H674" s="19">
        <v>-5.9325980835515324E-2</v>
      </c>
      <c r="I674" s="19">
        <v>0</v>
      </c>
      <c r="J674" s="19">
        <v>-5.9325980835515324E-2</v>
      </c>
    </row>
    <row r="675" spans="1:10" ht="11.25" customHeight="1" x14ac:dyDescent="0.2">
      <c r="A675" s="28">
        <v>44470</v>
      </c>
      <c r="B675" s="18">
        <v>5171.2</v>
      </c>
      <c r="C675" s="18">
        <v>4864.4134879033827</v>
      </c>
      <c r="D675" s="18">
        <v>0</v>
      </c>
      <c r="E675" s="18">
        <v>0</v>
      </c>
      <c r="F675" s="18">
        <v>0</v>
      </c>
      <c r="G675" s="18">
        <v>0</v>
      </c>
      <c r="H675" s="19">
        <v>-5.9325980835515324E-2</v>
      </c>
      <c r="I675" s="19">
        <v>0</v>
      </c>
      <c r="J675" s="19">
        <v>-5.9325980835515324E-2</v>
      </c>
    </row>
    <row r="676" spans="1:10" ht="11.25" customHeight="1" x14ac:dyDescent="0.2">
      <c r="A676" s="28">
        <v>44501</v>
      </c>
      <c r="B676" s="18">
        <v>5171.2</v>
      </c>
      <c r="C676" s="18">
        <v>4864.4134879033827</v>
      </c>
      <c r="D676" s="18">
        <v>0</v>
      </c>
      <c r="E676" s="18">
        <v>0</v>
      </c>
      <c r="F676" s="18">
        <v>0</v>
      </c>
      <c r="G676" s="18">
        <v>0</v>
      </c>
      <c r="H676" s="19">
        <v>-5.9325980835515324E-2</v>
      </c>
      <c r="I676" s="19">
        <v>0</v>
      </c>
      <c r="J676" s="19">
        <v>-5.9325980835515324E-2</v>
      </c>
    </row>
    <row r="677" spans="1:10" ht="11.25" customHeight="1" x14ac:dyDescent="0.2">
      <c r="A677" s="28">
        <v>44531</v>
      </c>
      <c r="B677" s="18">
        <v>5171.2</v>
      </c>
      <c r="C677" s="18">
        <v>4864.4134879033827</v>
      </c>
      <c r="D677" s="18">
        <v>0</v>
      </c>
      <c r="E677" s="18">
        <v>0</v>
      </c>
      <c r="F677" s="18">
        <v>0</v>
      </c>
      <c r="G677" s="18">
        <v>0</v>
      </c>
      <c r="H677" s="19">
        <v>-5.9325980835515324E-2</v>
      </c>
      <c r="I677" s="19">
        <v>0</v>
      </c>
      <c r="J677" s="19">
        <v>-5.9325980835515324E-2</v>
      </c>
    </row>
    <row r="678" spans="1:10" ht="11.25" customHeight="1" x14ac:dyDescent="0.2">
      <c r="A678" s="28">
        <v>44562</v>
      </c>
      <c r="B678" s="18">
        <v>5171.2</v>
      </c>
      <c r="C678" s="18">
        <v>4864.4134879033827</v>
      </c>
      <c r="D678" s="18">
        <v>0</v>
      </c>
      <c r="E678" s="18">
        <v>0</v>
      </c>
      <c r="F678" s="18">
        <v>0</v>
      </c>
      <c r="G678" s="18">
        <v>0</v>
      </c>
      <c r="H678" s="19">
        <v>-5.9325980835515324E-2</v>
      </c>
      <c r="I678" s="19">
        <v>0</v>
      </c>
      <c r="J678" s="19">
        <v>-5.9325980835515324E-2</v>
      </c>
    </row>
    <row r="679" spans="1:10" ht="11.25" customHeight="1" x14ac:dyDescent="0.2">
      <c r="A679" s="28">
        <v>44593</v>
      </c>
      <c r="B679" s="18">
        <v>5171.2</v>
      </c>
      <c r="C679" s="18">
        <v>4864.4134879033827</v>
      </c>
      <c r="D679" s="18">
        <v>0</v>
      </c>
      <c r="E679" s="18">
        <v>0</v>
      </c>
      <c r="F679" s="18">
        <v>0</v>
      </c>
      <c r="G679" s="18">
        <v>0</v>
      </c>
      <c r="H679" s="19">
        <v>-5.9325980835515324E-2</v>
      </c>
      <c r="I679" s="19">
        <v>0</v>
      </c>
      <c r="J679" s="19">
        <v>-5.9325980835515324E-2</v>
      </c>
    </row>
    <row r="680" spans="1:10" ht="11.25" customHeight="1" x14ac:dyDescent="0.2">
      <c r="A680" s="28">
        <v>44621</v>
      </c>
      <c r="B680" s="18">
        <v>5171.2</v>
      </c>
      <c r="C680" s="18">
        <v>4864.4134879033827</v>
      </c>
      <c r="D680" s="18">
        <v>0</v>
      </c>
      <c r="E680" s="18">
        <v>0</v>
      </c>
      <c r="F680" s="18">
        <v>0</v>
      </c>
      <c r="G680" s="18">
        <v>0</v>
      </c>
      <c r="H680" s="19">
        <v>-5.9325980835515324E-2</v>
      </c>
      <c r="I680" s="19">
        <v>0</v>
      </c>
      <c r="J680" s="19">
        <v>-5.9325980835515324E-2</v>
      </c>
    </row>
    <row r="681" spans="1:10" ht="11.25" customHeight="1" x14ac:dyDescent="0.2">
      <c r="A681" s="28">
        <v>44652</v>
      </c>
      <c r="B681" s="18">
        <v>5171.2</v>
      </c>
      <c r="C681" s="18">
        <v>4864.4134879033827</v>
      </c>
      <c r="D681" s="18">
        <v>0</v>
      </c>
      <c r="E681" s="18">
        <v>0</v>
      </c>
      <c r="F681" s="18">
        <v>0</v>
      </c>
      <c r="G681" s="18">
        <v>0</v>
      </c>
      <c r="H681" s="19">
        <v>-5.9325980835515324E-2</v>
      </c>
      <c r="I681" s="19">
        <v>0</v>
      </c>
      <c r="J681" s="19">
        <v>-5.9325980835515324E-2</v>
      </c>
    </row>
    <row r="682" spans="1:10" ht="11.25" customHeight="1" x14ac:dyDescent="0.2">
      <c r="A682" s="28">
        <v>44682</v>
      </c>
      <c r="B682" s="18">
        <v>5171.2</v>
      </c>
      <c r="C682" s="18">
        <v>4864.4134879033827</v>
      </c>
      <c r="D682" s="18">
        <v>0</v>
      </c>
      <c r="E682" s="18">
        <v>0</v>
      </c>
      <c r="F682" s="18">
        <v>0</v>
      </c>
      <c r="G682" s="18">
        <v>0</v>
      </c>
      <c r="H682" s="19">
        <v>-5.9325980835515324E-2</v>
      </c>
      <c r="I682" s="19">
        <v>0</v>
      </c>
      <c r="J682" s="19">
        <v>-5.9325980835515324E-2</v>
      </c>
    </row>
    <row r="683" spans="1:10" ht="11.25" customHeight="1" x14ac:dyDescent="0.2">
      <c r="A683" s="28">
        <v>44713</v>
      </c>
      <c r="B683" s="18">
        <v>5171.2</v>
      </c>
      <c r="C683" s="18">
        <v>4864.4134879033827</v>
      </c>
      <c r="D683" s="18">
        <v>0</v>
      </c>
      <c r="E683" s="18">
        <v>0</v>
      </c>
      <c r="F683" s="18">
        <v>0</v>
      </c>
      <c r="G683" s="18">
        <v>0</v>
      </c>
      <c r="H683" s="19">
        <v>-5.9325980835515324E-2</v>
      </c>
      <c r="I683" s="19">
        <v>0</v>
      </c>
      <c r="J683" s="19">
        <v>-5.9325980835515324E-2</v>
      </c>
    </row>
    <row r="684" spans="1:10" ht="11.25" customHeight="1" x14ac:dyDescent="0.2">
      <c r="A684" s="26" t="s">
        <v>61</v>
      </c>
      <c r="B684" s="18">
        <v>37814.400000000001</v>
      </c>
      <c r="C684" s="18">
        <v>35571.023630293472</v>
      </c>
      <c r="D684" s="18">
        <v>0</v>
      </c>
      <c r="E684" s="18">
        <v>0</v>
      </c>
      <c r="F684" s="18">
        <v>0</v>
      </c>
      <c r="G684" s="18">
        <v>0</v>
      </c>
      <c r="H684" s="19">
        <v>-5.9325980835515879E-2</v>
      </c>
      <c r="I684" s="19">
        <v>0</v>
      </c>
      <c r="J684" s="19">
        <v>-5.9325980835515879E-2</v>
      </c>
    </row>
    <row r="685" spans="1:10" ht="11.25" customHeight="1" x14ac:dyDescent="0.2">
      <c r="A685" s="27" t="s">
        <v>25</v>
      </c>
      <c r="B685" s="18">
        <v>37814.400000000001</v>
      </c>
      <c r="C685" s="18">
        <v>35571.023630293472</v>
      </c>
      <c r="D685" s="18">
        <v>0</v>
      </c>
      <c r="E685" s="18">
        <v>0</v>
      </c>
      <c r="F685" s="18">
        <v>0</v>
      </c>
      <c r="G685" s="18">
        <v>0</v>
      </c>
      <c r="H685" s="19">
        <v>-5.9325980835515879E-2</v>
      </c>
      <c r="I685" s="19">
        <v>0</v>
      </c>
      <c r="J685" s="19">
        <v>-5.9325980835515879E-2</v>
      </c>
    </row>
    <row r="686" spans="1:10" ht="11.25" customHeight="1" x14ac:dyDescent="0.2">
      <c r="A686" s="28">
        <v>44378</v>
      </c>
      <c r="B686" s="18">
        <v>3151.2</v>
      </c>
      <c r="C686" s="18">
        <v>2964.2519691911234</v>
      </c>
      <c r="D686" s="18">
        <v>0</v>
      </c>
      <c r="E686" s="18">
        <v>0</v>
      </c>
      <c r="F686" s="18">
        <v>0</v>
      </c>
      <c r="G686" s="18">
        <v>0</v>
      </c>
      <c r="H686" s="19">
        <v>-5.9325980835515546E-2</v>
      </c>
      <c r="I686" s="19">
        <v>0</v>
      </c>
      <c r="J686" s="19">
        <v>-5.9325980835515546E-2</v>
      </c>
    </row>
    <row r="687" spans="1:10" ht="11.25" customHeight="1" x14ac:dyDescent="0.2">
      <c r="A687" s="28">
        <v>44409</v>
      </c>
      <c r="B687" s="18">
        <v>3151.2</v>
      </c>
      <c r="C687" s="18">
        <v>2964.2519691911234</v>
      </c>
      <c r="D687" s="18">
        <v>0</v>
      </c>
      <c r="E687" s="18">
        <v>0</v>
      </c>
      <c r="F687" s="18">
        <v>0</v>
      </c>
      <c r="G687" s="18">
        <v>0</v>
      </c>
      <c r="H687" s="19">
        <v>-5.9325980835515546E-2</v>
      </c>
      <c r="I687" s="19">
        <v>0</v>
      </c>
      <c r="J687" s="19">
        <v>-5.9325980835515546E-2</v>
      </c>
    </row>
    <row r="688" spans="1:10" ht="11.25" customHeight="1" x14ac:dyDescent="0.2">
      <c r="A688" s="28">
        <v>44440</v>
      </c>
      <c r="B688" s="18">
        <v>3151.2</v>
      </c>
      <c r="C688" s="18">
        <v>2964.2519691911234</v>
      </c>
      <c r="D688" s="18">
        <v>0</v>
      </c>
      <c r="E688" s="18">
        <v>0</v>
      </c>
      <c r="F688" s="18">
        <v>0</v>
      </c>
      <c r="G688" s="18">
        <v>0</v>
      </c>
      <c r="H688" s="19">
        <v>-5.9325980835515546E-2</v>
      </c>
      <c r="I688" s="19">
        <v>0</v>
      </c>
      <c r="J688" s="19">
        <v>-5.9325980835515546E-2</v>
      </c>
    </row>
    <row r="689" spans="1:10" ht="11.25" customHeight="1" x14ac:dyDescent="0.2">
      <c r="A689" s="28">
        <v>44470</v>
      </c>
      <c r="B689" s="18">
        <v>3151.2</v>
      </c>
      <c r="C689" s="18">
        <v>2964.2519691911234</v>
      </c>
      <c r="D689" s="18">
        <v>0</v>
      </c>
      <c r="E689" s="18">
        <v>0</v>
      </c>
      <c r="F689" s="18">
        <v>0</v>
      </c>
      <c r="G689" s="18">
        <v>0</v>
      </c>
      <c r="H689" s="19">
        <v>-5.9325980835515546E-2</v>
      </c>
      <c r="I689" s="19">
        <v>0</v>
      </c>
      <c r="J689" s="19">
        <v>-5.9325980835515546E-2</v>
      </c>
    </row>
    <row r="690" spans="1:10" ht="11.25" customHeight="1" x14ac:dyDescent="0.2">
      <c r="A690" s="28">
        <v>44501</v>
      </c>
      <c r="B690" s="18">
        <v>3151.2</v>
      </c>
      <c r="C690" s="18">
        <v>2964.2519691911234</v>
      </c>
      <c r="D690" s="18">
        <v>0</v>
      </c>
      <c r="E690" s="18">
        <v>0</v>
      </c>
      <c r="F690" s="18">
        <v>0</v>
      </c>
      <c r="G690" s="18">
        <v>0</v>
      </c>
      <c r="H690" s="19">
        <v>-5.9325980835515546E-2</v>
      </c>
      <c r="I690" s="19">
        <v>0</v>
      </c>
      <c r="J690" s="19">
        <v>-5.9325980835515546E-2</v>
      </c>
    </row>
    <row r="691" spans="1:10" ht="11.25" customHeight="1" x14ac:dyDescent="0.2">
      <c r="A691" s="28">
        <v>44531</v>
      </c>
      <c r="B691" s="18">
        <v>3151.2</v>
      </c>
      <c r="C691" s="18">
        <v>2964.2519691911234</v>
      </c>
      <c r="D691" s="18">
        <v>0</v>
      </c>
      <c r="E691" s="18">
        <v>0</v>
      </c>
      <c r="F691" s="18">
        <v>0</v>
      </c>
      <c r="G691" s="18">
        <v>0</v>
      </c>
      <c r="H691" s="19">
        <v>-5.9325980835515546E-2</v>
      </c>
      <c r="I691" s="19">
        <v>0</v>
      </c>
      <c r="J691" s="19">
        <v>-5.9325980835515546E-2</v>
      </c>
    </row>
    <row r="692" spans="1:10" ht="11.25" customHeight="1" x14ac:dyDescent="0.2">
      <c r="A692" s="28">
        <v>44562</v>
      </c>
      <c r="B692" s="18">
        <v>3151.2</v>
      </c>
      <c r="C692" s="18">
        <v>2964.2519691911234</v>
      </c>
      <c r="D692" s="18">
        <v>0</v>
      </c>
      <c r="E692" s="18">
        <v>0</v>
      </c>
      <c r="F692" s="18">
        <v>0</v>
      </c>
      <c r="G692" s="18">
        <v>0</v>
      </c>
      <c r="H692" s="19">
        <v>-5.9325980835515546E-2</v>
      </c>
      <c r="I692" s="19">
        <v>0</v>
      </c>
      <c r="J692" s="19">
        <v>-5.9325980835515546E-2</v>
      </c>
    </row>
    <row r="693" spans="1:10" ht="11.25" customHeight="1" x14ac:dyDescent="0.2">
      <c r="A693" s="28">
        <v>44593</v>
      </c>
      <c r="B693" s="18">
        <v>3151.2</v>
      </c>
      <c r="C693" s="18">
        <v>2964.2519691911234</v>
      </c>
      <c r="D693" s="18">
        <v>0</v>
      </c>
      <c r="E693" s="18">
        <v>0</v>
      </c>
      <c r="F693" s="18">
        <v>0</v>
      </c>
      <c r="G693" s="18">
        <v>0</v>
      </c>
      <c r="H693" s="19">
        <v>-5.9325980835515546E-2</v>
      </c>
      <c r="I693" s="19">
        <v>0</v>
      </c>
      <c r="J693" s="19">
        <v>-5.9325980835515546E-2</v>
      </c>
    </row>
    <row r="694" spans="1:10" ht="11.25" customHeight="1" x14ac:dyDescent="0.2">
      <c r="A694" s="28">
        <v>44621</v>
      </c>
      <c r="B694" s="18">
        <v>3151.2</v>
      </c>
      <c r="C694" s="18">
        <v>2964.2519691911234</v>
      </c>
      <c r="D694" s="18">
        <v>0</v>
      </c>
      <c r="E694" s="18">
        <v>0</v>
      </c>
      <c r="F694" s="18">
        <v>0</v>
      </c>
      <c r="G694" s="18">
        <v>0</v>
      </c>
      <c r="H694" s="19">
        <v>-5.9325980835515546E-2</v>
      </c>
      <c r="I694" s="19">
        <v>0</v>
      </c>
      <c r="J694" s="19">
        <v>-5.9325980835515546E-2</v>
      </c>
    </row>
    <row r="695" spans="1:10" ht="11.25" customHeight="1" x14ac:dyDescent="0.2">
      <c r="A695" s="28">
        <v>44652</v>
      </c>
      <c r="B695" s="18">
        <v>3151.2</v>
      </c>
      <c r="C695" s="18">
        <v>2964.2519691911234</v>
      </c>
      <c r="D695" s="18">
        <v>0</v>
      </c>
      <c r="E695" s="18">
        <v>0</v>
      </c>
      <c r="F695" s="18">
        <v>0</v>
      </c>
      <c r="G695" s="18">
        <v>0</v>
      </c>
      <c r="H695" s="19">
        <v>-5.9325980835515546E-2</v>
      </c>
      <c r="I695" s="19">
        <v>0</v>
      </c>
      <c r="J695" s="19">
        <v>-5.9325980835515546E-2</v>
      </c>
    </row>
    <row r="696" spans="1:10" ht="11.25" customHeight="1" x14ac:dyDescent="0.2">
      <c r="A696" s="28">
        <v>44682</v>
      </c>
      <c r="B696" s="18">
        <v>3151.2</v>
      </c>
      <c r="C696" s="18">
        <v>2964.2519691911234</v>
      </c>
      <c r="D696" s="18">
        <v>0</v>
      </c>
      <c r="E696" s="18">
        <v>0</v>
      </c>
      <c r="F696" s="18">
        <v>0</v>
      </c>
      <c r="G696" s="18">
        <v>0</v>
      </c>
      <c r="H696" s="19">
        <v>-5.9325980835515546E-2</v>
      </c>
      <c r="I696" s="19">
        <v>0</v>
      </c>
      <c r="J696" s="19">
        <v>-5.9325980835515546E-2</v>
      </c>
    </row>
    <row r="697" spans="1:10" ht="11.25" customHeight="1" x14ac:dyDescent="0.2">
      <c r="A697" s="28">
        <v>44713</v>
      </c>
      <c r="B697" s="18">
        <v>3151.2</v>
      </c>
      <c r="C697" s="18">
        <v>2964.2519691911234</v>
      </c>
      <c r="D697" s="18">
        <v>0</v>
      </c>
      <c r="E697" s="18">
        <v>0</v>
      </c>
      <c r="F697" s="18">
        <v>0</v>
      </c>
      <c r="G697" s="18">
        <v>0</v>
      </c>
      <c r="H697" s="19">
        <v>-5.9325980835515546E-2</v>
      </c>
      <c r="I697" s="19">
        <v>0</v>
      </c>
      <c r="J697" s="19">
        <v>-5.9325980835515546E-2</v>
      </c>
    </row>
    <row r="698" spans="1:10" ht="11.25" customHeight="1" x14ac:dyDescent="0.2">
      <c r="A698" s="26" t="s">
        <v>63</v>
      </c>
      <c r="B698" s="18">
        <v>117564</v>
      </c>
      <c r="C698" s="18">
        <v>110589.40038905345</v>
      </c>
      <c r="D698" s="18">
        <v>0</v>
      </c>
      <c r="E698" s="18">
        <v>0</v>
      </c>
      <c r="F698" s="18">
        <v>0</v>
      </c>
      <c r="G698" s="18">
        <v>0</v>
      </c>
      <c r="H698" s="19">
        <v>-5.9325980835515546E-2</v>
      </c>
      <c r="I698" s="19">
        <v>0</v>
      </c>
      <c r="J698" s="19">
        <v>-5.9325980835515546E-2</v>
      </c>
    </row>
    <row r="699" spans="1:10" ht="11.25" customHeight="1" x14ac:dyDescent="0.2">
      <c r="A699" s="27" t="s">
        <v>25</v>
      </c>
      <c r="B699" s="18">
        <v>117564</v>
      </c>
      <c r="C699" s="18">
        <v>110589.40038905345</v>
      </c>
      <c r="D699" s="18">
        <v>0</v>
      </c>
      <c r="E699" s="18">
        <v>0</v>
      </c>
      <c r="F699" s="18">
        <v>0</v>
      </c>
      <c r="G699" s="18">
        <v>0</v>
      </c>
      <c r="H699" s="19">
        <v>-5.9325980835515546E-2</v>
      </c>
      <c r="I699" s="19">
        <v>0</v>
      </c>
      <c r="J699" s="19">
        <v>-5.9325980835515546E-2</v>
      </c>
    </row>
    <row r="700" spans="1:10" ht="11.25" customHeight="1" x14ac:dyDescent="0.2">
      <c r="A700" s="28">
        <v>44378</v>
      </c>
      <c r="B700" s="18">
        <v>9797</v>
      </c>
      <c r="C700" s="18">
        <v>9215.7833657544543</v>
      </c>
      <c r="D700" s="18">
        <v>0</v>
      </c>
      <c r="E700" s="18">
        <v>0</v>
      </c>
      <c r="F700" s="18">
        <v>0</v>
      </c>
      <c r="G700" s="18">
        <v>0</v>
      </c>
      <c r="H700" s="19">
        <v>-5.9325980835515546E-2</v>
      </c>
      <c r="I700" s="19">
        <v>0</v>
      </c>
      <c r="J700" s="19">
        <v>-5.9325980835515546E-2</v>
      </c>
    </row>
    <row r="701" spans="1:10" ht="11.25" customHeight="1" x14ac:dyDescent="0.2">
      <c r="A701" s="28">
        <v>44409</v>
      </c>
      <c r="B701" s="18">
        <v>9797</v>
      </c>
      <c r="C701" s="18">
        <v>9215.7833657544543</v>
      </c>
      <c r="D701" s="18">
        <v>0</v>
      </c>
      <c r="E701" s="18">
        <v>0</v>
      </c>
      <c r="F701" s="18">
        <v>0</v>
      </c>
      <c r="G701" s="18">
        <v>0</v>
      </c>
      <c r="H701" s="19">
        <v>-5.9325980835515546E-2</v>
      </c>
      <c r="I701" s="19">
        <v>0</v>
      </c>
      <c r="J701" s="19">
        <v>-5.9325980835515546E-2</v>
      </c>
    </row>
    <row r="702" spans="1:10" ht="11.25" customHeight="1" x14ac:dyDescent="0.2">
      <c r="A702" s="28">
        <v>44440</v>
      </c>
      <c r="B702" s="18">
        <v>9797</v>
      </c>
      <c r="C702" s="18">
        <v>9215.7833657544543</v>
      </c>
      <c r="D702" s="18">
        <v>0</v>
      </c>
      <c r="E702" s="18">
        <v>0</v>
      </c>
      <c r="F702" s="18">
        <v>0</v>
      </c>
      <c r="G702" s="18">
        <v>0</v>
      </c>
      <c r="H702" s="19">
        <v>-5.9325980835515546E-2</v>
      </c>
      <c r="I702" s="19">
        <v>0</v>
      </c>
      <c r="J702" s="19">
        <v>-5.9325980835515546E-2</v>
      </c>
    </row>
    <row r="703" spans="1:10" ht="11.25" customHeight="1" x14ac:dyDescent="0.2">
      <c r="A703" s="28">
        <v>44470</v>
      </c>
      <c r="B703" s="18">
        <v>9797</v>
      </c>
      <c r="C703" s="18">
        <v>9215.7833657544543</v>
      </c>
      <c r="D703" s="18">
        <v>0</v>
      </c>
      <c r="E703" s="18">
        <v>0</v>
      </c>
      <c r="F703" s="18">
        <v>0</v>
      </c>
      <c r="G703" s="18">
        <v>0</v>
      </c>
      <c r="H703" s="19">
        <v>-5.9325980835515546E-2</v>
      </c>
      <c r="I703" s="19">
        <v>0</v>
      </c>
      <c r="J703" s="19">
        <v>-5.9325980835515546E-2</v>
      </c>
    </row>
    <row r="704" spans="1:10" ht="11.25" customHeight="1" x14ac:dyDescent="0.2">
      <c r="A704" s="28">
        <v>44501</v>
      </c>
      <c r="B704" s="18">
        <v>9797</v>
      </c>
      <c r="C704" s="18">
        <v>9215.7833657544543</v>
      </c>
      <c r="D704" s="18">
        <v>0</v>
      </c>
      <c r="E704" s="18">
        <v>0</v>
      </c>
      <c r="F704" s="18">
        <v>0</v>
      </c>
      <c r="G704" s="18">
        <v>0</v>
      </c>
      <c r="H704" s="19">
        <v>-5.9325980835515546E-2</v>
      </c>
      <c r="I704" s="19">
        <v>0</v>
      </c>
      <c r="J704" s="19">
        <v>-5.9325980835515546E-2</v>
      </c>
    </row>
    <row r="705" spans="1:10" ht="11.25" customHeight="1" x14ac:dyDescent="0.2">
      <c r="A705" s="28">
        <v>44531</v>
      </c>
      <c r="B705" s="18">
        <v>9797</v>
      </c>
      <c r="C705" s="18">
        <v>9215.7833657544543</v>
      </c>
      <c r="D705" s="18">
        <v>0</v>
      </c>
      <c r="E705" s="18">
        <v>0</v>
      </c>
      <c r="F705" s="18">
        <v>0</v>
      </c>
      <c r="G705" s="18">
        <v>0</v>
      </c>
      <c r="H705" s="19">
        <v>-5.9325980835515546E-2</v>
      </c>
      <c r="I705" s="19">
        <v>0</v>
      </c>
      <c r="J705" s="19">
        <v>-5.9325980835515546E-2</v>
      </c>
    </row>
    <row r="706" spans="1:10" ht="11.25" customHeight="1" x14ac:dyDescent="0.2">
      <c r="A706" s="28">
        <v>44562</v>
      </c>
      <c r="B706" s="18">
        <v>9797</v>
      </c>
      <c r="C706" s="18">
        <v>9215.7833657544543</v>
      </c>
      <c r="D706" s="18">
        <v>0</v>
      </c>
      <c r="E706" s="18">
        <v>0</v>
      </c>
      <c r="F706" s="18">
        <v>0</v>
      </c>
      <c r="G706" s="18">
        <v>0</v>
      </c>
      <c r="H706" s="19">
        <v>-5.9325980835515546E-2</v>
      </c>
      <c r="I706" s="19">
        <v>0</v>
      </c>
      <c r="J706" s="19">
        <v>-5.9325980835515546E-2</v>
      </c>
    </row>
    <row r="707" spans="1:10" ht="11.25" customHeight="1" x14ac:dyDescent="0.2">
      <c r="A707" s="28">
        <v>44593</v>
      </c>
      <c r="B707" s="18">
        <v>9797</v>
      </c>
      <c r="C707" s="18">
        <v>9215.7833657544543</v>
      </c>
      <c r="D707" s="18">
        <v>0</v>
      </c>
      <c r="E707" s="18">
        <v>0</v>
      </c>
      <c r="F707" s="18">
        <v>0</v>
      </c>
      <c r="G707" s="18">
        <v>0</v>
      </c>
      <c r="H707" s="19">
        <v>-5.9325980835515546E-2</v>
      </c>
      <c r="I707" s="19">
        <v>0</v>
      </c>
      <c r="J707" s="19">
        <v>-5.9325980835515546E-2</v>
      </c>
    </row>
    <row r="708" spans="1:10" ht="11.25" customHeight="1" x14ac:dyDescent="0.2">
      <c r="A708" s="28">
        <v>44621</v>
      </c>
      <c r="B708" s="18">
        <v>9797</v>
      </c>
      <c r="C708" s="18">
        <v>9215.7833657544543</v>
      </c>
      <c r="D708" s="18">
        <v>0</v>
      </c>
      <c r="E708" s="18">
        <v>0</v>
      </c>
      <c r="F708" s="18">
        <v>0</v>
      </c>
      <c r="G708" s="18">
        <v>0</v>
      </c>
      <c r="H708" s="19">
        <v>-5.9325980835515546E-2</v>
      </c>
      <c r="I708" s="19">
        <v>0</v>
      </c>
      <c r="J708" s="19">
        <v>-5.9325980835515546E-2</v>
      </c>
    </row>
    <row r="709" spans="1:10" ht="11.25" customHeight="1" x14ac:dyDescent="0.2">
      <c r="A709" s="28">
        <v>44652</v>
      </c>
      <c r="B709" s="18">
        <v>9797</v>
      </c>
      <c r="C709" s="18">
        <v>9215.7833657544543</v>
      </c>
      <c r="D709" s="18">
        <v>0</v>
      </c>
      <c r="E709" s="18">
        <v>0</v>
      </c>
      <c r="F709" s="18">
        <v>0</v>
      </c>
      <c r="G709" s="18">
        <v>0</v>
      </c>
      <c r="H709" s="19">
        <v>-5.9325980835515546E-2</v>
      </c>
      <c r="I709" s="19">
        <v>0</v>
      </c>
      <c r="J709" s="19">
        <v>-5.9325980835515546E-2</v>
      </c>
    </row>
    <row r="710" spans="1:10" ht="11.25" customHeight="1" x14ac:dyDescent="0.2">
      <c r="A710" s="28">
        <v>44682</v>
      </c>
      <c r="B710" s="18">
        <v>9797</v>
      </c>
      <c r="C710" s="18">
        <v>9215.7833657544543</v>
      </c>
      <c r="D710" s="18">
        <v>0</v>
      </c>
      <c r="E710" s="18">
        <v>0</v>
      </c>
      <c r="F710" s="18">
        <v>0</v>
      </c>
      <c r="G710" s="18">
        <v>0</v>
      </c>
      <c r="H710" s="19">
        <v>-5.9325980835515546E-2</v>
      </c>
      <c r="I710" s="19">
        <v>0</v>
      </c>
      <c r="J710" s="19">
        <v>-5.9325980835515546E-2</v>
      </c>
    </row>
    <row r="711" spans="1:10" ht="11.25" customHeight="1" x14ac:dyDescent="0.2">
      <c r="A711" s="28">
        <v>44713</v>
      </c>
      <c r="B711" s="18">
        <v>9797</v>
      </c>
      <c r="C711" s="18">
        <v>9215.7833657544543</v>
      </c>
      <c r="D711" s="18">
        <v>0</v>
      </c>
      <c r="E711" s="18">
        <v>0</v>
      </c>
      <c r="F711" s="18">
        <v>0</v>
      </c>
      <c r="G711" s="18">
        <v>0</v>
      </c>
      <c r="H711" s="19">
        <v>-5.9325980835515546E-2</v>
      </c>
      <c r="I711" s="19">
        <v>0</v>
      </c>
      <c r="J711" s="19">
        <v>-5.9325980835515546E-2</v>
      </c>
    </row>
    <row r="712" spans="1:10" ht="11.25" customHeight="1" x14ac:dyDescent="0.2">
      <c r="A712" s="26" t="s">
        <v>59</v>
      </c>
      <c r="B712" s="18">
        <v>179376</v>
      </c>
      <c r="C712" s="18">
        <v>168734.34286164856</v>
      </c>
      <c r="D712" s="18">
        <v>0</v>
      </c>
      <c r="E712" s="18">
        <v>0</v>
      </c>
      <c r="F712" s="18">
        <v>0</v>
      </c>
      <c r="G712" s="18">
        <v>0</v>
      </c>
      <c r="H712" s="19">
        <v>-5.9325980835515546E-2</v>
      </c>
      <c r="I712" s="19">
        <v>0</v>
      </c>
      <c r="J712" s="19">
        <v>-5.9325980835515546E-2</v>
      </c>
    </row>
    <row r="713" spans="1:10" ht="11.25" customHeight="1" x14ac:dyDescent="0.2">
      <c r="A713" s="27" t="s">
        <v>25</v>
      </c>
      <c r="B713" s="18">
        <v>179376</v>
      </c>
      <c r="C713" s="18">
        <v>168734.34286164856</v>
      </c>
      <c r="D713" s="18">
        <v>0</v>
      </c>
      <c r="E713" s="18">
        <v>0</v>
      </c>
      <c r="F713" s="18">
        <v>0</v>
      </c>
      <c r="G713" s="18">
        <v>0</v>
      </c>
      <c r="H713" s="19">
        <v>-5.9325980835515546E-2</v>
      </c>
      <c r="I713" s="19">
        <v>0</v>
      </c>
      <c r="J713" s="19">
        <v>-5.9325980835515546E-2</v>
      </c>
    </row>
    <row r="714" spans="1:10" ht="11.25" customHeight="1" x14ac:dyDescent="0.2">
      <c r="A714" s="28">
        <v>44378</v>
      </c>
      <c r="B714" s="18">
        <v>14948</v>
      </c>
      <c r="C714" s="18">
        <v>14061.195238470715</v>
      </c>
      <c r="D714" s="18">
        <v>0</v>
      </c>
      <c r="E714" s="18">
        <v>0</v>
      </c>
      <c r="F714" s="18">
        <v>0</v>
      </c>
      <c r="G714" s="18">
        <v>0</v>
      </c>
      <c r="H714" s="19">
        <v>-5.9325980835515435E-2</v>
      </c>
      <c r="I714" s="19">
        <v>0</v>
      </c>
      <c r="J714" s="19">
        <v>-5.9325980835515435E-2</v>
      </c>
    </row>
    <row r="715" spans="1:10" ht="11.25" customHeight="1" x14ac:dyDescent="0.2">
      <c r="A715" s="28">
        <v>44409</v>
      </c>
      <c r="B715" s="18">
        <v>14948</v>
      </c>
      <c r="C715" s="18">
        <v>14061.195238470715</v>
      </c>
      <c r="D715" s="18">
        <v>0</v>
      </c>
      <c r="E715" s="18">
        <v>0</v>
      </c>
      <c r="F715" s="18">
        <v>0</v>
      </c>
      <c r="G715" s="18">
        <v>0</v>
      </c>
      <c r="H715" s="19">
        <v>-5.9325980835515435E-2</v>
      </c>
      <c r="I715" s="19">
        <v>0</v>
      </c>
      <c r="J715" s="19">
        <v>-5.9325980835515435E-2</v>
      </c>
    </row>
    <row r="716" spans="1:10" ht="11.25" customHeight="1" x14ac:dyDescent="0.2">
      <c r="A716" s="28">
        <v>44440</v>
      </c>
      <c r="B716" s="18">
        <v>14948</v>
      </c>
      <c r="C716" s="18">
        <v>14061.195238470715</v>
      </c>
      <c r="D716" s="18">
        <v>0</v>
      </c>
      <c r="E716" s="18">
        <v>0</v>
      </c>
      <c r="F716" s="18">
        <v>0</v>
      </c>
      <c r="G716" s="18">
        <v>0</v>
      </c>
      <c r="H716" s="19">
        <v>-5.9325980835515435E-2</v>
      </c>
      <c r="I716" s="19">
        <v>0</v>
      </c>
      <c r="J716" s="19">
        <v>-5.9325980835515435E-2</v>
      </c>
    </row>
    <row r="717" spans="1:10" ht="11.25" customHeight="1" x14ac:dyDescent="0.2">
      <c r="A717" s="28">
        <v>44470</v>
      </c>
      <c r="B717" s="18">
        <v>14948</v>
      </c>
      <c r="C717" s="18">
        <v>14061.195238470715</v>
      </c>
      <c r="D717" s="18">
        <v>0</v>
      </c>
      <c r="E717" s="18">
        <v>0</v>
      </c>
      <c r="F717" s="18">
        <v>0</v>
      </c>
      <c r="G717" s="18">
        <v>0</v>
      </c>
      <c r="H717" s="19">
        <v>-5.9325980835515435E-2</v>
      </c>
      <c r="I717" s="19">
        <v>0</v>
      </c>
      <c r="J717" s="19">
        <v>-5.9325980835515435E-2</v>
      </c>
    </row>
    <row r="718" spans="1:10" ht="11.25" customHeight="1" x14ac:dyDescent="0.2">
      <c r="A718" s="28">
        <v>44501</v>
      </c>
      <c r="B718" s="18">
        <v>14948</v>
      </c>
      <c r="C718" s="18">
        <v>14061.195238470715</v>
      </c>
      <c r="D718" s="18">
        <v>0</v>
      </c>
      <c r="E718" s="18">
        <v>0</v>
      </c>
      <c r="F718" s="18">
        <v>0</v>
      </c>
      <c r="G718" s="18">
        <v>0</v>
      </c>
      <c r="H718" s="19">
        <v>-5.9325980835515435E-2</v>
      </c>
      <c r="I718" s="19">
        <v>0</v>
      </c>
      <c r="J718" s="19">
        <v>-5.9325980835515435E-2</v>
      </c>
    </row>
    <row r="719" spans="1:10" ht="11.25" customHeight="1" x14ac:dyDescent="0.2">
      <c r="A719" s="28">
        <v>44531</v>
      </c>
      <c r="B719" s="18">
        <v>14948</v>
      </c>
      <c r="C719" s="18">
        <v>14061.195238470715</v>
      </c>
      <c r="D719" s="18">
        <v>0</v>
      </c>
      <c r="E719" s="18">
        <v>0</v>
      </c>
      <c r="F719" s="18">
        <v>0</v>
      </c>
      <c r="G719" s="18">
        <v>0</v>
      </c>
      <c r="H719" s="19">
        <v>-5.9325980835515435E-2</v>
      </c>
      <c r="I719" s="19">
        <v>0</v>
      </c>
      <c r="J719" s="19">
        <v>-5.9325980835515435E-2</v>
      </c>
    </row>
    <row r="720" spans="1:10" ht="11.25" customHeight="1" x14ac:dyDescent="0.2">
      <c r="A720" s="28">
        <v>44562</v>
      </c>
      <c r="B720" s="18">
        <v>14948</v>
      </c>
      <c r="C720" s="18">
        <v>14061.195238470715</v>
      </c>
      <c r="D720" s="18">
        <v>0</v>
      </c>
      <c r="E720" s="18">
        <v>0</v>
      </c>
      <c r="F720" s="18">
        <v>0</v>
      </c>
      <c r="G720" s="18">
        <v>0</v>
      </c>
      <c r="H720" s="19">
        <v>-5.9325980835515435E-2</v>
      </c>
      <c r="I720" s="19">
        <v>0</v>
      </c>
      <c r="J720" s="19">
        <v>-5.9325980835515435E-2</v>
      </c>
    </row>
    <row r="721" spans="1:10" ht="11.25" customHeight="1" x14ac:dyDescent="0.2">
      <c r="A721" s="28">
        <v>44593</v>
      </c>
      <c r="B721" s="18">
        <v>14948</v>
      </c>
      <c r="C721" s="18">
        <v>14061.195238470715</v>
      </c>
      <c r="D721" s="18">
        <v>0</v>
      </c>
      <c r="E721" s="18">
        <v>0</v>
      </c>
      <c r="F721" s="18">
        <v>0</v>
      </c>
      <c r="G721" s="18">
        <v>0</v>
      </c>
      <c r="H721" s="19">
        <v>-5.9325980835515435E-2</v>
      </c>
      <c r="I721" s="19">
        <v>0</v>
      </c>
      <c r="J721" s="19">
        <v>-5.9325980835515435E-2</v>
      </c>
    </row>
    <row r="722" spans="1:10" ht="11.25" customHeight="1" x14ac:dyDescent="0.2">
      <c r="A722" s="28">
        <v>44621</v>
      </c>
      <c r="B722" s="18">
        <v>14948</v>
      </c>
      <c r="C722" s="18">
        <v>14061.195238470715</v>
      </c>
      <c r="D722" s="18">
        <v>0</v>
      </c>
      <c r="E722" s="18">
        <v>0</v>
      </c>
      <c r="F722" s="18">
        <v>0</v>
      </c>
      <c r="G722" s="18">
        <v>0</v>
      </c>
      <c r="H722" s="19">
        <v>-5.9325980835515435E-2</v>
      </c>
      <c r="I722" s="19">
        <v>0</v>
      </c>
      <c r="J722" s="19">
        <v>-5.9325980835515435E-2</v>
      </c>
    </row>
    <row r="723" spans="1:10" ht="11.25" customHeight="1" x14ac:dyDescent="0.2">
      <c r="A723" s="28">
        <v>44652</v>
      </c>
      <c r="B723" s="18">
        <v>14948</v>
      </c>
      <c r="C723" s="18">
        <v>14061.195238470715</v>
      </c>
      <c r="D723" s="18">
        <v>0</v>
      </c>
      <c r="E723" s="18">
        <v>0</v>
      </c>
      <c r="F723" s="18">
        <v>0</v>
      </c>
      <c r="G723" s="18">
        <v>0</v>
      </c>
      <c r="H723" s="19">
        <v>-5.9325980835515435E-2</v>
      </c>
      <c r="I723" s="19">
        <v>0</v>
      </c>
      <c r="J723" s="19">
        <v>-5.9325980835515435E-2</v>
      </c>
    </row>
    <row r="724" spans="1:10" ht="11.25" customHeight="1" x14ac:dyDescent="0.2">
      <c r="A724" s="28">
        <v>44682</v>
      </c>
      <c r="B724" s="18">
        <v>14948</v>
      </c>
      <c r="C724" s="18">
        <v>14061.195238470715</v>
      </c>
      <c r="D724" s="18">
        <v>0</v>
      </c>
      <c r="E724" s="18">
        <v>0</v>
      </c>
      <c r="F724" s="18">
        <v>0</v>
      </c>
      <c r="G724" s="18">
        <v>0</v>
      </c>
      <c r="H724" s="19">
        <v>-5.9325980835515435E-2</v>
      </c>
      <c r="I724" s="19">
        <v>0</v>
      </c>
      <c r="J724" s="19">
        <v>-5.9325980835515435E-2</v>
      </c>
    </row>
    <row r="725" spans="1:10" ht="11.25" customHeight="1" x14ac:dyDescent="0.2">
      <c r="A725" s="28">
        <v>44713</v>
      </c>
      <c r="B725" s="18">
        <v>14948</v>
      </c>
      <c r="C725" s="18">
        <v>14061.195238470715</v>
      </c>
      <c r="D725" s="18">
        <v>0</v>
      </c>
      <c r="E725" s="18">
        <v>0</v>
      </c>
      <c r="F725" s="18">
        <v>0</v>
      </c>
      <c r="G725" s="18">
        <v>0</v>
      </c>
      <c r="H725" s="19">
        <v>-5.9325980835515435E-2</v>
      </c>
      <c r="I725" s="19">
        <v>0</v>
      </c>
      <c r="J725" s="19">
        <v>-5.9325980835515435E-2</v>
      </c>
    </row>
    <row r="726" spans="1:10" ht="11.25" customHeight="1" x14ac:dyDescent="0.2">
      <c r="A726" s="20" t="s">
        <v>54</v>
      </c>
      <c r="B726" s="18">
        <v>5742591.6248200005</v>
      </c>
      <c r="C726" s="18">
        <v>6214885.6655490827</v>
      </c>
      <c r="D726" s="18">
        <v>4045425.1301764599</v>
      </c>
      <c r="E726" s="18">
        <v>5254985.8204026073</v>
      </c>
      <c r="F726" s="18">
        <v>0</v>
      </c>
      <c r="G726" s="18">
        <v>0</v>
      </c>
      <c r="H726" s="19">
        <v>0.17182793747228708</v>
      </c>
      <c r="I726" s="19">
        <v>0</v>
      </c>
      <c r="J726" s="19">
        <v>0.17182793747228708</v>
      </c>
    </row>
    <row r="727" spans="1:10" ht="11.25" customHeight="1" x14ac:dyDescent="0.2">
      <c r="A727" s="21" t="s">
        <v>53</v>
      </c>
      <c r="B727" s="18">
        <v>1305216</v>
      </c>
      <c r="C727" s="18">
        <v>1543984.9453538011</v>
      </c>
      <c r="D727" s="18">
        <v>817364.54687999992</v>
      </c>
      <c r="E727" s="18">
        <v>1103827.1248629407</v>
      </c>
      <c r="F727" s="18">
        <v>0</v>
      </c>
      <c r="G727" s="18">
        <v>0</v>
      </c>
      <c r="H727" s="19">
        <v>0.24744951333356213</v>
      </c>
      <c r="I727" s="19">
        <v>0</v>
      </c>
      <c r="J727" s="19">
        <v>0.24744951333356213</v>
      </c>
    </row>
    <row r="728" spans="1:10" ht="11.25" customHeight="1" x14ac:dyDescent="0.2">
      <c r="A728" s="22" t="s">
        <v>36</v>
      </c>
      <c r="B728" s="18">
        <v>1305216</v>
      </c>
      <c r="C728" s="18">
        <v>1543984.9453538011</v>
      </c>
      <c r="D728" s="18">
        <v>817364.54687999992</v>
      </c>
      <c r="E728" s="18">
        <v>1103827.1248629407</v>
      </c>
      <c r="F728" s="18">
        <v>0</v>
      </c>
      <c r="G728" s="18">
        <v>0</v>
      </c>
      <c r="H728" s="19">
        <v>0.24744951333356213</v>
      </c>
      <c r="I728" s="19">
        <v>0</v>
      </c>
      <c r="J728" s="19">
        <v>0.24744951333356213</v>
      </c>
    </row>
    <row r="729" spans="1:10" ht="11.25" customHeight="1" x14ac:dyDescent="0.2">
      <c r="A729" s="23" t="s">
        <v>34</v>
      </c>
      <c r="B729" s="18">
        <v>1305216</v>
      </c>
      <c r="C729" s="18">
        <v>1543984.9453538011</v>
      </c>
      <c r="D729" s="18">
        <v>817364.54687999992</v>
      </c>
      <c r="E729" s="18">
        <v>1103827.1248629407</v>
      </c>
      <c r="F729" s="18">
        <v>0</v>
      </c>
      <c r="G729" s="18">
        <v>0</v>
      </c>
      <c r="H729" s="19">
        <v>0.24744951333356213</v>
      </c>
      <c r="I729" s="19">
        <v>0</v>
      </c>
      <c r="J729" s="19">
        <v>0.24744951333356213</v>
      </c>
    </row>
    <row r="730" spans="1:10" ht="11.25" customHeight="1" x14ac:dyDescent="0.2">
      <c r="A730" s="24" t="s">
        <v>25</v>
      </c>
      <c r="B730" s="18">
        <v>1305216</v>
      </c>
      <c r="C730" s="18">
        <v>1543984.9453538011</v>
      </c>
      <c r="D730" s="18">
        <v>817364.54687999992</v>
      </c>
      <c r="E730" s="18">
        <v>1103827.1248629407</v>
      </c>
      <c r="F730" s="18">
        <v>0</v>
      </c>
      <c r="G730" s="18">
        <v>0</v>
      </c>
      <c r="H730" s="19">
        <v>0.24744951333356213</v>
      </c>
      <c r="I730" s="19">
        <v>0</v>
      </c>
      <c r="J730" s="19">
        <v>0.24744951333356213</v>
      </c>
    </row>
    <row r="731" spans="1:10" ht="11.25" customHeight="1" x14ac:dyDescent="0.2">
      <c r="A731" s="25" t="s">
        <v>25</v>
      </c>
      <c r="B731" s="18">
        <v>1305216</v>
      </c>
      <c r="C731" s="18">
        <v>1543984.9453538011</v>
      </c>
      <c r="D731" s="18">
        <v>817364.54687999992</v>
      </c>
      <c r="E731" s="18">
        <v>1103827.1248629407</v>
      </c>
      <c r="F731" s="18">
        <v>0</v>
      </c>
      <c r="G731" s="18">
        <v>0</v>
      </c>
      <c r="H731" s="19">
        <v>0.24744951333356213</v>
      </c>
      <c r="I731" s="19">
        <v>0</v>
      </c>
      <c r="J731" s="19">
        <v>0.24744951333356213</v>
      </c>
    </row>
    <row r="732" spans="1:10" ht="11.25" customHeight="1" x14ac:dyDescent="0.2">
      <c r="A732" s="26" t="s">
        <v>25</v>
      </c>
      <c r="B732" s="18">
        <v>1305216</v>
      </c>
      <c r="C732" s="18">
        <v>1543984.9453538011</v>
      </c>
      <c r="D732" s="18">
        <v>817364.54687999992</v>
      </c>
      <c r="E732" s="18">
        <v>1103827.1248629407</v>
      </c>
      <c r="F732" s="18">
        <v>0</v>
      </c>
      <c r="G732" s="18">
        <v>0</v>
      </c>
      <c r="H732" s="19">
        <v>0.24744951333356213</v>
      </c>
      <c r="I732" s="19">
        <v>0</v>
      </c>
      <c r="J732" s="19">
        <v>0.24744951333356213</v>
      </c>
    </row>
    <row r="733" spans="1:10" ht="11.25" customHeight="1" x14ac:dyDescent="0.2">
      <c r="A733" s="27" t="s">
        <v>38</v>
      </c>
      <c r="B733" s="18">
        <v>411444</v>
      </c>
      <c r="C733" s="18">
        <v>486625.24598819023</v>
      </c>
      <c r="D733" s="18">
        <v>0</v>
      </c>
      <c r="E733" s="18">
        <v>0</v>
      </c>
      <c r="F733" s="18">
        <v>0</v>
      </c>
      <c r="G733" s="18">
        <v>0</v>
      </c>
      <c r="H733" s="19">
        <v>0.18272534290982545</v>
      </c>
      <c r="I733" s="19">
        <v>0</v>
      </c>
      <c r="J733" s="19">
        <v>0.18272534290982545</v>
      </c>
    </row>
    <row r="734" spans="1:10" ht="11.25" customHeight="1" x14ac:dyDescent="0.2">
      <c r="A734" s="28">
        <v>44378</v>
      </c>
      <c r="B734" s="18">
        <v>34287</v>
      </c>
      <c r="C734" s="18">
        <v>40552.103832349188</v>
      </c>
      <c r="D734" s="18">
        <v>0</v>
      </c>
      <c r="E734" s="18">
        <v>0</v>
      </c>
      <c r="F734" s="18">
        <v>0</v>
      </c>
      <c r="G734" s="18">
        <v>0</v>
      </c>
      <c r="H734" s="19">
        <v>0.18272534290982545</v>
      </c>
      <c r="I734" s="19">
        <v>0</v>
      </c>
      <c r="J734" s="19">
        <v>0.18272534290982545</v>
      </c>
    </row>
    <row r="735" spans="1:10" ht="11.25" customHeight="1" x14ac:dyDescent="0.2">
      <c r="A735" s="28">
        <v>44409</v>
      </c>
      <c r="B735" s="18">
        <v>34287</v>
      </c>
      <c r="C735" s="18">
        <v>40552.103832349188</v>
      </c>
      <c r="D735" s="18">
        <v>0</v>
      </c>
      <c r="E735" s="18">
        <v>0</v>
      </c>
      <c r="F735" s="18">
        <v>0</v>
      </c>
      <c r="G735" s="18">
        <v>0</v>
      </c>
      <c r="H735" s="19">
        <v>0.18272534290982545</v>
      </c>
      <c r="I735" s="19">
        <v>0</v>
      </c>
      <c r="J735" s="19">
        <v>0.18272534290982545</v>
      </c>
    </row>
    <row r="736" spans="1:10" ht="11.25" customHeight="1" x14ac:dyDescent="0.2">
      <c r="A736" s="28">
        <v>44440</v>
      </c>
      <c r="B736" s="18">
        <v>34287</v>
      </c>
      <c r="C736" s="18">
        <v>40552.103832349188</v>
      </c>
      <c r="D736" s="18">
        <v>0</v>
      </c>
      <c r="E736" s="18">
        <v>0</v>
      </c>
      <c r="F736" s="18">
        <v>0</v>
      </c>
      <c r="G736" s="18">
        <v>0</v>
      </c>
      <c r="H736" s="19">
        <v>0.18272534290982545</v>
      </c>
      <c r="I736" s="19">
        <v>0</v>
      </c>
      <c r="J736" s="19">
        <v>0.18272534290982545</v>
      </c>
    </row>
    <row r="737" spans="1:10" ht="11.25" customHeight="1" x14ac:dyDescent="0.2">
      <c r="A737" s="28">
        <v>44470</v>
      </c>
      <c r="B737" s="18">
        <v>34287</v>
      </c>
      <c r="C737" s="18">
        <v>40552.103832349188</v>
      </c>
      <c r="D737" s="18">
        <v>0</v>
      </c>
      <c r="E737" s="18">
        <v>0</v>
      </c>
      <c r="F737" s="18">
        <v>0</v>
      </c>
      <c r="G737" s="18">
        <v>0</v>
      </c>
      <c r="H737" s="19">
        <v>0.18272534290982545</v>
      </c>
      <c r="I737" s="19">
        <v>0</v>
      </c>
      <c r="J737" s="19">
        <v>0.18272534290982545</v>
      </c>
    </row>
    <row r="738" spans="1:10" ht="11.25" customHeight="1" x14ac:dyDescent="0.2">
      <c r="A738" s="28">
        <v>44501</v>
      </c>
      <c r="B738" s="18">
        <v>34287</v>
      </c>
      <c r="C738" s="18">
        <v>40552.103832349188</v>
      </c>
      <c r="D738" s="18">
        <v>0</v>
      </c>
      <c r="E738" s="18">
        <v>0</v>
      </c>
      <c r="F738" s="18">
        <v>0</v>
      </c>
      <c r="G738" s="18">
        <v>0</v>
      </c>
      <c r="H738" s="19">
        <v>0.18272534290982545</v>
      </c>
      <c r="I738" s="19">
        <v>0</v>
      </c>
      <c r="J738" s="19">
        <v>0.18272534290982545</v>
      </c>
    </row>
    <row r="739" spans="1:10" ht="11.25" customHeight="1" x14ac:dyDescent="0.2">
      <c r="A739" s="28">
        <v>44531</v>
      </c>
      <c r="B739" s="18">
        <v>34287</v>
      </c>
      <c r="C739" s="18">
        <v>40552.103832349188</v>
      </c>
      <c r="D739" s="18">
        <v>0</v>
      </c>
      <c r="E739" s="18">
        <v>0</v>
      </c>
      <c r="F739" s="18">
        <v>0</v>
      </c>
      <c r="G739" s="18">
        <v>0</v>
      </c>
      <c r="H739" s="19">
        <v>0.18272534290982545</v>
      </c>
      <c r="I739" s="19">
        <v>0</v>
      </c>
      <c r="J739" s="19">
        <v>0.18272534290982545</v>
      </c>
    </row>
    <row r="740" spans="1:10" ht="11.25" customHeight="1" x14ac:dyDescent="0.2">
      <c r="A740" s="28">
        <v>44562</v>
      </c>
      <c r="B740" s="18">
        <v>34287</v>
      </c>
      <c r="C740" s="18">
        <v>40552.103832349188</v>
      </c>
      <c r="D740" s="18">
        <v>0</v>
      </c>
      <c r="E740" s="18">
        <v>0</v>
      </c>
      <c r="F740" s="18">
        <v>0</v>
      </c>
      <c r="G740" s="18">
        <v>0</v>
      </c>
      <c r="H740" s="19">
        <v>0.18272534290982545</v>
      </c>
      <c r="I740" s="19">
        <v>0</v>
      </c>
      <c r="J740" s="19">
        <v>0.18272534290982545</v>
      </c>
    </row>
    <row r="741" spans="1:10" ht="11.25" customHeight="1" x14ac:dyDescent="0.2">
      <c r="A741" s="28">
        <v>44593</v>
      </c>
      <c r="B741" s="18">
        <v>34287</v>
      </c>
      <c r="C741" s="18">
        <v>40552.103832349188</v>
      </c>
      <c r="D741" s="18">
        <v>0</v>
      </c>
      <c r="E741" s="18">
        <v>0</v>
      </c>
      <c r="F741" s="18">
        <v>0</v>
      </c>
      <c r="G741" s="18">
        <v>0</v>
      </c>
      <c r="H741" s="19">
        <v>0.18272534290982545</v>
      </c>
      <c r="I741" s="19">
        <v>0</v>
      </c>
      <c r="J741" s="19">
        <v>0.18272534290982545</v>
      </c>
    </row>
    <row r="742" spans="1:10" ht="11.25" customHeight="1" x14ac:dyDescent="0.2">
      <c r="A742" s="28">
        <v>44621</v>
      </c>
      <c r="B742" s="18">
        <v>34287</v>
      </c>
      <c r="C742" s="18">
        <v>40552.103832349188</v>
      </c>
      <c r="D742" s="18">
        <v>0</v>
      </c>
      <c r="E742" s="18">
        <v>0</v>
      </c>
      <c r="F742" s="18">
        <v>0</v>
      </c>
      <c r="G742" s="18">
        <v>0</v>
      </c>
      <c r="H742" s="19">
        <v>0.18272534290982545</v>
      </c>
      <c r="I742" s="19">
        <v>0</v>
      </c>
      <c r="J742" s="19">
        <v>0.18272534290982545</v>
      </c>
    </row>
    <row r="743" spans="1:10" ht="11.25" customHeight="1" x14ac:dyDescent="0.2">
      <c r="A743" s="28">
        <v>44652</v>
      </c>
      <c r="B743" s="18">
        <v>34287</v>
      </c>
      <c r="C743" s="18">
        <v>40552.103832349188</v>
      </c>
      <c r="D743" s="18">
        <v>0</v>
      </c>
      <c r="E743" s="18">
        <v>0</v>
      </c>
      <c r="F743" s="18">
        <v>0</v>
      </c>
      <c r="G743" s="18">
        <v>0</v>
      </c>
      <c r="H743" s="19">
        <v>0.18272534290982545</v>
      </c>
      <c r="I743" s="19">
        <v>0</v>
      </c>
      <c r="J743" s="19">
        <v>0.18272534290982545</v>
      </c>
    </row>
    <row r="744" spans="1:10" ht="11.25" customHeight="1" x14ac:dyDescent="0.2">
      <c r="A744" s="28">
        <v>44682</v>
      </c>
      <c r="B744" s="18">
        <v>34287</v>
      </c>
      <c r="C744" s="18">
        <v>40552.103832349188</v>
      </c>
      <c r="D744" s="18">
        <v>0</v>
      </c>
      <c r="E744" s="18">
        <v>0</v>
      </c>
      <c r="F744" s="18">
        <v>0</v>
      </c>
      <c r="G744" s="18">
        <v>0</v>
      </c>
      <c r="H744" s="19">
        <v>0.18272534290982545</v>
      </c>
      <c r="I744" s="19">
        <v>0</v>
      </c>
      <c r="J744" s="19">
        <v>0.18272534290982545</v>
      </c>
    </row>
    <row r="745" spans="1:10" ht="11.25" customHeight="1" x14ac:dyDescent="0.2">
      <c r="A745" s="28">
        <v>44713</v>
      </c>
      <c r="B745" s="18">
        <v>34287</v>
      </c>
      <c r="C745" s="18">
        <v>40552.103832349188</v>
      </c>
      <c r="D745" s="18">
        <v>0</v>
      </c>
      <c r="E745" s="18">
        <v>0</v>
      </c>
      <c r="F745" s="18">
        <v>0</v>
      </c>
      <c r="G745" s="18">
        <v>0</v>
      </c>
      <c r="H745" s="19">
        <v>0.18272534290982545</v>
      </c>
      <c r="I745" s="19">
        <v>0</v>
      </c>
      <c r="J745" s="19">
        <v>0.18272534290982545</v>
      </c>
    </row>
    <row r="746" spans="1:10" ht="11.25" customHeight="1" x14ac:dyDescent="0.2">
      <c r="A746" s="27" t="s">
        <v>25</v>
      </c>
      <c r="B746" s="18">
        <v>0</v>
      </c>
      <c r="C746" s="18">
        <v>0</v>
      </c>
      <c r="D746" s="18">
        <v>817364.54687999992</v>
      </c>
      <c r="E746" s="18">
        <v>1103827.1248629407</v>
      </c>
      <c r="F746" s="18">
        <v>0</v>
      </c>
      <c r="G746" s="18">
        <v>0</v>
      </c>
      <c r="H746" s="19">
        <v>0.35047100963261801</v>
      </c>
      <c r="I746" s="19">
        <v>0</v>
      </c>
      <c r="J746" s="19">
        <v>0.35047100963261801</v>
      </c>
    </row>
    <row r="747" spans="1:10" ht="11.25" customHeight="1" x14ac:dyDescent="0.2">
      <c r="A747" s="28">
        <v>44378</v>
      </c>
      <c r="B747" s="18">
        <v>0</v>
      </c>
      <c r="C747" s="18">
        <v>0</v>
      </c>
      <c r="D747" s="18">
        <v>62385.004079999999</v>
      </c>
      <c r="E747" s="18">
        <v>84249.13944585259</v>
      </c>
      <c r="F747" s="18">
        <v>0</v>
      </c>
      <c r="G747" s="18">
        <v>0</v>
      </c>
      <c r="H747" s="19">
        <v>0.35047100963261801</v>
      </c>
      <c r="I747" s="19">
        <v>0</v>
      </c>
      <c r="J747" s="19">
        <v>0.35047100963261801</v>
      </c>
    </row>
    <row r="748" spans="1:10" ht="11.25" customHeight="1" x14ac:dyDescent="0.2">
      <c r="A748" s="28">
        <v>44409</v>
      </c>
      <c r="B748" s="18">
        <v>0</v>
      </c>
      <c r="C748" s="18">
        <v>0</v>
      </c>
      <c r="D748" s="18">
        <v>61863.644359999991</v>
      </c>
      <c r="E748" s="18">
        <v>83545.058258402409</v>
      </c>
      <c r="F748" s="18">
        <v>0</v>
      </c>
      <c r="G748" s="18">
        <v>0</v>
      </c>
      <c r="H748" s="19">
        <v>0.35047100963261801</v>
      </c>
      <c r="I748" s="19">
        <v>0</v>
      </c>
      <c r="J748" s="19">
        <v>0.35047100963261801</v>
      </c>
    </row>
    <row r="749" spans="1:10" ht="11.25" customHeight="1" x14ac:dyDescent="0.2">
      <c r="A749" s="28">
        <v>44440</v>
      </c>
      <c r="B749" s="18">
        <v>0</v>
      </c>
      <c r="C749" s="18">
        <v>0</v>
      </c>
      <c r="D749" s="18">
        <v>66887.598960000003</v>
      </c>
      <c r="E749" s="18">
        <v>90329.763299412851</v>
      </c>
      <c r="F749" s="18">
        <v>0</v>
      </c>
      <c r="G749" s="18">
        <v>0</v>
      </c>
      <c r="H749" s="19">
        <v>0.35047100963261801</v>
      </c>
      <c r="I749" s="19">
        <v>0</v>
      </c>
      <c r="J749" s="19">
        <v>0.35047100963261801</v>
      </c>
    </row>
    <row r="750" spans="1:10" ht="11.25" customHeight="1" x14ac:dyDescent="0.2">
      <c r="A750" s="28">
        <v>44470</v>
      </c>
      <c r="B750" s="18">
        <v>0</v>
      </c>
      <c r="C750" s="18">
        <v>0</v>
      </c>
      <c r="D750" s="18">
        <v>66136.778959999996</v>
      </c>
      <c r="E750" s="18">
        <v>89315.802655960491</v>
      </c>
      <c r="F750" s="18">
        <v>0</v>
      </c>
      <c r="G750" s="18">
        <v>0</v>
      </c>
      <c r="H750" s="19">
        <v>0.35047100963261824</v>
      </c>
      <c r="I750" s="19">
        <v>0</v>
      </c>
      <c r="J750" s="19">
        <v>0.35047100963261824</v>
      </c>
    </row>
    <row r="751" spans="1:10" ht="11.25" customHeight="1" x14ac:dyDescent="0.2">
      <c r="A751" s="28">
        <v>44501</v>
      </c>
      <c r="B751" s="18">
        <v>0</v>
      </c>
      <c r="C751" s="18">
        <v>0</v>
      </c>
      <c r="D751" s="18">
        <v>70247.639559999996</v>
      </c>
      <c r="E751" s="18">
        <v>94867.400720901438</v>
      </c>
      <c r="F751" s="18">
        <v>0</v>
      </c>
      <c r="G751" s="18">
        <v>0</v>
      </c>
      <c r="H751" s="19">
        <v>0.35047100963261801</v>
      </c>
      <c r="I751" s="19">
        <v>0</v>
      </c>
      <c r="J751" s="19">
        <v>0.35047100963261801</v>
      </c>
    </row>
    <row r="752" spans="1:10" ht="11.25" customHeight="1" x14ac:dyDescent="0.2">
      <c r="A752" s="28">
        <v>44531</v>
      </c>
      <c r="B752" s="18">
        <v>0</v>
      </c>
      <c r="C752" s="18">
        <v>0</v>
      </c>
      <c r="D752" s="18">
        <v>70247.639559999996</v>
      </c>
      <c r="E752" s="18">
        <v>94867.400720901438</v>
      </c>
      <c r="F752" s="18">
        <v>0</v>
      </c>
      <c r="G752" s="18">
        <v>0</v>
      </c>
      <c r="H752" s="19">
        <v>0.35047100963261801</v>
      </c>
      <c r="I752" s="19">
        <v>0</v>
      </c>
      <c r="J752" s="19">
        <v>0.35047100963261801</v>
      </c>
    </row>
    <row r="753" spans="1:10" ht="11.25" customHeight="1" x14ac:dyDescent="0.2">
      <c r="A753" s="28">
        <v>44562</v>
      </c>
      <c r="B753" s="18">
        <v>0</v>
      </c>
      <c r="C753" s="18">
        <v>0</v>
      </c>
      <c r="D753" s="18">
        <v>68979.141279999996</v>
      </c>
      <c r="E753" s="18">
        <v>93154.330567992583</v>
      </c>
      <c r="F753" s="18">
        <v>0</v>
      </c>
      <c r="G753" s="18">
        <v>0</v>
      </c>
      <c r="H753" s="19">
        <v>0.35047100963261779</v>
      </c>
      <c r="I753" s="19">
        <v>0</v>
      </c>
      <c r="J753" s="19">
        <v>0.35047100963261779</v>
      </c>
    </row>
    <row r="754" spans="1:10" ht="11.25" customHeight="1" x14ac:dyDescent="0.2">
      <c r="A754" s="28">
        <v>44593</v>
      </c>
      <c r="B754" s="18">
        <v>0</v>
      </c>
      <c r="C754" s="18">
        <v>0</v>
      </c>
      <c r="D754" s="18">
        <v>79387.831600000005</v>
      </c>
      <c r="E754" s="18">
        <v>107210.96509339625</v>
      </c>
      <c r="F754" s="18">
        <v>0</v>
      </c>
      <c r="G754" s="18">
        <v>0</v>
      </c>
      <c r="H754" s="19">
        <v>0.35047100963261801</v>
      </c>
      <c r="I754" s="19">
        <v>0</v>
      </c>
      <c r="J754" s="19">
        <v>0.35047100963261801</v>
      </c>
    </row>
    <row r="755" spans="1:10" ht="11.25" customHeight="1" x14ac:dyDescent="0.2">
      <c r="A755" s="28">
        <v>44621</v>
      </c>
      <c r="B755" s="18">
        <v>0</v>
      </c>
      <c r="C755" s="18">
        <v>0</v>
      </c>
      <c r="D755" s="18">
        <v>69070.402239999996</v>
      </c>
      <c r="E755" s="18">
        <v>93277.575848783832</v>
      </c>
      <c r="F755" s="18">
        <v>0</v>
      </c>
      <c r="G755" s="18">
        <v>0</v>
      </c>
      <c r="H755" s="19">
        <v>0.35047100963261801</v>
      </c>
      <c r="I755" s="19">
        <v>0</v>
      </c>
      <c r="J755" s="19">
        <v>0.35047100963261801</v>
      </c>
    </row>
    <row r="756" spans="1:10" ht="11.25" customHeight="1" x14ac:dyDescent="0.2">
      <c r="A756" s="28">
        <v>44652</v>
      </c>
      <c r="B756" s="18">
        <v>0</v>
      </c>
      <c r="C756" s="18">
        <v>0</v>
      </c>
      <c r="D756" s="18">
        <v>69070.402239999996</v>
      </c>
      <c r="E756" s="18">
        <v>93277.575848783832</v>
      </c>
      <c r="F756" s="18">
        <v>0</v>
      </c>
      <c r="G756" s="18">
        <v>0</v>
      </c>
      <c r="H756" s="19">
        <v>0.35047100963261801</v>
      </c>
      <c r="I756" s="19">
        <v>0</v>
      </c>
      <c r="J756" s="19">
        <v>0.35047100963261801</v>
      </c>
    </row>
    <row r="757" spans="1:10" ht="11.25" customHeight="1" x14ac:dyDescent="0.2">
      <c r="A757" s="28">
        <v>44682</v>
      </c>
      <c r="B757" s="18">
        <v>0</v>
      </c>
      <c r="C757" s="18">
        <v>0</v>
      </c>
      <c r="D757" s="18">
        <v>66944.273759999996</v>
      </c>
      <c r="E757" s="18">
        <v>90406.300973789563</v>
      </c>
      <c r="F757" s="18">
        <v>0</v>
      </c>
      <c r="G757" s="18">
        <v>0</v>
      </c>
      <c r="H757" s="19">
        <v>0.35047100963261779</v>
      </c>
      <c r="I757" s="19">
        <v>0</v>
      </c>
      <c r="J757" s="19">
        <v>0.35047100963261779</v>
      </c>
    </row>
    <row r="758" spans="1:10" ht="11.25" customHeight="1" x14ac:dyDescent="0.2">
      <c r="A758" s="28">
        <v>44713</v>
      </c>
      <c r="B758" s="18">
        <v>0</v>
      </c>
      <c r="C758" s="18">
        <v>0</v>
      </c>
      <c r="D758" s="18">
        <v>66144.190279999995</v>
      </c>
      <c r="E758" s="18">
        <v>89325.811428763598</v>
      </c>
      <c r="F758" s="18">
        <v>0</v>
      </c>
      <c r="G758" s="18">
        <v>0</v>
      </c>
      <c r="H758" s="19">
        <v>0.35047100963261801</v>
      </c>
      <c r="I758" s="19">
        <v>0</v>
      </c>
      <c r="J758" s="19">
        <v>0.35047100963261801</v>
      </c>
    </row>
    <row r="759" spans="1:10" ht="11.25" customHeight="1" x14ac:dyDescent="0.2">
      <c r="A759" s="27" t="s">
        <v>37</v>
      </c>
      <c r="B759" s="18">
        <v>893772</v>
      </c>
      <c r="C759" s="18">
        <v>1057359.6993656114</v>
      </c>
      <c r="D759" s="18">
        <v>0</v>
      </c>
      <c r="E759" s="18">
        <v>0</v>
      </c>
      <c r="F759" s="18">
        <v>0</v>
      </c>
      <c r="G759" s="18">
        <v>0</v>
      </c>
      <c r="H759" s="19">
        <v>0.18303068273073153</v>
      </c>
      <c r="I759" s="19">
        <v>0</v>
      </c>
      <c r="J759" s="19">
        <v>0.18303068273073153</v>
      </c>
    </row>
    <row r="760" spans="1:10" ht="11.25" customHeight="1" x14ac:dyDescent="0.2">
      <c r="A760" s="28">
        <v>44378</v>
      </c>
      <c r="B760" s="18">
        <v>74481</v>
      </c>
      <c r="C760" s="18">
        <v>88113.308280467594</v>
      </c>
      <c r="D760" s="18">
        <v>0</v>
      </c>
      <c r="E760" s="18">
        <v>0</v>
      </c>
      <c r="F760" s="18">
        <v>0</v>
      </c>
      <c r="G760" s="18">
        <v>0</v>
      </c>
      <c r="H760" s="19">
        <v>0.18303068273073131</v>
      </c>
      <c r="I760" s="19">
        <v>0</v>
      </c>
      <c r="J760" s="19">
        <v>0.18303068273073131</v>
      </c>
    </row>
    <row r="761" spans="1:10" ht="11.25" customHeight="1" x14ac:dyDescent="0.2">
      <c r="A761" s="28">
        <v>44409</v>
      </c>
      <c r="B761" s="18">
        <v>74481</v>
      </c>
      <c r="C761" s="18">
        <v>88113.308280467594</v>
      </c>
      <c r="D761" s="18">
        <v>0</v>
      </c>
      <c r="E761" s="18">
        <v>0</v>
      </c>
      <c r="F761" s="18">
        <v>0</v>
      </c>
      <c r="G761" s="18">
        <v>0</v>
      </c>
      <c r="H761" s="19">
        <v>0.18303068273073131</v>
      </c>
      <c r="I761" s="19">
        <v>0</v>
      </c>
      <c r="J761" s="19">
        <v>0.18303068273073131</v>
      </c>
    </row>
    <row r="762" spans="1:10" ht="11.25" customHeight="1" x14ac:dyDescent="0.2">
      <c r="A762" s="28">
        <v>44440</v>
      </c>
      <c r="B762" s="18">
        <v>74481</v>
      </c>
      <c r="C762" s="18">
        <v>88113.308280467594</v>
      </c>
      <c r="D762" s="18">
        <v>0</v>
      </c>
      <c r="E762" s="18">
        <v>0</v>
      </c>
      <c r="F762" s="18">
        <v>0</v>
      </c>
      <c r="G762" s="18">
        <v>0</v>
      </c>
      <c r="H762" s="19">
        <v>0.18303068273073131</v>
      </c>
      <c r="I762" s="19">
        <v>0</v>
      </c>
      <c r="J762" s="19">
        <v>0.18303068273073131</v>
      </c>
    </row>
    <row r="763" spans="1:10" ht="11.25" customHeight="1" x14ac:dyDescent="0.2">
      <c r="A763" s="28">
        <v>44470</v>
      </c>
      <c r="B763" s="18">
        <v>74481</v>
      </c>
      <c r="C763" s="18">
        <v>88113.308280467594</v>
      </c>
      <c r="D763" s="18">
        <v>0</v>
      </c>
      <c r="E763" s="18">
        <v>0</v>
      </c>
      <c r="F763" s="18">
        <v>0</v>
      </c>
      <c r="G763" s="18">
        <v>0</v>
      </c>
      <c r="H763" s="19">
        <v>0.18303068273073131</v>
      </c>
      <c r="I763" s="19">
        <v>0</v>
      </c>
      <c r="J763" s="19">
        <v>0.18303068273073131</v>
      </c>
    </row>
    <row r="764" spans="1:10" ht="11.25" customHeight="1" x14ac:dyDescent="0.2">
      <c r="A764" s="28">
        <v>44501</v>
      </c>
      <c r="B764" s="18">
        <v>74481</v>
      </c>
      <c r="C764" s="18">
        <v>88113.308280467594</v>
      </c>
      <c r="D764" s="18">
        <v>0</v>
      </c>
      <c r="E764" s="18">
        <v>0</v>
      </c>
      <c r="F764" s="18">
        <v>0</v>
      </c>
      <c r="G764" s="18">
        <v>0</v>
      </c>
      <c r="H764" s="19">
        <v>0.18303068273073131</v>
      </c>
      <c r="I764" s="19">
        <v>0</v>
      </c>
      <c r="J764" s="19">
        <v>0.18303068273073131</v>
      </c>
    </row>
    <row r="765" spans="1:10" ht="11.25" customHeight="1" x14ac:dyDescent="0.2">
      <c r="A765" s="28">
        <v>44531</v>
      </c>
      <c r="B765" s="18">
        <v>74481</v>
      </c>
      <c r="C765" s="18">
        <v>88113.308280467594</v>
      </c>
      <c r="D765" s="18">
        <v>0</v>
      </c>
      <c r="E765" s="18">
        <v>0</v>
      </c>
      <c r="F765" s="18">
        <v>0</v>
      </c>
      <c r="G765" s="18">
        <v>0</v>
      </c>
      <c r="H765" s="19">
        <v>0.18303068273073131</v>
      </c>
      <c r="I765" s="19">
        <v>0</v>
      </c>
      <c r="J765" s="19">
        <v>0.18303068273073131</v>
      </c>
    </row>
    <row r="766" spans="1:10" ht="11.25" customHeight="1" x14ac:dyDescent="0.2">
      <c r="A766" s="28">
        <v>44562</v>
      </c>
      <c r="B766" s="18">
        <v>74481</v>
      </c>
      <c r="C766" s="18">
        <v>88113.308280467594</v>
      </c>
      <c r="D766" s="18">
        <v>0</v>
      </c>
      <c r="E766" s="18">
        <v>0</v>
      </c>
      <c r="F766" s="18">
        <v>0</v>
      </c>
      <c r="G766" s="18">
        <v>0</v>
      </c>
      <c r="H766" s="19">
        <v>0.18303068273073131</v>
      </c>
      <c r="I766" s="19">
        <v>0</v>
      </c>
      <c r="J766" s="19">
        <v>0.18303068273073131</v>
      </c>
    </row>
    <row r="767" spans="1:10" ht="11.25" customHeight="1" x14ac:dyDescent="0.2">
      <c r="A767" s="28">
        <v>44593</v>
      </c>
      <c r="B767" s="18">
        <v>74481</v>
      </c>
      <c r="C767" s="18">
        <v>88113.308280467594</v>
      </c>
      <c r="D767" s="18">
        <v>0</v>
      </c>
      <c r="E767" s="18">
        <v>0</v>
      </c>
      <c r="F767" s="18">
        <v>0</v>
      </c>
      <c r="G767" s="18">
        <v>0</v>
      </c>
      <c r="H767" s="19">
        <v>0.18303068273073131</v>
      </c>
      <c r="I767" s="19">
        <v>0</v>
      </c>
      <c r="J767" s="19">
        <v>0.18303068273073131</v>
      </c>
    </row>
    <row r="768" spans="1:10" ht="11.25" customHeight="1" x14ac:dyDescent="0.2">
      <c r="A768" s="28">
        <v>44621</v>
      </c>
      <c r="B768" s="18">
        <v>74481</v>
      </c>
      <c r="C768" s="18">
        <v>88113.308280467594</v>
      </c>
      <c r="D768" s="18">
        <v>0</v>
      </c>
      <c r="E768" s="18">
        <v>0</v>
      </c>
      <c r="F768" s="18">
        <v>0</v>
      </c>
      <c r="G768" s="18">
        <v>0</v>
      </c>
      <c r="H768" s="19">
        <v>0.18303068273073131</v>
      </c>
      <c r="I768" s="19">
        <v>0</v>
      </c>
      <c r="J768" s="19">
        <v>0.18303068273073131</v>
      </c>
    </row>
    <row r="769" spans="1:10" ht="11.25" customHeight="1" x14ac:dyDescent="0.2">
      <c r="A769" s="28">
        <v>44652</v>
      </c>
      <c r="B769" s="18">
        <v>74481</v>
      </c>
      <c r="C769" s="18">
        <v>88113.308280467594</v>
      </c>
      <c r="D769" s="18">
        <v>0</v>
      </c>
      <c r="E769" s="18">
        <v>0</v>
      </c>
      <c r="F769" s="18">
        <v>0</v>
      </c>
      <c r="G769" s="18">
        <v>0</v>
      </c>
      <c r="H769" s="19">
        <v>0.18303068273073131</v>
      </c>
      <c r="I769" s="19">
        <v>0</v>
      </c>
      <c r="J769" s="19">
        <v>0.18303068273073131</v>
      </c>
    </row>
    <row r="770" spans="1:10" ht="11.25" customHeight="1" x14ac:dyDescent="0.2">
      <c r="A770" s="28">
        <v>44682</v>
      </c>
      <c r="B770" s="18">
        <v>74481</v>
      </c>
      <c r="C770" s="18">
        <v>88113.308280467594</v>
      </c>
      <c r="D770" s="18">
        <v>0</v>
      </c>
      <c r="E770" s="18">
        <v>0</v>
      </c>
      <c r="F770" s="18">
        <v>0</v>
      </c>
      <c r="G770" s="18">
        <v>0</v>
      </c>
      <c r="H770" s="19">
        <v>0.18303068273073131</v>
      </c>
      <c r="I770" s="19">
        <v>0</v>
      </c>
      <c r="J770" s="19">
        <v>0.18303068273073131</v>
      </c>
    </row>
    <row r="771" spans="1:10" ht="11.25" customHeight="1" x14ac:dyDescent="0.2">
      <c r="A771" s="28">
        <v>44713</v>
      </c>
      <c r="B771" s="18">
        <v>74481</v>
      </c>
      <c r="C771" s="18">
        <v>88113.308280467594</v>
      </c>
      <c r="D771" s="18">
        <v>0</v>
      </c>
      <c r="E771" s="18">
        <v>0</v>
      </c>
      <c r="F771" s="18">
        <v>0</v>
      </c>
      <c r="G771" s="18">
        <v>0</v>
      </c>
      <c r="H771" s="19">
        <v>0.18303068273073131</v>
      </c>
      <c r="I771" s="19">
        <v>0</v>
      </c>
      <c r="J771" s="19">
        <v>0.18303068273073131</v>
      </c>
    </row>
    <row r="772" spans="1:10" ht="11.25" customHeight="1" x14ac:dyDescent="0.2">
      <c r="A772" s="21" t="s">
        <v>35</v>
      </c>
      <c r="B772" s="18">
        <v>4437375.6248200005</v>
      </c>
      <c r="C772" s="18">
        <v>4670900.7201952813</v>
      </c>
      <c r="D772" s="18">
        <v>3228060.5832964596</v>
      </c>
      <c r="E772" s="18">
        <v>4151158.6955396663</v>
      </c>
      <c r="F772" s="18">
        <v>0</v>
      </c>
      <c r="G772" s="18">
        <v>0</v>
      </c>
      <c r="H772" s="19">
        <v>0.1508881133723099</v>
      </c>
      <c r="I772" s="19">
        <v>0</v>
      </c>
      <c r="J772" s="19">
        <v>0.1508881133723099</v>
      </c>
    </row>
    <row r="773" spans="1:10" ht="11.25" customHeight="1" x14ac:dyDescent="0.2">
      <c r="A773" s="22" t="s">
        <v>36</v>
      </c>
      <c r="B773" s="18">
        <v>3868182.1549999998</v>
      </c>
      <c r="C773" s="18">
        <v>4067424.3359264084</v>
      </c>
      <c r="D773" s="18">
        <v>2139988.81513</v>
      </c>
      <c r="E773" s="18">
        <v>2845440.980439438</v>
      </c>
      <c r="F773" s="18">
        <v>0</v>
      </c>
      <c r="G773" s="18">
        <v>0</v>
      </c>
      <c r="H773" s="19">
        <v>0.1505773305609297</v>
      </c>
      <c r="I773" s="19">
        <v>0</v>
      </c>
      <c r="J773" s="19">
        <v>0.1505773305609297</v>
      </c>
    </row>
    <row r="774" spans="1:10" ht="11.25" customHeight="1" x14ac:dyDescent="0.2">
      <c r="A774" s="23" t="s">
        <v>34</v>
      </c>
      <c r="B774" s="18">
        <v>3868182.1549999998</v>
      </c>
      <c r="C774" s="18">
        <v>4067424.3359264084</v>
      </c>
      <c r="D774" s="18">
        <v>2139988.81513</v>
      </c>
      <c r="E774" s="18">
        <v>2845440.980439438</v>
      </c>
      <c r="F774" s="18">
        <v>0</v>
      </c>
      <c r="G774" s="18">
        <v>0</v>
      </c>
      <c r="H774" s="19">
        <v>0.1505773305609297</v>
      </c>
      <c r="I774" s="19">
        <v>0</v>
      </c>
      <c r="J774" s="19">
        <v>0.1505773305609297</v>
      </c>
    </row>
    <row r="775" spans="1:10" ht="11.25" customHeight="1" x14ac:dyDescent="0.2">
      <c r="A775" s="24" t="s">
        <v>25</v>
      </c>
      <c r="B775" s="18">
        <v>3868182.1549999998</v>
      </c>
      <c r="C775" s="18">
        <v>4067424.3359264084</v>
      </c>
      <c r="D775" s="18">
        <v>2139988.81513</v>
      </c>
      <c r="E775" s="18">
        <v>2845440.980439438</v>
      </c>
      <c r="F775" s="18">
        <v>0</v>
      </c>
      <c r="G775" s="18">
        <v>0</v>
      </c>
      <c r="H775" s="19">
        <v>0.1505773305609297</v>
      </c>
      <c r="I775" s="19">
        <v>0</v>
      </c>
      <c r="J775" s="19">
        <v>0.1505773305609297</v>
      </c>
    </row>
    <row r="776" spans="1:10" ht="11.25" customHeight="1" x14ac:dyDescent="0.2">
      <c r="A776" s="25" t="s">
        <v>55</v>
      </c>
      <c r="B776" s="18">
        <v>3868182.1549999998</v>
      </c>
      <c r="C776" s="18">
        <v>4067424.3359264084</v>
      </c>
      <c r="D776" s="18">
        <v>2139988.81513</v>
      </c>
      <c r="E776" s="18">
        <v>2845440.980439438</v>
      </c>
      <c r="F776" s="18">
        <v>0</v>
      </c>
      <c r="G776" s="18">
        <v>0</v>
      </c>
      <c r="H776" s="19">
        <v>0.1505773305609297</v>
      </c>
      <c r="I776" s="19">
        <v>0</v>
      </c>
      <c r="J776" s="19">
        <v>0.1505773305609297</v>
      </c>
    </row>
    <row r="777" spans="1:10" ht="11.25" customHeight="1" x14ac:dyDescent="0.2">
      <c r="A777" s="26" t="s">
        <v>25</v>
      </c>
      <c r="B777" s="18">
        <v>3868182.1549999998</v>
      </c>
      <c r="C777" s="18">
        <v>4067424.3359264084</v>
      </c>
      <c r="D777" s="18">
        <v>2139988.81513</v>
      </c>
      <c r="E777" s="18">
        <v>2845440.980439438</v>
      </c>
      <c r="F777" s="18">
        <v>0</v>
      </c>
      <c r="G777" s="18">
        <v>0</v>
      </c>
      <c r="H777" s="19">
        <v>0.1505773305609297</v>
      </c>
      <c r="I777" s="19">
        <v>0</v>
      </c>
      <c r="J777" s="19">
        <v>0.1505773305609297</v>
      </c>
    </row>
    <row r="778" spans="1:10" ht="11.25" customHeight="1" x14ac:dyDescent="0.2">
      <c r="A778" s="27" t="s">
        <v>38</v>
      </c>
      <c r="B778" s="18">
        <v>1692348.4750000003</v>
      </c>
      <c r="C778" s="18">
        <v>1794279.7884503361</v>
      </c>
      <c r="D778" s="18">
        <v>0</v>
      </c>
      <c r="E778" s="18">
        <v>0</v>
      </c>
      <c r="F778" s="18">
        <v>0</v>
      </c>
      <c r="G778" s="18">
        <v>0</v>
      </c>
      <c r="H778" s="19">
        <v>6.0230688274963917E-2</v>
      </c>
      <c r="I778" s="19">
        <v>0</v>
      </c>
      <c r="J778" s="19">
        <v>6.0230688274963917E-2</v>
      </c>
    </row>
    <row r="779" spans="1:10" ht="11.25" customHeight="1" x14ac:dyDescent="0.2">
      <c r="A779" s="28">
        <v>44378</v>
      </c>
      <c r="B779" s="18">
        <v>131530.42000000001</v>
      </c>
      <c r="C779" s="18">
        <v>139452.58772569511</v>
      </c>
      <c r="D779" s="18">
        <v>0</v>
      </c>
      <c r="E779" s="18">
        <v>0</v>
      </c>
      <c r="F779" s="18">
        <v>0</v>
      </c>
      <c r="G779" s="18">
        <v>0</v>
      </c>
      <c r="H779" s="19">
        <v>6.0230688274963917E-2</v>
      </c>
      <c r="I779" s="19">
        <v>0</v>
      </c>
      <c r="J779" s="19">
        <v>6.0230688274963917E-2</v>
      </c>
    </row>
    <row r="780" spans="1:10" ht="11.25" customHeight="1" x14ac:dyDescent="0.2">
      <c r="A780" s="28">
        <v>44409</v>
      </c>
      <c r="B780" s="18">
        <v>128586.29500000001</v>
      </c>
      <c r="C780" s="18">
        <v>136331.13605057757</v>
      </c>
      <c r="D780" s="18">
        <v>0</v>
      </c>
      <c r="E780" s="18">
        <v>0</v>
      </c>
      <c r="F780" s="18">
        <v>0</v>
      </c>
      <c r="G780" s="18">
        <v>0</v>
      </c>
      <c r="H780" s="19">
        <v>6.0230688274963917E-2</v>
      </c>
      <c r="I780" s="19">
        <v>0</v>
      </c>
      <c r="J780" s="19">
        <v>6.0230688274963917E-2</v>
      </c>
    </row>
    <row r="781" spans="1:10" ht="11.25" customHeight="1" x14ac:dyDescent="0.2">
      <c r="A781" s="28">
        <v>44440</v>
      </c>
      <c r="B781" s="18">
        <v>132485.625</v>
      </c>
      <c r="C781" s="18">
        <v>140465.32538028879</v>
      </c>
      <c r="D781" s="18">
        <v>0</v>
      </c>
      <c r="E781" s="18">
        <v>0</v>
      </c>
      <c r="F781" s="18">
        <v>0</v>
      </c>
      <c r="G781" s="18">
        <v>0</v>
      </c>
      <c r="H781" s="19">
        <v>6.0230688274964139E-2</v>
      </c>
      <c r="I781" s="19">
        <v>0</v>
      </c>
      <c r="J781" s="19">
        <v>6.0230688274964139E-2</v>
      </c>
    </row>
    <row r="782" spans="1:10" ht="11.25" customHeight="1" x14ac:dyDescent="0.2">
      <c r="A782" s="28">
        <v>44470</v>
      </c>
      <c r="B782" s="18">
        <v>135599.85500000001</v>
      </c>
      <c r="C782" s="18">
        <v>143767.12759663534</v>
      </c>
      <c r="D782" s="18">
        <v>0</v>
      </c>
      <c r="E782" s="18">
        <v>0</v>
      </c>
      <c r="F782" s="18">
        <v>0</v>
      </c>
      <c r="G782" s="18">
        <v>0</v>
      </c>
      <c r="H782" s="19">
        <v>6.0230688274964139E-2</v>
      </c>
      <c r="I782" s="19">
        <v>0</v>
      </c>
      <c r="J782" s="19">
        <v>6.0230688274964139E-2</v>
      </c>
    </row>
    <row r="783" spans="1:10" ht="11.25" customHeight="1" x14ac:dyDescent="0.2">
      <c r="A783" s="28">
        <v>44501</v>
      </c>
      <c r="B783" s="18">
        <v>134657.73500000002</v>
      </c>
      <c r="C783" s="18">
        <v>142768.26306059773</v>
      </c>
      <c r="D783" s="18">
        <v>0</v>
      </c>
      <c r="E783" s="18">
        <v>0</v>
      </c>
      <c r="F783" s="18">
        <v>0</v>
      </c>
      <c r="G783" s="18">
        <v>0</v>
      </c>
      <c r="H783" s="19">
        <v>6.0230688274964139E-2</v>
      </c>
      <c r="I783" s="19">
        <v>0</v>
      </c>
      <c r="J783" s="19">
        <v>6.0230688274964139E-2</v>
      </c>
    </row>
    <row r="784" spans="1:10" ht="11.25" customHeight="1" x14ac:dyDescent="0.2">
      <c r="A784" s="28">
        <v>44531</v>
      </c>
      <c r="B784" s="18">
        <v>134657.73500000002</v>
      </c>
      <c r="C784" s="18">
        <v>142768.26306059773</v>
      </c>
      <c r="D784" s="18">
        <v>0</v>
      </c>
      <c r="E784" s="18">
        <v>0</v>
      </c>
      <c r="F784" s="18">
        <v>0</v>
      </c>
      <c r="G784" s="18">
        <v>0</v>
      </c>
      <c r="H784" s="19">
        <v>6.0230688274964139E-2</v>
      </c>
      <c r="I784" s="19">
        <v>0</v>
      </c>
      <c r="J784" s="19">
        <v>6.0230688274964139E-2</v>
      </c>
    </row>
    <row r="785" spans="1:10" ht="11.25" customHeight="1" x14ac:dyDescent="0.2">
      <c r="A785" s="28">
        <v>44562</v>
      </c>
      <c r="B785" s="18">
        <v>134696.99000000002</v>
      </c>
      <c r="C785" s="18">
        <v>142809.88241626596</v>
      </c>
      <c r="D785" s="18">
        <v>0</v>
      </c>
      <c r="E785" s="18">
        <v>0</v>
      </c>
      <c r="F785" s="18">
        <v>0</v>
      </c>
      <c r="G785" s="18">
        <v>0</v>
      </c>
      <c r="H785" s="19">
        <v>6.0230688274963917E-2</v>
      </c>
      <c r="I785" s="19">
        <v>0</v>
      </c>
      <c r="J785" s="19">
        <v>6.0230688274963917E-2</v>
      </c>
    </row>
    <row r="786" spans="1:10" ht="11.25" customHeight="1" x14ac:dyDescent="0.2">
      <c r="A786" s="28">
        <v>44593</v>
      </c>
      <c r="B786" s="18">
        <v>140402.05000000002</v>
      </c>
      <c r="C786" s="18">
        <v>148858.56210671592</v>
      </c>
      <c r="D786" s="18">
        <v>0</v>
      </c>
      <c r="E786" s="18">
        <v>0</v>
      </c>
      <c r="F786" s="18">
        <v>0</v>
      </c>
      <c r="G786" s="18">
        <v>0</v>
      </c>
      <c r="H786" s="19">
        <v>6.0230688274963917E-2</v>
      </c>
      <c r="I786" s="19">
        <v>0</v>
      </c>
      <c r="J786" s="19">
        <v>6.0230688274963917E-2</v>
      </c>
    </row>
    <row r="787" spans="1:10" ht="11.25" customHeight="1" x14ac:dyDescent="0.2">
      <c r="A787" s="28">
        <v>44621</v>
      </c>
      <c r="B787" s="18">
        <v>138674.83000000002</v>
      </c>
      <c r="C787" s="18">
        <v>147027.31045731364</v>
      </c>
      <c r="D787" s="18">
        <v>0</v>
      </c>
      <c r="E787" s="18">
        <v>0</v>
      </c>
      <c r="F787" s="18">
        <v>0</v>
      </c>
      <c r="G787" s="18">
        <v>0</v>
      </c>
      <c r="H787" s="19">
        <v>6.0230688274963917E-2</v>
      </c>
      <c r="I787" s="19">
        <v>0</v>
      </c>
      <c r="J787" s="19">
        <v>6.0230688274963917E-2</v>
      </c>
    </row>
    <row r="788" spans="1:10" ht="11.25" customHeight="1" x14ac:dyDescent="0.2">
      <c r="A788" s="28">
        <v>44652</v>
      </c>
      <c r="B788" s="18">
        <v>138674.83000000002</v>
      </c>
      <c r="C788" s="18">
        <v>147027.31045731364</v>
      </c>
      <c r="D788" s="18">
        <v>0</v>
      </c>
      <c r="E788" s="18">
        <v>0</v>
      </c>
      <c r="F788" s="18">
        <v>0</v>
      </c>
      <c r="G788" s="18">
        <v>0</v>
      </c>
      <c r="H788" s="19">
        <v>6.0230688274963917E-2</v>
      </c>
      <c r="I788" s="19">
        <v>0</v>
      </c>
      <c r="J788" s="19">
        <v>6.0230688274963917E-2</v>
      </c>
    </row>
    <row r="789" spans="1:10" ht="11.25" customHeight="1" x14ac:dyDescent="0.2">
      <c r="A789" s="28">
        <v>44682</v>
      </c>
      <c r="B789" s="18">
        <v>169660.11000000002</v>
      </c>
      <c r="C789" s="18">
        <v>179878.85519810612</v>
      </c>
      <c r="D789" s="18">
        <v>0</v>
      </c>
      <c r="E789" s="18">
        <v>0</v>
      </c>
      <c r="F789" s="18">
        <v>0</v>
      </c>
      <c r="G789" s="18">
        <v>0</v>
      </c>
      <c r="H789" s="19">
        <v>6.0230688274963917E-2</v>
      </c>
      <c r="I789" s="19">
        <v>0</v>
      </c>
      <c r="J789" s="19">
        <v>6.0230688274963917E-2</v>
      </c>
    </row>
    <row r="790" spans="1:10" ht="11.25" customHeight="1" x14ac:dyDescent="0.2">
      <c r="A790" s="28">
        <v>44713</v>
      </c>
      <c r="B790" s="18">
        <v>172722</v>
      </c>
      <c r="C790" s="18">
        <v>183125.16494022834</v>
      </c>
      <c r="D790" s="18">
        <v>0</v>
      </c>
      <c r="E790" s="18">
        <v>0</v>
      </c>
      <c r="F790" s="18">
        <v>0</v>
      </c>
      <c r="G790" s="18">
        <v>0</v>
      </c>
      <c r="H790" s="19">
        <v>6.0230688274963917E-2</v>
      </c>
      <c r="I790" s="19">
        <v>0</v>
      </c>
      <c r="J790" s="19">
        <v>6.0230688274963917E-2</v>
      </c>
    </row>
    <row r="791" spans="1:10" ht="11.25" customHeight="1" x14ac:dyDescent="0.2">
      <c r="A791" s="27" t="s">
        <v>25</v>
      </c>
      <c r="B791" s="18">
        <v>0</v>
      </c>
      <c r="C791" s="18">
        <v>0</v>
      </c>
      <c r="D791" s="18">
        <v>2139988.81513</v>
      </c>
      <c r="E791" s="18">
        <v>2845440.980439438</v>
      </c>
      <c r="F791" s="18">
        <v>0</v>
      </c>
      <c r="G791" s="18">
        <v>0</v>
      </c>
      <c r="H791" s="19">
        <v>0.3296522674893434</v>
      </c>
      <c r="I791" s="19">
        <v>0</v>
      </c>
      <c r="J791" s="19">
        <v>0.3296522674893434</v>
      </c>
    </row>
    <row r="792" spans="1:10" ht="11.25" customHeight="1" x14ac:dyDescent="0.2">
      <c r="A792" s="28">
        <v>44378</v>
      </c>
      <c r="B792" s="18">
        <v>0</v>
      </c>
      <c r="C792" s="18">
        <v>0</v>
      </c>
      <c r="D792" s="18">
        <v>146326.79550499999</v>
      </c>
      <c r="E792" s="18">
        <v>194563.75543767275</v>
      </c>
      <c r="F792" s="18">
        <v>0</v>
      </c>
      <c r="G792" s="18">
        <v>0</v>
      </c>
      <c r="H792" s="19">
        <v>0.32965226748934384</v>
      </c>
      <c r="I792" s="19">
        <v>0</v>
      </c>
      <c r="J792" s="19">
        <v>0.32965226748934384</v>
      </c>
    </row>
    <row r="793" spans="1:10" ht="11.25" customHeight="1" x14ac:dyDescent="0.2">
      <c r="A793" s="28">
        <v>44409</v>
      </c>
      <c r="B793" s="18">
        <v>0</v>
      </c>
      <c r="C793" s="18">
        <v>0</v>
      </c>
      <c r="D793" s="18">
        <v>152991.47716999997</v>
      </c>
      <c r="E793" s="18">
        <v>203425.46452563466</v>
      </c>
      <c r="F793" s="18">
        <v>0</v>
      </c>
      <c r="G793" s="18">
        <v>0</v>
      </c>
      <c r="H793" s="19">
        <v>0.32965226748934384</v>
      </c>
      <c r="I793" s="19">
        <v>0</v>
      </c>
      <c r="J793" s="19">
        <v>0.32965226748934384</v>
      </c>
    </row>
    <row r="794" spans="1:10" ht="11.25" customHeight="1" x14ac:dyDescent="0.2">
      <c r="A794" s="28">
        <v>44440</v>
      </c>
      <c r="B794" s="18">
        <v>0</v>
      </c>
      <c r="C794" s="18">
        <v>0</v>
      </c>
      <c r="D794" s="18">
        <v>149486.74901999999</v>
      </c>
      <c r="E794" s="18">
        <v>198765.39479405343</v>
      </c>
      <c r="F794" s="18">
        <v>0</v>
      </c>
      <c r="G794" s="18">
        <v>0</v>
      </c>
      <c r="H794" s="19">
        <v>0.32965226748934384</v>
      </c>
      <c r="I794" s="19">
        <v>0</v>
      </c>
      <c r="J794" s="19">
        <v>0.32965226748934384</v>
      </c>
    </row>
    <row r="795" spans="1:10" ht="11.25" customHeight="1" x14ac:dyDescent="0.2">
      <c r="A795" s="28">
        <v>44470</v>
      </c>
      <c r="B795" s="18">
        <v>0</v>
      </c>
      <c r="C795" s="18">
        <v>0</v>
      </c>
      <c r="D795" s="18">
        <v>151815.25468499996</v>
      </c>
      <c r="E795" s="18">
        <v>201861.49763138243</v>
      </c>
      <c r="F795" s="18">
        <v>0</v>
      </c>
      <c r="G795" s="18">
        <v>0</v>
      </c>
      <c r="H795" s="19">
        <v>0.32965226748934384</v>
      </c>
      <c r="I795" s="19">
        <v>0</v>
      </c>
      <c r="J795" s="19">
        <v>0.32965226748934384</v>
      </c>
    </row>
    <row r="796" spans="1:10" ht="11.25" customHeight="1" x14ac:dyDescent="0.2">
      <c r="A796" s="28">
        <v>44501</v>
      </c>
      <c r="B796" s="18">
        <v>0</v>
      </c>
      <c r="C796" s="18">
        <v>0</v>
      </c>
      <c r="D796" s="18">
        <v>160642.81259999998</v>
      </c>
      <c r="E796" s="18">
        <v>213599.08002945568</v>
      </c>
      <c r="F796" s="18">
        <v>0</v>
      </c>
      <c r="G796" s="18">
        <v>0</v>
      </c>
      <c r="H796" s="19">
        <v>0.32965226748934362</v>
      </c>
      <c r="I796" s="19">
        <v>0</v>
      </c>
      <c r="J796" s="19">
        <v>0.32965226748934362</v>
      </c>
    </row>
    <row r="797" spans="1:10" ht="11.25" customHeight="1" x14ac:dyDescent="0.2">
      <c r="A797" s="28">
        <v>44531</v>
      </c>
      <c r="B797" s="18">
        <v>0</v>
      </c>
      <c r="C797" s="18">
        <v>0</v>
      </c>
      <c r="D797" s="18">
        <v>160642.81259999998</v>
      </c>
      <c r="E797" s="18">
        <v>213599.08002945568</v>
      </c>
      <c r="F797" s="18">
        <v>0</v>
      </c>
      <c r="G797" s="18">
        <v>0</v>
      </c>
      <c r="H797" s="19">
        <v>0.32965226748934362</v>
      </c>
      <c r="I797" s="19">
        <v>0</v>
      </c>
      <c r="J797" s="19">
        <v>0.32965226748934362</v>
      </c>
    </row>
    <row r="798" spans="1:10" ht="11.25" customHeight="1" x14ac:dyDescent="0.2">
      <c r="A798" s="28">
        <v>44562</v>
      </c>
      <c r="B798" s="18">
        <v>0</v>
      </c>
      <c r="C798" s="18">
        <v>0</v>
      </c>
      <c r="D798" s="18">
        <v>148552.004285</v>
      </c>
      <c r="E798" s="18">
        <v>197522.50933763696</v>
      </c>
      <c r="F798" s="18">
        <v>0</v>
      </c>
      <c r="G798" s="18">
        <v>0</v>
      </c>
      <c r="H798" s="19">
        <v>0.32965226748934384</v>
      </c>
      <c r="I798" s="19">
        <v>0</v>
      </c>
      <c r="J798" s="19">
        <v>0.32965226748934384</v>
      </c>
    </row>
    <row r="799" spans="1:10" ht="11.25" customHeight="1" x14ac:dyDescent="0.2">
      <c r="A799" s="28">
        <v>44593</v>
      </c>
      <c r="B799" s="18">
        <v>0</v>
      </c>
      <c r="C799" s="18">
        <v>0</v>
      </c>
      <c r="D799" s="18">
        <v>150681.24737499998</v>
      </c>
      <c r="E799" s="18">
        <v>200353.66224029145</v>
      </c>
      <c r="F799" s="18">
        <v>0</v>
      </c>
      <c r="G799" s="18">
        <v>0</v>
      </c>
      <c r="H799" s="19">
        <v>0.32965226748934384</v>
      </c>
      <c r="I799" s="19">
        <v>0</v>
      </c>
      <c r="J799" s="19">
        <v>0.32965226748934384</v>
      </c>
    </row>
    <row r="800" spans="1:10" ht="11.25" customHeight="1" x14ac:dyDescent="0.2">
      <c r="A800" s="28">
        <v>44621</v>
      </c>
      <c r="B800" s="18">
        <v>0</v>
      </c>
      <c r="C800" s="18">
        <v>0</v>
      </c>
      <c r="D800" s="18">
        <v>152685.06101499998</v>
      </c>
      <c r="E800" s="18">
        <v>203018.03759034356</v>
      </c>
      <c r="F800" s="18">
        <v>0</v>
      </c>
      <c r="G800" s="18">
        <v>0</v>
      </c>
      <c r="H800" s="19">
        <v>0.32965226748934406</v>
      </c>
      <c r="I800" s="19">
        <v>0</v>
      </c>
      <c r="J800" s="19">
        <v>0.32965226748934406</v>
      </c>
    </row>
    <row r="801" spans="1:10" ht="11.25" customHeight="1" x14ac:dyDescent="0.2">
      <c r="A801" s="28">
        <v>44652</v>
      </c>
      <c r="B801" s="18">
        <v>0</v>
      </c>
      <c r="C801" s="18">
        <v>0</v>
      </c>
      <c r="D801" s="18">
        <v>152685.06101499998</v>
      </c>
      <c r="E801" s="18">
        <v>203018.03759034356</v>
      </c>
      <c r="F801" s="18">
        <v>0</v>
      </c>
      <c r="G801" s="18">
        <v>0</v>
      </c>
      <c r="H801" s="19">
        <v>0.32965226748934406</v>
      </c>
      <c r="I801" s="19">
        <v>0</v>
      </c>
      <c r="J801" s="19">
        <v>0.32965226748934406</v>
      </c>
    </row>
    <row r="802" spans="1:10" ht="11.25" customHeight="1" x14ac:dyDescent="0.2">
      <c r="A802" s="28">
        <v>44682</v>
      </c>
      <c r="B802" s="18">
        <v>0</v>
      </c>
      <c r="C802" s="18">
        <v>0</v>
      </c>
      <c r="D802" s="18">
        <v>349615.37789</v>
      </c>
      <c r="E802" s="18">
        <v>464866.87996058224</v>
      </c>
      <c r="F802" s="18">
        <v>0</v>
      </c>
      <c r="G802" s="18">
        <v>0</v>
      </c>
      <c r="H802" s="19">
        <v>0.32965226748934362</v>
      </c>
      <c r="I802" s="19">
        <v>0</v>
      </c>
      <c r="J802" s="19">
        <v>0.32965226748934362</v>
      </c>
    </row>
    <row r="803" spans="1:10" ht="11.25" customHeight="1" x14ac:dyDescent="0.2">
      <c r="A803" s="28">
        <v>44713</v>
      </c>
      <c r="B803" s="18">
        <v>0</v>
      </c>
      <c r="C803" s="18">
        <v>0</v>
      </c>
      <c r="D803" s="18">
        <v>263864.16196999996</v>
      </c>
      <c r="E803" s="18">
        <v>350847.58127258596</v>
      </c>
      <c r="F803" s="18">
        <v>0</v>
      </c>
      <c r="G803" s="18">
        <v>0</v>
      </c>
      <c r="H803" s="19">
        <v>0.32965226748934384</v>
      </c>
      <c r="I803" s="19">
        <v>0</v>
      </c>
      <c r="J803" s="19">
        <v>0.32965226748934384</v>
      </c>
    </row>
    <row r="804" spans="1:10" ht="11.25" customHeight="1" x14ac:dyDescent="0.2">
      <c r="A804" s="27" t="s">
        <v>37</v>
      </c>
      <c r="B804" s="18">
        <v>2175833.6800000002</v>
      </c>
      <c r="C804" s="18">
        <v>2273144.5474760728</v>
      </c>
      <c r="D804" s="18">
        <v>0</v>
      </c>
      <c r="E804" s="18">
        <v>0</v>
      </c>
      <c r="F804" s="18">
        <v>0</v>
      </c>
      <c r="G804" s="18">
        <v>0</v>
      </c>
      <c r="H804" s="19">
        <v>4.472348616097932E-2</v>
      </c>
      <c r="I804" s="19">
        <v>0</v>
      </c>
      <c r="J804" s="19">
        <v>4.472348616097932E-2</v>
      </c>
    </row>
    <row r="805" spans="1:10" ht="11.25" customHeight="1" x14ac:dyDescent="0.2">
      <c r="A805" s="28">
        <v>44378</v>
      </c>
      <c r="B805" s="18">
        <v>169069.64</v>
      </c>
      <c r="C805" s="18">
        <v>176631.02370478175</v>
      </c>
      <c r="D805" s="18">
        <v>0</v>
      </c>
      <c r="E805" s="18">
        <v>0</v>
      </c>
      <c r="F805" s="18">
        <v>0</v>
      </c>
      <c r="G805" s="18">
        <v>0</v>
      </c>
      <c r="H805" s="19">
        <v>4.4723486160979098E-2</v>
      </c>
      <c r="I805" s="19">
        <v>0</v>
      </c>
      <c r="J805" s="19">
        <v>4.4723486160979098E-2</v>
      </c>
    </row>
    <row r="806" spans="1:10" ht="11.25" customHeight="1" x14ac:dyDescent="0.2">
      <c r="A806" s="28">
        <v>44409</v>
      </c>
      <c r="B806" s="18">
        <v>167775.18000000002</v>
      </c>
      <c r="C806" s="18">
        <v>175278.67094088582</v>
      </c>
      <c r="D806" s="18">
        <v>0</v>
      </c>
      <c r="E806" s="18">
        <v>0</v>
      </c>
      <c r="F806" s="18">
        <v>0</v>
      </c>
      <c r="G806" s="18">
        <v>0</v>
      </c>
      <c r="H806" s="19">
        <v>4.4723486160979098E-2</v>
      </c>
      <c r="I806" s="19">
        <v>0</v>
      </c>
      <c r="J806" s="19">
        <v>4.4723486160979098E-2</v>
      </c>
    </row>
    <row r="807" spans="1:10" ht="11.25" customHeight="1" x14ac:dyDescent="0.2">
      <c r="A807" s="28">
        <v>44440</v>
      </c>
      <c r="B807" s="18">
        <v>167906.82</v>
      </c>
      <c r="C807" s="18">
        <v>175416.19834060405</v>
      </c>
      <c r="D807" s="18">
        <v>0</v>
      </c>
      <c r="E807" s="18">
        <v>0</v>
      </c>
      <c r="F807" s="18">
        <v>0</v>
      </c>
      <c r="G807" s="18">
        <v>0</v>
      </c>
      <c r="H807" s="19">
        <v>4.472348616097932E-2</v>
      </c>
      <c r="I807" s="19">
        <v>0</v>
      </c>
      <c r="J807" s="19">
        <v>4.472348616097932E-2</v>
      </c>
    </row>
    <row r="808" spans="1:10" ht="11.25" customHeight="1" x14ac:dyDescent="0.2">
      <c r="A808" s="28">
        <v>44470</v>
      </c>
      <c r="B808" s="18">
        <v>174028.08000000002</v>
      </c>
      <c r="C808" s="18">
        <v>181811.22242750181</v>
      </c>
      <c r="D808" s="18">
        <v>0</v>
      </c>
      <c r="E808" s="18">
        <v>0</v>
      </c>
      <c r="F808" s="18">
        <v>0</v>
      </c>
      <c r="G808" s="18">
        <v>0</v>
      </c>
      <c r="H808" s="19">
        <v>4.472348616097932E-2</v>
      </c>
      <c r="I808" s="19">
        <v>0</v>
      </c>
      <c r="J808" s="19">
        <v>4.472348616097932E-2</v>
      </c>
    </row>
    <row r="809" spans="1:10" ht="11.25" customHeight="1" x14ac:dyDescent="0.2">
      <c r="A809" s="28">
        <v>44501</v>
      </c>
      <c r="B809" s="18">
        <v>171768.26</v>
      </c>
      <c r="C809" s="18">
        <v>179450.3353990055</v>
      </c>
      <c r="D809" s="18">
        <v>0</v>
      </c>
      <c r="E809" s="18">
        <v>0</v>
      </c>
      <c r="F809" s="18">
        <v>0</v>
      </c>
      <c r="G809" s="18">
        <v>0</v>
      </c>
      <c r="H809" s="19">
        <v>4.472348616097932E-2</v>
      </c>
      <c r="I809" s="19">
        <v>0</v>
      </c>
      <c r="J809" s="19">
        <v>4.472348616097932E-2</v>
      </c>
    </row>
    <row r="810" spans="1:10" ht="11.25" customHeight="1" x14ac:dyDescent="0.2">
      <c r="A810" s="28">
        <v>44531</v>
      </c>
      <c r="B810" s="18">
        <v>171768.26</v>
      </c>
      <c r="C810" s="18">
        <v>179450.3353990055</v>
      </c>
      <c r="D810" s="18">
        <v>0</v>
      </c>
      <c r="E810" s="18">
        <v>0</v>
      </c>
      <c r="F810" s="18">
        <v>0</v>
      </c>
      <c r="G810" s="18">
        <v>0</v>
      </c>
      <c r="H810" s="19">
        <v>4.472348616097932E-2</v>
      </c>
      <c r="I810" s="19">
        <v>0</v>
      </c>
      <c r="J810" s="19">
        <v>4.472348616097932E-2</v>
      </c>
    </row>
    <row r="811" spans="1:10" ht="11.25" customHeight="1" x14ac:dyDescent="0.2">
      <c r="A811" s="28">
        <v>44562</v>
      </c>
      <c r="B811" s="18">
        <v>170188.58000000002</v>
      </c>
      <c r="C811" s="18">
        <v>177800.00660238674</v>
      </c>
      <c r="D811" s="18">
        <v>0</v>
      </c>
      <c r="E811" s="18">
        <v>0</v>
      </c>
      <c r="F811" s="18">
        <v>0</v>
      </c>
      <c r="G811" s="18">
        <v>0</v>
      </c>
      <c r="H811" s="19">
        <v>4.472348616097932E-2</v>
      </c>
      <c r="I811" s="19">
        <v>0</v>
      </c>
      <c r="J811" s="19">
        <v>4.472348616097932E-2</v>
      </c>
    </row>
    <row r="812" spans="1:10" ht="11.25" customHeight="1" x14ac:dyDescent="0.2">
      <c r="A812" s="28">
        <v>44593</v>
      </c>
      <c r="B812" s="18">
        <v>179337.56</v>
      </c>
      <c r="C812" s="18">
        <v>187358.16088280382</v>
      </c>
      <c r="D812" s="18">
        <v>0</v>
      </c>
      <c r="E812" s="18">
        <v>0</v>
      </c>
      <c r="F812" s="18">
        <v>0</v>
      </c>
      <c r="G812" s="18">
        <v>0</v>
      </c>
      <c r="H812" s="19">
        <v>4.472348616097932E-2</v>
      </c>
      <c r="I812" s="19">
        <v>0</v>
      </c>
      <c r="J812" s="19">
        <v>4.472348616097932E-2</v>
      </c>
    </row>
    <row r="813" spans="1:10" ht="11.25" customHeight="1" x14ac:dyDescent="0.2">
      <c r="A813" s="28">
        <v>44621</v>
      </c>
      <c r="B813" s="18">
        <v>177714</v>
      </c>
      <c r="C813" s="18">
        <v>185661.98961961229</v>
      </c>
      <c r="D813" s="18">
        <v>0</v>
      </c>
      <c r="E813" s="18">
        <v>0</v>
      </c>
      <c r="F813" s="18">
        <v>0</v>
      </c>
      <c r="G813" s="18">
        <v>0</v>
      </c>
      <c r="H813" s="19">
        <v>4.472348616097932E-2</v>
      </c>
      <c r="I813" s="19">
        <v>0</v>
      </c>
      <c r="J813" s="19">
        <v>4.472348616097932E-2</v>
      </c>
    </row>
    <row r="814" spans="1:10" ht="11.25" customHeight="1" x14ac:dyDescent="0.2">
      <c r="A814" s="28">
        <v>44652</v>
      </c>
      <c r="B814" s="18">
        <v>177714</v>
      </c>
      <c r="C814" s="18">
        <v>185661.98961961229</v>
      </c>
      <c r="D814" s="18">
        <v>0</v>
      </c>
      <c r="E814" s="18">
        <v>0</v>
      </c>
      <c r="F814" s="18">
        <v>0</v>
      </c>
      <c r="G814" s="18">
        <v>0</v>
      </c>
      <c r="H814" s="19">
        <v>4.472348616097932E-2</v>
      </c>
      <c r="I814" s="19">
        <v>0</v>
      </c>
      <c r="J814" s="19">
        <v>4.472348616097932E-2</v>
      </c>
    </row>
    <row r="815" spans="1:10" ht="11.25" customHeight="1" x14ac:dyDescent="0.2">
      <c r="A815" s="28">
        <v>44682</v>
      </c>
      <c r="B815" s="18">
        <v>220694.46000000002</v>
      </c>
      <c r="C815" s="18">
        <v>230564.68562761482</v>
      </c>
      <c r="D815" s="18">
        <v>0</v>
      </c>
      <c r="E815" s="18">
        <v>0</v>
      </c>
      <c r="F815" s="18">
        <v>0</v>
      </c>
      <c r="G815" s="18">
        <v>0</v>
      </c>
      <c r="H815" s="19">
        <v>4.472348616097932E-2</v>
      </c>
      <c r="I815" s="19">
        <v>0</v>
      </c>
      <c r="J815" s="19">
        <v>4.472348616097932E-2</v>
      </c>
    </row>
    <row r="816" spans="1:10" ht="11.25" customHeight="1" x14ac:dyDescent="0.2">
      <c r="A816" s="28">
        <v>44713</v>
      </c>
      <c r="B816" s="18">
        <v>227868.84000000003</v>
      </c>
      <c r="C816" s="18">
        <v>238059.92891225842</v>
      </c>
      <c r="D816" s="18">
        <v>0</v>
      </c>
      <c r="E816" s="18">
        <v>0</v>
      </c>
      <c r="F816" s="18">
        <v>0</v>
      </c>
      <c r="G816" s="18">
        <v>0</v>
      </c>
      <c r="H816" s="19">
        <v>4.472348616097932E-2</v>
      </c>
      <c r="I816" s="19">
        <v>0</v>
      </c>
      <c r="J816" s="19">
        <v>4.472348616097932E-2</v>
      </c>
    </row>
    <row r="817" spans="1:10" ht="11.25" customHeight="1" x14ac:dyDescent="0.2">
      <c r="A817" s="22" t="s">
        <v>39</v>
      </c>
      <c r="B817" s="18">
        <v>569193.46982</v>
      </c>
      <c r="C817" s="18">
        <v>603476.3842688736</v>
      </c>
      <c r="D817" s="18">
        <v>1088071.7681664599</v>
      </c>
      <c r="E817" s="18">
        <v>1305717.7151002276</v>
      </c>
      <c r="F817" s="18">
        <v>0</v>
      </c>
      <c r="G817" s="18">
        <v>0</v>
      </c>
      <c r="H817" s="19">
        <v>0.15201481067009492</v>
      </c>
      <c r="I817" s="19">
        <v>0</v>
      </c>
      <c r="J817" s="19">
        <v>0.15201481067009492</v>
      </c>
    </row>
    <row r="818" spans="1:10" ht="11.25" customHeight="1" x14ac:dyDescent="0.2">
      <c r="A818" s="23" t="s">
        <v>34</v>
      </c>
      <c r="B818" s="18">
        <v>569193.46982</v>
      </c>
      <c r="C818" s="18">
        <v>603476.3842688736</v>
      </c>
      <c r="D818" s="18">
        <v>1088071.7681664599</v>
      </c>
      <c r="E818" s="18">
        <v>1305717.7151002276</v>
      </c>
      <c r="F818" s="18">
        <v>0</v>
      </c>
      <c r="G818" s="18">
        <v>0</v>
      </c>
      <c r="H818" s="19">
        <v>0.15201481067009492</v>
      </c>
      <c r="I818" s="19">
        <v>0</v>
      </c>
      <c r="J818" s="19">
        <v>0.15201481067009492</v>
      </c>
    </row>
    <row r="819" spans="1:10" ht="11.25" customHeight="1" x14ac:dyDescent="0.2">
      <c r="A819" s="24" t="s">
        <v>25</v>
      </c>
      <c r="B819" s="18">
        <v>569193.46982</v>
      </c>
      <c r="C819" s="18">
        <v>603476.3842688736</v>
      </c>
      <c r="D819" s="18">
        <v>1088071.7681664599</v>
      </c>
      <c r="E819" s="18">
        <v>1305717.7151002276</v>
      </c>
      <c r="F819" s="18">
        <v>0</v>
      </c>
      <c r="G819" s="18">
        <v>0</v>
      </c>
      <c r="H819" s="19">
        <v>0.15201481067009492</v>
      </c>
      <c r="I819" s="19">
        <v>0</v>
      </c>
      <c r="J819" s="19">
        <v>0.15201481067009492</v>
      </c>
    </row>
    <row r="820" spans="1:10" ht="11.25" customHeight="1" x14ac:dyDescent="0.2">
      <c r="A820" s="25" t="s">
        <v>55</v>
      </c>
      <c r="B820" s="18">
        <v>569193.46982</v>
      </c>
      <c r="C820" s="18">
        <v>603476.3842688736</v>
      </c>
      <c r="D820" s="18">
        <v>1088071.7681664599</v>
      </c>
      <c r="E820" s="18">
        <v>1305717.7151002276</v>
      </c>
      <c r="F820" s="18">
        <v>0</v>
      </c>
      <c r="G820" s="18">
        <v>0</v>
      </c>
      <c r="H820" s="19">
        <v>0.15201481067009492</v>
      </c>
      <c r="I820" s="19">
        <v>0</v>
      </c>
      <c r="J820" s="19">
        <v>0.15201481067009492</v>
      </c>
    </row>
    <row r="821" spans="1:10" ht="11.25" customHeight="1" x14ac:dyDescent="0.2">
      <c r="A821" s="26" t="s">
        <v>25</v>
      </c>
      <c r="B821" s="18">
        <v>569193.46982</v>
      </c>
      <c r="C821" s="18">
        <v>603476.3842688736</v>
      </c>
      <c r="D821" s="18">
        <v>1088071.7681664599</v>
      </c>
      <c r="E821" s="18">
        <v>1305717.7151002276</v>
      </c>
      <c r="F821" s="18">
        <v>0</v>
      </c>
      <c r="G821" s="18">
        <v>0</v>
      </c>
      <c r="H821" s="19">
        <v>0.15201481067009492</v>
      </c>
      <c r="I821" s="19">
        <v>0</v>
      </c>
      <c r="J821" s="19">
        <v>0.15201481067009492</v>
      </c>
    </row>
    <row r="822" spans="1:10" ht="11.25" customHeight="1" x14ac:dyDescent="0.2">
      <c r="A822" s="27" t="s">
        <v>38</v>
      </c>
      <c r="B822" s="18">
        <v>0</v>
      </c>
      <c r="C822" s="18">
        <v>0</v>
      </c>
      <c r="D822" s="18">
        <v>560288.81892749993</v>
      </c>
      <c r="E822" s="18">
        <v>744989.29853587679</v>
      </c>
      <c r="F822" s="18">
        <v>0</v>
      </c>
      <c r="G822" s="18">
        <v>0</v>
      </c>
      <c r="H822" s="19">
        <v>0.32965226748934406</v>
      </c>
      <c r="I822" s="19">
        <v>0</v>
      </c>
      <c r="J822" s="19">
        <v>0.32965226748934406</v>
      </c>
    </row>
    <row r="823" spans="1:10" ht="11.25" customHeight="1" x14ac:dyDescent="0.2">
      <c r="A823" s="28">
        <v>44378</v>
      </c>
      <c r="B823" s="18">
        <v>0</v>
      </c>
      <c r="C823" s="18">
        <v>0</v>
      </c>
      <c r="D823" s="18">
        <v>11347.213197499999</v>
      </c>
      <c r="E823" s="18">
        <v>15087.847757740883</v>
      </c>
      <c r="F823" s="18">
        <v>0</v>
      </c>
      <c r="G823" s="18">
        <v>0</v>
      </c>
      <c r="H823" s="19">
        <v>0.32965226748934406</v>
      </c>
      <c r="I823" s="19">
        <v>0</v>
      </c>
      <c r="J823" s="19">
        <v>0.32965226748934406</v>
      </c>
    </row>
    <row r="824" spans="1:10" ht="11.25" customHeight="1" x14ac:dyDescent="0.2">
      <c r="A824" s="28">
        <v>44409</v>
      </c>
      <c r="B824" s="18">
        <v>0</v>
      </c>
      <c r="C824" s="18">
        <v>0</v>
      </c>
      <c r="D824" s="18">
        <v>36657.573270000001</v>
      </c>
      <c r="E824" s="18">
        <v>48741.825419112261</v>
      </c>
      <c r="F824" s="18">
        <v>0</v>
      </c>
      <c r="G824" s="18">
        <v>0</v>
      </c>
      <c r="H824" s="19">
        <v>0.32965226748934384</v>
      </c>
      <c r="I824" s="19">
        <v>0</v>
      </c>
      <c r="J824" s="19">
        <v>0.32965226748934384</v>
      </c>
    </row>
    <row r="825" spans="1:10" ht="11.25" customHeight="1" x14ac:dyDescent="0.2">
      <c r="A825" s="28">
        <v>44440</v>
      </c>
      <c r="B825" s="18">
        <v>0</v>
      </c>
      <c r="C825" s="18">
        <v>0</v>
      </c>
      <c r="D825" s="18">
        <v>38733.30906</v>
      </c>
      <c r="E825" s="18">
        <v>51501.832218994539</v>
      </c>
      <c r="F825" s="18">
        <v>0</v>
      </c>
      <c r="G825" s="18">
        <v>0</v>
      </c>
      <c r="H825" s="19">
        <v>0.32965226748934362</v>
      </c>
      <c r="I825" s="19">
        <v>0</v>
      </c>
      <c r="J825" s="19">
        <v>0.32965226748934362</v>
      </c>
    </row>
    <row r="826" spans="1:10" ht="11.25" customHeight="1" x14ac:dyDescent="0.2">
      <c r="A826" s="28">
        <v>44470</v>
      </c>
      <c r="B826" s="18">
        <v>0</v>
      </c>
      <c r="C826" s="18">
        <v>0</v>
      </c>
      <c r="D826" s="18">
        <v>35878.173429999995</v>
      </c>
      <c r="E826" s="18">
        <v>47705.494654575428</v>
      </c>
      <c r="F826" s="18">
        <v>0</v>
      </c>
      <c r="G826" s="18">
        <v>0</v>
      </c>
      <c r="H826" s="19">
        <v>0.32965226748934406</v>
      </c>
      <c r="I826" s="19">
        <v>0</v>
      </c>
      <c r="J826" s="19">
        <v>0.32965226748934406</v>
      </c>
    </row>
    <row r="827" spans="1:10" ht="11.25" customHeight="1" x14ac:dyDescent="0.2">
      <c r="A827" s="28">
        <v>44501</v>
      </c>
      <c r="B827" s="18">
        <v>0</v>
      </c>
      <c r="C827" s="18">
        <v>0</v>
      </c>
      <c r="D827" s="18">
        <v>33778.046649999997</v>
      </c>
      <c r="E827" s="18">
        <v>44913.056319533331</v>
      </c>
      <c r="F827" s="18">
        <v>0</v>
      </c>
      <c r="G827" s="18">
        <v>0</v>
      </c>
      <c r="H827" s="19">
        <v>0.32965226748934384</v>
      </c>
      <c r="I827" s="19">
        <v>0</v>
      </c>
      <c r="J827" s="19">
        <v>0.32965226748934384</v>
      </c>
    </row>
    <row r="828" spans="1:10" ht="11.25" customHeight="1" x14ac:dyDescent="0.2">
      <c r="A828" s="28">
        <v>44531</v>
      </c>
      <c r="B828" s="18">
        <v>0</v>
      </c>
      <c r="C828" s="18">
        <v>0</v>
      </c>
      <c r="D828" s="18">
        <v>33778.046649999997</v>
      </c>
      <c r="E828" s="18">
        <v>44913.056319533331</v>
      </c>
      <c r="F828" s="18">
        <v>0</v>
      </c>
      <c r="G828" s="18">
        <v>0</v>
      </c>
      <c r="H828" s="19">
        <v>0.32965226748934384</v>
      </c>
      <c r="I828" s="19">
        <v>0</v>
      </c>
      <c r="J828" s="19">
        <v>0.32965226748934384</v>
      </c>
    </row>
    <row r="829" spans="1:10" ht="11.25" customHeight="1" x14ac:dyDescent="0.2">
      <c r="A829" s="28">
        <v>44562</v>
      </c>
      <c r="B829" s="18">
        <v>0</v>
      </c>
      <c r="C829" s="18">
        <v>0</v>
      </c>
      <c r="D829" s="18">
        <v>25211.319449999999</v>
      </c>
      <c r="E829" s="18">
        <v>33522.288073090691</v>
      </c>
      <c r="F829" s="18">
        <v>0</v>
      </c>
      <c r="G829" s="18">
        <v>0</v>
      </c>
      <c r="H829" s="19">
        <v>0.32965226748934362</v>
      </c>
      <c r="I829" s="19">
        <v>0</v>
      </c>
      <c r="J829" s="19">
        <v>0.32965226748934362</v>
      </c>
    </row>
    <row r="830" spans="1:10" ht="11.25" customHeight="1" x14ac:dyDescent="0.2">
      <c r="A830" s="28">
        <v>44593</v>
      </c>
      <c r="B830" s="18">
        <v>0</v>
      </c>
      <c r="C830" s="18">
        <v>0</v>
      </c>
      <c r="D830" s="18">
        <v>31507.113449999997</v>
      </c>
      <c r="E830" s="18">
        <v>41893.504840836496</v>
      </c>
      <c r="F830" s="18">
        <v>0</v>
      </c>
      <c r="G830" s="18">
        <v>0</v>
      </c>
      <c r="H830" s="19">
        <v>0.32965226748934384</v>
      </c>
      <c r="I830" s="19">
        <v>0</v>
      </c>
      <c r="J830" s="19">
        <v>0.32965226748934384</v>
      </c>
    </row>
    <row r="831" spans="1:10" ht="11.25" customHeight="1" x14ac:dyDescent="0.2">
      <c r="A831" s="28">
        <v>44621</v>
      </c>
      <c r="B831" s="18">
        <v>0</v>
      </c>
      <c r="C831" s="18">
        <v>0</v>
      </c>
      <c r="D831" s="18">
        <v>33648.656269999999</v>
      </c>
      <c r="E831" s="18">
        <v>44741.012107375027</v>
      </c>
      <c r="F831" s="18">
        <v>0</v>
      </c>
      <c r="G831" s="18">
        <v>0</v>
      </c>
      <c r="H831" s="19">
        <v>0.32965226748934384</v>
      </c>
      <c r="I831" s="19">
        <v>0</v>
      </c>
      <c r="J831" s="19">
        <v>0.32965226748934384</v>
      </c>
    </row>
    <row r="832" spans="1:10" ht="11.25" customHeight="1" x14ac:dyDescent="0.2">
      <c r="A832" s="28">
        <v>44652</v>
      </c>
      <c r="B832" s="18">
        <v>0</v>
      </c>
      <c r="C832" s="18">
        <v>0</v>
      </c>
      <c r="D832" s="18">
        <v>33648.656269999999</v>
      </c>
      <c r="E832" s="18">
        <v>44741.012107375027</v>
      </c>
      <c r="F832" s="18">
        <v>0</v>
      </c>
      <c r="G832" s="18">
        <v>0</v>
      </c>
      <c r="H832" s="19">
        <v>0.32965226748934384</v>
      </c>
      <c r="I832" s="19">
        <v>0</v>
      </c>
      <c r="J832" s="19">
        <v>0.32965226748934384</v>
      </c>
    </row>
    <row r="833" spans="1:10" ht="11.25" customHeight="1" x14ac:dyDescent="0.2">
      <c r="A833" s="28">
        <v>44682</v>
      </c>
      <c r="B833" s="18">
        <v>0</v>
      </c>
      <c r="C833" s="18">
        <v>0</v>
      </c>
      <c r="D833" s="18">
        <v>107414.51495</v>
      </c>
      <c r="E833" s="18">
        <v>142823.95336453553</v>
      </c>
      <c r="F833" s="18">
        <v>0</v>
      </c>
      <c r="G833" s="18">
        <v>0</v>
      </c>
      <c r="H833" s="19">
        <v>0.32965226748934384</v>
      </c>
      <c r="I833" s="19">
        <v>0</v>
      </c>
      <c r="J833" s="19">
        <v>0.32965226748934384</v>
      </c>
    </row>
    <row r="834" spans="1:10" ht="11.25" customHeight="1" x14ac:dyDescent="0.2">
      <c r="A834" s="28">
        <v>44713</v>
      </c>
      <c r="B834" s="18">
        <v>0</v>
      </c>
      <c r="C834" s="18">
        <v>0</v>
      </c>
      <c r="D834" s="18">
        <v>138686.19627999997</v>
      </c>
      <c r="E834" s="18">
        <v>184404.41535317418</v>
      </c>
      <c r="F834" s="18">
        <v>0</v>
      </c>
      <c r="G834" s="18">
        <v>0</v>
      </c>
      <c r="H834" s="19">
        <v>0.32965226748934384</v>
      </c>
      <c r="I834" s="19">
        <v>0</v>
      </c>
      <c r="J834" s="19">
        <v>0.32965226748934384</v>
      </c>
    </row>
    <row r="835" spans="1:10" ht="11.25" customHeight="1" x14ac:dyDescent="0.2">
      <c r="A835" s="27" t="s">
        <v>25</v>
      </c>
      <c r="B835" s="18">
        <v>569193.46982</v>
      </c>
      <c r="C835" s="18">
        <v>603476.3842688736</v>
      </c>
      <c r="D835" s="18">
        <v>0</v>
      </c>
      <c r="E835" s="18">
        <v>0</v>
      </c>
      <c r="F835" s="18">
        <v>0</v>
      </c>
      <c r="G835" s="18">
        <v>0</v>
      </c>
      <c r="H835" s="19">
        <v>6.0230688274964139E-2</v>
      </c>
      <c r="I835" s="19">
        <v>0</v>
      </c>
      <c r="J835" s="19">
        <v>6.0230688274964139E-2</v>
      </c>
    </row>
    <row r="836" spans="1:10" ht="11.25" customHeight="1" x14ac:dyDescent="0.2">
      <c r="A836" s="28">
        <v>44378</v>
      </c>
      <c r="B836" s="18">
        <v>17070.06292</v>
      </c>
      <c r="C836" s="18">
        <v>18098.204558568541</v>
      </c>
      <c r="D836" s="18">
        <v>0</v>
      </c>
      <c r="E836" s="18">
        <v>0</v>
      </c>
      <c r="F836" s="18">
        <v>0</v>
      </c>
      <c r="G836" s="18">
        <v>0</v>
      </c>
      <c r="H836" s="19">
        <v>6.0230688274963917E-2</v>
      </c>
      <c r="I836" s="19">
        <v>0</v>
      </c>
      <c r="J836" s="19">
        <v>6.0230688274963917E-2</v>
      </c>
    </row>
    <row r="837" spans="1:10" ht="11.25" customHeight="1" x14ac:dyDescent="0.2">
      <c r="A837" s="28">
        <v>44409</v>
      </c>
      <c r="B837" s="18">
        <v>29654.40465</v>
      </c>
      <c r="C837" s="18">
        <v>31440.509852453797</v>
      </c>
      <c r="D837" s="18">
        <v>0</v>
      </c>
      <c r="E837" s="18">
        <v>0</v>
      </c>
      <c r="F837" s="18">
        <v>0</v>
      </c>
      <c r="G837" s="18">
        <v>0</v>
      </c>
      <c r="H837" s="19">
        <v>6.0230688274964139E-2</v>
      </c>
      <c r="I837" s="19">
        <v>0</v>
      </c>
      <c r="J837" s="19">
        <v>6.0230688274964139E-2</v>
      </c>
    </row>
    <row r="838" spans="1:10" ht="11.25" customHeight="1" x14ac:dyDescent="0.2">
      <c r="A838" s="28">
        <v>44440</v>
      </c>
      <c r="B838" s="18">
        <v>47714.059950000003</v>
      </c>
      <c r="C838" s="18">
        <v>50587.9106211814</v>
      </c>
      <c r="D838" s="18">
        <v>0</v>
      </c>
      <c r="E838" s="18">
        <v>0</v>
      </c>
      <c r="F838" s="18">
        <v>0</v>
      </c>
      <c r="G838" s="18">
        <v>0</v>
      </c>
      <c r="H838" s="19">
        <v>6.0230688274964139E-2</v>
      </c>
      <c r="I838" s="19">
        <v>0</v>
      </c>
      <c r="J838" s="19">
        <v>6.0230688274964139E-2</v>
      </c>
    </row>
    <row r="839" spans="1:10" ht="11.25" customHeight="1" x14ac:dyDescent="0.2">
      <c r="A839" s="28">
        <v>44470</v>
      </c>
      <c r="B839" s="18">
        <v>43580.900999999998</v>
      </c>
      <c r="C839" s="18">
        <v>46205.808662873067</v>
      </c>
      <c r="D839" s="18">
        <v>0</v>
      </c>
      <c r="E839" s="18">
        <v>0</v>
      </c>
      <c r="F839" s="18">
        <v>0</v>
      </c>
      <c r="G839" s="18">
        <v>0</v>
      </c>
      <c r="H839" s="19">
        <v>6.0230688274964139E-2</v>
      </c>
      <c r="I839" s="19">
        <v>0</v>
      </c>
      <c r="J839" s="19">
        <v>6.0230688274964139E-2</v>
      </c>
    </row>
    <row r="840" spans="1:10" ht="11.25" customHeight="1" x14ac:dyDescent="0.2">
      <c r="A840" s="28">
        <v>44501</v>
      </c>
      <c r="B840" s="18">
        <v>40176.288679999998</v>
      </c>
      <c r="C840" s="18">
        <v>42596.134199530046</v>
      </c>
      <c r="D840" s="18">
        <v>0</v>
      </c>
      <c r="E840" s="18">
        <v>0</v>
      </c>
      <c r="F840" s="18">
        <v>0</v>
      </c>
      <c r="G840" s="18">
        <v>0</v>
      </c>
      <c r="H840" s="19">
        <v>6.0230688274964139E-2</v>
      </c>
      <c r="I840" s="19">
        <v>0</v>
      </c>
      <c r="J840" s="19">
        <v>6.0230688274964139E-2</v>
      </c>
    </row>
    <row r="841" spans="1:10" ht="11.25" customHeight="1" x14ac:dyDescent="0.2">
      <c r="A841" s="28">
        <v>44531</v>
      </c>
      <c r="B841" s="18">
        <v>40176.288679999998</v>
      </c>
      <c r="C841" s="18">
        <v>42596.134199530046</v>
      </c>
      <c r="D841" s="18">
        <v>0</v>
      </c>
      <c r="E841" s="18">
        <v>0</v>
      </c>
      <c r="F841" s="18">
        <v>0</v>
      </c>
      <c r="G841" s="18">
        <v>0</v>
      </c>
      <c r="H841" s="19">
        <v>6.0230688274964139E-2</v>
      </c>
      <c r="I841" s="19">
        <v>0</v>
      </c>
      <c r="J841" s="19">
        <v>6.0230688274964139E-2</v>
      </c>
    </row>
    <row r="842" spans="1:10" ht="11.25" customHeight="1" x14ac:dyDescent="0.2">
      <c r="A842" s="28">
        <v>44562</v>
      </c>
      <c r="B842" s="18">
        <v>56798.45205</v>
      </c>
      <c r="C842" s="18">
        <v>60219.461909924037</v>
      </c>
      <c r="D842" s="18">
        <v>0</v>
      </c>
      <c r="E842" s="18">
        <v>0</v>
      </c>
      <c r="F842" s="18">
        <v>0</v>
      </c>
      <c r="G842" s="18">
        <v>0</v>
      </c>
      <c r="H842" s="19">
        <v>6.0230688274963917E-2</v>
      </c>
      <c r="I842" s="19">
        <v>0</v>
      </c>
      <c r="J842" s="19">
        <v>6.0230688274963917E-2</v>
      </c>
    </row>
    <row r="843" spans="1:10" ht="11.25" customHeight="1" x14ac:dyDescent="0.2">
      <c r="A843" s="28">
        <v>44593</v>
      </c>
      <c r="B843" s="18">
        <v>50824.050410000003</v>
      </c>
      <c r="C843" s="18">
        <v>53885.217947115772</v>
      </c>
      <c r="D843" s="18">
        <v>0</v>
      </c>
      <c r="E843" s="18">
        <v>0</v>
      </c>
      <c r="F843" s="18">
        <v>0</v>
      </c>
      <c r="G843" s="18">
        <v>0</v>
      </c>
      <c r="H843" s="19">
        <v>6.0230688274964139E-2</v>
      </c>
      <c r="I843" s="19">
        <v>0</v>
      </c>
      <c r="J843" s="19">
        <v>6.0230688274964139E-2</v>
      </c>
    </row>
    <row r="844" spans="1:10" ht="11.25" customHeight="1" x14ac:dyDescent="0.2">
      <c r="A844" s="28">
        <v>44621</v>
      </c>
      <c r="B844" s="18">
        <v>46195.964420000004</v>
      </c>
      <c r="C844" s="18">
        <v>48978.379152542358</v>
      </c>
      <c r="D844" s="18">
        <v>0</v>
      </c>
      <c r="E844" s="18">
        <v>0</v>
      </c>
      <c r="F844" s="18">
        <v>0</v>
      </c>
      <c r="G844" s="18">
        <v>0</v>
      </c>
      <c r="H844" s="19">
        <v>6.0230688274964139E-2</v>
      </c>
      <c r="I844" s="19">
        <v>0</v>
      </c>
      <c r="J844" s="19">
        <v>6.0230688274964139E-2</v>
      </c>
    </row>
    <row r="845" spans="1:10" ht="11.25" customHeight="1" x14ac:dyDescent="0.2">
      <c r="A845" s="28">
        <v>44652</v>
      </c>
      <c r="B845" s="18">
        <v>46195.964420000004</v>
      </c>
      <c r="C845" s="18">
        <v>48978.379152542358</v>
      </c>
      <c r="D845" s="18">
        <v>0</v>
      </c>
      <c r="E845" s="18">
        <v>0</v>
      </c>
      <c r="F845" s="18">
        <v>0</v>
      </c>
      <c r="G845" s="18">
        <v>0</v>
      </c>
      <c r="H845" s="19">
        <v>6.0230688274964139E-2</v>
      </c>
      <c r="I845" s="19">
        <v>0</v>
      </c>
      <c r="J845" s="19">
        <v>6.0230688274964139E-2</v>
      </c>
    </row>
    <row r="846" spans="1:10" ht="11.25" customHeight="1" x14ac:dyDescent="0.2">
      <c r="A846" s="28">
        <v>44682</v>
      </c>
      <c r="B846" s="18">
        <v>72232.811459999997</v>
      </c>
      <c r="C846" s="18">
        <v>76583.443410271517</v>
      </c>
      <c r="D846" s="18">
        <v>0</v>
      </c>
      <c r="E846" s="18">
        <v>0</v>
      </c>
      <c r="F846" s="18">
        <v>0</v>
      </c>
      <c r="G846" s="18">
        <v>0</v>
      </c>
      <c r="H846" s="19">
        <v>6.0230688274964139E-2</v>
      </c>
      <c r="I846" s="19">
        <v>0</v>
      </c>
      <c r="J846" s="19">
        <v>6.0230688274964139E-2</v>
      </c>
    </row>
    <row r="847" spans="1:10" ht="11.25" customHeight="1" x14ac:dyDescent="0.2">
      <c r="A847" s="28">
        <v>44713</v>
      </c>
      <c r="B847" s="18">
        <v>78574.221180000008</v>
      </c>
      <c r="C847" s="18">
        <v>83306.800602340663</v>
      </c>
      <c r="D847" s="18">
        <v>0</v>
      </c>
      <c r="E847" s="18">
        <v>0</v>
      </c>
      <c r="F847" s="18">
        <v>0</v>
      </c>
      <c r="G847" s="18">
        <v>0</v>
      </c>
      <c r="H847" s="19">
        <v>6.0230688274963917E-2</v>
      </c>
      <c r="I847" s="19">
        <v>0</v>
      </c>
      <c r="J847" s="19">
        <v>6.0230688274963917E-2</v>
      </c>
    </row>
    <row r="848" spans="1:10" ht="11.25" customHeight="1" x14ac:dyDescent="0.2">
      <c r="A848" s="27" t="s">
        <v>37</v>
      </c>
      <c r="B848" s="18">
        <v>0</v>
      </c>
      <c r="C848" s="18">
        <v>0</v>
      </c>
      <c r="D848" s="18">
        <v>527782.94923896005</v>
      </c>
      <c r="E848" s="18">
        <v>560728.41656435095</v>
      </c>
      <c r="F848" s="18">
        <v>0</v>
      </c>
      <c r="G848" s="18">
        <v>0</v>
      </c>
      <c r="H848" s="19">
        <v>6.2422379072489598E-2</v>
      </c>
      <c r="I848" s="19">
        <v>0</v>
      </c>
      <c r="J848" s="19">
        <v>6.2422379072489598E-2</v>
      </c>
    </row>
    <row r="849" spans="1:10" ht="11.25" customHeight="1" x14ac:dyDescent="0.2">
      <c r="A849" s="28">
        <v>44378</v>
      </c>
      <c r="B849" s="18">
        <v>0</v>
      </c>
      <c r="C849" s="18">
        <v>0</v>
      </c>
      <c r="D849" s="18">
        <v>26151.636869999998</v>
      </c>
      <c r="E849" s="18">
        <v>27784.084260065232</v>
      </c>
      <c r="F849" s="18">
        <v>0</v>
      </c>
      <c r="G849" s="18">
        <v>0</v>
      </c>
      <c r="H849" s="19">
        <v>6.2422379072489598E-2</v>
      </c>
      <c r="I849" s="19">
        <v>0</v>
      </c>
      <c r="J849" s="19">
        <v>6.2422379072489598E-2</v>
      </c>
    </row>
    <row r="850" spans="1:10" ht="11.25" customHeight="1" x14ac:dyDescent="0.2">
      <c r="A850" s="28">
        <v>44409</v>
      </c>
      <c r="B850" s="18">
        <v>0</v>
      </c>
      <c r="C850" s="18">
        <v>0</v>
      </c>
      <c r="D850" s="18">
        <v>29970.611955</v>
      </c>
      <c r="E850" s="18">
        <v>31841.448855489496</v>
      </c>
      <c r="F850" s="18">
        <v>0</v>
      </c>
      <c r="G850" s="18">
        <v>0</v>
      </c>
      <c r="H850" s="19">
        <v>6.2422379072489598E-2</v>
      </c>
      <c r="I850" s="19">
        <v>0</v>
      </c>
      <c r="J850" s="19">
        <v>6.2422379072489598E-2</v>
      </c>
    </row>
    <row r="851" spans="1:10" ht="11.25" customHeight="1" x14ac:dyDescent="0.2">
      <c r="A851" s="28">
        <v>44440</v>
      </c>
      <c r="B851" s="18">
        <v>0</v>
      </c>
      <c r="C851" s="18">
        <v>0</v>
      </c>
      <c r="D851" s="18">
        <v>30482.798085600003</v>
      </c>
      <c r="E851" s="18">
        <v>32385.606862889483</v>
      </c>
      <c r="F851" s="18">
        <v>0</v>
      </c>
      <c r="G851" s="18">
        <v>0</v>
      </c>
      <c r="H851" s="19">
        <v>6.2422379072489376E-2</v>
      </c>
      <c r="I851" s="19">
        <v>0</v>
      </c>
      <c r="J851" s="19">
        <v>6.2422379072489376E-2</v>
      </c>
    </row>
    <row r="852" spans="1:10" ht="11.25" customHeight="1" x14ac:dyDescent="0.2">
      <c r="A852" s="28">
        <v>44470</v>
      </c>
      <c r="B852" s="18">
        <v>0</v>
      </c>
      <c r="C852" s="18">
        <v>0</v>
      </c>
      <c r="D852" s="18">
        <v>27755.515305000001</v>
      </c>
      <c r="E852" s="18">
        <v>29488.080602720991</v>
      </c>
      <c r="F852" s="18">
        <v>0</v>
      </c>
      <c r="G852" s="18">
        <v>0</v>
      </c>
      <c r="H852" s="19">
        <v>6.2422379072489376E-2</v>
      </c>
      <c r="I852" s="19">
        <v>0</v>
      </c>
      <c r="J852" s="19">
        <v>6.2422379072489376E-2</v>
      </c>
    </row>
    <row r="853" spans="1:10" ht="11.25" customHeight="1" x14ac:dyDescent="0.2">
      <c r="A853" s="28">
        <v>44501</v>
      </c>
      <c r="B853" s="18">
        <v>0</v>
      </c>
      <c r="C853" s="18">
        <v>0</v>
      </c>
      <c r="D853" s="18">
        <v>27302.486144999999</v>
      </c>
      <c r="E853" s="18">
        <v>29006.772284764582</v>
      </c>
      <c r="F853" s="18">
        <v>0</v>
      </c>
      <c r="G853" s="18">
        <v>0</v>
      </c>
      <c r="H853" s="19">
        <v>6.2422379072489598E-2</v>
      </c>
      <c r="I853" s="19">
        <v>0</v>
      </c>
      <c r="J853" s="19">
        <v>6.2422379072489598E-2</v>
      </c>
    </row>
    <row r="854" spans="1:10" ht="11.25" customHeight="1" x14ac:dyDescent="0.2">
      <c r="A854" s="28">
        <v>44531</v>
      </c>
      <c r="B854" s="18">
        <v>0</v>
      </c>
      <c r="C854" s="18">
        <v>0</v>
      </c>
      <c r="D854" s="18">
        <v>27302.486144999999</v>
      </c>
      <c r="E854" s="18">
        <v>29006.772284764582</v>
      </c>
      <c r="F854" s="18">
        <v>0</v>
      </c>
      <c r="G854" s="18">
        <v>0</v>
      </c>
      <c r="H854" s="19">
        <v>6.2422379072489598E-2</v>
      </c>
      <c r="I854" s="19">
        <v>0</v>
      </c>
      <c r="J854" s="19">
        <v>6.2422379072489598E-2</v>
      </c>
    </row>
    <row r="855" spans="1:10" ht="11.25" customHeight="1" x14ac:dyDescent="0.2">
      <c r="A855" s="28">
        <v>44562</v>
      </c>
      <c r="B855" s="18">
        <v>0</v>
      </c>
      <c r="C855" s="18">
        <v>0</v>
      </c>
      <c r="D855" s="18">
        <v>21926.660830800003</v>
      </c>
      <c r="E855" s="18">
        <v>23295.375164974106</v>
      </c>
      <c r="F855" s="18">
        <v>0</v>
      </c>
      <c r="G855" s="18">
        <v>0</v>
      </c>
      <c r="H855" s="19">
        <v>6.2422379072489376E-2</v>
      </c>
      <c r="I855" s="19">
        <v>0</v>
      </c>
      <c r="J855" s="19">
        <v>6.2422379072489376E-2</v>
      </c>
    </row>
    <row r="856" spans="1:10" ht="11.25" customHeight="1" x14ac:dyDescent="0.2">
      <c r="A856" s="28">
        <v>44593</v>
      </c>
      <c r="B856" s="18">
        <v>0</v>
      </c>
      <c r="C856" s="18">
        <v>0</v>
      </c>
      <c r="D856" s="18">
        <v>26422.093254060001</v>
      </c>
      <c r="E856" s="18">
        <v>28071.423175053598</v>
      </c>
      <c r="F856" s="18">
        <v>0</v>
      </c>
      <c r="G856" s="18">
        <v>0</v>
      </c>
      <c r="H856" s="19">
        <v>6.2422379072489376E-2</v>
      </c>
      <c r="I856" s="19">
        <v>0</v>
      </c>
      <c r="J856" s="19">
        <v>6.2422379072489376E-2</v>
      </c>
    </row>
    <row r="857" spans="1:10" ht="11.25" customHeight="1" x14ac:dyDescent="0.2">
      <c r="A857" s="28">
        <v>44621</v>
      </c>
      <c r="B857" s="18">
        <v>0</v>
      </c>
      <c r="C857" s="18">
        <v>0</v>
      </c>
      <c r="D857" s="18">
        <v>25990.852007400001</v>
      </c>
      <c r="E857" s="18">
        <v>27613.262823822897</v>
      </c>
      <c r="F857" s="18">
        <v>0</v>
      </c>
      <c r="G857" s="18">
        <v>0</v>
      </c>
      <c r="H857" s="19">
        <v>6.2422379072489376E-2</v>
      </c>
      <c r="I857" s="19">
        <v>0</v>
      </c>
      <c r="J857" s="19">
        <v>6.2422379072489376E-2</v>
      </c>
    </row>
    <row r="858" spans="1:10" ht="11.25" customHeight="1" x14ac:dyDescent="0.2">
      <c r="A858" s="28">
        <v>44652</v>
      </c>
      <c r="B858" s="18">
        <v>0</v>
      </c>
      <c r="C858" s="18">
        <v>0</v>
      </c>
      <c r="D858" s="18">
        <v>25990.852007400001</v>
      </c>
      <c r="E858" s="18">
        <v>27613.262823822897</v>
      </c>
      <c r="F858" s="18">
        <v>0</v>
      </c>
      <c r="G858" s="18">
        <v>0</v>
      </c>
      <c r="H858" s="19">
        <v>6.2422379072489376E-2</v>
      </c>
      <c r="I858" s="19">
        <v>0</v>
      </c>
      <c r="J858" s="19">
        <v>6.2422379072489376E-2</v>
      </c>
    </row>
    <row r="859" spans="1:10" ht="11.25" customHeight="1" x14ac:dyDescent="0.2">
      <c r="A859" s="28">
        <v>44682</v>
      </c>
      <c r="B859" s="18">
        <v>0</v>
      </c>
      <c r="C859" s="18">
        <v>0</v>
      </c>
      <c r="D859" s="18">
        <v>114211.3651371</v>
      </c>
      <c r="E859" s="18">
        <v>121340.71026607457</v>
      </c>
      <c r="F859" s="18">
        <v>0</v>
      </c>
      <c r="G859" s="18">
        <v>0</v>
      </c>
      <c r="H859" s="19">
        <v>6.2422379072489598E-2</v>
      </c>
      <c r="I859" s="19">
        <v>0</v>
      </c>
      <c r="J859" s="19">
        <v>6.2422379072489598E-2</v>
      </c>
    </row>
    <row r="860" spans="1:10" ht="11.25" customHeight="1" x14ac:dyDescent="0.2">
      <c r="A860" s="28">
        <v>44713</v>
      </c>
      <c r="B860" s="18">
        <v>0</v>
      </c>
      <c r="C860" s="18">
        <v>0</v>
      </c>
      <c r="D860" s="18">
        <v>144275.59149660001</v>
      </c>
      <c r="E860" s="18">
        <v>153281.6171599084</v>
      </c>
      <c r="F860" s="18">
        <v>0</v>
      </c>
      <c r="G860" s="18">
        <v>0</v>
      </c>
      <c r="H860" s="19">
        <v>6.2422379072489376E-2</v>
      </c>
      <c r="I860" s="19">
        <v>0</v>
      </c>
      <c r="J860" s="19">
        <v>6.2422379072489376E-2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566F5-0779-43DB-92AB-295D832719C0}">
  <dimension ref="A1:G501"/>
  <sheetViews>
    <sheetView showGridLines="0" workbookViewId="0"/>
  </sheetViews>
  <sheetFormatPr defaultRowHeight="11.25" customHeight="1" x14ac:dyDescent="0.2"/>
  <cols>
    <col min="1" max="1" width="37.28515625" style="14" bestFit="1" customWidth="1"/>
    <col min="2" max="2" width="20.42578125" style="18" bestFit="1" customWidth="1"/>
    <col min="3" max="3" width="21.85546875" style="18" bestFit="1" customWidth="1"/>
    <col min="4" max="4" width="20.28515625" style="18" bestFit="1" customWidth="1"/>
    <col min="5" max="5" width="21.7109375" style="18" bestFit="1" customWidth="1"/>
    <col min="6" max="6" width="14.85546875" style="18" bestFit="1" customWidth="1"/>
    <col min="7" max="7" width="14.7109375" style="18" bestFit="1" customWidth="1"/>
    <col min="8" max="16384" width="9.140625" style="14"/>
  </cols>
  <sheetData>
    <row r="1" spans="1:7" ht="11.25" customHeight="1" x14ac:dyDescent="0.2">
      <c r="A1" s="17" t="s">
        <v>621</v>
      </c>
      <c r="B1" s="18" t="s">
        <v>647</v>
      </c>
      <c r="C1" s="18" t="s">
        <v>648</v>
      </c>
      <c r="D1" s="18" t="s">
        <v>649</v>
      </c>
      <c r="E1" s="18" t="s">
        <v>650</v>
      </c>
      <c r="F1" s="18" t="s">
        <v>651</v>
      </c>
      <c r="G1" s="18" t="s">
        <v>652</v>
      </c>
    </row>
    <row r="2" spans="1:7" ht="11.25" customHeight="1" x14ac:dyDescent="0.2">
      <c r="A2" s="20" t="s">
        <v>640</v>
      </c>
      <c r="B2" s="18">
        <v>14728.476000000004</v>
      </c>
      <c r="C2" s="18">
        <v>36465.045162600043</v>
      </c>
      <c r="D2" s="18">
        <v>15615.582246721293</v>
      </c>
      <c r="E2" s="18">
        <v>40973.662369080572</v>
      </c>
      <c r="F2" s="18">
        <v>51193.521162600053</v>
      </c>
      <c r="G2" s="18">
        <v>56589.244615801865</v>
      </c>
    </row>
    <row r="3" spans="1:7" ht="11.25" customHeight="1" x14ac:dyDescent="0.2">
      <c r="A3" s="21" t="s">
        <v>35</v>
      </c>
      <c r="B3" s="18">
        <v>14728.476000000004</v>
      </c>
      <c r="C3" s="18">
        <v>14195.577006000016</v>
      </c>
      <c r="D3" s="18">
        <v>15615.582246721293</v>
      </c>
      <c r="E3" s="18">
        <v>15988.798240826573</v>
      </c>
      <c r="F3" s="18">
        <v>28924.05300600002</v>
      </c>
      <c r="G3" s="18">
        <v>31604.380487547867</v>
      </c>
    </row>
    <row r="4" spans="1:7" ht="11.25" customHeight="1" x14ac:dyDescent="0.2">
      <c r="A4" s="22" t="s">
        <v>39</v>
      </c>
      <c r="B4" s="18">
        <v>14728.476000000004</v>
      </c>
      <c r="C4" s="18">
        <v>14195.577006000016</v>
      </c>
      <c r="D4" s="18">
        <v>15615.582246721293</v>
      </c>
      <c r="E4" s="18">
        <v>15988.798240826573</v>
      </c>
      <c r="F4" s="18">
        <v>28924.05300600002</v>
      </c>
      <c r="G4" s="18">
        <v>31604.380487547867</v>
      </c>
    </row>
    <row r="5" spans="1:7" ht="11.25" customHeight="1" x14ac:dyDescent="0.2">
      <c r="A5" s="23" t="s">
        <v>47</v>
      </c>
      <c r="B5" s="18">
        <v>14728.476000000004</v>
      </c>
      <c r="C5" s="18">
        <v>14195.577006000016</v>
      </c>
      <c r="D5" s="18">
        <v>15615.582246721293</v>
      </c>
      <c r="E5" s="18">
        <v>15988.798240826573</v>
      </c>
      <c r="F5" s="18">
        <v>28924.05300600002</v>
      </c>
      <c r="G5" s="18">
        <v>31604.380487547867</v>
      </c>
    </row>
    <row r="6" spans="1:7" ht="11.25" customHeight="1" x14ac:dyDescent="0.2">
      <c r="A6" s="24" t="s">
        <v>48</v>
      </c>
      <c r="B6" s="18">
        <v>14728.476000000004</v>
      </c>
      <c r="C6" s="18">
        <v>14195.577006000016</v>
      </c>
      <c r="D6" s="18">
        <v>15615.582246721293</v>
      </c>
      <c r="E6" s="18">
        <v>15988.798240826573</v>
      </c>
      <c r="F6" s="18">
        <v>28924.05300600002</v>
      </c>
      <c r="G6" s="18">
        <v>31604.380487547867</v>
      </c>
    </row>
    <row r="7" spans="1:7" ht="11.25" customHeight="1" x14ac:dyDescent="0.2">
      <c r="A7" s="25" t="s">
        <v>25</v>
      </c>
      <c r="B7" s="18">
        <v>14728.476000000004</v>
      </c>
      <c r="C7" s="18">
        <v>14195.577006000016</v>
      </c>
      <c r="D7" s="18">
        <v>15615.582246721293</v>
      </c>
      <c r="E7" s="18">
        <v>15988.798240826573</v>
      </c>
      <c r="F7" s="18">
        <v>28924.05300600002</v>
      </c>
      <c r="G7" s="18">
        <v>31604.380487547867</v>
      </c>
    </row>
    <row r="8" spans="1:7" ht="11.25" customHeight="1" x14ac:dyDescent="0.2">
      <c r="A8" s="26" t="s">
        <v>25</v>
      </c>
      <c r="B8" s="18">
        <v>14728.476000000004</v>
      </c>
      <c r="C8" s="18">
        <v>14195.577006000016</v>
      </c>
      <c r="D8" s="18">
        <v>15615.582246721293</v>
      </c>
      <c r="E8" s="18">
        <v>15988.798240826573</v>
      </c>
      <c r="F8" s="18">
        <v>28924.05300600002</v>
      </c>
      <c r="G8" s="18">
        <v>31604.380487547867</v>
      </c>
    </row>
    <row r="9" spans="1:7" ht="11.25" customHeight="1" x14ac:dyDescent="0.2">
      <c r="A9" s="27" t="s">
        <v>38</v>
      </c>
      <c r="B9" s="18">
        <v>0</v>
      </c>
      <c r="C9" s="18">
        <v>11535.053540400013</v>
      </c>
      <c r="D9" s="18">
        <v>0</v>
      </c>
      <c r="E9" s="18">
        <v>13159.366108634302</v>
      </c>
      <c r="F9" s="18">
        <v>11535.053540400013</v>
      </c>
      <c r="G9" s="18">
        <v>13159.366108634302</v>
      </c>
    </row>
    <row r="10" spans="1:7" ht="11.25" customHeight="1" x14ac:dyDescent="0.2">
      <c r="A10" s="28">
        <v>44378</v>
      </c>
      <c r="B10" s="18">
        <v>0</v>
      </c>
      <c r="C10" s="18">
        <v>803.70795960000089</v>
      </c>
      <c r="D10" s="18">
        <v>0</v>
      </c>
      <c r="E10" s="18">
        <v>916.88237490687129</v>
      </c>
      <c r="F10" s="18">
        <v>803.70795960000089</v>
      </c>
      <c r="G10" s="18">
        <v>916.88237490687129</v>
      </c>
    </row>
    <row r="11" spans="1:7" ht="11.25" customHeight="1" x14ac:dyDescent="0.2">
      <c r="A11" s="28">
        <v>44409</v>
      </c>
      <c r="B11" s="18">
        <v>0</v>
      </c>
      <c r="C11" s="18">
        <v>907.52163840000105</v>
      </c>
      <c r="D11" s="18">
        <v>0</v>
      </c>
      <c r="E11" s="18">
        <v>1035.3146129219535</v>
      </c>
      <c r="F11" s="18">
        <v>907.52163840000105</v>
      </c>
      <c r="G11" s="18">
        <v>1035.3146129219535</v>
      </c>
    </row>
    <row r="12" spans="1:7" ht="11.25" customHeight="1" x14ac:dyDescent="0.2">
      <c r="A12" s="28">
        <v>44440</v>
      </c>
      <c r="B12" s="18">
        <v>0</v>
      </c>
      <c r="C12" s="18">
        <v>1014.1621542000009</v>
      </c>
      <c r="D12" s="18">
        <v>0</v>
      </c>
      <c r="E12" s="18">
        <v>1156.9717499704161</v>
      </c>
      <c r="F12" s="18">
        <v>1014.1621542000009</v>
      </c>
      <c r="G12" s="18">
        <v>1156.9717499704161</v>
      </c>
    </row>
    <row r="13" spans="1:7" ht="11.25" customHeight="1" x14ac:dyDescent="0.2">
      <c r="A13" s="28">
        <v>44470</v>
      </c>
      <c r="B13" s="18">
        <v>0</v>
      </c>
      <c r="C13" s="18">
        <v>1021.2980076000003</v>
      </c>
      <c r="D13" s="18">
        <v>0</v>
      </c>
      <c r="E13" s="18">
        <v>1165.112441043869</v>
      </c>
      <c r="F13" s="18">
        <v>1021.2980076000003</v>
      </c>
      <c r="G13" s="18">
        <v>1165.112441043869</v>
      </c>
    </row>
    <row r="14" spans="1:7" ht="11.25" customHeight="1" x14ac:dyDescent="0.2">
      <c r="A14" s="28">
        <v>44501</v>
      </c>
      <c r="B14" s="18">
        <v>0</v>
      </c>
      <c r="C14" s="18">
        <v>1078.9807626000027</v>
      </c>
      <c r="D14" s="18">
        <v>0</v>
      </c>
      <c r="E14" s="18">
        <v>1230.9178132115098</v>
      </c>
      <c r="F14" s="18">
        <v>1078.9807626000027</v>
      </c>
      <c r="G14" s="18">
        <v>1230.9178132115098</v>
      </c>
    </row>
    <row r="15" spans="1:7" ht="11.25" customHeight="1" x14ac:dyDescent="0.2">
      <c r="A15" s="28">
        <v>44531</v>
      </c>
      <c r="B15" s="18">
        <v>0</v>
      </c>
      <c r="C15" s="18">
        <v>991.9141830000018</v>
      </c>
      <c r="D15" s="18">
        <v>0</v>
      </c>
      <c r="E15" s="18">
        <v>1131.5909229833758</v>
      </c>
      <c r="F15" s="18">
        <v>991.9141830000018</v>
      </c>
      <c r="G15" s="18">
        <v>1131.5909229833758</v>
      </c>
    </row>
    <row r="16" spans="1:7" ht="11.25" customHeight="1" x14ac:dyDescent="0.2">
      <c r="A16" s="28">
        <v>44562</v>
      </c>
      <c r="B16" s="18">
        <v>0</v>
      </c>
      <c r="C16" s="18">
        <v>1115.2253970000022</v>
      </c>
      <c r="D16" s="18">
        <v>0</v>
      </c>
      <c r="E16" s="18">
        <v>1272.2662483854531</v>
      </c>
      <c r="F16" s="18">
        <v>1115.2253970000022</v>
      </c>
      <c r="G16" s="18">
        <v>1272.2662483854531</v>
      </c>
    </row>
    <row r="17" spans="1:7" ht="11.25" customHeight="1" x14ac:dyDescent="0.2">
      <c r="A17" s="28">
        <v>44593</v>
      </c>
      <c r="B17" s="18">
        <v>0</v>
      </c>
      <c r="C17" s="18">
        <v>986.06186640000078</v>
      </c>
      <c r="D17" s="18">
        <v>0</v>
      </c>
      <c r="E17" s="18">
        <v>1124.9145103899427</v>
      </c>
      <c r="F17" s="18">
        <v>986.06186640000078</v>
      </c>
      <c r="G17" s="18">
        <v>1124.9145103899427</v>
      </c>
    </row>
    <row r="18" spans="1:7" ht="11.25" customHeight="1" x14ac:dyDescent="0.2">
      <c r="A18" s="28">
        <v>44621</v>
      </c>
      <c r="B18" s="18">
        <v>0</v>
      </c>
      <c r="C18" s="18">
        <v>833.91691500000081</v>
      </c>
      <c r="D18" s="18">
        <v>0</v>
      </c>
      <c r="E18" s="18">
        <v>951.34521484738013</v>
      </c>
      <c r="F18" s="18">
        <v>833.91691500000081</v>
      </c>
      <c r="G18" s="18">
        <v>951.34521484738013</v>
      </c>
    </row>
    <row r="19" spans="1:7" ht="11.25" customHeight="1" x14ac:dyDescent="0.2">
      <c r="A19" s="28">
        <v>44652</v>
      </c>
      <c r="B19" s="18">
        <v>0</v>
      </c>
      <c r="C19" s="18">
        <v>951.28413120000005</v>
      </c>
      <c r="D19" s="18">
        <v>0</v>
      </c>
      <c r="E19" s="18">
        <v>1085.2395363360226</v>
      </c>
      <c r="F19" s="18">
        <v>951.28413120000005</v>
      </c>
      <c r="G19" s="18">
        <v>1085.2395363360226</v>
      </c>
    </row>
    <row r="20" spans="1:7" ht="11.25" customHeight="1" x14ac:dyDescent="0.2">
      <c r="A20" s="28">
        <v>44682</v>
      </c>
      <c r="B20" s="18">
        <v>0</v>
      </c>
      <c r="C20" s="18">
        <v>872.82030420000103</v>
      </c>
      <c r="D20" s="18">
        <v>0</v>
      </c>
      <c r="E20" s="18">
        <v>995.72679830136894</v>
      </c>
      <c r="F20" s="18">
        <v>872.82030420000103</v>
      </c>
      <c r="G20" s="18">
        <v>995.72679830136894</v>
      </c>
    </row>
    <row r="21" spans="1:7" ht="11.25" customHeight="1" x14ac:dyDescent="0.2">
      <c r="A21" s="28">
        <v>44713</v>
      </c>
      <c r="B21" s="18">
        <v>0</v>
      </c>
      <c r="C21" s="18">
        <v>958.16022120000025</v>
      </c>
      <c r="D21" s="18">
        <v>0</v>
      </c>
      <c r="E21" s="18">
        <v>1093.0838853361388</v>
      </c>
      <c r="F21" s="18">
        <v>958.16022120000025</v>
      </c>
      <c r="G21" s="18">
        <v>1093.0838853361388</v>
      </c>
    </row>
    <row r="22" spans="1:7" ht="11.25" customHeight="1" x14ac:dyDescent="0.2">
      <c r="A22" s="27" t="s">
        <v>25</v>
      </c>
      <c r="B22" s="18">
        <v>14728.476000000004</v>
      </c>
      <c r="C22" s="18">
        <v>0</v>
      </c>
      <c r="D22" s="18">
        <v>15615.582246721293</v>
      </c>
      <c r="E22" s="18">
        <v>0</v>
      </c>
      <c r="F22" s="18">
        <v>14728.476000000004</v>
      </c>
      <c r="G22" s="18">
        <v>15615.582246721293</v>
      </c>
    </row>
    <row r="23" spans="1:7" ht="11.25" customHeight="1" x14ac:dyDescent="0.2">
      <c r="A23" s="28">
        <v>44378</v>
      </c>
      <c r="B23" s="18">
        <v>1193.3520000000008</v>
      </c>
      <c r="C23" s="18">
        <v>0</v>
      </c>
      <c r="D23" s="18">
        <v>1265.2284123143054</v>
      </c>
      <c r="E23" s="18">
        <v>0</v>
      </c>
      <c r="F23" s="18">
        <v>1193.3520000000008</v>
      </c>
      <c r="G23" s="18">
        <v>1265.2284123143054</v>
      </c>
    </row>
    <row r="24" spans="1:7" ht="11.25" customHeight="1" x14ac:dyDescent="0.2">
      <c r="A24" s="28">
        <v>44409</v>
      </c>
      <c r="B24" s="18">
        <v>1205.1285000000005</v>
      </c>
      <c r="C24" s="18">
        <v>0</v>
      </c>
      <c r="D24" s="18">
        <v>1277.7142190147754</v>
      </c>
      <c r="E24" s="18">
        <v>0</v>
      </c>
      <c r="F24" s="18">
        <v>1205.1285000000005</v>
      </c>
      <c r="G24" s="18">
        <v>1277.7142190147754</v>
      </c>
    </row>
    <row r="25" spans="1:7" ht="11.25" customHeight="1" x14ac:dyDescent="0.2">
      <c r="A25" s="28">
        <v>44440</v>
      </c>
      <c r="B25" s="18">
        <v>1256.1600000000001</v>
      </c>
      <c r="C25" s="18">
        <v>0</v>
      </c>
      <c r="D25" s="18">
        <v>1331.8193813834789</v>
      </c>
      <c r="E25" s="18">
        <v>0</v>
      </c>
      <c r="F25" s="18">
        <v>1256.1600000000001</v>
      </c>
      <c r="G25" s="18">
        <v>1331.8193813834789</v>
      </c>
    </row>
    <row r="26" spans="1:7" ht="11.25" customHeight="1" x14ac:dyDescent="0.2">
      <c r="A26" s="28">
        <v>44470</v>
      </c>
      <c r="B26" s="18">
        <v>1240.458000000001</v>
      </c>
      <c r="C26" s="18">
        <v>0</v>
      </c>
      <c r="D26" s="18">
        <v>1315.1716391161863</v>
      </c>
      <c r="E26" s="18">
        <v>0</v>
      </c>
      <c r="F26" s="18">
        <v>1240.458000000001</v>
      </c>
      <c r="G26" s="18">
        <v>1315.1716391161863</v>
      </c>
    </row>
    <row r="27" spans="1:7" ht="11.25" customHeight="1" x14ac:dyDescent="0.2">
      <c r="A27" s="28">
        <v>44501</v>
      </c>
      <c r="B27" s="18">
        <v>1252.2345000000007</v>
      </c>
      <c r="C27" s="18">
        <v>0</v>
      </c>
      <c r="D27" s="18">
        <v>1327.6574458166563</v>
      </c>
      <c r="E27" s="18">
        <v>0</v>
      </c>
      <c r="F27" s="18">
        <v>1252.2345000000007</v>
      </c>
      <c r="G27" s="18">
        <v>1327.6574458166563</v>
      </c>
    </row>
    <row r="28" spans="1:7" ht="11.25" customHeight="1" x14ac:dyDescent="0.2">
      <c r="A28" s="28">
        <v>44531</v>
      </c>
      <c r="B28" s="18">
        <v>1224.7560000000003</v>
      </c>
      <c r="C28" s="18">
        <v>0</v>
      </c>
      <c r="D28" s="18">
        <v>1298.5238968488923</v>
      </c>
      <c r="E28" s="18">
        <v>0</v>
      </c>
      <c r="F28" s="18">
        <v>1224.7560000000003</v>
      </c>
      <c r="G28" s="18">
        <v>1298.5238968488923</v>
      </c>
    </row>
    <row r="29" spans="1:7" ht="11.25" customHeight="1" x14ac:dyDescent="0.2">
      <c r="A29" s="28">
        <v>44562</v>
      </c>
      <c r="B29" s="18">
        <v>1197.2775000000001</v>
      </c>
      <c r="C29" s="18">
        <v>0</v>
      </c>
      <c r="D29" s="18">
        <v>1269.3903478811283</v>
      </c>
      <c r="E29" s="18">
        <v>0</v>
      </c>
      <c r="F29" s="18">
        <v>1197.2775000000001</v>
      </c>
      <c r="G29" s="18">
        <v>1269.3903478811283</v>
      </c>
    </row>
    <row r="30" spans="1:7" ht="11.25" customHeight="1" x14ac:dyDescent="0.2">
      <c r="A30" s="28">
        <v>44593</v>
      </c>
      <c r="B30" s="18">
        <v>1232.6070000000007</v>
      </c>
      <c r="C30" s="18">
        <v>0</v>
      </c>
      <c r="D30" s="18">
        <v>1306.8477679825394</v>
      </c>
      <c r="E30" s="18">
        <v>0</v>
      </c>
      <c r="F30" s="18">
        <v>1232.6070000000007</v>
      </c>
      <c r="G30" s="18">
        <v>1306.8477679825394</v>
      </c>
    </row>
    <row r="31" spans="1:7" ht="11.25" customHeight="1" x14ac:dyDescent="0.2">
      <c r="A31" s="28">
        <v>44621</v>
      </c>
      <c r="B31" s="18">
        <v>1220.8305000000009</v>
      </c>
      <c r="C31" s="18">
        <v>0</v>
      </c>
      <c r="D31" s="18">
        <v>1294.3619612820696</v>
      </c>
      <c r="E31" s="18">
        <v>0</v>
      </c>
      <c r="F31" s="18">
        <v>1220.8305000000009</v>
      </c>
      <c r="G31" s="18">
        <v>1294.3619612820696</v>
      </c>
    </row>
    <row r="32" spans="1:7" ht="11.25" customHeight="1" x14ac:dyDescent="0.2">
      <c r="A32" s="28">
        <v>44652</v>
      </c>
      <c r="B32" s="18">
        <v>1236.5325</v>
      </c>
      <c r="C32" s="18">
        <v>0</v>
      </c>
      <c r="D32" s="18">
        <v>1311.009703549362</v>
      </c>
      <c r="E32" s="18">
        <v>0</v>
      </c>
      <c r="F32" s="18">
        <v>1236.5325</v>
      </c>
      <c r="G32" s="18">
        <v>1311.009703549362</v>
      </c>
    </row>
    <row r="33" spans="1:7" ht="11.25" customHeight="1" x14ac:dyDescent="0.2">
      <c r="A33" s="28">
        <v>44682</v>
      </c>
      <c r="B33" s="18">
        <v>1252.2345000000007</v>
      </c>
      <c r="C33" s="18">
        <v>0</v>
      </c>
      <c r="D33" s="18">
        <v>1327.6574458166563</v>
      </c>
      <c r="E33" s="18">
        <v>0</v>
      </c>
      <c r="F33" s="18">
        <v>1252.2345000000007</v>
      </c>
      <c r="G33" s="18">
        <v>1327.6574458166563</v>
      </c>
    </row>
    <row r="34" spans="1:7" ht="11.25" customHeight="1" x14ac:dyDescent="0.2">
      <c r="A34" s="28">
        <v>44713</v>
      </c>
      <c r="B34" s="18">
        <v>1216.905</v>
      </c>
      <c r="C34" s="18">
        <v>0</v>
      </c>
      <c r="D34" s="18">
        <v>1290.2000257152451</v>
      </c>
      <c r="E34" s="18">
        <v>0</v>
      </c>
      <c r="F34" s="18">
        <v>1216.905</v>
      </c>
      <c r="G34" s="18">
        <v>1290.2000257152451</v>
      </c>
    </row>
    <row r="35" spans="1:7" ht="11.25" customHeight="1" x14ac:dyDescent="0.2">
      <c r="A35" s="27" t="s">
        <v>37</v>
      </c>
      <c r="B35" s="18">
        <v>0</v>
      </c>
      <c r="C35" s="18">
        <v>2660.523465600003</v>
      </c>
      <c r="D35" s="18">
        <v>0</v>
      </c>
      <c r="E35" s="18">
        <v>2829.4321321922698</v>
      </c>
      <c r="F35" s="18">
        <v>2660.523465600003</v>
      </c>
      <c r="G35" s="18">
        <v>2829.4321321922698</v>
      </c>
    </row>
    <row r="36" spans="1:7" ht="11.25" customHeight="1" x14ac:dyDescent="0.2">
      <c r="A36" s="28">
        <v>44378</v>
      </c>
      <c r="B36" s="18">
        <v>0</v>
      </c>
      <c r="C36" s="18">
        <v>39.453585599999911</v>
      </c>
      <c r="D36" s="18">
        <v>0</v>
      </c>
      <c r="E36" s="18">
        <v>41.958375586686572</v>
      </c>
      <c r="F36" s="18">
        <v>39.453585599999911</v>
      </c>
      <c r="G36" s="18">
        <v>41.958375586686572</v>
      </c>
    </row>
    <row r="37" spans="1:7" ht="11.25" customHeight="1" x14ac:dyDescent="0.2">
      <c r="A37" s="28">
        <v>44409</v>
      </c>
      <c r="B37" s="18">
        <v>0</v>
      </c>
      <c r="C37" s="18">
        <v>62.402683200000027</v>
      </c>
      <c r="D37" s="18">
        <v>0</v>
      </c>
      <c r="E37" s="18">
        <v>66.364442661014436</v>
      </c>
      <c r="F37" s="18">
        <v>62.402683200000027</v>
      </c>
      <c r="G37" s="18">
        <v>66.364442661014436</v>
      </c>
    </row>
    <row r="38" spans="1:7" ht="11.25" customHeight="1" x14ac:dyDescent="0.2">
      <c r="A38" s="28">
        <v>44440</v>
      </c>
      <c r="B38" s="18">
        <v>0</v>
      </c>
      <c r="C38" s="18">
        <v>191.2162824000003</v>
      </c>
      <c r="D38" s="18">
        <v>0</v>
      </c>
      <c r="E38" s="18">
        <v>203.35603147890217</v>
      </c>
      <c r="F38" s="18">
        <v>191.2162824000003</v>
      </c>
      <c r="G38" s="18">
        <v>203.35603147890217</v>
      </c>
    </row>
    <row r="39" spans="1:7" ht="11.25" customHeight="1" x14ac:dyDescent="0.2">
      <c r="A39" s="28">
        <v>44470</v>
      </c>
      <c r="B39" s="18">
        <v>0</v>
      </c>
      <c r="C39" s="18">
        <v>385.49768400000085</v>
      </c>
      <c r="D39" s="18">
        <v>0</v>
      </c>
      <c r="E39" s="18">
        <v>409.97177739581417</v>
      </c>
      <c r="F39" s="18">
        <v>385.49768400000085</v>
      </c>
      <c r="G39" s="18">
        <v>409.97177739581417</v>
      </c>
    </row>
    <row r="40" spans="1:7" ht="11.25" customHeight="1" x14ac:dyDescent="0.2">
      <c r="A40" s="28">
        <v>44501</v>
      </c>
      <c r="B40" s="18">
        <v>0</v>
      </c>
      <c r="C40" s="18">
        <v>399.40860960000009</v>
      </c>
      <c r="D40" s="18">
        <v>0</v>
      </c>
      <c r="E40" s="18">
        <v>424.76586599908734</v>
      </c>
      <c r="F40" s="18">
        <v>399.40860960000009</v>
      </c>
      <c r="G40" s="18">
        <v>424.76586599908734</v>
      </c>
    </row>
    <row r="41" spans="1:7" ht="11.25" customHeight="1" x14ac:dyDescent="0.2">
      <c r="A41" s="28">
        <v>44531</v>
      </c>
      <c r="B41" s="18">
        <v>0</v>
      </c>
      <c r="C41" s="18">
        <v>420.23570160000048</v>
      </c>
      <c r="D41" s="18">
        <v>0</v>
      </c>
      <c r="E41" s="18">
        <v>446.91520769325496</v>
      </c>
      <c r="F41" s="18">
        <v>420.23570160000048</v>
      </c>
      <c r="G41" s="18">
        <v>446.91520769325496</v>
      </c>
    </row>
    <row r="42" spans="1:7" ht="11.25" customHeight="1" x14ac:dyDescent="0.2">
      <c r="A42" s="28">
        <v>44562</v>
      </c>
      <c r="B42" s="18">
        <v>0</v>
      </c>
      <c r="C42" s="18">
        <v>424.63689840000023</v>
      </c>
      <c r="D42" s="18">
        <v>0</v>
      </c>
      <c r="E42" s="18">
        <v>451.59582329655046</v>
      </c>
      <c r="F42" s="18">
        <v>424.63689840000023</v>
      </c>
      <c r="G42" s="18">
        <v>451.59582329655046</v>
      </c>
    </row>
    <row r="43" spans="1:7" ht="11.25" customHeight="1" x14ac:dyDescent="0.2">
      <c r="A43" s="28">
        <v>44593</v>
      </c>
      <c r="B43" s="18">
        <v>0</v>
      </c>
      <c r="C43" s="18">
        <v>151.68410400000016</v>
      </c>
      <c r="D43" s="18">
        <v>0</v>
      </c>
      <c r="E43" s="18">
        <v>161.31407347072792</v>
      </c>
      <c r="F43" s="18">
        <v>151.68410400000016</v>
      </c>
      <c r="G43" s="18">
        <v>161.31407347072792</v>
      </c>
    </row>
    <row r="44" spans="1:7" ht="11.25" customHeight="1" x14ac:dyDescent="0.2">
      <c r="A44" s="28">
        <v>44621</v>
      </c>
      <c r="B44" s="18">
        <v>0</v>
      </c>
      <c r="C44" s="18">
        <v>215.34427200000013</v>
      </c>
      <c r="D44" s="18">
        <v>0</v>
      </c>
      <c r="E44" s="18">
        <v>229.01583487554109</v>
      </c>
      <c r="F44" s="18">
        <v>215.34427200000013</v>
      </c>
      <c r="G44" s="18">
        <v>229.01583487554109</v>
      </c>
    </row>
    <row r="45" spans="1:7" ht="11.25" customHeight="1" x14ac:dyDescent="0.2">
      <c r="A45" s="28">
        <v>44652</v>
      </c>
      <c r="B45" s="18">
        <v>0</v>
      </c>
      <c r="C45" s="18">
        <v>122.52617520000024</v>
      </c>
      <c r="D45" s="18">
        <v>0</v>
      </c>
      <c r="E45" s="18">
        <v>130.30499509889378</v>
      </c>
      <c r="F45" s="18">
        <v>122.52617520000024</v>
      </c>
      <c r="G45" s="18">
        <v>130.30499509889378</v>
      </c>
    </row>
    <row r="46" spans="1:7" ht="11.25" customHeight="1" x14ac:dyDescent="0.2">
      <c r="A46" s="28">
        <v>44682</v>
      </c>
      <c r="B46" s="18">
        <v>0</v>
      </c>
      <c r="C46" s="18">
        <v>100.52019120000004</v>
      </c>
      <c r="D46" s="18">
        <v>0</v>
      </c>
      <c r="E46" s="18">
        <v>106.90191708241495</v>
      </c>
      <c r="F46" s="18">
        <v>100.52019120000004</v>
      </c>
      <c r="G46" s="18">
        <v>106.90191708241495</v>
      </c>
    </row>
    <row r="47" spans="1:7" ht="11.25" customHeight="1" x14ac:dyDescent="0.2">
      <c r="A47" s="28">
        <v>44713</v>
      </c>
      <c r="B47" s="18">
        <v>0</v>
      </c>
      <c r="C47" s="18">
        <v>147.59727840000016</v>
      </c>
      <c r="D47" s="18">
        <v>0</v>
      </c>
      <c r="E47" s="18">
        <v>156.96778755338187</v>
      </c>
      <c r="F47" s="18">
        <v>147.59727840000016</v>
      </c>
      <c r="G47" s="18">
        <v>156.96778755338187</v>
      </c>
    </row>
    <row r="48" spans="1:7" ht="11.25" customHeight="1" x14ac:dyDescent="0.2">
      <c r="A48" s="21" t="s">
        <v>33</v>
      </c>
      <c r="B48" s="18">
        <v>0</v>
      </c>
      <c r="C48" s="18">
        <v>22269.468156600025</v>
      </c>
      <c r="D48" s="18">
        <v>0</v>
      </c>
      <c r="E48" s="18">
        <v>24984.864128254016</v>
      </c>
      <c r="F48" s="18">
        <v>22269.468156600025</v>
      </c>
      <c r="G48" s="18">
        <v>24984.864128254012</v>
      </c>
    </row>
    <row r="49" spans="1:7" ht="11.25" customHeight="1" x14ac:dyDescent="0.2">
      <c r="A49" s="22" t="s">
        <v>23</v>
      </c>
      <c r="B49" s="18">
        <v>0</v>
      </c>
      <c r="C49" s="18">
        <v>22269.468156600025</v>
      </c>
      <c r="D49" s="18">
        <v>0</v>
      </c>
      <c r="E49" s="18">
        <v>24984.864128254016</v>
      </c>
      <c r="F49" s="18">
        <v>22269.468156600025</v>
      </c>
      <c r="G49" s="18">
        <v>24984.864128254012</v>
      </c>
    </row>
    <row r="50" spans="1:7" ht="11.25" customHeight="1" x14ac:dyDescent="0.2">
      <c r="A50" s="23" t="s">
        <v>47</v>
      </c>
      <c r="B50" s="18">
        <v>0</v>
      </c>
      <c r="C50" s="18">
        <v>22269.468156600025</v>
      </c>
      <c r="D50" s="18">
        <v>0</v>
      </c>
      <c r="E50" s="18">
        <v>24984.864128254016</v>
      </c>
      <c r="F50" s="18">
        <v>22269.468156600025</v>
      </c>
      <c r="G50" s="18">
        <v>24984.864128254012</v>
      </c>
    </row>
    <row r="51" spans="1:7" ht="11.25" customHeight="1" x14ac:dyDescent="0.2">
      <c r="A51" s="24" t="s">
        <v>48</v>
      </c>
      <c r="B51" s="18">
        <v>0</v>
      </c>
      <c r="C51" s="18">
        <v>22269.468156600025</v>
      </c>
      <c r="D51" s="18">
        <v>0</v>
      </c>
      <c r="E51" s="18">
        <v>24984.864128254016</v>
      </c>
      <c r="F51" s="18">
        <v>22269.468156600025</v>
      </c>
      <c r="G51" s="18">
        <v>24984.864128254012</v>
      </c>
    </row>
    <row r="52" spans="1:7" ht="11.25" customHeight="1" x14ac:dyDescent="0.2">
      <c r="A52" s="25" t="s">
        <v>25</v>
      </c>
      <c r="B52" s="18">
        <v>0</v>
      </c>
      <c r="C52" s="18">
        <v>22269.468156600025</v>
      </c>
      <c r="D52" s="18">
        <v>0</v>
      </c>
      <c r="E52" s="18">
        <v>24984.864128254016</v>
      </c>
      <c r="F52" s="18">
        <v>22269.468156600025</v>
      </c>
      <c r="G52" s="18">
        <v>24984.864128254012</v>
      </c>
    </row>
    <row r="53" spans="1:7" ht="11.25" customHeight="1" x14ac:dyDescent="0.2">
      <c r="A53" s="26" t="s">
        <v>25</v>
      </c>
      <c r="B53" s="18">
        <v>0</v>
      </c>
      <c r="C53" s="18">
        <v>22269.468156600025</v>
      </c>
      <c r="D53" s="18">
        <v>0</v>
      </c>
      <c r="E53" s="18">
        <v>24984.864128254016</v>
      </c>
      <c r="F53" s="18">
        <v>22269.468156600025</v>
      </c>
      <c r="G53" s="18">
        <v>24984.864128254012</v>
      </c>
    </row>
    <row r="54" spans="1:7" ht="11.25" customHeight="1" x14ac:dyDescent="0.2">
      <c r="A54" s="27" t="s">
        <v>25</v>
      </c>
      <c r="B54" s="18">
        <v>0</v>
      </c>
      <c r="C54" s="18">
        <v>22269.468156600025</v>
      </c>
      <c r="D54" s="18">
        <v>0</v>
      </c>
      <c r="E54" s="18">
        <v>24984.864128254016</v>
      </c>
      <c r="F54" s="18">
        <v>22269.468156600025</v>
      </c>
      <c r="G54" s="18">
        <v>24984.864128254012</v>
      </c>
    </row>
    <row r="55" spans="1:7" ht="11.25" customHeight="1" x14ac:dyDescent="0.2">
      <c r="A55" s="28">
        <v>44378</v>
      </c>
      <c r="B55" s="18">
        <v>0</v>
      </c>
      <c r="C55" s="18">
        <v>1799.7165066000023</v>
      </c>
      <c r="D55" s="18">
        <v>0</v>
      </c>
      <c r="E55" s="18">
        <v>2019.1623828003501</v>
      </c>
      <c r="F55" s="18">
        <v>1799.7165066000023</v>
      </c>
      <c r="G55" s="18">
        <v>2019.1623828003501</v>
      </c>
    </row>
    <row r="56" spans="1:7" ht="11.25" customHeight="1" x14ac:dyDescent="0.2">
      <c r="A56" s="28">
        <v>44409</v>
      </c>
      <c r="B56" s="18">
        <v>0</v>
      </c>
      <c r="C56" s="18">
        <v>1820.7703230000027</v>
      </c>
      <c r="D56" s="18">
        <v>0</v>
      </c>
      <c r="E56" s="18">
        <v>2042.7833664015825</v>
      </c>
      <c r="F56" s="18">
        <v>1820.7703230000027</v>
      </c>
      <c r="G56" s="18">
        <v>2042.7833664015825</v>
      </c>
    </row>
    <row r="57" spans="1:7" ht="11.25" customHeight="1" x14ac:dyDescent="0.2">
      <c r="A57" s="28">
        <v>44440</v>
      </c>
      <c r="B57" s="18">
        <v>0</v>
      </c>
      <c r="C57" s="18">
        <v>1861.6960836000028</v>
      </c>
      <c r="D57" s="18">
        <v>0</v>
      </c>
      <c r="E57" s="18">
        <v>2088.6993514958831</v>
      </c>
      <c r="F57" s="18">
        <v>1861.6960836000028</v>
      </c>
      <c r="G57" s="18">
        <v>2088.6993514958831</v>
      </c>
    </row>
    <row r="58" spans="1:7" ht="11.25" customHeight="1" x14ac:dyDescent="0.2">
      <c r="A58" s="28">
        <v>44470</v>
      </c>
      <c r="B58" s="18">
        <v>0</v>
      </c>
      <c r="C58" s="18">
        <v>1853.3680074000022</v>
      </c>
      <c r="D58" s="18">
        <v>0</v>
      </c>
      <c r="E58" s="18">
        <v>2079.3558031523144</v>
      </c>
      <c r="F58" s="18">
        <v>1853.3680074000022</v>
      </c>
      <c r="G58" s="18">
        <v>2079.3558031523144</v>
      </c>
    </row>
    <row r="59" spans="1:7" ht="11.25" customHeight="1" x14ac:dyDescent="0.2">
      <c r="A59" s="28">
        <v>44501</v>
      </c>
      <c r="B59" s="18">
        <v>0</v>
      </c>
      <c r="C59" s="18">
        <v>1893.0019541999991</v>
      </c>
      <c r="D59" s="18">
        <v>0</v>
      </c>
      <c r="E59" s="18">
        <v>2123.8224589655961</v>
      </c>
      <c r="F59" s="18">
        <v>1893.0019541999991</v>
      </c>
      <c r="G59" s="18">
        <v>2123.8224589655961</v>
      </c>
    </row>
    <row r="60" spans="1:7" ht="11.25" customHeight="1" x14ac:dyDescent="0.2">
      <c r="A60" s="28">
        <v>44531</v>
      </c>
      <c r="B60" s="18">
        <v>0</v>
      </c>
      <c r="C60" s="18">
        <v>1529.8098786000012</v>
      </c>
      <c r="D60" s="18">
        <v>0</v>
      </c>
      <c r="E60" s="18">
        <v>1716.345073447741</v>
      </c>
      <c r="F60" s="18">
        <v>1529.8098786000012</v>
      </c>
      <c r="G60" s="18">
        <v>1716.345073447741</v>
      </c>
    </row>
    <row r="61" spans="1:7" ht="11.25" customHeight="1" x14ac:dyDescent="0.2">
      <c r="A61" s="28">
        <v>44562</v>
      </c>
      <c r="B61" s="18">
        <v>0</v>
      </c>
      <c r="C61" s="18">
        <v>2093.5354326000042</v>
      </c>
      <c r="D61" s="18">
        <v>0</v>
      </c>
      <c r="E61" s="18">
        <v>2348.807702248354</v>
      </c>
      <c r="F61" s="18">
        <v>2093.5354326000042</v>
      </c>
      <c r="G61" s="18">
        <v>2348.807702248354</v>
      </c>
    </row>
    <row r="62" spans="1:7" ht="11.25" customHeight="1" x14ac:dyDescent="0.2">
      <c r="A62" s="28">
        <v>44593</v>
      </c>
      <c r="B62" s="18">
        <v>0</v>
      </c>
      <c r="C62" s="18">
        <v>1840.2849570000026</v>
      </c>
      <c r="D62" s="18">
        <v>0</v>
      </c>
      <c r="E62" s="18">
        <v>2064.6774895828812</v>
      </c>
      <c r="F62" s="18">
        <v>1840.2849570000026</v>
      </c>
      <c r="G62" s="18">
        <v>2064.6774895828812</v>
      </c>
    </row>
    <row r="63" spans="1:7" ht="11.25" customHeight="1" x14ac:dyDescent="0.2">
      <c r="A63" s="28">
        <v>44621</v>
      </c>
      <c r="B63" s="18">
        <v>0</v>
      </c>
      <c r="C63" s="18">
        <v>1801.7229408000012</v>
      </c>
      <c r="D63" s="18">
        <v>0</v>
      </c>
      <c r="E63" s="18">
        <v>2021.413468704905</v>
      </c>
      <c r="F63" s="18">
        <v>1801.7229408000012</v>
      </c>
      <c r="G63" s="18">
        <v>2021.413468704905</v>
      </c>
    </row>
    <row r="64" spans="1:7" ht="11.25" customHeight="1" x14ac:dyDescent="0.2">
      <c r="A64" s="28">
        <v>44652</v>
      </c>
      <c r="B64" s="18">
        <v>0</v>
      </c>
      <c r="C64" s="18">
        <v>1903.8586872000014</v>
      </c>
      <c r="D64" s="18">
        <v>0</v>
      </c>
      <c r="E64" s="18">
        <v>2136.0029922847716</v>
      </c>
      <c r="F64" s="18">
        <v>1903.8586872000014</v>
      </c>
      <c r="G64" s="18">
        <v>2136.0029922847716</v>
      </c>
    </row>
    <row r="65" spans="1:7" ht="11.25" customHeight="1" x14ac:dyDescent="0.2">
      <c r="A65" s="28">
        <v>44682</v>
      </c>
      <c r="B65" s="18">
        <v>0</v>
      </c>
      <c r="C65" s="18">
        <v>1981.120146600005</v>
      </c>
      <c r="D65" s="18">
        <v>0</v>
      </c>
      <c r="E65" s="18">
        <v>2222.6852180067904</v>
      </c>
      <c r="F65" s="18">
        <v>1981.120146600005</v>
      </c>
      <c r="G65" s="18">
        <v>2222.6852180067904</v>
      </c>
    </row>
    <row r="66" spans="1:7" ht="11.25" customHeight="1" x14ac:dyDescent="0.2">
      <c r="A66" s="28">
        <v>44713</v>
      </c>
      <c r="B66" s="18">
        <v>0</v>
      </c>
      <c r="C66" s="18">
        <v>1890.5832389999996</v>
      </c>
      <c r="D66" s="18">
        <v>0</v>
      </c>
      <c r="E66" s="18">
        <v>2121.1088211628439</v>
      </c>
      <c r="F66" s="18">
        <v>1890.5832389999996</v>
      </c>
      <c r="G66" s="18">
        <v>2121.1088211628439</v>
      </c>
    </row>
    <row r="67" spans="1:7" ht="11.25" customHeight="1" x14ac:dyDescent="0.2">
      <c r="A67" s="20" t="s">
        <v>641</v>
      </c>
      <c r="B67" s="18">
        <v>0</v>
      </c>
      <c r="C67" s="18">
        <v>72076.253120000008</v>
      </c>
      <c r="D67" s="18">
        <v>0</v>
      </c>
      <c r="E67" s="18">
        <v>76931.392784666648</v>
      </c>
      <c r="F67" s="18">
        <v>72076.253119999994</v>
      </c>
      <c r="G67" s="18">
        <v>76931.39278466659</v>
      </c>
    </row>
    <row r="68" spans="1:7" ht="11.25" customHeight="1" x14ac:dyDescent="0.2">
      <c r="A68" s="21" t="s">
        <v>22</v>
      </c>
      <c r="B68" s="18">
        <v>0</v>
      </c>
      <c r="C68" s="18">
        <v>72076.253120000008</v>
      </c>
      <c r="D68" s="18">
        <v>0</v>
      </c>
      <c r="E68" s="18">
        <v>76931.392784666648</v>
      </c>
      <c r="F68" s="18">
        <v>72076.253119999994</v>
      </c>
      <c r="G68" s="18">
        <v>76931.39278466659</v>
      </c>
    </row>
    <row r="69" spans="1:7" ht="11.25" customHeight="1" x14ac:dyDescent="0.2">
      <c r="A69" s="22" t="s">
        <v>23</v>
      </c>
      <c r="B69" s="18">
        <v>0</v>
      </c>
      <c r="C69" s="18">
        <v>72076.253120000008</v>
      </c>
      <c r="D69" s="18">
        <v>0</v>
      </c>
      <c r="E69" s="18">
        <v>76931.392784666648</v>
      </c>
      <c r="F69" s="18">
        <v>72076.253119999994</v>
      </c>
      <c r="G69" s="18">
        <v>76931.39278466659</v>
      </c>
    </row>
    <row r="70" spans="1:7" ht="11.25" customHeight="1" x14ac:dyDescent="0.2">
      <c r="A70" s="23" t="s">
        <v>24</v>
      </c>
      <c r="B70" s="18">
        <v>0</v>
      </c>
      <c r="C70" s="18">
        <v>72076.253120000008</v>
      </c>
      <c r="D70" s="18">
        <v>0</v>
      </c>
      <c r="E70" s="18">
        <v>76931.392784666648</v>
      </c>
      <c r="F70" s="18">
        <v>72076.253119999994</v>
      </c>
      <c r="G70" s="18">
        <v>76931.39278466659</v>
      </c>
    </row>
    <row r="71" spans="1:7" ht="11.25" customHeight="1" x14ac:dyDescent="0.2">
      <c r="A71" s="24" t="s">
        <v>29</v>
      </c>
      <c r="B71" s="18">
        <v>0</v>
      </c>
      <c r="C71" s="18">
        <v>44595.021119999998</v>
      </c>
      <c r="D71" s="18">
        <v>0</v>
      </c>
      <c r="E71" s="18">
        <v>47598.993253871638</v>
      </c>
      <c r="F71" s="18">
        <v>44595.021119999998</v>
      </c>
      <c r="G71" s="18">
        <v>47598.993253871631</v>
      </c>
    </row>
    <row r="72" spans="1:7" ht="11.25" customHeight="1" x14ac:dyDescent="0.2">
      <c r="A72" s="25" t="s">
        <v>25</v>
      </c>
      <c r="B72" s="18">
        <v>0</v>
      </c>
      <c r="C72" s="18">
        <v>44595.021119999998</v>
      </c>
      <c r="D72" s="18">
        <v>0</v>
      </c>
      <c r="E72" s="18">
        <v>47598.993253871638</v>
      </c>
      <c r="F72" s="18">
        <v>44595.021119999998</v>
      </c>
      <c r="G72" s="18">
        <v>47598.993253871631</v>
      </c>
    </row>
    <row r="73" spans="1:7" ht="11.25" customHeight="1" x14ac:dyDescent="0.2">
      <c r="A73" s="26" t="s">
        <v>25</v>
      </c>
      <c r="B73" s="18">
        <v>0</v>
      </c>
      <c r="C73" s="18">
        <v>44595.021119999998</v>
      </c>
      <c r="D73" s="18">
        <v>0</v>
      </c>
      <c r="E73" s="18">
        <v>47598.993253871638</v>
      </c>
      <c r="F73" s="18">
        <v>44595.021119999998</v>
      </c>
      <c r="G73" s="18">
        <v>47598.993253871631</v>
      </c>
    </row>
    <row r="74" spans="1:7" ht="11.25" customHeight="1" x14ac:dyDescent="0.2">
      <c r="A74" s="27" t="s">
        <v>25</v>
      </c>
      <c r="B74" s="18">
        <v>0</v>
      </c>
      <c r="C74" s="18">
        <v>44595.021119999998</v>
      </c>
      <c r="D74" s="18">
        <v>0</v>
      </c>
      <c r="E74" s="18">
        <v>47598.993253871638</v>
      </c>
      <c r="F74" s="18">
        <v>44595.021119999998</v>
      </c>
      <c r="G74" s="18">
        <v>47598.993253871631</v>
      </c>
    </row>
    <row r="75" spans="1:7" ht="11.25" customHeight="1" x14ac:dyDescent="0.2">
      <c r="A75" s="28">
        <v>44378</v>
      </c>
      <c r="B75" s="18">
        <v>0</v>
      </c>
      <c r="C75" s="18">
        <v>1811.8463999999999</v>
      </c>
      <c r="D75" s="18">
        <v>0</v>
      </c>
      <c r="E75" s="18">
        <v>1933.8944663482559</v>
      </c>
      <c r="F75" s="18">
        <v>1811.8463999999999</v>
      </c>
      <c r="G75" s="18">
        <v>1933.8944663482559</v>
      </c>
    </row>
    <row r="76" spans="1:7" ht="11.25" customHeight="1" x14ac:dyDescent="0.2">
      <c r="A76" s="28">
        <v>44409</v>
      </c>
      <c r="B76" s="18">
        <v>0</v>
      </c>
      <c r="C76" s="18">
        <v>1827.0719999999999</v>
      </c>
      <c r="D76" s="18">
        <v>0</v>
      </c>
      <c r="E76" s="18">
        <v>1950.1456803511826</v>
      </c>
      <c r="F76" s="18">
        <v>1827.0719999999999</v>
      </c>
      <c r="G76" s="18">
        <v>1950.1456803511826</v>
      </c>
    </row>
    <row r="77" spans="1:7" ht="11.25" customHeight="1" x14ac:dyDescent="0.2">
      <c r="A77" s="28">
        <v>44440</v>
      </c>
      <c r="B77" s="18">
        <v>0</v>
      </c>
      <c r="C77" s="18">
        <v>1849.9104</v>
      </c>
      <c r="D77" s="18">
        <v>0</v>
      </c>
      <c r="E77" s="18">
        <v>1974.5225013555723</v>
      </c>
      <c r="F77" s="18">
        <v>1849.9104</v>
      </c>
      <c r="G77" s="18">
        <v>1974.5225013555723</v>
      </c>
    </row>
    <row r="78" spans="1:7" ht="11.25" customHeight="1" x14ac:dyDescent="0.2">
      <c r="A78" s="28">
        <v>44470</v>
      </c>
      <c r="B78" s="18">
        <v>0</v>
      </c>
      <c r="C78" s="18">
        <v>1872.7487999999998</v>
      </c>
      <c r="D78" s="18">
        <v>0</v>
      </c>
      <c r="E78" s="18">
        <v>1998.8993223599621</v>
      </c>
      <c r="F78" s="18">
        <v>1872.7487999999998</v>
      </c>
      <c r="G78" s="18">
        <v>1998.8993223599621</v>
      </c>
    </row>
    <row r="79" spans="1:7" ht="11.25" customHeight="1" x14ac:dyDescent="0.2">
      <c r="A79" s="28">
        <v>44501</v>
      </c>
      <c r="B79" s="18">
        <v>0</v>
      </c>
      <c r="C79" s="18">
        <v>1971.7151999999999</v>
      </c>
      <c r="D79" s="18">
        <v>0</v>
      </c>
      <c r="E79" s="18">
        <v>2104.5322133789846</v>
      </c>
      <c r="F79" s="18">
        <v>1971.7151999999999</v>
      </c>
      <c r="G79" s="18">
        <v>2104.5322133789846</v>
      </c>
    </row>
    <row r="80" spans="1:7" ht="11.25" customHeight="1" x14ac:dyDescent="0.2">
      <c r="A80" s="28">
        <v>44531</v>
      </c>
      <c r="B80" s="18">
        <v>0</v>
      </c>
      <c r="C80" s="18">
        <v>1986.9407999999999</v>
      </c>
      <c r="D80" s="18">
        <v>0</v>
      </c>
      <c r="E80" s="18">
        <v>2120.7834273819108</v>
      </c>
      <c r="F80" s="18">
        <v>1986.9407999999999</v>
      </c>
      <c r="G80" s="18">
        <v>2120.7834273819108</v>
      </c>
    </row>
    <row r="81" spans="1:7" ht="11.25" customHeight="1" x14ac:dyDescent="0.2">
      <c r="A81" s="28">
        <v>44562</v>
      </c>
      <c r="B81" s="18">
        <v>0</v>
      </c>
      <c r="C81" s="18">
        <v>2017.3920000000001</v>
      </c>
      <c r="D81" s="18">
        <v>0</v>
      </c>
      <c r="E81" s="18">
        <v>2153.2858553877641</v>
      </c>
      <c r="F81" s="18">
        <v>2017.3920000000001</v>
      </c>
      <c r="G81" s="18">
        <v>2153.2858553877641</v>
      </c>
    </row>
    <row r="82" spans="1:7" ht="11.25" customHeight="1" x14ac:dyDescent="0.2">
      <c r="A82" s="28">
        <v>44593</v>
      </c>
      <c r="B82" s="18">
        <v>0</v>
      </c>
      <c r="C82" s="18">
        <v>3532.3391999999999</v>
      </c>
      <c r="D82" s="18">
        <v>0</v>
      </c>
      <c r="E82" s="18">
        <v>3770.2816486789529</v>
      </c>
      <c r="F82" s="18">
        <v>3532.3391999999999</v>
      </c>
      <c r="G82" s="18">
        <v>3770.2816486789529</v>
      </c>
    </row>
    <row r="83" spans="1:7" ht="11.25" customHeight="1" x14ac:dyDescent="0.2">
      <c r="A83" s="28">
        <v>44621</v>
      </c>
      <c r="B83" s="18">
        <v>0</v>
      </c>
      <c r="C83" s="18">
        <v>4400.9596799999999</v>
      </c>
      <c r="D83" s="18">
        <v>0</v>
      </c>
      <c r="E83" s="18">
        <v>4697.4134075459115</v>
      </c>
      <c r="F83" s="18">
        <v>4400.9596799999999</v>
      </c>
      <c r="G83" s="18">
        <v>4697.4134075459115</v>
      </c>
    </row>
    <row r="84" spans="1:7" ht="11.25" customHeight="1" x14ac:dyDescent="0.2">
      <c r="A84" s="28">
        <v>44652</v>
      </c>
      <c r="B84" s="18">
        <v>0</v>
      </c>
      <c r="C84" s="18">
        <v>7392.2825599999996</v>
      </c>
      <c r="D84" s="18">
        <v>0</v>
      </c>
      <c r="E84" s="18">
        <v>7890.2352519875412</v>
      </c>
      <c r="F84" s="18">
        <v>7392.2825599999996</v>
      </c>
      <c r="G84" s="18">
        <v>7890.2352519875412</v>
      </c>
    </row>
    <row r="85" spans="1:7" ht="11.25" customHeight="1" x14ac:dyDescent="0.2">
      <c r="A85" s="28">
        <v>44682</v>
      </c>
      <c r="B85" s="18">
        <v>0</v>
      </c>
      <c r="C85" s="18">
        <v>7966.2876799999995</v>
      </c>
      <c r="D85" s="18">
        <v>0</v>
      </c>
      <c r="E85" s="18">
        <v>8502.9060198978714</v>
      </c>
      <c r="F85" s="18">
        <v>7966.2876799999995</v>
      </c>
      <c r="G85" s="18">
        <v>8502.9060198978714</v>
      </c>
    </row>
    <row r="86" spans="1:7" ht="11.25" customHeight="1" x14ac:dyDescent="0.2">
      <c r="A86" s="28">
        <v>44713</v>
      </c>
      <c r="B86" s="18">
        <v>0</v>
      </c>
      <c r="C86" s="18">
        <v>7965.5263999999997</v>
      </c>
      <c r="D86" s="18">
        <v>0</v>
      </c>
      <c r="E86" s="18">
        <v>8502.0934591977239</v>
      </c>
      <c r="F86" s="18">
        <v>7965.5263999999997</v>
      </c>
      <c r="G86" s="18">
        <v>8502.0934591977239</v>
      </c>
    </row>
    <row r="87" spans="1:7" ht="11.25" customHeight="1" x14ac:dyDescent="0.2">
      <c r="A87" s="24" t="s">
        <v>30</v>
      </c>
      <c r="B87" s="18">
        <v>0</v>
      </c>
      <c r="C87" s="18">
        <v>9388.8076799999981</v>
      </c>
      <c r="D87" s="18">
        <v>0</v>
      </c>
      <c r="E87" s="18">
        <v>10021.248610235398</v>
      </c>
      <c r="F87" s="18">
        <v>9388.8076799999981</v>
      </c>
      <c r="G87" s="18">
        <v>10021.248610235398</v>
      </c>
    </row>
    <row r="88" spans="1:7" ht="11.25" customHeight="1" x14ac:dyDescent="0.2">
      <c r="A88" s="25" t="s">
        <v>25</v>
      </c>
      <c r="B88" s="18">
        <v>0</v>
      </c>
      <c r="C88" s="18">
        <v>9388.8076799999981</v>
      </c>
      <c r="D88" s="18">
        <v>0</v>
      </c>
      <c r="E88" s="18">
        <v>10021.248610235398</v>
      </c>
      <c r="F88" s="18">
        <v>9388.8076799999981</v>
      </c>
      <c r="G88" s="18">
        <v>10021.248610235398</v>
      </c>
    </row>
    <row r="89" spans="1:7" ht="11.25" customHeight="1" x14ac:dyDescent="0.2">
      <c r="A89" s="26" t="s">
        <v>25</v>
      </c>
      <c r="B89" s="18">
        <v>0</v>
      </c>
      <c r="C89" s="18">
        <v>9388.8076799999981</v>
      </c>
      <c r="D89" s="18">
        <v>0</v>
      </c>
      <c r="E89" s="18">
        <v>10021.248610235398</v>
      </c>
      <c r="F89" s="18">
        <v>9388.8076799999981</v>
      </c>
      <c r="G89" s="18">
        <v>10021.248610235398</v>
      </c>
    </row>
    <row r="90" spans="1:7" ht="11.25" customHeight="1" x14ac:dyDescent="0.2">
      <c r="A90" s="27" t="s">
        <v>25</v>
      </c>
      <c r="B90" s="18">
        <v>0</v>
      </c>
      <c r="C90" s="18">
        <v>9388.8076799999981</v>
      </c>
      <c r="D90" s="18">
        <v>0</v>
      </c>
      <c r="E90" s="18">
        <v>10021.248610235398</v>
      </c>
      <c r="F90" s="18">
        <v>9388.8076799999981</v>
      </c>
      <c r="G90" s="18">
        <v>10021.248610235398</v>
      </c>
    </row>
    <row r="91" spans="1:7" ht="11.25" customHeight="1" x14ac:dyDescent="0.2">
      <c r="A91" s="28">
        <v>44378</v>
      </c>
      <c r="B91" s="18">
        <v>0</v>
      </c>
      <c r="C91" s="18">
        <v>283.74271999999991</v>
      </c>
      <c r="D91" s="18">
        <v>0</v>
      </c>
      <c r="E91" s="18">
        <v>302.85595736735883</v>
      </c>
      <c r="F91" s="18">
        <v>283.74271999999991</v>
      </c>
      <c r="G91" s="18">
        <v>302.85595736735883</v>
      </c>
    </row>
    <row r="92" spans="1:7" ht="11.25" customHeight="1" x14ac:dyDescent="0.2">
      <c r="A92" s="28">
        <v>44409</v>
      </c>
      <c r="B92" s="18">
        <v>0</v>
      </c>
      <c r="C92" s="18">
        <v>303.73119999999994</v>
      </c>
      <c r="D92" s="18">
        <v>0</v>
      </c>
      <c r="E92" s="18">
        <v>324.19088446863674</v>
      </c>
      <c r="F92" s="18">
        <v>303.73119999999994</v>
      </c>
      <c r="G92" s="18">
        <v>324.19088446863674</v>
      </c>
    </row>
    <row r="93" spans="1:7" ht="11.25" customHeight="1" x14ac:dyDescent="0.2">
      <c r="A93" s="28">
        <v>44440</v>
      </c>
      <c r="B93" s="18">
        <v>0</v>
      </c>
      <c r="C93" s="18">
        <v>265.94047999999998</v>
      </c>
      <c r="D93" s="18">
        <v>0</v>
      </c>
      <c r="E93" s="18">
        <v>283.8545379177832</v>
      </c>
      <c r="F93" s="18">
        <v>265.94047999999998</v>
      </c>
      <c r="G93" s="18">
        <v>283.8545379177832</v>
      </c>
    </row>
    <row r="94" spans="1:7" ht="11.25" customHeight="1" x14ac:dyDescent="0.2">
      <c r="A94" s="28">
        <v>44470</v>
      </c>
      <c r="B94" s="18">
        <v>0</v>
      </c>
      <c r="C94" s="18">
        <v>289.83295999999996</v>
      </c>
      <c r="D94" s="18">
        <v>0</v>
      </c>
      <c r="E94" s="18">
        <v>309.35644296852945</v>
      </c>
      <c r="F94" s="18">
        <v>289.83295999999996</v>
      </c>
      <c r="G94" s="18">
        <v>309.35644296852945</v>
      </c>
    </row>
    <row r="95" spans="1:7" ht="11.25" customHeight="1" x14ac:dyDescent="0.2">
      <c r="A95" s="28">
        <v>44501</v>
      </c>
      <c r="B95" s="18">
        <v>0</v>
      </c>
      <c r="C95" s="18">
        <v>246.10815999999991</v>
      </c>
      <c r="D95" s="18">
        <v>0</v>
      </c>
      <c r="E95" s="18">
        <v>262.68628993448408</v>
      </c>
      <c r="F95" s="18">
        <v>246.10815999999991</v>
      </c>
      <c r="G95" s="18">
        <v>262.68628993448408</v>
      </c>
    </row>
    <row r="96" spans="1:7" ht="11.25" customHeight="1" x14ac:dyDescent="0.2">
      <c r="A96" s="28">
        <v>44531</v>
      </c>
      <c r="B96" s="18">
        <v>0</v>
      </c>
      <c r="C96" s="18">
        <v>318.56639999999993</v>
      </c>
      <c r="D96" s="18">
        <v>0</v>
      </c>
      <c r="E96" s="18">
        <v>340.02540067661641</v>
      </c>
      <c r="F96" s="18">
        <v>318.56639999999993</v>
      </c>
      <c r="G96" s="18">
        <v>340.02540067661641</v>
      </c>
    </row>
    <row r="97" spans="1:7" ht="11.25" customHeight="1" x14ac:dyDescent="0.2">
      <c r="A97" s="28">
        <v>44562</v>
      </c>
      <c r="B97" s="18">
        <v>0</v>
      </c>
      <c r="C97" s="18">
        <v>1759.7670399999997</v>
      </c>
      <c r="D97" s="18">
        <v>0</v>
      </c>
      <c r="E97" s="18">
        <v>1878.3069805023481</v>
      </c>
      <c r="F97" s="18">
        <v>1759.7670399999997</v>
      </c>
      <c r="G97" s="18">
        <v>1878.3069805023481</v>
      </c>
    </row>
    <row r="98" spans="1:7" ht="11.25" customHeight="1" x14ac:dyDescent="0.2">
      <c r="A98" s="28">
        <v>44593</v>
      </c>
      <c r="B98" s="18">
        <v>0</v>
      </c>
      <c r="C98" s="18">
        <v>472.6963199999999</v>
      </c>
      <c r="D98" s="18">
        <v>0</v>
      </c>
      <c r="E98" s="18">
        <v>504.53769012162644</v>
      </c>
      <c r="F98" s="18">
        <v>472.6963199999999</v>
      </c>
      <c r="G98" s="18">
        <v>504.53769012162644</v>
      </c>
    </row>
    <row r="99" spans="1:7" ht="11.25" customHeight="1" x14ac:dyDescent="0.2">
      <c r="A99" s="28">
        <v>44621</v>
      </c>
      <c r="B99" s="18">
        <v>0</v>
      </c>
      <c r="C99" s="18">
        <v>742.85311999999988</v>
      </c>
      <c r="D99" s="18">
        <v>0</v>
      </c>
      <c r="E99" s="18">
        <v>792.8925642248355</v>
      </c>
      <c r="F99" s="18">
        <v>742.85311999999988</v>
      </c>
      <c r="G99" s="18">
        <v>792.8925642248355</v>
      </c>
    </row>
    <row r="100" spans="1:7" ht="11.25" customHeight="1" x14ac:dyDescent="0.2">
      <c r="A100" s="28">
        <v>44652</v>
      </c>
      <c r="B100" s="18">
        <v>0</v>
      </c>
      <c r="C100" s="18">
        <v>1461.0329599999998</v>
      </c>
      <c r="D100" s="18">
        <v>0</v>
      </c>
      <c r="E100" s="18">
        <v>1559.4498278090309</v>
      </c>
      <c r="F100" s="18">
        <v>1461.0329599999998</v>
      </c>
      <c r="G100" s="18">
        <v>1559.4498278090309</v>
      </c>
    </row>
    <row r="101" spans="1:7" ht="11.25" customHeight="1" x14ac:dyDescent="0.2">
      <c r="A101" s="28">
        <v>44682</v>
      </c>
      <c r="B101" s="18">
        <v>0</v>
      </c>
      <c r="C101" s="18">
        <v>1707.7657599999995</v>
      </c>
      <c r="D101" s="18">
        <v>0</v>
      </c>
      <c r="E101" s="18">
        <v>1822.8028342154298</v>
      </c>
      <c r="F101" s="18">
        <v>1707.7657599999995</v>
      </c>
      <c r="G101" s="18">
        <v>1822.8028342154298</v>
      </c>
    </row>
    <row r="102" spans="1:7" ht="11.25" customHeight="1" x14ac:dyDescent="0.2">
      <c r="A102" s="28">
        <v>44713</v>
      </c>
      <c r="B102" s="18">
        <v>0</v>
      </c>
      <c r="C102" s="18">
        <v>1536.7705599999995</v>
      </c>
      <c r="D102" s="18">
        <v>0</v>
      </c>
      <c r="E102" s="18">
        <v>1640.2892000287166</v>
      </c>
      <c r="F102" s="18">
        <v>1536.7705599999995</v>
      </c>
      <c r="G102" s="18">
        <v>1640.2892000287166</v>
      </c>
    </row>
    <row r="103" spans="1:7" ht="11.25" customHeight="1" x14ac:dyDescent="0.2">
      <c r="A103" s="24" t="s">
        <v>31</v>
      </c>
      <c r="B103" s="18">
        <v>0</v>
      </c>
      <c r="C103" s="18">
        <v>18092.424319999998</v>
      </c>
      <c r="D103" s="18">
        <v>0</v>
      </c>
      <c r="E103" s="18">
        <v>19311.150920559601</v>
      </c>
      <c r="F103" s="18">
        <v>18092.424319999998</v>
      </c>
      <c r="G103" s="18">
        <v>19311.150920559601</v>
      </c>
    </row>
    <row r="104" spans="1:7" ht="11.25" customHeight="1" x14ac:dyDescent="0.2">
      <c r="A104" s="25" t="s">
        <v>25</v>
      </c>
      <c r="B104" s="18">
        <v>0</v>
      </c>
      <c r="C104" s="18">
        <v>18092.424319999998</v>
      </c>
      <c r="D104" s="18">
        <v>0</v>
      </c>
      <c r="E104" s="18">
        <v>19311.150920559601</v>
      </c>
      <c r="F104" s="18">
        <v>18092.424319999998</v>
      </c>
      <c r="G104" s="18">
        <v>19311.150920559601</v>
      </c>
    </row>
    <row r="105" spans="1:7" ht="11.25" customHeight="1" x14ac:dyDescent="0.2">
      <c r="A105" s="26" t="s">
        <v>25</v>
      </c>
      <c r="B105" s="18">
        <v>0</v>
      </c>
      <c r="C105" s="18">
        <v>18092.424319999998</v>
      </c>
      <c r="D105" s="18">
        <v>0</v>
      </c>
      <c r="E105" s="18">
        <v>19311.150920559601</v>
      </c>
      <c r="F105" s="18">
        <v>18092.424319999998</v>
      </c>
      <c r="G105" s="18">
        <v>19311.150920559601</v>
      </c>
    </row>
    <row r="106" spans="1:7" ht="11.25" customHeight="1" x14ac:dyDescent="0.2">
      <c r="A106" s="27" t="s">
        <v>25</v>
      </c>
      <c r="B106" s="18">
        <v>0</v>
      </c>
      <c r="C106" s="18">
        <v>18092.424319999998</v>
      </c>
      <c r="D106" s="18">
        <v>0</v>
      </c>
      <c r="E106" s="18">
        <v>19311.150920559601</v>
      </c>
      <c r="F106" s="18">
        <v>18092.424319999998</v>
      </c>
      <c r="G106" s="18">
        <v>19311.150920559601</v>
      </c>
    </row>
    <row r="107" spans="1:7" ht="11.25" customHeight="1" x14ac:dyDescent="0.2">
      <c r="A107" s="28">
        <v>44378</v>
      </c>
      <c r="B107" s="18">
        <v>0</v>
      </c>
      <c r="C107" s="18">
        <v>785.40671999999984</v>
      </c>
      <c r="D107" s="18">
        <v>0</v>
      </c>
      <c r="E107" s="18">
        <v>838.31262387404024</v>
      </c>
      <c r="F107" s="18">
        <v>785.40671999999984</v>
      </c>
      <c r="G107" s="18">
        <v>838.31262387404024</v>
      </c>
    </row>
    <row r="108" spans="1:7" ht="11.25" customHeight="1" x14ac:dyDescent="0.2">
      <c r="A108" s="28">
        <v>44409</v>
      </c>
      <c r="B108" s="18">
        <v>0</v>
      </c>
      <c r="C108" s="18">
        <v>831.27871999999979</v>
      </c>
      <c r="D108" s="18">
        <v>0</v>
      </c>
      <c r="E108" s="18">
        <v>887.27461478029318</v>
      </c>
      <c r="F108" s="18">
        <v>831.27871999999979</v>
      </c>
      <c r="G108" s="18">
        <v>887.27461478029318</v>
      </c>
    </row>
    <row r="109" spans="1:7" ht="11.25" customHeight="1" x14ac:dyDescent="0.2">
      <c r="A109" s="28">
        <v>44440</v>
      </c>
      <c r="B109" s="18">
        <v>0</v>
      </c>
      <c r="C109" s="18">
        <v>878.82943999999975</v>
      </c>
      <c r="D109" s="18">
        <v>0</v>
      </c>
      <c r="E109" s="18">
        <v>938.02840620481754</v>
      </c>
      <c r="F109" s="18">
        <v>878.82943999999975</v>
      </c>
      <c r="G109" s="18">
        <v>938.02840620481754</v>
      </c>
    </row>
    <row r="110" spans="1:7" ht="11.25" customHeight="1" x14ac:dyDescent="0.2">
      <c r="A110" s="28">
        <v>44470</v>
      </c>
      <c r="B110" s="18">
        <v>0</v>
      </c>
      <c r="C110" s="18">
        <v>863.91615999999988</v>
      </c>
      <c r="D110" s="18">
        <v>0</v>
      </c>
      <c r="E110" s="18">
        <v>922.11055043784859</v>
      </c>
      <c r="F110" s="18">
        <v>863.91615999999988</v>
      </c>
      <c r="G110" s="18">
        <v>922.11055043784859</v>
      </c>
    </row>
    <row r="111" spans="1:7" ht="11.25" customHeight="1" x14ac:dyDescent="0.2">
      <c r="A111" s="28">
        <v>44501</v>
      </c>
      <c r="B111" s="18">
        <v>0</v>
      </c>
      <c r="C111" s="18">
        <v>878.71231999999975</v>
      </c>
      <c r="D111" s="18">
        <v>0</v>
      </c>
      <c r="E111" s="18">
        <v>937.90339686633354</v>
      </c>
      <c r="F111" s="18">
        <v>878.71231999999975</v>
      </c>
      <c r="G111" s="18">
        <v>937.90339686633354</v>
      </c>
    </row>
    <row r="112" spans="1:7" ht="11.25" customHeight="1" x14ac:dyDescent="0.2">
      <c r="A112" s="28">
        <v>44531</v>
      </c>
      <c r="B112" s="18">
        <v>0</v>
      </c>
      <c r="C112" s="18">
        <v>893.62559999999985</v>
      </c>
      <c r="D112" s="18">
        <v>0</v>
      </c>
      <c r="E112" s="18">
        <v>953.82125263330261</v>
      </c>
      <c r="F112" s="18">
        <v>893.62559999999985</v>
      </c>
      <c r="G112" s="18">
        <v>953.82125263330261</v>
      </c>
    </row>
    <row r="113" spans="1:7" ht="11.25" customHeight="1" x14ac:dyDescent="0.2">
      <c r="A113" s="28">
        <v>44562</v>
      </c>
      <c r="B113" s="18">
        <v>0</v>
      </c>
      <c r="C113" s="18">
        <v>830.06847999999979</v>
      </c>
      <c r="D113" s="18">
        <v>0</v>
      </c>
      <c r="E113" s="18">
        <v>885.98285161595811</v>
      </c>
      <c r="F113" s="18">
        <v>830.06847999999979</v>
      </c>
      <c r="G113" s="18">
        <v>885.98285161595811</v>
      </c>
    </row>
    <row r="114" spans="1:7" ht="11.25" customHeight="1" x14ac:dyDescent="0.2">
      <c r="A114" s="28">
        <v>44593</v>
      </c>
      <c r="B114" s="18">
        <v>0</v>
      </c>
      <c r="C114" s="18">
        <v>1456.7775999999997</v>
      </c>
      <c r="D114" s="18">
        <v>0</v>
      </c>
      <c r="E114" s="18">
        <v>1554.9078218441102</v>
      </c>
      <c r="F114" s="18">
        <v>1456.7775999999997</v>
      </c>
      <c r="G114" s="18">
        <v>1554.9078218441102</v>
      </c>
    </row>
    <row r="115" spans="1:7" ht="11.25" customHeight="1" x14ac:dyDescent="0.2">
      <c r="A115" s="28">
        <v>44621</v>
      </c>
      <c r="B115" s="18">
        <v>0</v>
      </c>
      <c r="C115" s="18">
        <v>1798.2604799999995</v>
      </c>
      <c r="D115" s="18">
        <v>0</v>
      </c>
      <c r="E115" s="18">
        <v>1919.3933830841061</v>
      </c>
      <c r="F115" s="18">
        <v>1798.2604799999995</v>
      </c>
      <c r="G115" s="18">
        <v>1919.3933830841061</v>
      </c>
    </row>
    <row r="116" spans="1:7" ht="11.25" customHeight="1" x14ac:dyDescent="0.2">
      <c r="A116" s="28">
        <v>44652</v>
      </c>
      <c r="B116" s="18">
        <v>0</v>
      </c>
      <c r="C116" s="18">
        <v>2916.1318399999996</v>
      </c>
      <c r="D116" s="18">
        <v>0</v>
      </c>
      <c r="E116" s="18">
        <v>3112.5658491348699</v>
      </c>
      <c r="F116" s="18">
        <v>2916.1318399999996</v>
      </c>
      <c r="G116" s="18">
        <v>3112.5658491348699</v>
      </c>
    </row>
    <row r="117" spans="1:7" ht="11.25" customHeight="1" x14ac:dyDescent="0.2">
      <c r="A117" s="28">
        <v>44682</v>
      </c>
      <c r="B117" s="18">
        <v>0</v>
      </c>
      <c r="C117" s="18">
        <v>2980.7430399999994</v>
      </c>
      <c r="D117" s="18">
        <v>0</v>
      </c>
      <c r="E117" s="18">
        <v>3181.5293341985707</v>
      </c>
      <c r="F117" s="18">
        <v>2980.7430399999994</v>
      </c>
      <c r="G117" s="18">
        <v>3181.5293341985707</v>
      </c>
    </row>
    <row r="118" spans="1:7" ht="11.25" customHeight="1" x14ac:dyDescent="0.2">
      <c r="A118" s="28">
        <v>44713</v>
      </c>
      <c r="B118" s="18">
        <v>0</v>
      </c>
      <c r="C118" s="18">
        <v>2978.6739199999997</v>
      </c>
      <c r="D118" s="18">
        <v>0</v>
      </c>
      <c r="E118" s="18">
        <v>3179.3208358853526</v>
      </c>
      <c r="F118" s="18">
        <v>2978.6739199999997</v>
      </c>
      <c r="G118" s="18">
        <v>3179.3208358853526</v>
      </c>
    </row>
    <row r="119" spans="1:7" ht="11.25" customHeight="1" x14ac:dyDescent="0.2">
      <c r="A119" s="24" t="s">
        <v>32</v>
      </c>
      <c r="B119" s="18">
        <v>0</v>
      </c>
      <c r="C119" s="18">
        <v>-8.6299962731573038E-12</v>
      </c>
      <c r="D119" s="18">
        <v>0</v>
      </c>
      <c r="E119" s="18">
        <v>0</v>
      </c>
      <c r="F119" s="18">
        <v>-8.6299962731573038E-12</v>
      </c>
      <c r="G119" s="18">
        <v>0</v>
      </c>
    </row>
    <row r="120" spans="1:7" ht="11.25" customHeight="1" x14ac:dyDescent="0.2">
      <c r="A120" s="25" t="s">
        <v>25</v>
      </c>
      <c r="B120" s="18">
        <v>0</v>
      </c>
      <c r="C120" s="18">
        <v>-8.6299962731573038E-12</v>
      </c>
      <c r="D120" s="18">
        <v>0</v>
      </c>
      <c r="E120" s="18">
        <v>0</v>
      </c>
      <c r="F120" s="18">
        <v>-8.6299962731573038E-12</v>
      </c>
      <c r="G120" s="18">
        <v>0</v>
      </c>
    </row>
    <row r="121" spans="1:7" ht="11.25" customHeight="1" x14ac:dyDescent="0.2">
      <c r="A121" s="26" t="s">
        <v>25</v>
      </c>
      <c r="B121" s="18">
        <v>0</v>
      </c>
      <c r="C121" s="18">
        <v>-8.6299962731573038E-12</v>
      </c>
      <c r="D121" s="18">
        <v>0</v>
      </c>
      <c r="E121" s="18">
        <v>0</v>
      </c>
      <c r="F121" s="18">
        <v>-8.6299962731573038E-12</v>
      </c>
      <c r="G121" s="18">
        <v>0</v>
      </c>
    </row>
    <row r="122" spans="1:7" ht="11.25" customHeight="1" x14ac:dyDescent="0.2">
      <c r="A122" s="27" t="s">
        <v>25</v>
      </c>
      <c r="B122" s="18">
        <v>0</v>
      </c>
      <c r="C122" s="18">
        <v>-8.6299962731573038E-12</v>
      </c>
      <c r="D122" s="18">
        <v>0</v>
      </c>
      <c r="E122" s="18">
        <v>0</v>
      </c>
      <c r="F122" s="18">
        <v>-8.6299962731573038E-12</v>
      </c>
      <c r="G122" s="18">
        <v>0</v>
      </c>
    </row>
    <row r="123" spans="1:7" ht="11.25" customHeight="1" x14ac:dyDescent="0.2">
      <c r="A123" s="28">
        <v>44378</v>
      </c>
      <c r="B123" s="18">
        <v>0</v>
      </c>
      <c r="C123" s="18">
        <v>-3.2653701964591166E-13</v>
      </c>
      <c r="D123" s="18">
        <v>0</v>
      </c>
      <c r="E123" s="18">
        <v>0</v>
      </c>
      <c r="F123" s="18">
        <v>-3.2653701964591166E-13</v>
      </c>
      <c r="G123" s="18">
        <v>0</v>
      </c>
    </row>
    <row r="124" spans="1:7" ht="11.25" customHeight="1" x14ac:dyDescent="0.2">
      <c r="A124" s="28">
        <v>44409</v>
      </c>
      <c r="B124" s="18">
        <v>0</v>
      </c>
      <c r="C124" s="18">
        <v>-3.4305003282497633E-13</v>
      </c>
      <c r="D124" s="18">
        <v>0</v>
      </c>
      <c r="E124" s="18">
        <v>0</v>
      </c>
      <c r="F124" s="18">
        <v>-3.4305003282497633E-13</v>
      </c>
      <c r="G124" s="18">
        <v>0</v>
      </c>
    </row>
    <row r="125" spans="1:7" ht="11.25" customHeight="1" x14ac:dyDescent="0.2">
      <c r="A125" s="28">
        <v>44440</v>
      </c>
      <c r="B125" s="18">
        <v>0</v>
      </c>
      <c r="C125" s="18">
        <v>-3.6646952139562928E-13</v>
      </c>
      <c r="D125" s="18">
        <v>0</v>
      </c>
      <c r="E125" s="18">
        <v>0</v>
      </c>
      <c r="F125" s="18">
        <v>-3.6646952139562928E-13</v>
      </c>
      <c r="G125" s="18">
        <v>0</v>
      </c>
    </row>
    <row r="126" spans="1:7" ht="11.25" customHeight="1" x14ac:dyDescent="0.2">
      <c r="A126" s="28">
        <v>44470</v>
      </c>
      <c r="B126" s="18">
        <v>0</v>
      </c>
      <c r="C126" s="18">
        <v>-3.2392222237831448E-13</v>
      </c>
      <c r="D126" s="18">
        <v>0</v>
      </c>
      <c r="E126" s="18">
        <v>0</v>
      </c>
      <c r="F126" s="18">
        <v>-3.2392222237831448E-13</v>
      </c>
      <c r="G126" s="18">
        <v>0</v>
      </c>
    </row>
    <row r="127" spans="1:7" ht="11.25" customHeight="1" x14ac:dyDescent="0.2">
      <c r="A127" s="28">
        <v>44501</v>
      </c>
      <c r="B127" s="18">
        <v>0</v>
      </c>
      <c r="C127" s="18">
        <v>-4.2069814298884016E-13</v>
      </c>
      <c r="D127" s="18">
        <v>0</v>
      </c>
      <c r="E127" s="18">
        <v>0</v>
      </c>
      <c r="F127" s="18">
        <v>-4.2069814298884016E-13</v>
      </c>
      <c r="G127" s="18">
        <v>0</v>
      </c>
    </row>
    <row r="128" spans="1:7" ht="11.25" customHeight="1" x14ac:dyDescent="0.2">
      <c r="A128" s="28">
        <v>44531</v>
      </c>
      <c r="B128" s="18">
        <v>0</v>
      </c>
      <c r="C128" s="18">
        <v>-3.702211870404426E-13</v>
      </c>
      <c r="D128" s="18">
        <v>0</v>
      </c>
      <c r="E128" s="18">
        <v>0</v>
      </c>
      <c r="F128" s="18">
        <v>-3.702211870404426E-13</v>
      </c>
      <c r="G128" s="18">
        <v>0</v>
      </c>
    </row>
    <row r="129" spans="1:7" ht="11.25" customHeight="1" x14ac:dyDescent="0.2">
      <c r="A129" s="28">
        <v>44562</v>
      </c>
      <c r="B129" s="18">
        <v>0</v>
      </c>
      <c r="C129" s="18">
        <v>-4.5008619053987787E-13</v>
      </c>
      <c r="D129" s="18">
        <v>0</v>
      </c>
      <c r="E129" s="18">
        <v>0</v>
      </c>
      <c r="F129" s="18">
        <v>-4.5008619053987787E-13</v>
      </c>
      <c r="G129" s="18">
        <v>0</v>
      </c>
    </row>
    <row r="130" spans="1:7" ht="11.25" customHeight="1" x14ac:dyDescent="0.2">
      <c r="A130" s="28">
        <v>44593</v>
      </c>
      <c r="B130" s="18">
        <v>0</v>
      </c>
      <c r="C130" s="18">
        <v>-1.1102656571893021E-12</v>
      </c>
      <c r="D130" s="18">
        <v>0</v>
      </c>
      <c r="E130" s="18">
        <v>0</v>
      </c>
      <c r="F130" s="18">
        <v>-1.1102656571893021E-12</v>
      </c>
      <c r="G130" s="18">
        <v>0</v>
      </c>
    </row>
    <row r="131" spans="1:7" ht="11.25" customHeight="1" x14ac:dyDescent="0.2">
      <c r="A131" s="28">
        <v>44621</v>
      </c>
      <c r="B131" s="18">
        <v>0</v>
      </c>
      <c r="C131" s="18">
        <v>-1.008743311103899E-12</v>
      </c>
      <c r="D131" s="18">
        <v>0</v>
      </c>
      <c r="E131" s="18">
        <v>0</v>
      </c>
      <c r="F131" s="18">
        <v>-1.008743311103899E-12</v>
      </c>
      <c r="G131" s="18">
        <v>0</v>
      </c>
    </row>
    <row r="132" spans="1:7" ht="11.25" customHeight="1" x14ac:dyDescent="0.2">
      <c r="A132" s="28">
        <v>44652</v>
      </c>
      <c r="B132" s="18">
        <v>0</v>
      </c>
      <c r="C132" s="18">
        <v>-1.3006626886635785E-12</v>
      </c>
      <c r="D132" s="18">
        <v>0</v>
      </c>
      <c r="E132" s="18">
        <v>0</v>
      </c>
      <c r="F132" s="18">
        <v>-1.3006626886635785E-12</v>
      </c>
      <c r="G132" s="18">
        <v>0</v>
      </c>
    </row>
    <row r="133" spans="1:7" ht="11.25" customHeight="1" x14ac:dyDescent="0.2">
      <c r="A133" s="28">
        <v>44682</v>
      </c>
      <c r="B133" s="18">
        <v>0</v>
      </c>
      <c r="C133" s="18">
        <v>-1.2169039109721779E-12</v>
      </c>
      <c r="D133" s="18">
        <v>0</v>
      </c>
      <c r="E133" s="18">
        <v>0</v>
      </c>
      <c r="F133" s="18">
        <v>-1.2169039109721779E-12</v>
      </c>
      <c r="G133" s="18">
        <v>0</v>
      </c>
    </row>
    <row r="134" spans="1:7" ht="11.25" customHeight="1" x14ac:dyDescent="0.2">
      <c r="A134" s="28">
        <v>44713</v>
      </c>
      <c r="B134" s="18">
        <v>0</v>
      </c>
      <c r="C134" s="18">
        <v>-1.3924363884143531E-12</v>
      </c>
      <c r="D134" s="18">
        <v>0</v>
      </c>
      <c r="E134" s="18">
        <v>0</v>
      </c>
      <c r="F134" s="18">
        <v>-1.3924363884143531E-12</v>
      </c>
      <c r="G134" s="18">
        <v>0</v>
      </c>
    </row>
    <row r="135" spans="1:7" ht="11.25" customHeight="1" x14ac:dyDescent="0.2">
      <c r="A135" s="20" t="s">
        <v>636</v>
      </c>
      <c r="B135" s="18">
        <v>4574435.975180001</v>
      </c>
      <c r="C135" s="18">
        <v>2051212.4290835401</v>
      </c>
      <c r="D135" s="18">
        <v>4816216.3097926732</v>
      </c>
      <c r="E135" s="18">
        <v>2592620.7299521137</v>
      </c>
      <c r="F135" s="18">
        <v>6625648.4042635411</v>
      </c>
      <c r="G135" s="18">
        <v>7408837.0397447869</v>
      </c>
    </row>
    <row r="136" spans="1:7" ht="11.25" customHeight="1" x14ac:dyDescent="0.2">
      <c r="A136" s="21" t="s">
        <v>35</v>
      </c>
      <c r="B136" s="18">
        <v>4574435.975180001</v>
      </c>
      <c r="C136" s="18">
        <v>2051212.4290835401</v>
      </c>
      <c r="D136" s="18">
        <v>4816216.3097926732</v>
      </c>
      <c r="E136" s="18">
        <v>2592620.7299521137</v>
      </c>
      <c r="F136" s="18">
        <v>6625648.4042635411</v>
      </c>
      <c r="G136" s="18">
        <v>7408837.0397447869</v>
      </c>
    </row>
    <row r="137" spans="1:7" ht="11.25" customHeight="1" x14ac:dyDescent="0.2">
      <c r="A137" s="22" t="s">
        <v>36</v>
      </c>
      <c r="B137" s="18">
        <v>3868182.1549999998</v>
      </c>
      <c r="C137" s="18">
        <v>1526509.2752700001</v>
      </c>
      <c r="D137" s="18">
        <v>4067424.3359264084</v>
      </c>
      <c r="E137" s="18">
        <v>2029726.5192062699</v>
      </c>
      <c r="F137" s="18">
        <v>5394691.4302699994</v>
      </c>
      <c r="G137" s="18">
        <v>6097150.8551326785</v>
      </c>
    </row>
    <row r="138" spans="1:7" ht="11.25" customHeight="1" x14ac:dyDescent="0.2">
      <c r="A138" s="23" t="s">
        <v>34</v>
      </c>
      <c r="B138" s="18">
        <v>3868182.1549999998</v>
      </c>
      <c r="C138" s="18">
        <v>1526509.2752700001</v>
      </c>
      <c r="D138" s="18">
        <v>4067424.3359264084</v>
      </c>
      <c r="E138" s="18">
        <v>2029726.5192062699</v>
      </c>
      <c r="F138" s="18">
        <v>5394691.4302699994</v>
      </c>
      <c r="G138" s="18">
        <v>6097150.8551326785</v>
      </c>
    </row>
    <row r="139" spans="1:7" ht="11.25" customHeight="1" x14ac:dyDescent="0.2">
      <c r="A139" s="24" t="s">
        <v>25</v>
      </c>
      <c r="B139" s="18">
        <v>3868182.1549999998</v>
      </c>
      <c r="C139" s="18">
        <v>1526509.2752700001</v>
      </c>
      <c r="D139" s="18">
        <v>4067424.3359264084</v>
      </c>
      <c r="E139" s="18">
        <v>2029726.5192062699</v>
      </c>
      <c r="F139" s="18">
        <v>5394691.4302699994</v>
      </c>
      <c r="G139" s="18">
        <v>6097150.8551326785</v>
      </c>
    </row>
    <row r="140" spans="1:7" ht="11.25" customHeight="1" x14ac:dyDescent="0.2">
      <c r="A140" s="25" t="s">
        <v>55</v>
      </c>
      <c r="B140" s="18">
        <v>3868182.1549999998</v>
      </c>
      <c r="C140" s="18">
        <v>1526509.2752700001</v>
      </c>
      <c r="D140" s="18">
        <v>4067424.3359264084</v>
      </c>
      <c r="E140" s="18">
        <v>2029726.5192062699</v>
      </c>
      <c r="F140" s="18">
        <v>5394691.4302699994</v>
      </c>
      <c r="G140" s="18">
        <v>6097150.8551326785</v>
      </c>
    </row>
    <row r="141" spans="1:7" ht="11.25" customHeight="1" x14ac:dyDescent="0.2">
      <c r="A141" s="26" t="s">
        <v>25</v>
      </c>
      <c r="B141" s="18">
        <v>3868182.1549999998</v>
      </c>
      <c r="C141" s="18">
        <v>1526509.2752700001</v>
      </c>
      <c r="D141" s="18">
        <v>4067424.3359264084</v>
      </c>
      <c r="E141" s="18">
        <v>2029726.5192062699</v>
      </c>
      <c r="F141" s="18">
        <v>5394691.4302699994</v>
      </c>
      <c r="G141" s="18">
        <v>6097150.8551326785</v>
      </c>
    </row>
    <row r="142" spans="1:7" ht="11.25" customHeight="1" x14ac:dyDescent="0.2">
      <c r="A142" s="27" t="s">
        <v>38</v>
      </c>
      <c r="B142" s="18">
        <v>1692348.4750000003</v>
      </c>
      <c r="C142" s="18">
        <v>0</v>
      </c>
      <c r="D142" s="18">
        <v>1794279.7884503361</v>
      </c>
      <c r="E142" s="18">
        <v>0</v>
      </c>
      <c r="F142" s="18">
        <v>1692348.4750000003</v>
      </c>
      <c r="G142" s="18">
        <v>1794279.7884503361</v>
      </c>
    </row>
    <row r="143" spans="1:7" ht="11.25" customHeight="1" x14ac:dyDescent="0.2">
      <c r="A143" s="28">
        <v>44378</v>
      </c>
      <c r="B143" s="18">
        <v>131530.42000000001</v>
      </c>
      <c r="C143" s="18">
        <v>0</v>
      </c>
      <c r="D143" s="18">
        <v>139452.58772569511</v>
      </c>
      <c r="E143" s="18">
        <v>0</v>
      </c>
      <c r="F143" s="18">
        <v>131530.42000000001</v>
      </c>
      <c r="G143" s="18">
        <v>139452.58772569511</v>
      </c>
    </row>
    <row r="144" spans="1:7" ht="11.25" customHeight="1" x14ac:dyDescent="0.2">
      <c r="A144" s="28">
        <v>44409</v>
      </c>
      <c r="B144" s="18">
        <v>128586.29500000001</v>
      </c>
      <c r="C144" s="18">
        <v>0</v>
      </c>
      <c r="D144" s="18">
        <v>136331.13605057757</v>
      </c>
      <c r="E144" s="18">
        <v>0</v>
      </c>
      <c r="F144" s="18">
        <v>128586.29500000001</v>
      </c>
      <c r="G144" s="18">
        <v>136331.13605057757</v>
      </c>
    </row>
    <row r="145" spans="1:7" ht="11.25" customHeight="1" x14ac:dyDescent="0.2">
      <c r="A145" s="28">
        <v>44440</v>
      </c>
      <c r="B145" s="18">
        <v>132485.625</v>
      </c>
      <c r="C145" s="18">
        <v>0</v>
      </c>
      <c r="D145" s="18">
        <v>140465.32538028879</v>
      </c>
      <c r="E145" s="18">
        <v>0</v>
      </c>
      <c r="F145" s="18">
        <v>132485.625</v>
      </c>
      <c r="G145" s="18">
        <v>140465.32538028879</v>
      </c>
    </row>
    <row r="146" spans="1:7" ht="11.25" customHeight="1" x14ac:dyDescent="0.2">
      <c r="A146" s="28">
        <v>44470</v>
      </c>
      <c r="B146" s="18">
        <v>135599.85500000001</v>
      </c>
      <c r="C146" s="18">
        <v>0</v>
      </c>
      <c r="D146" s="18">
        <v>143767.12759663534</v>
      </c>
      <c r="E146" s="18">
        <v>0</v>
      </c>
      <c r="F146" s="18">
        <v>135599.85500000001</v>
      </c>
      <c r="G146" s="18">
        <v>143767.12759663534</v>
      </c>
    </row>
    <row r="147" spans="1:7" ht="11.25" customHeight="1" x14ac:dyDescent="0.2">
      <c r="A147" s="28">
        <v>44501</v>
      </c>
      <c r="B147" s="18">
        <v>134657.73500000002</v>
      </c>
      <c r="C147" s="18">
        <v>0</v>
      </c>
      <c r="D147" s="18">
        <v>142768.26306059773</v>
      </c>
      <c r="E147" s="18">
        <v>0</v>
      </c>
      <c r="F147" s="18">
        <v>134657.73500000002</v>
      </c>
      <c r="G147" s="18">
        <v>142768.26306059773</v>
      </c>
    </row>
    <row r="148" spans="1:7" ht="11.25" customHeight="1" x14ac:dyDescent="0.2">
      <c r="A148" s="28">
        <v>44531</v>
      </c>
      <c r="B148" s="18">
        <v>134657.73500000002</v>
      </c>
      <c r="C148" s="18">
        <v>0</v>
      </c>
      <c r="D148" s="18">
        <v>142768.26306059773</v>
      </c>
      <c r="E148" s="18">
        <v>0</v>
      </c>
      <c r="F148" s="18">
        <v>134657.73500000002</v>
      </c>
      <c r="G148" s="18">
        <v>142768.26306059773</v>
      </c>
    </row>
    <row r="149" spans="1:7" ht="11.25" customHeight="1" x14ac:dyDescent="0.2">
      <c r="A149" s="28">
        <v>44562</v>
      </c>
      <c r="B149" s="18">
        <v>134696.99000000002</v>
      </c>
      <c r="C149" s="18">
        <v>0</v>
      </c>
      <c r="D149" s="18">
        <v>142809.88241626596</v>
      </c>
      <c r="E149" s="18">
        <v>0</v>
      </c>
      <c r="F149" s="18">
        <v>134696.99000000002</v>
      </c>
      <c r="G149" s="18">
        <v>142809.88241626596</v>
      </c>
    </row>
    <row r="150" spans="1:7" ht="11.25" customHeight="1" x14ac:dyDescent="0.2">
      <c r="A150" s="28">
        <v>44593</v>
      </c>
      <c r="B150" s="18">
        <v>140402.05000000002</v>
      </c>
      <c r="C150" s="18">
        <v>0</v>
      </c>
      <c r="D150" s="18">
        <v>148858.56210671592</v>
      </c>
      <c r="E150" s="18">
        <v>0</v>
      </c>
      <c r="F150" s="18">
        <v>140402.05000000002</v>
      </c>
      <c r="G150" s="18">
        <v>148858.56210671592</v>
      </c>
    </row>
    <row r="151" spans="1:7" ht="11.25" customHeight="1" x14ac:dyDescent="0.2">
      <c r="A151" s="28">
        <v>44621</v>
      </c>
      <c r="B151" s="18">
        <v>138674.83000000002</v>
      </c>
      <c r="C151" s="18">
        <v>0</v>
      </c>
      <c r="D151" s="18">
        <v>147027.31045731364</v>
      </c>
      <c r="E151" s="18">
        <v>0</v>
      </c>
      <c r="F151" s="18">
        <v>138674.83000000002</v>
      </c>
      <c r="G151" s="18">
        <v>147027.31045731364</v>
      </c>
    </row>
    <row r="152" spans="1:7" ht="11.25" customHeight="1" x14ac:dyDescent="0.2">
      <c r="A152" s="28">
        <v>44652</v>
      </c>
      <c r="B152" s="18">
        <v>138674.83000000002</v>
      </c>
      <c r="C152" s="18">
        <v>0</v>
      </c>
      <c r="D152" s="18">
        <v>147027.31045731364</v>
      </c>
      <c r="E152" s="18">
        <v>0</v>
      </c>
      <c r="F152" s="18">
        <v>138674.83000000002</v>
      </c>
      <c r="G152" s="18">
        <v>147027.31045731364</v>
      </c>
    </row>
    <row r="153" spans="1:7" ht="11.25" customHeight="1" x14ac:dyDescent="0.2">
      <c r="A153" s="28">
        <v>44682</v>
      </c>
      <c r="B153" s="18">
        <v>169660.11000000002</v>
      </c>
      <c r="C153" s="18">
        <v>0</v>
      </c>
      <c r="D153" s="18">
        <v>179878.85519810612</v>
      </c>
      <c r="E153" s="18">
        <v>0</v>
      </c>
      <c r="F153" s="18">
        <v>169660.11000000002</v>
      </c>
      <c r="G153" s="18">
        <v>179878.85519810612</v>
      </c>
    </row>
    <row r="154" spans="1:7" ht="11.25" customHeight="1" x14ac:dyDescent="0.2">
      <c r="A154" s="28">
        <v>44713</v>
      </c>
      <c r="B154" s="18">
        <v>172722</v>
      </c>
      <c r="C154" s="18">
        <v>0</v>
      </c>
      <c r="D154" s="18">
        <v>183125.16494022834</v>
      </c>
      <c r="E154" s="18">
        <v>0</v>
      </c>
      <c r="F154" s="18">
        <v>172722</v>
      </c>
      <c r="G154" s="18">
        <v>183125.16494022834</v>
      </c>
    </row>
    <row r="155" spans="1:7" ht="11.25" customHeight="1" x14ac:dyDescent="0.2">
      <c r="A155" s="27" t="s">
        <v>25</v>
      </c>
      <c r="B155" s="18">
        <v>0</v>
      </c>
      <c r="C155" s="18">
        <v>1526509.2752700001</v>
      </c>
      <c r="D155" s="18">
        <v>0</v>
      </c>
      <c r="E155" s="18">
        <v>2029726.5192062699</v>
      </c>
      <c r="F155" s="18">
        <v>1526509.2752700001</v>
      </c>
      <c r="G155" s="18">
        <v>2029726.5192062699</v>
      </c>
    </row>
    <row r="156" spans="1:7" ht="11.25" customHeight="1" x14ac:dyDescent="0.2">
      <c r="A156" s="28">
        <v>44378</v>
      </c>
      <c r="B156" s="18">
        <v>0</v>
      </c>
      <c r="C156" s="18">
        <v>146326.79550499999</v>
      </c>
      <c r="D156" s="18">
        <v>0</v>
      </c>
      <c r="E156" s="18">
        <v>194563.75543767275</v>
      </c>
      <c r="F156" s="18">
        <v>146326.79550499999</v>
      </c>
      <c r="G156" s="18">
        <v>194563.75543767275</v>
      </c>
    </row>
    <row r="157" spans="1:7" ht="11.25" customHeight="1" x14ac:dyDescent="0.2">
      <c r="A157" s="28">
        <v>44409</v>
      </c>
      <c r="B157" s="18">
        <v>0</v>
      </c>
      <c r="C157" s="18">
        <v>152991.47716999997</v>
      </c>
      <c r="D157" s="18">
        <v>0</v>
      </c>
      <c r="E157" s="18">
        <v>203425.46452563466</v>
      </c>
      <c r="F157" s="18">
        <v>152991.47716999997</v>
      </c>
      <c r="G157" s="18">
        <v>203425.46452563466</v>
      </c>
    </row>
    <row r="158" spans="1:7" ht="11.25" customHeight="1" x14ac:dyDescent="0.2">
      <c r="A158" s="28">
        <v>44440</v>
      </c>
      <c r="B158" s="18">
        <v>0</v>
      </c>
      <c r="C158" s="18">
        <v>149486.74901999999</v>
      </c>
      <c r="D158" s="18">
        <v>0</v>
      </c>
      <c r="E158" s="18">
        <v>198765.39479405343</v>
      </c>
      <c r="F158" s="18">
        <v>149486.74901999999</v>
      </c>
      <c r="G158" s="18">
        <v>198765.39479405343</v>
      </c>
    </row>
    <row r="159" spans="1:7" ht="11.25" customHeight="1" x14ac:dyDescent="0.2">
      <c r="A159" s="28">
        <v>44470</v>
      </c>
      <c r="B159" s="18">
        <v>0</v>
      </c>
      <c r="C159" s="18">
        <v>151815.25468499996</v>
      </c>
      <c r="D159" s="18">
        <v>0</v>
      </c>
      <c r="E159" s="18">
        <v>201861.49763138243</v>
      </c>
      <c r="F159" s="18">
        <v>151815.25468499996</v>
      </c>
      <c r="G159" s="18">
        <v>201861.49763138243</v>
      </c>
    </row>
    <row r="160" spans="1:7" ht="11.25" customHeight="1" x14ac:dyDescent="0.2">
      <c r="A160" s="28">
        <v>44501</v>
      </c>
      <c r="B160" s="18">
        <v>0</v>
      </c>
      <c r="C160" s="18">
        <v>160642.81259999998</v>
      </c>
      <c r="D160" s="18">
        <v>0</v>
      </c>
      <c r="E160" s="18">
        <v>213599.08002945568</v>
      </c>
      <c r="F160" s="18">
        <v>160642.81259999998</v>
      </c>
      <c r="G160" s="18">
        <v>213599.08002945568</v>
      </c>
    </row>
    <row r="161" spans="1:7" ht="11.25" customHeight="1" x14ac:dyDescent="0.2">
      <c r="A161" s="28">
        <v>44531</v>
      </c>
      <c r="B161" s="18">
        <v>0</v>
      </c>
      <c r="C161" s="18">
        <v>160642.81259999998</v>
      </c>
      <c r="D161" s="18">
        <v>0</v>
      </c>
      <c r="E161" s="18">
        <v>213599.08002945568</v>
      </c>
      <c r="F161" s="18">
        <v>160642.81259999998</v>
      </c>
      <c r="G161" s="18">
        <v>213599.08002945568</v>
      </c>
    </row>
    <row r="162" spans="1:7" ht="11.25" customHeight="1" x14ac:dyDescent="0.2">
      <c r="A162" s="28">
        <v>44562</v>
      </c>
      <c r="B162" s="18">
        <v>0</v>
      </c>
      <c r="C162" s="18">
        <v>148552.004285</v>
      </c>
      <c r="D162" s="18">
        <v>0</v>
      </c>
      <c r="E162" s="18">
        <v>197522.50933763696</v>
      </c>
      <c r="F162" s="18">
        <v>148552.004285</v>
      </c>
      <c r="G162" s="18">
        <v>197522.50933763696</v>
      </c>
    </row>
    <row r="163" spans="1:7" ht="11.25" customHeight="1" x14ac:dyDescent="0.2">
      <c r="A163" s="28">
        <v>44593</v>
      </c>
      <c r="B163" s="18">
        <v>0</v>
      </c>
      <c r="C163" s="18">
        <v>150681.24737499998</v>
      </c>
      <c r="D163" s="18">
        <v>0</v>
      </c>
      <c r="E163" s="18">
        <v>200353.66224029145</v>
      </c>
      <c r="F163" s="18">
        <v>150681.24737499998</v>
      </c>
      <c r="G163" s="18">
        <v>200353.66224029145</v>
      </c>
    </row>
    <row r="164" spans="1:7" ht="11.25" customHeight="1" x14ac:dyDescent="0.2">
      <c r="A164" s="28">
        <v>44621</v>
      </c>
      <c r="B164" s="18">
        <v>0</v>
      </c>
      <c r="C164" s="18">
        <v>152685.06101499998</v>
      </c>
      <c r="D164" s="18">
        <v>0</v>
      </c>
      <c r="E164" s="18">
        <v>203018.03759034356</v>
      </c>
      <c r="F164" s="18">
        <v>152685.06101499998</v>
      </c>
      <c r="G164" s="18">
        <v>203018.03759034356</v>
      </c>
    </row>
    <row r="165" spans="1:7" ht="11.25" customHeight="1" x14ac:dyDescent="0.2">
      <c r="A165" s="28">
        <v>44652</v>
      </c>
      <c r="B165" s="18">
        <v>0</v>
      </c>
      <c r="C165" s="18">
        <v>152685.06101499998</v>
      </c>
      <c r="D165" s="18">
        <v>0</v>
      </c>
      <c r="E165" s="18">
        <v>203018.03759034356</v>
      </c>
      <c r="F165" s="18">
        <v>152685.06101499998</v>
      </c>
      <c r="G165" s="18">
        <v>203018.03759034356</v>
      </c>
    </row>
    <row r="166" spans="1:7" ht="11.25" customHeight="1" x14ac:dyDescent="0.2">
      <c r="A166" s="28">
        <v>44682</v>
      </c>
      <c r="B166" s="18">
        <v>0</v>
      </c>
      <c r="C166" s="18">
        <v>0</v>
      </c>
      <c r="D166" s="18">
        <v>0</v>
      </c>
      <c r="E166" s="18">
        <v>0</v>
      </c>
      <c r="F166" s="18">
        <v>0</v>
      </c>
      <c r="G166" s="18">
        <v>0</v>
      </c>
    </row>
    <row r="167" spans="1:7" ht="11.25" customHeight="1" x14ac:dyDescent="0.2">
      <c r="A167" s="28">
        <v>44713</v>
      </c>
      <c r="B167" s="18">
        <v>0</v>
      </c>
      <c r="C167" s="18">
        <v>0</v>
      </c>
      <c r="D167" s="18">
        <v>0</v>
      </c>
      <c r="E167" s="18">
        <v>0</v>
      </c>
      <c r="F167" s="18">
        <v>0</v>
      </c>
      <c r="G167" s="18">
        <v>0</v>
      </c>
    </row>
    <row r="168" spans="1:7" ht="11.25" customHeight="1" x14ac:dyDescent="0.2">
      <c r="A168" s="27" t="s">
        <v>37</v>
      </c>
      <c r="B168" s="18">
        <v>2175833.6800000002</v>
      </c>
      <c r="C168" s="18">
        <v>0</v>
      </c>
      <c r="D168" s="18">
        <v>2273144.5474760728</v>
      </c>
      <c r="E168" s="18">
        <v>0</v>
      </c>
      <c r="F168" s="18">
        <v>2175833.6800000002</v>
      </c>
      <c r="G168" s="18">
        <v>2273144.5474760728</v>
      </c>
    </row>
    <row r="169" spans="1:7" ht="11.25" customHeight="1" x14ac:dyDescent="0.2">
      <c r="A169" s="28">
        <v>44378</v>
      </c>
      <c r="B169" s="18">
        <v>169069.64</v>
      </c>
      <c r="C169" s="18">
        <v>0</v>
      </c>
      <c r="D169" s="18">
        <v>176631.02370478175</v>
      </c>
      <c r="E169" s="18">
        <v>0</v>
      </c>
      <c r="F169" s="18">
        <v>169069.64</v>
      </c>
      <c r="G169" s="18">
        <v>176631.02370478175</v>
      </c>
    </row>
    <row r="170" spans="1:7" ht="11.25" customHeight="1" x14ac:dyDescent="0.2">
      <c r="A170" s="28">
        <v>44409</v>
      </c>
      <c r="B170" s="18">
        <v>167775.18000000002</v>
      </c>
      <c r="C170" s="18">
        <v>0</v>
      </c>
      <c r="D170" s="18">
        <v>175278.67094088582</v>
      </c>
      <c r="E170" s="18">
        <v>0</v>
      </c>
      <c r="F170" s="18">
        <v>167775.18000000002</v>
      </c>
      <c r="G170" s="18">
        <v>175278.67094088582</v>
      </c>
    </row>
    <row r="171" spans="1:7" ht="11.25" customHeight="1" x14ac:dyDescent="0.2">
      <c r="A171" s="28">
        <v>44440</v>
      </c>
      <c r="B171" s="18">
        <v>167906.82</v>
      </c>
      <c r="C171" s="18">
        <v>0</v>
      </c>
      <c r="D171" s="18">
        <v>175416.19834060405</v>
      </c>
      <c r="E171" s="18">
        <v>0</v>
      </c>
      <c r="F171" s="18">
        <v>167906.82</v>
      </c>
      <c r="G171" s="18">
        <v>175416.19834060405</v>
      </c>
    </row>
    <row r="172" spans="1:7" ht="11.25" customHeight="1" x14ac:dyDescent="0.2">
      <c r="A172" s="28">
        <v>44470</v>
      </c>
      <c r="B172" s="18">
        <v>174028.08000000002</v>
      </c>
      <c r="C172" s="18">
        <v>0</v>
      </c>
      <c r="D172" s="18">
        <v>181811.22242750181</v>
      </c>
      <c r="E172" s="18">
        <v>0</v>
      </c>
      <c r="F172" s="18">
        <v>174028.08000000002</v>
      </c>
      <c r="G172" s="18">
        <v>181811.22242750181</v>
      </c>
    </row>
    <row r="173" spans="1:7" ht="11.25" customHeight="1" x14ac:dyDescent="0.2">
      <c r="A173" s="28">
        <v>44501</v>
      </c>
      <c r="B173" s="18">
        <v>171768.26</v>
      </c>
      <c r="C173" s="18">
        <v>0</v>
      </c>
      <c r="D173" s="18">
        <v>179450.3353990055</v>
      </c>
      <c r="E173" s="18">
        <v>0</v>
      </c>
      <c r="F173" s="18">
        <v>171768.26</v>
      </c>
      <c r="G173" s="18">
        <v>179450.3353990055</v>
      </c>
    </row>
    <row r="174" spans="1:7" ht="11.25" customHeight="1" x14ac:dyDescent="0.2">
      <c r="A174" s="28">
        <v>44531</v>
      </c>
      <c r="B174" s="18">
        <v>171768.26</v>
      </c>
      <c r="C174" s="18">
        <v>0</v>
      </c>
      <c r="D174" s="18">
        <v>179450.3353990055</v>
      </c>
      <c r="E174" s="18">
        <v>0</v>
      </c>
      <c r="F174" s="18">
        <v>171768.26</v>
      </c>
      <c r="G174" s="18">
        <v>179450.3353990055</v>
      </c>
    </row>
    <row r="175" spans="1:7" ht="11.25" customHeight="1" x14ac:dyDescent="0.2">
      <c r="A175" s="28">
        <v>44562</v>
      </c>
      <c r="B175" s="18">
        <v>170188.58000000002</v>
      </c>
      <c r="C175" s="18">
        <v>0</v>
      </c>
      <c r="D175" s="18">
        <v>177800.00660238674</v>
      </c>
      <c r="E175" s="18">
        <v>0</v>
      </c>
      <c r="F175" s="18">
        <v>170188.58000000002</v>
      </c>
      <c r="G175" s="18">
        <v>177800.00660238674</v>
      </c>
    </row>
    <row r="176" spans="1:7" ht="11.25" customHeight="1" x14ac:dyDescent="0.2">
      <c r="A176" s="28">
        <v>44593</v>
      </c>
      <c r="B176" s="18">
        <v>179337.56</v>
      </c>
      <c r="C176" s="18">
        <v>0</v>
      </c>
      <c r="D176" s="18">
        <v>187358.16088280382</v>
      </c>
      <c r="E176" s="18">
        <v>0</v>
      </c>
      <c r="F176" s="18">
        <v>179337.56</v>
      </c>
      <c r="G176" s="18">
        <v>187358.16088280382</v>
      </c>
    </row>
    <row r="177" spans="1:7" ht="11.25" customHeight="1" x14ac:dyDescent="0.2">
      <c r="A177" s="28">
        <v>44621</v>
      </c>
      <c r="B177" s="18">
        <v>177714</v>
      </c>
      <c r="C177" s="18">
        <v>0</v>
      </c>
      <c r="D177" s="18">
        <v>185661.98961961229</v>
      </c>
      <c r="E177" s="18">
        <v>0</v>
      </c>
      <c r="F177" s="18">
        <v>177714</v>
      </c>
      <c r="G177" s="18">
        <v>185661.98961961229</v>
      </c>
    </row>
    <row r="178" spans="1:7" ht="11.25" customHeight="1" x14ac:dyDescent="0.2">
      <c r="A178" s="28">
        <v>44652</v>
      </c>
      <c r="B178" s="18">
        <v>177714</v>
      </c>
      <c r="C178" s="18">
        <v>0</v>
      </c>
      <c r="D178" s="18">
        <v>185661.98961961229</v>
      </c>
      <c r="E178" s="18">
        <v>0</v>
      </c>
      <c r="F178" s="18">
        <v>177714</v>
      </c>
      <c r="G178" s="18">
        <v>185661.98961961229</v>
      </c>
    </row>
    <row r="179" spans="1:7" ht="11.25" customHeight="1" x14ac:dyDescent="0.2">
      <c r="A179" s="28">
        <v>44682</v>
      </c>
      <c r="B179" s="18">
        <v>220694.46000000002</v>
      </c>
      <c r="C179" s="18">
        <v>0</v>
      </c>
      <c r="D179" s="18">
        <v>230564.68562761482</v>
      </c>
      <c r="E179" s="18">
        <v>0</v>
      </c>
      <c r="F179" s="18">
        <v>220694.46000000002</v>
      </c>
      <c r="G179" s="18">
        <v>230564.68562761482</v>
      </c>
    </row>
    <row r="180" spans="1:7" ht="11.25" customHeight="1" x14ac:dyDescent="0.2">
      <c r="A180" s="28">
        <v>44713</v>
      </c>
      <c r="B180" s="18">
        <v>227868.84000000003</v>
      </c>
      <c r="C180" s="18">
        <v>0</v>
      </c>
      <c r="D180" s="18">
        <v>238059.92891225842</v>
      </c>
      <c r="E180" s="18">
        <v>0</v>
      </c>
      <c r="F180" s="18">
        <v>227868.84000000003</v>
      </c>
      <c r="G180" s="18">
        <v>238059.92891225842</v>
      </c>
    </row>
    <row r="181" spans="1:7" ht="11.25" customHeight="1" x14ac:dyDescent="0.2">
      <c r="A181" s="22" t="s">
        <v>39</v>
      </c>
      <c r="B181" s="18">
        <v>706253.82018000004</v>
      </c>
      <c r="C181" s="18">
        <v>524703.15381354</v>
      </c>
      <c r="D181" s="18">
        <v>748791.9738662641</v>
      </c>
      <c r="E181" s="18">
        <v>562894.21074584336</v>
      </c>
      <c r="F181" s="18">
        <v>1230956.97399354</v>
      </c>
      <c r="G181" s="18">
        <v>1311686.1846121075</v>
      </c>
    </row>
    <row r="182" spans="1:7" ht="11.25" customHeight="1" x14ac:dyDescent="0.2">
      <c r="A182" s="23" t="s">
        <v>34</v>
      </c>
      <c r="B182" s="18">
        <v>706253.82018000004</v>
      </c>
      <c r="C182" s="18">
        <v>524703.15381354</v>
      </c>
      <c r="D182" s="18">
        <v>748791.9738662641</v>
      </c>
      <c r="E182" s="18">
        <v>562894.21074584336</v>
      </c>
      <c r="F182" s="18">
        <v>1230956.97399354</v>
      </c>
      <c r="G182" s="18">
        <v>1311686.1846121075</v>
      </c>
    </row>
    <row r="183" spans="1:7" ht="11.25" customHeight="1" x14ac:dyDescent="0.2">
      <c r="A183" s="24" t="s">
        <v>25</v>
      </c>
      <c r="B183" s="18">
        <v>706253.82018000004</v>
      </c>
      <c r="C183" s="18">
        <v>524703.15381354</v>
      </c>
      <c r="D183" s="18">
        <v>748791.9738662641</v>
      </c>
      <c r="E183" s="18">
        <v>562894.21074584336</v>
      </c>
      <c r="F183" s="18">
        <v>1230956.97399354</v>
      </c>
      <c r="G183" s="18">
        <v>1311686.1846121075</v>
      </c>
    </row>
    <row r="184" spans="1:7" ht="11.25" customHeight="1" x14ac:dyDescent="0.2">
      <c r="A184" s="25" t="s">
        <v>55</v>
      </c>
      <c r="B184" s="18">
        <v>706253.82018000004</v>
      </c>
      <c r="C184" s="18">
        <v>524703.15381354</v>
      </c>
      <c r="D184" s="18">
        <v>748791.9738662641</v>
      </c>
      <c r="E184" s="18">
        <v>562894.21074584336</v>
      </c>
      <c r="F184" s="18">
        <v>1230956.97399354</v>
      </c>
      <c r="G184" s="18">
        <v>1311686.1846121075</v>
      </c>
    </row>
    <row r="185" spans="1:7" ht="11.25" customHeight="1" x14ac:dyDescent="0.2">
      <c r="A185" s="26" t="s">
        <v>25</v>
      </c>
      <c r="B185" s="18">
        <v>706253.82018000004</v>
      </c>
      <c r="C185" s="18">
        <v>524703.15381354</v>
      </c>
      <c r="D185" s="18">
        <v>748791.9738662641</v>
      </c>
      <c r="E185" s="18">
        <v>562894.21074584336</v>
      </c>
      <c r="F185" s="18">
        <v>1230956.97399354</v>
      </c>
      <c r="G185" s="18">
        <v>1311686.1846121075</v>
      </c>
    </row>
    <row r="186" spans="1:7" ht="11.25" customHeight="1" x14ac:dyDescent="0.2">
      <c r="A186" s="27" t="s">
        <v>38</v>
      </c>
      <c r="B186" s="18">
        <v>0</v>
      </c>
      <c r="C186" s="18">
        <v>20348.913052499996</v>
      </c>
      <c r="D186" s="18">
        <v>0</v>
      </c>
      <c r="E186" s="18">
        <v>27056.978381200126</v>
      </c>
      <c r="F186" s="18">
        <v>20348.913052499996</v>
      </c>
      <c r="G186" s="18">
        <v>27056.978381200126</v>
      </c>
    </row>
    <row r="187" spans="1:7" ht="11.25" customHeight="1" x14ac:dyDescent="0.2">
      <c r="A187" s="28">
        <v>44378</v>
      </c>
      <c r="B187" s="18">
        <v>0</v>
      </c>
      <c r="C187" s="18">
        <v>20348.913052499996</v>
      </c>
      <c r="D187" s="18">
        <v>0</v>
      </c>
      <c r="E187" s="18">
        <v>27056.978381200126</v>
      </c>
      <c r="F187" s="18">
        <v>20348.913052499996</v>
      </c>
      <c r="G187" s="18">
        <v>27056.978381200126</v>
      </c>
    </row>
    <row r="188" spans="1:7" ht="11.25" customHeight="1" x14ac:dyDescent="0.2">
      <c r="A188" s="28">
        <v>44409</v>
      </c>
      <c r="B188" s="18">
        <v>0</v>
      </c>
      <c r="C188" s="18">
        <v>0</v>
      </c>
      <c r="D188" s="18">
        <v>0</v>
      </c>
      <c r="E188" s="18">
        <v>0</v>
      </c>
      <c r="F188" s="18">
        <v>0</v>
      </c>
      <c r="G188" s="18">
        <v>0</v>
      </c>
    </row>
    <row r="189" spans="1:7" ht="11.25" customHeight="1" x14ac:dyDescent="0.2">
      <c r="A189" s="28">
        <v>44440</v>
      </c>
      <c r="B189" s="18">
        <v>0</v>
      </c>
      <c r="C189" s="18">
        <v>0</v>
      </c>
      <c r="D189" s="18">
        <v>0</v>
      </c>
      <c r="E189" s="18">
        <v>0</v>
      </c>
      <c r="F189" s="18">
        <v>0</v>
      </c>
      <c r="G189" s="18">
        <v>0</v>
      </c>
    </row>
    <row r="190" spans="1:7" ht="11.25" customHeight="1" x14ac:dyDescent="0.2">
      <c r="A190" s="28">
        <v>44470</v>
      </c>
      <c r="B190" s="18">
        <v>0</v>
      </c>
      <c r="C190" s="18">
        <v>0</v>
      </c>
      <c r="D190" s="18">
        <v>0</v>
      </c>
      <c r="E190" s="18">
        <v>0</v>
      </c>
      <c r="F190" s="18">
        <v>0</v>
      </c>
      <c r="G190" s="18">
        <v>0</v>
      </c>
    </row>
    <row r="191" spans="1:7" ht="11.25" customHeight="1" x14ac:dyDescent="0.2">
      <c r="A191" s="28">
        <v>44501</v>
      </c>
      <c r="B191" s="18">
        <v>0</v>
      </c>
      <c r="C191" s="18">
        <v>0</v>
      </c>
      <c r="D191" s="18">
        <v>0</v>
      </c>
      <c r="E191" s="18">
        <v>0</v>
      </c>
      <c r="F191" s="18">
        <v>0</v>
      </c>
      <c r="G191" s="18">
        <v>0</v>
      </c>
    </row>
    <row r="192" spans="1:7" ht="11.25" customHeight="1" x14ac:dyDescent="0.2">
      <c r="A192" s="28">
        <v>44531</v>
      </c>
      <c r="B192" s="18">
        <v>0</v>
      </c>
      <c r="C192" s="18">
        <v>0</v>
      </c>
      <c r="D192" s="18">
        <v>0</v>
      </c>
      <c r="E192" s="18">
        <v>0</v>
      </c>
      <c r="F192" s="18">
        <v>0</v>
      </c>
      <c r="G192" s="18">
        <v>0</v>
      </c>
    </row>
    <row r="193" spans="1:7" ht="11.25" customHeight="1" x14ac:dyDescent="0.2">
      <c r="A193" s="28">
        <v>44562</v>
      </c>
      <c r="B193" s="18">
        <v>0</v>
      </c>
      <c r="C193" s="18">
        <v>0</v>
      </c>
      <c r="D193" s="18">
        <v>0</v>
      </c>
      <c r="E193" s="18">
        <v>0</v>
      </c>
      <c r="F193" s="18">
        <v>0</v>
      </c>
      <c r="G193" s="18">
        <v>0</v>
      </c>
    </row>
    <row r="194" spans="1:7" ht="11.25" customHeight="1" x14ac:dyDescent="0.2">
      <c r="A194" s="28">
        <v>44593</v>
      </c>
      <c r="B194" s="18">
        <v>0</v>
      </c>
      <c r="C194" s="18">
        <v>0</v>
      </c>
      <c r="D194" s="18">
        <v>0</v>
      </c>
      <c r="E194" s="18">
        <v>0</v>
      </c>
      <c r="F194" s="18">
        <v>0</v>
      </c>
      <c r="G194" s="18">
        <v>0</v>
      </c>
    </row>
    <row r="195" spans="1:7" ht="11.25" customHeight="1" x14ac:dyDescent="0.2">
      <c r="A195" s="28">
        <v>44621</v>
      </c>
      <c r="B195" s="18">
        <v>0</v>
      </c>
      <c r="C195" s="18">
        <v>0</v>
      </c>
      <c r="D195" s="18">
        <v>0</v>
      </c>
      <c r="E195" s="18">
        <v>0</v>
      </c>
      <c r="F195" s="18">
        <v>0</v>
      </c>
      <c r="G195" s="18">
        <v>0</v>
      </c>
    </row>
    <row r="196" spans="1:7" ht="11.25" customHeight="1" x14ac:dyDescent="0.2">
      <c r="A196" s="28">
        <v>44652</v>
      </c>
      <c r="B196" s="18">
        <v>0</v>
      </c>
      <c r="C196" s="18">
        <v>0</v>
      </c>
      <c r="D196" s="18">
        <v>0</v>
      </c>
      <c r="E196" s="18">
        <v>0</v>
      </c>
      <c r="F196" s="18">
        <v>0</v>
      </c>
      <c r="G196" s="18">
        <v>0</v>
      </c>
    </row>
    <row r="197" spans="1:7" ht="11.25" customHeight="1" x14ac:dyDescent="0.2">
      <c r="A197" s="28">
        <v>44682</v>
      </c>
      <c r="B197" s="18">
        <v>0</v>
      </c>
      <c r="C197" s="18">
        <v>0</v>
      </c>
      <c r="D197" s="18">
        <v>0</v>
      </c>
      <c r="E197" s="18">
        <v>0</v>
      </c>
      <c r="F197" s="18">
        <v>0</v>
      </c>
      <c r="G197" s="18">
        <v>0</v>
      </c>
    </row>
    <row r="198" spans="1:7" ht="11.25" customHeight="1" x14ac:dyDescent="0.2">
      <c r="A198" s="28">
        <v>44713</v>
      </c>
      <c r="B198" s="18">
        <v>0</v>
      </c>
      <c r="C198" s="18">
        <v>0</v>
      </c>
      <c r="D198" s="18">
        <v>0</v>
      </c>
      <c r="E198" s="18">
        <v>0</v>
      </c>
      <c r="F198" s="18">
        <v>0</v>
      </c>
      <c r="G198" s="18">
        <v>0</v>
      </c>
    </row>
    <row r="199" spans="1:7" ht="11.25" customHeight="1" x14ac:dyDescent="0.2">
      <c r="A199" s="27" t="s">
        <v>25</v>
      </c>
      <c r="B199" s="18">
        <v>706253.82018000004</v>
      </c>
      <c r="C199" s="18">
        <v>0</v>
      </c>
      <c r="D199" s="18">
        <v>748791.9738662641</v>
      </c>
      <c r="E199" s="18">
        <v>0</v>
      </c>
      <c r="F199" s="18">
        <v>706253.82018000004</v>
      </c>
      <c r="G199" s="18">
        <v>748791.9738662641</v>
      </c>
    </row>
    <row r="200" spans="1:7" ht="11.25" customHeight="1" x14ac:dyDescent="0.2">
      <c r="A200" s="28">
        <v>44378</v>
      </c>
      <c r="B200" s="18">
        <v>30611.677080000005</v>
      </c>
      <c r="C200" s="18">
        <v>0</v>
      </c>
      <c r="D200" s="18">
        <v>32455.439459779347</v>
      </c>
      <c r="E200" s="18">
        <v>0</v>
      </c>
      <c r="F200" s="18">
        <v>30611.677080000005</v>
      </c>
      <c r="G200" s="18">
        <v>32455.439459779347</v>
      </c>
    </row>
    <row r="201" spans="1:7" ht="11.25" customHeight="1" x14ac:dyDescent="0.2">
      <c r="A201" s="28">
        <v>44409</v>
      </c>
      <c r="B201" s="18">
        <v>36686.54535</v>
      </c>
      <c r="C201" s="18">
        <v>0</v>
      </c>
      <c r="D201" s="18">
        <v>38896.201226861187</v>
      </c>
      <c r="E201" s="18">
        <v>0</v>
      </c>
      <c r="F201" s="18">
        <v>36686.54535</v>
      </c>
      <c r="G201" s="18">
        <v>38896.201226861187</v>
      </c>
    </row>
    <row r="202" spans="1:7" ht="11.25" customHeight="1" x14ac:dyDescent="0.2">
      <c r="A202" s="28">
        <v>44440</v>
      </c>
      <c r="B202" s="18">
        <v>33020.390050000002</v>
      </c>
      <c r="C202" s="18">
        <v>0</v>
      </c>
      <c r="D202" s="18">
        <v>35009.230869819279</v>
      </c>
      <c r="E202" s="18">
        <v>0</v>
      </c>
      <c r="F202" s="18">
        <v>33020.390050000002</v>
      </c>
      <c r="G202" s="18">
        <v>35009.230869819279</v>
      </c>
    </row>
    <row r="203" spans="1:7" ht="11.25" customHeight="1" x14ac:dyDescent="0.2">
      <c r="A203" s="28">
        <v>44470</v>
      </c>
      <c r="B203" s="18">
        <v>39430.339000000007</v>
      </c>
      <c r="C203" s="18">
        <v>0</v>
      </c>
      <c r="D203" s="18">
        <v>41805.255456885163</v>
      </c>
      <c r="E203" s="18">
        <v>0</v>
      </c>
      <c r="F203" s="18">
        <v>39430.339000000007</v>
      </c>
      <c r="G203" s="18">
        <v>41805.255456885163</v>
      </c>
    </row>
    <row r="204" spans="1:7" ht="11.25" customHeight="1" x14ac:dyDescent="0.2">
      <c r="A204" s="28">
        <v>44501</v>
      </c>
      <c r="B204" s="18">
        <v>39223.491320000001</v>
      </c>
      <c r="C204" s="18">
        <v>0</v>
      </c>
      <c r="D204" s="18">
        <v>41585.949198750684</v>
      </c>
      <c r="E204" s="18">
        <v>0</v>
      </c>
      <c r="F204" s="18">
        <v>39223.491320000001</v>
      </c>
      <c r="G204" s="18">
        <v>41585.949198750684</v>
      </c>
    </row>
    <row r="205" spans="1:7" ht="11.25" customHeight="1" x14ac:dyDescent="0.2">
      <c r="A205" s="28">
        <v>44531</v>
      </c>
      <c r="B205" s="18">
        <v>39223.491320000001</v>
      </c>
      <c r="C205" s="18">
        <v>0</v>
      </c>
      <c r="D205" s="18">
        <v>41585.949198750684</v>
      </c>
      <c r="E205" s="18">
        <v>0</v>
      </c>
      <c r="F205" s="18">
        <v>39223.491320000001</v>
      </c>
      <c r="G205" s="18">
        <v>41585.949198750684</v>
      </c>
    </row>
    <row r="206" spans="1:7" ht="11.25" customHeight="1" x14ac:dyDescent="0.2">
      <c r="A206" s="28">
        <v>44562</v>
      </c>
      <c r="B206" s="18">
        <v>44086.897950000006</v>
      </c>
      <c r="C206" s="18">
        <v>0</v>
      </c>
      <c r="D206" s="18">
        <v>46742.28215743661</v>
      </c>
      <c r="E206" s="18">
        <v>0</v>
      </c>
      <c r="F206" s="18">
        <v>44086.897950000006</v>
      </c>
      <c r="G206" s="18">
        <v>46742.28215743661</v>
      </c>
    </row>
    <row r="207" spans="1:7" ht="11.25" customHeight="1" x14ac:dyDescent="0.2">
      <c r="A207" s="28">
        <v>44593</v>
      </c>
      <c r="B207" s="18">
        <v>69898.159589999996</v>
      </c>
      <c r="C207" s="18">
        <v>0</v>
      </c>
      <c r="D207" s="18">
        <v>74108.17385125898</v>
      </c>
      <c r="E207" s="18">
        <v>0</v>
      </c>
      <c r="F207" s="18">
        <v>69898.159589999996</v>
      </c>
      <c r="G207" s="18">
        <v>74108.17385125898</v>
      </c>
    </row>
    <row r="208" spans="1:7" ht="11.25" customHeight="1" x14ac:dyDescent="0.2">
      <c r="A208" s="28">
        <v>44621</v>
      </c>
      <c r="B208" s="18">
        <v>63273.145580000004</v>
      </c>
      <c r="C208" s="18">
        <v>0</v>
      </c>
      <c r="D208" s="18">
        <v>67084.1306876054</v>
      </c>
      <c r="E208" s="18">
        <v>0</v>
      </c>
      <c r="F208" s="18">
        <v>63273.145580000004</v>
      </c>
      <c r="G208" s="18">
        <v>67084.1306876054</v>
      </c>
    </row>
    <row r="209" spans="1:7" ht="11.25" customHeight="1" x14ac:dyDescent="0.2">
      <c r="A209" s="28">
        <v>44652</v>
      </c>
      <c r="B209" s="18">
        <v>63273.145580000004</v>
      </c>
      <c r="C209" s="18">
        <v>0</v>
      </c>
      <c r="D209" s="18">
        <v>67084.1306876054</v>
      </c>
      <c r="E209" s="18">
        <v>0</v>
      </c>
      <c r="F209" s="18">
        <v>63273.145580000004</v>
      </c>
      <c r="G209" s="18">
        <v>67084.1306876054</v>
      </c>
    </row>
    <row r="210" spans="1:7" ht="11.25" customHeight="1" x14ac:dyDescent="0.2">
      <c r="A210" s="28">
        <v>44682</v>
      </c>
      <c r="B210" s="18">
        <v>102242.57854</v>
      </c>
      <c r="C210" s="18">
        <v>0</v>
      </c>
      <c r="D210" s="18">
        <v>108400.71941647127</v>
      </c>
      <c r="E210" s="18">
        <v>0</v>
      </c>
      <c r="F210" s="18">
        <v>102242.57854</v>
      </c>
      <c r="G210" s="18">
        <v>108400.71941647127</v>
      </c>
    </row>
    <row r="211" spans="1:7" ht="11.25" customHeight="1" x14ac:dyDescent="0.2">
      <c r="A211" s="28">
        <v>44713</v>
      </c>
      <c r="B211" s="18">
        <v>145283.95882000003</v>
      </c>
      <c r="C211" s="18">
        <v>0</v>
      </c>
      <c r="D211" s="18">
        <v>154034.51165504014</v>
      </c>
      <c r="E211" s="18">
        <v>0</v>
      </c>
      <c r="F211" s="18">
        <v>145283.95882000003</v>
      </c>
      <c r="G211" s="18">
        <v>154034.51165504014</v>
      </c>
    </row>
    <row r="212" spans="1:7" ht="11.25" customHeight="1" x14ac:dyDescent="0.2">
      <c r="A212" s="27" t="s">
        <v>37</v>
      </c>
      <c r="B212" s="18">
        <v>0</v>
      </c>
      <c r="C212" s="18">
        <v>504354.24076104001</v>
      </c>
      <c r="D212" s="18">
        <v>0</v>
      </c>
      <c r="E212" s="18">
        <v>535837.23236464337</v>
      </c>
      <c r="F212" s="18">
        <v>504354.24076104001</v>
      </c>
      <c r="G212" s="18">
        <v>535837.23236464337</v>
      </c>
    </row>
    <row r="213" spans="1:7" ht="11.25" customHeight="1" x14ac:dyDescent="0.2">
      <c r="A213" s="28">
        <v>44378</v>
      </c>
      <c r="B213" s="18">
        <v>0</v>
      </c>
      <c r="C213" s="18">
        <v>46897.628130000005</v>
      </c>
      <c r="D213" s="18">
        <v>0</v>
      </c>
      <c r="E213" s="18">
        <v>49825.089650731512</v>
      </c>
      <c r="F213" s="18">
        <v>46897.628130000005</v>
      </c>
      <c r="G213" s="18">
        <v>49825.089650731512</v>
      </c>
    </row>
    <row r="214" spans="1:7" ht="11.25" customHeight="1" x14ac:dyDescent="0.2">
      <c r="A214" s="28">
        <v>44409</v>
      </c>
      <c r="B214" s="18">
        <v>0</v>
      </c>
      <c r="C214" s="18">
        <v>36630.747945000003</v>
      </c>
      <c r="D214" s="18">
        <v>0</v>
      </c>
      <c r="E214" s="18">
        <v>38917.326378931604</v>
      </c>
      <c r="F214" s="18">
        <v>36630.747945000003</v>
      </c>
      <c r="G214" s="18">
        <v>38917.326378931604</v>
      </c>
    </row>
    <row r="215" spans="1:7" ht="11.25" customHeight="1" x14ac:dyDescent="0.2">
      <c r="A215" s="28">
        <v>44440</v>
      </c>
      <c r="B215" s="18">
        <v>0</v>
      </c>
      <c r="C215" s="18">
        <v>26966.877914399996</v>
      </c>
      <c r="D215" s="18">
        <v>0</v>
      </c>
      <c r="E215" s="18">
        <v>28650.214589974217</v>
      </c>
      <c r="F215" s="18">
        <v>26966.877914399996</v>
      </c>
      <c r="G215" s="18">
        <v>28650.214589974217</v>
      </c>
    </row>
    <row r="216" spans="1:7" ht="11.25" customHeight="1" x14ac:dyDescent="0.2">
      <c r="A216" s="28">
        <v>44470</v>
      </c>
      <c r="B216" s="18">
        <v>0</v>
      </c>
      <c r="C216" s="18">
        <v>25112.132895000002</v>
      </c>
      <c r="D216" s="18">
        <v>0</v>
      </c>
      <c r="E216" s="18">
        <v>26679.691973890425</v>
      </c>
      <c r="F216" s="18">
        <v>25112.132895000002</v>
      </c>
      <c r="G216" s="18">
        <v>26679.691973890425</v>
      </c>
    </row>
    <row r="217" spans="1:7" ht="11.25" customHeight="1" x14ac:dyDescent="0.2">
      <c r="A217" s="28">
        <v>44501</v>
      </c>
      <c r="B217" s="18">
        <v>0</v>
      </c>
      <c r="C217" s="18">
        <v>26654.996355000003</v>
      </c>
      <c r="D217" s="18">
        <v>0</v>
      </c>
      <c r="E217" s="18">
        <v>28318.864641647637</v>
      </c>
      <c r="F217" s="18">
        <v>26654.996355000003</v>
      </c>
      <c r="G217" s="18">
        <v>28318.864641647637</v>
      </c>
    </row>
    <row r="218" spans="1:7" ht="11.25" customHeight="1" x14ac:dyDescent="0.2">
      <c r="A218" s="28">
        <v>44531</v>
      </c>
      <c r="B218" s="18">
        <v>0</v>
      </c>
      <c r="C218" s="18">
        <v>26654.996355000003</v>
      </c>
      <c r="D218" s="18">
        <v>0</v>
      </c>
      <c r="E218" s="18">
        <v>28318.864641647637</v>
      </c>
      <c r="F218" s="18">
        <v>26654.996355000003</v>
      </c>
      <c r="G218" s="18">
        <v>28318.864641647637</v>
      </c>
    </row>
    <row r="219" spans="1:7" ht="11.25" customHeight="1" x14ac:dyDescent="0.2">
      <c r="A219" s="28">
        <v>44562</v>
      </c>
      <c r="B219" s="18">
        <v>0</v>
      </c>
      <c r="C219" s="18">
        <v>17019.450769200001</v>
      </c>
      <c r="D219" s="18">
        <v>0</v>
      </c>
      <c r="E219" s="18">
        <v>18081.845376720572</v>
      </c>
      <c r="F219" s="18">
        <v>17019.450769200001</v>
      </c>
      <c r="G219" s="18">
        <v>18081.845376720572</v>
      </c>
    </row>
    <row r="220" spans="1:7" ht="11.25" customHeight="1" x14ac:dyDescent="0.2">
      <c r="A220" s="28">
        <v>44593</v>
      </c>
      <c r="B220" s="18">
        <v>0</v>
      </c>
      <c r="C220" s="18">
        <v>23562.948845940002</v>
      </c>
      <c r="D220" s="18">
        <v>0</v>
      </c>
      <c r="E220" s="18">
        <v>25033.804170866944</v>
      </c>
      <c r="F220" s="18">
        <v>23562.948845940002</v>
      </c>
      <c r="G220" s="18">
        <v>25033.804170866944</v>
      </c>
    </row>
    <row r="221" spans="1:7" ht="11.25" customHeight="1" x14ac:dyDescent="0.2">
      <c r="A221" s="28">
        <v>44621</v>
      </c>
      <c r="B221" s="18">
        <v>0</v>
      </c>
      <c r="C221" s="18">
        <v>35598.844692600003</v>
      </c>
      <c r="D221" s="18">
        <v>0</v>
      </c>
      <c r="E221" s="18">
        <v>37821.009270544164</v>
      </c>
      <c r="F221" s="18">
        <v>35598.844692600003</v>
      </c>
      <c r="G221" s="18">
        <v>37821.009270544164</v>
      </c>
    </row>
    <row r="222" spans="1:7" ht="11.25" customHeight="1" x14ac:dyDescent="0.2">
      <c r="A222" s="28">
        <v>44652</v>
      </c>
      <c r="B222" s="18">
        <v>0</v>
      </c>
      <c r="C222" s="18">
        <v>35598.844692600003</v>
      </c>
      <c r="D222" s="18">
        <v>0</v>
      </c>
      <c r="E222" s="18">
        <v>37821.009270544164</v>
      </c>
      <c r="F222" s="18">
        <v>35598.844692600003</v>
      </c>
      <c r="G222" s="18">
        <v>37821.009270544164</v>
      </c>
    </row>
    <row r="223" spans="1:7" ht="11.25" customHeight="1" x14ac:dyDescent="0.2">
      <c r="A223" s="28">
        <v>44682</v>
      </c>
      <c r="B223" s="18">
        <v>0</v>
      </c>
      <c r="C223" s="18">
        <v>89373.955962900014</v>
      </c>
      <c r="D223" s="18">
        <v>0</v>
      </c>
      <c r="E223" s="18">
        <v>94952.890921224127</v>
      </c>
      <c r="F223" s="18">
        <v>89373.955962900014</v>
      </c>
      <c r="G223" s="18">
        <v>94952.890921224127</v>
      </c>
    </row>
    <row r="224" spans="1:7" ht="11.25" customHeight="1" x14ac:dyDescent="0.2">
      <c r="A224" s="28">
        <v>44713</v>
      </c>
      <c r="B224" s="18">
        <v>0</v>
      </c>
      <c r="C224" s="18">
        <v>114282.8162034</v>
      </c>
      <c r="D224" s="18">
        <v>0</v>
      </c>
      <c r="E224" s="18">
        <v>121416.62147792027</v>
      </c>
      <c r="F224" s="18">
        <v>114282.8162034</v>
      </c>
      <c r="G224" s="18">
        <v>121416.62147792027</v>
      </c>
    </row>
    <row r="225" spans="1:7" ht="11.25" customHeight="1" x14ac:dyDescent="0.2">
      <c r="A225" s="20" t="s">
        <v>637</v>
      </c>
      <c r="B225" s="18">
        <v>527684.60000000021</v>
      </c>
      <c r="C225" s="18">
        <v>0</v>
      </c>
      <c r="D225" s="18">
        <v>496379.19353320403</v>
      </c>
      <c r="E225" s="18">
        <v>0</v>
      </c>
      <c r="F225" s="18">
        <v>527684.60000000021</v>
      </c>
      <c r="G225" s="18">
        <v>496379.19353320403</v>
      </c>
    </row>
    <row r="226" spans="1:7" ht="11.25" customHeight="1" x14ac:dyDescent="0.2">
      <c r="A226" s="21" t="s">
        <v>35</v>
      </c>
      <c r="B226" s="18">
        <v>527684.60000000021</v>
      </c>
      <c r="C226" s="18">
        <v>0</v>
      </c>
      <c r="D226" s="18">
        <v>496379.19353320403</v>
      </c>
      <c r="E226" s="18">
        <v>0</v>
      </c>
      <c r="F226" s="18">
        <v>527684.60000000021</v>
      </c>
      <c r="G226" s="18">
        <v>496379.19353320403</v>
      </c>
    </row>
    <row r="227" spans="1:7" ht="11.25" customHeight="1" x14ac:dyDescent="0.2">
      <c r="A227" s="22" t="s">
        <v>56</v>
      </c>
      <c r="B227" s="18">
        <v>527684.60000000021</v>
      </c>
      <c r="C227" s="18">
        <v>0</v>
      </c>
      <c r="D227" s="18">
        <v>496379.19353320403</v>
      </c>
      <c r="E227" s="18">
        <v>0</v>
      </c>
      <c r="F227" s="18">
        <v>527684.60000000021</v>
      </c>
      <c r="G227" s="18">
        <v>496379.19353320403</v>
      </c>
    </row>
    <row r="228" spans="1:7" ht="11.25" customHeight="1" x14ac:dyDescent="0.2">
      <c r="A228" s="23" t="s">
        <v>25</v>
      </c>
      <c r="B228" s="18">
        <v>527684.60000000021</v>
      </c>
      <c r="C228" s="18">
        <v>0</v>
      </c>
      <c r="D228" s="18">
        <v>496379.19353320403</v>
      </c>
      <c r="E228" s="18">
        <v>0</v>
      </c>
      <c r="F228" s="18">
        <v>527684.60000000021</v>
      </c>
      <c r="G228" s="18">
        <v>496379.19353320403</v>
      </c>
    </row>
    <row r="229" spans="1:7" ht="11.25" customHeight="1" x14ac:dyDescent="0.2">
      <c r="A229" s="24" t="s">
        <v>25</v>
      </c>
      <c r="B229" s="18">
        <v>527684.60000000021</v>
      </c>
      <c r="C229" s="18">
        <v>0</v>
      </c>
      <c r="D229" s="18">
        <v>496379.19353320403</v>
      </c>
      <c r="E229" s="18">
        <v>0</v>
      </c>
      <c r="F229" s="18">
        <v>527684.60000000021</v>
      </c>
      <c r="G229" s="18">
        <v>496379.19353320403</v>
      </c>
    </row>
    <row r="230" spans="1:7" ht="11.25" customHeight="1" x14ac:dyDescent="0.2">
      <c r="A230" s="25" t="s">
        <v>25</v>
      </c>
      <c r="B230" s="18">
        <v>527684.60000000021</v>
      </c>
      <c r="C230" s="18">
        <v>0</v>
      </c>
      <c r="D230" s="18">
        <v>496379.19353320403</v>
      </c>
      <c r="E230" s="18">
        <v>0</v>
      </c>
      <c r="F230" s="18">
        <v>527684.60000000021</v>
      </c>
      <c r="G230" s="18">
        <v>496379.19353320403</v>
      </c>
    </row>
    <row r="231" spans="1:7" ht="11.25" customHeight="1" x14ac:dyDescent="0.2">
      <c r="A231" s="26" t="s">
        <v>57</v>
      </c>
      <c r="B231" s="18">
        <v>34885.4</v>
      </c>
      <c r="C231" s="18">
        <v>0</v>
      </c>
      <c r="D231" s="18">
        <v>32815.789428160715</v>
      </c>
      <c r="E231" s="18">
        <v>0</v>
      </c>
      <c r="F231" s="18">
        <v>34885.4</v>
      </c>
      <c r="G231" s="18">
        <v>32815.789428160715</v>
      </c>
    </row>
    <row r="232" spans="1:7" ht="11.25" customHeight="1" x14ac:dyDescent="0.2">
      <c r="A232" s="27" t="s">
        <v>25</v>
      </c>
      <c r="B232" s="18">
        <v>34885.4</v>
      </c>
      <c r="C232" s="18">
        <v>0</v>
      </c>
      <c r="D232" s="18">
        <v>32815.789428160715</v>
      </c>
      <c r="E232" s="18">
        <v>0</v>
      </c>
      <c r="F232" s="18">
        <v>34885.4</v>
      </c>
      <c r="G232" s="18">
        <v>32815.789428160715</v>
      </c>
    </row>
    <row r="233" spans="1:7" ht="11.25" customHeight="1" x14ac:dyDescent="0.2">
      <c r="A233" s="28">
        <v>44378</v>
      </c>
      <c r="B233" s="18">
        <v>2848.2</v>
      </c>
      <c r="C233" s="18">
        <v>0</v>
      </c>
      <c r="D233" s="18">
        <v>2679.2277413842849</v>
      </c>
      <c r="E233" s="18">
        <v>0</v>
      </c>
      <c r="F233" s="18">
        <v>2848.2</v>
      </c>
      <c r="G233" s="18">
        <v>2679.2277413842849</v>
      </c>
    </row>
    <row r="234" spans="1:7" ht="11.25" customHeight="1" x14ac:dyDescent="0.2">
      <c r="A234" s="28">
        <v>44409</v>
      </c>
      <c r="B234" s="18">
        <v>2848.2</v>
      </c>
      <c r="C234" s="18">
        <v>0</v>
      </c>
      <c r="D234" s="18">
        <v>2679.2277413842849</v>
      </c>
      <c r="E234" s="18">
        <v>0</v>
      </c>
      <c r="F234" s="18">
        <v>2848.2</v>
      </c>
      <c r="G234" s="18">
        <v>2679.2277413842849</v>
      </c>
    </row>
    <row r="235" spans="1:7" ht="11.25" customHeight="1" x14ac:dyDescent="0.2">
      <c r="A235" s="28">
        <v>44440</v>
      </c>
      <c r="B235" s="18">
        <v>2848.2</v>
      </c>
      <c r="C235" s="18">
        <v>0</v>
      </c>
      <c r="D235" s="18">
        <v>2679.2277413842849</v>
      </c>
      <c r="E235" s="18">
        <v>0</v>
      </c>
      <c r="F235" s="18">
        <v>2848.2</v>
      </c>
      <c r="G235" s="18">
        <v>2679.2277413842849</v>
      </c>
    </row>
    <row r="236" spans="1:7" ht="11.25" customHeight="1" x14ac:dyDescent="0.2">
      <c r="A236" s="28">
        <v>44470</v>
      </c>
      <c r="B236" s="18">
        <v>2848.2</v>
      </c>
      <c r="C236" s="18">
        <v>0</v>
      </c>
      <c r="D236" s="18">
        <v>2679.2277413842849</v>
      </c>
      <c r="E236" s="18">
        <v>0</v>
      </c>
      <c r="F236" s="18">
        <v>2848.2</v>
      </c>
      <c r="G236" s="18">
        <v>2679.2277413842849</v>
      </c>
    </row>
    <row r="237" spans="1:7" ht="11.25" customHeight="1" x14ac:dyDescent="0.2">
      <c r="A237" s="28">
        <v>44501</v>
      </c>
      <c r="B237" s="18">
        <v>2848.2</v>
      </c>
      <c r="C237" s="18">
        <v>0</v>
      </c>
      <c r="D237" s="18">
        <v>2679.2277413842849</v>
      </c>
      <c r="E237" s="18">
        <v>0</v>
      </c>
      <c r="F237" s="18">
        <v>2848.2</v>
      </c>
      <c r="G237" s="18">
        <v>2679.2277413842849</v>
      </c>
    </row>
    <row r="238" spans="1:7" ht="11.25" customHeight="1" x14ac:dyDescent="0.2">
      <c r="A238" s="28">
        <v>44531</v>
      </c>
      <c r="B238" s="18">
        <v>2848.2</v>
      </c>
      <c r="C238" s="18">
        <v>0</v>
      </c>
      <c r="D238" s="18">
        <v>2679.2277413842849</v>
      </c>
      <c r="E238" s="18">
        <v>0</v>
      </c>
      <c r="F238" s="18">
        <v>2848.2</v>
      </c>
      <c r="G238" s="18">
        <v>2679.2277413842849</v>
      </c>
    </row>
    <row r="239" spans="1:7" ht="11.25" customHeight="1" x14ac:dyDescent="0.2">
      <c r="A239" s="28">
        <v>44562</v>
      </c>
      <c r="B239" s="18">
        <v>2848.2</v>
      </c>
      <c r="C239" s="18">
        <v>0</v>
      </c>
      <c r="D239" s="18">
        <v>2679.2277413842849</v>
      </c>
      <c r="E239" s="18">
        <v>0</v>
      </c>
      <c r="F239" s="18">
        <v>2848.2</v>
      </c>
      <c r="G239" s="18">
        <v>2679.2277413842849</v>
      </c>
    </row>
    <row r="240" spans="1:7" ht="11.25" customHeight="1" x14ac:dyDescent="0.2">
      <c r="A240" s="28">
        <v>44593</v>
      </c>
      <c r="B240" s="18">
        <v>2848.2</v>
      </c>
      <c r="C240" s="18">
        <v>0</v>
      </c>
      <c r="D240" s="18">
        <v>2679.2277413842849</v>
      </c>
      <c r="E240" s="18">
        <v>0</v>
      </c>
      <c r="F240" s="18">
        <v>2848.2</v>
      </c>
      <c r="G240" s="18">
        <v>2679.2277413842849</v>
      </c>
    </row>
    <row r="241" spans="1:7" ht="11.25" customHeight="1" x14ac:dyDescent="0.2">
      <c r="A241" s="28">
        <v>44621</v>
      </c>
      <c r="B241" s="18">
        <v>2848.2</v>
      </c>
      <c r="C241" s="18">
        <v>0</v>
      </c>
      <c r="D241" s="18">
        <v>2679.2277413842849</v>
      </c>
      <c r="E241" s="18">
        <v>0</v>
      </c>
      <c r="F241" s="18">
        <v>2848.2</v>
      </c>
      <c r="G241" s="18">
        <v>2679.2277413842849</v>
      </c>
    </row>
    <row r="242" spans="1:7" ht="11.25" customHeight="1" x14ac:dyDescent="0.2">
      <c r="A242" s="28">
        <v>44652</v>
      </c>
      <c r="B242" s="18">
        <v>2848.2</v>
      </c>
      <c r="C242" s="18">
        <v>0</v>
      </c>
      <c r="D242" s="18">
        <v>2679.2277413842849</v>
      </c>
      <c r="E242" s="18">
        <v>0</v>
      </c>
      <c r="F242" s="18">
        <v>2848.2</v>
      </c>
      <c r="G242" s="18">
        <v>2679.2277413842849</v>
      </c>
    </row>
    <row r="243" spans="1:7" ht="11.25" customHeight="1" x14ac:dyDescent="0.2">
      <c r="A243" s="28">
        <v>44682</v>
      </c>
      <c r="B243" s="18">
        <v>2848.2</v>
      </c>
      <c r="C243" s="18">
        <v>0</v>
      </c>
      <c r="D243" s="18">
        <v>2679.2277413842849</v>
      </c>
      <c r="E243" s="18">
        <v>0</v>
      </c>
      <c r="F243" s="18">
        <v>2848.2</v>
      </c>
      <c r="G243" s="18">
        <v>2679.2277413842849</v>
      </c>
    </row>
    <row r="244" spans="1:7" ht="11.25" customHeight="1" x14ac:dyDescent="0.2">
      <c r="A244" s="28">
        <v>44713</v>
      </c>
      <c r="B244" s="18">
        <v>3555.2</v>
      </c>
      <c r="C244" s="18">
        <v>0</v>
      </c>
      <c r="D244" s="18">
        <v>3344.2842729335753</v>
      </c>
      <c r="E244" s="18">
        <v>0</v>
      </c>
      <c r="F244" s="18">
        <v>3555.2</v>
      </c>
      <c r="G244" s="18">
        <v>3344.2842729335753</v>
      </c>
    </row>
    <row r="245" spans="1:7" ht="11.25" customHeight="1" x14ac:dyDescent="0.2">
      <c r="A245" s="26" t="s">
        <v>60</v>
      </c>
      <c r="B245" s="18">
        <v>42662.399999999994</v>
      </c>
      <c r="C245" s="18">
        <v>0</v>
      </c>
      <c r="D245" s="18">
        <v>40131.411275202903</v>
      </c>
      <c r="E245" s="18">
        <v>0</v>
      </c>
      <c r="F245" s="18">
        <v>42662.399999999994</v>
      </c>
      <c r="G245" s="18">
        <v>40131.411275202903</v>
      </c>
    </row>
    <row r="246" spans="1:7" ht="11.25" customHeight="1" x14ac:dyDescent="0.2">
      <c r="A246" s="27" t="s">
        <v>25</v>
      </c>
      <c r="B246" s="18">
        <v>42662.399999999994</v>
      </c>
      <c r="C246" s="18">
        <v>0</v>
      </c>
      <c r="D246" s="18">
        <v>40131.411275202903</v>
      </c>
      <c r="E246" s="18">
        <v>0</v>
      </c>
      <c r="F246" s="18">
        <v>42662.399999999994</v>
      </c>
      <c r="G246" s="18">
        <v>40131.411275202903</v>
      </c>
    </row>
    <row r="247" spans="1:7" ht="11.25" customHeight="1" x14ac:dyDescent="0.2">
      <c r="A247" s="28">
        <v>44378</v>
      </c>
      <c r="B247" s="18">
        <v>3555.2</v>
      </c>
      <c r="C247" s="18">
        <v>0</v>
      </c>
      <c r="D247" s="18">
        <v>3344.2842729335753</v>
      </c>
      <c r="E247" s="18">
        <v>0</v>
      </c>
      <c r="F247" s="18">
        <v>3555.2</v>
      </c>
      <c r="G247" s="18">
        <v>3344.2842729335753</v>
      </c>
    </row>
    <row r="248" spans="1:7" ht="11.25" customHeight="1" x14ac:dyDescent="0.2">
      <c r="A248" s="28">
        <v>44409</v>
      </c>
      <c r="B248" s="18">
        <v>3555.2</v>
      </c>
      <c r="C248" s="18">
        <v>0</v>
      </c>
      <c r="D248" s="18">
        <v>3344.2842729335753</v>
      </c>
      <c r="E248" s="18">
        <v>0</v>
      </c>
      <c r="F248" s="18">
        <v>3555.2</v>
      </c>
      <c r="G248" s="18">
        <v>3344.2842729335753</v>
      </c>
    </row>
    <row r="249" spans="1:7" ht="11.25" customHeight="1" x14ac:dyDescent="0.2">
      <c r="A249" s="28">
        <v>44440</v>
      </c>
      <c r="B249" s="18">
        <v>3555.2</v>
      </c>
      <c r="C249" s="18">
        <v>0</v>
      </c>
      <c r="D249" s="18">
        <v>3344.2842729335753</v>
      </c>
      <c r="E249" s="18">
        <v>0</v>
      </c>
      <c r="F249" s="18">
        <v>3555.2</v>
      </c>
      <c r="G249" s="18">
        <v>3344.2842729335753</v>
      </c>
    </row>
    <row r="250" spans="1:7" ht="11.25" customHeight="1" x14ac:dyDescent="0.2">
      <c r="A250" s="28">
        <v>44470</v>
      </c>
      <c r="B250" s="18">
        <v>3555.2</v>
      </c>
      <c r="C250" s="18">
        <v>0</v>
      </c>
      <c r="D250" s="18">
        <v>3344.2842729335753</v>
      </c>
      <c r="E250" s="18">
        <v>0</v>
      </c>
      <c r="F250" s="18">
        <v>3555.2</v>
      </c>
      <c r="G250" s="18">
        <v>3344.2842729335753</v>
      </c>
    </row>
    <row r="251" spans="1:7" ht="11.25" customHeight="1" x14ac:dyDescent="0.2">
      <c r="A251" s="28">
        <v>44501</v>
      </c>
      <c r="B251" s="18">
        <v>3555.2</v>
      </c>
      <c r="C251" s="18">
        <v>0</v>
      </c>
      <c r="D251" s="18">
        <v>3344.2842729335753</v>
      </c>
      <c r="E251" s="18">
        <v>0</v>
      </c>
      <c r="F251" s="18">
        <v>3555.2</v>
      </c>
      <c r="G251" s="18">
        <v>3344.2842729335753</v>
      </c>
    </row>
    <row r="252" spans="1:7" ht="11.25" customHeight="1" x14ac:dyDescent="0.2">
      <c r="A252" s="28">
        <v>44531</v>
      </c>
      <c r="B252" s="18">
        <v>3555.2</v>
      </c>
      <c r="C252" s="18">
        <v>0</v>
      </c>
      <c r="D252" s="18">
        <v>3344.2842729335753</v>
      </c>
      <c r="E252" s="18">
        <v>0</v>
      </c>
      <c r="F252" s="18">
        <v>3555.2</v>
      </c>
      <c r="G252" s="18">
        <v>3344.2842729335753</v>
      </c>
    </row>
    <row r="253" spans="1:7" ht="11.25" customHeight="1" x14ac:dyDescent="0.2">
      <c r="A253" s="28">
        <v>44562</v>
      </c>
      <c r="B253" s="18">
        <v>3555.2</v>
      </c>
      <c r="C253" s="18">
        <v>0</v>
      </c>
      <c r="D253" s="18">
        <v>3344.2842729335753</v>
      </c>
      <c r="E253" s="18">
        <v>0</v>
      </c>
      <c r="F253" s="18">
        <v>3555.2</v>
      </c>
      <c r="G253" s="18">
        <v>3344.2842729335753</v>
      </c>
    </row>
    <row r="254" spans="1:7" ht="11.25" customHeight="1" x14ac:dyDescent="0.2">
      <c r="A254" s="28">
        <v>44593</v>
      </c>
      <c r="B254" s="18">
        <v>3555.2</v>
      </c>
      <c r="C254" s="18">
        <v>0</v>
      </c>
      <c r="D254" s="18">
        <v>3344.2842729335753</v>
      </c>
      <c r="E254" s="18">
        <v>0</v>
      </c>
      <c r="F254" s="18">
        <v>3555.2</v>
      </c>
      <c r="G254" s="18">
        <v>3344.2842729335753</v>
      </c>
    </row>
    <row r="255" spans="1:7" ht="11.25" customHeight="1" x14ac:dyDescent="0.2">
      <c r="A255" s="28">
        <v>44621</v>
      </c>
      <c r="B255" s="18">
        <v>3555.2</v>
      </c>
      <c r="C255" s="18">
        <v>0</v>
      </c>
      <c r="D255" s="18">
        <v>3344.2842729335753</v>
      </c>
      <c r="E255" s="18">
        <v>0</v>
      </c>
      <c r="F255" s="18">
        <v>3555.2</v>
      </c>
      <c r="G255" s="18">
        <v>3344.2842729335753</v>
      </c>
    </row>
    <row r="256" spans="1:7" ht="11.25" customHeight="1" x14ac:dyDescent="0.2">
      <c r="A256" s="28">
        <v>44652</v>
      </c>
      <c r="B256" s="18">
        <v>3555.2</v>
      </c>
      <c r="C256" s="18">
        <v>0</v>
      </c>
      <c r="D256" s="18">
        <v>3344.2842729335753</v>
      </c>
      <c r="E256" s="18">
        <v>0</v>
      </c>
      <c r="F256" s="18">
        <v>3555.2</v>
      </c>
      <c r="G256" s="18">
        <v>3344.2842729335753</v>
      </c>
    </row>
    <row r="257" spans="1:7" ht="11.25" customHeight="1" x14ac:dyDescent="0.2">
      <c r="A257" s="28">
        <v>44682</v>
      </c>
      <c r="B257" s="18">
        <v>3555.2</v>
      </c>
      <c r="C257" s="18">
        <v>0</v>
      </c>
      <c r="D257" s="18">
        <v>3344.2842729335753</v>
      </c>
      <c r="E257" s="18">
        <v>0</v>
      </c>
      <c r="F257" s="18">
        <v>3555.2</v>
      </c>
      <c r="G257" s="18">
        <v>3344.2842729335753</v>
      </c>
    </row>
    <row r="258" spans="1:7" ht="11.25" customHeight="1" x14ac:dyDescent="0.2">
      <c r="A258" s="28">
        <v>44713</v>
      </c>
      <c r="B258" s="18">
        <v>3555.2</v>
      </c>
      <c r="C258" s="18">
        <v>0</v>
      </c>
      <c r="D258" s="18">
        <v>3344.2842729335753</v>
      </c>
      <c r="E258" s="18">
        <v>0</v>
      </c>
      <c r="F258" s="18">
        <v>3555.2</v>
      </c>
      <c r="G258" s="18">
        <v>3344.2842729335753</v>
      </c>
    </row>
    <row r="259" spans="1:7" ht="11.25" customHeight="1" x14ac:dyDescent="0.2">
      <c r="A259" s="26" t="s">
        <v>64</v>
      </c>
      <c r="B259" s="18">
        <v>53328</v>
      </c>
      <c r="C259" s="18">
        <v>0</v>
      </c>
      <c r="D259" s="18">
        <v>50164.264094003644</v>
      </c>
      <c r="E259" s="18">
        <v>0</v>
      </c>
      <c r="F259" s="18">
        <v>53328</v>
      </c>
      <c r="G259" s="18">
        <v>50164.264094003644</v>
      </c>
    </row>
    <row r="260" spans="1:7" ht="11.25" customHeight="1" x14ac:dyDescent="0.2">
      <c r="A260" s="27" t="s">
        <v>25</v>
      </c>
      <c r="B260" s="18">
        <v>53328</v>
      </c>
      <c r="C260" s="18">
        <v>0</v>
      </c>
      <c r="D260" s="18">
        <v>50164.264094003644</v>
      </c>
      <c r="E260" s="18">
        <v>0</v>
      </c>
      <c r="F260" s="18">
        <v>53328</v>
      </c>
      <c r="G260" s="18">
        <v>50164.264094003644</v>
      </c>
    </row>
    <row r="261" spans="1:7" ht="11.25" customHeight="1" x14ac:dyDescent="0.2">
      <c r="A261" s="28">
        <v>44378</v>
      </c>
      <c r="B261" s="18">
        <v>4444</v>
      </c>
      <c r="C261" s="18">
        <v>0</v>
      </c>
      <c r="D261" s="18">
        <v>4180.3553411669691</v>
      </c>
      <c r="E261" s="18">
        <v>0</v>
      </c>
      <c r="F261" s="18">
        <v>4444</v>
      </c>
      <c r="G261" s="18">
        <v>4180.3553411669691</v>
      </c>
    </row>
    <row r="262" spans="1:7" ht="11.25" customHeight="1" x14ac:dyDescent="0.2">
      <c r="A262" s="28">
        <v>44409</v>
      </c>
      <c r="B262" s="18">
        <v>4444</v>
      </c>
      <c r="C262" s="18">
        <v>0</v>
      </c>
      <c r="D262" s="18">
        <v>4180.3553411669691</v>
      </c>
      <c r="E262" s="18">
        <v>0</v>
      </c>
      <c r="F262" s="18">
        <v>4444</v>
      </c>
      <c r="G262" s="18">
        <v>4180.3553411669691</v>
      </c>
    </row>
    <row r="263" spans="1:7" ht="11.25" customHeight="1" x14ac:dyDescent="0.2">
      <c r="A263" s="28">
        <v>44440</v>
      </c>
      <c r="B263" s="18">
        <v>4444</v>
      </c>
      <c r="C263" s="18">
        <v>0</v>
      </c>
      <c r="D263" s="18">
        <v>4180.3553411669691</v>
      </c>
      <c r="E263" s="18">
        <v>0</v>
      </c>
      <c r="F263" s="18">
        <v>4444</v>
      </c>
      <c r="G263" s="18">
        <v>4180.3553411669691</v>
      </c>
    </row>
    <row r="264" spans="1:7" ht="11.25" customHeight="1" x14ac:dyDescent="0.2">
      <c r="A264" s="28">
        <v>44470</v>
      </c>
      <c r="B264" s="18">
        <v>4444</v>
      </c>
      <c r="C264" s="18">
        <v>0</v>
      </c>
      <c r="D264" s="18">
        <v>4180.3553411669691</v>
      </c>
      <c r="E264" s="18">
        <v>0</v>
      </c>
      <c r="F264" s="18">
        <v>4444</v>
      </c>
      <c r="G264" s="18">
        <v>4180.3553411669691</v>
      </c>
    </row>
    <row r="265" spans="1:7" ht="11.25" customHeight="1" x14ac:dyDescent="0.2">
      <c r="A265" s="28">
        <v>44501</v>
      </c>
      <c r="B265" s="18">
        <v>4444</v>
      </c>
      <c r="C265" s="18">
        <v>0</v>
      </c>
      <c r="D265" s="18">
        <v>4180.3553411669691</v>
      </c>
      <c r="E265" s="18">
        <v>0</v>
      </c>
      <c r="F265" s="18">
        <v>4444</v>
      </c>
      <c r="G265" s="18">
        <v>4180.3553411669691</v>
      </c>
    </row>
    <row r="266" spans="1:7" ht="11.25" customHeight="1" x14ac:dyDescent="0.2">
      <c r="A266" s="28">
        <v>44531</v>
      </c>
      <c r="B266" s="18">
        <v>4444</v>
      </c>
      <c r="C266" s="18">
        <v>0</v>
      </c>
      <c r="D266" s="18">
        <v>4180.3553411669691</v>
      </c>
      <c r="E266" s="18">
        <v>0</v>
      </c>
      <c r="F266" s="18">
        <v>4444</v>
      </c>
      <c r="G266" s="18">
        <v>4180.3553411669691</v>
      </c>
    </row>
    <row r="267" spans="1:7" ht="11.25" customHeight="1" x14ac:dyDescent="0.2">
      <c r="A267" s="28">
        <v>44562</v>
      </c>
      <c r="B267" s="18">
        <v>4444</v>
      </c>
      <c r="C267" s="18">
        <v>0</v>
      </c>
      <c r="D267" s="18">
        <v>4180.3553411669691</v>
      </c>
      <c r="E267" s="18">
        <v>0</v>
      </c>
      <c r="F267" s="18">
        <v>4444</v>
      </c>
      <c r="G267" s="18">
        <v>4180.3553411669691</v>
      </c>
    </row>
    <row r="268" spans="1:7" ht="11.25" customHeight="1" x14ac:dyDescent="0.2">
      <c r="A268" s="28">
        <v>44593</v>
      </c>
      <c r="B268" s="18">
        <v>4444</v>
      </c>
      <c r="C268" s="18">
        <v>0</v>
      </c>
      <c r="D268" s="18">
        <v>4180.3553411669691</v>
      </c>
      <c r="E268" s="18">
        <v>0</v>
      </c>
      <c r="F268" s="18">
        <v>4444</v>
      </c>
      <c r="G268" s="18">
        <v>4180.3553411669691</v>
      </c>
    </row>
    <row r="269" spans="1:7" ht="11.25" customHeight="1" x14ac:dyDescent="0.2">
      <c r="A269" s="28">
        <v>44621</v>
      </c>
      <c r="B269" s="18">
        <v>4444</v>
      </c>
      <c r="C269" s="18">
        <v>0</v>
      </c>
      <c r="D269" s="18">
        <v>4180.3553411669691</v>
      </c>
      <c r="E269" s="18">
        <v>0</v>
      </c>
      <c r="F269" s="18">
        <v>4444</v>
      </c>
      <c r="G269" s="18">
        <v>4180.3553411669691</v>
      </c>
    </row>
    <row r="270" spans="1:7" ht="11.25" customHeight="1" x14ac:dyDescent="0.2">
      <c r="A270" s="28">
        <v>44652</v>
      </c>
      <c r="B270" s="18">
        <v>4444</v>
      </c>
      <c r="C270" s="18">
        <v>0</v>
      </c>
      <c r="D270" s="18">
        <v>4180.3553411669691</v>
      </c>
      <c r="E270" s="18">
        <v>0</v>
      </c>
      <c r="F270" s="18">
        <v>4444</v>
      </c>
      <c r="G270" s="18">
        <v>4180.3553411669691</v>
      </c>
    </row>
    <row r="271" spans="1:7" ht="11.25" customHeight="1" x14ac:dyDescent="0.2">
      <c r="A271" s="28">
        <v>44682</v>
      </c>
      <c r="B271" s="18">
        <v>4444</v>
      </c>
      <c r="C271" s="18">
        <v>0</v>
      </c>
      <c r="D271" s="18">
        <v>4180.3553411669691</v>
      </c>
      <c r="E271" s="18">
        <v>0</v>
      </c>
      <c r="F271" s="18">
        <v>4444</v>
      </c>
      <c r="G271" s="18">
        <v>4180.3553411669691</v>
      </c>
    </row>
    <row r="272" spans="1:7" ht="11.25" customHeight="1" x14ac:dyDescent="0.2">
      <c r="A272" s="28">
        <v>44713</v>
      </c>
      <c r="B272" s="18">
        <v>4444</v>
      </c>
      <c r="C272" s="18">
        <v>0</v>
      </c>
      <c r="D272" s="18">
        <v>4180.3553411669691</v>
      </c>
      <c r="E272" s="18">
        <v>0</v>
      </c>
      <c r="F272" s="18">
        <v>4444</v>
      </c>
      <c r="G272" s="18">
        <v>4180.3553411669691</v>
      </c>
    </row>
    <row r="273" spans="1:7" ht="11.25" customHeight="1" x14ac:dyDescent="0.2">
      <c r="A273" s="26" t="s">
        <v>62</v>
      </c>
      <c r="B273" s="18">
        <v>62054.399999999987</v>
      </c>
      <c r="C273" s="18">
        <v>0</v>
      </c>
      <c r="D273" s="18">
        <v>58372.961854840578</v>
      </c>
      <c r="E273" s="18">
        <v>0</v>
      </c>
      <c r="F273" s="18">
        <v>62054.399999999987</v>
      </c>
      <c r="G273" s="18">
        <v>58372.961854840578</v>
      </c>
    </row>
    <row r="274" spans="1:7" ht="11.25" customHeight="1" x14ac:dyDescent="0.2">
      <c r="A274" s="27" t="s">
        <v>25</v>
      </c>
      <c r="B274" s="18">
        <v>62054.399999999987</v>
      </c>
      <c r="C274" s="18">
        <v>0</v>
      </c>
      <c r="D274" s="18">
        <v>58372.961854840578</v>
      </c>
      <c r="E274" s="18">
        <v>0</v>
      </c>
      <c r="F274" s="18">
        <v>62054.399999999987</v>
      </c>
      <c r="G274" s="18">
        <v>58372.961854840578</v>
      </c>
    </row>
    <row r="275" spans="1:7" ht="11.25" customHeight="1" x14ac:dyDescent="0.2">
      <c r="A275" s="28">
        <v>44378</v>
      </c>
      <c r="B275" s="18">
        <v>5171.2</v>
      </c>
      <c r="C275" s="18">
        <v>0</v>
      </c>
      <c r="D275" s="18">
        <v>4864.4134879033827</v>
      </c>
      <c r="E275" s="18">
        <v>0</v>
      </c>
      <c r="F275" s="18">
        <v>5171.2</v>
      </c>
      <c r="G275" s="18">
        <v>4864.4134879033827</v>
      </c>
    </row>
    <row r="276" spans="1:7" ht="11.25" customHeight="1" x14ac:dyDescent="0.2">
      <c r="A276" s="28">
        <v>44409</v>
      </c>
      <c r="B276" s="18">
        <v>5171.2</v>
      </c>
      <c r="C276" s="18">
        <v>0</v>
      </c>
      <c r="D276" s="18">
        <v>4864.4134879033827</v>
      </c>
      <c r="E276" s="18">
        <v>0</v>
      </c>
      <c r="F276" s="18">
        <v>5171.2</v>
      </c>
      <c r="G276" s="18">
        <v>4864.4134879033827</v>
      </c>
    </row>
    <row r="277" spans="1:7" ht="11.25" customHeight="1" x14ac:dyDescent="0.2">
      <c r="A277" s="28">
        <v>44440</v>
      </c>
      <c r="B277" s="18">
        <v>5171.2</v>
      </c>
      <c r="C277" s="18">
        <v>0</v>
      </c>
      <c r="D277" s="18">
        <v>4864.4134879033827</v>
      </c>
      <c r="E277" s="18">
        <v>0</v>
      </c>
      <c r="F277" s="18">
        <v>5171.2</v>
      </c>
      <c r="G277" s="18">
        <v>4864.4134879033827</v>
      </c>
    </row>
    <row r="278" spans="1:7" ht="11.25" customHeight="1" x14ac:dyDescent="0.2">
      <c r="A278" s="28">
        <v>44470</v>
      </c>
      <c r="B278" s="18">
        <v>5171.2</v>
      </c>
      <c r="C278" s="18">
        <v>0</v>
      </c>
      <c r="D278" s="18">
        <v>4864.4134879033827</v>
      </c>
      <c r="E278" s="18">
        <v>0</v>
      </c>
      <c r="F278" s="18">
        <v>5171.2</v>
      </c>
      <c r="G278" s="18">
        <v>4864.4134879033827</v>
      </c>
    </row>
    <row r="279" spans="1:7" ht="11.25" customHeight="1" x14ac:dyDescent="0.2">
      <c r="A279" s="28">
        <v>44501</v>
      </c>
      <c r="B279" s="18">
        <v>5171.2</v>
      </c>
      <c r="C279" s="18">
        <v>0</v>
      </c>
      <c r="D279" s="18">
        <v>4864.4134879033827</v>
      </c>
      <c r="E279" s="18">
        <v>0</v>
      </c>
      <c r="F279" s="18">
        <v>5171.2</v>
      </c>
      <c r="G279" s="18">
        <v>4864.4134879033827</v>
      </c>
    </row>
    <row r="280" spans="1:7" ht="11.25" customHeight="1" x14ac:dyDescent="0.2">
      <c r="A280" s="28">
        <v>44531</v>
      </c>
      <c r="B280" s="18">
        <v>5171.2</v>
      </c>
      <c r="C280" s="18">
        <v>0</v>
      </c>
      <c r="D280" s="18">
        <v>4864.4134879033827</v>
      </c>
      <c r="E280" s="18">
        <v>0</v>
      </c>
      <c r="F280" s="18">
        <v>5171.2</v>
      </c>
      <c r="G280" s="18">
        <v>4864.4134879033827</v>
      </c>
    </row>
    <row r="281" spans="1:7" ht="11.25" customHeight="1" x14ac:dyDescent="0.2">
      <c r="A281" s="28">
        <v>44562</v>
      </c>
      <c r="B281" s="18">
        <v>5171.2</v>
      </c>
      <c r="C281" s="18">
        <v>0</v>
      </c>
      <c r="D281" s="18">
        <v>4864.4134879033827</v>
      </c>
      <c r="E281" s="18">
        <v>0</v>
      </c>
      <c r="F281" s="18">
        <v>5171.2</v>
      </c>
      <c r="G281" s="18">
        <v>4864.4134879033827</v>
      </c>
    </row>
    <row r="282" spans="1:7" ht="11.25" customHeight="1" x14ac:dyDescent="0.2">
      <c r="A282" s="28">
        <v>44593</v>
      </c>
      <c r="B282" s="18">
        <v>5171.2</v>
      </c>
      <c r="C282" s="18">
        <v>0</v>
      </c>
      <c r="D282" s="18">
        <v>4864.4134879033827</v>
      </c>
      <c r="E282" s="18">
        <v>0</v>
      </c>
      <c r="F282" s="18">
        <v>5171.2</v>
      </c>
      <c r="G282" s="18">
        <v>4864.4134879033827</v>
      </c>
    </row>
    <row r="283" spans="1:7" ht="11.25" customHeight="1" x14ac:dyDescent="0.2">
      <c r="A283" s="28">
        <v>44621</v>
      </c>
      <c r="B283" s="18">
        <v>5171.2</v>
      </c>
      <c r="C283" s="18">
        <v>0</v>
      </c>
      <c r="D283" s="18">
        <v>4864.4134879033827</v>
      </c>
      <c r="E283" s="18">
        <v>0</v>
      </c>
      <c r="F283" s="18">
        <v>5171.2</v>
      </c>
      <c r="G283" s="18">
        <v>4864.4134879033827</v>
      </c>
    </row>
    <row r="284" spans="1:7" ht="11.25" customHeight="1" x14ac:dyDescent="0.2">
      <c r="A284" s="28">
        <v>44652</v>
      </c>
      <c r="B284" s="18">
        <v>5171.2</v>
      </c>
      <c r="C284" s="18">
        <v>0</v>
      </c>
      <c r="D284" s="18">
        <v>4864.4134879033827</v>
      </c>
      <c r="E284" s="18">
        <v>0</v>
      </c>
      <c r="F284" s="18">
        <v>5171.2</v>
      </c>
      <c r="G284" s="18">
        <v>4864.4134879033827</v>
      </c>
    </row>
    <row r="285" spans="1:7" ht="11.25" customHeight="1" x14ac:dyDescent="0.2">
      <c r="A285" s="28">
        <v>44682</v>
      </c>
      <c r="B285" s="18">
        <v>5171.2</v>
      </c>
      <c r="C285" s="18">
        <v>0</v>
      </c>
      <c r="D285" s="18">
        <v>4864.4134879033827</v>
      </c>
      <c r="E285" s="18">
        <v>0</v>
      </c>
      <c r="F285" s="18">
        <v>5171.2</v>
      </c>
      <c r="G285" s="18">
        <v>4864.4134879033827</v>
      </c>
    </row>
    <row r="286" spans="1:7" ht="11.25" customHeight="1" x14ac:dyDescent="0.2">
      <c r="A286" s="28">
        <v>44713</v>
      </c>
      <c r="B286" s="18">
        <v>5171.2</v>
      </c>
      <c r="C286" s="18">
        <v>0</v>
      </c>
      <c r="D286" s="18">
        <v>4864.4134879033827</v>
      </c>
      <c r="E286" s="18">
        <v>0</v>
      </c>
      <c r="F286" s="18">
        <v>5171.2</v>
      </c>
      <c r="G286" s="18">
        <v>4864.4134879033827</v>
      </c>
    </row>
    <row r="287" spans="1:7" ht="11.25" customHeight="1" x14ac:dyDescent="0.2">
      <c r="A287" s="26" t="s">
        <v>61</v>
      </c>
      <c r="B287" s="18">
        <v>37814.400000000001</v>
      </c>
      <c r="C287" s="18">
        <v>0</v>
      </c>
      <c r="D287" s="18">
        <v>35571.023630293472</v>
      </c>
      <c r="E287" s="18">
        <v>0</v>
      </c>
      <c r="F287" s="18">
        <v>37814.400000000001</v>
      </c>
      <c r="G287" s="18">
        <v>35571.023630293472</v>
      </c>
    </row>
    <row r="288" spans="1:7" ht="11.25" customHeight="1" x14ac:dyDescent="0.2">
      <c r="A288" s="27" t="s">
        <v>25</v>
      </c>
      <c r="B288" s="18">
        <v>37814.400000000001</v>
      </c>
      <c r="C288" s="18">
        <v>0</v>
      </c>
      <c r="D288" s="18">
        <v>35571.023630293472</v>
      </c>
      <c r="E288" s="18">
        <v>0</v>
      </c>
      <c r="F288" s="18">
        <v>37814.400000000001</v>
      </c>
      <c r="G288" s="18">
        <v>35571.023630293472</v>
      </c>
    </row>
    <row r="289" spans="1:7" ht="11.25" customHeight="1" x14ac:dyDescent="0.2">
      <c r="A289" s="28">
        <v>44378</v>
      </c>
      <c r="B289" s="18">
        <v>3151.2</v>
      </c>
      <c r="C289" s="18">
        <v>0</v>
      </c>
      <c r="D289" s="18">
        <v>2964.2519691911234</v>
      </c>
      <c r="E289" s="18">
        <v>0</v>
      </c>
      <c r="F289" s="18">
        <v>3151.2</v>
      </c>
      <c r="G289" s="18">
        <v>2964.2519691911234</v>
      </c>
    </row>
    <row r="290" spans="1:7" ht="11.25" customHeight="1" x14ac:dyDescent="0.2">
      <c r="A290" s="28">
        <v>44409</v>
      </c>
      <c r="B290" s="18">
        <v>3151.2</v>
      </c>
      <c r="C290" s="18">
        <v>0</v>
      </c>
      <c r="D290" s="18">
        <v>2964.2519691911234</v>
      </c>
      <c r="E290" s="18">
        <v>0</v>
      </c>
      <c r="F290" s="18">
        <v>3151.2</v>
      </c>
      <c r="G290" s="18">
        <v>2964.2519691911234</v>
      </c>
    </row>
    <row r="291" spans="1:7" ht="11.25" customHeight="1" x14ac:dyDescent="0.2">
      <c r="A291" s="28">
        <v>44440</v>
      </c>
      <c r="B291" s="18">
        <v>3151.2</v>
      </c>
      <c r="C291" s="18">
        <v>0</v>
      </c>
      <c r="D291" s="18">
        <v>2964.2519691911234</v>
      </c>
      <c r="E291" s="18">
        <v>0</v>
      </c>
      <c r="F291" s="18">
        <v>3151.2</v>
      </c>
      <c r="G291" s="18">
        <v>2964.2519691911234</v>
      </c>
    </row>
    <row r="292" spans="1:7" ht="11.25" customHeight="1" x14ac:dyDescent="0.2">
      <c r="A292" s="28">
        <v>44470</v>
      </c>
      <c r="B292" s="18">
        <v>3151.2</v>
      </c>
      <c r="C292" s="18">
        <v>0</v>
      </c>
      <c r="D292" s="18">
        <v>2964.2519691911234</v>
      </c>
      <c r="E292" s="18">
        <v>0</v>
      </c>
      <c r="F292" s="18">
        <v>3151.2</v>
      </c>
      <c r="G292" s="18">
        <v>2964.2519691911234</v>
      </c>
    </row>
    <row r="293" spans="1:7" ht="11.25" customHeight="1" x14ac:dyDescent="0.2">
      <c r="A293" s="28">
        <v>44501</v>
      </c>
      <c r="B293" s="18">
        <v>3151.2</v>
      </c>
      <c r="C293" s="18">
        <v>0</v>
      </c>
      <c r="D293" s="18">
        <v>2964.2519691911234</v>
      </c>
      <c r="E293" s="18">
        <v>0</v>
      </c>
      <c r="F293" s="18">
        <v>3151.2</v>
      </c>
      <c r="G293" s="18">
        <v>2964.2519691911234</v>
      </c>
    </row>
    <row r="294" spans="1:7" ht="11.25" customHeight="1" x14ac:dyDescent="0.2">
      <c r="A294" s="28">
        <v>44531</v>
      </c>
      <c r="B294" s="18">
        <v>3151.2</v>
      </c>
      <c r="C294" s="18">
        <v>0</v>
      </c>
      <c r="D294" s="18">
        <v>2964.2519691911234</v>
      </c>
      <c r="E294" s="18">
        <v>0</v>
      </c>
      <c r="F294" s="18">
        <v>3151.2</v>
      </c>
      <c r="G294" s="18">
        <v>2964.2519691911234</v>
      </c>
    </row>
    <row r="295" spans="1:7" ht="11.25" customHeight="1" x14ac:dyDescent="0.2">
      <c r="A295" s="28">
        <v>44562</v>
      </c>
      <c r="B295" s="18">
        <v>3151.2</v>
      </c>
      <c r="C295" s="18">
        <v>0</v>
      </c>
      <c r="D295" s="18">
        <v>2964.2519691911234</v>
      </c>
      <c r="E295" s="18">
        <v>0</v>
      </c>
      <c r="F295" s="18">
        <v>3151.2</v>
      </c>
      <c r="G295" s="18">
        <v>2964.2519691911234</v>
      </c>
    </row>
    <row r="296" spans="1:7" ht="11.25" customHeight="1" x14ac:dyDescent="0.2">
      <c r="A296" s="28">
        <v>44593</v>
      </c>
      <c r="B296" s="18">
        <v>3151.2</v>
      </c>
      <c r="C296" s="18">
        <v>0</v>
      </c>
      <c r="D296" s="18">
        <v>2964.2519691911234</v>
      </c>
      <c r="E296" s="18">
        <v>0</v>
      </c>
      <c r="F296" s="18">
        <v>3151.2</v>
      </c>
      <c r="G296" s="18">
        <v>2964.2519691911234</v>
      </c>
    </row>
    <row r="297" spans="1:7" ht="11.25" customHeight="1" x14ac:dyDescent="0.2">
      <c r="A297" s="28">
        <v>44621</v>
      </c>
      <c r="B297" s="18">
        <v>3151.2</v>
      </c>
      <c r="C297" s="18">
        <v>0</v>
      </c>
      <c r="D297" s="18">
        <v>2964.2519691911234</v>
      </c>
      <c r="E297" s="18">
        <v>0</v>
      </c>
      <c r="F297" s="18">
        <v>3151.2</v>
      </c>
      <c r="G297" s="18">
        <v>2964.2519691911234</v>
      </c>
    </row>
    <row r="298" spans="1:7" ht="11.25" customHeight="1" x14ac:dyDescent="0.2">
      <c r="A298" s="28">
        <v>44652</v>
      </c>
      <c r="B298" s="18">
        <v>3151.2</v>
      </c>
      <c r="C298" s="18">
        <v>0</v>
      </c>
      <c r="D298" s="18">
        <v>2964.2519691911234</v>
      </c>
      <c r="E298" s="18">
        <v>0</v>
      </c>
      <c r="F298" s="18">
        <v>3151.2</v>
      </c>
      <c r="G298" s="18">
        <v>2964.2519691911234</v>
      </c>
    </row>
    <row r="299" spans="1:7" ht="11.25" customHeight="1" x14ac:dyDescent="0.2">
      <c r="A299" s="28">
        <v>44682</v>
      </c>
      <c r="B299" s="18">
        <v>3151.2</v>
      </c>
      <c r="C299" s="18">
        <v>0</v>
      </c>
      <c r="D299" s="18">
        <v>2964.2519691911234</v>
      </c>
      <c r="E299" s="18">
        <v>0</v>
      </c>
      <c r="F299" s="18">
        <v>3151.2</v>
      </c>
      <c r="G299" s="18">
        <v>2964.2519691911234</v>
      </c>
    </row>
    <row r="300" spans="1:7" ht="11.25" customHeight="1" x14ac:dyDescent="0.2">
      <c r="A300" s="28">
        <v>44713</v>
      </c>
      <c r="B300" s="18">
        <v>3151.2</v>
      </c>
      <c r="C300" s="18">
        <v>0</v>
      </c>
      <c r="D300" s="18">
        <v>2964.2519691911234</v>
      </c>
      <c r="E300" s="18">
        <v>0</v>
      </c>
      <c r="F300" s="18">
        <v>3151.2</v>
      </c>
      <c r="G300" s="18">
        <v>2964.2519691911234</v>
      </c>
    </row>
    <row r="301" spans="1:7" ht="11.25" customHeight="1" x14ac:dyDescent="0.2">
      <c r="A301" s="26" t="s">
        <v>63</v>
      </c>
      <c r="B301" s="18">
        <v>117564</v>
      </c>
      <c r="C301" s="18">
        <v>0</v>
      </c>
      <c r="D301" s="18">
        <v>110589.40038905345</v>
      </c>
      <c r="E301" s="18">
        <v>0</v>
      </c>
      <c r="F301" s="18">
        <v>117564</v>
      </c>
      <c r="G301" s="18">
        <v>110589.40038905345</v>
      </c>
    </row>
    <row r="302" spans="1:7" ht="11.25" customHeight="1" x14ac:dyDescent="0.2">
      <c r="A302" s="27" t="s">
        <v>25</v>
      </c>
      <c r="B302" s="18">
        <v>117564</v>
      </c>
      <c r="C302" s="18">
        <v>0</v>
      </c>
      <c r="D302" s="18">
        <v>110589.40038905345</v>
      </c>
      <c r="E302" s="18">
        <v>0</v>
      </c>
      <c r="F302" s="18">
        <v>117564</v>
      </c>
      <c r="G302" s="18">
        <v>110589.40038905345</v>
      </c>
    </row>
    <row r="303" spans="1:7" ht="11.25" customHeight="1" x14ac:dyDescent="0.2">
      <c r="A303" s="28">
        <v>44378</v>
      </c>
      <c r="B303" s="18">
        <v>9797</v>
      </c>
      <c r="C303" s="18">
        <v>0</v>
      </c>
      <c r="D303" s="18">
        <v>9215.7833657544543</v>
      </c>
      <c r="E303" s="18">
        <v>0</v>
      </c>
      <c r="F303" s="18">
        <v>9797</v>
      </c>
      <c r="G303" s="18">
        <v>9215.7833657544543</v>
      </c>
    </row>
    <row r="304" spans="1:7" ht="11.25" customHeight="1" x14ac:dyDescent="0.2">
      <c r="A304" s="28">
        <v>44409</v>
      </c>
      <c r="B304" s="18">
        <v>9797</v>
      </c>
      <c r="C304" s="18">
        <v>0</v>
      </c>
      <c r="D304" s="18">
        <v>9215.7833657544543</v>
      </c>
      <c r="E304" s="18">
        <v>0</v>
      </c>
      <c r="F304" s="18">
        <v>9797</v>
      </c>
      <c r="G304" s="18">
        <v>9215.7833657544543</v>
      </c>
    </row>
    <row r="305" spans="1:7" ht="11.25" customHeight="1" x14ac:dyDescent="0.2">
      <c r="A305" s="28">
        <v>44440</v>
      </c>
      <c r="B305" s="18">
        <v>9797</v>
      </c>
      <c r="C305" s="18">
        <v>0</v>
      </c>
      <c r="D305" s="18">
        <v>9215.7833657544543</v>
      </c>
      <c r="E305" s="18">
        <v>0</v>
      </c>
      <c r="F305" s="18">
        <v>9797</v>
      </c>
      <c r="G305" s="18">
        <v>9215.7833657544543</v>
      </c>
    </row>
    <row r="306" spans="1:7" ht="11.25" customHeight="1" x14ac:dyDescent="0.2">
      <c r="A306" s="28">
        <v>44470</v>
      </c>
      <c r="B306" s="18">
        <v>9797</v>
      </c>
      <c r="C306" s="18">
        <v>0</v>
      </c>
      <c r="D306" s="18">
        <v>9215.7833657544543</v>
      </c>
      <c r="E306" s="18">
        <v>0</v>
      </c>
      <c r="F306" s="18">
        <v>9797</v>
      </c>
      <c r="G306" s="18">
        <v>9215.7833657544543</v>
      </c>
    </row>
    <row r="307" spans="1:7" ht="11.25" customHeight="1" x14ac:dyDescent="0.2">
      <c r="A307" s="28">
        <v>44501</v>
      </c>
      <c r="B307" s="18">
        <v>9797</v>
      </c>
      <c r="C307" s="18">
        <v>0</v>
      </c>
      <c r="D307" s="18">
        <v>9215.7833657544543</v>
      </c>
      <c r="E307" s="18">
        <v>0</v>
      </c>
      <c r="F307" s="18">
        <v>9797</v>
      </c>
      <c r="G307" s="18">
        <v>9215.7833657544543</v>
      </c>
    </row>
    <row r="308" spans="1:7" ht="11.25" customHeight="1" x14ac:dyDescent="0.2">
      <c r="A308" s="28">
        <v>44531</v>
      </c>
      <c r="B308" s="18">
        <v>9797</v>
      </c>
      <c r="C308" s="18">
        <v>0</v>
      </c>
      <c r="D308" s="18">
        <v>9215.7833657544543</v>
      </c>
      <c r="E308" s="18">
        <v>0</v>
      </c>
      <c r="F308" s="18">
        <v>9797</v>
      </c>
      <c r="G308" s="18">
        <v>9215.7833657544543</v>
      </c>
    </row>
    <row r="309" spans="1:7" ht="11.25" customHeight="1" x14ac:dyDescent="0.2">
      <c r="A309" s="28">
        <v>44562</v>
      </c>
      <c r="B309" s="18">
        <v>9797</v>
      </c>
      <c r="C309" s="18">
        <v>0</v>
      </c>
      <c r="D309" s="18">
        <v>9215.7833657544543</v>
      </c>
      <c r="E309" s="18">
        <v>0</v>
      </c>
      <c r="F309" s="18">
        <v>9797</v>
      </c>
      <c r="G309" s="18">
        <v>9215.7833657544543</v>
      </c>
    </row>
    <row r="310" spans="1:7" ht="11.25" customHeight="1" x14ac:dyDescent="0.2">
      <c r="A310" s="28">
        <v>44593</v>
      </c>
      <c r="B310" s="18">
        <v>9797</v>
      </c>
      <c r="C310" s="18">
        <v>0</v>
      </c>
      <c r="D310" s="18">
        <v>9215.7833657544543</v>
      </c>
      <c r="E310" s="18">
        <v>0</v>
      </c>
      <c r="F310" s="18">
        <v>9797</v>
      </c>
      <c r="G310" s="18">
        <v>9215.7833657544543</v>
      </c>
    </row>
    <row r="311" spans="1:7" ht="11.25" customHeight="1" x14ac:dyDescent="0.2">
      <c r="A311" s="28">
        <v>44621</v>
      </c>
      <c r="B311" s="18">
        <v>9797</v>
      </c>
      <c r="C311" s="18">
        <v>0</v>
      </c>
      <c r="D311" s="18">
        <v>9215.7833657544543</v>
      </c>
      <c r="E311" s="18">
        <v>0</v>
      </c>
      <c r="F311" s="18">
        <v>9797</v>
      </c>
      <c r="G311" s="18">
        <v>9215.7833657544543</v>
      </c>
    </row>
    <row r="312" spans="1:7" ht="11.25" customHeight="1" x14ac:dyDescent="0.2">
      <c r="A312" s="28">
        <v>44652</v>
      </c>
      <c r="B312" s="18">
        <v>9797</v>
      </c>
      <c r="C312" s="18">
        <v>0</v>
      </c>
      <c r="D312" s="18">
        <v>9215.7833657544543</v>
      </c>
      <c r="E312" s="18">
        <v>0</v>
      </c>
      <c r="F312" s="18">
        <v>9797</v>
      </c>
      <c r="G312" s="18">
        <v>9215.7833657544543</v>
      </c>
    </row>
    <row r="313" spans="1:7" ht="11.25" customHeight="1" x14ac:dyDescent="0.2">
      <c r="A313" s="28">
        <v>44682</v>
      </c>
      <c r="B313" s="18">
        <v>9797</v>
      </c>
      <c r="C313" s="18">
        <v>0</v>
      </c>
      <c r="D313" s="18">
        <v>9215.7833657544543</v>
      </c>
      <c r="E313" s="18">
        <v>0</v>
      </c>
      <c r="F313" s="18">
        <v>9797</v>
      </c>
      <c r="G313" s="18">
        <v>9215.7833657544543</v>
      </c>
    </row>
    <row r="314" spans="1:7" ht="11.25" customHeight="1" x14ac:dyDescent="0.2">
      <c r="A314" s="28">
        <v>44713</v>
      </c>
      <c r="B314" s="18">
        <v>9797</v>
      </c>
      <c r="C314" s="18">
        <v>0</v>
      </c>
      <c r="D314" s="18">
        <v>9215.7833657544543</v>
      </c>
      <c r="E314" s="18">
        <v>0</v>
      </c>
      <c r="F314" s="18">
        <v>9797</v>
      </c>
      <c r="G314" s="18">
        <v>9215.7833657544543</v>
      </c>
    </row>
    <row r="315" spans="1:7" ht="11.25" customHeight="1" x14ac:dyDescent="0.2">
      <c r="A315" s="26" t="s">
        <v>59</v>
      </c>
      <c r="B315" s="18">
        <v>179376</v>
      </c>
      <c r="C315" s="18">
        <v>0</v>
      </c>
      <c r="D315" s="18">
        <v>168734.34286164856</v>
      </c>
      <c r="E315" s="18">
        <v>0</v>
      </c>
      <c r="F315" s="18">
        <v>179376</v>
      </c>
      <c r="G315" s="18">
        <v>168734.34286164856</v>
      </c>
    </row>
    <row r="316" spans="1:7" ht="11.25" customHeight="1" x14ac:dyDescent="0.2">
      <c r="A316" s="27" t="s">
        <v>25</v>
      </c>
      <c r="B316" s="18">
        <v>179376</v>
      </c>
      <c r="C316" s="18">
        <v>0</v>
      </c>
      <c r="D316" s="18">
        <v>168734.34286164856</v>
      </c>
      <c r="E316" s="18">
        <v>0</v>
      </c>
      <c r="F316" s="18">
        <v>179376</v>
      </c>
      <c r="G316" s="18">
        <v>168734.34286164856</v>
      </c>
    </row>
    <row r="317" spans="1:7" ht="11.25" customHeight="1" x14ac:dyDescent="0.2">
      <c r="A317" s="28">
        <v>44378</v>
      </c>
      <c r="B317" s="18">
        <v>14948</v>
      </c>
      <c r="C317" s="18">
        <v>0</v>
      </c>
      <c r="D317" s="18">
        <v>14061.195238470715</v>
      </c>
      <c r="E317" s="18">
        <v>0</v>
      </c>
      <c r="F317" s="18">
        <v>14948</v>
      </c>
      <c r="G317" s="18">
        <v>14061.195238470715</v>
      </c>
    </row>
    <row r="318" spans="1:7" ht="11.25" customHeight="1" x14ac:dyDescent="0.2">
      <c r="A318" s="28">
        <v>44409</v>
      </c>
      <c r="B318" s="18">
        <v>14948</v>
      </c>
      <c r="C318" s="18">
        <v>0</v>
      </c>
      <c r="D318" s="18">
        <v>14061.195238470715</v>
      </c>
      <c r="E318" s="18">
        <v>0</v>
      </c>
      <c r="F318" s="18">
        <v>14948</v>
      </c>
      <c r="G318" s="18">
        <v>14061.195238470715</v>
      </c>
    </row>
    <row r="319" spans="1:7" ht="11.25" customHeight="1" x14ac:dyDescent="0.2">
      <c r="A319" s="28">
        <v>44440</v>
      </c>
      <c r="B319" s="18">
        <v>14948</v>
      </c>
      <c r="C319" s="18">
        <v>0</v>
      </c>
      <c r="D319" s="18">
        <v>14061.195238470715</v>
      </c>
      <c r="E319" s="18">
        <v>0</v>
      </c>
      <c r="F319" s="18">
        <v>14948</v>
      </c>
      <c r="G319" s="18">
        <v>14061.195238470715</v>
      </c>
    </row>
    <row r="320" spans="1:7" ht="11.25" customHeight="1" x14ac:dyDescent="0.2">
      <c r="A320" s="28">
        <v>44470</v>
      </c>
      <c r="B320" s="18">
        <v>14948</v>
      </c>
      <c r="C320" s="18">
        <v>0</v>
      </c>
      <c r="D320" s="18">
        <v>14061.195238470715</v>
      </c>
      <c r="E320" s="18">
        <v>0</v>
      </c>
      <c r="F320" s="18">
        <v>14948</v>
      </c>
      <c r="G320" s="18">
        <v>14061.195238470715</v>
      </c>
    </row>
    <row r="321" spans="1:7" ht="11.25" customHeight="1" x14ac:dyDescent="0.2">
      <c r="A321" s="28">
        <v>44501</v>
      </c>
      <c r="B321" s="18">
        <v>14948</v>
      </c>
      <c r="C321" s="18">
        <v>0</v>
      </c>
      <c r="D321" s="18">
        <v>14061.195238470715</v>
      </c>
      <c r="E321" s="18">
        <v>0</v>
      </c>
      <c r="F321" s="18">
        <v>14948</v>
      </c>
      <c r="G321" s="18">
        <v>14061.195238470715</v>
      </c>
    </row>
    <row r="322" spans="1:7" ht="11.25" customHeight="1" x14ac:dyDescent="0.2">
      <c r="A322" s="28">
        <v>44531</v>
      </c>
      <c r="B322" s="18">
        <v>14948</v>
      </c>
      <c r="C322" s="18">
        <v>0</v>
      </c>
      <c r="D322" s="18">
        <v>14061.195238470715</v>
      </c>
      <c r="E322" s="18">
        <v>0</v>
      </c>
      <c r="F322" s="18">
        <v>14948</v>
      </c>
      <c r="G322" s="18">
        <v>14061.195238470715</v>
      </c>
    </row>
    <row r="323" spans="1:7" ht="11.25" customHeight="1" x14ac:dyDescent="0.2">
      <c r="A323" s="28">
        <v>44562</v>
      </c>
      <c r="B323" s="18">
        <v>14948</v>
      </c>
      <c r="C323" s="18">
        <v>0</v>
      </c>
      <c r="D323" s="18">
        <v>14061.195238470715</v>
      </c>
      <c r="E323" s="18">
        <v>0</v>
      </c>
      <c r="F323" s="18">
        <v>14948</v>
      </c>
      <c r="G323" s="18">
        <v>14061.195238470715</v>
      </c>
    </row>
    <row r="324" spans="1:7" ht="11.25" customHeight="1" x14ac:dyDescent="0.2">
      <c r="A324" s="28">
        <v>44593</v>
      </c>
      <c r="B324" s="18">
        <v>14948</v>
      </c>
      <c r="C324" s="18">
        <v>0</v>
      </c>
      <c r="D324" s="18">
        <v>14061.195238470715</v>
      </c>
      <c r="E324" s="18">
        <v>0</v>
      </c>
      <c r="F324" s="18">
        <v>14948</v>
      </c>
      <c r="G324" s="18">
        <v>14061.195238470715</v>
      </c>
    </row>
    <row r="325" spans="1:7" ht="11.25" customHeight="1" x14ac:dyDescent="0.2">
      <c r="A325" s="28">
        <v>44621</v>
      </c>
      <c r="B325" s="18">
        <v>14948</v>
      </c>
      <c r="C325" s="18">
        <v>0</v>
      </c>
      <c r="D325" s="18">
        <v>14061.195238470715</v>
      </c>
      <c r="E325" s="18">
        <v>0</v>
      </c>
      <c r="F325" s="18">
        <v>14948</v>
      </c>
      <c r="G325" s="18">
        <v>14061.195238470715</v>
      </c>
    </row>
    <row r="326" spans="1:7" ht="11.25" customHeight="1" x14ac:dyDescent="0.2">
      <c r="A326" s="28">
        <v>44652</v>
      </c>
      <c r="B326" s="18">
        <v>14948</v>
      </c>
      <c r="C326" s="18">
        <v>0</v>
      </c>
      <c r="D326" s="18">
        <v>14061.195238470715</v>
      </c>
      <c r="E326" s="18">
        <v>0</v>
      </c>
      <c r="F326" s="18">
        <v>14948</v>
      </c>
      <c r="G326" s="18">
        <v>14061.195238470715</v>
      </c>
    </row>
    <row r="327" spans="1:7" ht="11.25" customHeight="1" x14ac:dyDescent="0.2">
      <c r="A327" s="28">
        <v>44682</v>
      </c>
      <c r="B327" s="18">
        <v>14948</v>
      </c>
      <c r="C327" s="18">
        <v>0</v>
      </c>
      <c r="D327" s="18">
        <v>14061.195238470715</v>
      </c>
      <c r="E327" s="18">
        <v>0</v>
      </c>
      <c r="F327" s="18">
        <v>14948</v>
      </c>
      <c r="G327" s="18">
        <v>14061.195238470715</v>
      </c>
    </row>
    <row r="328" spans="1:7" ht="11.25" customHeight="1" x14ac:dyDescent="0.2">
      <c r="A328" s="28">
        <v>44713</v>
      </c>
      <c r="B328" s="18">
        <v>14948</v>
      </c>
      <c r="C328" s="18">
        <v>0</v>
      </c>
      <c r="D328" s="18">
        <v>14061.195238470715</v>
      </c>
      <c r="E328" s="18">
        <v>0</v>
      </c>
      <c r="F328" s="18">
        <v>14948</v>
      </c>
      <c r="G328" s="18">
        <v>14061.195238470715</v>
      </c>
    </row>
    <row r="329" spans="1:7" ht="11.25" customHeight="1" x14ac:dyDescent="0.2">
      <c r="A329" s="20" t="s">
        <v>639</v>
      </c>
      <c r="B329" s="18">
        <v>0</v>
      </c>
      <c r="C329" s="18">
        <v>5048852.6460190015</v>
      </c>
      <c r="D329" s="18">
        <v>0</v>
      </c>
      <c r="E329" s="18">
        <v>5690781.989522012</v>
      </c>
      <c r="F329" s="18">
        <v>5048852.6460189987</v>
      </c>
      <c r="G329" s="18">
        <v>5690781.989522012</v>
      </c>
    </row>
    <row r="330" spans="1:7" ht="11.25" customHeight="1" x14ac:dyDescent="0.2">
      <c r="A330" s="21" t="s">
        <v>35</v>
      </c>
      <c r="B330" s="18">
        <v>0</v>
      </c>
      <c r="C330" s="18">
        <v>3906665.4826290007</v>
      </c>
      <c r="D330" s="18">
        <v>0</v>
      </c>
      <c r="E330" s="18">
        <v>4456783.9386115894</v>
      </c>
      <c r="F330" s="18">
        <v>3906665.4826289993</v>
      </c>
      <c r="G330" s="18">
        <v>4456783.9386115903</v>
      </c>
    </row>
    <row r="331" spans="1:7" ht="11.25" customHeight="1" x14ac:dyDescent="0.2">
      <c r="A331" s="22" t="s">
        <v>39</v>
      </c>
      <c r="B331" s="18">
        <v>0</v>
      </c>
      <c r="C331" s="18">
        <v>3906665.4826290007</v>
      </c>
      <c r="D331" s="18">
        <v>0</v>
      </c>
      <c r="E331" s="18">
        <v>4456783.9386115894</v>
      </c>
      <c r="F331" s="18">
        <v>3906665.4826289993</v>
      </c>
      <c r="G331" s="18">
        <v>4456783.9386115903</v>
      </c>
    </row>
    <row r="332" spans="1:7" ht="11.25" customHeight="1" x14ac:dyDescent="0.2">
      <c r="A332" s="23" t="s">
        <v>42</v>
      </c>
      <c r="B332" s="18">
        <v>0</v>
      </c>
      <c r="C332" s="18">
        <v>3906665.4826290007</v>
      </c>
      <c r="D332" s="18">
        <v>0</v>
      </c>
      <c r="E332" s="18">
        <v>4456783.9386115894</v>
      </c>
      <c r="F332" s="18">
        <v>3906665.4826289993</v>
      </c>
      <c r="G332" s="18">
        <v>4456783.9386115903</v>
      </c>
    </row>
    <row r="333" spans="1:7" ht="11.25" customHeight="1" x14ac:dyDescent="0.2">
      <c r="A333" s="24" t="s">
        <v>50</v>
      </c>
      <c r="B333" s="18">
        <v>0</v>
      </c>
      <c r="C333" s="18">
        <v>3906665.4826290007</v>
      </c>
      <c r="D333" s="18">
        <v>0</v>
      </c>
      <c r="E333" s="18">
        <v>4456783.9386115894</v>
      </c>
      <c r="F333" s="18">
        <v>3906665.4826289993</v>
      </c>
      <c r="G333" s="18">
        <v>4456783.9386115903</v>
      </c>
    </row>
    <row r="334" spans="1:7" ht="11.25" customHeight="1" x14ac:dyDescent="0.2">
      <c r="A334" s="25" t="s">
        <v>52</v>
      </c>
      <c r="B334" s="18">
        <v>0</v>
      </c>
      <c r="C334" s="18">
        <v>3906665.4826290007</v>
      </c>
      <c r="D334" s="18">
        <v>0</v>
      </c>
      <c r="E334" s="18">
        <v>4456783.9386115894</v>
      </c>
      <c r="F334" s="18">
        <v>3906665.4826289993</v>
      </c>
      <c r="G334" s="18">
        <v>4456783.9386115903</v>
      </c>
    </row>
    <row r="335" spans="1:7" ht="11.25" customHeight="1" x14ac:dyDescent="0.2">
      <c r="A335" s="26" t="s">
        <v>25</v>
      </c>
      <c r="B335" s="18">
        <v>0</v>
      </c>
      <c r="C335" s="18">
        <v>3906665.4826290007</v>
      </c>
      <c r="D335" s="18">
        <v>0</v>
      </c>
      <c r="E335" s="18">
        <v>4456783.9386115894</v>
      </c>
      <c r="F335" s="18">
        <v>3906665.4826289993</v>
      </c>
      <c r="G335" s="18">
        <v>4456783.9386115903</v>
      </c>
    </row>
    <row r="336" spans="1:7" ht="11.25" customHeight="1" x14ac:dyDescent="0.2">
      <c r="A336" s="27" t="s">
        <v>38</v>
      </c>
      <c r="B336" s="18">
        <v>0</v>
      </c>
      <c r="C336" s="18">
        <v>3906665.4826290007</v>
      </c>
      <c r="D336" s="18">
        <v>0</v>
      </c>
      <c r="E336" s="18">
        <v>4456783.9386115894</v>
      </c>
      <c r="F336" s="18">
        <v>3906665.4826289993</v>
      </c>
      <c r="G336" s="18">
        <v>4456783.9386115903</v>
      </c>
    </row>
    <row r="337" spans="1:7" ht="11.25" customHeight="1" x14ac:dyDescent="0.2">
      <c r="A337" s="28">
        <v>44378</v>
      </c>
      <c r="B337" s="18">
        <v>0</v>
      </c>
      <c r="C337" s="18">
        <v>15004.545192000001</v>
      </c>
      <c r="D337" s="18">
        <v>0</v>
      </c>
      <c r="E337" s="18">
        <v>17117.415431452726</v>
      </c>
      <c r="F337" s="18">
        <v>15004.545192000001</v>
      </c>
      <c r="G337" s="18">
        <v>17117.415431452726</v>
      </c>
    </row>
    <row r="338" spans="1:7" ht="11.25" customHeight="1" x14ac:dyDescent="0.2">
      <c r="A338" s="28">
        <v>44409</v>
      </c>
      <c r="B338" s="18">
        <v>0</v>
      </c>
      <c r="C338" s="18">
        <v>29374.274475000002</v>
      </c>
      <c r="D338" s="18">
        <v>0</v>
      </c>
      <c r="E338" s="18">
        <v>33510.623131328088</v>
      </c>
      <c r="F338" s="18">
        <v>29374.274475000002</v>
      </c>
      <c r="G338" s="18">
        <v>33510.623131328088</v>
      </c>
    </row>
    <row r="339" spans="1:7" ht="11.25" customHeight="1" x14ac:dyDescent="0.2">
      <c r="A339" s="28">
        <v>44440</v>
      </c>
      <c r="B339" s="18">
        <v>0</v>
      </c>
      <c r="C339" s="18">
        <v>95090.289021000004</v>
      </c>
      <c r="D339" s="18">
        <v>0</v>
      </c>
      <c r="E339" s="18">
        <v>108480.4610763683</v>
      </c>
      <c r="F339" s="18">
        <v>95090.289021000004</v>
      </c>
      <c r="G339" s="18">
        <v>108480.4610763683</v>
      </c>
    </row>
    <row r="340" spans="1:7" ht="11.25" customHeight="1" x14ac:dyDescent="0.2">
      <c r="A340" s="28">
        <v>44470</v>
      </c>
      <c r="B340" s="18">
        <v>0</v>
      </c>
      <c r="C340" s="18">
        <v>44524.108902</v>
      </c>
      <c r="D340" s="18">
        <v>0</v>
      </c>
      <c r="E340" s="18">
        <v>50793.786751838823</v>
      </c>
      <c r="F340" s="18">
        <v>44524.108902</v>
      </c>
      <c r="G340" s="18">
        <v>50793.786751838823</v>
      </c>
    </row>
    <row r="341" spans="1:7" ht="11.25" customHeight="1" x14ac:dyDescent="0.2">
      <c r="A341" s="28">
        <v>44501</v>
      </c>
      <c r="B341" s="18">
        <v>0</v>
      </c>
      <c r="C341" s="18">
        <v>89172.649566000007</v>
      </c>
      <c r="D341" s="18">
        <v>0</v>
      </c>
      <c r="E341" s="18">
        <v>101729.5271674353</v>
      </c>
      <c r="F341" s="18">
        <v>89172.649566000007</v>
      </c>
      <c r="G341" s="18">
        <v>101729.5271674353</v>
      </c>
    </row>
    <row r="342" spans="1:7" ht="11.25" customHeight="1" x14ac:dyDescent="0.2">
      <c r="A342" s="28">
        <v>44531</v>
      </c>
      <c r="B342" s="18">
        <v>0</v>
      </c>
      <c r="C342" s="18">
        <v>783491.89846199995</v>
      </c>
      <c r="D342" s="18">
        <v>0</v>
      </c>
      <c r="E342" s="18">
        <v>893819.58210250759</v>
      </c>
      <c r="F342" s="18">
        <v>783491.89846199995</v>
      </c>
      <c r="G342" s="18">
        <v>893819.58210250759</v>
      </c>
    </row>
    <row r="343" spans="1:7" ht="11.25" customHeight="1" x14ac:dyDescent="0.2">
      <c r="A343" s="28">
        <v>44562</v>
      </c>
      <c r="B343" s="18">
        <v>0</v>
      </c>
      <c r="C343" s="18">
        <v>1119843.9647850003</v>
      </c>
      <c r="D343" s="18">
        <v>0</v>
      </c>
      <c r="E343" s="18">
        <v>1277535.1813962511</v>
      </c>
      <c r="F343" s="18">
        <v>1119843.9647850003</v>
      </c>
      <c r="G343" s="18">
        <v>1277535.1813962511</v>
      </c>
    </row>
    <row r="344" spans="1:7" ht="11.25" customHeight="1" x14ac:dyDescent="0.2">
      <c r="A344" s="28">
        <v>44593</v>
      </c>
      <c r="B344" s="18">
        <v>0</v>
      </c>
      <c r="C344" s="18">
        <v>847334.84062499984</v>
      </c>
      <c r="D344" s="18">
        <v>0</v>
      </c>
      <c r="E344" s="18">
        <v>966652.59032677184</v>
      </c>
      <c r="F344" s="18">
        <v>847334.84062499984</v>
      </c>
      <c r="G344" s="18">
        <v>966652.59032677184</v>
      </c>
    </row>
    <row r="345" spans="1:7" ht="11.25" customHeight="1" x14ac:dyDescent="0.2">
      <c r="A345" s="28">
        <v>44621</v>
      </c>
      <c r="B345" s="18">
        <v>0</v>
      </c>
      <c r="C345" s="18">
        <v>636565.61923499987</v>
      </c>
      <c r="D345" s="18">
        <v>0</v>
      </c>
      <c r="E345" s="18">
        <v>726203.82786644401</v>
      </c>
      <c r="F345" s="18">
        <v>636565.61923499987</v>
      </c>
      <c r="G345" s="18">
        <v>726203.82786644401</v>
      </c>
    </row>
    <row r="346" spans="1:7" ht="11.25" customHeight="1" x14ac:dyDescent="0.2">
      <c r="A346" s="28">
        <v>44652</v>
      </c>
      <c r="B346" s="18">
        <v>0</v>
      </c>
      <c r="C346" s="18">
        <v>156432.83019000001</v>
      </c>
      <c r="D346" s="18">
        <v>0</v>
      </c>
      <c r="E346" s="18">
        <v>178460.97347274594</v>
      </c>
      <c r="F346" s="18">
        <v>156432.83019000001</v>
      </c>
      <c r="G346" s="18">
        <v>178460.97347274594</v>
      </c>
    </row>
    <row r="347" spans="1:7" ht="11.25" customHeight="1" x14ac:dyDescent="0.2">
      <c r="A347" s="28">
        <v>44682</v>
      </c>
      <c r="B347" s="18">
        <v>0</v>
      </c>
      <c r="C347" s="18">
        <v>50165.609676</v>
      </c>
      <c r="D347" s="18">
        <v>0</v>
      </c>
      <c r="E347" s="18">
        <v>57229.697415556053</v>
      </c>
      <c r="F347" s="18">
        <v>50165.609676</v>
      </c>
      <c r="G347" s="18">
        <v>57229.697415556053</v>
      </c>
    </row>
    <row r="348" spans="1:7" ht="11.25" customHeight="1" x14ac:dyDescent="0.2">
      <c r="A348" s="28">
        <v>44713</v>
      </c>
      <c r="B348" s="18">
        <v>0</v>
      </c>
      <c r="C348" s="18">
        <v>39664.852500000008</v>
      </c>
      <c r="D348" s="18">
        <v>0</v>
      </c>
      <c r="E348" s="18">
        <v>45250.272472890305</v>
      </c>
      <c r="F348" s="18">
        <v>39664.852500000008</v>
      </c>
      <c r="G348" s="18">
        <v>45250.272472890305</v>
      </c>
    </row>
    <row r="349" spans="1:7" ht="11.25" customHeight="1" x14ac:dyDescent="0.2">
      <c r="A349" s="21" t="s">
        <v>41</v>
      </c>
      <c r="B349" s="18">
        <v>0</v>
      </c>
      <c r="C349" s="18">
        <v>1142187.1633900001</v>
      </c>
      <c r="D349" s="18">
        <v>0</v>
      </c>
      <c r="E349" s="18">
        <v>1233998.0509104221</v>
      </c>
      <c r="F349" s="18">
        <v>1142187.1633899999</v>
      </c>
      <c r="G349" s="18">
        <v>1233998.0509104223</v>
      </c>
    </row>
    <row r="350" spans="1:7" ht="11.25" customHeight="1" x14ac:dyDescent="0.2">
      <c r="A350" s="22" t="s">
        <v>23</v>
      </c>
      <c r="B350" s="18">
        <v>0</v>
      </c>
      <c r="C350" s="18">
        <v>1142187.1633900001</v>
      </c>
      <c r="D350" s="18">
        <v>0</v>
      </c>
      <c r="E350" s="18">
        <v>1233998.0509104221</v>
      </c>
      <c r="F350" s="18">
        <v>1142187.1633899999</v>
      </c>
      <c r="G350" s="18">
        <v>1233998.0509104223</v>
      </c>
    </row>
    <row r="351" spans="1:7" ht="11.25" customHeight="1" x14ac:dyDescent="0.2">
      <c r="A351" s="23" t="s">
        <v>42</v>
      </c>
      <c r="B351" s="18">
        <v>0</v>
      </c>
      <c r="C351" s="18">
        <v>1142187.1633900001</v>
      </c>
      <c r="D351" s="18">
        <v>0</v>
      </c>
      <c r="E351" s="18">
        <v>1233998.0509104221</v>
      </c>
      <c r="F351" s="18">
        <v>1142187.1633899999</v>
      </c>
      <c r="G351" s="18">
        <v>1233998.0509104223</v>
      </c>
    </row>
    <row r="352" spans="1:7" ht="11.25" customHeight="1" x14ac:dyDescent="0.2">
      <c r="A352" s="24" t="s">
        <v>50</v>
      </c>
      <c r="B352" s="18">
        <v>0</v>
      </c>
      <c r="C352" s="18">
        <v>1142187.1633900001</v>
      </c>
      <c r="D352" s="18">
        <v>0</v>
      </c>
      <c r="E352" s="18">
        <v>1233998.0509104221</v>
      </c>
      <c r="F352" s="18">
        <v>1142187.1633899999</v>
      </c>
      <c r="G352" s="18">
        <v>1233998.0509104223</v>
      </c>
    </row>
    <row r="353" spans="1:7" ht="11.25" customHeight="1" x14ac:dyDescent="0.2">
      <c r="A353" s="25" t="s">
        <v>52</v>
      </c>
      <c r="B353" s="18">
        <v>0</v>
      </c>
      <c r="C353" s="18">
        <v>1142187.1633900001</v>
      </c>
      <c r="D353" s="18">
        <v>0</v>
      </c>
      <c r="E353" s="18">
        <v>1233998.0509104221</v>
      </c>
      <c r="F353" s="18">
        <v>1142187.1633899999</v>
      </c>
      <c r="G353" s="18">
        <v>1233998.0509104223</v>
      </c>
    </row>
    <row r="354" spans="1:7" ht="11.25" customHeight="1" x14ac:dyDescent="0.2">
      <c r="A354" s="26" t="s">
        <v>25</v>
      </c>
      <c r="B354" s="18">
        <v>0</v>
      </c>
      <c r="C354" s="18">
        <v>1142187.1633900001</v>
      </c>
      <c r="D354" s="18">
        <v>0</v>
      </c>
      <c r="E354" s="18">
        <v>1233998.0509104221</v>
      </c>
      <c r="F354" s="18">
        <v>1142187.1633899999</v>
      </c>
      <c r="G354" s="18">
        <v>1233998.0509104223</v>
      </c>
    </row>
    <row r="355" spans="1:7" ht="11.25" customHeight="1" x14ac:dyDescent="0.2">
      <c r="A355" s="27" t="s">
        <v>25</v>
      </c>
      <c r="B355" s="18">
        <v>0</v>
      </c>
      <c r="C355" s="18">
        <v>1142187.1633900001</v>
      </c>
      <c r="D355" s="18">
        <v>0</v>
      </c>
      <c r="E355" s="18">
        <v>1233998.0509104221</v>
      </c>
      <c r="F355" s="18">
        <v>1142187.1633899999</v>
      </c>
      <c r="G355" s="18">
        <v>1233998.0509104223</v>
      </c>
    </row>
    <row r="356" spans="1:7" ht="11.25" customHeight="1" x14ac:dyDescent="0.2">
      <c r="A356" s="28">
        <v>44378</v>
      </c>
      <c r="B356" s="18">
        <v>0</v>
      </c>
      <c r="C356" s="18">
        <v>11488.675926000002</v>
      </c>
      <c r="D356" s="18">
        <v>0</v>
      </c>
      <c r="E356" s="18">
        <v>12412.15464035534</v>
      </c>
      <c r="F356" s="18">
        <v>11488.675926000002</v>
      </c>
      <c r="G356" s="18">
        <v>12412.15464035534</v>
      </c>
    </row>
    <row r="357" spans="1:7" ht="11.25" customHeight="1" x14ac:dyDescent="0.2">
      <c r="A357" s="28">
        <v>44409</v>
      </c>
      <c r="B357" s="18">
        <v>0</v>
      </c>
      <c r="C357" s="18">
        <v>18681.157586000001</v>
      </c>
      <c r="D357" s="18">
        <v>0</v>
      </c>
      <c r="E357" s="18">
        <v>20182.77983570996</v>
      </c>
      <c r="F357" s="18">
        <v>18681.157586000001</v>
      </c>
      <c r="G357" s="18">
        <v>20182.77983570996</v>
      </c>
    </row>
    <row r="358" spans="1:7" ht="11.25" customHeight="1" x14ac:dyDescent="0.2">
      <c r="A358" s="28">
        <v>44440</v>
      </c>
      <c r="B358" s="18">
        <v>0</v>
      </c>
      <c r="C358" s="18">
        <v>29902.972554</v>
      </c>
      <c r="D358" s="18">
        <v>0</v>
      </c>
      <c r="E358" s="18">
        <v>32306.622794240127</v>
      </c>
      <c r="F358" s="18">
        <v>29902.972554</v>
      </c>
      <c r="G358" s="18">
        <v>32306.622794240127</v>
      </c>
    </row>
    <row r="359" spans="1:7" ht="11.25" customHeight="1" x14ac:dyDescent="0.2">
      <c r="A359" s="28">
        <v>44470</v>
      </c>
      <c r="B359" s="18">
        <v>0</v>
      </c>
      <c r="C359" s="18">
        <v>14232.980216000002</v>
      </c>
      <c r="D359" s="18">
        <v>0</v>
      </c>
      <c r="E359" s="18">
        <v>15377.050634208143</v>
      </c>
      <c r="F359" s="18">
        <v>14232.980216000002</v>
      </c>
      <c r="G359" s="18">
        <v>15377.050634208143</v>
      </c>
    </row>
    <row r="360" spans="1:7" ht="11.25" customHeight="1" x14ac:dyDescent="0.2">
      <c r="A360" s="28">
        <v>44501</v>
      </c>
      <c r="B360" s="18">
        <v>0</v>
      </c>
      <c r="C360" s="18">
        <v>38999.992486000003</v>
      </c>
      <c r="D360" s="18">
        <v>0</v>
      </c>
      <c r="E360" s="18">
        <v>42134.876188249116</v>
      </c>
      <c r="F360" s="18">
        <v>38999.992486000003</v>
      </c>
      <c r="G360" s="18">
        <v>42134.876188249116</v>
      </c>
    </row>
    <row r="361" spans="1:7" ht="11.25" customHeight="1" x14ac:dyDescent="0.2">
      <c r="A361" s="28">
        <v>44531</v>
      </c>
      <c r="B361" s="18">
        <v>0</v>
      </c>
      <c r="C361" s="18">
        <v>228100.81385000004</v>
      </c>
      <c r="D361" s="18">
        <v>0</v>
      </c>
      <c r="E361" s="18">
        <v>246435.93337764649</v>
      </c>
      <c r="F361" s="18">
        <v>228100.81385000004</v>
      </c>
      <c r="G361" s="18">
        <v>246435.93337764649</v>
      </c>
    </row>
    <row r="362" spans="1:7" ht="11.25" customHeight="1" x14ac:dyDescent="0.2">
      <c r="A362" s="28">
        <v>44562</v>
      </c>
      <c r="B362" s="18">
        <v>0</v>
      </c>
      <c r="C362" s="18">
        <v>310301.70680600003</v>
      </c>
      <c r="D362" s="18">
        <v>0</v>
      </c>
      <c r="E362" s="18">
        <v>335244.26964868279</v>
      </c>
      <c r="F362" s="18">
        <v>310301.70680600003</v>
      </c>
      <c r="G362" s="18">
        <v>335244.26964868279</v>
      </c>
    </row>
    <row r="363" spans="1:7" ht="11.25" customHeight="1" x14ac:dyDescent="0.2">
      <c r="A363" s="28">
        <v>44593</v>
      </c>
      <c r="B363" s="18">
        <v>0</v>
      </c>
      <c r="C363" s="18">
        <v>217735.68489400003</v>
      </c>
      <c r="D363" s="18">
        <v>0</v>
      </c>
      <c r="E363" s="18">
        <v>235237.63826533142</v>
      </c>
      <c r="F363" s="18">
        <v>217735.68489400003</v>
      </c>
      <c r="G363" s="18">
        <v>235237.63826533142</v>
      </c>
    </row>
    <row r="364" spans="1:7" ht="11.25" customHeight="1" x14ac:dyDescent="0.2">
      <c r="A364" s="28">
        <v>44621</v>
      </c>
      <c r="B364" s="18">
        <v>0</v>
      </c>
      <c r="C364" s="18">
        <v>169759.48717000004</v>
      </c>
      <c r="D364" s="18">
        <v>0</v>
      </c>
      <c r="E364" s="18">
        <v>183405.03466138573</v>
      </c>
      <c r="F364" s="18">
        <v>169759.48717000004</v>
      </c>
      <c r="G364" s="18">
        <v>183405.03466138573</v>
      </c>
    </row>
    <row r="365" spans="1:7" ht="11.25" customHeight="1" x14ac:dyDescent="0.2">
      <c r="A365" s="28">
        <v>44652</v>
      </c>
      <c r="B365" s="18">
        <v>0</v>
      </c>
      <c r="C365" s="18">
        <v>52319.293025999999</v>
      </c>
      <c r="D365" s="18">
        <v>0</v>
      </c>
      <c r="E365" s="18">
        <v>56524.804067554178</v>
      </c>
      <c r="F365" s="18">
        <v>52319.293025999999</v>
      </c>
      <c r="G365" s="18">
        <v>56524.804067554178</v>
      </c>
    </row>
    <row r="366" spans="1:7" ht="11.25" customHeight="1" x14ac:dyDescent="0.2">
      <c r="A366" s="28">
        <v>44682</v>
      </c>
      <c r="B366" s="18">
        <v>0</v>
      </c>
      <c r="C366" s="18">
        <v>27653.207036000003</v>
      </c>
      <c r="D366" s="18">
        <v>0</v>
      </c>
      <c r="E366" s="18">
        <v>29876.01741431472</v>
      </c>
      <c r="F366" s="18">
        <v>27653.207036000003</v>
      </c>
      <c r="G366" s="18">
        <v>29876.01741431472</v>
      </c>
    </row>
    <row r="367" spans="1:7" ht="11.25" customHeight="1" x14ac:dyDescent="0.2">
      <c r="A367" s="28">
        <v>44713</v>
      </c>
      <c r="B367" s="18">
        <v>0</v>
      </c>
      <c r="C367" s="18">
        <v>23011.19184</v>
      </c>
      <c r="D367" s="18">
        <v>0</v>
      </c>
      <c r="E367" s="18">
        <v>24860.86938274412</v>
      </c>
      <c r="F367" s="18">
        <v>23011.19184</v>
      </c>
      <c r="G367" s="18">
        <v>24860.86938274412</v>
      </c>
    </row>
    <row r="368" spans="1:7" ht="11.25" customHeight="1" x14ac:dyDescent="0.2">
      <c r="A368" s="20" t="s">
        <v>638</v>
      </c>
      <c r="B368" s="18">
        <v>444763.33720000036</v>
      </c>
      <c r="C368" s="18">
        <v>16181649.133704403</v>
      </c>
      <c r="D368" s="18">
        <v>471551.7391190264</v>
      </c>
      <c r="E368" s="18">
        <v>12673214.806192584</v>
      </c>
      <c r="F368" s="18">
        <v>16626412.470904404</v>
      </c>
      <c r="G368" s="18">
        <v>13144766.545311622</v>
      </c>
    </row>
    <row r="369" spans="1:7" ht="11.25" customHeight="1" x14ac:dyDescent="0.2">
      <c r="A369" s="21" t="s">
        <v>35</v>
      </c>
      <c r="B369" s="18">
        <v>444763.33720000036</v>
      </c>
      <c r="C369" s="18">
        <v>5084046.8005184019</v>
      </c>
      <c r="D369" s="18">
        <v>471551.7391190264</v>
      </c>
      <c r="E369" s="18">
        <v>5755708.9160906477</v>
      </c>
      <c r="F369" s="18">
        <v>5528810.1377183991</v>
      </c>
      <c r="G369" s="18">
        <v>6227260.6552096792</v>
      </c>
    </row>
    <row r="370" spans="1:7" ht="11.25" customHeight="1" x14ac:dyDescent="0.2">
      <c r="A370" s="22" t="s">
        <v>39</v>
      </c>
      <c r="B370" s="18">
        <v>444763.33720000036</v>
      </c>
      <c r="C370" s="18">
        <v>5084046.8005184019</v>
      </c>
      <c r="D370" s="18">
        <v>471551.7391190264</v>
      </c>
      <c r="E370" s="18">
        <v>5755708.9160906477</v>
      </c>
      <c r="F370" s="18">
        <v>5528810.1377183991</v>
      </c>
      <c r="G370" s="18">
        <v>6227260.6552096792</v>
      </c>
    </row>
    <row r="371" spans="1:7" ht="11.25" customHeight="1" x14ac:dyDescent="0.2">
      <c r="A371" s="23" t="s">
        <v>42</v>
      </c>
      <c r="B371" s="18">
        <v>444763.33720000036</v>
      </c>
      <c r="C371" s="18">
        <v>5084046.8005184019</v>
      </c>
      <c r="D371" s="18">
        <v>471551.7391190264</v>
      </c>
      <c r="E371" s="18">
        <v>5755708.9160906477</v>
      </c>
      <c r="F371" s="18">
        <v>5528810.1377183991</v>
      </c>
      <c r="G371" s="18">
        <v>6227260.6552096792</v>
      </c>
    </row>
    <row r="372" spans="1:7" ht="11.25" customHeight="1" x14ac:dyDescent="0.2">
      <c r="A372" s="24" t="s">
        <v>50</v>
      </c>
      <c r="B372" s="18">
        <v>309207.97120000026</v>
      </c>
      <c r="C372" s="18">
        <v>4770030.4679299993</v>
      </c>
      <c r="D372" s="18">
        <v>327831.78012548154</v>
      </c>
      <c r="E372" s="18">
        <v>5405545.6178096849</v>
      </c>
      <c r="F372" s="18">
        <v>5079238.4391300008</v>
      </c>
      <c r="G372" s="18">
        <v>5733377.3979351688</v>
      </c>
    </row>
    <row r="373" spans="1:7" ht="11.25" customHeight="1" x14ac:dyDescent="0.2">
      <c r="A373" s="25" t="s">
        <v>51</v>
      </c>
      <c r="B373" s="18">
        <v>0</v>
      </c>
      <c r="C373" s="18">
        <v>4770030.4679299993</v>
      </c>
      <c r="D373" s="18">
        <v>0</v>
      </c>
      <c r="E373" s="18">
        <v>5405545.6178096849</v>
      </c>
      <c r="F373" s="18">
        <v>4770030.4679300003</v>
      </c>
      <c r="G373" s="18">
        <v>5405545.6178096877</v>
      </c>
    </row>
    <row r="374" spans="1:7" ht="11.25" customHeight="1" x14ac:dyDescent="0.2">
      <c r="A374" s="26" t="s">
        <v>25</v>
      </c>
      <c r="B374" s="18">
        <v>0</v>
      </c>
      <c r="C374" s="18">
        <v>4770030.4679299993</v>
      </c>
      <c r="D374" s="18">
        <v>0</v>
      </c>
      <c r="E374" s="18">
        <v>5405545.6178096849</v>
      </c>
      <c r="F374" s="18">
        <v>4770030.4679300003</v>
      </c>
      <c r="G374" s="18">
        <v>5405545.6178096877</v>
      </c>
    </row>
    <row r="375" spans="1:7" ht="11.25" customHeight="1" x14ac:dyDescent="0.2">
      <c r="A375" s="27" t="s">
        <v>38</v>
      </c>
      <c r="B375" s="18">
        <v>0</v>
      </c>
      <c r="C375" s="18">
        <v>4302176.829678</v>
      </c>
      <c r="D375" s="18">
        <v>0</v>
      </c>
      <c r="E375" s="18">
        <v>4907989.3532815967</v>
      </c>
      <c r="F375" s="18">
        <v>4302176.8296780009</v>
      </c>
      <c r="G375" s="18">
        <v>4907989.3532815985</v>
      </c>
    </row>
    <row r="376" spans="1:7" ht="11.25" customHeight="1" x14ac:dyDescent="0.2">
      <c r="A376" s="28">
        <v>44378</v>
      </c>
      <c r="B376" s="18">
        <v>0</v>
      </c>
      <c r="C376" s="18">
        <v>22013.725734</v>
      </c>
      <c r="D376" s="18">
        <v>0</v>
      </c>
      <c r="E376" s="18">
        <v>25113.596164437447</v>
      </c>
      <c r="F376" s="18">
        <v>22013.725734</v>
      </c>
      <c r="G376" s="18">
        <v>25113.596164437447</v>
      </c>
    </row>
    <row r="377" spans="1:7" ht="11.25" customHeight="1" x14ac:dyDescent="0.2">
      <c r="A377" s="28">
        <v>44409</v>
      </c>
      <c r="B377" s="18">
        <v>0</v>
      </c>
      <c r="C377" s="18">
        <v>38757.106752</v>
      </c>
      <c r="D377" s="18">
        <v>0</v>
      </c>
      <c r="E377" s="18">
        <v>44214.702192297242</v>
      </c>
      <c r="F377" s="18">
        <v>38757.106752</v>
      </c>
      <c r="G377" s="18">
        <v>44214.702192297242</v>
      </c>
    </row>
    <row r="378" spans="1:7" ht="11.25" customHeight="1" x14ac:dyDescent="0.2">
      <c r="A378" s="28">
        <v>44440</v>
      </c>
      <c r="B378" s="18">
        <v>0</v>
      </c>
      <c r="C378" s="18">
        <v>111778.40664900001</v>
      </c>
      <c r="D378" s="18">
        <v>0</v>
      </c>
      <c r="E378" s="18">
        <v>127518.52178078273</v>
      </c>
      <c r="F378" s="18">
        <v>111778.40664900001</v>
      </c>
      <c r="G378" s="18">
        <v>127518.52178078273</v>
      </c>
    </row>
    <row r="379" spans="1:7" ht="11.25" customHeight="1" x14ac:dyDescent="0.2">
      <c r="A379" s="28">
        <v>44470</v>
      </c>
      <c r="B379" s="18">
        <v>0</v>
      </c>
      <c r="C379" s="18">
        <v>56322.307860000001</v>
      </c>
      <c r="D379" s="18">
        <v>0</v>
      </c>
      <c r="E379" s="18">
        <v>64253.353191393093</v>
      </c>
      <c r="F379" s="18">
        <v>56322.307860000001</v>
      </c>
      <c r="G379" s="18">
        <v>64253.353191393093</v>
      </c>
    </row>
    <row r="380" spans="1:7" ht="11.25" customHeight="1" x14ac:dyDescent="0.2">
      <c r="A380" s="28">
        <v>44501</v>
      </c>
      <c r="B380" s="18">
        <v>0</v>
      </c>
      <c r="C380" s="18">
        <v>105773.59365300002</v>
      </c>
      <c r="D380" s="18">
        <v>0</v>
      </c>
      <c r="E380" s="18">
        <v>120668.1389584149</v>
      </c>
      <c r="F380" s="18">
        <v>105773.59365300002</v>
      </c>
      <c r="G380" s="18">
        <v>120668.1389584149</v>
      </c>
    </row>
    <row r="381" spans="1:7" ht="11.25" customHeight="1" x14ac:dyDescent="0.2">
      <c r="A381" s="28">
        <v>44531</v>
      </c>
      <c r="B381" s="18">
        <v>0</v>
      </c>
      <c r="C381" s="18">
        <v>917890.32371399994</v>
      </c>
      <c r="D381" s="18">
        <v>0</v>
      </c>
      <c r="E381" s="18">
        <v>1047143.3682575268</v>
      </c>
      <c r="F381" s="18">
        <v>917890.32371399994</v>
      </c>
      <c r="G381" s="18">
        <v>1047143.3682575268</v>
      </c>
    </row>
    <row r="382" spans="1:7" ht="11.25" customHeight="1" x14ac:dyDescent="0.2">
      <c r="A382" s="28">
        <v>44562</v>
      </c>
      <c r="B382" s="18">
        <v>0</v>
      </c>
      <c r="C382" s="18">
        <v>1222440.983127</v>
      </c>
      <c r="D382" s="18">
        <v>0</v>
      </c>
      <c r="E382" s="18">
        <v>1394579.4344886232</v>
      </c>
      <c r="F382" s="18">
        <v>1222440.983127</v>
      </c>
      <c r="G382" s="18">
        <v>1394579.4344886232</v>
      </c>
    </row>
    <row r="383" spans="1:7" ht="11.25" customHeight="1" x14ac:dyDescent="0.2">
      <c r="A383" s="28">
        <v>44593</v>
      </c>
      <c r="B383" s="18">
        <v>0</v>
      </c>
      <c r="C383" s="18">
        <v>938801.81222099997</v>
      </c>
      <c r="D383" s="18">
        <v>0</v>
      </c>
      <c r="E383" s="18">
        <v>1070999.5152772458</v>
      </c>
      <c r="F383" s="18">
        <v>938801.81222099997</v>
      </c>
      <c r="G383" s="18">
        <v>1070999.5152772458</v>
      </c>
    </row>
    <row r="384" spans="1:7" ht="11.25" customHeight="1" x14ac:dyDescent="0.2">
      <c r="A384" s="28">
        <v>44621</v>
      </c>
      <c r="B384" s="18">
        <v>0</v>
      </c>
      <c r="C384" s="18">
        <v>597537.18706499995</v>
      </c>
      <c r="D384" s="18">
        <v>0</v>
      </c>
      <c r="E384" s="18">
        <v>681679.59347323107</v>
      </c>
      <c r="F384" s="18">
        <v>597537.18706499995</v>
      </c>
      <c r="G384" s="18">
        <v>681679.59347323107</v>
      </c>
    </row>
    <row r="385" spans="1:7" ht="11.25" customHeight="1" x14ac:dyDescent="0.2">
      <c r="A385" s="28">
        <v>44652</v>
      </c>
      <c r="B385" s="18">
        <v>0</v>
      </c>
      <c r="C385" s="18">
        <v>181998.38747999998</v>
      </c>
      <c r="D385" s="18">
        <v>0</v>
      </c>
      <c r="E385" s="18">
        <v>207626.55358662101</v>
      </c>
      <c r="F385" s="18">
        <v>181998.38747999998</v>
      </c>
      <c r="G385" s="18">
        <v>207626.55358662101</v>
      </c>
    </row>
    <row r="386" spans="1:7" ht="11.25" customHeight="1" x14ac:dyDescent="0.2">
      <c r="A386" s="28">
        <v>44682</v>
      </c>
      <c r="B386" s="18">
        <v>0</v>
      </c>
      <c r="C386" s="18">
        <v>63776.982633</v>
      </c>
      <c r="D386" s="18">
        <v>0</v>
      </c>
      <c r="E386" s="18">
        <v>72757.760580151997</v>
      </c>
      <c r="F386" s="18">
        <v>63776.982633</v>
      </c>
      <c r="G386" s="18">
        <v>72757.760580151997</v>
      </c>
    </row>
    <row r="387" spans="1:7" ht="11.25" customHeight="1" x14ac:dyDescent="0.2">
      <c r="A387" s="28">
        <v>44713</v>
      </c>
      <c r="B387" s="18">
        <v>0</v>
      </c>
      <c r="C387" s="18">
        <v>45086.012790000001</v>
      </c>
      <c r="D387" s="18">
        <v>0</v>
      </c>
      <c r="E387" s="18">
        <v>51434.815330870508</v>
      </c>
      <c r="F387" s="18">
        <v>45086.012790000001</v>
      </c>
      <c r="G387" s="18">
        <v>51434.815330870508</v>
      </c>
    </row>
    <row r="388" spans="1:7" ht="11.25" customHeight="1" x14ac:dyDescent="0.2">
      <c r="A388" s="27" t="s">
        <v>37</v>
      </c>
      <c r="B388" s="18">
        <v>0</v>
      </c>
      <c r="C388" s="18">
        <v>467853.63825200003</v>
      </c>
      <c r="D388" s="18">
        <v>0</v>
      </c>
      <c r="E388" s="18">
        <v>497556.26452809066</v>
      </c>
      <c r="F388" s="18">
        <v>467853.63825200009</v>
      </c>
      <c r="G388" s="18">
        <v>497556.26452809072</v>
      </c>
    </row>
    <row r="389" spans="1:7" ht="11.25" customHeight="1" x14ac:dyDescent="0.2">
      <c r="A389" s="28">
        <v>44378</v>
      </c>
      <c r="B389" s="18">
        <v>0</v>
      </c>
      <c r="C389" s="18">
        <v>13756.490748</v>
      </c>
      <c r="D389" s="18">
        <v>0</v>
      </c>
      <c r="E389" s="18">
        <v>14629.849145051208</v>
      </c>
      <c r="F389" s="18">
        <v>13756.490748</v>
      </c>
      <c r="G389" s="18">
        <v>14629.849145051208</v>
      </c>
    </row>
    <row r="390" spans="1:7" ht="11.25" customHeight="1" x14ac:dyDescent="0.2">
      <c r="A390" s="28">
        <v>44409</v>
      </c>
      <c r="B390" s="18">
        <v>0</v>
      </c>
      <c r="C390" s="18">
        <v>15555.479940000001</v>
      </c>
      <c r="D390" s="18">
        <v>0</v>
      </c>
      <c r="E390" s="18">
        <v>16543.050772898336</v>
      </c>
      <c r="F390" s="18">
        <v>15555.479940000001</v>
      </c>
      <c r="G390" s="18">
        <v>16543.050772898336</v>
      </c>
    </row>
    <row r="391" spans="1:7" ht="11.25" customHeight="1" x14ac:dyDescent="0.2">
      <c r="A391" s="28">
        <v>44440</v>
      </c>
      <c r="B391" s="18">
        <v>0</v>
      </c>
      <c r="C391" s="18">
        <v>20408.716327999999</v>
      </c>
      <c r="D391" s="18">
        <v>0</v>
      </c>
      <c r="E391" s="18">
        <v>21704.404603782561</v>
      </c>
      <c r="F391" s="18">
        <v>20408.716327999999</v>
      </c>
      <c r="G391" s="18">
        <v>21704.404603782561</v>
      </c>
    </row>
    <row r="392" spans="1:7" ht="11.25" customHeight="1" x14ac:dyDescent="0.2">
      <c r="A392" s="28">
        <v>44470</v>
      </c>
      <c r="B392" s="18">
        <v>0</v>
      </c>
      <c r="C392" s="18">
        <v>17319.626324000004</v>
      </c>
      <c r="D392" s="18">
        <v>0</v>
      </c>
      <c r="E392" s="18">
        <v>18419.197527219374</v>
      </c>
      <c r="F392" s="18">
        <v>17319.626324000004</v>
      </c>
      <c r="G392" s="18">
        <v>18419.197527219374</v>
      </c>
    </row>
    <row r="393" spans="1:7" ht="11.25" customHeight="1" x14ac:dyDescent="0.2">
      <c r="A393" s="28">
        <v>44501</v>
      </c>
      <c r="B393" s="18">
        <v>0</v>
      </c>
      <c r="C393" s="18">
        <v>19023.256252000003</v>
      </c>
      <c r="D393" s="18">
        <v>0</v>
      </c>
      <c r="E393" s="18">
        <v>20230.985816995093</v>
      </c>
      <c r="F393" s="18">
        <v>19023.256252000003</v>
      </c>
      <c r="G393" s="18">
        <v>20230.985816995093</v>
      </c>
    </row>
    <row r="394" spans="1:7" ht="11.25" customHeight="1" x14ac:dyDescent="0.2">
      <c r="A394" s="28">
        <v>44531</v>
      </c>
      <c r="B394" s="18">
        <v>0</v>
      </c>
      <c r="C394" s="18">
        <v>55632.044468000015</v>
      </c>
      <c r="D394" s="18">
        <v>0</v>
      </c>
      <c r="E394" s="18">
        <v>59163.956353908688</v>
      </c>
      <c r="F394" s="18">
        <v>55632.044468000015</v>
      </c>
      <c r="G394" s="18">
        <v>59163.956353908688</v>
      </c>
    </row>
    <row r="395" spans="1:7" ht="11.25" customHeight="1" x14ac:dyDescent="0.2">
      <c r="A395" s="28">
        <v>44562</v>
      </c>
      <c r="B395" s="18">
        <v>0</v>
      </c>
      <c r="C395" s="18">
        <v>116282.37020400002</v>
      </c>
      <c r="D395" s="18">
        <v>0</v>
      </c>
      <c r="E395" s="18">
        <v>123664.78962382517</v>
      </c>
      <c r="F395" s="18">
        <v>116282.37020400002</v>
      </c>
      <c r="G395" s="18">
        <v>123664.78962382517</v>
      </c>
    </row>
    <row r="396" spans="1:7" ht="11.25" customHeight="1" x14ac:dyDescent="0.2">
      <c r="A396" s="28">
        <v>44593</v>
      </c>
      <c r="B396" s="18">
        <v>0</v>
      </c>
      <c r="C396" s="18">
        <v>73208.407271999982</v>
      </c>
      <c r="D396" s="18">
        <v>0</v>
      </c>
      <c r="E396" s="18">
        <v>77856.189791320299</v>
      </c>
      <c r="F396" s="18">
        <v>73208.407271999982</v>
      </c>
      <c r="G396" s="18">
        <v>77856.189791320299</v>
      </c>
    </row>
    <row r="397" spans="1:7" ht="11.25" customHeight="1" x14ac:dyDescent="0.2">
      <c r="A397" s="28">
        <v>44621</v>
      </c>
      <c r="B397" s="18">
        <v>0</v>
      </c>
      <c r="C397" s="18">
        <v>75940.816952000023</v>
      </c>
      <c r="D397" s="18">
        <v>0</v>
      </c>
      <c r="E397" s="18">
        <v>80762.07197836641</v>
      </c>
      <c r="F397" s="18">
        <v>75940.816952000023</v>
      </c>
      <c r="G397" s="18">
        <v>80762.07197836641</v>
      </c>
    </row>
    <row r="398" spans="1:7" ht="11.25" customHeight="1" x14ac:dyDescent="0.2">
      <c r="A398" s="28">
        <v>44652</v>
      </c>
      <c r="B398" s="18">
        <v>0</v>
      </c>
      <c r="C398" s="18">
        <v>26030.328324000006</v>
      </c>
      <c r="D398" s="18">
        <v>0</v>
      </c>
      <c r="E398" s="18">
        <v>27682.915908742176</v>
      </c>
      <c r="F398" s="18">
        <v>26030.328324000006</v>
      </c>
      <c r="G398" s="18">
        <v>27682.915908742176</v>
      </c>
    </row>
    <row r="399" spans="1:7" ht="11.25" customHeight="1" x14ac:dyDescent="0.2">
      <c r="A399" s="28">
        <v>44682</v>
      </c>
      <c r="B399" s="18">
        <v>0</v>
      </c>
      <c r="C399" s="18">
        <v>16993.204227999999</v>
      </c>
      <c r="D399" s="18">
        <v>0</v>
      </c>
      <c r="E399" s="18">
        <v>18072.051869974941</v>
      </c>
      <c r="F399" s="18">
        <v>16993.204227999999</v>
      </c>
      <c r="G399" s="18">
        <v>18072.051869974941</v>
      </c>
    </row>
    <row r="400" spans="1:7" ht="11.25" customHeight="1" x14ac:dyDescent="0.2">
      <c r="A400" s="28">
        <v>44713</v>
      </c>
      <c r="B400" s="18">
        <v>0</v>
      </c>
      <c r="C400" s="18">
        <v>17702.897212</v>
      </c>
      <c r="D400" s="18">
        <v>0</v>
      </c>
      <c r="E400" s="18">
        <v>18826.801136006376</v>
      </c>
      <c r="F400" s="18">
        <v>17702.897212</v>
      </c>
      <c r="G400" s="18">
        <v>18826.801136006376</v>
      </c>
    </row>
    <row r="401" spans="1:7" ht="11.25" customHeight="1" x14ac:dyDescent="0.2">
      <c r="A401" s="25" t="s">
        <v>25</v>
      </c>
      <c r="B401" s="18">
        <v>309207.97120000026</v>
      </c>
      <c r="C401" s="18">
        <v>0</v>
      </c>
      <c r="D401" s="18">
        <v>327831.78012548154</v>
      </c>
      <c r="E401" s="18">
        <v>0</v>
      </c>
      <c r="F401" s="18">
        <v>309207.9712000002</v>
      </c>
      <c r="G401" s="18">
        <v>327831.78012548143</v>
      </c>
    </row>
    <row r="402" spans="1:7" ht="11.25" customHeight="1" x14ac:dyDescent="0.2">
      <c r="A402" s="26" t="s">
        <v>25</v>
      </c>
      <c r="B402" s="18">
        <v>309207.97120000026</v>
      </c>
      <c r="C402" s="18">
        <v>0</v>
      </c>
      <c r="D402" s="18">
        <v>327831.78012548154</v>
      </c>
      <c r="E402" s="18">
        <v>0</v>
      </c>
      <c r="F402" s="18">
        <v>309207.9712000002</v>
      </c>
      <c r="G402" s="18">
        <v>327831.78012548143</v>
      </c>
    </row>
    <row r="403" spans="1:7" ht="11.25" customHeight="1" x14ac:dyDescent="0.2">
      <c r="A403" s="27" t="s">
        <v>25</v>
      </c>
      <c r="B403" s="18">
        <v>309207.97120000026</v>
      </c>
      <c r="C403" s="18">
        <v>0</v>
      </c>
      <c r="D403" s="18">
        <v>327831.78012548154</v>
      </c>
      <c r="E403" s="18">
        <v>0</v>
      </c>
      <c r="F403" s="18">
        <v>309207.9712000002</v>
      </c>
      <c r="G403" s="18">
        <v>327831.78012548143</v>
      </c>
    </row>
    <row r="404" spans="1:7" ht="11.25" customHeight="1" x14ac:dyDescent="0.2">
      <c r="A404" s="28">
        <v>44378</v>
      </c>
      <c r="B404" s="18">
        <v>6676.4904000000151</v>
      </c>
      <c r="C404" s="18">
        <v>0</v>
      </c>
      <c r="D404" s="18">
        <v>7078.6200120532067</v>
      </c>
      <c r="E404" s="18">
        <v>0</v>
      </c>
      <c r="F404" s="18">
        <v>6676.4904000000151</v>
      </c>
      <c r="G404" s="18">
        <v>7078.6200120532067</v>
      </c>
    </row>
    <row r="405" spans="1:7" ht="11.25" customHeight="1" x14ac:dyDescent="0.2">
      <c r="A405" s="28">
        <v>44409</v>
      </c>
      <c r="B405" s="18">
        <v>8705.1888000000035</v>
      </c>
      <c r="C405" s="18">
        <v>0</v>
      </c>
      <c r="D405" s="18">
        <v>9229.5083129875111</v>
      </c>
      <c r="E405" s="18">
        <v>0</v>
      </c>
      <c r="F405" s="18">
        <v>8705.1888000000035</v>
      </c>
      <c r="G405" s="18">
        <v>9229.5083129875111</v>
      </c>
    </row>
    <row r="406" spans="1:7" ht="11.25" customHeight="1" x14ac:dyDescent="0.2">
      <c r="A406" s="28">
        <v>44440</v>
      </c>
      <c r="B406" s="18">
        <v>17942.152000000027</v>
      </c>
      <c r="C406" s="18">
        <v>0</v>
      </c>
      <c r="D406" s="18">
        <v>19022.820164094053</v>
      </c>
      <c r="E406" s="18">
        <v>0</v>
      </c>
      <c r="F406" s="18">
        <v>17942.152000000027</v>
      </c>
      <c r="G406" s="18">
        <v>19022.820164094053</v>
      </c>
    </row>
    <row r="407" spans="1:7" ht="11.25" customHeight="1" x14ac:dyDescent="0.2">
      <c r="A407" s="28">
        <v>44470</v>
      </c>
      <c r="B407" s="18">
        <v>16603.294800000018</v>
      </c>
      <c r="C407" s="18">
        <v>0</v>
      </c>
      <c r="D407" s="18">
        <v>17603.322673436152</v>
      </c>
      <c r="E407" s="18">
        <v>0</v>
      </c>
      <c r="F407" s="18">
        <v>16603.294800000018</v>
      </c>
      <c r="G407" s="18">
        <v>17603.322673436152</v>
      </c>
    </row>
    <row r="408" spans="1:7" ht="11.25" customHeight="1" x14ac:dyDescent="0.2">
      <c r="A408" s="28">
        <v>44501</v>
      </c>
      <c r="B408" s="18">
        <v>24466.856400000004</v>
      </c>
      <c r="C408" s="18">
        <v>0</v>
      </c>
      <c r="D408" s="18">
        <v>25940.512000896717</v>
      </c>
      <c r="E408" s="18">
        <v>0</v>
      </c>
      <c r="F408" s="18">
        <v>24466.856400000004</v>
      </c>
      <c r="G408" s="18">
        <v>25940.512000896717</v>
      </c>
    </row>
    <row r="409" spans="1:7" ht="11.25" customHeight="1" x14ac:dyDescent="0.2">
      <c r="A409" s="28">
        <v>44531</v>
      </c>
      <c r="B409" s="18">
        <v>43118.738799999985</v>
      </c>
      <c r="C409" s="18">
        <v>0</v>
      </c>
      <c r="D409" s="18">
        <v>45715.810115472384</v>
      </c>
      <c r="E409" s="18">
        <v>0</v>
      </c>
      <c r="F409" s="18">
        <v>43118.738799999985</v>
      </c>
      <c r="G409" s="18">
        <v>45715.810115472384</v>
      </c>
    </row>
    <row r="410" spans="1:7" ht="11.25" customHeight="1" x14ac:dyDescent="0.2">
      <c r="A410" s="28">
        <v>44562</v>
      </c>
      <c r="B410" s="18">
        <v>48644.796000000024</v>
      </c>
      <c r="C410" s="18">
        <v>0</v>
      </c>
      <c r="D410" s="18">
        <v>51574.705544075245</v>
      </c>
      <c r="E410" s="18">
        <v>0</v>
      </c>
      <c r="F410" s="18">
        <v>48644.796000000024</v>
      </c>
      <c r="G410" s="18">
        <v>51574.705544075245</v>
      </c>
    </row>
    <row r="411" spans="1:7" ht="11.25" customHeight="1" x14ac:dyDescent="0.2">
      <c r="A411" s="28">
        <v>44593</v>
      </c>
      <c r="B411" s="18">
        <v>47772.811600000059</v>
      </c>
      <c r="C411" s="18">
        <v>0</v>
      </c>
      <c r="D411" s="18">
        <v>50650.200923498247</v>
      </c>
      <c r="E411" s="18">
        <v>0</v>
      </c>
      <c r="F411" s="18">
        <v>47772.811600000059</v>
      </c>
      <c r="G411" s="18">
        <v>50650.200923498247</v>
      </c>
    </row>
    <row r="412" spans="1:7" ht="11.25" customHeight="1" x14ac:dyDescent="0.2">
      <c r="A412" s="28">
        <v>44621</v>
      </c>
      <c r="B412" s="18">
        <v>45190.356000000073</v>
      </c>
      <c r="C412" s="18">
        <v>0</v>
      </c>
      <c r="D412" s="18">
        <v>47912.202245270732</v>
      </c>
      <c r="E412" s="18">
        <v>0</v>
      </c>
      <c r="F412" s="18">
        <v>45190.356000000073</v>
      </c>
      <c r="G412" s="18">
        <v>47912.202245270732</v>
      </c>
    </row>
    <row r="413" spans="1:7" ht="11.25" customHeight="1" x14ac:dyDescent="0.2">
      <c r="A413" s="28">
        <v>44652</v>
      </c>
      <c r="B413" s="18">
        <v>29720.745600000006</v>
      </c>
      <c r="C413" s="18">
        <v>0</v>
      </c>
      <c r="D413" s="18">
        <v>31510.846563533112</v>
      </c>
      <c r="E413" s="18">
        <v>0</v>
      </c>
      <c r="F413" s="18">
        <v>29720.745600000006</v>
      </c>
      <c r="G413" s="18">
        <v>31510.846563533112</v>
      </c>
    </row>
    <row r="414" spans="1:7" ht="11.25" customHeight="1" x14ac:dyDescent="0.2">
      <c r="A414" s="28">
        <v>44682</v>
      </c>
      <c r="B414" s="18">
        <v>12715.479600000001</v>
      </c>
      <c r="C414" s="18">
        <v>0</v>
      </c>
      <c r="D414" s="18">
        <v>13481.341688054265</v>
      </c>
      <c r="E414" s="18">
        <v>0</v>
      </c>
      <c r="F414" s="18">
        <v>12715.479600000001</v>
      </c>
      <c r="G414" s="18">
        <v>13481.341688054265</v>
      </c>
    </row>
    <row r="415" spans="1:7" ht="11.25" customHeight="1" x14ac:dyDescent="0.2">
      <c r="A415" s="28">
        <v>44713</v>
      </c>
      <c r="B415" s="18">
        <v>7651.0612000000074</v>
      </c>
      <c r="C415" s="18">
        <v>0</v>
      </c>
      <c r="D415" s="18">
        <v>8111.889882109881</v>
      </c>
      <c r="E415" s="18">
        <v>0</v>
      </c>
      <c r="F415" s="18">
        <v>7651.0612000000074</v>
      </c>
      <c r="G415" s="18">
        <v>8111.889882109881</v>
      </c>
    </row>
    <row r="416" spans="1:7" ht="11.25" customHeight="1" x14ac:dyDescent="0.2">
      <c r="A416" s="24" t="s">
        <v>25</v>
      </c>
      <c r="B416" s="18">
        <v>135555.36600000015</v>
      </c>
      <c r="C416" s="18">
        <v>314016.33258840034</v>
      </c>
      <c r="D416" s="18">
        <v>143719.9589935448</v>
      </c>
      <c r="E416" s="18">
        <v>350163.29828096082</v>
      </c>
      <c r="F416" s="18">
        <v>449571.69858840061</v>
      </c>
      <c r="G416" s="18">
        <v>493883.25727450574</v>
      </c>
    </row>
    <row r="417" spans="1:7" ht="11.25" customHeight="1" x14ac:dyDescent="0.2">
      <c r="A417" s="25" t="s">
        <v>25</v>
      </c>
      <c r="B417" s="18">
        <v>135555.36600000015</v>
      </c>
      <c r="C417" s="18">
        <v>314016.33258840034</v>
      </c>
      <c r="D417" s="18">
        <v>143719.9589935448</v>
      </c>
      <c r="E417" s="18">
        <v>350163.29828096082</v>
      </c>
      <c r="F417" s="18">
        <v>449571.69858840061</v>
      </c>
      <c r="G417" s="18">
        <v>493883.25727450574</v>
      </c>
    </row>
    <row r="418" spans="1:7" ht="11.25" customHeight="1" x14ac:dyDescent="0.2">
      <c r="A418" s="26" t="s">
        <v>25</v>
      </c>
      <c r="B418" s="18">
        <v>135555.36600000015</v>
      </c>
      <c r="C418" s="18">
        <v>314016.33258840034</v>
      </c>
      <c r="D418" s="18">
        <v>143719.9589935448</v>
      </c>
      <c r="E418" s="18">
        <v>350163.29828096082</v>
      </c>
      <c r="F418" s="18">
        <v>449571.69858840061</v>
      </c>
      <c r="G418" s="18">
        <v>493883.25727450574</v>
      </c>
    </row>
    <row r="419" spans="1:7" ht="11.25" customHeight="1" x14ac:dyDescent="0.2">
      <c r="A419" s="27" t="s">
        <v>38</v>
      </c>
      <c r="B419" s="18">
        <v>0</v>
      </c>
      <c r="C419" s="18">
        <v>209638.64957880031</v>
      </c>
      <c r="D419" s="18">
        <v>0</v>
      </c>
      <c r="E419" s="18">
        <v>239158.98878710018</v>
      </c>
      <c r="F419" s="18">
        <v>209638.64957880025</v>
      </c>
      <c r="G419" s="18">
        <v>239158.98878710018</v>
      </c>
    </row>
    <row r="420" spans="1:7" ht="11.25" customHeight="1" x14ac:dyDescent="0.2">
      <c r="A420" s="28">
        <v>44378</v>
      </c>
      <c r="B420" s="18">
        <v>0</v>
      </c>
      <c r="C420" s="18">
        <v>15560.3777472</v>
      </c>
      <c r="D420" s="18">
        <v>0</v>
      </c>
      <c r="E420" s="18">
        <v>17751.517740848758</v>
      </c>
      <c r="F420" s="18">
        <v>15560.3777472</v>
      </c>
      <c r="G420" s="18">
        <v>17751.517740848758</v>
      </c>
    </row>
    <row r="421" spans="1:7" ht="11.25" customHeight="1" x14ac:dyDescent="0.2">
      <c r="A421" s="28">
        <v>44409</v>
      </c>
      <c r="B421" s="18">
        <v>0</v>
      </c>
      <c r="C421" s="18">
        <v>15812.53160760004</v>
      </c>
      <c r="D421" s="18">
        <v>0</v>
      </c>
      <c r="E421" s="18">
        <v>18039.178734626381</v>
      </c>
      <c r="F421" s="18">
        <v>15812.53160760004</v>
      </c>
      <c r="G421" s="18">
        <v>18039.178734626381</v>
      </c>
    </row>
    <row r="422" spans="1:7" ht="11.25" customHeight="1" x14ac:dyDescent="0.2">
      <c r="A422" s="28">
        <v>44440</v>
      </c>
      <c r="B422" s="18">
        <v>0</v>
      </c>
      <c r="C422" s="18">
        <v>14189.397456000032</v>
      </c>
      <c r="D422" s="18">
        <v>0</v>
      </c>
      <c r="E422" s="18">
        <v>16187.482384061252</v>
      </c>
      <c r="F422" s="18">
        <v>14189.397456000032</v>
      </c>
      <c r="G422" s="18">
        <v>16187.482384061252</v>
      </c>
    </row>
    <row r="423" spans="1:7" ht="11.25" customHeight="1" x14ac:dyDescent="0.2">
      <c r="A423" s="28">
        <v>44470</v>
      </c>
      <c r="B423" s="18">
        <v>0</v>
      </c>
      <c r="C423" s="18">
        <v>12946.200383999989</v>
      </c>
      <c r="D423" s="18">
        <v>0</v>
      </c>
      <c r="E423" s="18">
        <v>14769.224084840263</v>
      </c>
      <c r="F423" s="18">
        <v>12946.200383999989</v>
      </c>
      <c r="G423" s="18">
        <v>14769.224084840263</v>
      </c>
    </row>
    <row r="424" spans="1:7" ht="11.25" customHeight="1" x14ac:dyDescent="0.2">
      <c r="A424" s="28">
        <v>44501</v>
      </c>
      <c r="B424" s="18">
        <v>0</v>
      </c>
      <c r="C424" s="18">
        <v>14697.596534400007</v>
      </c>
      <c r="D424" s="18">
        <v>0</v>
      </c>
      <c r="E424" s="18">
        <v>16767.243692087563</v>
      </c>
      <c r="F424" s="18">
        <v>14697.596534400007</v>
      </c>
      <c r="G424" s="18">
        <v>16767.243692087563</v>
      </c>
    </row>
    <row r="425" spans="1:7" ht="11.25" customHeight="1" x14ac:dyDescent="0.2">
      <c r="A425" s="28">
        <v>44531</v>
      </c>
      <c r="B425" s="18">
        <v>0</v>
      </c>
      <c r="C425" s="18">
        <v>19592.252066399997</v>
      </c>
      <c r="D425" s="18">
        <v>0</v>
      </c>
      <c r="E425" s="18">
        <v>22351.141841814439</v>
      </c>
      <c r="F425" s="18">
        <v>19592.252066399997</v>
      </c>
      <c r="G425" s="18">
        <v>22351.141841814439</v>
      </c>
    </row>
    <row r="426" spans="1:7" ht="11.25" customHeight="1" x14ac:dyDescent="0.2">
      <c r="A426" s="28">
        <v>44562</v>
      </c>
      <c r="B426" s="18">
        <v>0</v>
      </c>
      <c r="C426" s="18">
        <v>15595.28791080004</v>
      </c>
      <c r="D426" s="18">
        <v>0</v>
      </c>
      <c r="E426" s="18">
        <v>17791.343791253828</v>
      </c>
      <c r="F426" s="18">
        <v>15595.28791080004</v>
      </c>
      <c r="G426" s="18">
        <v>17791.343791253828</v>
      </c>
    </row>
    <row r="427" spans="1:7" ht="11.25" customHeight="1" x14ac:dyDescent="0.2">
      <c r="A427" s="28">
        <v>44593</v>
      </c>
      <c r="B427" s="18">
        <v>0</v>
      </c>
      <c r="C427" s="18">
        <v>22552.597267200043</v>
      </c>
      <c r="D427" s="18">
        <v>0</v>
      </c>
      <c r="E427" s="18">
        <v>25728.349079633241</v>
      </c>
      <c r="F427" s="18">
        <v>22552.597267200043</v>
      </c>
      <c r="G427" s="18">
        <v>25728.349079633241</v>
      </c>
    </row>
    <row r="428" spans="1:7" ht="11.25" customHeight="1" x14ac:dyDescent="0.2">
      <c r="A428" s="28">
        <v>44621</v>
      </c>
      <c r="B428" s="18">
        <v>0</v>
      </c>
      <c r="C428" s="18">
        <v>18288.942687600025</v>
      </c>
      <c r="D428" s="18">
        <v>0</v>
      </c>
      <c r="E428" s="18">
        <v>20864.306500445851</v>
      </c>
      <c r="F428" s="18">
        <v>18288.942687600025</v>
      </c>
      <c r="G428" s="18">
        <v>20864.306500445851</v>
      </c>
    </row>
    <row r="429" spans="1:7" ht="11.25" customHeight="1" x14ac:dyDescent="0.2">
      <c r="A429" s="28">
        <v>44652</v>
      </c>
      <c r="B429" s="18">
        <v>0</v>
      </c>
      <c r="C429" s="18">
        <v>17911.756043999998</v>
      </c>
      <c r="D429" s="18">
        <v>0</v>
      </c>
      <c r="E429" s="18">
        <v>20434.006188701689</v>
      </c>
      <c r="F429" s="18">
        <v>17911.756043999998</v>
      </c>
      <c r="G429" s="18">
        <v>20434.006188701689</v>
      </c>
    </row>
    <row r="430" spans="1:7" ht="11.25" customHeight="1" x14ac:dyDescent="0.2">
      <c r="A430" s="28">
        <v>44682</v>
      </c>
      <c r="B430" s="18">
        <v>0</v>
      </c>
      <c r="C430" s="18">
        <v>21244.591773600045</v>
      </c>
      <c r="D430" s="18">
        <v>0</v>
      </c>
      <c r="E430" s="18">
        <v>24236.156338428991</v>
      </c>
      <c r="F430" s="18">
        <v>21244.591773600045</v>
      </c>
      <c r="G430" s="18">
        <v>24236.156338428991</v>
      </c>
    </row>
    <row r="431" spans="1:7" ht="11.25" customHeight="1" x14ac:dyDescent="0.2">
      <c r="A431" s="28">
        <v>44713</v>
      </c>
      <c r="B431" s="18">
        <v>0</v>
      </c>
      <c r="C431" s="18">
        <v>21247.118100000043</v>
      </c>
      <c r="D431" s="18">
        <v>0</v>
      </c>
      <c r="E431" s="18">
        <v>24239.03841035792</v>
      </c>
      <c r="F431" s="18">
        <v>21247.118100000043</v>
      </c>
      <c r="G431" s="18">
        <v>24239.03841035792</v>
      </c>
    </row>
    <row r="432" spans="1:7" ht="11.25" customHeight="1" x14ac:dyDescent="0.2">
      <c r="A432" s="27" t="s">
        <v>25</v>
      </c>
      <c r="B432" s="18">
        <v>135555.36600000015</v>
      </c>
      <c r="C432" s="18">
        <v>0</v>
      </c>
      <c r="D432" s="18">
        <v>143719.9589935448</v>
      </c>
      <c r="E432" s="18">
        <v>0</v>
      </c>
      <c r="F432" s="18">
        <v>135555.36600000018</v>
      </c>
      <c r="G432" s="18">
        <v>143719.9589935448</v>
      </c>
    </row>
    <row r="433" spans="1:7" ht="11.25" customHeight="1" x14ac:dyDescent="0.2">
      <c r="A433" s="28">
        <v>44378</v>
      </c>
      <c r="B433" s="18">
        <v>10355.99239999999</v>
      </c>
      <c r="C433" s="18">
        <v>0</v>
      </c>
      <c r="D433" s="18">
        <v>10979.740950022286</v>
      </c>
      <c r="E433" s="18">
        <v>0</v>
      </c>
      <c r="F433" s="18">
        <v>10355.99239999999</v>
      </c>
      <c r="G433" s="18">
        <v>10979.740950022286</v>
      </c>
    </row>
    <row r="434" spans="1:7" ht="11.25" customHeight="1" x14ac:dyDescent="0.2">
      <c r="A434" s="28">
        <v>44409</v>
      </c>
      <c r="B434" s="18">
        <v>9723.7252000000171</v>
      </c>
      <c r="C434" s="18">
        <v>0</v>
      </c>
      <c r="D434" s="18">
        <v>10309.391861392629</v>
      </c>
      <c r="E434" s="18">
        <v>0</v>
      </c>
      <c r="F434" s="18">
        <v>9723.7252000000171</v>
      </c>
      <c r="G434" s="18">
        <v>10309.391861392629</v>
      </c>
    </row>
    <row r="435" spans="1:7" ht="11.25" customHeight="1" x14ac:dyDescent="0.2">
      <c r="A435" s="28">
        <v>44440</v>
      </c>
      <c r="B435" s="18">
        <v>9116.5812000000042</v>
      </c>
      <c r="C435" s="18">
        <v>0</v>
      </c>
      <c r="D435" s="18">
        <v>9665.6791603906022</v>
      </c>
      <c r="E435" s="18">
        <v>0</v>
      </c>
      <c r="F435" s="18">
        <v>9116.5812000000042</v>
      </c>
      <c r="G435" s="18">
        <v>9665.6791603906022</v>
      </c>
    </row>
    <row r="436" spans="1:7" ht="11.25" customHeight="1" x14ac:dyDescent="0.2">
      <c r="A436" s="28">
        <v>44470</v>
      </c>
      <c r="B436" s="18">
        <v>8804.6348000000035</v>
      </c>
      <c r="C436" s="18">
        <v>0</v>
      </c>
      <c r="D436" s="18">
        <v>9334.9440140137031</v>
      </c>
      <c r="E436" s="18">
        <v>0</v>
      </c>
      <c r="F436" s="18">
        <v>8804.6348000000035</v>
      </c>
      <c r="G436" s="18">
        <v>9334.9440140137031</v>
      </c>
    </row>
    <row r="437" spans="1:7" ht="11.25" customHeight="1" x14ac:dyDescent="0.2">
      <c r="A437" s="28">
        <v>44501</v>
      </c>
      <c r="B437" s="18">
        <v>10257.593200000001</v>
      </c>
      <c r="C437" s="18">
        <v>0</v>
      </c>
      <c r="D437" s="18">
        <v>10875.415098480593</v>
      </c>
      <c r="E437" s="18">
        <v>0</v>
      </c>
      <c r="F437" s="18">
        <v>10257.593200000001</v>
      </c>
      <c r="G437" s="18">
        <v>10875.415098480593</v>
      </c>
    </row>
    <row r="438" spans="1:7" ht="11.25" customHeight="1" x14ac:dyDescent="0.2">
      <c r="A438" s="28">
        <v>44531</v>
      </c>
      <c r="B438" s="18">
        <v>11109.688400000012</v>
      </c>
      <c r="C438" s="18">
        <v>0</v>
      </c>
      <c r="D438" s="18">
        <v>11778.832578852396</v>
      </c>
      <c r="E438" s="18">
        <v>0</v>
      </c>
      <c r="F438" s="18">
        <v>11109.688400000012</v>
      </c>
      <c r="G438" s="18">
        <v>11778.832578852396</v>
      </c>
    </row>
    <row r="439" spans="1:7" ht="11.25" customHeight="1" x14ac:dyDescent="0.2">
      <c r="A439" s="28">
        <v>44562</v>
      </c>
      <c r="B439" s="18">
        <v>10063.935200000014</v>
      </c>
      <c r="C439" s="18">
        <v>0</v>
      </c>
      <c r="D439" s="18">
        <v>10670.092943850654</v>
      </c>
      <c r="E439" s="18">
        <v>0</v>
      </c>
      <c r="F439" s="18">
        <v>10063.935200000014</v>
      </c>
      <c r="G439" s="18">
        <v>10670.092943850654</v>
      </c>
    </row>
    <row r="440" spans="1:7" ht="11.25" customHeight="1" x14ac:dyDescent="0.2">
      <c r="A440" s="28">
        <v>44593</v>
      </c>
      <c r="B440" s="18">
        <v>12719.666800000028</v>
      </c>
      <c r="C440" s="18">
        <v>0</v>
      </c>
      <c r="D440" s="18">
        <v>13485.781085992237</v>
      </c>
      <c r="E440" s="18">
        <v>0</v>
      </c>
      <c r="F440" s="18">
        <v>12719.666800000028</v>
      </c>
      <c r="G440" s="18">
        <v>13485.781085992237</v>
      </c>
    </row>
    <row r="441" spans="1:7" ht="11.25" customHeight="1" x14ac:dyDescent="0.2">
      <c r="A441" s="28">
        <v>44621</v>
      </c>
      <c r="B441" s="18">
        <v>12452.732800000009</v>
      </c>
      <c r="C441" s="18">
        <v>0</v>
      </c>
      <c r="D441" s="18">
        <v>13202.769467448228</v>
      </c>
      <c r="E441" s="18">
        <v>0</v>
      </c>
      <c r="F441" s="18">
        <v>12452.732800000009</v>
      </c>
      <c r="G441" s="18">
        <v>13202.769467448228</v>
      </c>
    </row>
    <row r="442" spans="1:7" ht="11.25" customHeight="1" x14ac:dyDescent="0.2">
      <c r="A442" s="28">
        <v>44652</v>
      </c>
      <c r="B442" s="18">
        <v>12671.514000000037</v>
      </c>
      <c r="C442" s="18">
        <v>0</v>
      </c>
      <c r="D442" s="18">
        <v>13434.728009705883</v>
      </c>
      <c r="E442" s="18">
        <v>0</v>
      </c>
      <c r="F442" s="18">
        <v>12671.514000000037</v>
      </c>
      <c r="G442" s="18">
        <v>13434.728009705883</v>
      </c>
    </row>
    <row r="443" spans="1:7" ht="11.25" customHeight="1" x14ac:dyDescent="0.2">
      <c r="A443" s="28">
        <v>44682</v>
      </c>
      <c r="B443" s="18">
        <v>14061.664400000007</v>
      </c>
      <c r="C443" s="18">
        <v>0</v>
      </c>
      <c r="D443" s="18">
        <v>14908.608125103568</v>
      </c>
      <c r="E443" s="18">
        <v>0</v>
      </c>
      <c r="F443" s="18">
        <v>14061.664400000007</v>
      </c>
      <c r="G443" s="18">
        <v>14908.608125103568</v>
      </c>
    </row>
    <row r="444" spans="1:7" ht="11.25" customHeight="1" x14ac:dyDescent="0.2">
      <c r="A444" s="28">
        <v>44713</v>
      </c>
      <c r="B444" s="18">
        <v>14217.637600000015</v>
      </c>
      <c r="C444" s="18">
        <v>0</v>
      </c>
      <c r="D444" s="18">
        <v>15073.975698292023</v>
      </c>
      <c r="E444" s="18">
        <v>0</v>
      </c>
      <c r="F444" s="18">
        <v>14217.637600000015</v>
      </c>
      <c r="G444" s="18">
        <v>15073.975698292023</v>
      </c>
    </row>
    <row r="445" spans="1:7" ht="11.25" customHeight="1" x14ac:dyDescent="0.2">
      <c r="A445" s="27" t="s">
        <v>37</v>
      </c>
      <c r="B445" s="18">
        <v>0</v>
      </c>
      <c r="C445" s="18">
        <v>104377.68300960009</v>
      </c>
      <c r="D445" s="18">
        <v>0</v>
      </c>
      <c r="E445" s="18">
        <v>111004.30949386071</v>
      </c>
      <c r="F445" s="18">
        <v>104377.68300960006</v>
      </c>
      <c r="G445" s="18">
        <v>111004.30949386072</v>
      </c>
    </row>
    <row r="446" spans="1:7" ht="11.25" customHeight="1" x14ac:dyDescent="0.2">
      <c r="A446" s="28">
        <v>44378</v>
      </c>
      <c r="B446" s="18">
        <v>0</v>
      </c>
      <c r="C446" s="18">
        <v>7655.3054863999969</v>
      </c>
      <c r="D446" s="18">
        <v>0</v>
      </c>
      <c r="E446" s="18">
        <v>8141.3179041753401</v>
      </c>
      <c r="F446" s="18">
        <v>7655.3054863999969</v>
      </c>
      <c r="G446" s="18">
        <v>8141.3179041753401</v>
      </c>
    </row>
    <row r="447" spans="1:7" ht="11.25" customHeight="1" x14ac:dyDescent="0.2">
      <c r="A447" s="28">
        <v>44409</v>
      </c>
      <c r="B447" s="18">
        <v>0</v>
      </c>
      <c r="C447" s="18">
        <v>8286.3532751999992</v>
      </c>
      <c r="D447" s="18">
        <v>0</v>
      </c>
      <c r="E447" s="18">
        <v>8812.4290271050268</v>
      </c>
      <c r="F447" s="18">
        <v>8286.3532751999992</v>
      </c>
      <c r="G447" s="18">
        <v>8812.4290271050268</v>
      </c>
    </row>
    <row r="448" spans="1:7" ht="11.25" customHeight="1" x14ac:dyDescent="0.2">
      <c r="A448" s="28">
        <v>44440</v>
      </c>
      <c r="B448" s="18">
        <v>0</v>
      </c>
      <c r="C448" s="18">
        <v>7251.6004704000179</v>
      </c>
      <c r="D448" s="18">
        <v>0</v>
      </c>
      <c r="E448" s="18">
        <v>7711.9828658016295</v>
      </c>
      <c r="F448" s="18">
        <v>7251.6004704000179</v>
      </c>
      <c r="G448" s="18">
        <v>7711.9828658016295</v>
      </c>
    </row>
    <row r="449" spans="1:7" ht="11.25" customHeight="1" x14ac:dyDescent="0.2">
      <c r="A449" s="28">
        <v>44470</v>
      </c>
      <c r="B449" s="18">
        <v>0</v>
      </c>
      <c r="C449" s="18">
        <v>6464.467380800007</v>
      </c>
      <c r="D449" s="18">
        <v>0</v>
      </c>
      <c r="E449" s="18">
        <v>6874.8770537979062</v>
      </c>
      <c r="F449" s="18">
        <v>6464.467380800007</v>
      </c>
      <c r="G449" s="18">
        <v>6874.8770537979062</v>
      </c>
    </row>
    <row r="450" spans="1:7" ht="11.25" customHeight="1" x14ac:dyDescent="0.2">
      <c r="A450" s="28">
        <v>44501</v>
      </c>
      <c r="B450" s="18">
        <v>0</v>
      </c>
      <c r="C450" s="18">
        <v>7059.3100864000107</v>
      </c>
      <c r="D450" s="18">
        <v>0</v>
      </c>
      <c r="E450" s="18">
        <v>7507.4845412290579</v>
      </c>
      <c r="F450" s="18">
        <v>7059.3100864000107</v>
      </c>
      <c r="G450" s="18">
        <v>7507.4845412290579</v>
      </c>
    </row>
    <row r="451" spans="1:7" ht="11.25" customHeight="1" x14ac:dyDescent="0.2">
      <c r="A451" s="28">
        <v>44531</v>
      </c>
      <c r="B451" s="18">
        <v>0</v>
      </c>
      <c r="C451" s="18">
        <v>9440.3051599999926</v>
      </c>
      <c r="D451" s="18">
        <v>0</v>
      </c>
      <c r="E451" s="18">
        <v>10039.641860997701</v>
      </c>
      <c r="F451" s="18">
        <v>9440.3051599999926</v>
      </c>
      <c r="G451" s="18">
        <v>10039.641860997701</v>
      </c>
    </row>
    <row r="452" spans="1:7" ht="11.25" customHeight="1" x14ac:dyDescent="0.2">
      <c r="A452" s="28">
        <v>44562</v>
      </c>
      <c r="B452" s="18">
        <v>0</v>
      </c>
      <c r="C452" s="18">
        <v>7720.6423008000093</v>
      </c>
      <c r="D452" s="18">
        <v>0</v>
      </c>
      <c r="E452" s="18">
        <v>8210.8027572385654</v>
      </c>
      <c r="F452" s="18">
        <v>7720.6423008000093</v>
      </c>
      <c r="G452" s="18">
        <v>8210.8027572385654</v>
      </c>
    </row>
    <row r="453" spans="1:7" ht="11.25" customHeight="1" x14ac:dyDescent="0.2">
      <c r="A453" s="28">
        <v>44593</v>
      </c>
      <c r="B453" s="18">
        <v>0</v>
      </c>
      <c r="C453" s="18">
        <v>11198.792862400009</v>
      </c>
      <c r="D453" s="18">
        <v>0</v>
      </c>
      <c r="E453" s="18">
        <v>11909.770680971662</v>
      </c>
      <c r="F453" s="18">
        <v>11198.792862400009</v>
      </c>
      <c r="G453" s="18">
        <v>11909.770680971662</v>
      </c>
    </row>
    <row r="454" spans="1:7" ht="11.25" customHeight="1" x14ac:dyDescent="0.2">
      <c r="A454" s="28">
        <v>44621</v>
      </c>
      <c r="B454" s="18">
        <v>0</v>
      </c>
      <c r="C454" s="18">
        <v>9633.2242864000254</v>
      </c>
      <c r="D454" s="18">
        <v>0</v>
      </c>
      <c r="E454" s="18">
        <v>10244.808844942199</v>
      </c>
      <c r="F454" s="18">
        <v>9633.2242864000254</v>
      </c>
      <c r="G454" s="18">
        <v>10244.808844942199</v>
      </c>
    </row>
    <row r="455" spans="1:7" ht="11.25" customHeight="1" x14ac:dyDescent="0.2">
      <c r="A455" s="28">
        <v>44652</v>
      </c>
      <c r="B455" s="18">
        <v>0</v>
      </c>
      <c r="C455" s="18">
        <v>9833.164369600021</v>
      </c>
      <c r="D455" s="18">
        <v>0</v>
      </c>
      <c r="E455" s="18">
        <v>10457.442525206199</v>
      </c>
      <c r="F455" s="18">
        <v>9833.164369600021</v>
      </c>
      <c r="G455" s="18">
        <v>10457.442525206199</v>
      </c>
    </row>
    <row r="456" spans="1:7" ht="11.25" customHeight="1" x14ac:dyDescent="0.2">
      <c r="A456" s="28">
        <v>44682</v>
      </c>
      <c r="B456" s="18">
        <v>0</v>
      </c>
      <c r="C456" s="18">
        <v>9296.1659647999913</v>
      </c>
      <c r="D456" s="18">
        <v>0</v>
      </c>
      <c r="E456" s="18">
        <v>9886.3516999897638</v>
      </c>
      <c r="F456" s="18">
        <v>9296.1659647999913</v>
      </c>
      <c r="G456" s="18">
        <v>9886.3516999897638</v>
      </c>
    </row>
    <row r="457" spans="1:7" ht="11.25" customHeight="1" x14ac:dyDescent="0.2">
      <c r="A457" s="28">
        <v>44713</v>
      </c>
      <c r="B457" s="18">
        <v>0</v>
      </c>
      <c r="C457" s="18">
        <v>10538.351366399998</v>
      </c>
      <c r="D457" s="18">
        <v>0</v>
      </c>
      <c r="E457" s="18">
        <v>11207.399732405669</v>
      </c>
      <c r="F457" s="18">
        <v>10538.351366399998</v>
      </c>
      <c r="G457" s="18">
        <v>11207.399732405669</v>
      </c>
    </row>
    <row r="458" spans="1:7" ht="11.25" customHeight="1" x14ac:dyDescent="0.2">
      <c r="A458" s="21" t="s">
        <v>41</v>
      </c>
      <c r="B458" s="18">
        <v>0</v>
      </c>
      <c r="C458" s="18">
        <v>11097602.333186004</v>
      </c>
      <c r="D458" s="18">
        <v>0</v>
      </c>
      <c r="E458" s="18">
        <v>6917505.8901019357</v>
      </c>
      <c r="F458" s="18">
        <v>11097602.33318601</v>
      </c>
      <c r="G458" s="18">
        <v>6917505.8901019348</v>
      </c>
    </row>
    <row r="459" spans="1:7" ht="11.25" customHeight="1" x14ac:dyDescent="0.2">
      <c r="A459" s="22" t="s">
        <v>23</v>
      </c>
      <c r="B459" s="18">
        <v>0</v>
      </c>
      <c r="C459" s="18">
        <v>11097602.333186004</v>
      </c>
      <c r="D459" s="18">
        <v>0</v>
      </c>
      <c r="E459" s="18">
        <v>6917505.8901019357</v>
      </c>
      <c r="F459" s="18">
        <v>11097602.33318601</v>
      </c>
      <c r="G459" s="18">
        <v>6917505.8901019348</v>
      </c>
    </row>
    <row r="460" spans="1:7" ht="11.25" customHeight="1" x14ac:dyDescent="0.2">
      <c r="A460" s="23" t="s">
        <v>42</v>
      </c>
      <c r="B460" s="18">
        <v>0</v>
      </c>
      <c r="C460" s="18">
        <v>11097602.333186004</v>
      </c>
      <c r="D460" s="18">
        <v>0</v>
      </c>
      <c r="E460" s="18">
        <v>6917505.8901019357</v>
      </c>
      <c r="F460" s="18">
        <v>11097602.33318601</v>
      </c>
      <c r="G460" s="18">
        <v>6917505.8901019348</v>
      </c>
    </row>
    <row r="461" spans="1:7" ht="11.25" customHeight="1" x14ac:dyDescent="0.2">
      <c r="A461" s="24" t="s">
        <v>50</v>
      </c>
      <c r="B461" s="18">
        <v>0</v>
      </c>
      <c r="C461" s="18">
        <v>1332345.0391160003</v>
      </c>
      <c r="D461" s="18">
        <v>0</v>
      </c>
      <c r="E461" s="18">
        <v>1439441.1302343905</v>
      </c>
      <c r="F461" s="18">
        <v>1332345.0391160001</v>
      </c>
      <c r="G461" s="18">
        <v>1439441.130234391</v>
      </c>
    </row>
    <row r="462" spans="1:7" ht="11.25" customHeight="1" x14ac:dyDescent="0.2">
      <c r="A462" s="25" t="s">
        <v>51</v>
      </c>
      <c r="B462" s="18">
        <v>0</v>
      </c>
      <c r="C462" s="18">
        <v>1332345.0391160003</v>
      </c>
      <c r="D462" s="18">
        <v>0</v>
      </c>
      <c r="E462" s="18">
        <v>1439441.1302343905</v>
      </c>
      <c r="F462" s="18">
        <v>1332345.0391160001</v>
      </c>
      <c r="G462" s="18">
        <v>1439441.130234391</v>
      </c>
    </row>
    <row r="463" spans="1:7" ht="11.25" customHeight="1" x14ac:dyDescent="0.2">
      <c r="A463" s="26" t="s">
        <v>25</v>
      </c>
      <c r="B463" s="18">
        <v>0</v>
      </c>
      <c r="C463" s="18">
        <v>1332345.0391160003</v>
      </c>
      <c r="D463" s="18">
        <v>0</v>
      </c>
      <c r="E463" s="18">
        <v>1439441.1302343905</v>
      </c>
      <c r="F463" s="18">
        <v>1332345.0391160001</v>
      </c>
      <c r="G463" s="18">
        <v>1439441.130234391</v>
      </c>
    </row>
    <row r="464" spans="1:7" ht="11.25" customHeight="1" x14ac:dyDescent="0.2">
      <c r="A464" s="27" t="s">
        <v>25</v>
      </c>
      <c r="B464" s="18">
        <v>0</v>
      </c>
      <c r="C464" s="18">
        <v>1332345.0391160003</v>
      </c>
      <c r="D464" s="18">
        <v>0</v>
      </c>
      <c r="E464" s="18">
        <v>1439441.1302343905</v>
      </c>
      <c r="F464" s="18">
        <v>1332345.0391160001</v>
      </c>
      <c r="G464" s="18">
        <v>1439441.130234391</v>
      </c>
    </row>
    <row r="465" spans="1:7" ht="11.25" customHeight="1" x14ac:dyDescent="0.2">
      <c r="A465" s="28">
        <v>44378</v>
      </c>
      <c r="B465" s="18">
        <v>0</v>
      </c>
      <c r="C465" s="18">
        <v>18896.368035999996</v>
      </c>
      <c r="D465" s="18">
        <v>0</v>
      </c>
      <c r="E465" s="18">
        <v>20415.289256536704</v>
      </c>
      <c r="F465" s="18">
        <v>18896.368035999996</v>
      </c>
      <c r="G465" s="18">
        <v>20415.289256536704</v>
      </c>
    </row>
    <row r="466" spans="1:7" ht="11.25" customHeight="1" x14ac:dyDescent="0.2">
      <c r="A466" s="28">
        <v>44409</v>
      </c>
      <c r="B466" s="18">
        <v>0</v>
      </c>
      <c r="C466" s="18">
        <v>26793.255761999997</v>
      </c>
      <c r="D466" s="18">
        <v>0</v>
      </c>
      <c r="E466" s="18">
        <v>28946.941838955972</v>
      </c>
      <c r="F466" s="18">
        <v>26793.255761999997</v>
      </c>
      <c r="G466" s="18">
        <v>28946.941838955972</v>
      </c>
    </row>
    <row r="467" spans="1:7" ht="11.25" customHeight="1" x14ac:dyDescent="0.2">
      <c r="A467" s="28">
        <v>44440</v>
      </c>
      <c r="B467" s="18">
        <v>0</v>
      </c>
      <c r="C467" s="18">
        <v>37502.721438</v>
      </c>
      <c r="D467" s="18">
        <v>0</v>
      </c>
      <c r="E467" s="18">
        <v>40517.252024593792</v>
      </c>
      <c r="F467" s="18">
        <v>37502.721438</v>
      </c>
      <c r="G467" s="18">
        <v>40517.252024593792</v>
      </c>
    </row>
    <row r="468" spans="1:7" ht="11.25" customHeight="1" x14ac:dyDescent="0.2">
      <c r="A468" s="28">
        <v>44470</v>
      </c>
      <c r="B468" s="18">
        <v>0</v>
      </c>
      <c r="C468" s="18">
        <v>24685.677562000004</v>
      </c>
      <c r="D468" s="18">
        <v>0</v>
      </c>
      <c r="E468" s="18">
        <v>26669.953028100936</v>
      </c>
      <c r="F468" s="18">
        <v>24685.677562000004</v>
      </c>
      <c r="G468" s="18">
        <v>26669.953028100936</v>
      </c>
    </row>
    <row r="469" spans="1:7" ht="11.25" customHeight="1" x14ac:dyDescent="0.2">
      <c r="A469" s="28">
        <v>44501</v>
      </c>
      <c r="B469" s="18">
        <v>0</v>
      </c>
      <c r="C469" s="18">
        <v>56048.51907200001</v>
      </c>
      <c r="D469" s="18">
        <v>0</v>
      </c>
      <c r="E469" s="18">
        <v>60553.791452169949</v>
      </c>
      <c r="F469" s="18">
        <v>56048.51907200001</v>
      </c>
      <c r="G469" s="18">
        <v>60553.791452169949</v>
      </c>
    </row>
    <row r="470" spans="1:7" ht="11.25" customHeight="1" x14ac:dyDescent="0.2">
      <c r="A470" s="28">
        <v>44531</v>
      </c>
      <c r="B470" s="18">
        <v>0</v>
      </c>
      <c r="C470" s="18">
        <v>261655.53668800002</v>
      </c>
      <c r="D470" s="18">
        <v>0</v>
      </c>
      <c r="E470" s="18">
        <v>282687.84016500477</v>
      </c>
      <c r="F470" s="18">
        <v>261655.53668800002</v>
      </c>
      <c r="G470" s="18">
        <v>282687.84016500477</v>
      </c>
    </row>
    <row r="471" spans="1:7" ht="11.25" customHeight="1" x14ac:dyDescent="0.2">
      <c r="A471" s="28">
        <v>44562</v>
      </c>
      <c r="B471" s="18">
        <v>0</v>
      </c>
      <c r="C471" s="18">
        <v>345890.39102800004</v>
      </c>
      <c r="D471" s="18">
        <v>0</v>
      </c>
      <c r="E471" s="18">
        <v>373693.63098984089</v>
      </c>
      <c r="F471" s="18">
        <v>345890.39102800004</v>
      </c>
      <c r="G471" s="18">
        <v>373693.63098984089</v>
      </c>
    </row>
    <row r="472" spans="1:7" ht="11.25" customHeight="1" x14ac:dyDescent="0.2">
      <c r="A472" s="28">
        <v>44593</v>
      </c>
      <c r="B472" s="18">
        <v>0</v>
      </c>
      <c r="C472" s="18">
        <v>243756.85461400001</v>
      </c>
      <c r="D472" s="18">
        <v>0</v>
      </c>
      <c r="E472" s="18">
        <v>263350.43251315586</v>
      </c>
      <c r="F472" s="18">
        <v>243756.85461400001</v>
      </c>
      <c r="G472" s="18">
        <v>263350.43251315586</v>
      </c>
    </row>
    <row r="473" spans="1:7" ht="11.25" customHeight="1" x14ac:dyDescent="0.2">
      <c r="A473" s="28">
        <v>44621</v>
      </c>
      <c r="B473" s="18">
        <v>0</v>
      </c>
      <c r="C473" s="18">
        <v>169265.542082</v>
      </c>
      <c r="D473" s="18">
        <v>0</v>
      </c>
      <c r="E473" s="18">
        <v>182871.38545275718</v>
      </c>
      <c r="F473" s="18">
        <v>169265.542082</v>
      </c>
      <c r="G473" s="18">
        <v>182871.38545275718</v>
      </c>
    </row>
    <row r="474" spans="1:7" ht="11.25" customHeight="1" x14ac:dyDescent="0.2">
      <c r="A474" s="28">
        <v>44652</v>
      </c>
      <c r="B474" s="18">
        <v>0</v>
      </c>
      <c r="C474" s="18">
        <v>66708.115292000002</v>
      </c>
      <c r="D474" s="18">
        <v>0</v>
      </c>
      <c r="E474" s="18">
        <v>72070.223592705821</v>
      </c>
      <c r="F474" s="18">
        <v>66708.115292000002</v>
      </c>
      <c r="G474" s="18">
        <v>72070.223592705821</v>
      </c>
    </row>
    <row r="475" spans="1:7" ht="11.25" customHeight="1" x14ac:dyDescent="0.2">
      <c r="A475" s="28">
        <v>44682</v>
      </c>
      <c r="B475" s="18">
        <v>0</v>
      </c>
      <c r="C475" s="18">
        <v>38951.607240000005</v>
      </c>
      <c r="D475" s="18">
        <v>0</v>
      </c>
      <c r="E475" s="18">
        <v>42082.601656394276</v>
      </c>
      <c r="F475" s="18">
        <v>38951.607240000005</v>
      </c>
      <c r="G475" s="18">
        <v>42082.601656394276</v>
      </c>
    </row>
    <row r="476" spans="1:7" ht="11.25" customHeight="1" x14ac:dyDescent="0.2">
      <c r="A476" s="28">
        <v>44713</v>
      </c>
      <c r="B476" s="18">
        <v>0</v>
      </c>
      <c r="C476" s="18">
        <v>42190.450302000012</v>
      </c>
      <c r="D476" s="18">
        <v>0</v>
      </c>
      <c r="E476" s="18">
        <v>45581.788264174473</v>
      </c>
      <c r="F476" s="18">
        <v>42190.450302000012</v>
      </c>
      <c r="G476" s="18">
        <v>45581.788264174473</v>
      </c>
    </row>
    <row r="477" spans="1:7" ht="11.25" customHeight="1" x14ac:dyDescent="0.2">
      <c r="A477" s="24" t="s">
        <v>25</v>
      </c>
      <c r="B477" s="18">
        <v>0</v>
      </c>
      <c r="C477" s="18">
        <v>9765257.2940700054</v>
      </c>
      <c r="D477" s="18">
        <v>0</v>
      </c>
      <c r="E477" s="18">
        <v>5478064.7598675452</v>
      </c>
      <c r="F477" s="18">
        <v>9765257.2940700073</v>
      </c>
      <c r="G477" s="18">
        <v>5478064.7598675434</v>
      </c>
    </row>
    <row r="478" spans="1:7" ht="11.25" customHeight="1" x14ac:dyDescent="0.2">
      <c r="A478" s="25" t="s">
        <v>25</v>
      </c>
      <c r="B478" s="18">
        <v>0</v>
      </c>
      <c r="C478" s="18">
        <v>9765257.2940700054</v>
      </c>
      <c r="D478" s="18">
        <v>0</v>
      </c>
      <c r="E478" s="18">
        <v>5478064.7598675452</v>
      </c>
      <c r="F478" s="18">
        <v>9765257.2940700073</v>
      </c>
      <c r="G478" s="18">
        <v>5478064.7598675434</v>
      </c>
    </row>
    <row r="479" spans="1:7" ht="11.25" customHeight="1" x14ac:dyDescent="0.2">
      <c r="A479" s="26" t="s">
        <v>25</v>
      </c>
      <c r="B479" s="18">
        <v>0</v>
      </c>
      <c r="C479" s="18">
        <v>9765257.2940700054</v>
      </c>
      <c r="D479" s="18">
        <v>0</v>
      </c>
      <c r="E479" s="18">
        <v>5478064.7598675452</v>
      </c>
      <c r="F479" s="18">
        <v>9765257.2940700073</v>
      </c>
      <c r="G479" s="18">
        <v>5478064.7598675434</v>
      </c>
    </row>
    <row r="480" spans="1:7" ht="11.25" customHeight="1" x14ac:dyDescent="0.2">
      <c r="A480" s="27" t="s">
        <v>25</v>
      </c>
      <c r="B480" s="18">
        <v>0</v>
      </c>
      <c r="C480" s="18">
        <v>9765257.2940700054</v>
      </c>
      <c r="D480" s="18">
        <v>0</v>
      </c>
      <c r="E480" s="18">
        <v>5478064.7598675452</v>
      </c>
      <c r="F480" s="18">
        <v>9765257.2940700073</v>
      </c>
      <c r="G480" s="18">
        <v>5478064.7598675434</v>
      </c>
    </row>
    <row r="481" spans="1:7" ht="11.25" customHeight="1" x14ac:dyDescent="0.2">
      <c r="A481" s="28">
        <v>44378</v>
      </c>
      <c r="B481" s="18">
        <v>0</v>
      </c>
      <c r="C481" s="18">
        <v>729001.03606000042</v>
      </c>
      <c r="D481" s="18">
        <v>0</v>
      </c>
      <c r="E481" s="18">
        <v>408951.32255985693</v>
      </c>
      <c r="F481" s="18">
        <v>729001.03606000042</v>
      </c>
      <c r="G481" s="18">
        <v>408951.32255985693</v>
      </c>
    </row>
    <row r="482" spans="1:7" ht="11.25" customHeight="1" x14ac:dyDescent="0.2">
      <c r="A482" s="28">
        <v>44409</v>
      </c>
      <c r="B482" s="18">
        <v>0</v>
      </c>
      <c r="C482" s="18">
        <v>774571.05612000031</v>
      </c>
      <c r="D482" s="18">
        <v>0</v>
      </c>
      <c r="E482" s="18">
        <v>434514.96245992748</v>
      </c>
      <c r="F482" s="18">
        <v>774571.05612000031</v>
      </c>
      <c r="G482" s="18">
        <v>434514.96245992748</v>
      </c>
    </row>
    <row r="483" spans="1:7" ht="11.25" customHeight="1" x14ac:dyDescent="0.2">
      <c r="A483" s="28">
        <v>44440</v>
      </c>
      <c r="B483" s="18">
        <v>0</v>
      </c>
      <c r="C483" s="18">
        <v>784431.95951000031</v>
      </c>
      <c r="D483" s="18">
        <v>0</v>
      </c>
      <c r="E483" s="18">
        <v>440046.68228404527</v>
      </c>
      <c r="F483" s="18">
        <v>784431.95951000031</v>
      </c>
      <c r="G483" s="18">
        <v>440046.68228404527</v>
      </c>
    </row>
    <row r="484" spans="1:7" ht="11.25" customHeight="1" x14ac:dyDescent="0.2">
      <c r="A484" s="28">
        <v>44470</v>
      </c>
      <c r="B484" s="18">
        <v>0</v>
      </c>
      <c r="C484" s="18">
        <v>768252.36456000037</v>
      </c>
      <c r="D484" s="18">
        <v>0</v>
      </c>
      <c r="E484" s="18">
        <v>430970.33475366846</v>
      </c>
      <c r="F484" s="18">
        <v>768252.36456000037</v>
      </c>
      <c r="G484" s="18">
        <v>430970.33475366846</v>
      </c>
    </row>
    <row r="485" spans="1:7" ht="11.25" customHeight="1" x14ac:dyDescent="0.2">
      <c r="A485" s="28">
        <v>44501</v>
      </c>
      <c r="B485" s="18">
        <v>0</v>
      </c>
      <c r="C485" s="18">
        <v>800039.59161000035</v>
      </c>
      <c r="D485" s="18">
        <v>0</v>
      </c>
      <c r="E485" s="18">
        <v>448802.17298103974</v>
      </c>
      <c r="F485" s="18">
        <v>800039.59161000035</v>
      </c>
      <c r="G485" s="18">
        <v>448802.17298103974</v>
      </c>
    </row>
    <row r="486" spans="1:7" ht="11.25" customHeight="1" x14ac:dyDescent="0.2">
      <c r="A486" s="28">
        <v>44531</v>
      </c>
      <c r="B486" s="18">
        <v>0</v>
      </c>
      <c r="C486" s="18">
        <v>789926.04610000039</v>
      </c>
      <c r="D486" s="18">
        <v>0</v>
      </c>
      <c r="E486" s="18">
        <v>443128.72725531453</v>
      </c>
      <c r="F486" s="18">
        <v>789926.04610000039</v>
      </c>
      <c r="G486" s="18">
        <v>443128.72725531453</v>
      </c>
    </row>
    <row r="487" spans="1:7" ht="11.25" customHeight="1" x14ac:dyDescent="0.2">
      <c r="A487" s="28">
        <v>44562</v>
      </c>
      <c r="B487" s="18">
        <v>0</v>
      </c>
      <c r="C487" s="18">
        <v>964291.10598000034</v>
      </c>
      <c r="D487" s="18">
        <v>0</v>
      </c>
      <c r="E487" s="18">
        <v>540943.15867442952</v>
      </c>
      <c r="F487" s="18">
        <v>964291.10598000034</v>
      </c>
      <c r="G487" s="18">
        <v>540943.15867442952</v>
      </c>
    </row>
    <row r="488" spans="1:7" ht="11.25" customHeight="1" x14ac:dyDescent="0.2">
      <c r="A488" s="28">
        <v>44593</v>
      </c>
      <c r="B488" s="18">
        <v>0</v>
      </c>
      <c r="C488" s="18">
        <v>950568.17530000047</v>
      </c>
      <c r="D488" s="18">
        <v>0</v>
      </c>
      <c r="E488" s="18">
        <v>533244.93826953939</v>
      </c>
      <c r="F488" s="18">
        <v>950568.17530000047</v>
      </c>
      <c r="G488" s="18">
        <v>533244.93826953939</v>
      </c>
    </row>
    <row r="489" spans="1:7" ht="11.25" customHeight="1" x14ac:dyDescent="0.2">
      <c r="A489" s="28">
        <v>44621</v>
      </c>
      <c r="B489" s="18">
        <v>0</v>
      </c>
      <c r="C489" s="18">
        <v>857269.8480700003</v>
      </c>
      <c r="D489" s="18">
        <v>0</v>
      </c>
      <c r="E489" s="18">
        <v>480906.91345747234</v>
      </c>
      <c r="F489" s="18">
        <v>857269.8480700003</v>
      </c>
      <c r="G489" s="18">
        <v>480906.91345747234</v>
      </c>
    </row>
    <row r="490" spans="1:7" ht="11.25" customHeight="1" x14ac:dyDescent="0.2">
      <c r="A490" s="28">
        <v>44652</v>
      </c>
      <c r="B490" s="18">
        <v>0</v>
      </c>
      <c r="C490" s="18">
        <v>810780.39979000029</v>
      </c>
      <c r="D490" s="18">
        <v>0</v>
      </c>
      <c r="E490" s="18">
        <v>454827.49735411955</v>
      </c>
      <c r="F490" s="18">
        <v>810780.39979000029</v>
      </c>
      <c r="G490" s="18">
        <v>454827.49735411955</v>
      </c>
    </row>
    <row r="491" spans="1:7" ht="11.25" customHeight="1" x14ac:dyDescent="0.2">
      <c r="A491" s="28">
        <v>44682</v>
      </c>
      <c r="B491" s="18">
        <v>0</v>
      </c>
      <c r="C491" s="18">
        <v>767678.20291000046</v>
      </c>
      <c r="D491" s="18">
        <v>0</v>
      </c>
      <c r="E491" s="18">
        <v>430648.24444855773</v>
      </c>
      <c r="F491" s="18">
        <v>767678.20291000046</v>
      </c>
      <c r="G491" s="18">
        <v>430648.24444855773</v>
      </c>
    </row>
    <row r="492" spans="1:7" ht="11.25" customHeight="1" x14ac:dyDescent="0.2">
      <c r="A492" s="28">
        <v>44713</v>
      </c>
      <c r="B492" s="18">
        <v>0</v>
      </c>
      <c r="C492" s="18">
        <v>768447.50806000025</v>
      </c>
      <c r="D492" s="18">
        <v>0</v>
      </c>
      <c r="E492" s="18">
        <v>431079.80536957493</v>
      </c>
      <c r="F492" s="18">
        <v>768447.50806000025</v>
      </c>
      <c r="G492" s="18">
        <v>431079.80536957493</v>
      </c>
    </row>
    <row r="493" spans="1:7" ht="11.25" customHeight="1" x14ac:dyDescent="0.2">
      <c r="A493" s="20" t="s">
        <v>646</v>
      </c>
      <c r="B493" s="18">
        <v>0</v>
      </c>
      <c r="C493" s="18">
        <v>0</v>
      </c>
      <c r="D493" s="18">
        <v>0</v>
      </c>
      <c r="E493" s="18">
        <v>0</v>
      </c>
      <c r="F493" s="18">
        <v>0</v>
      </c>
      <c r="G493" s="18">
        <v>0</v>
      </c>
    </row>
    <row r="494" spans="1:7" ht="11.25" customHeight="1" x14ac:dyDescent="0.2">
      <c r="A494" s="21" t="s">
        <v>22</v>
      </c>
      <c r="B494" s="18">
        <v>0</v>
      </c>
      <c r="C494" s="18">
        <v>0</v>
      </c>
      <c r="D494" s="18">
        <v>0</v>
      </c>
      <c r="E494" s="18">
        <v>0</v>
      </c>
      <c r="F494" s="18">
        <v>0</v>
      </c>
      <c r="G494" s="18">
        <v>0</v>
      </c>
    </row>
    <row r="495" spans="1:7" ht="11.25" customHeight="1" x14ac:dyDescent="0.2">
      <c r="A495" s="22" t="s">
        <v>23</v>
      </c>
      <c r="B495" s="18">
        <v>0</v>
      </c>
      <c r="C495" s="18">
        <v>0</v>
      </c>
      <c r="D495" s="18">
        <v>0</v>
      </c>
      <c r="E495" s="18">
        <v>0</v>
      </c>
      <c r="F495" s="18">
        <v>0</v>
      </c>
      <c r="G495" s="18">
        <v>0</v>
      </c>
    </row>
    <row r="496" spans="1:7" ht="11.25" customHeight="1" x14ac:dyDescent="0.2">
      <c r="A496" s="23" t="s">
        <v>24</v>
      </c>
      <c r="B496" s="18">
        <v>0</v>
      </c>
      <c r="C496" s="18">
        <v>0</v>
      </c>
      <c r="D496" s="18">
        <v>0</v>
      </c>
      <c r="E496" s="18">
        <v>0</v>
      </c>
      <c r="F496" s="18">
        <v>0</v>
      </c>
      <c r="G496" s="18">
        <v>0</v>
      </c>
    </row>
    <row r="497" spans="1:7" ht="11.25" customHeight="1" x14ac:dyDescent="0.2">
      <c r="A497" s="24" t="s">
        <v>24</v>
      </c>
      <c r="B497" s="18">
        <v>0</v>
      </c>
      <c r="C497" s="18">
        <v>0</v>
      </c>
      <c r="D497" s="18">
        <v>0</v>
      </c>
      <c r="E497" s="18">
        <v>0</v>
      </c>
      <c r="F497" s="18">
        <v>0</v>
      </c>
      <c r="G497" s="18">
        <v>0</v>
      </c>
    </row>
    <row r="498" spans="1:7" ht="11.25" customHeight="1" x14ac:dyDescent="0.2">
      <c r="A498" s="25" t="s">
        <v>25</v>
      </c>
      <c r="B498" s="18">
        <v>0</v>
      </c>
      <c r="C498" s="18">
        <v>0</v>
      </c>
      <c r="D498" s="18">
        <v>0</v>
      </c>
      <c r="E498" s="18">
        <v>0</v>
      </c>
      <c r="F498" s="18">
        <v>0</v>
      </c>
      <c r="G498" s="18">
        <v>0</v>
      </c>
    </row>
    <row r="499" spans="1:7" ht="11.25" customHeight="1" x14ac:dyDescent="0.2">
      <c r="A499" s="26" t="s">
        <v>25</v>
      </c>
      <c r="B499" s="18">
        <v>0</v>
      </c>
      <c r="C499" s="18">
        <v>0</v>
      </c>
      <c r="D499" s="18">
        <v>0</v>
      </c>
      <c r="E499" s="18">
        <v>0</v>
      </c>
      <c r="F499" s="18">
        <v>0</v>
      </c>
      <c r="G499" s="18">
        <v>0</v>
      </c>
    </row>
    <row r="500" spans="1:7" ht="11.25" customHeight="1" x14ac:dyDescent="0.2">
      <c r="A500" s="27" t="s">
        <v>25</v>
      </c>
      <c r="B500" s="18">
        <v>0</v>
      </c>
      <c r="C500" s="18">
        <v>0</v>
      </c>
      <c r="D500" s="18">
        <v>0</v>
      </c>
      <c r="E500" s="18">
        <v>0</v>
      </c>
      <c r="F500" s="18">
        <v>0</v>
      </c>
      <c r="G500" s="18">
        <v>0</v>
      </c>
    </row>
    <row r="501" spans="1:7" ht="11.25" customHeight="1" x14ac:dyDescent="0.2">
      <c r="A501" s="28">
        <v>44378</v>
      </c>
      <c r="B501" s="18">
        <v>0</v>
      </c>
      <c r="C501" s="18">
        <v>0</v>
      </c>
      <c r="D501" s="18">
        <v>0</v>
      </c>
      <c r="E501" s="18">
        <v>0</v>
      </c>
      <c r="F501" s="18">
        <v>0</v>
      </c>
      <c r="G501" s="18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AF305-E126-47AD-94BB-530F10E99B21}">
  <dimension ref="A1:V35"/>
  <sheetViews>
    <sheetView showGridLines="0" workbookViewId="0">
      <selection activeCell="R9" sqref="R9:S9"/>
    </sheetView>
  </sheetViews>
  <sheetFormatPr defaultRowHeight="11.25" customHeight="1" x14ac:dyDescent="0.25"/>
  <cols>
    <col min="1" max="1" width="9.28515625" style="8" bestFit="1" customWidth="1"/>
    <col min="2" max="2" width="11.140625" style="8" bestFit="1" customWidth="1"/>
    <col min="3" max="3" width="10.28515625" style="8" bestFit="1" customWidth="1"/>
    <col min="4" max="4" width="6.28515625" style="8" bestFit="1" customWidth="1"/>
    <col min="5" max="10" width="7.7109375" style="8" customWidth="1"/>
    <col min="11" max="12" width="9.140625" style="8"/>
    <col min="13" max="13" width="14.28515625" style="8" customWidth="1"/>
    <col min="14" max="14" width="16.7109375" style="8" customWidth="1"/>
    <col min="15" max="15" width="31.7109375" style="8" customWidth="1"/>
    <col min="16" max="22" width="7.7109375" style="8" customWidth="1"/>
    <col min="23" max="16384" width="9.140625" style="8"/>
  </cols>
  <sheetData>
    <row r="1" spans="1:22" ht="11.25" customHeight="1" x14ac:dyDescent="0.25">
      <c r="A1" s="102" t="s">
        <v>715</v>
      </c>
      <c r="B1" s="121"/>
      <c r="C1" s="121"/>
      <c r="D1" s="121"/>
      <c r="E1" s="121"/>
      <c r="F1" s="121"/>
      <c r="G1" s="121"/>
      <c r="H1" s="121"/>
      <c r="I1" s="121"/>
      <c r="J1" s="121"/>
      <c r="L1" s="102" t="s">
        <v>725</v>
      </c>
      <c r="M1" s="103"/>
      <c r="N1" s="103"/>
      <c r="O1" s="103"/>
      <c r="P1" s="103"/>
      <c r="Q1" s="103"/>
      <c r="R1" s="103"/>
      <c r="S1" s="103"/>
      <c r="T1" s="103"/>
      <c r="U1" s="103"/>
      <c r="V1" s="103"/>
    </row>
    <row r="2" spans="1:22" ht="11.25" customHeight="1" x14ac:dyDescent="0.25">
      <c r="A2" s="119" t="s">
        <v>72</v>
      </c>
      <c r="B2" s="119" t="s">
        <v>73</v>
      </c>
      <c r="C2" s="119" t="s">
        <v>716</v>
      </c>
      <c r="D2" s="119" t="s">
        <v>78</v>
      </c>
      <c r="E2" s="119" t="s">
        <v>717</v>
      </c>
      <c r="F2" s="122"/>
      <c r="G2" s="122"/>
      <c r="H2" s="119" t="s">
        <v>486</v>
      </c>
      <c r="I2" s="122"/>
      <c r="J2" s="122"/>
      <c r="L2" s="119" t="s">
        <v>72</v>
      </c>
      <c r="M2" s="119" t="s">
        <v>73</v>
      </c>
      <c r="N2" s="119" t="s">
        <v>74</v>
      </c>
      <c r="O2" s="119" t="s">
        <v>75</v>
      </c>
      <c r="P2" s="119" t="s">
        <v>78</v>
      </c>
      <c r="Q2" s="119" t="s">
        <v>717</v>
      </c>
      <c r="R2" s="124"/>
      <c r="S2" s="124"/>
      <c r="T2" s="119" t="s">
        <v>486</v>
      </c>
      <c r="U2" s="124"/>
      <c r="V2" s="124"/>
    </row>
    <row r="3" spans="1:22" ht="11.25" customHeight="1" x14ac:dyDescent="0.25">
      <c r="A3" s="122"/>
      <c r="B3" s="122"/>
      <c r="C3" s="122"/>
      <c r="D3" s="122"/>
      <c r="E3" s="119" t="s">
        <v>444</v>
      </c>
      <c r="F3" s="122"/>
      <c r="G3" s="65" t="s">
        <v>472</v>
      </c>
      <c r="H3" s="119" t="s">
        <v>444</v>
      </c>
      <c r="I3" s="122"/>
      <c r="J3" s="65" t="s">
        <v>472</v>
      </c>
      <c r="L3" s="124"/>
      <c r="M3" s="124"/>
      <c r="N3" s="124"/>
      <c r="O3" s="124"/>
      <c r="P3" s="124"/>
      <c r="Q3" s="119" t="s">
        <v>444</v>
      </c>
      <c r="R3" s="124"/>
      <c r="S3" s="65" t="s">
        <v>472</v>
      </c>
      <c r="T3" s="119" t="s">
        <v>444</v>
      </c>
      <c r="U3" s="124"/>
      <c r="V3" s="65" t="s">
        <v>472</v>
      </c>
    </row>
    <row r="4" spans="1:22" ht="11.25" customHeight="1" x14ac:dyDescent="0.25">
      <c r="A4" s="122"/>
      <c r="B4" s="122"/>
      <c r="C4" s="122"/>
      <c r="D4" s="122"/>
      <c r="E4" s="65" t="s">
        <v>718</v>
      </c>
      <c r="F4" s="65" t="s">
        <v>719</v>
      </c>
      <c r="G4" s="65" t="s">
        <v>719</v>
      </c>
      <c r="H4" s="65" t="s">
        <v>718</v>
      </c>
      <c r="I4" s="65" t="s">
        <v>719</v>
      </c>
      <c r="J4" s="65" t="s">
        <v>719</v>
      </c>
      <c r="L4" s="124"/>
      <c r="M4" s="124"/>
      <c r="N4" s="124"/>
      <c r="O4" s="124"/>
      <c r="P4" s="124"/>
      <c r="Q4" s="65" t="s">
        <v>718</v>
      </c>
      <c r="R4" s="65" t="s">
        <v>719</v>
      </c>
      <c r="S4" s="65" t="s">
        <v>719</v>
      </c>
      <c r="T4" s="65" t="s">
        <v>718</v>
      </c>
      <c r="U4" s="65" t="s">
        <v>719</v>
      </c>
      <c r="V4" s="65" t="s">
        <v>719</v>
      </c>
    </row>
    <row r="5" spans="1:22" ht="11.25" customHeight="1" x14ac:dyDescent="0.25">
      <c r="A5" s="123" t="s">
        <v>53</v>
      </c>
      <c r="B5" s="123" t="s">
        <v>36</v>
      </c>
      <c r="C5" s="123" t="s">
        <v>25</v>
      </c>
      <c r="D5" s="66" t="s">
        <v>720</v>
      </c>
      <c r="E5" s="63">
        <f ca="1">ROUND('TUSD BE'!$AM$5+'TUSD BF'!$AM$5+'TUSD CVA'!$AM$5,2)</f>
        <v>24.04</v>
      </c>
      <c r="F5" s="63">
        <f ca="1">ROUND('TUSD BE'!$AM$7+'TUSD BF'!$AM$7+'TUSD CVA'!$AM$7,2)</f>
        <v>65.41</v>
      </c>
      <c r="G5" s="63">
        <f>ROUND('TE BE'!$AB$5+'TE BF'!$AB$5+'TE CVA'!$AB$5,2)</f>
        <v>198.18</v>
      </c>
      <c r="H5" s="63">
        <f ca="1">ROUND('TUSD BE'!$AM$5,2)</f>
        <v>23.87</v>
      </c>
      <c r="I5" s="63">
        <f ca="1">ROUND('TUSD BE'!$AM$7,2)</f>
        <v>70.05</v>
      </c>
      <c r="J5" s="63">
        <f>ROUND('TE BE'!$AB$5,2)</f>
        <v>190.11</v>
      </c>
      <c r="L5" s="125" t="s">
        <v>22</v>
      </c>
      <c r="M5" s="125" t="s">
        <v>726</v>
      </c>
      <c r="N5" s="125" t="s">
        <v>727</v>
      </c>
      <c r="O5" s="125" t="s">
        <v>727</v>
      </c>
      <c r="P5" s="66" t="s">
        <v>720</v>
      </c>
      <c r="Q5" s="63">
        <v>0</v>
      </c>
      <c r="R5" s="63">
        <f ca="1">ROUND('TUSD BE'!$AM$21+'TUSD BF'!$AM$21+'TUSD CVA'!$AM$21,2)</f>
        <v>518.94000000000005</v>
      </c>
      <c r="S5" s="63">
        <f>ROUND('TE BE'!$AB$10+'TE BF'!$AB$10+'TE CVA'!$AB$10,2)</f>
        <v>198.18</v>
      </c>
      <c r="T5" s="63">
        <v>0</v>
      </c>
      <c r="U5" s="63">
        <f ca="1">ROUND('TUSD BE'!$AM$21,2)</f>
        <v>769.05</v>
      </c>
      <c r="V5" s="63">
        <f>ROUND('TE BE'!$AB$10,2)</f>
        <v>190.11</v>
      </c>
    </row>
    <row r="6" spans="1:22" ht="11.25" customHeight="1" x14ac:dyDescent="0.25">
      <c r="A6" s="122"/>
      <c r="B6" s="122"/>
      <c r="C6" s="122"/>
      <c r="D6" s="66" t="s">
        <v>721</v>
      </c>
      <c r="E6" s="63">
        <f ca="1">ROUND('TUSD BE'!$AM$6+'TUSD BF'!$AM$6+'TUSD CVA'!$AM$6,2)</f>
        <v>11.05</v>
      </c>
      <c r="F6" s="63">
        <f ca="1">ROUND('TUSD BE'!$AM$7+'TUSD BF'!$AM$7+'TUSD CVA'!$AM$7,2)</f>
        <v>65.41</v>
      </c>
      <c r="G6" s="63">
        <f>ROUND('TE BE'!$AB$6+'TE BF'!$AB$6+'TE CVA'!$AB$6,2)</f>
        <v>198.18</v>
      </c>
      <c r="H6" s="63">
        <f ca="1">ROUND('TUSD BE'!$AM$6,2)</f>
        <v>11.4</v>
      </c>
      <c r="I6" s="63">
        <f ca="1">ROUND('TUSD BE'!$AM$7,2)</f>
        <v>70.05</v>
      </c>
      <c r="J6" s="63">
        <f>ROUND('TE BE'!$AB$6,2)</f>
        <v>190.11</v>
      </c>
      <c r="L6" s="126"/>
      <c r="M6" s="126"/>
      <c r="N6" s="126"/>
      <c r="O6" s="126"/>
      <c r="P6" s="66" t="s">
        <v>728</v>
      </c>
      <c r="Q6" s="63">
        <v>0</v>
      </c>
      <c r="R6" s="63">
        <f ca="1">ROUND('TUSD BE'!$AM$22+'TUSD BF'!$AM$22+'TUSD CVA'!$AM$22,2)</f>
        <v>498.74</v>
      </c>
      <c r="S6" s="63">
        <f>ROUND('TE BE'!$AB$11+'TE BF'!$AB$11+'TE CVA'!$AB$11,2)</f>
        <v>198.18</v>
      </c>
      <c r="T6" s="63">
        <v>0</v>
      </c>
      <c r="U6" s="63">
        <f ca="1">ROUND('TUSD BE'!$AM$22,2)</f>
        <v>736.73</v>
      </c>
      <c r="V6" s="63">
        <f>ROUND('TE BE'!$AB$11,2)</f>
        <v>190.11</v>
      </c>
    </row>
    <row r="7" spans="1:22" ht="11.25" customHeight="1" x14ac:dyDescent="0.25">
      <c r="A7" s="122"/>
      <c r="B7" s="123" t="s">
        <v>722</v>
      </c>
      <c r="C7" s="123" t="s">
        <v>25</v>
      </c>
      <c r="D7" s="66" t="s">
        <v>720</v>
      </c>
      <c r="E7" s="63">
        <f ca="1">ROUND('TUSD BE'!$AM$5+'TUSD BF'!$AM$5+'TUSD CVA'!$AM$5,2)</f>
        <v>24.04</v>
      </c>
      <c r="F7" s="63">
        <f ca="1">ROUND('TUSD BE'!$AM$8+'TUSD BF'!$AM$8+'TUSD CVA'!$AM$8,2)</f>
        <v>7.0000000000000007E-2</v>
      </c>
      <c r="G7" s="63">
        <v>0</v>
      </c>
      <c r="H7" s="63">
        <f ca="1">ROUND('TUSD BE'!$AM$5,2)</f>
        <v>23.87</v>
      </c>
      <c r="I7" s="63">
        <f ca="1">ROUND('TUSD BE'!$AM$8,2)</f>
        <v>0.08</v>
      </c>
      <c r="J7" s="63">
        <v>0</v>
      </c>
      <c r="L7" s="126"/>
      <c r="M7" s="127"/>
      <c r="N7" s="127"/>
      <c r="O7" s="127"/>
      <c r="P7" s="66" t="s">
        <v>721</v>
      </c>
      <c r="Q7" s="63">
        <v>0</v>
      </c>
      <c r="R7" s="63">
        <f ca="1">ROUND('TUSD BE'!$AM$23+'TUSD BF'!$AM$23+'TUSD CVA'!$AM$23,2)</f>
        <v>249.65</v>
      </c>
      <c r="S7" s="63">
        <f>ROUND('TE BE'!$AB$12+'TE BF'!$AB$12+'TE CVA'!$AB$12,2)</f>
        <v>198.18</v>
      </c>
      <c r="T7" s="63">
        <v>0</v>
      </c>
      <c r="U7" s="63">
        <f ca="1">ROUND('TUSD BE'!$AM$23,2)</f>
        <v>338.15</v>
      </c>
      <c r="V7" s="63">
        <f>ROUND('TE BE'!$AB$12,2)</f>
        <v>190.11</v>
      </c>
    </row>
    <row r="8" spans="1:22" ht="11.25" customHeight="1" x14ac:dyDescent="0.25">
      <c r="A8" s="122"/>
      <c r="B8" s="122"/>
      <c r="C8" s="122"/>
      <c r="D8" s="66" t="s">
        <v>721</v>
      </c>
      <c r="E8" s="63">
        <f ca="1">ROUND('TUSD BE'!$AM$6+'TUSD BF'!$AM$6+'TUSD CVA'!$AM$6,2)</f>
        <v>11.05</v>
      </c>
      <c r="F8" s="63">
        <f ca="1">ROUND('TUSD BE'!$AM$8+'TUSD BF'!$AM$8+'TUSD CVA'!$AM$8,2)</f>
        <v>7.0000000000000007E-2</v>
      </c>
      <c r="G8" s="63">
        <v>0</v>
      </c>
      <c r="H8" s="63">
        <f ca="1">ROUND('TUSD BE'!$AM$6,2)</f>
        <v>11.4</v>
      </c>
      <c r="I8" s="63">
        <f ca="1">ROUND('TUSD BE'!$AM$8,2)</f>
        <v>0.08</v>
      </c>
      <c r="J8" s="63">
        <v>0</v>
      </c>
      <c r="L8" s="126"/>
      <c r="M8" s="66" t="s">
        <v>729</v>
      </c>
      <c r="N8" s="66" t="s">
        <v>727</v>
      </c>
      <c r="O8" s="66" t="s">
        <v>727</v>
      </c>
      <c r="P8" s="66" t="s">
        <v>723</v>
      </c>
      <c r="Q8" s="63">
        <v>0</v>
      </c>
      <c r="R8" s="63">
        <f ca="1">ROUND('TUSD BE'!$AM$29+'TUSD BF'!$AM$29+'TUSD CVA'!$AM$29,2)</f>
        <v>292.17</v>
      </c>
      <c r="S8" s="63">
        <f>ROUND('TE BE'!$AB$18+'TE BF'!$AB$18+'TE CVA'!$AB$18,2)</f>
        <v>198.18</v>
      </c>
      <c r="T8" s="63">
        <v>0</v>
      </c>
      <c r="U8" s="63">
        <f ca="1">ROUND('TUSD BE'!$AM$29,2)</f>
        <v>406.19</v>
      </c>
      <c r="V8" s="63">
        <f>ROUND('TE BE'!$AB$18,2)</f>
        <v>190.11</v>
      </c>
    </row>
    <row r="9" spans="1:22" ht="11.25" customHeight="1" x14ac:dyDescent="0.25">
      <c r="A9" s="123" t="s">
        <v>35</v>
      </c>
      <c r="B9" s="123" t="s">
        <v>36</v>
      </c>
      <c r="C9" s="123" t="s">
        <v>25</v>
      </c>
      <c r="D9" s="66" t="s">
        <v>720</v>
      </c>
      <c r="E9" s="63">
        <f ca="1">ROUND('TUSD BE'!$AM$9+'TUSD BF'!$AM$9+'TUSD CVA'!$AM$9,2)</f>
        <v>50.31</v>
      </c>
      <c r="F9" s="63">
        <f ca="1">ROUND('TUSD BE'!$AM$11+'TUSD BF'!$AM$11+'TUSD CVA'!$AM$11,2)</f>
        <v>92.5</v>
      </c>
      <c r="G9" s="63">
        <f>ROUND('TE BE'!$AB$7+'TE BF'!$AB$7+'TE CVA'!$AB$7,2)</f>
        <v>198.18</v>
      </c>
      <c r="H9" s="63">
        <f ca="1">ROUND('TUSD BE'!$AM$9,2)</f>
        <v>89.18</v>
      </c>
      <c r="I9" s="63">
        <f ca="1">ROUND('TUSD BE'!$AM$11,2)</f>
        <v>98.91</v>
      </c>
      <c r="J9" s="63">
        <f>ROUND('TE BE'!$AB$7,2)</f>
        <v>190.11</v>
      </c>
      <c r="L9" s="126"/>
      <c r="M9" s="66" t="s">
        <v>731</v>
      </c>
      <c r="N9" s="66" t="s">
        <v>727</v>
      </c>
      <c r="O9" s="66" t="s">
        <v>727</v>
      </c>
      <c r="P9" s="66" t="s">
        <v>723</v>
      </c>
      <c r="Q9" s="63">
        <v>0</v>
      </c>
      <c r="R9" s="63">
        <f ca="1">ROUND('TUSD BE'!$AM$24+'TUSD BF'!$AM$24+'TUSD CVA'!$AM$24,2)</f>
        <v>292.17</v>
      </c>
      <c r="S9" s="63">
        <f>ROUND('TE BE'!$AB$13+'TE BF'!$AB$13+'TE CVA'!$AB$13,2)</f>
        <v>198.18</v>
      </c>
      <c r="T9" s="63">
        <v>0</v>
      </c>
      <c r="U9" s="63">
        <f ca="1">ROUND('TUSD BE'!$AM$24,2)</f>
        <v>406.19</v>
      </c>
      <c r="V9" s="63">
        <f>ROUND('TE BE'!$AB$13,2)</f>
        <v>190.11</v>
      </c>
    </row>
    <row r="10" spans="1:22" ht="11.25" customHeight="1" x14ac:dyDescent="0.25">
      <c r="A10" s="122"/>
      <c r="B10" s="122"/>
      <c r="C10" s="122"/>
      <c r="D10" s="66" t="s">
        <v>721</v>
      </c>
      <c r="E10" s="63">
        <f ca="1">ROUND('TUSD BE'!$AM$10+'TUSD BF'!$AM$10+'TUSD CVA'!$AM$10,2)</f>
        <v>30.45</v>
      </c>
      <c r="F10" s="63">
        <f ca="1">ROUND('TUSD BE'!$AM$11+'TUSD BF'!$AM$11+'TUSD CVA'!$AM$11,2)</f>
        <v>92.5</v>
      </c>
      <c r="G10" s="63">
        <f>ROUND('TE BE'!$AB$8+'TE BF'!$AB$8+'TE CVA'!$AB$8,2)</f>
        <v>198.18</v>
      </c>
      <c r="H10" s="63">
        <f ca="1">ROUND('TUSD BE'!$AM$10,2)</f>
        <v>53.49</v>
      </c>
      <c r="I10" s="63">
        <f ca="1">ROUND('TUSD BE'!$AM$11,2)</f>
        <v>98.91</v>
      </c>
      <c r="J10" s="63">
        <f>ROUND('TE BE'!$AB$8,2)</f>
        <v>190.11</v>
      </c>
      <c r="L10" s="126"/>
      <c r="M10" s="66" t="s">
        <v>729</v>
      </c>
      <c r="N10" s="66" t="s">
        <v>727</v>
      </c>
      <c r="O10" s="66" t="s">
        <v>730</v>
      </c>
      <c r="P10" s="66" t="s">
        <v>723</v>
      </c>
      <c r="Q10" s="63">
        <v>0</v>
      </c>
      <c r="R10" s="63">
        <f ca="1">ROUND('TUSD BE'!$AM$30+'TUSD BF'!$AM$30+'TUSD CVA'!$AM$30,2)</f>
        <v>194.92</v>
      </c>
      <c r="S10" s="63">
        <f>ROUND('TE BE'!$AB$19+'TE BF'!$AB$19+'TE CVA'!$AB$19,2)</f>
        <v>198.18</v>
      </c>
      <c r="T10" s="63">
        <v>0</v>
      </c>
      <c r="U10" s="63">
        <f ca="1">ROUND('TUSD BE'!$AM$30,2)</f>
        <v>302.05</v>
      </c>
      <c r="V10" s="63">
        <f>ROUND('TE BE'!$AB$19,2)</f>
        <v>190.11</v>
      </c>
    </row>
    <row r="11" spans="1:22" ht="11.25" customHeight="1" x14ac:dyDescent="0.25">
      <c r="A11" s="122"/>
      <c r="B11" s="123" t="s">
        <v>722</v>
      </c>
      <c r="C11" s="123" t="s">
        <v>25</v>
      </c>
      <c r="D11" s="66" t="s">
        <v>720</v>
      </c>
      <c r="E11" s="63">
        <f ca="1">ROUND('TUSD BE'!$AM$9+'TUSD BF'!$AM$9+'TUSD CVA'!$AM$9,2)</f>
        <v>50.31</v>
      </c>
      <c r="F11" s="63">
        <f ca="1">ROUND('TUSD BE'!$AM$12+'TUSD BF'!$AM$12+'TUSD CVA'!$AM$12,2)</f>
        <v>8.69</v>
      </c>
      <c r="G11" s="63">
        <v>0</v>
      </c>
      <c r="H11" s="63">
        <f ca="1">ROUND('TUSD BE'!$AM$9,2)</f>
        <v>89.18</v>
      </c>
      <c r="I11" s="63">
        <f ca="1">ROUND('TUSD BE'!$AM$12,2)</f>
        <v>9.16</v>
      </c>
      <c r="J11" s="63">
        <v>0</v>
      </c>
      <c r="L11" s="127"/>
      <c r="M11" s="66" t="s">
        <v>731</v>
      </c>
      <c r="N11" s="66" t="s">
        <v>727</v>
      </c>
      <c r="O11" s="66" t="s">
        <v>730</v>
      </c>
      <c r="P11" s="66" t="s">
        <v>723</v>
      </c>
      <c r="Q11" s="63">
        <v>0</v>
      </c>
      <c r="R11" s="63">
        <f ca="1">ROUND('TUSD BE'!$AM$25+'TUSD BF'!$AM$25+'TUSD CVA'!$AM$25,2)</f>
        <v>194.92</v>
      </c>
      <c r="S11" s="63">
        <f>ROUND('TE BE'!$AB$14+'TE BF'!$AB$14+'TE CVA'!$AB$14,2)</f>
        <v>198.18</v>
      </c>
      <c r="T11" s="63">
        <v>0</v>
      </c>
      <c r="U11" s="63">
        <f ca="1">ROUND('TUSD BE'!$AM$25,2)</f>
        <v>302.05</v>
      </c>
      <c r="V11" s="63">
        <f>ROUND('TE BE'!$AB$14,2)</f>
        <v>190.11</v>
      </c>
    </row>
    <row r="12" spans="1:22" ht="11.25" customHeight="1" x14ac:dyDescent="0.25">
      <c r="A12" s="122"/>
      <c r="B12" s="122"/>
      <c r="C12" s="122"/>
      <c r="D12" s="66" t="s">
        <v>721</v>
      </c>
      <c r="E12" s="63">
        <f ca="1">ROUND('TUSD BE'!$AM$10+'TUSD BF'!$AM$10+'TUSD CVA'!$AM$10,2)</f>
        <v>30.45</v>
      </c>
      <c r="F12" s="63">
        <f ca="1">ROUND('TUSD BE'!$AM$12+'TUSD BF'!$AM$12+'TUSD CVA'!$AM$12,2)</f>
        <v>8.69</v>
      </c>
      <c r="G12" s="63">
        <v>0</v>
      </c>
      <c r="H12" s="63">
        <f ca="1">ROUND('TUSD BE'!$AM$10,2)</f>
        <v>53.49</v>
      </c>
      <c r="I12" s="63">
        <f ca="1">ROUND('TUSD BE'!$AM$12,2)</f>
        <v>9.16</v>
      </c>
      <c r="J12" s="63">
        <v>0</v>
      </c>
      <c r="L12" s="125" t="s">
        <v>41</v>
      </c>
      <c r="M12" s="125" t="s">
        <v>726</v>
      </c>
      <c r="N12" s="125" t="s">
        <v>732</v>
      </c>
      <c r="O12" s="125" t="s">
        <v>733</v>
      </c>
      <c r="P12" s="66" t="s">
        <v>720</v>
      </c>
      <c r="Q12" s="63">
        <v>0</v>
      </c>
      <c r="R12" s="63">
        <f ca="1">ROUND(('TUSD BE'!$AM$34+'TUSD BF'!$AM$34+'TUSD CVA'!$AM$34)*(1-CUSTOS!$M$38),2)</f>
        <v>495.4</v>
      </c>
      <c r="S12" s="63">
        <f>ROUND(('TE BE'!$AB$23+'TE BF'!$AB$23+'TE CVA'!$AB$23)*(1-CUSTOS!$M$38),2)</f>
        <v>186.29</v>
      </c>
      <c r="T12" s="63">
        <v>0</v>
      </c>
      <c r="U12" s="63">
        <f ca="1">ROUND('TUSD BE'!$AM$34*(1-CUSTOS!$M$38),2)</f>
        <v>735.05</v>
      </c>
      <c r="V12" s="63">
        <f>ROUND('TE BE'!$AB$23*(1-CUSTOS!$M$38),2)</f>
        <v>178.71</v>
      </c>
    </row>
    <row r="13" spans="1:22" ht="11.25" customHeight="1" x14ac:dyDescent="0.25">
      <c r="A13" s="122"/>
      <c r="B13" s="123" t="s">
        <v>39</v>
      </c>
      <c r="C13" s="123" t="s">
        <v>25</v>
      </c>
      <c r="D13" s="66" t="s">
        <v>723</v>
      </c>
      <c r="E13" s="63">
        <f ca="1">ROUND('TUSD BE'!$AM$14+'TUSD BF'!$AM$14+'TUSD CVA'!$AM$14,2)</f>
        <v>30.45</v>
      </c>
      <c r="F13" s="63">
        <v>0</v>
      </c>
      <c r="G13" s="63">
        <v>0</v>
      </c>
      <c r="H13" s="63">
        <f ca="1">ROUND('TUSD BE'!$AM$14,2)</f>
        <v>53.49</v>
      </c>
      <c r="I13" s="63">
        <v>0</v>
      </c>
      <c r="J13" s="63">
        <v>0</v>
      </c>
      <c r="L13" s="126"/>
      <c r="M13" s="126"/>
      <c r="N13" s="126"/>
      <c r="O13" s="126"/>
      <c r="P13" s="66" t="s">
        <v>728</v>
      </c>
      <c r="Q13" s="63">
        <v>0</v>
      </c>
      <c r="R13" s="63">
        <f ca="1">ROUND(('TUSD BE'!$AM$35+'TUSD BF'!$AM$35+'TUSD CVA'!$AM$35)*(1-CUSTOS!$M$38),2)</f>
        <v>305.55</v>
      </c>
      <c r="S13" s="63">
        <f>ROUND(('TE BE'!$AB$24+'TE BF'!$AB$24+'TE CVA'!$AB$24)*(1-CUSTOS!$M$38),2)</f>
        <v>186.29</v>
      </c>
      <c r="T13" s="63">
        <v>0</v>
      </c>
      <c r="U13" s="63">
        <f ca="1">ROUND('TUSD BE'!$AM$35*(1-CUSTOS!$M$38),2)</f>
        <v>431.28</v>
      </c>
      <c r="V13" s="63">
        <f>ROUND('TE BE'!$AB$24*(1-CUSTOS!$M$38),2)</f>
        <v>178.71</v>
      </c>
    </row>
    <row r="14" spans="1:22" ht="11.25" customHeight="1" x14ac:dyDescent="0.25">
      <c r="A14" s="122"/>
      <c r="B14" s="122"/>
      <c r="C14" s="122"/>
      <c r="D14" s="66" t="s">
        <v>720</v>
      </c>
      <c r="E14" s="63">
        <v>0</v>
      </c>
      <c r="F14" s="63">
        <f ca="1">ROUND('TUSD BE'!$AM$15+'TUSD BF'!$AM$15+'TUSD CVA'!$AM$15,2)</f>
        <v>1302.3699999999999</v>
      </c>
      <c r="G14" s="63">
        <f>ROUND('TE BE'!$AB$7+'TE BF'!$AB$7+'TE CVA'!$AB$7,2)</f>
        <v>198.18</v>
      </c>
      <c r="H14" s="63">
        <v>0</v>
      </c>
      <c r="I14" s="63">
        <f ca="1">ROUND('TUSD BE'!$AM$15,2)</f>
        <v>2243.64</v>
      </c>
      <c r="J14" s="63">
        <f>ROUND('TE BE'!$AB$7,2)</f>
        <v>190.11</v>
      </c>
      <c r="L14" s="126"/>
      <c r="M14" s="127"/>
      <c r="N14" s="127"/>
      <c r="O14" s="127"/>
      <c r="P14" s="66" t="s">
        <v>721</v>
      </c>
      <c r="Q14" s="63">
        <v>0</v>
      </c>
      <c r="R14" s="63">
        <f ca="1">ROUND(('TUSD BE'!$AM$36+'TUSD BF'!$AM$36+'TUSD CVA'!$AM$36)*(1-CUSTOS!$M$38),2)</f>
        <v>234.67</v>
      </c>
      <c r="S14" s="63">
        <f>ROUND(('TE BE'!$AB$25+'TE BF'!$AB$25+'TE CVA'!$AB$25)*(1-CUSTOS!$M$38),2)</f>
        <v>186.29</v>
      </c>
      <c r="T14" s="63">
        <v>0</v>
      </c>
      <c r="U14" s="63">
        <f ca="1">ROUND('TUSD BE'!$AM$36*(1-CUSTOS!$M$38),2)</f>
        <v>317.87</v>
      </c>
      <c r="V14" s="63">
        <f>ROUND('TE BE'!$AB$25*(1-CUSTOS!$M$38),2)</f>
        <v>178.71</v>
      </c>
    </row>
    <row r="15" spans="1:22" ht="11.25" customHeight="1" x14ac:dyDescent="0.25">
      <c r="A15" s="122"/>
      <c r="B15" s="122"/>
      <c r="C15" s="122"/>
      <c r="D15" s="66" t="s">
        <v>721</v>
      </c>
      <c r="E15" s="63">
        <v>0</v>
      </c>
      <c r="F15" s="63">
        <f ca="1">ROUND('TUSD BE'!$AM$16+'TUSD BF'!$AM$16+'TUSD CVA'!$AM$16,2)</f>
        <v>92.5</v>
      </c>
      <c r="G15" s="63">
        <f>ROUND('TE BE'!$AB$8+'TE BF'!$AB$8+'TE CVA'!$AB$8,2)</f>
        <v>198.18</v>
      </c>
      <c r="H15" s="63">
        <v>0</v>
      </c>
      <c r="I15" s="63">
        <f ca="1">ROUND('TUSD BE'!$AM$16,2)</f>
        <v>98.91</v>
      </c>
      <c r="J15" s="63">
        <f>ROUND('TE BE'!$AB$8,2)</f>
        <v>190.11</v>
      </c>
      <c r="L15" s="126"/>
      <c r="M15" s="66" t="s">
        <v>729</v>
      </c>
      <c r="N15" s="66" t="s">
        <v>732</v>
      </c>
      <c r="O15" s="66" t="s">
        <v>733</v>
      </c>
      <c r="P15" s="66" t="s">
        <v>723</v>
      </c>
      <c r="Q15" s="63">
        <v>0</v>
      </c>
      <c r="R15" s="63">
        <f ca="1">ROUND(('TUSD BE'!$AM$46+'TUSD BF'!$AM$46+'TUSD CVA'!$AM$46)*(1-CUSTOS!$M$38),2)</f>
        <v>274.64</v>
      </c>
      <c r="S15" s="63">
        <f>ROUND(('TE BE'!$AB$35+'TE BF'!$AB$35+'TE CVA'!$AB$35)*(1-CUSTOS!$M$38),2)</f>
        <v>186.29</v>
      </c>
      <c r="T15" s="63">
        <v>0</v>
      </c>
      <c r="U15" s="63">
        <f ca="1">ROUND(('TUSD BE'!$AM$46)*(1-CUSTOS!$M$38),2)</f>
        <v>381.82</v>
      </c>
      <c r="V15" s="63">
        <f>ROUND(('TE BE'!$AB$35)*(1-CUSTOS!$M$38),2)</f>
        <v>178.71</v>
      </c>
    </row>
    <row r="16" spans="1:22" ht="11.25" customHeight="1" x14ac:dyDescent="0.25">
      <c r="A16" s="122"/>
      <c r="B16" s="123" t="s">
        <v>724</v>
      </c>
      <c r="C16" s="123" t="s">
        <v>25</v>
      </c>
      <c r="D16" s="66" t="s">
        <v>723</v>
      </c>
      <c r="E16" s="63">
        <f ca="1">ROUND('TUSD BE'!$AM$14+'TUSD BF'!$AM$14+'TUSD CVA'!$AM$14,2)</f>
        <v>30.45</v>
      </c>
      <c r="F16" s="63">
        <v>0</v>
      </c>
      <c r="G16" s="63">
        <v>0</v>
      </c>
      <c r="H16" s="63">
        <f ca="1">ROUND('TUSD BE'!$AM$14,2)</f>
        <v>53.49</v>
      </c>
      <c r="I16" s="63">
        <v>0</v>
      </c>
      <c r="J16" s="63">
        <v>0</v>
      </c>
      <c r="L16" s="126"/>
      <c r="M16" s="66" t="s">
        <v>731</v>
      </c>
      <c r="N16" s="66" t="s">
        <v>732</v>
      </c>
      <c r="O16" s="66" t="s">
        <v>733</v>
      </c>
      <c r="P16" s="66" t="s">
        <v>723</v>
      </c>
      <c r="Q16" s="63">
        <v>0</v>
      </c>
      <c r="R16" s="63">
        <f ca="1">ROUND(('TUSD BE'!$AM$37+'TUSD BF'!$AM$37+'TUSD CVA'!$AM$37)*(1-CUSTOS!$M$38),2)</f>
        <v>274.64</v>
      </c>
      <c r="S16" s="63">
        <f>ROUND(('TE BE'!$AB$26+'TE BF'!$AB$26+'TE CVA'!$AB$26)*(1-CUSTOS!$M$38),2)</f>
        <v>186.29</v>
      </c>
      <c r="T16" s="63">
        <v>0</v>
      </c>
      <c r="U16" s="63">
        <f ca="1">ROUND(('TUSD BE'!$AM$37)*(1-CUSTOS!$M$38),2)</f>
        <v>381.82</v>
      </c>
      <c r="V16" s="63">
        <f>ROUND(('TE BE'!$AB$26)*(1-CUSTOS!$M$38),2)</f>
        <v>178.71</v>
      </c>
    </row>
    <row r="17" spans="1:22" ht="11.25" customHeight="1" x14ac:dyDescent="0.25">
      <c r="A17" s="122"/>
      <c r="B17" s="122"/>
      <c r="C17" s="122"/>
      <c r="D17" s="66" t="s">
        <v>720</v>
      </c>
      <c r="E17" s="63">
        <v>0</v>
      </c>
      <c r="F17" s="63">
        <f ca="1">ROUND('TUSD BE'!$AM$17+'TUSD BF'!$AM$17+'TUSD CVA'!$AM$17,2)</f>
        <v>1218.55</v>
      </c>
      <c r="G17" s="63">
        <v>0</v>
      </c>
      <c r="H17" s="63">
        <v>0</v>
      </c>
      <c r="I17" s="63">
        <f ca="1">ROUND('TUSD BE'!$AM$17,2)</f>
        <v>2153.89</v>
      </c>
      <c r="J17" s="63">
        <v>0</v>
      </c>
      <c r="L17" s="126"/>
      <c r="M17" s="125" t="s">
        <v>726</v>
      </c>
      <c r="N17" s="125" t="s">
        <v>732</v>
      </c>
      <c r="O17" s="125" t="s">
        <v>734</v>
      </c>
      <c r="P17" s="66" t="s">
        <v>720</v>
      </c>
      <c r="Q17" s="63">
        <v>0</v>
      </c>
      <c r="R17" s="63">
        <f ca="1">ROUND(('TUSD BE'!$AM$38+'TUSD BF'!$AM$38+'TUSD CVA'!$AM$38)*(1-CUSTOS!$M$39),2)</f>
        <v>495.4</v>
      </c>
      <c r="S17" s="63">
        <f>ROUND(('TE BE'!$AB$27+'TE BF'!$AB$27+'TE CVA'!$AB$27)*(1-CUSTOS!$M$39),2)</f>
        <v>186.29</v>
      </c>
      <c r="T17" s="63">
        <v>0</v>
      </c>
      <c r="U17" s="63">
        <f ca="1">ROUND('TUSD BE'!$AM$38*(1-CUSTOS!$M$39),2)</f>
        <v>735.05</v>
      </c>
      <c r="V17" s="63">
        <f>ROUND('TE BE'!$AB$27*(1-CUSTOS!$M$39),2)</f>
        <v>178.71</v>
      </c>
    </row>
    <row r="18" spans="1:22" ht="11.25" customHeight="1" x14ac:dyDescent="0.25">
      <c r="A18" s="122"/>
      <c r="B18" s="122"/>
      <c r="C18" s="122"/>
      <c r="D18" s="66" t="s">
        <v>721</v>
      </c>
      <c r="E18" s="63">
        <v>0</v>
      </c>
      <c r="F18" s="63">
        <f ca="1">ROUND('TUSD BE'!$AM$18+'TUSD BF'!$AM$18+'TUSD CVA'!$AM$18,2)</f>
        <v>8.69</v>
      </c>
      <c r="G18" s="63">
        <v>0</v>
      </c>
      <c r="H18" s="63">
        <v>0</v>
      </c>
      <c r="I18" s="63">
        <f ca="1">ROUND('TUSD BE'!$AM$18,2)</f>
        <v>9.16</v>
      </c>
      <c r="J18" s="63">
        <v>0</v>
      </c>
      <c r="L18" s="126"/>
      <c r="M18" s="126"/>
      <c r="N18" s="126"/>
      <c r="O18" s="126"/>
      <c r="P18" s="66" t="s">
        <v>728</v>
      </c>
      <c r="Q18" s="63">
        <v>0</v>
      </c>
      <c r="R18" s="63">
        <f ca="1">ROUND(('TUSD BE'!$AM$39+'TUSD BF'!$AM$39+'TUSD CVA'!$AM$39)*(1-CUSTOS!$M$39),2)</f>
        <v>305.55</v>
      </c>
      <c r="S18" s="63">
        <f>ROUND(('TE BE'!$AB$28+'TE BF'!$AB$28+'TE CVA'!$AB$28)*(1-CUSTOS!$M$39),2)</f>
        <v>186.29</v>
      </c>
      <c r="T18" s="63">
        <v>0</v>
      </c>
      <c r="U18" s="63">
        <f ca="1">ROUND('TUSD BE'!$AM$39*(1-CUSTOS!$M$39),2)</f>
        <v>431.28</v>
      </c>
      <c r="V18" s="63">
        <f>ROUND('TE BE'!$AB$28*(1-CUSTOS!$M$39),2)</f>
        <v>178.71</v>
      </c>
    </row>
    <row r="19" spans="1:22" ht="11.25" customHeight="1" x14ac:dyDescent="0.25">
      <c r="A19" s="122"/>
      <c r="B19" s="66" t="s">
        <v>56</v>
      </c>
      <c r="C19" s="66" t="s">
        <v>25</v>
      </c>
      <c r="D19" s="66" t="s">
        <v>723</v>
      </c>
      <c r="E19" s="63">
        <f ca="1">ROUND('TUSD BE'!$AM$13+'TUSD BF'!$AM$13+'TUSD CVA'!$AM$13,2)</f>
        <v>16.13</v>
      </c>
      <c r="F19" s="63">
        <v>0</v>
      </c>
      <c r="G19" s="63">
        <v>0</v>
      </c>
      <c r="H19" s="63">
        <f ca="1">ROUND('TUSD BE'!$AM$13,2)</f>
        <v>40.25</v>
      </c>
      <c r="I19" s="63">
        <v>0</v>
      </c>
      <c r="J19" s="63">
        <v>0</v>
      </c>
      <c r="L19" s="126"/>
      <c r="M19" s="127"/>
      <c r="N19" s="127"/>
      <c r="O19" s="127"/>
      <c r="P19" s="66" t="s">
        <v>721</v>
      </c>
      <c r="Q19" s="63">
        <v>0</v>
      </c>
      <c r="R19" s="63">
        <f ca="1">ROUND(('TUSD BE'!$AM$40+'TUSD BF'!$AM$40+'TUSD CVA'!$AM$40)*(1-CUSTOS!$M$39),2)</f>
        <v>234.67</v>
      </c>
      <c r="S19" s="63">
        <f>ROUND(('TE BE'!$AB$29+'TE BF'!$AB$29+'TE CVA'!$AB$29)*(1-CUSTOS!$M$39),2)</f>
        <v>186.29</v>
      </c>
      <c r="T19" s="63">
        <v>0</v>
      </c>
      <c r="U19" s="63">
        <f ca="1">ROUND('TUSD BE'!$AM$40*(1-CUSTOS!$M$39),2)</f>
        <v>317.87</v>
      </c>
      <c r="V19" s="63">
        <f>ROUND('TE BE'!$AB$29*(1-CUSTOS!$M$39),2)</f>
        <v>178.71</v>
      </c>
    </row>
    <row r="20" spans="1:22" ht="11.25" customHeight="1" x14ac:dyDescent="0.25">
      <c r="L20" s="126"/>
      <c r="M20" s="66" t="s">
        <v>729</v>
      </c>
      <c r="N20" s="66" t="s">
        <v>732</v>
      </c>
      <c r="O20" s="66" t="s">
        <v>734</v>
      </c>
      <c r="P20" s="66" t="s">
        <v>723</v>
      </c>
      <c r="Q20" s="63">
        <v>0</v>
      </c>
      <c r="R20" s="63">
        <f ca="1">ROUND(('TUSD BE'!$AM$46+'TUSD BF'!$AM$46+'TUSD CVA'!$AM$46)*(1-CUSTOS!$M$39),2)</f>
        <v>274.64</v>
      </c>
      <c r="S20" s="63">
        <f>ROUND(('TE BE'!$AB$35+'TE BF'!$AB$35+'TE CVA'!$AB$35)*(1-CUSTOS!$M$39),2)</f>
        <v>186.29</v>
      </c>
      <c r="T20" s="63">
        <v>0</v>
      </c>
      <c r="U20" s="63">
        <f ca="1">ROUND(('TUSD BE'!$AM$46)*(1-CUSTOS!$M$39),2)</f>
        <v>381.82</v>
      </c>
      <c r="V20" s="63">
        <f>ROUND(('TE BE'!$AB$35)*(1-CUSTOS!$M$39),2)</f>
        <v>178.71</v>
      </c>
    </row>
    <row r="21" spans="1:22" ht="11.25" customHeight="1" x14ac:dyDescent="0.25">
      <c r="L21" s="126"/>
      <c r="M21" s="66" t="s">
        <v>731</v>
      </c>
      <c r="N21" s="66" t="s">
        <v>732</v>
      </c>
      <c r="O21" s="66" t="s">
        <v>734</v>
      </c>
      <c r="P21" s="66" t="s">
        <v>723</v>
      </c>
      <c r="Q21" s="63">
        <v>0</v>
      </c>
      <c r="R21" s="63">
        <f ca="1">ROUND(('TUSD BE'!$AM$37+'TUSD BF'!$AM$37+'TUSD CVA'!$AM$37)*(1-CUSTOS!$M$39),2)</f>
        <v>274.64</v>
      </c>
      <c r="S21" s="63">
        <f>ROUND(('TE BE'!$AB$26+'TE BF'!$AB$26+'TE CVA'!$AB$26)*(1-CUSTOS!$M$39),2)</f>
        <v>186.29</v>
      </c>
      <c r="T21" s="63">
        <v>0</v>
      </c>
      <c r="U21" s="63">
        <f ca="1">ROUND(('TUSD BE'!$AM$37)*(1-CUSTOS!$M$39),2)</f>
        <v>381.82</v>
      </c>
      <c r="V21" s="63">
        <f>ROUND(('TE BE'!$AB$26)*(1-CUSTOS!$M$39),2)</f>
        <v>178.71</v>
      </c>
    </row>
    <row r="22" spans="1:22" ht="11.25" customHeight="1" x14ac:dyDescent="0.25">
      <c r="L22" s="126"/>
      <c r="M22" s="125" t="s">
        <v>726</v>
      </c>
      <c r="N22" s="125" t="s">
        <v>732</v>
      </c>
      <c r="O22" s="125" t="s">
        <v>735</v>
      </c>
      <c r="P22" s="66" t="s">
        <v>720</v>
      </c>
      <c r="Q22" s="63">
        <v>0</v>
      </c>
      <c r="R22" s="63">
        <f ca="1">ROUND(('TUSD BE'!$AM$42+'TUSD BF'!$AM$42+'TUSD CVA'!$AM$42)*(1-CUSTOS!$M$40),2)</f>
        <v>484.86</v>
      </c>
      <c r="S22" s="63">
        <f>ROUND(('TE BE'!$AB$31+'TE BF'!$AB$31+'TE CVA'!$AB$31)*(1-CUSTOS!$M$40),2)</f>
        <v>182.33</v>
      </c>
      <c r="T22" s="63">
        <v>0</v>
      </c>
      <c r="U22" s="63">
        <f ca="1">ROUND('TUSD BE'!$AM$42*(1-CUSTOS!$M$40),2)</f>
        <v>719.41</v>
      </c>
      <c r="V22" s="63">
        <f>ROUND('TE BE'!$AB$31*(1-CUSTOS!$M$40),2)</f>
        <v>174.9</v>
      </c>
    </row>
    <row r="23" spans="1:22" ht="11.25" customHeight="1" x14ac:dyDescent="0.25">
      <c r="L23" s="126"/>
      <c r="M23" s="126"/>
      <c r="N23" s="126"/>
      <c r="O23" s="126"/>
      <c r="P23" s="66" t="s">
        <v>728</v>
      </c>
      <c r="Q23" s="63">
        <v>0</v>
      </c>
      <c r="R23" s="63">
        <f ca="1">ROUND(('TUSD BE'!$AM$43+'TUSD BF'!$AM$43+'TUSD CVA'!$AM$43)*(1-CUSTOS!$M$40),2)</f>
        <v>299.05</v>
      </c>
      <c r="S23" s="63">
        <f>ROUND(('TE BE'!$AB$32+'TE BF'!$AB$32+'TE CVA'!$AB$32)*(1-CUSTOS!$M$40),2)</f>
        <v>182.33</v>
      </c>
      <c r="T23" s="63">
        <v>0</v>
      </c>
      <c r="U23" s="63">
        <f ca="1">ROUND('TUSD BE'!$AM$43*(1-CUSTOS!$M$40),2)</f>
        <v>422.1</v>
      </c>
      <c r="V23" s="63">
        <f>ROUND('TE BE'!$AB$32*(1-CUSTOS!$M$40),2)</f>
        <v>174.9</v>
      </c>
    </row>
    <row r="24" spans="1:22" ht="11.25" customHeight="1" x14ac:dyDescent="0.25">
      <c r="L24" s="126"/>
      <c r="M24" s="127"/>
      <c r="N24" s="127"/>
      <c r="O24" s="127"/>
      <c r="P24" s="66" t="s">
        <v>721</v>
      </c>
      <c r="Q24" s="63">
        <v>0</v>
      </c>
      <c r="R24" s="63">
        <f ca="1">ROUND(('TUSD BE'!$AM$44+'TUSD BF'!$AM$44+'TUSD CVA'!$AM$44)*(1-CUSTOS!$M$40),2)</f>
        <v>229.67</v>
      </c>
      <c r="S24" s="63">
        <f>ROUND(('TE BE'!$AB$33+'TE BF'!$AB$33+'TE CVA'!$AB$33)*(1-CUSTOS!$M$40),2)</f>
        <v>182.33</v>
      </c>
      <c r="T24" s="63">
        <v>0</v>
      </c>
      <c r="U24" s="63">
        <f ca="1">ROUND('TUSD BE'!$AM$44*(1-CUSTOS!$M$40),2)</f>
        <v>311.10000000000002</v>
      </c>
      <c r="V24" s="63">
        <f>ROUND('TE BE'!$AB$33*(1-CUSTOS!$M$40),2)</f>
        <v>174.9</v>
      </c>
    </row>
    <row r="25" spans="1:22" ht="11.25" customHeight="1" x14ac:dyDescent="0.25">
      <c r="L25" s="126"/>
      <c r="M25" s="66" t="s">
        <v>729</v>
      </c>
      <c r="N25" s="66" t="s">
        <v>732</v>
      </c>
      <c r="O25" s="66" t="s">
        <v>735</v>
      </c>
      <c r="P25" s="66" t="s">
        <v>723</v>
      </c>
      <c r="Q25" s="63">
        <v>0</v>
      </c>
      <c r="R25" s="63">
        <f ca="1">ROUND(('TUSD BE'!$AM$46+'TUSD BF'!$AM$46+'TUSD CVA'!$AM$46)*(1-CUSTOS!$M$40),2)</f>
        <v>268.79000000000002</v>
      </c>
      <c r="S25" s="63">
        <f>ROUND(('TE BE'!$AB$35+'TE BF'!$AB$35+'TE CVA'!$AB$35)*(1-CUSTOS!$M$40),2)</f>
        <v>182.33</v>
      </c>
      <c r="T25" s="63">
        <v>0</v>
      </c>
      <c r="U25" s="63">
        <f ca="1">ROUND(('TUSD BE'!$AM$46)*(1-CUSTOS!$M$40),2)</f>
        <v>373.69</v>
      </c>
      <c r="V25" s="63">
        <f>ROUND(('TE BE'!$AB$35)*(1-CUSTOS!$M$40),2)</f>
        <v>174.9</v>
      </c>
    </row>
    <row r="26" spans="1:22" ht="11.25" customHeight="1" x14ac:dyDescent="0.25">
      <c r="L26" s="127"/>
      <c r="M26" s="66" t="s">
        <v>731</v>
      </c>
      <c r="N26" s="66" t="s">
        <v>732</v>
      </c>
      <c r="O26" s="66" t="s">
        <v>735</v>
      </c>
      <c r="P26" s="66" t="s">
        <v>723</v>
      </c>
      <c r="Q26" s="63">
        <v>0</v>
      </c>
      <c r="R26" s="63">
        <f ca="1">ROUND(('TUSD BE'!$AM$37+'TUSD BF'!$AM$37+'TUSD CVA'!$AM$37)*(1-CUSTOS!$M$40),2)</f>
        <v>268.79000000000002</v>
      </c>
      <c r="S26" s="63">
        <f>ROUND(('TE BE'!$AB$26+'TE BF'!$AB$26+'TE CVA'!$AB$26)*(1-CUSTOS!$M$40),2)</f>
        <v>182.33</v>
      </c>
      <c r="T26" s="63">
        <v>0</v>
      </c>
      <c r="U26" s="63">
        <f ca="1">ROUND(('TUSD BE'!$AM$37)*(1-CUSTOS!$M$40),2)</f>
        <v>373.69</v>
      </c>
      <c r="V26" s="63">
        <f>ROUND(('TE BE'!$AB$26)*(1-CUSTOS!$M$40),2)</f>
        <v>174.9</v>
      </c>
    </row>
    <row r="27" spans="1:22" ht="11.25" customHeight="1" x14ac:dyDescent="0.25">
      <c r="L27" s="125" t="s">
        <v>33</v>
      </c>
      <c r="M27" s="125" t="s">
        <v>726</v>
      </c>
      <c r="N27" s="125" t="s">
        <v>723</v>
      </c>
      <c r="O27" s="125" t="s">
        <v>723</v>
      </c>
      <c r="P27" s="66" t="s">
        <v>720</v>
      </c>
      <c r="Q27" s="63">
        <v>0</v>
      </c>
      <c r="R27" s="63">
        <f ca="1">ROUND(('TUSD BE'!$AM$49+'TUSD BF'!$AM$49+'TUSD CVA'!$AM$49)*(1-CUSTOS!$M$31),2)</f>
        <v>561.46</v>
      </c>
      <c r="S27" s="63">
        <f>ROUND(('TE BE'!$AB$38+'TE BF'!$AB$38+'TE CVA'!$AB$38)*(1-CUSTOS!$M$31),2)</f>
        <v>198.18</v>
      </c>
      <c r="T27" s="63">
        <v>0</v>
      </c>
      <c r="U27" s="63">
        <f ca="1">ROUND('TUSD BE'!$AM$49*(1-CUSTOS!$M$31),2)</f>
        <v>837.08</v>
      </c>
      <c r="V27" s="63">
        <f>ROUND('TE BE'!$AB$38*(1-CUSTOS!$M$31),2)</f>
        <v>190.11</v>
      </c>
    </row>
    <row r="28" spans="1:22" ht="11.25" customHeight="1" x14ac:dyDescent="0.25">
      <c r="L28" s="126"/>
      <c r="M28" s="126"/>
      <c r="N28" s="126"/>
      <c r="O28" s="126"/>
      <c r="P28" s="66" t="s">
        <v>728</v>
      </c>
      <c r="Q28" s="63">
        <v>0</v>
      </c>
      <c r="R28" s="63">
        <f ca="1">ROUND(('TUSD BE'!$AM$50+'TUSD BF'!$AM$50+'TUSD CVA'!$AM$50)*(1-CUSTOS!$M$31),2)</f>
        <v>338.23</v>
      </c>
      <c r="S28" s="63">
        <f>ROUND(('TE BE'!$AB$39+'TE BF'!$AB$39+'TE CVA'!$AB$39)*(1-CUSTOS!$M$31),2)</f>
        <v>198.18</v>
      </c>
      <c r="T28" s="63">
        <v>0</v>
      </c>
      <c r="U28" s="63">
        <f ca="1">ROUND('TUSD BE'!$AM$50*(1-CUSTOS!$M$31),2)</f>
        <v>479.9</v>
      </c>
      <c r="V28" s="63">
        <f>ROUND('TE BE'!$AB$39*(1-CUSTOS!$M$31),2)</f>
        <v>190.11</v>
      </c>
    </row>
    <row r="29" spans="1:22" ht="11.25" customHeight="1" x14ac:dyDescent="0.25">
      <c r="L29" s="126"/>
      <c r="M29" s="127"/>
      <c r="N29" s="127"/>
      <c r="O29" s="127"/>
      <c r="P29" s="66" t="s">
        <v>721</v>
      </c>
      <c r="Q29" s="63">
        <v>0</v>
      </c>
      <c r="R29" s="63">
        <f ca="1">ROUND(('TUSD BE'!$AM$51+'TUSD BF'!$AM$51+'TUSD CVA'!$AM$51)*(1-CUSTOS!$M$31),2)</f>
        <v>263.82</v>
      </c>
      <c r="S29" s="63">
        <f>ROUND(('TE BE'!$AB$40+'TE BF'!$AB$40+'TE CVA'!$AB$40)*(1-CUSTOS!$M$31),2)</f>
        <v>198.18</v>
      </c>
      <c r="T29" s="63">
        <v>0</v>
      </c>
      <c r="U29" s="63">
        <f ca="1">ROUND('TUSD BE'!$AM$51*(1-CUSTOS!$M$31),2)</f>
        <v>360.83</v>
      </c>
      <c r="V29" s="63">
        <f>ROUND('TE BE'!$AB$40*(1-CUSTOS!$M$31),2)</f>
        <v>190.11</v>
      </c>
    </row>
    <row r="30" spans="1:22" ht="11.25" customHeight="1" x14ac:dyDescent="0.25">
      <c r="L30" s="126"/>
      <c r="M30" s="66" t="s">
        <v>729</v>
      </c>
      <c r="N30" s="66" t="s">
        <v>723</v>
      </c>
      <c r="O30" s="66" t="s">
        <v>723</v>
      </c>
      <c r="P30" s="66" t="s">
        <v>723</v>
      </c>
      <c r="Q30" s="63">
        <v>0</v>
      </c>
      <c r="R30" s="63">
        <f ca="1">ROUND(('TUSD BE'!$AM$53+'TUSD BF'!$AM$53+'TUSD CVA'!$AM$53)*(1-CUSTOS!$M$31),2)</f>
        <v>292.17</v>
      </c>
      <c r="S30" s="63">
        <f>ROUND(('TE BE'!$AB$42+'TE BF'!$AB$42+'TE CVA'!$AB$42)*(1-CUSTOS!$M$31),2)</f>
        <v>198.18</v>
      </c>
      <c r="T30" s="63">
        <v>0</v>
      </c>
      <c r="U30" s="63">
        <f ca="1">ROUND(('TUSD BE'!$AM$53)*(1-CUSTOS!$M$31),2)</f>
        <v>406.19</v>
      </c>
      <c r="V30" s="63">
        <f>ROUND(('TE BE'!$AB$42)*(1-CUSTOS!$M$31),2)</f>
        <v>190.11</v>
      </c>
    </row>
    <row r="31" spans="1:22" ht="11.25" customHeight="1" x14ac:dyDescent="0.25">
      <c r="L31" s="127"/>
      <c r="M31" s="66" t="s">
        <v>731</v>
      </c>
      <c r="N31" s="66" t="s">
        <v>723</v>
      </c>
      <c r="O31" s="66" t="s">
        <v>723</v>
      </c>
      <c r="P31" s="66" t="s">
        <v>723</v>
      </c>
      <c r="Q31" s="63">
        <v>0</v>
      </c>
      <c r="R31" s="63">
        <f ca="1">ROUND(('TUSD BE'!$AM$52+'TUSD BF'!$AM$52+'TUSD CVA'!$AM$52)*(1-CUSTOS!$M$31),2)</f>
        <v>292.17</v>
      </c>
      <c r="S31" s="63">
        <f>ROUND(('TE BE'!$AB$41+'TE BF'!$AB$41+'TE CVA'!$AB$41)*(1-CUSTOS!$M$31),2)</f>
        <v>198.18</v>
      </c>
      <c r="T31" s="63">
        <v>0</v>
      </c>
      <c r="U31" s="63">
        <f ca="1">ROUND(('TUSD BE'!$AM$52)*(1-CUSTOS!$M$31),2)</f>
        <v>406.19</v>
      </c>
      <c r="V31" s="63">
        <f>ROUND(('TE BE'!$AB$41)*(1-CUSTOS!$M$31),2)</f>
        <v>190.11</v>
      </c>
    </row>
    <row r="32" spans="1:22" ht="11.25" customHeight="1" x14ac:dyDescent="0.25">
      <c r="L32" s="125" t="s">
        <v>44</v>
      </c>
      <c r="M32" s="125" t="s">
        <v>731</v>
      </c>
      <c r="N32" s="125" t="s">
        <v>736</v>
      </c>
      <c r="O32" s="66" t="s">
        <v>737</v>
      </c>
      <c r="P32" s="66" t="s">
        <v>723</v>
      </c>
      <c r="Q32" s="63">
        <v>0</v>
      </c>
      <c r="R32" s="63">
        <f ca="1">ROUND(('TUSD BE'!$AM$54+'TUSD BF'!$AM$54+'TUSD CVA'!$AM$54),2)</f>
        <v>160.69</v>
      </c>
      <c r="S32" s="63">
        <f>ROUND(('TE BE'!$AB$43+'TE BF'!$AB$43+'TE CVA'!$AB$43),2)</f>
        <v>109</v>
      </c>
      <c r="T32" s="63">
        <v>0</v>
      </c>
      <c r="U32" s="63">
        <f ca="1">ROUND(('TUSD BE'!$AM$54),2)</f>
        <v>223.4</v>
      </c>
      <c r="V32" s="63">
        <f>ROUND(('TE BE'!$AB$43),2)</f>
        <v>104.56</v>
      </c>
    </row>
    <row r="33" spans="12:22" ht="11.25" customHeight="1" x14ac:dyDescent="0.25">
      <c r="L33" s="127"/>
      <c r="M33" s="127"/>
      <c r="N33" s="127"/>
      <c r="O33" s="66" t="s">
        <v>738</v>
      </c>
      <c r="P33" s="66" t="s">
        <v>723</v>
      </c>
      <c r="Q33" s="63">
        <v>0</v>
      </c>
      <c r="R33" s="63">
        <f ca="1">ROUND(('TUSD BE'!$AM$55+'TUSD BF'!$AM$55+'TUSD CVA'!$AM$55),2)</f>
        <v>175.3</v>
      </c>
      <c r="S33" s="63">
        <f>ROUND(('TE BE'!$AB$44+'TE BF'!$AB$44+'TE CVA'!$AB$44),2)</f>
        <v>118.91</v>
      </c>
      <c r="T33" s="63">
        <v>0</v>
      </c>
      <c r="U33" s="63">
        <f ca="1">ROUND(('TUSD BE'!$AM$55),2)</f>
        <v>243.71</v>
      </c>
      <c r="V33" s="63">
        <f>ROUND(('TE BE'!$AB$44),2)</f>
        <v>114.07</v>
      </c>
    </row>
    <row r="34" spans="12:22" ht="11.25" customHeight="1" x14ac:dyDescent="0.25">
      <c r="L34" s="125" t="s">
        <v>91</v>
      </c>
      <c r="M34" s="125" t="s">
        <v>58</v>
      </c>
      <c r="N34" s="66" t="s">
        <v>92</v>
      </c>
      <c r="O34" s="66" t="s">
        <v>723</v>
      </c>
      <c r="P34" s="66" t="s">
        <v>723</v>
      </c>
      <c r="Q34" s="63">
        <f ca="1">ROUND(('TUSD BE'!$AM$19+'TUSD BF'!$AM$19+'TUSD CVA'!$AM$19),2)</f>
        <v>1.61</v>
      </c>
      <c r="R34" s="63">
        <v>0</v>
      </c>
      <c r="S34" s="63">
        <v>0</v>
      </c>
      <c r="T34" s="63">
        <f ca="1">ROUND(('TUSD BE'!$AM$19),2)</f>
        <v>4.0199999999999996</v>
      </c>
      <c r="U34" s="63">
        <v>0</v>
      </c>
      <c r="V34" s="63">
        <v>0</v>
      </c>
    </row>
    <row r="35" spans="12:22" ht="11.25" customHeight="1" x14ac:dyDescent="0.25">
      <c r="L35" s="127"/>
      <c r="M35" s="127"/>
      <c r="N35" s="66" t="s">
        <v>93</v>
      </c>
      <c r="O35" s="66" t="s">
        <v>723</v>
      </c>
      <c r="P35" s="66" t="s">
        <v>723</v>
      </c>
      <c r="Q35" s="63">
        <f ca="1">ROUND(('TUSD BE'!$AM$20+'TUSD BF'!$AM$20+'TUSD CVA'!$AM$20),2)</f>
        <v>6.34</v>
      </c>
      <c r="R35" s="63">
        <v>0</v>
      </c>
      <c r="S35" s="63">
        <v>0</v>
      </c>
      <c r="T35" s="63">
        <f ca="1">ROUND(('TUSD BE'!$AM$20),2)</f>
        <v>15.87</v>
      </c>
      <c r="U35" s="63">
        <v>0</v>
      </c>
      <c r="V35" s="63">
        <v>0</v>
      </c>
    </row>
  </sheetData>
  <mergeCells count="56">
    <mergeCell ref="O5:O7"/>
    <mergeCell ref="O12:O14"/>
    <mergeCell ref="O17:O19"/>
    <mergeCell ref="O22:O24"/>
    <mergeCell ref="O27:O29"/>
    <mergeCell ref="M32:M33"/>
    <mergeCell ref="M34:M35"/>
    <mergeCell ref="N5:N7"/>
    <mergeCell ref="N12:N14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L5:L11"/>
    <mergeCell ref="L12:L26"/>
    <mergeCell ref="L27:L31"/>
    <mergeCell ref="L32:L33"/>
    <mergeCell ref="L34:L35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C16:C18"/>
    <mergeCell ref="A5:A8"/>
    <mergeCell ref="A9:A19"/>
    <mergeCell ref="B5:B6"/>
    <mergeCell ref="B7:B8"/>
    <mergeCell ref="B9:B10"/>
    <mergeCell ref="B11:B12"/>
    <mergeCell ref="B13:B15"/>
    <mergeCell ref="B16:B18"/>
    <mergeCell ref="C5:C6"/>
    <mergeCell ref="C7:C8"/>
    <mergeCell ref="C9:C10"/>
    <mergeCell ref="C11:C12"/>
    <mergeCell ref="C13:C15"/>
    <mergeCell ref="A1:J1"/>
    <mergeCell ref="A2:A4"/>
    <mergeCell ref="B2:B4"/>
    <mergeCell ref="C2:C4"/>
    <mergeCell ref="D2:D4"/>
    <mergeCell ref="E2:G2"/>
    <mergeCell ref="E3:F3"/>
    <mergeCell ref="H2:J2"/>
    <mergeCell ref="H3:I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FC2CA-D85D-4D19-A7D5-A5A27E63FCAF}">
  <dimension ref="A1:AN1099"/>
  <sheetViews>
    <sheetView showGridLines="0" topLeftCell="V1" workbookViewId="0">
      <selection activeCell="AG25" sqref="AG25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24" style="4" bestFit="1" customWidth="1"/>
    <col min="8" max="8" width="10.28515625" style="4" bestFit="1" customWidth="1"/>
    <col min="9" max="9" width="8.7109375" style="5" bestFit="1" customWidth="1"/>
    <col min="10" max="10" width="10.140625" style="6" bestFit="1" customWidth="1"/>
    <col min="11" max="11" width="10.5703125" style="6" bestFit="1" customWidth="1"/>
    <col min="12" max="12" width="10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8.42578125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69" t="s">
        <v>0</v>
      </c>
      <c r="B1" s="69" t="s">
        <v>1</v>
      </c>
      <c r="C1" s="69" t="s">
        <v>2</v>
      </c>
      <c r="D1" s="69" t="s">
        <v>3</v>
      </c>
      <c r="E1" s="69" t="s">
        <v>4</v>
      </c>
      <c r="F1" s="69" t="s">
        <v>5</v>
      </c>
      <c r="G1" s="69" t="s">
        <v>6</v>
      </c>
      <c r="H1" s="69" t="s">
        <v>7</v>
      </c>
      <c r="I1" s="77" t="s">
        <v>8</v>
      </c>
      <c r="J1" s="65" t="s">
        <v>686</v>
      </c>
      <c r="K1" s="65" t="s">
        <v>687</v>
      </c>
      <c r="L1" s="65" t="s">
        <v>688</v>
      </c>
      <c r="M1" s="65" t="s">
        <v>689</v>
      </c>
      <c r="N1" s="65" t="s">
        <v>690</v>
      </c>
      <c r="O1" s="65" t="s">
        <v>691</v>
      </c>
      <c r="P1" s="7"/>
      <c r="Q1" s="119" t="s">
        <v>692</v>
      </c>
      <c r="R1" s="124"/>
      <c r="S1" s="124"/>
      <c r="T1" s="124"/>
      <c r="U1" s="124"/>
      <c r="V1" s="124"/>
      <c r="W1" s="124"/>
      <c r="X1" s="124"/>
      <c r="Y1" s="124"/>
      <c r="Z1" s="124"/>
      <c r="AA1" s="124"/>
      <c r="AB1" s="124"/>
      <c r="AC1" s="124"/>
      <c r="AD1" s="124"/>
      <c r="AE1" s="124"/>
      <c r="AF1" s="124"/>
      <c r="AG1" s="124"/>
      <c r="AH1" s="124"/>
      <c r="AI1" s="124"/>
      <c r="AJ1" s="124"/>
      <c r="AL1" s="69" t="s">
        <v>713</v>
      </c>
      <c r="AM1" s="69" t="s">
        <v>69</v>
      </c>
      <c r="AN1" s="69" t="s">
        <v>714</v>
      </c>
    </row>
    <row r="2" spans="1:40" ht="11.25" customHeight="1" x14ac:dyDescent="0.2">
      <c r="A2" s="70" t="s">
        <v>21</v>
      </c>
      <c r="B2" s="70" t="s">
        <v>53</v>
      </c>
      <c r="C2" s="70" t="s">
        <v>36</v>
      </c>
      <c r="D2" s="70" t="s">
        <v>34</v>
      </c>
      <c r="E2" s="70" t="s">
        <v>25</v>
      </c>
      <c r="F2" s="70" t="s">
        <v>25</v>
      </c>
      <c r="G2" s="70" t="s">
        <v>25</v>
      </c>
      <c r="H2" s="70" t="s">
        <v>38</v>
      </c>
      <c r="I2" s="78">
        <v>44378</v>
      </c>
      <c r="J2" s="79">
        <f ca="1">EFEITO!$J$2*EFEITO!$Y$2</f>
        <v>36456.142799848079</v>
      </c>
      <c r="K2" s="79">
        <f ca="1">EFEITO!$L$2*EFEITO!$Z$2</f>
        <v>0</v>
      </c>
      <c r="L2" s="79">
        <f>EFEITO!$N$2*EFEITO!$AA$2</f>
        <v>0</v>
      </c>
      <c r="M2" s="79">
        <f ca="1">$J$2-EFEITO!$K$2*EFEITO!$Y$2</f>
        <v>0</v>
      </c>
      <c r="N2" s="79">
        <f ca="1">$K$2-EFEITO!$M$2*EFEITO!$Z$2</f>
        <v>0</v>
      </c>
      <c r="O2" s="79">
        <f>$L$2-EFEITO!$O$2*EFEITO!$AA$2</f>
        <v>0</v>
      </c>
      <c r="P2" s="18"/>
      <c r="Q2" s="62" t="s">
        <v>72</v>
      </c>
      <c r="R2" s="62" t="s">
        <v>694</v>
      </c>
      <c r="S2" s="62" t="s">
        <v>695</v>
      </c>
      <c r="T2" s="62" t="s">
        <v>696</v>
      </c>
      <c r="U2" s="62" t="s">
        <v>697</v>
      </c>
      <c r="V2" s="62" t="s">
        <v>698</v>
      </c>
      <c r="W2" s="62" t="s">
        <v>699</v>
      </c>
      <c r="X2" s="80" t="s">
        <v>700</v>
      </c>
      <c r="Y2" s="80" t="s">
        <v>701</v>
      </c>
      <c r="Z2" s="80" t="s">
        <v>702</v>
      </c>
      <c r="AA2" s="80" t="s">
        <v>703</v>
      </c>
      <c r="AB2" s="80" t="s">
        <v>704</v>
      </c>
      <c r="AC2" s="80" t="s">
        <v>705</v>
      </c>
      <c r="AD2" s="80" t="s">
        <v>706</v>
      </c>
      <c r="AE2" s="80" t="s">
        <v>707</v>
      </c>
      <c r="AF2" s="80" t="s">
        <v>708</v>
      </c>
      <c r="AG2" s="80" t="s">
        <v>709</v>
      </c>
      <c r="AH2" s="80" t="s">
        <v>710</v>
      </c>
      <c r="AI2" s="80" t="s">
        <v>711</v>
      </c>
      <c r="AJ2" s="80" t="s">
        <v>712</v>
      </c>
      <c r="AL2" s="70"/>
      <c r="AM2" s="70"/>
      <c r="AN2" s="70"/>
    </row>
    <row r="3" spans="1:40" ht="11.25" customHeight="1" x14ac:dyDescent="0.2">
      <c r="A3" s="70" t="s">
        <v>21</v>
      </c>
      <c r="B3" s="70" t="s">
        <v>53</v>
      </c>
      <c r="C3" s="70" t="s">
        <v>36</v>
      </c>
      <c r="D3" s="70" t="s">
        <v>34</v>
      </c>
      <c r="E3" s="70" t="s">
        <v>25</v>
      </c>
      <c r="F3" s="70" t="s">
        <v>25</v>
      </c>
      <c r="G3" s="70" t="s">
        <v>25</v>
      </c>
      <c r="H3" s="70" t="s">
        <v>38</v>
      </c>
      <c r="I3" s="78">
        <v>44409</v>
      </c>
      <c r="J3" s="79">
        <f ca="1">EFEITO!$J$3*EFEITO!$Y$3</f>
        <v>36456.142799848079</v>
      </c>
      <c r="K3" s="79">
        <f ca="1">EFEITO!$L$3*EFEITO!$Z$3</f>
        <v>0</v>
      </c>
      <c r="L3" s="79">
        <f>EFEITO!$N$3*EFEITO!$AA$3</f>
        <v>0</v>
      </c>
      <c r="M3" s="79">
        <f ca="1">$J$3-EFEITO!$K$3*EFEITO!$Y$3</f>
        <v>0</v>
      </c>
      <c r="N3" s="79">
        <f ca="1">$K$3-EFEITO!$M$3*EFEITO!$Z$3</f>
        <v>0</v>
      </c>
      <c r="O3" s="79">
        <f>$L$3-EFEITO!$O$3*EFEITO!$AA$3</f>
        <v>0</v>
      </c>
      <c r="P3" s="18"/>
      <c r="Q3" s="79" t="s">
        <v>693</v>
      </c>
      <c r="R3" s="79">
        <f>SUMIF($B$2:$B$1099,$Q$3,$J$2:$J$1099)</f>
        <v>0</v>
      </c>
      <c r="S3" s="79">
        <f>SUMIF($B$2:$B$1099,$Q$3,$K$2:$K$1099)</f>
        <v>0</v>
      </c>
      <c r="T3" s="79">
        <f>SUMIF($B$2:$B$1099,$Q$3,$L$2:$L$1099)</f>
        <v>0</v>
      </c>
      <c r="U3" s="79">
        <f>SUMIF($B$2:$B$1099,$Q$3,$M$2:$M$1099)</f>
        <v>0</v>
      </c>
      <c r="V3" s="79">
        <f>SUMIF($B$2:$B$1099,$Q$3,$N$2:$N$1099)</f>
        <v>0</v>
      </c>
      <c r="W3" s="79">
        <f>SUMIF($B$2:$B$1099,$Q$3,$O$2:$O$1099)</f>
        <v>0</v>
      </c>
      <c r="X3" s="71">
        <f>$R$3-$U$3</f>
        <v>0</v>
      </c>
      <c r="Y3" s="71">
        <f>$S$3-$V$3</f>
        <v>0</v>
      </c>
      <c r="Z3" s="71">
        <f>$T$3-$W$3</f>
        <v>0</v>
      </c>
      <c r="AA3" s="71">
        <f>SUMIF(EFEITO!$B$2:$B$1099,$Q$3,EFEITO!$AE$2:$AE$1099)</f>
        <v>0</v>
      </c>
      <c r="AB3" s="71">
        <f>SUMIF(EFEITO!$B$2:$B$1099,$Q$3,EFEITO!$AF$2:$AF$1099)</f>
        <v>0</v>
      </c>
      <c r="AC3" s="71">
        <f>SUMIF(EFEITO!$B$2:$B$1099,$Q$3,EFEITO!$AG$2:$AH$1099)</f>
        <v>0</v>
      </c>
      <c r="AD3" s="71">
        <f>SUMIF(SUBSIDIO!$B$2:$B$1099,$Q$3,SUBSIDIO!$AD$2:$AD$1099)</f>
        <v>0</v>
      </c>
      <c r="AE3" s="71">
        <f>SUMIF(SUBSIDIO!$B$2:$B$1099,$Q$3,SUBSIDIO!$AE$2:$AE$1099)</f>
        <v>0</v>
      </c>
      <c r="AF3" s="71" t="str">
        <f>IF(ABS($X$3-$AA$3)&lt;0.01,"OK","ERRO")</f>
        <v>OK</v>
      </c>
      <c r="AG3" s="71" t="str">
        <f>IF(ABS($Y$3-$AB$3)&lt;0.01,"OK","ERRO")</f>
        <v>OK</v>
      </c>
      <c r="AH3" s="71" t="str">
        <f>IF(ABS($Z$3-$AC$3)&lt;0.01,"OK","ERRO")</f>
        <v>OK</v>
      </c>
      <c r="AI3" s="71" t="str">
        <f>IF(ABS($U$3-$AD$3)&lt;0.01,"OK","ERRO")</f>
        <v>OK</v>
      </c>
      <c r="AJ3" s="71" t="str">
        <f>IF(ABS(($V$3+$W$3)-$AE$3)&lt;0.01,"OK","ERRO")</f>
        <v>OK</v>
      </c>
    </row>
    <row r="4" spans="1:40" ht="11.25" customHeight="1" x14ac:dyDescent="0.2">
      <c r="A4" s="70" t="s">
        <v>21</v>
      </c>
      <c r="B4" s="70" t="s">
        <v>53</v>
      </c>
      <c r="C4" s="70" t="s">
        <v>36</v>
      </c>
      <c r="D4" s="70" t="s">
        <v>34</v>
      </c>
      <c r="E4" s="70" t="s">
        <v>25</v>
      </c>
      <c r="F4" s="70" t="s">
        <v>25</v>
      </c>
      <c r="G4" s="70" t="s">
        <v>25</v>
      </c>
      <c r="H4" s="70" t="s">
        <v>38</v>
      </c>
      <c r="I4" s="78">
        <v>44440</v>
      </c>
      <c r="J4" s="79">
        <f ca="1">EFEITO!$J$4*EFEITO!$Y$4</f>
        <v>36456.142799848079</v>
      </c>
      <c r="K4" s="79">
        <f ca="1">EFEITO!$L$4*EFEITO!$Z$4</f>
        <v>0</v>
      </c>
      <c r="L4" s="79">
        <f>EFEITO!$N$4*EFEITO!$AA$4</f>
        <v>0</v>
      </c>
      <c r="M4" s="79">
        <f ca="1">$J$4-EFEITO!$K$4*EFEITO!$Y$4</f>
        <v>0</v>
      </c>
      <c r="N4" s="79">
        <f ca="1">$K$4-EFEITO!$M$4*EFEITO!$Z$4</f>
        <v>0</v>
      </c>
      <c r="O4" s="79">
        <f>$L$4-EFEITO!$O$4*EFEITO!$AA$4</f>
        <v>0</v>
      </c>
      <c r="P4" s="18"/>
      <c r="Q4" s="79" t="s">
        <v>571</v>
      </c>
      <c r="R4" s="79">
        <f>SUMIF($B$2:$B$1099,$Q$4,$J$2:$J$1099)</f>
        <v>0</v>
      </c>
      <c r="S4" s="79">
        <f>SUMIF($B$2:$B$1099,$Q$4,$K$2:$K$1099)</f>
        <v>0</v>
      </c>
      <c r="T4" s="79">
        <f>SUMIF($B$2:$B$1099,$Q$4,$L$2:$L$1099)</f>
        <v>0</v>
      </c>
      <c r="U4" s="79">
        <f>SUMIF($B$2:$B$1099,$Q$4,$M$2:$M$1099)</f>
        <v>0</v>
      </c>
      <c r="V4" s="79">
        <f>SUMIF($B$2:$B$1099,$Q$4,$N$2:$N$1099)</f>
        <v>0</v>
      </c>
      <c r="W4" s="79">
        <f>SUMIF($B$2:$B$1099,$Q$4,$O$2:$O$1099)</f>
        <v>0</v>
      </c>
      <c r="X4" s="71">
        <f>$R$4-$U$4</f>
        <v>0</v>
      </c>
      <c r="Y4" s="71">
        <f>$S$4-$V$4</f>
        <v>0</v>
      </c>
      <c r="Z4" s="71">
        <f>$T$4-$W$4</f>
        <v>0</v>
      </c>
      <c r="AA4" s="71">
        <f>SUMIF(EFEITO!$B$2:$B$1099,$Q$4,EFEITO!$AE$2:$AE$1099)</f>
        <v>0</v>
      </c>
      <c r="AB4" s="71">
        <f>SUMIF(EFEITO!$B$2:$B$1099,$Q$4,EFEITO!$AF$2:$AF$1099)</f>
        <v>0</v>
      </c>
      <c r="AC4" s="71">
        <f>SUMIF(EFEITO!$B$2:$B$1099,$Q$4,EFEITO!$AG$2:$AH$1099)</f>
        <v>0</v>
      </c>
      <c r="AD4" s="71">
        <f>SUMIF(SUBSIDIO!$B$2:$B$1099,$Q$4,SUBSIDIO!$AD$2:$AD$1099)</f>
        <v>0</v>
      </c>
      <c r="AE4" s="71">
        <f>SUMIF(SUBSIDIO!$B$2:$B$1099,$Q$4,SUBSIDIO!$AE$2:$AE$1099)</f>
        <v>0</v>
      </c>
      <c r="AF4" s="71" t="str">
        <f>IF(ABS($X$4-$AA$4)&lt;0.01,"OK","ERRO")</f>
        <v>OK</v>
      </c>
      <c r="AG4" s="71" t="str">
        <f>IF(ABS($Y$4-$AB$4)&lt;0.01,"OK","ERRO")</f>
        <v>OK</v>
      </c>
      <c r="AH4" s="71" t="str">
        <f>IF(ABS($Z$4-$AC$4)&lt;0.01,"OK","ERRO")</f>
        <v>OK</v>
      </c>
      <c r="AI4" s="71" t="str">
        <f>IF(ABS($U$4-$AD$4)&lt;0.01,"OK","ERRO")</f>
        <v>OK</v>
      </c>
      <c r="AJ4" s="71" t="str">
        <f>IF(ABS(($V$4+$W$4)-$AE$4)&lt;0.01,"OK","ERRO")</f>
        <v>OK</v>
      </c>
    </row>
    <row r="5" spans="1:40" ht="11.25" customHeight="1" x14ac:dyDescent="0.2">
      <c r="A5" s="70" t="s">
        <v>21</v>
      </c>
      <c r="B5" s="70" t="s">
        <v>53</v>
      </c>
      <c r="C5" s="70" t="s">
        <v>36</v>
      </c>
      <c r="D5" s="70" t="s">
        <v>34</v>
      </c>
      <c r="E5" s="70" t="s">
        <v>25</v>
      </c>
      <c r="F5" s="70" t="s">
        <v>25</v>
      </c>
      <c r="G5" s="70" t="s">
        <v>25</v>
      </c>
      <c r="H5" s="70" t="s">
        <v>38</v>
      </c>
      <c r="I5" s="78">
        <v>44470</v>
      </c>
      <c r="J5" s="79">
        <f ca="1">EFEITO!$J$5*EFEITO!$Y$5</f>
        <v>36456.142799848079</v>
      </c>
      <c r="K5" s="79">
        <f ca="1">EFEITO!$L$5*EFEITO!$Z$5</f>
        <v>0</v>
      </c>
      <c r="L5" s="79">
        <f>EFEITO!$N$5*EFEITO!$AA$5</f>
        <v>0</v>
      </c>
      <c r="M5" s="79">
        <f ca="1">$J$5-EFEITO!$K$5*EFEITO!$Y$5</f>
        <v>0</v>
      </c>
      <c r="N5" s="79">
        <f ca="1">$K$5-EFEITO!$M$5*EFEITO!$Z$5</f>
        <v>0</v>
      </c>
      <c r="O5" s="79">
        <f>$L$5-EFEITO!$O$5*EFEITO!$AA$5</f>
        <v>0</v>
      </c>
      <c r="P5" s="18"/>
      <c r="Q5" s="79" t="s">
        <v>53</v>
      </c>
      <c r="R5" s="79">
        <f ca="1">SUMIF($B$2:$B$1099,$Q$5,$J$2:$J$1099)</f>
        <v>1389557.3947940667</v>
      </c>
      <c r="S5" s="79">
        <f ca="1">SUMIF($B$2:$B$1099,$Q$5,$K$2:$K$1099)</f>
        <v>1103765.4625866378</v>
      </c>
      <c r="T5" s="79">
        <f>SUMIF($B$2:$B$1099,$Q$5,$L$2:$L$1099)</f>
        <v>0</v>
      </c>
      <c r="U5" s="79">
        <f ca="1">SUMIF($B$2:$B$1099,$Q$5,$M$2:$M$1099)</f>
        <v>0</v>
      </c>
      <c r="V5" s="79">
        <f ca="1">SUMIF($B$2:$B$1099,$Q$5,$N$2:$N$1099)</f>
        <v>0</v>
      </c>
      <c r="W5" s="79">
        <f>SUMIF($B$2:$B$1099,$Q$5,$O$2:$O$1099)</f>
        <v>0</v>
      </c>
      <c r="X5" s="71">
        <f ca="1">$R$5-$U$5</f>
        <v>1389557.3947940667</v>
      </c>
      <c r="Y5" s="71">
        <f ca="1">$S$5-$V$5</f>
        <v>1103765.4625866378</v>
      </c>
      <c r="Z5" s="71">
        <f>$T$5-$W$5</f>
        <v>0</v>
      </c>
      <c r="AA5" s="71">
        <f ca="1">SUMIF(EFEITO!$B$2:$B$1099,$Q$5,EFEITO!$AE$2:$AE$1099)</f>
        <v>1389557.3947940667</v>
      </c>
      <c r="AB5" s="71">
        <f ca="1">SUMIF(EFEITO!$B$2:$B$1099,$Q$5,EFEITO!$AF$2:$AF$1099)</f>
        <v>1103765.4625866378</v>
      </c>
      <c r="AC5" s="71">
        <f>SUMIF(EFEITO!$B$2:$B$1099,$Q$5,EFEITO!$AG$2:$AH$1099)</f>
        <v>0</v>
      </c>
      <c r="AD5" s="71">
        <f>SUMIF(SUBSIDIO!$B$2:$B$1099,$Q$5,SUBSIDIO!$AD$2:$AD$1099)</f>
        <v>0</v>
      </c>
      <c r="AE5" s="71">
        <f>SUMIF(SUBSIDIO!$B$2:$B$1099,$Q$5,SUBSIDIO!$AE$2:$AE$1099)</f>
        <v>0</v>
      </c>
      <c r="AF5" s="71" t="str">
        <f ca="1">IF(ABS($X$5-$AA$5)&lt;0.01,"OK","ERRO")</f>
        <v>OK</v>
      </c>
      <c r="AG5" s="71" t="str">
        <f ca="1">IF(ABS($Y$5-$AB$5)&lt;0.01,"OK","ERRO")</f>
        <v>OK</v>
      </c>
      <c r="AH5" s="71" t="str">
        <f>IF(ABS($Z$5-$AC$5)&lt;0.01,"OK","ERRO")</f>
        <v>OK</v>
      </c>
      <c r="AI5" s="71" t="str">
        <f ca="1">IF(ABS($U$5-$AD$5)&lt;0.01,"OK","ERRO")</f>
        <v>OK</v>
      </c>
      <c r="AJ5" s="71" t="str">
        <f ca="1">IF(ABS(($V$5+$W$5)-$AE$5)&lt;0.01,"OK","ERRO")</f>
        <v>OK</v>
      </c>
    </row>
    <row r="6" spans="1:40" ht="11.25" customHeight="1" x14ac:dyDescent="0.2">
      <c r="A6" s="70" t="s">
        <v>21</v>
      </c>
      <c r="B6" s="70" t="s">
        <v>53</v>
      </c>
      <c r="C6" s="70" t="s">
        <v>36</v>
      </c>
      <c r="D6" s="70" t="s">
        <v>34</v>
      </c>
      <c r="E6" s="70" t="s">
        <v>25</v>
      </c>
      <c r="F6" s="70" t="s">
        <v>25</v>
      </c>
      <c r="G6" s="70" t="s">
        <v>25</v>
      </c>
      <c r="H6" s="70" t="s">
        <v>38</v>
      </c>
      <c r="I6" s="78">
        <v>44501</v>
      </c>
      <c r="J6" s="79">
        <f ca="1">EFEITO!$J$6*EFEITO!$Y$6</f>
        <v>36456.142799848079</v>
      </c>
      <c r="K6" s="79">
        <f ca="1">EFEITO!$L$6*EFEITO!$Z$6</f>
        <v>0</v>
      </c>
      <c r="L6" s="79">
        <f>EFEITO!$N$6*EFEITO!$AA$6</f>
        <v>0</v>
      </c>
      <c r="M6" s="79">
        <f ca="1">$J$6-EFEITO!$K$6*EFEITO!$Y$6</f>
        <v>0</v>
      </c>
      <c r="N6" s="79">
        <f ca="1">$K$6-EFEITO!$M$6*EFEITO!$Z$6</f>
        <v>0</v>
      </c>
      <c r="O6" s="79">
        <f>$L$6-EFEITO!$O$6*EFEITO!$AA$6</f>
        <v>0</v>
      </c>
      <c r="P6" s="18"/>
      <c r="Q6" s="79" t="s">
        <v>572</v>
      </c>
      <c r="R6" s="79">
        <f>SUMIF($B$2:$B$1099,$Q$6,$J$2:$J$1099)</f>
        <v>0</v>
      </c>
      <c r="S6" s="79">
        <f>SUMIF($B$2:$B$1099,$Q$6,$K$2:$K$1099)</f>
        <v>0</v>
      </c>
      <c r="T6" s="79">
        <f>SUMIF($B$2:$B$1099,$Q$6,$L$2:$L$1099)</f>
        <v>0</v>
      </c>
      <c r="U6" s="79">
        <f>SUMIF($B$2:$B$1099,$Q$6,$M$2:$M$1099)</f>
        <v>0</v>
      </c>
      <c r="V6" s="79">
        <f>SUMIF($B$2:$B$1099,$Q$6,$N$2:$N$1099)</f>
        <v>0</v>
      </c>
      <c r="W6" s="79">
        <f>SUMIF($B$2:$B$1099,$Q$6,$O$2:$O$1099)</f>
        <v>0</v>
      </c>
      <c r="X6" s="71">
        <f>$R$6-$U$6</f>
        <v>0</v>
      </c>
      <c r="Y6" s="71">
        <f>$S$6-$V$6</f>
        <v>0</v>
      </c>
      <c r="Z6" s="71">
        <f>$T$6-$W$6</f>
        <v>0</v>
      </c>
      <c r="AA6" s="71">
        <f>SUMIF(EFEITO!$B$2:$B$1099,$Q$6,EFEITO!$AE$2:$AE$1099)</f>
        <v>0</v>
      </c>
      <c r="AB6" s="71">
        <f>SUMIF(EFEITO!$B$2:$B$1099,$Q$6,EFEITO!$AF$2:$AF$1099)</f>
        <v>0</v>
      </c>
      <c r="AC6" s="71">
        <f>SUMIF(EFEITO!$B$2:$B$1099,$Q$6,EFEITO!$AG$2:$AH$1099)</f>
        <v>0</v>
      </c>
      <c r="AD6" s="71">
        <f>SUMIF(SUBSIDIO!$B$2:$B$1099,$Q$6,SUBSIDIO!$AD$2:$AD$1099)</f>
        <v>0</v>
      </c>
      <c r="AE6" s="71">
        <f>SUMIF(SUBSIDIO!$B$2:$B$1099,$Q$6,SUBSIDIO!$AE$2:$AE$1099)</f>
        <v>0</v>
      </c>
      <c r="AF6" s="71" t="str">
        <f>IF(ABS($X$6-$AA$6)&lt;0.01,"OK","ERRO")</f>
        <v>OK</v>
      </c>
      <c r="AG6" s="71" t="str">
        <f>IF(ABS($Y$6-$AB$6)&lt;0.01,"OK","ERRO")</f>
        <v>OK</v>
      </c>
      <c r="AH6" s="71" t="str">
        <f>IF(ABS($Z$6-$AC$6)&lt;0.01,"OK","ERRO")</f>
        <v>OK</v>
      </c>
      <c r="AI6" s="71" t="str">
        <f>IF(ABS($U$6-$AD$6)&lt;0.01,"OK","ERRO")</f>
        <v>OK</v>
      </c>
      <c r="AJ6" s="71" t="str">
        <f>IF(ABS(($V$6+$W$6)-$AE$6)&lt;0.01,"OK","ERRO")</f>
        <v>OK</v>
      </c>
    </row>
    <row r="7" spans="1:40" ht="11.25" customHeight="1" x14ac:dyDescent="0.2">
      <c r="A7" s="70" t="s">
        <v>65</v>
      </c>
      <c r="B7" s="70" t="s">
        <v>53</v>
      </c>
      <c r="C7" s="70" t="s">
        <v>36</v>
      </c>
      <c r="D7" s="70" t="s">
        <v>34</v>
      </c>
      <c r="E7" s="70" t="s">
        <v>25</v>
      </c>
      <c r="F7" s="70" t="s">
        <v>25</v>
      </c>
      <c r="G7" s="70" t="s">
        <v>25</v>
      </c>
      <c r="H7" s="70" t="s">
        <v>38</v>
      </c>
      <c r="I7" s="78">
        <v>44531</v>
      </c>
      <c r="J7" s="79">
        <f ca="1">EFEITO!$J$7*EFEITO!$Y$7</f>
        <v>36456.142799848079</v>
      </c>
      <c r="K7" s="79">
        <f ca="1">EFEITO!$L$7*EFEITO!$Z$7</f>
        <v>0</v>
      </c>
      <c r="L7" s="79">
        <f>EFEITO!$N$7*EFEITO!$AA$7</f>
        <v>0</v>
      </c>
      <c r="M7" s="79">
        <f ca="1">$J$7-EFEITO!$K$7*EFEITO!$Y$7</f>
        <v>0</v>
      </c>
      <c r="N7" s="79">
        <f ca="1">$K$7-EFEITO!$M$7*EFEITO!$Z$7</f>
        <v>0</v>
      </c>
      <c r="O7" s="79">
        <f>$L$7-EFEITO!$O$7*EFEITO!$AA$7</f>
        <v>0</v>
      </c>
      <c r="P7" s="18"/>
      <c r="Q7" s="79" t="s">
        <v>35</v>
      </c>
      <c r="R7" s="79">
        <f ca="1">SUMIF($B$2:$B$1099,$Q$7,$J$2:$J$1099)</f>
        <v>45745175.837214522</v>
      </c>
      <c r="S7" s="79">
        <f ca="1">SUMIF($B$2:$B$1099,$Q$7,$K$2:$K$1099)</f>
        <v>33424175.891645111</v>
      </c>
      <c r="T7" s="79">
        <f>SUMIF($B$2:$B$1099,$Q$7,$L$2:$L$1099)</f>
        <v>37497682.513288625</v>
      </c>
      <c r="U7" s="79">
        <f ca="1">SUMIF($B$2:$B$1099,$Q$7,$M$2:$M$1099)</f>
        <v>6601172.1052326029</v>
      </c>
      <c r="V7" s="79">
        <f ca="1">SUMIF($B$2:$B$1099,$Q$7,$N$2:$N$1099)</f>
        <v>4213550.4830122199</v>
      </c>
      <c r="W7" s="79">
        <f>SUMIF($B$2:$B$1099,$Q$7,$O$2:$O$1099)</f>
        <v>3231964.8356210333</v>
      </c>
      <c r="X7" s="71">
        <f ca="1">$R$7-$U$7</f>
        <v>39144003.731981918</v>
      </c>
      <c r="Y7" s="71">
        <f ca="1">$S$7-$V$7</f>
        <v>29210625.408632889</v>
      </c>
      <c r="Z7" s="71">
        <f>$T$7-$W$7</f>
        <v>34265717.677667588</v>
      </c>
      <c r="AA7" s="71">
        <f ca="1">SUMIF(EFEITO!$B$2:$B$1099,$Q$7,EFEITO!$AE$2:$AE$1099)</f>
        <v>39144003.731981948</v>
      </c>
      <c r="AB7" s="71">
        <f ca="1">SUMIF(EFEITO!$B$2:$B$1099,$Q$7,EFEITO!$AF$2:$AF$1099)</f>
        <v>29210625.408632871</v>
      </c>
      <c r="AC7" s="71">
        <f>SUMIF(EFEITO!$B$2:$B$1099,$Q$7,EFEITO!$AG$2:$AH$1099)</f>
        <v>34265717.67766761</v>
      </c>
      <c r="AD7" s="71">
        <f ca="1">SUMIF(SUBSIDIO!$B$2:$B$1099,$Q$7,SUBSIDIO!$AD$2:$AD$1099)</f>
        <v>6601172.1052326029</v>
      </c>
      <c r="AE7" s="71">
        <f ca="1">SUMIF(SUBSIDIO!$B$2:$B$1099,$Q$7,SUBSIDIO!$AE$2:$AE$1099)</f>
        <v>7445515.3186332546</v>
      </c>
      <c r="AF7" s="71" t="str">
        <f ca="1">IF(ABS($X$7-$AA$7)&lt;0.01,"OK","ERRO")</f>
        <v>OK</v>
      </c>
      <c r="AG7" s="71" t="str">
        <f ca="1">IF(ABS($Y$7-$AB$7)&lt;0.01,"OK","ERRO")</f>
        <v>OK</v>
      </c>
      <c r="AH7" s="71" t="str">
        <f>IF(ABS($Z$7-$AC$7)&lt;0.01,"OK","ERRO")</f>
        <v>OK</v>
      </c>
      <c r="AI7" s="71" t="str">
        <f ca="1">IF(ABS($U$7-$AD$7)&lt;0.01,"OK","ERRO")</f>
        <v>OK</v>
      </c>
      <c r="AJ7" s="71" t="str">
        <f ca="1">IF(ABS(($V$7+$W$7)-$AE$7)&lt;0.01,"OK","ERRO")</f>
        <v>OK</v>
      </c>
    </row>
    <row r="8" spans="1:40" ht="11.25" customHeight="1" x14ac:dyDescent="0.2">
      <c r="A8" s="70" t="s">
        <v>21</v>
      </c>
      <c r="B8" s="70" t="s">
        <v>53</v>
      </c>
      <c r="C8" s="70" t="s">
        <v>36</v>
      </c>
      <c r="D8" s="70" t="s">
        <v>34</v>
      </c>
      <c r="E8" s="70" t="s">
        <v>25</v>
      </c>
      <c r="F8" s="70" t="s">
        <v>25</v>
      </c>
      <c r="G8" s="70" t="s">
        <v>25</v>
      </c>
      <c r="H8" s="70" t="s">
        <v>38</v>
      </c>
      <c r="I8" s="78">
        <v>44562</v>
      </c>
      <c r="J8" s="79">
        <f ca="1">EFEITO!$J$8*EFEITO!$Y$8</f>
        <v>36456.142799848079</v>
      </c>
      <c r="K8" s="79">
        <f ca="1">EFEITO!$L$8*EFEITO!$Z$8</f>
        <v>0</v>
      </c>
      <c r="L8" s="79">
        <f>EFEITO!$N$8*EFEITO!$AA$8</f>
        <v>0</v>
      </c>
      <c r="M8" s="79">
        <f ca="1">$J$8-EFEITO!$K$8*EFEITO!$Y$8</f>
        <v>0</v>
      </c>
      <c r="N8" s="79">
        <f ca="1">$K$8-EFEITO!$M$8*EFEITO!$Z$8</f>
        <v>0</v>
      </c>
      <c r="O8" s="79">
        <f>$L$8-EFEITO!$O$8*EFEITO!$AA$8</f>
        <v>0</v>
      </c>
      <c r="P8" s="18"/>
      <c r="Q8" s="79" t="s">
        <v>573</v>
      </c>
      <c r="R8" s="79">
        <f>SUMIF($B$2:$B$1099,$Q$8,$J$2:$J$1099)</f>
        <v>0</v>
      </c>
      <c r="S8" s="79">
        <f>SUMIF($B$2:$B$1099,$Q$8,$K$2:$K$1099)</f>
        <v>0</v>
      </c>
      <c r="T8" s="79">
        <f>SUMIF($B$2:$B$1099,$Q$8,$L$2:$L$1099)</f>
        <v>0</v>
      </c>
      <c r="U8" s="79">
        <f>SUMIF($B$2:$B$1099,$Q$8,$M$2:$M$1099)</f>
        <v>0</v>
      </c>
      <c r="V8" s="79">
        <f>SUMIF($B$2:$B$1099,$Q$8,$N$2:$N$1099)</f>
        <v>0</v>
      </c>
      <c r="W8" s="79">
        <f>SUMIF($B$2:$B$1099,$Q$8,$O$2:$O$1099)</f>
        <v>0</v>
      </c>
      <c r="X8" s="71">
        <f>$R$8-$U$8</f>
        <v>0</v>
      </c>
      <c r="Y8" s="71">
        <f>$S$8-$V$8</f>
        <v>0</v>
      </c>
      <c r="Z8" s="71">
        <f>$T$8-$W$8</f>
        <v>0</v>
      </c>
      <c r="AA8" s="71">
        <f>SUMIF(EFEITO!$B$2:$B$1099,$Q$8,EFEITO!$AE$2:$AE$1099)</f>
        <v>0</v>
      </c>
      <c r="AB8" s="71">
        <f>SUMIF(EFEITO!$B$2:$B$1099,$Q$8,EFEITO!$AF$2:$AF$1099)</f>
        <v>0</v>
      </c>
      <c r="AC8" s="71">
        <f>SUMIF(EFEITO!$B$2:$B$1099,$Q$8,EFEITO!$AG$2:$AH$1099)</f>
        <v>0</v>
      </c>
      <c r="AD8" s="71">
        <f>SUMIF(SUBSIDIO!$B$2:$B$1099,$Q$8,SUBSIDIO!$AD$2:$AD$1099)</f>
        <v>0</v>
      </c>
      <c r="AE8" s="71">
        <f>SUMIF(SUBSIDIO!$B$2:$B$1099,$Q$8,SUBSIDIO!$AE$2:$AE$1099)</f>
        <v>0</v>
      </c>
      <c r="AF8" s="71" t="str">
        <f>IF(ABS($X$8-$AA$8)&lt;0.01,"OK","ERRO")</f>
        <v>OK</v>
      </c>
      <c r="AG8" s="71" t="str">
        <f>IF(ABS($Y$8-$AB$8)&lt;0.01,"OK","ERRO")</f>
        <v>OK</v>
      </c>
      <c r="AH8" s="71" t="str">
        <f>IF(ABS($Z$8-$AC$8)&lt;0.01,"OK","ERRO")</f>
        <v>OK</v>
      </c>
      <c r="AI8" s="71" t="str">
        <f>IF(ABS($U$8-$AD$8)&lt;0.01,"OK","ERRO")</f>
        <v>OK</v>
      </c>
      <c r="AJ8" s="71" t="str">
        <f>IF(ABS(($V$8+$W$8)-$AE$8)&lt;0.01,"OK","ERRO")</f>
        <v>OK</v>
      </c>
    </row>
    <row r="9" spans="1:40" ht="11.25" customHeight="1" x14ac:dyDescent="0.2">
      <c r="A9" s="70" t="s">
        <v>21</v>
      </c>
      <c r="B9" s="70" t="s">
        <v>53</v>
      </c>
      <c r="C9" s="70" t="s">
        <v>36</v>
      </c>
      <c r="D9" s="70" t="s">
        <v>34</v>
      </c>
      <c r="E9" s="70" t="s">
        <v>25</v>
      </c>
      <c r="F9" s="70" t="s">
        <v>25</v>
      </c>
      <c r="G9" s="70" t="s">
        <v>25</v>
      </c>
      <c r="H9" s="70" t="s">
        <v>38</v>
      </c>
      <c r="I9" s="78">
        <v>44593</v>
      </c>
      <c r="J9" s="79">
        <f ca="1">EFEITO!$J$9*EFEITO!$Y$9</f>
        <v>36456.142799848079</v>
      </c>
      <c r="K9" s="79">
        <f ca="1">EFEITO!$L$9*EFEITO!$Z$9</f>
        <v>0</v>
      </c>
      <c r="L9" s="79">
        <f>EFEITO!$N$9*EFEITO!$AA$9</f>
        <v>0</v>
      </c>
      <c r="M9" s="79">
        <f ca="1">$J$9-EFEITO!$K$9*EFEITO!$Y$9</f>
        <v>0</v>
      </c>
      <c r="N9" s="79">
        <f ca="1">$K$9-EFEITO!$M$9*EFEITO!$Z$9</f>
        <v>0</v>
      </c>
      <c r="O9" s="79">
        <f>$L$9-EFEITO!$O$9*EFEITO!$AA$9</f>
        <v>0</v>
      </c>
      <c r="P9" s="18"/>
      <c r="Q9" s="79" t="s">
        <v>22</v>
      </c>
      <c r="R9" s="79">
        <f>SUMIF($B$2:$B$1099,$Q$9,$J$2:$J$1099)</f>
        <v>0</v>
      </c>
      <c r="S9" s="79">
        <f ca="1">SUMIF($B$2:$B$1099,$Q$9,$K$2:$K$1099)</f>
        <v>7374912.0986625468</v>
      </c>
      <c r="T9" s="79">
        <f>SUMIF($B$2:$B$1099,$Q$9,$L$2:$L$1099)</f>
        <v>5068697.7313883808</v>
      </c>
      <c r="U9" s="79">
        <f>SUMIF($B$2:$B$1099,$Q$9,$M$2:$M$1099)</f>
        <v>0</v>
      </c>
      <c r="V9" s="79">
        <f ca="1">SUMIF($B$2:$B$1099,$Q$9,$N$2:$N$1099)</f>
        <v>35986.02515608001</v>
      </c>
      <c r="W9" s="79">
        <f>SUMIF($B$2:$B$1099,$Q$9,$O$2:$O$1099)</f>
        <v>36588.658384224116</v>
      </c>
      <c r="X9" s="71">
        <f>$R$9-$U$9</f>
        <v>0</v>
      </c>
      <c r="Y9" s="71">
        <f ca="1">$S$9-$V$9</f>
        <v>7338926.073506467</v>
      </c>
      <c r="Z9" s="71">
        <f>$T$9-$W$9</f>
        <v>5032109.0730041564</v>
      </c>
      <c r="AA9" s="71">
        <f>SUMIF(EFEITO!$B$2:$B$1099,$Q$9,EFEITO!$AE$2:$AE$1099)</f>
        <v>0</v>
      </c>
      <c r="AB9" s="71">
        <f ca="1">SUMIF(EFEITO!$B$2:$B$1099,$Q$9,EFEITO!$AF$2:$AF$1099)</f>
        <v>7338926.0735064708</v>
      </c>
      <c r="AC9" s="71">
        <f>SUMIF(EFEITO!$B$2:$B$1099,$Q$9,EFEITO!$AG$2:$AH$1099)</f>
        <v>5032109.073004161</v>
      </c>
      <c r="AD9" s="71">
        <f>SUMIF(SUBSIDIO!$B$2:$B$1099,$Q$9,SUBSIDIO!$AD$2:$AD$1099)</f>
        <v>0</v>
      </c>
      <c r="AE9" s="71">
        <f ca="1">SUMIF(SUBSIDIO!$B$2:$B$1099,$Q$9,SUBSIDIO!$AE$2:$AE$1099)</f>
        <v>72574.683540304104</v>
      </c>
      <c r="AF9" s="71" t="str">
        <f>IF(ABS($X$9-$AA$9)&lt;0.01,"OK","ERRO")</f>
        <v>OK</v>
      </c>
      <c r="AG9" s="71" t="str">
        <f ca="1">IF(ABS($Y$9-$AB$9)&lt;0.01,"OK","ERRO")</f>
        <v>OK</v>
      </c>
      <c r="AH9" s="71" t="str">
        <f>IF(ABS($Z$9-$AC$9)&lt;0.01,"OK","ERRO")</f>
        <v>OK</v>
      </c>
      <c r="AI9" s="71" t="str">
        <f>IF(ABS($U$9-$AD$9)&lt;0.01,"OK","ERRO")</f>
        <v>OK</v>
      </c>
      <c r="AJ9" s="71" t="str">
        <f ca="1">IF(ABS(($V$9+$W$9)-$AE$9)&lt;0.01,"OK","ERRO")</f>
        <v>OK</v>
      </c>
    </row>
    <row r="10" spans="1:40" ht="11.25" customHeight="1" x14ac:dyDescent="0.2">
      <c r="A10" s="70" t="s">
        <v>21</v>
      </c>
      <c r="B10" s="70" t="s">
        <v>53</v>
      </c>
      <c r="C10" s="70" t="s">
        <v>36</v>
      </c>
      <c r="D10" s="70" t="s">
        <v>34</v>
      </c>
      <c r="E10" s="70" t="s">
        <v>25</v>
      </c>
      <c r="F10" s="70" t="s">
        <v>25</v>
      </c>
      <c r="G10" s="70" t="s">
        <v>25</v>
      </c>
      <c r="H10" s="70" t="s">
        <v>38</v>
      </c>
      <c r="I10" s="78">
        <v>44621</v>
      </c>
      <c r="J10" s="79">
        <f ca="1">EFEITO!$J$10*EFEITO!$Y$10</f>
        <v>36456.142799848079</v>
      </c>
      <c r="K10" s="79">
        <f ca="1">EFEITO!$L$10*EFEITO!$Z$10</f>
        <v>0</v>
      </c>
      <c r="L10" s="79">
        <f>EFEITO!$N$10*EFEITO!$AA$10</f>
        <v>0</v>
      </c>
      <c r="M10" s="79">
        <f ca="1">$J$10-EFEITO!$K$10*EFEITO!$Y$10</f>
        <v>0</v>
      </c>
      <c r="N10" s="79">
        <f ca="1">$K$10-EFEITO!$M$10*EFEITO!$Z$10</f>
        <v>0</v>
      </c>
      <c r="O10" s="79">
        <f>$L$10-EFEITO!$O$10*EFEITO!$AA$10</f>
        <v>0</v>
      </c>
      <c r="P10" s="18"/>
      <c r="Q10" s="79" t="s">
        <v>41</v>
      </c>
      <c r="R10" s="79">
        <f>SUMIF($B$2:$B$1099,$Q$10,$J$2:$J$1099)</f>
        <v>0</v>
      </c>
      <c r="S10" s="79">
        <f ca="1">SUMIF($B$2:$B$1099,$Q$10,$K$2:$K$1099)</f>
        <v>54338077.302921884</v>
      </c>
      <c r="T10" s="79">
        <f>SUMIF($B$2:$B$1099,$Q$10,$L$2:$L$1099)</f>
        <v>36858517.589808062</v>
      </c>
      <c r="U10" s="79">
        <f>SUMIF($B$2:$B$1099,$Q$10,$M$2:$M$1099)</f>
        <v>0</v>
      </c>
      <c r="V10" s="79">
        <f ca="1">SUMIF($B$2:$B$1099,$Q$10,$N$2:$N$1099)</f>
        <v>4633938.6544127567</v>
      </c>
      <c r="W10" s="79">
        <f>SUMIF($B$2:$B$1099,$Q$10,$O$2:$O$1099)</f>
        <v>3143285.8481832901</v>
      </c>
      <c r="X10" s="71">
        <f>$R$10-$U$10</f>
        <v>0</v>
      </c>
      <c r="Y10" s="71">
        <f ca="1">$S$10-$V$10</f>
        <v>49704138.64850913</v>
      </c>
      <c r="Z10" s="71">
        <f>$T$10-$W$10</f>
        <v>33715231.741624773</v>
      </c>
      <c r="AA10" s="71">
        <f>SUMIF(EFEITO!$B$2:$B$1099,$Q$10,EFEITO!$AE$2:$AE$1099)</f>
        <v>0</v>
      </c>
      <c r="AB10" s="71">
        <f ca="1">SUMIF(EFEITO!$B$2:$B$1099,$Q$10,EFEITO!$AF$2:$AF$1099)</f>
        <v>49704138.64850913</v>
      </c>
      <c r="AC10" s="71">
        <f>SUMIF(EFEITO!$B$2:$B$1099,$Q$10,EFEITO!$AG$2:$AH$1099)</f>
        <v>33715231.741624765</v>
      </c>
      <c r="AD10" s="71">
        <f>SUMIF(SUBSIDIO!$B$2:$B$1099,$Q$10,SUBSIDIO!$AD$2:$AD$1099)</f>
        <v>0</v>
      </c>
      <c r="AE10" s="71">
        <f ca="1">SUMIF(SUBSIDIO!$B$2:$B$1099,$Q$10,SUBSIDIO!$AE$2:$AE$1099)</f>
        <v>7777224.5025960514</v>
      </c>
      <c r="AF10" s="71" t="str">
        <f>IF(ABS($X$10-$AA$10)&lt;0.01,"OK","ERRO")</f>
        <v>OK</v>
      </c>
      <c r="AG10" s="71" t="str">
        <f ca="1">IF(ABS($Y$10-$AB$10)&lt;0.01,"OK","ERRO")</f>
        <v>OK</v>
      </c>
      <c r="AH10" s="71" t="str">
        <f>IF(ABS($Z$10-$AC$10)&lt;0.01,"OK","ERRO")</f>
        <v>OK</v>
      </c>
      <c r="AI10" s="71" t="str">
        <f>IF(ABS($U$10-$AD$10)&lt;0.01,"OK","ERRO")</f>
        <v>OK</v>
      </c>
      <c r="AJ10" s="71" t="str">
        <f ca="1">IF(ABS(($V$10+$W$10)-$AE$10)&lt;0.01,"OK","ERRO")</f>
        <v>OK</v>
      </c>
    </row>
    <row r="11" spans="1:40" ht="11.25" customHeight="1" x14ac:dyDescent="0.2">
      <c r="A11" s="70" t="s">
        <v>65</v>
      </c>
      <c r="B11" s="70" t="s">
        <v>53</v>
      </c>
      <c r="C11" s="70" t="s">
        <v>36</v>
      </c>
      <c r="D11" s="70" t="s">
        <v>34</v>
      </c>
      <c r="E11" s="70" t="s">
        <v>25</v>
      </c>
      <c r="F11" s="70" t="s">
        <v>25</v>
      </c>
      <c r="G11" s="70" t="s">
        <v>25</v>
      </c>
      <c r="H11" s="70" t="s">
        <v>38</v>
      </c>
      <c r="I11" s="78">
        <v>44652</v>
      </c>
      <c r="J11" s="79">
        <f ca="1">EFEITO!$J$11*EFEITO!$Y$11</f>
        <v>36456.142799848079</v>
      </c>
      <c r="K11" s="79">
        <f ca="1">EFEITO!$L$11*EFEITO!$Z$11</f>
        <v>0</v>
      </c>
      <c r="L11" s="79">
        <f>EFEITO!$N$11*EFEITO!$AA$11</f>
        <v>0</v>
      </c>
      <c r="M11" s="79">
        <f ca="1">$J$11-EFEITO!$K$11*EFEITO!$Y$11</f>
        <v>0</v>
      </c>
      <c r="N11" s="79">
        <f ca="1">$K$11-EFEITO!$M$11*EFEITO!$Z$11</f>
        <v>0</v>
      </c>
      <c r="O11" s="79">
        <f>$L$11-EFEITO!$O$11*EFEITO!$AA$11</f>
        <v>0</v>
      </c>
      <c r="P11" s="18"/>
      <c r="Q11" s="79" t="s">
        <v>33</v>
      </c>
      <c r="R11" s="79">
        <f>SUMIF($B$2:$B$1099,$Q$11,$J$2:$J$1099)</f>
        <v>0</v>
      </c>
      <c r="S11" s="79">
        <f ca="1">SUMIF($B$2:$B$1099,$Q$11,$K$2:$K$1099)</f>
        <v>8369576.0138089834</v>
      </c>
      <c r="T11" s="79">
        <f>SUMIF($B$2:$B$1099,$Q$11,$L$2:$L$1099)</f>
        <v>5677237.4002939919</v>
      </c>
      <c r="U11" s="79">
        <f>SUMIF($B$2:$B$1099,$Q$11,$M$2:$M$1099)</f>
        <v>0</v>
      </c>
      <c r="V11" s="79">
        <f ca="1">SUMIF($B$2:$B$1099,$Q$11,$N$2:$N$1099)</f>
        <v>7101.6544000337981</v>
      </c>
      <c r="W11" s="79">
        <f>SUMIF($B$2:$B$1099,$Q$11,$O$2:$O$1099)</f>
        <v>4817.1828414383153</v>
      </c>
      <c r="X11" s="71">
        <f>$R$11-$U$11</f>
        <v>0</v>
      </c>
      <c r="Y11" s="71">
        <f ca="1">$S$11-$V$11</f>
        <v>8362474.3594089495</v>
      </c>
      <c r="Z11" s="71">
        <f>$T$11-$W$11</f>
        <v>5672420.217452554</v>
      </c>
      <c r="AA11" s="71">
        <f>SUMIF(EFEITO!$B$2:$B$1099,$Q$11,EFEITO!$AE$2:$AE$1099)</f>
        <v>0</v>
      </c>
      <c r="AB11" s="71">
        <f ca="1">SUMIF(EFEITO!$B$2:$B$1099,$Q$11,EFEITO!$AF$2:$AF$1099)</f>
        <v>8362474.3594089504</v>
      </c>
      <c r="AC11" s="71">
        <f>SUMIF(EFEITO!$B$2:$B$1099,$Q$11,EFEITO!$AG$2:$AH$1099)</f>
        <v>5672420.217452554</v>
      </c>
      <c r="AD11" s="71">
        <f>SUMIF(SUBSIDIO!$B$2:$B$1099,$Q$11,SUBSIDIO!$AD$2:$AD$1099)</f>
        <v>0</v>
      </c>
      <c r="AE11" s="71">
        <f ca="1">SUMIF(SUBSIDIO!$B$2:$B$1099,$Q$11,SUBSIDIO!$AE$2:$AE$1099)</f>
        <v>11918.837241472122</v>
      </c>
      <c r="AF11" s="71" t="str">
        <f>IF(ABS($X$11-$AA$11)&lt;0.01,"OK","ERRO")</f>
        <v>OK</v>
      </c>
      <c r="AG11" s="71" t="str">
        <f ca="1">IF(ABS($Y$11-$AB$11)&lt;0.01,"OK","ERRO")</f>
        <v>OK</v>
      </c>
      <c r="AH11" s="71" t="str">
        <f>IF(ABS($Z$11-$AC$11)&lt;0.01,"OK","ERRO")</f>
        <v>OK</v>
      </c>
      <c r="AI11" s="71" t="str">
        <f>IF(ABS($U$11-$AD$11)&lt;0.01,"OK","ERRO")</f>
        <v>OK</v>
      </c>
      <c r="AJ11" s="71" t="str">
        <f ca="1">IF(ABS(($V$11+$W$11)-$AE$11)&lt;0.01,"OK","ERRO")</f>
        <v>OK</v>
      </c>
    </row>
    <row r="12" spans="1:40" ht="11.25" customHeight="1" x14ac:dyDescent="0.2">
      <c r="A12" s="70" t="s">
        <v>21</v>
      </c>
      <c r="B12" s="70" t="s">
        <v>53</v>
      </c>
      <c r="C12" s="70" t="s">
        <v>36</v>
      </c>
      <c r="D12" s="70" t="s">
        <v>34</v>
      </c>
      <c r="E12" s="70" t="s">
        <v>25</v>
      </c>
      <c r="F12" s="70" t="s">
        <v>25</v>
      </c>
      <c r="G12" s="70" t="s">
        <v>25</v>
      </c>
      <c r="H12" s="70" t="s">
        <v>38</v>
      </c>
      <c r="I12" s="78">
        <v>44682</v>
      </c>
      <c r="J12" s="79">
        <f ca="1">EFEITO!$J$12*EFEITO!$Y$12</f>
        <v>36456.142799848079</v>
      </c>
      <c r="K12" s="79">
        <f ca="1">EFEITO!$L$12*EFEITO!$Z$12</f>
        <v>0</v>
      </c>
      <c r="L12" s="79">
        <f>EFEITO!$N$12*EFEITO!$AA$12</f>
        <v>0</v>
      </c>
      <c r="M12" s="79">
        <f ca="1">$J$12-EFEITO!$K$12*EFEITO!$Y$12</f>
        <v>0</v>
      </c>
      <c r="N12" s="79">
        <f ca="1">$K$12-EFEITO!$M$12*EFEITO!$Z$12</f>
        <v>0</v>
      </c>
      <c r="O12" s="79">
        <f>$L$12-EFEITO!$O$12*EFEITO!$AA$12</f>
        <v>0</v>
      </c>
      <c r="P12" s="18"/>
      <c r="Q12" s="79" t="s">
        <v>44</v>
      </c>
      <c r="R12" s="79">
        <f>SUMIF($B$2:$B$1099,$Q$12,$J$2:$J$1099)</f>
        <v>0</v>
      </c>
      <c r="S12" s="79">
        <f ca="1">SUMIF($B$2:$B$1099,$Q$12,$K$2:$K$1099)</f>
        <v>1066347.8749071432</v>
      </c>
      <c r="T12" s="79">
        <f>SUMIF($B$2:$B$1099,$Q$12,$L$2:$L$1099)</f>
        <v>723323.38306725339</v>
      </c>
      <c r="U12" s="79">
        <f>SUMIF($B$2:$B$1099,$Q$12,$M$2:$M$1099)</f>
        <v>0</v>
      </c>
      <c r="V12" s="79">
        <f ca="1">SUMIF($B$2:$B$1099,$Q$12,$N$2:$N$1099)</f>
        <v>0</v>
      </c>
      <c r="W12" s="79">
        <f>SUMIF($B$2:$B$1099,$Q$12,$O$2:$O$1099)</f>
        <v>0</v>
      </c>
      <c r="X12" s="71">
        <f>$R$12-$U$12</f>
        <v>0</v>
      </c>
      <c r="Y12" s="71">
        <f ca="1">$S$12-$V$12</f>
        <v>1066347.8749071432</v>
      </c>
      <c r="Z12" s="71">
        <f>$T$12-$W$12</f>
        <v>723323.38306725339</v>
      </c>
      <c r="AA12" s="71">
        <f>SUMIF(EFEITO!$B$2:$B$1099,$Q$12,EFEITO!$AE$2:$AE$1099)</f>
        <v>0</v>
      </c>
      <c r="AB12" s="71">
        <f ca="1">SUMIF(EFEITO!$B$2:$B$1099,$Q$12,EFEITO!$AF$2:$AF$1099)</f>
        <v>1066347.8749071432</v>
      </c>
      <c r="AC12" s="71">
        <f>SUMIF(EFEITO!$B$2:$B$1099,$Q$12,EFEITO!$AG$2:$AH$1099)</f>
        <v>723323.38306725339</v>
      </c>
      <c r="AD12" s="71">
        <f>SUMIF(SUBSIDIO!$B$2:$B$1099,$Q$12,SUBSIDIO!$AD$2:$AD$1099)</f>
        <v>0</v>
      </c>
      <c r="AE12" s="71">
        <f>SUMIF(SUBSIDIO!$B$2:$B$1099,$Q$12,SUBSIDIO!$AE$2:$AE$1099)</f>
        <v>0</v>
      </c>
      <c r="AF12" s="71" t="str">
        <f>IF(ABS($X$12-$AA$12)&lt;0.01,"OK","ERRO")</f>
        <v>OK</v>
      </c>
      <c r="AG12" s="71" t="str">
        <f ca="1">IF(ABS($Y$12-$AB$12)&lt;0.01,"OK","ERRO")</f>
        <v>OK</v>
      </c>
      <c r="AH12" s="71" t="str">
        <f>IF(ABS($Z$12-$AC$12)&lt;0.01,"OK","ERRO")</f>
        <v>OK</v>
      </c>
      <c r="AI12" s="71" t="str">
        <f>IF(ABS($U$12-$AD$12)&lt;0.01,"OK","ERRO")</f>
        <v>OK</v>
      </c>
      <c r="AJ12" s="71" t="str">
        <f ca="1">IF(ABS(($V$12+$W$12)-$AE$12)&lt;0.01,"OK","ERRO")</f>
        <v>OK</v>
      </c>
    </row>
    <row r="13" spans="1:40" ht="11.25" customHeight="1" x14ac:dyDescent="0.2">
      <c r="A13" s="70" t="s">
        <v>21</v>
      </c>
      <c r="B13" s="70" t="s">
        <v>53</v>
      </c>
      <c r="C13" s="70" t="s">
        <v>36</v>
      </c>
      <c r="D13" s="70" t="s">
        <v>34</v>
      </c>
      <c r="E13" s="70" t="s">
        <v>25</v>
      </c>
      <c r="F13" s="70" t="s">
        <v>25</v>
      </c>
      <c r="G13" s="70" t="s">
        <v>25</v>
      </c>
      <c r="H13" s="70" t="s">
        <v>38</v>
      </c>
      <c r="I13" s="78">
        <v>44713</v>
      </c>
      <c r="J13" s="79">
        <f ca="1">EFEITO!$J$13*EFEITO!$Y$13</f>
        <v>36456.142799848079</v>
      </c>
      <c r="K13" s="79">
        <f ca="1">EFEITO!$L$13*EFEITO!$Z$13</f>
        <v>0</v>
      </c>
      <c r="L13" s="79">
        <f>EFEITO!$N$13*EFEITO!$AA$13</f>
        <v>0</v>
      </c>
      <c r="M13" s="79">
        <f ca="1">$J$13-EFEITO!$K$13*EFEITO!$Y$13</f>
        <v>0</v>
      </c>
      <c r="N13" s="79">
        <f ca="1">$K$13-EFEITO!$M$13*EFEITO!$Z$13</f>
        <v>0</v>
      </c>
      <c r="O13" s="79">
        <f>$L$13-EFEITO!$O$13*EFEITO!$AA$13</f>
        <v>0</v>
      </c>
      <c r="P13" s="18"/>
      <c r="Q13" s="79" t="s">
        <v>91</v>
      </c>
      <c r="R13" s="79">
        <f>SUMIF($B$2:$B$1099,$Q$13,$J$2:$J$1099)</f>
        <v>0</v>
      </c>
      <c r="S13" s="79">
        <f>SUMIF($B$2:$B$1099,$Q$13,$K$2:$K$1099)</f>
        <v>0</v>
      </c>
      <c r="T13" s="79">
        <f>SUMIF($B$2:$B$1099,$Q$13,$L$2:$L$1099)</f>
        <v>0</v>
      </c>
      <c r="U13" s="79">
        <f>SUMIF($B$2:$B$1099,$Q$13,$M$2:$M$1099)</f>
        <v>0</v>
      </c>
      <c r="V13" s="79">
        <f>SUMIF($B$2:$B$1099,$Q$13,$N$2:$N$1099)</f>
        <v>0</v>
      </c>
      <c r="W13" s="79">
        <f>SUMIF($B$2:$B$1099,$Q$13,$O$2:$O$1099)</f>
        <v>0</v>
      </c>
      <c r="X13" s="71">
        <f>$R$13-$U$13</f>
        <v>0</v>
      </c>
      <c r="Y13" s="71">
        <f>$S$13-$V$13</f>
        <v>0</v>
      </c>
      <c r="Z13" s="71">
        <f>$T$13-$W$13</f>
        <v>0</v>
      </c>
      <c r="AA13" s="71">
        <f>SUMIF(EFEITO!$B$2:$B$1099,$Q$13,EFEITO!$AE$2:$AE$1099)</f>
        <v>0</v>
      </c>
      <c r="AB13" s="71">
        <f>SUMIF(EFEITO!$B$2:$B$1099,$Q$13,EFEITO!$AF$2:$AF$1099)</f>
        <v>0</v>
      </c>
      <c r="AC13" s="71">
        <f>SUMIF(EFEITO!$B$2:$B$1099,$Q$13,EFEITO!$AG$2:$AH$1099)</f>
        <v>0</v>
      </c>
      <c r="AD13" s="71">
        <f>SUMIF(SUBSIDIO!$B$2:$B$1099,$Q$13,SUBSIDIO!$AD$2:$AD$1099)</f>
        <v>0</v>
      </c>
      <c r="AE13" s="71">
        <f>SUMIF(SUBSIDIO!$B$2:$B$1099,$Q$13,SUBSIDIO!$AE$2:$AE$1099)</f>
        <v>0</v>
      </c>
      <c r="AF13" s="71" t="str">
        <f>IF(ABS($X$13-$AA$13)&lt;0.01,"OK","ERRO")</f>
        <v>OK</v>
      </c>
      <c r="AG13" s="71" t="str">
        <f>IF(ABS($Y$13-$AB$13)&lt;0.01,"OK","ERRO")</f>
        <v>OK</v>
      </c>
      <c r="AH13" s="71" t="str">
        <f>IF(ABS($Z$13-$AC$13)&lt;0.01,"OK","ERRO")</f>
        <v>OK</v>
      </c>
      <c r="AI13" s="71" t="str">
        <f>IF(ABS($U$13-$AD$13)&lt;0.01,"OK","ERRO")</f>
        <v>OK</v>
      </c>
      <c r="AJ13" s="71" t="str">
        <f>IF(ABS(($V$13+$W$13)-$AE$13)&lt;0.01,"OK","ERRO")</f>
        <v>OK</v>
      </c>
    </row>
    <row r="14" spans="1:40" ht="11.25" customHeight="1" x14ac:dyDescent="0.2">
      <c r="A14" s="70" t="s">
        <v>21</v>
      </c>
      <c r="B14" s="70" t="s">
        <v>53</v>
      </c>
      <c r="C14" s="70" t="s">
        <v>36</v>
      </c>
      <c r="D14" s="70" t="s">
        <v>34</v>
      </c>
      <c r="E14" s="70" t="s">
        <v>25</v>
      </c>
      <c r="F14" s="70" t="s">
        <v>25</v>
      </c>
      <c r="G14" s="70" t="s">
        <v>25</v>
      </c>
      <c r="H14" s="70" t="s">
        <v>25</v>
      </c>
      <c r="I14" s="78">
        <v>44378</v>
      </c>
      <c r="J14" s="79">
        <f>EFEITO!$J$14*EFEITO!$Y$14</f>
        <v>0</v>
      </c>
      <c r="K14" s="79">
        <f ca="1">EFEITO!$L$14*EFEITO!$Z$14</f>
        <v>84244.433098637703</v>
      </c>
      <c r="L14" s="79">
        <f>EFEITO!$N$14*EFEITO!$AA$14</f>
        <v>0</v>
      </c>
      <c r="M14" s="79">
        <f>$J$14-EFEITO!$K$14*EFEITO!$Y$14</f>
        <v>0</v>
      </c>
      <c r="N14" s="79">
        <f ca="1">$K$14-EFEITO!$M$14*EFEITO!$Z$14</f>
        <v>0</v>
      </c>
      <c r="O14" s="79">
        <f>$L$14-EFEITO!$O$14*EFEITO!$AA$14</f>
        <v>0</v>
      </c>
      <c r="P14" s="18"/>
      <c r="Q14" s="18"/>
      <c r="R14" s="18"/>
      <c r="S14" s="18"/>
      <c r="T14" s="18"/>
      <c r="U14" s="18"/>
      <c r="V14" s="18"/>
      <c r="W14" s="18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70" t="s">
        <v>21</v>
      </c>
      <c r="B15" s="70" t="s">
        <v>53</v>
      </c>
      <c r="C15" s="70" t="s">
        <v>36</v>
      </c>
      <c r="D15" s="70" t="s">
        <v>34</v>
      </c>
      <c r="E15" s="70" t="s">
        <v>25</v>
      </c>
      <c r="F15" s="70" t="s">
        <v>25</v>
      </c>
      <c r="G15" s="70" t="s">
        <v>25</v>
      </c>
      <c r="H15" s="70" t="s">
        <v>25</v>
      </c>
      <c r="I15" s="78">
        <v>44409</v>
      </c>
      <c r="J15" s="79">
        <f>EFEITO!$J$15*EFEITO!$Y$15</f>
        <v>0</v>
      </c>
      <c r="K15" s="79">
        <f ca="1">EFEITO!$L$15*EFEITO!$Z$15</f>
        <v>83540.391242752885</v>
      </c>
      <c r="L15" s="79">
        <f>EFEITO!$N$15*EFEITO!$AA$15</f>
        <v>0</v>
      </c>
      <c r="M15" s="79">
        <f>$J$15-EFEITO!$K$15*EFEITO!$Y$15</f>
        <v>0</v>
      </c>
      <c r="N15" s="79">
        <f ca="1">$K$15-EFEITO!$M$15*EFEITO!$Z$15</f>
        <v>0</v>
      </c>
      <c r="O15" s="79">
        <f>$L$15-EFEITO!$O$15*EFEITO!$AA$15</f>
        <v>0</v>
      </c>
      <c r="P15" s="18"/>
      <c r="Q15" s="18"/>
      <c r="R15" s="18"/>
      <c r="S15" s="18"/>
      <c r="T15" s="18"/>
      <c r="U15" s="18"/>
      <c r="V15" s="18"/>
      <c r="W15" s="18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70" t="s">
        <v>21</v>
      </c>
      <c r="B16" s="70" t="s">
        <v>53</v>
      </c>
      <c r="C16" s="70" t="s">
        <v>36</v>
      </c>
      <c r="D16" s="70" t="s">
        <v>34</v>
      </c>
      <c r="E16" s="70" t="s">
        <v>25</v>
      </c>
      <c r="F16" s="70" t="s">
        <v>25</v>
      </c>
      <c r="G16" s="70" t="s">
        <v>25</v>
      </c>
      <c r="H16" s="70" t="s">
        <v>25</v>
      </c>
      <c r="I16" s="78">
        <v>44440</v>
      </c>
      <c r="J16" s="79">
        <f>EFEITO!$J$16*EFEITO!$Y$16</f>
        <v>0</v>
      </c>
      <c r="K16" s="79">
        <f ca="1">EFEITO!$L$16*EFEITO!$Z$16</f>
        <v>90324.71727481579</v>
      </c>
      <c r="L16" s="79">
        <f>EFEITO!$N$16*EFEITO!$AA$16</f>
        <v>0</v>
      </c>
      <c r="M16" s="79">
        <f>$J$16-EFEITO!$K$16*EFEITO!$Y$16</f>
        <v>0</v>
      </c>
      <c r="N16" s="79">
        <f ca="1">$K$16-EFEITO!$M$16*EFEITO!$Z$16</f>
        <v>0</v>
      </c>
      <c r="O16" s="79">
        <f>$L$16-EFEITO!$O$16*EFEITO!$AA$16</f>
        <v>0</v>
      </c>
      <c r="P16" s="18"/>
      <c r="Q16" s="18"/>
      <c r="R16" s="18"/>
      <c r="S16" s="18"/>
      <c r="T16" s="18"/>
      <c r="U16" s="18"/>
      <c r="V16" s="18"/>
      <c r="W16" s="18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70" t="s">
        <v>21</v>
      </c>
      <c r="B17" s="70" t="s">
        <v>53</v>
      </c>
      <c r="C17" s="70" t="s">
        <v>36</v>
      </c>
      <c r="D17" s="70" t="s">
        <v>34</v>
      </c>
      <c r="E17" s="70" t="s">
        <v>25</v>
      </c>
      <c r="F17" s="70" t="s">
        <v>25</v>
      </c>
      <c r="G17" s="70" t="s">
        <v>25</v>
      </c>
      <c r="H17" s="70" t="s">
        <v>25</v>
      </c>
      <c r="I17" s="78">
        <v>44470</v>
      </c>
      <c r="J17" s="79">
        <f>EFEITO!$J$17*EFEITO!$Y$17</f>
        <v>0</v>
      </c>
      <c r="K17" s="79">
        <f ca="1">EFEITO!$L$17*EFEITO!$Z$17</f>
        <v>89310.813273495107</v>
      </c>
      <c r="L17" s="79">
        <f>EFEITO!$N$17*EFEITO!$AA$17</f>
        <v>0</v>
      </c>
      <c r="M17" s="79">
        <f>$J$17-EFEITO!$K$17*EFEITO!$Y$17</f>
        <v>0</v>
      </c>
      <c r="N17" s="79">
        <f ca="1">$K$17-EFEITO!$M$17*EFEITO!$Z$17</f>
        <v>0</v>
      </c>
      <c r="O17" s="79">
        <f>$L$17-EFEITO!$O$17*EFEITO!$AA$17</f>
        <v>0</v>
      </c>
      <c r="P17" s="18"/>
      <c r="Q17" s="18"/>
      <c r="R17" s="18"/>
      <c r="S17" s="18"/>
      <c r="T17" s="18"/>
      <c r="U17" s="18"/>
      <c r="V17" s="18"/>
      <c r="W17" s="18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70" t="s">
        <v>21</v>
      </c>
      <c r="B18" s="70" t="s">
        <v>53</v>
      </c>
      <c r="C18" s="70" t="s">
        <v>36</v>
      </c>
      <c r="D18" s="70" t="s">
        <v>34</v>
      </c>
      <c r="E18" s="70" t="s">
        <v>25</v>
      </c>
      <c r="F18" s="70" t="s">
        <v>25</v>
      </c>
      <c r="G18" s="70" t="s">
        <v>25</v>
      </c>
      <c r="H18" s="70" t="s">
        <v>25</v>
      </c>
      <c r="I18" s="78">
        <v>44501</v>
      </c>
      <c r="J18" s="79">
        <f>EFEITO!$J$18*EFEITO!$Y$18</f>
        <v>0</v>
      </c>
      <c r="K18" s="79">
        <f ca="1">EFEITO!$L$18*EFEITO!$Z$18</f>
        <v>94862.101213629285</v>
      </c>
      <c r="L18" s="79">
        <f>EFEITO!$N$18*EFEITO!$AA$18</f>
        <v>0</v>
      </c>
      <c r="M18" s="79">
        <f>$J$18-EFEITO!$K$18*EFEITO!$Y$18</f>
        <v>0</v>
      </c>
      <c r="N18" s="79">
        <f ca="1">$K$18-EFEITO!$M$18*EFEITO!$Z$18</f>
        <v>0</v>
      </c>
      <c r="O18" s="79">
        <f>$L$18-EFEITO!$O$18*EFEITO!$AA$18</f>
        <v>0</v>
      </c>
      <c r="P18" s="18"/>
      <c r="Q18" s="18"/>
      <c r="R18" s="18"/>
      <c r="S18" s="18"/>
      <c r="T18" s="18"/>
      <c r="U18" s="18"/>
      <c r="V18" s="18"/>
      <c r="W18" s="18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70" t="s">
        <v>65</v>
      </c>
      <c r="B19" s="70" t="s">
        <v>53</v>
      </c>
      <c r="C19" s="70" t="s">
        <v>36</v>
      </c>
      <c r="D19" s="70" t="s">
        <v>34</v>
      </c>
      <c r="E19" s="70" t="s">
        <v>25</v>
      </c>
      <c r="F19" s="70" t="s">
        <v>25</v>
      </c>
      <c r="G19" s="70" t="s">
        <v>25</v>
      </c>
      <c r="H19" s="70" t="s">
        <v>25</v>
      </c>
      <c r="I19" s="78">
        <v>44531</v>
      </c>
      <c r="J19" s="79">
        <f>EFEITO!$J$19*EFEITO!$Y$19</f>
        <v>0</v>
      </c>
      <c r="K19" s="79">
        <f ca="1">EFEITO!$L$19*EFEITO!$Z$19</f>
        <v>94862.101213629285</v>
      </c>
      <c r="L19" s="79">
        <f>EFEITO!$N$19*EFEITO!$AA$19</f>
        <v>0</v>
      </c>
      <c r="M19" s="79">
        <f>$J$19-EFEITO!$K$19*EFEITO!$Y$19</f>
        <v>0</v>
      </c>
      <c r="N19" s="79">
        <f ca="1">$K$19-EFEITO!$M$19*EFEITO!$Z$19</f>
        <v>0</v>
      </c>
      <c r="O19" s="79">
        <f>$L$19-EFEITO!$O$19*EFEITO!$AA$19</f>
        <v>0</v>
      </c>
      <c r="P19" s="18"/>
      <c r="Q19" s="18"/>
      <c r="R19" s="18"/>
      <c r="S19" s="18"/>
      <c r="T19" s="18"/>
      <c r="U19" s="18"/>
      <c r="V19" s="18"/>
      <c r="W19" s="18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70" t="s">
        <v>21</v>
      </c>
      <c r="B20" s="70" t="s">
        <v>53</v>
      </c>
      <c r="C20" s="70" t="s">
        <v>36</v>
      </c>
      <c r="D20" s="70" t="s">
        <v>34</v>
      </c>
      <c r="E20" s="70" t="s">
        <v>25</v>
      </c>
      <c r="F20" s="70" t="s">
        <v>25</v>
      </c>
      <c r="G20" s="70" t="s">
        <v>25</v>
      </c>
      <c r="H20" s="70" t="s">
        <v>25</v>
      </c>
      <c r="I20" s="78">
        <v>44562</v>
      </c>
      <c r="J20" s="79">
        <f>EFEITO!$J$20*EFEITO!$Y$20</f>
        <v>0</v>
      </c>
      <c r="K20" s="79">
        <f ca="1">EFEITO!$L$20*EFEITO!$Z$20</f>
        <v>93149.126756688318</v>
      </c>
      <c r="L20" s="79">
        <f>EFEITO!$N$20*EFEITO!$AA$20</f>
        <v>0</v>
      </c>
      <c r="M20" s="79">
        <f>$J$20-EFEITO!$K$20*EFEITO!$Y$20</f>
        <v>0</v>
      </c>
      <c r="N20" s="79">
        <f ca="1">$K$20-EFEITO!$M$20*EFEITO!$Z$20</f>
        <v>0</v>
      </c>
      <c r="O20" s="79">
        <f>$L$20-EFEITO!$O$20*EFEITO!$AA$20</f>
        <v>0</v>
      </c>
      <c r="P20" s="18"/>
      <c r="Q20" s="18"/>
      <c r="R20" s="18"/>
      <c r="S20" s="18"/>
      <c r="T20" s="18"/>
      <c r="U20" s="18"/>
      <c r="V20" s="18"/>
      <c r="W20" s="18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70" t="s">
        <v>21</v>
      </c>
      <c r="B21" s="70" t="s">
        <v>53</v>
      </c>
      <c r="C21" s="70" t="s">
        <v>36</v>
      </c>
      <c r="D21" s="70" t="s">
        <v>34</v>
      </c>
      <c r="E21" s="70" t="s">
        <v>25</v>
      </c>
      <c r="F21" s="70" t="s">
        <v>25</v>
      </c>
      <c r="G21" s="70" t="s">
        <v>25</v>
      </c>
      <c r="H21" s="70" t="s">
        <v>25</v>
      </c>
      <c r="I21" s="78">
        <v>44593</v>
      </c>
      <c r="J21" s="79">
        <f>EFEITO!$J$21*EFEITO!$Y$21</f>
        <v>0</v>
      </c>
      <c r="K21" s="79">
        <f ca="1">EFEITO!$L$21*EFEITO!$Z$21</f>
        <v>107204.97604673903</v>
      </c>
      <c r="L21" s="79">
        <f>EFEITO!$N$21*EFEITO!$AA$21</f>
        <v>0</v>
      </c>
      <c r="M21" s="79">
        <f>$J$21-EFEITO!$K$21*EFEITO!$Y$21</f>
        <v>0</v>
      </c>
      <c r="N21" s="79">
        <f ca="1">$K$21-EFEITO!$M$21*EFEITO!$Z$21</f>
        <v>0</v>
      </c>
      <c r="O21" s="79">
        <f>$L$21-EFEITO!$O$21*EFEITO!$AA$21</f>
        <v>0</v>
      </c>
      <c r="P21" s="18"/>
      <c r="Q21" s="18"/>
      <c r="R21" s="18"/>
      <c r="S21" s="18"/>
      <c r="T21" s="18"/>
      <c r="U21" s="18"/>
      <c r="V21" s="18"/>
      <c r="W21" s="18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70" t="s">
        <v>21</v>
      </c>
      <c r="B22" s="70" t="s">
        <v>53</v>
      </c>
      <c r="C22" s="70" t="s">
        <v>36</v>
      </c>
      <c r="D22" s="70" t="s">
        <v>34</v>
      </c>
      <c r="E22" s="70" t="s">
        <v>25</v>
      </c>
      <c r="F22" s="70" t="s">
        <v>25</v>
      </c>
      <c r="G22" s="70" t="s">
        <v>25</v>
      </c>
      <c r="H22" s="70" t="s">
        <v>25</v>
      </c>
      <c r="I22" s="78">
        <v>44621</v>
      </c>
      <c r="J22" s="79">
        <f>EFEITO!$J$22*EFEITO!$Y$22</f>
        <v>0</v>
      </c>
      <c r="K22" s="79">
        <f ca="1">EFEITO!$L$22*EFEITO!$Z$22</f>
        <v>93272.365152719824</v>
      </c>
      <c r="L22" s="79">
        <f>EFEITO!$N$22*EFEITO!$AA$22</f>
        <v>0</v>
      </c>
      <c r="M22" s="79">
        <f>$J$22-EFEITO!$K$22*EFEITO!$Y$22</f>
        <v>0</v>
      </c>
      <c r="N22" s="79">
        <f ca="1">$K$22-EFEITO!$M$22*EFEITO!$Z$22</f>
        <v>0</v>
      </c>
      <c r="O22" s="79">
        <f>$L$22-EFEITO!$O$22*EFEITO!$AA$22</f>
        <v>0</v>
      </c>
      <c r="P22" s="18"/>
      <c r="Q22" s="18"/>
      <c r="R22" s="18"/>
      <c r="S22" s="18"/>
      <c r="T22" s="18"/>
      <c r="U22" s="18"/>
      <c r="V22" s="18"/>
      <c r="W22" s="18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70" t="s">
        <v>65</v>
      </c>
      <c r="B23" s="70" t="s">
        <v>53</v>
      </c>
      <c r="C23" s="70" t="s">
        <v>36</v>
      </c>
      <c r="D23" s="70" t="s">
        <v>34</v>
      </c>
      <c r="E23" s="70" t="s">
        <v>25</v>
      </c>
      <c r="F23" s="70" t="s">
        <v>25</v>
      </c>
      <c r="G23" s="70" t="s">
        <v>25</v>
      </c>
      <c r="H23" s="70" t="s">
        <v>25</v>
      </c>
      <c r="I23" s="78">
        <v>44652</v>
      </c>
      <c r="J23" s="79">
        <f>EFEITO!$J$23*EFEITO!$Y$23</f>
        <v>0</v>
      </c>
      <c r="K23" s="79">
        <f ca="1">EFEITO!$L$23*EFEITO!$Z$23</f>
        <v>93272.365152719824</v>
      </c>
      <c r="L23" s="79">
        <f>EFEITO!$N$23*EFEITO!$AA$23</f>
        <v>0</v>
      </c>
      <c r="M23" s="79">
        <f>$J$23-EFEITO!$K$23*EFEITO!$Y$23</f>
        <v>0</v>
      </c>
      <c r="N23" s="79">
        <f ca="1">$K$23-EFEITO!$M$23*EFEITO!$Z$23</f>
        <v>0</v>
      </c>
      <c r="O23" s="79">
        <f>$L$23-EFEITO!$O$23*EFEITO!$AA$23</f>
        <v>0</v>
      </c>
      <c r="P23" s="18"/>
      <c r="Q23" s="18"/>
      <c r="R23" s="18"/>
      <c r="S23" s="18"/>
      <c r="T23" s="18"/>
      <c r="U23" s="18"/>
      <c r="V23" s="18"/>
      <c r="W23" s="18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70" t="s">
        <v>21</v>
      </c>
      <c r="B24" s="70" t="s">
        <v>53</v>
      </c>
      <c r="C24" s="70" t="s">
        <v>36</v>
      </c>
      <c r="D24" s="70" t="s">
        <v>34</v>
      </c>
      <c r="E24" s="70" t="s">
        <v>25</v>
      </c>
      <c r="F24" s="70" t="s">
        <v>25</v>
      </c>
      <c r="G24" s="70" t="s">
        <v>25</v>
      </c>
      <c r="H24" s="70" t="s">
        <v>25</v>
      </c>
      <c r="I24" s="78">
        <v>44682</v>
      </c>
      <c r="J24" s="79">
        <f>EFEITO!$J$24*EFEITO!$Y$24</f>
        <v>0</v>
      </c>
      <c r="K24" s="79">
        <f ca="1">EFEITO!$L$24*EFEITO!$Z$24</f>
        <v>90401.250673625138</v>
      </c>
      <c r="L24" s="79">
        <f>EFEITO!$N$24*EFEITO!$AA$24</f>
        <v>0</v>
      </c>
      <c r="M24" s="79">
        <f>$J$24-EFEITO!$K$24*EFEITO!$Y$24</f>
        <v>0</v>
      </c>
      <c r="N24" s="79">
        <f ca="1">$K$24-EFEITO!$M$24*EFEITO!$Z$24</f>
        <v>0</v>
      </c>
      <c r="O24" s="79">
        <f>$L$24-EFEITO!$O$24*EFEITO!$AA$24</f>
        <v>0</v>
      </c>
      <c r="P24" s="18"/>
      <c r="Q24" s="18"/>
      <c r="R24" s="18"/>
      <c r="S24" s="18"/>
      <c r="T24" s="18"/>
      <c r="U24" s="18"/>
      <c r="V24" s="18"/>
      <c r="W24" s="18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70" t="s">
        <v>21</v>
      </c>
      <c r="B25" s="70" t="s">
        <v>53</v>
      </c>
      <c r="C25" s="70" t="s">
        <v>36</v>
      </c>
      <c r="D25" s="70" t="s">
        <v>34</v>
      </c>
      <c r="E25" s="70" t="s">
        <v>25</v>
      </c>
      <c r="F25" s="70" t="s">
        <v>25</v>
      </c>
      <c r="G25" s="70" t="s">
        <v>25</v>
      </c>
      <c r="H25" s="70" t="s">
        <v>25</v>
      </c>
      <c r="I25" s="78">
        <v>44713</v>
      </c>
      <c r="J25" s="79">
        <f>EFEITO!$J$25*EFEITO!$Y$25</f>
        <v>0</v>
      </c>
      <c r="K25" s="79">
        <f ca="1">EFEITO!$L$25*EFEITO!$Z$25</f>
        <v>89320.82148718556</v>
      </c>
      <c r="L25" s="79">
        <f>EFEITO!$N$25*EFEITO!$AA$25</f>
        <v>0</v>
      </c>
      <c r="M25" s="79">
        <f>$J$25-EFEITO!$K$25*EFEITO!$Y$25</f>
        <v>0</v>
      </c>
      <c r="N25" s="79">
        <f ca="1">$K$25-EFEITO!$M$25*EFEITO!$Z$25</f>
        <v>0</v>
      </c>
      <c r="O25" s="79">
        <f>$L$25-EFEITO!$O$25*EFEITO!$AA$25</f>
        <v>0</v>
      </c>
      <c r="P25" s="18"/>
      <c r="Q25" s="18"/>
      <c r="R25" s="18"/>
      <c r="S25" s="18"/>
      <c r="T25" s="18"/>
      <c r="U25" s="18"/>
      <c r="V25" s="18"/>
      <c r="W25" s="18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70" t="s">
        <v>21</v>
      </c>
      <c r="B26" s="70" t="s">
        <v>53</v>
      </c>
      <c r="C26" s="70" t="s">
        <v>36</v>
      </c>
      <c r="D26" s="70" t="s">
        <v>34</v>
      </c>
      <c r="E26" s="70" t="s">
        <v>25</v>
      </c>
      <c r="F26" s="70" t="s">
        <v>25</v>
      </c>
      <c r="G26" s="70" t="s">
        <v>25</v>
      </c>
      <c r="H26" s="70" t="s">
        <v>37</v>
      </c>
      <c r="I26" s="78">
        <v>44378</v>
      </c>
      <c r="J26" s="79">
        <f ca="1">EFEITO!$J$26*EFEITO!$Y$26</f>
        <v>79340.306766324109</v>
      </c>
      <c r="K26" s="79">
        <f ca="1">EFEITO!$L$26*EFEITO!$Z$26</f>
        <v>0</v>
      </c>
      <c r="L26" s="79">
        <f>EFEITO!$N$26*EFEITO!$AA$26</f>
        <v>0</v>
      </c>
      <c r="M26" s="79">
        <f ca="1">$J$26-EFEITO!$K$26*EFEITO!$Y$26</f>
        <v>0</v>
      </c>
      <c r="N26" s="79">
        <f ca="1">$K$26-EFEITO!$M$26*EFEITO!$Z$26</f>
        <v>0</v>
      </c>
      <c r="O26" s="79">
        <f>$L$26-EFEITO!$O$26*EFEITO!$AA$26</f>
        <v>0</v>
      </c>
      <c r="P26" s="18"/>
      <c r="Q26" s="18"/>
      <c r="R26" s="18"/>
      <c r="S26" s="18"/>
      <c r="T26" s="18"/>
      <c r="U26" s="18"/>
      <c r="V26" s="18"/>
      <c r="W26" s="18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70" t="s">
        <v>21</v>
      </c>
      <c r="B27" s="70" t="s">
        <v>53</v>
      </c>
      <c r="C27" s="70" t="s">
        <v>36</v>
      </c>
      <c r="D27" s="70" t="s">
        <v>34</v>
      </c>
      <c r="E27" s="70" t="s">
        <v>25</v>
      </c>
      <c r="F27" s="70" t="s">
        <v>25</v>
      </c>
      <c r="G27" s="70" t="s">
        <v>25</v>
      </c>
      <c r="H27" s="70" t="s">
        <v>37</v>
      </c>
      <c r="I27" s="78">
        <v>44409</v>
      </c>
      <c r="J27" s="79">
        <f ca="1">EFEITO!$J$27*EFEITO!$Y$27</f>
        <v>79340.306766324109</v>
      </c>
      <c r="K27" s="79">
        <f ca="1">EFEITO!$L$27*EFEITO!$Z$27</f>
        <v>0</v>
      </c>
      <c r="L27" s="79">
        <f>EFEITO!$N$27*EFEITO!$AA$27</f>
        <v>0</v>
      </c>
      <c r="M27" s="79">
        <f ca="1">$J$27-EFEITO!$K$27*EFEITO!$Y$27</f>
        <v>0</v>
      </c>
      <c r="N27" s="79">
        <f ca="1">$K$27-EFEITO!$M$27*EFEITO!$Z$27</f>
        <v>0</v>
      </c>
      <c r="O27" s="79">
        <f>$L$27-EFEITO!$O$27*EFEITO!$AA$27</f>
        <v>0</v>
      </c>
      <c r="P27" s="18"/>
      <c r="Q27" s="18"/>
      <c r="R27" s="18"/>
      <c r="S27" s="18"/>
      <c r="T27" s="18"/>
      <c r="U27" s="18"/>
      <c r="V27" s="18"/>
      <c r="W27" s="18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70" t="s">
        <v>21</v>
      </c>
      <c r="B28" s="70" t="s">
        <v>53</v>
      </c>
      <c r="C28" s="70" t="s">
        <v>36</v>
      </c>
      <c r="D28" s="70" t="s">
        <v>34</v>
      </c>
      <c r="E28" s="70" t="s">
        <v>25</v>
      </c>
      <c r="F28" s="70" t="s">
        <v>25</v>
      </c>
      <c r="G28" s="70" t="s">
        <v>25</v>
      </c>
      <c r="H28" s="70" t="s">
        <v>37</v>
      </c>
      <c r="I28" s="78">
        <v>44440</v>
      </c>
      <c r="J28" s="79">
        <f ca="1">EFEITO!$J$28*EFEITO!$Y$28</f>
        <v>79340.306766324109</v>
      </c>
      <c r="K28" s="79">
        <f ca="1">EFEITO!$L$28*EFEITO!$Z$28</f>
        <v>0</v>
      </c>
      <c r="L28" s="79">
        <f>EFEITO!$N$28*EFEITO!$AA$28</f>
        <v>0</v>
      </c>
      <c r="M28" s="79">
        <f ca="1">$J$28-EFEITO!$K$28*EFEITO!$Y$28</f>
        <v>0</v>
      </c>
      <c r="N28" s="79">
        <f ca="1">$K$28-EFEITO!$M$28*EFEITO!$Z$28</f>
        <v>0</v>
      </c>
      <c r="O28" s="79">
        <f>$L$28-EFEITO!$O$28*EFEITO!$AA$28</f>
        <v>0</v>
      </c>
      <c r="P28" s="18"/>
      <c r="Q28" s="18"/>
      <c r="R28" s="18"/>
      <c r="S28" s="18"/>
      <c r="T28" s="18"/>
      <c r="U28" s="18"/>
      <c r="V28" s="18"/>
      <c r="W28" s="18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70" t="s">
        <v>21</v>
      </c>
      <c r="B29" s="70" t="s">
        <v>53</v>
      </c>
      <c r="C29" s="70" t="s">
        <v>36</v>
      </c>
      <c r="D29" s="70" t="s">
        <v>34</v>
      </c>
      <c r="E29" s="70" t="s">
        <v>25</v>
      </c>
      <c r="F29" s="70" t="s">
        <v>25</v>
      </c>
      <c r="G29" s="70" t="s">
        <v>25</v>
      </c>
      <c r="H29" s="70" t="s">
        <v>37</v>
      </c>
      <c r="I29" s="78">
        <v>44470</v>
      </c>
      <c r="J29" s="79">
        <f ca="1">EFEITO!$J$29*EFEITO!$Y$29</f>
        <v>79340.306766324109</v>
      </c>
      <c r="K29" s="79">
        <f ca="1">EFEITO!$L$29*EFEITO!$Z$29</f>
        <v>0</v>
      </c>
      <c r="L29" s="79">
        <f>EFEITO!$N$29*EFEITO!$AA$29</f>
        <v>0</v>
      </c>
      <c r="M29" s="79">
        <f ca="1">$J$29-EFEITO!$K$29*EFEITO!$Y$29</f>
        <v>0</v>
      </c>
      <c r="N29" s="79">
        <f ca="1">$K$29-EFEITO!$M$29*EFEITO!$Z$29</f>
        <v>0</v>
      </c>
      <c r="O29" s="79">
        <f>$L$29-EFEITO!$O$29*EFEITO!$AA$29</f>
        <v>0</v>
      </c>
      <c r="P29" s="18"/>
      <c r="Q29" s="18"/>
      <c r="R29" s="18"/>
      <c r="S29" s="18"/>
      <c r="T29" s="18"/>
      <c r="U29" s="18"/>
      <c r="V29" s="18"/>
      <c r="W29" s="18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70" t="s">
        <v>21</v>
      </c>
      <c r="B30" s="70" t="s">
        <v>53</v>
      </c>
      <c r="C30" s="70" t="s">
        <v>36</v>
      </c>
      <c r="D30" s="70" t="s">
        <v>34</v>
      </c>
      <c r="E30" s="70" t="s">
        <v>25</v>
      </c>
      <c r="F30" s="70" t="s">
        <v>25</v>
      </c>
      <c r="G30" s="70" t="s">
        <v>25</v>
      </c>
      <c r="H30" s="70" t="s">
        <v>37</v>
      </c>
      <c r="I30" s="78">
        <v>44501</v>
      </c>
      <c r="J30" s="79">
        <f ca="1">EFEITO!$J$30*EFEITO!$Y$30</f>
        <v>79340.306766324109</v>
      </c>
      <c r="K30" s="79">
        <f ca="1">EFEITO!$L$30*EFEITO!$Z$30</f>
        <v>0</v>
      </c>
      <c r="L30" s="79">
        <f>EFEITO!$N$30*EFEITO!$AA$30</f>
        <v>0</v>
      </c>
      <c r="M30" s="79">
        <f ca="1">$J$30-EFEITO!$K$30*EFEITO!$Y$30</f>
        <v>0</v>
      </c>
      <c r="N30" s="79">
        <f ca="1">$K$30-EFEITO!$M$30*EFEITO!$Z$30</f>
        <v>0</v>
      </c>
      <c r="O30" s="79">
        <f>$L$30-EFEITO!$O$30*EFEITO!$AA$30</f>
        <v>0</v>
      </c>
      <c r="P30" s="18"/>
      <c r="Q30" s="18"/>
      <c r="R30" s="18"/>
      <c r="S30" s="18"/>
      <c r="T30" s="18"/>
      <c r="U30" s="18"/>
      <c r="V30" s="18"/>
      <c r="W30" s="18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70" t="s">
        <v>65</v>
      </c>
      <c r="B31" s="70" t="s">
        <v>53</v>
      </c>
      <c r="C31" s="70" t="s">
        <v>36</v>
      </c>
      <c r="D31" s="70" t="s">
        <v>34</v>
      </c>
      <c r="E31" s="70" t="s">
        <v>25</v>
      </c>
      <c r="F31" s="70" t="s">
        <v>25</v>
      </c>
      <c r="G31" s="70" t="s">
        <v>25</v>
      </c>
      <c r="H31" s="70" t="s">
        <v>37</v>
      </c>
      <c r="I31" s="78">
        <v>44531</v>
      </c>
      <c r="J31" s="79">
        <f ca="1">EFEITO!$J$31*EFEITO!$Y$31</f>
        <v>79340.306766324109</v>
      </c>
      <c r="K31" s="79">
        <f ca="1">EFEITO!$L$31*EFEITO!$Z$31</f>
        <v>0</v>
      </c>
      <c r="L31" s="79">
        <f>EFEITO!$N$31*EFEITO!$AA$31</f>
        <v>0</v>
      </c>
      <c r="M31" s="79">
        <f ca="1">$J$31-EFEITO!$K$31*EFEITO!$Y$31</f>
        <v>0</v>
      </c>
      <c r="N31" s="79">
        <f ca="1">$K$31-EFEITO!$M$31*EFEITO!$Z$31</f>
        <v>0</v>
      </c>
      <c r="O31" s="79">
        <f>$L$31-EFEITO!$O$31*EFEITO!$AA$31</f>
        <v>0</v>
      </c>
      <c r="P31" s="18"/>
      <c r="Q31" s="18"/>
      <c r="R31" s="18"/>
      <c r="S31" s="18"/>
      <c r="T31" s="18"/>
      <c r="U31" s="18"/>
      <c r="V31" s="18"/>
      <c r="W31" s="18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70" t="s">
        <v>21</v>
      </c>
      <c r="B32" s="70" t="s">
        <v>53</v>
      </c>
      <c r="C32" s="70" t="s">
        <v>36</v>
      </c>
      <c r="D32" s="70" t="s">
        <v>34</v>
      </c>
      <c r="E32" s="70" t="s">
        <v>25</v>
      </c>
      <c r="F32" s="70" t="s">
        <v>25</v>
      </c>
      <c r="G32" s="70" t="s">
        <v>25</v>
      </c>
      <c r="H32" s="70" t="s">
        <v>37</v>
      </c>
      <c r="I32" s="78">
        <v>44562</v>
      </c>
      <c r="J32" s="79">
        <f ca="1">EFEITO!$J$32*EFEITO!$Y$32</f>
        <v>79340.306766324109</v>
      </c>
      <c r="K32" s="79">
        <f ca="1">EFEITO!$L$32*EFEITO!$Z$32</f>
        <v>0</v>
      </c>
      <c r="L32" s="79">
        <f>EFEITO!$N$32*EFEITO!$AA$32</f>
        <v>0</v>
      </c>
      <c r="M32" s="79">
        <f ca="1">$J$32-EFEITO!$K$32*EFEITO!$Y$32</f>
        <v>0</v>
      </c>
      <c r="N32" s="79">
        <f ca="1">$K$32-EFEITO!$M$32*EFEITO!$Z$32</f>
        <v>0</v>
      </c>
      <c r="O32" s="79">
        <f>$L$32-EFEITO!$O$32*EFEITO!$AA$32</f>
        <v>0</v>
      </c>
      <c r="P32" s="18"/>
      <c r="Q32" s="18"/>
      <c r="R32" s="18"/>
      <c r="S32" s="18"/>
      <c r="T32" s="18"/>
      <c r="U32" s="18"/>
      <c r="V32" s="18"/>
      <c r="W32" s="18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70" t="s">
        <v>21</v>
      </c>
      <c r="B33" s="70" t="s">
        <v>53</v>
      </c>
      <c r="C33" s="70" t="s">
        <v>36</v>
      </c>
      <c r="D33" s="70" t="s">
        <v>34</v>
      </c>
      <c r="E33" s="70" t="s">
        <v>25</v>
      </c>
      <c r="F33" s="70" t="s">
        <v>25</v>
      </c>
      <c r="G33" s="70" t="s">
        <v>25</v>
      </c>
      <c r="H33" s="70" t="s">
        <v>37</v>
      </c>
      <c r="I33" s="78">
        <v>44593</v>
      </c>
      <c r="J33" s="79">
        <f ca="1">EFEITO!$J$33*EFEITO!$Y$33</f>
        <v>79340.306766324109</v>
      </c>
      <c r="K33" s="79">
        <f ca="1">EFEITO!$L$33*EFEITO!$Z$33</f>
        <v>0</v>
      </c>
      <c r="L33" s="79">
        <f>EFEITO!$N$33*EFEITO!$AA$33</f>
        <v>0</v>
      </c>
      <c r="M33" s="79">
        <f ca="1">$J$33-EFEITO!$K$33*EFEITO!$Y$33</f>
        <v>0</v>
      </c>
      <c r="N33" s="79">
        <f ca="1">$K$33-EFEITO!$M$33*EFEITO!$Z$33</f>
        <v>0</v>
      </c>
      <c r="O33" s="79">
        <f>$L$33-EFEITO!$O$33*EFEITO!$AA$33</f>
        <v>0</v>
      </c>
      <c r="P33" s="18"/>
      <c r="Q33" s="18"/>
      <c r="R33" s="18"/>
      <c r="S33" s="18"/>
      <c r="T33" s="18"/>
      <c r="U33" s="18"/>
      <c r="V33" s="18"/>
      <c r="W33" s="18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70" t="s">
        <v>21</v>
      </c>
      <c r="B34" s="70" t="s">
        <v>53</v>
      </c>
      <c r="C34" s="70" t="s">
        <v>36</v>
      </c>
      <c r="D34" s="70" t="s">
        <v>34</v>
      </c>
      <c r="E34" s="70" t="s">
        <v>25</v>
      </c>
      <c r="F34" s="70" t="s">
        <v>25</v>
      </c>
      <c r="G34" s="70" t="s">
        <v>25</v>
      </c>
      <c r="H34" s="70" t="s">
        <v>37</v>
      </c>
      <c r="I34" s="78">
        <v>44621</v>
      </c>
      <c r="J34" s="79">
        <f ca="1">EFEITO!$J$34*EFEITO!$Y$34</f>
        <v>79340.306766324109</v>
      </c>
      <c r="K34" s="79">
        <f ca="1">EFEITO!$L$34*EFEITO!$Z$34</f>
        <v>0</v>
      </c>
      <c r="L34" s="79">
        <f>EFEITO!$N$34*EFEITO!$AA$34</f>
        <v>0</v>
      </c>
      <c r="M34" s="79">
        <f ca="1">$J$34-EFEITO!$K$34*EFEITO!$Y$34</f>
        <v>0</v>
      </c>
      <c r="N34" s="79">
        <f ca="1">$K$34-EFEITO!$M$34*EFEITO!$Z$34</f>
        <v>0</v>
      </c>
      <c r="O34" s="79">
        <f>$L$34-EFEITO!$O$34*EFEITO!$AA$34</f>
        <v>0</v>
      </c>
      <c r="P34" s="18"/>
      <c r="Q34" s="18"/>
      <c r="R34" s="18"/>
      <c r="S34" s="18"/>
      <c r="T34" s="18"/>
      <c r="U34" s="18"/>
      <c r="V34" s="18"/>
      <c r="W34" s="18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70" t="s">
        <v>65</v>
      </c>
      <c r="B35" s="70" t="s">
        <v>53</v>
      </c>
      <c r="C35" s="70" t="s">
        <v>36</v>
      </c>
      <c r="D35" s="70" t="s">
        <v>34</v>
      </c>
      <c r="E35" s="70" t="s">
        <v>25</v>
      </c>
      <c r="F35" s="70" t="s">
        <v>25</v>
      </c>
      <c r="G35" s="70" t="s">
        <v>25</v>
      </c>
      <c r="H35" s="70" t="s">
        <v>37</v>
      </c>
      <c r="I35" s="78">
        <v>44652</v>
      </c>
      <c r="J35" s="79">
        <f ca="1">EFEITO!$J$35*EFEITO!$Y$35</f>
        <v>79340.306766324109</v>
      </c>
      <c r="K35" s="79">
        <f ca="1">EFEITO!$L$35*EFEITO!$Z$35</f>
        <v>0</v>
      </c>
      <c r="L35" s="79">
        <f>EFEITO!$N$35*EFEITO!$AA$35</f>
        <v>0</v>
      </c>
      <c r="M35" s="79">
        <f ca="1">$J$35-EFEITO!$K$35*EFEITO!$Y$35</f>
        <v>0</v>
      </c>
      <c r="N35" s="79">
        <f ca="1">$K$35-EFEITO!$M$35*EFEITO!$Z$35</f>
        <v>0</v>
      </c>
      <c r="O35" s="79">
        <f>$L$35-EFEITO!$O$35*EFEITO!$AA$35</f>
        <v>0</v>
      </c>
      <c r="P35" s="18"/>
      <c r="Q35" s="18"/>
      <c r="R35" s="18"/>
      <c r="S35" s="18"/>
      <c r="T35" s="18"/>
      <c r="U35" s="18"/>
      <c r="V35" s="18"/>
      <c r="W35" s="18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70" t="s">
        <v>21</v>
      </c>
      <c r="B36" s="70" t="s">
        <v>53</v>
      </c>
      <c r="C36" s="70" t="s">
        <v>36</v>
      </c>
      <c r="D36" s="70" t="s">
        <v>34</v>
      </c>
      <c r="E36" s="70" t="s">
        <v>25</v>
      </c>
      <c r="F36" s="70" t="s">
        <v>25</v>
      </c>
      <c r="G36" s="70" t="s">
        <v>25</v>
      </c>
      <c r="H36" s="70" t="s">
        <v>37</v>
      </c>
      <c r="I36" s="78">
        <v>44682</v>
      </c>
      <c r="J36" s="79">
        <f ca="1">EFEITO!$J$36*EFEITO!$Y$36</f>
        <v>79340.306766324109</v>
      </c>
      <c r="K36" s="79">
        <f ca="1">EFEITO!$L$36*EFEITO!$Z$36</f>
        <v>0</v>
      </c>
      <c r="L36" s="79">
        <f>EFEITO!$N$36*EFEITO!$AA$36</f>
        <v>0</v>
      </c>
      <c r="M36" s="79">
        <f ca="1">$J$36-EFEITO!$K$36*EFEITO!$Y$36</f>
        <v>0</v>
      </c>
      <c r="N36" s="79">
        <f ca="1">$K$36-EFEITO!$M$36*EFEITO!$Z$36</f>
        <v>0</v>
      </c>
      <c r="O36" s="79">
        <f>$L$36-EFEITO!$O$36*EFEITO!$AA$36</f>
        <v>0</v>
      </c>
      <c r="P36" s="18"/>
      <c r="Q36" s="18"/>
      <c r="R36" s="18"/>
      <c r="S36" s="18"/>
      <c r="T36" s="18"/>
      <c r="U36" s="18"/>
      <c r="V36" s="18"/>
      <c r="W36" s="18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70" t="s">
        <v>21</v>
      </c>
      <c r="B37" s="70" t="s">
        <v>53</v>
      </c>
      <c r="C37" s="70" t="s">
        <v>36</v>
      </c>
      <c r="D37" s="70" t="s">
        <v>34</v>
      </c>
      <c r="E37" s="70" t="s">
        <v>25</v>
      </c>
      <c r="F37" s="70" t="s">
        <v>25</v>
      </c>
      <c r="G37" s="70" t="s">
        <v>25</v>
      </c>
      <c r="H37" s="70" t="s">
        <v>37</v>
      </c>
      <c r="I37" s="78">
        <v>44713</v>
      </c>
      <c r="J37" s="79">
        <f ca="1">EFEITO!$J$37*EFEITO!$Y$37</f>
        <v>79340.306766324109</v>
      </c>
      <c r="K37" s="79">
        <f ca="1">EFEITO!$L$37*EFEITO!$Z$37</f>
        <v>0</v>
      </c>
      <c r="L37" s="79">
        <f>EFEITO!$N$37*EFEITO!$AA$37</f>
        <v>0</v>
      </c>
      <c r="M37" s="79">
        <f ca="1">$J$37-EFEITO!$K$37*EFEITO!$Y$37</f>
        <v>0</v>
      </c>
      <c r="N37" s="79">
        <f ca="1">$K$37-EFEITO!$M$37*EFEITO!$Z$37</f>
        <v>0</v>
      </c>
      <c r="O37" s="79">
        <f>$L$37-EFEITO!$O$37*EFEITO!$AA$37</f>
        <v>0</v>
      </c>
      <c r="P37" s="18"/>
      <c r="Q37" s="18"/>
      <c r="R37" s="18"/>
      <c r="S37" s="18"/>
      <c r="T37" s="18"/>
      <c r="U37" s="18"/>
      <c r="V37" s="18"/>
      <c r="W37" s="18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70" t="s">
        <v>21</v>
      </c>
      <c r="B38" s="70" t="s">
        <v>35</v>
      </c>
      <c r="C38" s="70" t="s">
        <v>36</v>
      </c>
      <c r="D38" s="70" t="s">
        <v>40</v>
      </c>
      <c r="E38" s="70" t="s">
        <v>25</v>
      </c>
      <c r="F38" s="70" t="s">
        <v>25</v>
      </c>
      <c r="G38" s="70" t="s">
        <v>25</v>
      </c>
      <c r="H38" s="70" t="s">
        <v>38</v>
      </c>
      <c r="I38" s="78">
        <v>44378</v>
      </c>
      <c r="J38" s="79">
        <f ca="1">EFEITO!$J$38*EFEITO!$Y$38</f>
        <v>17693.473254258708</v>
      </c>
      <c r="K38" s="79">
        <f ca="1">EFEITO!$L$38*EFEITO!$Z$38</f>
        <v>14991.604344154253</v>
      </c>
      <c r="L38" s="79">
        <f>EFEITO!$N$38*EFEITO!$AA$38</f>
        <v>32117.961005757516</v>
      </c>
      <c r="M38" s="79">
        <f ca="1">$J$38-EFEITO!$K$38*EFEITO!$Y$38</f>
        <v>0</v>
      </c>
      <c r="N38" s="79">
        <f ca="1">$K$38-EFEITO!$M$38*EFEITO!$Z$38</f>
        <v>0</v>
      </c>
      <c r="O38" s="79">
        <f>$L$38-EFEITO!$O$38*EFEITO!$AA$38</f>
        <v>0</v>
      </c>
      <c r="P38" s="18"/>
      <c r="Q38" s="18"/>
      <c r="R38" s="18"/>
      <c r="S38" s="18"/>
      <c r="T38" s="18"/>
      <c r="U38" s="18"/>
      <c r="V38" s="18"/>
      <c r="W38" s="18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70" t="s">
        <v>21</v>
      </c>
      <c r="B39" s="70" t="s">
        <v>35</v>
      </c>
      <c r="C39" s="70" t="s">
        <v>36</v>
      </c>
      <c r="D39" s="70" t="s">
        <v>40</v>
      </c>
      <c r="E39" s="70" t="s">
        <v>25</v>
      </c>
      <c r="F39" s="70" t="s">
        <v>25</v>
      </c>
      <c r="G39" s="70" t="s">
        <v>25</v>
      </c>
      <c r="H39" s="70" t="s">
        <v>38</v>
      </c>
      <c r="I39" s="78">
        <v>44409</v>
      </c>
      <c r="J39" s="79">
        <f ca="1">EFEITO!$J$39*EFEITO!$Y$39</f>
        <v>16749.415300933375</v>
      </c>
      <c r="K39" s="79">
        <f ca="1">EFEITO!$L$39*EFEITO!$Z$39</f>
        <v>15395.572777238436</v>
      </c>
      <c r="L39" s="79">
        <f>EFEITO!$N$39*EFEITO!$AA$39</f>
        <v>32983.421571785191</v>
      </c>
      <c r="M39" s="79">
        <f ca="1">$J$39-EFEITO!$K$39*EFEITO!$Y$39</f>
        <v>0</v>
      </c>
      <c r="N39" s="79">
        <f ca="1">$K$39-EFEITO!$M$39*EFEITO!$Z$39</f>
        <v>0</v>
      </c>
      <c r="O39" s="79">
        <f>$L$39-EFEITO!$O$39*EFEITO!$AA$39</f>
        <v>0</v>
      </c>
      <c r="P39" s="18"/>
      <c r="Q39" s="18"/>
      <c r="R39" s="18"/>
      <c r="S39" s="18"/>
      <c r="T39" s="18"/>
      <c r="U39" s="18"/>
      <c r="V39" s="18"/>
      <c r="W39" s="18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70" t="s">
        <v>21</v>
      </c>
      <c r="B40" s="70" t="s">
        <v>35</v>
      </c>
      <c r="C40" s="70" t="s">
        <v>36</v>
      </c>
      <c r="D40" s="70" t="s">
        <v>40</v>
      </c>
      <c r="E40" s="70" t="s">
        <v>25</v>
      </c>
      <c r="F40" s="70" t="s">
        <v>25</v>
      </c>
      <c r="G40" s="70" t="s">
        <v>25</v>
      </c>
      <c r="H40" s="70" t="s">
        <v>38</v>
      </c>
      <c r="I40" s="78">
        <v>44440</v>
      </c>
      <c r="J40" s="79">
        <f ca="1">EFEITO!$J$40*EFEITO!$Y$40</f>
        <v>16749.415300933375</v>
      </c>
      <c r="K40" s="79">
        <f ca="1">EFEITO!$L$40*EFEITO!$Z$40</f>
        <v>15020.558344510413</v>
      </c>
      <c r="L40" s="79">
        <f>EFEITO!$N$40*EFEITO!$AA$40</f>
        <v>32179.991955417849</v>
      </c>
      <c r="M40" s="79">
        <f ca="1">$J$40-EFEITO!$K$40*EFEITO!$Y$40</f>
        <v>0</v>
      </c>
      <c r="N40" s="79">
        <f ca="1">$K$40-EFEITO!$M$40*EFEITO!$Z$40</f>
        <v>0</v>
      </c>
      <c r="O40" s="79">
        <f>$L$40-EFEITO!$O$40*EFEITO!$AA$40</f>
        <v>0</v>
      </c>
      <c r="P40" s="18"/>
      <c r="Q40" s="18"/>
      <c r="R40" s="18"/>
      <c r="S40" s="18"/>
      <c r="T40" s="18"/>
      <c r="U40" s="18"/>
      <c r="V40" s="18"/>
      <c r="W40" s="18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70" t="s">
        <v>21</v>
      </c>
      <c r="B41" s="70" t="s">
        <v>35</v>
      </c>
      <c r="C41" s="70" t="s">
        <v>36</v>
      </c>
      <c r="D41" s="70" t="s">
        <v>40</v>
      </c>
      <c r="E41" s="70" t="s">
        <v>25</v>
      </c>
      <c r="F41" s="70" t="s">
        <v>25</v>
      </c>
      <c r="G41" s="70" t="s">
        <v>25</v>
      </c>
      <c r="H41" s="70" t="s">
        <v>38</v>
      </c>
      <c r="I41" s="78">
        <v>44470</v>
      </c>
      <c r="J41" s="79">
        <f ca="1">EFEITO!$J$41*EFEITO!$Y$41</f>
        <v>16749.415300933375</v>
      </c>
      <c r="K41" s="79">
        <f ca="1">EFEITO!$L$41*EFEITO!$Z$41</f>
        <v>15017.78320070631</v>
      </c>
      <c r="L41" s="79">
        <f>EFEITO!$N$41*EFEITO!$AA$41</f>
        <v>32174.046496983952</v>
      </c>
      <c r="M41" s="79">
        <f ca="1">$J$41-EFEITO!$K$41*EFEITO!$Y$41</f>
        <v>0</v>
      </c>
      <c r="N41" s="79">
        <f ca="1">$K$41-EFEITO!$M$41*EFEITO!$Z$41</f>
        <v>0</v>
      </c>
      <c r="O41" s="79">
        <f>$L$41-EFEITO!$O$41*EFEITO!$AA$41</f>
        <v>0</v>
      </c>
      <c r="P41" s="18"/>
      <c r="Q41" s="18"/>
      <c r="R41" s="18"/>
      <c r="S41" s="18"/>
      <c r="T41" s="18"/>
      <c r="U41" s="18"/>
      <c r="V41" s="18"/>
      <c r="W41" s="18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70" t="s">
        <v>21</v>
      </c>
      <c r="B42" s="70" t="s">
        <v>35</v>
      </c>
      <c r="C42" s="70" t="s">
        <v>36</v>
      </c>
      <c r="D42" s="70" t="s">
        <v>40</v>
      </c>
      <c r="E42" s="70" t="s">
        <v>25</v>
      </c>
      <c r="F42" s="70" t="s">
        <v>25</v>
      </c>
      <c r="G42" s="70" t="s">
        <v>25</v>
      </c>
      <c r="H42" s="70" t="s">
        <v>38</v>
      </c>
      <c r="I42" s="78">
        <v>44501</v>
      </c>
      <c r="J42" s="79">
        <f ca="1">EFEITO!$J$42*EFEITO!$Y$42</f>
        <v>16749.415300933375</v>
      </c>
      <c r="K42" s="79">
        <f ca="1">EFEITO!$L$42*EFEITO!$Z$42</f>
        <v>15503.988395185461</v>
      </c>
      <c r="L42" s="79">
        <f>EFEITO!$N$42*EFEITO!$AA$42</f>
        <v>33215.690814602785</v>
      </c>
      <c r="M42" s="79">
        <f ca="1">$J$42-EFEITO!$K$42*EFEITO!$Y$42</f>
        <v>0</v>
      </c>
      <c r="N42" s="79">
        <f ca="1">$K$42-EFEITO!$M$42*EFEITO!$Z$42</f>
        <v>0</v>
      </c>
      <c r="O42" s="79">
        <f>$L$42-EFEITO!$O$42*EFEITO!$AA$42</f>
        <v>0</v>
      </c>
      <c r="P42" s="18"/>
      <c r="Q42" s="18"/>
      <c r="R42" s="18"/>
      <c r="S42" s="18"/>
      <c r="T42" s="18"/>
      <c r="U42" s="18"/>
      <c r="V42" s="18"/>
      <c r="W42" s="18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70" t="s">
        <v>21</v>
      </c>
      <c r="B43" s="70" t="s">
        <v>35</v>
      </c>
      <c r="C43" s="70" t="s">
        <v>36</v>
      </c>
      <c r="D43" s="70" t="s">
        <v>40</v>
      </c>
      <c r="E43" s="70" t="s">
        <v>25</v>
      </c>
      <c r="F43" s="70" t="s">
        <v>25</v>
      </c>
      <c r="G43" s="70" t="s">
        <v>25</v>
      </c>
      <c r="H43" s="70" t="s">
        <v>38</v>
      </c>
      <c r="I43" s="78">
        <v>44531</v>
      </c>
      <c r="J43" s="79">
        <f ca="1">EFEITO!$J$43*EFEITO!$Y$43</f>
        <v>17754.380218989376</v>
      </c>
      <c r="K43" s="79">
        <f ca="1">EFEITO!$L$43*EFEITO!$Z$43</f>
        <v>17555.282190386217</v>
      </c>
      <c r="L43" s="79">
        <f>EFEITO!$N$43*EFEITO!$AA$43</f>
        <v>37610.375506992001</v>
      </c>
      <c r="M43" s="79">
        <f ca="1">$J$43-EFEITO!$K$43*EFEITO!$Y$43</f>
        <v>0</v>
      </c>
      <c r="N43" s="79">
        <f ca="1">$K$43-EFEITO!$M$43*EFEITO!$Z$43</f>
        <v>0</v>
      </c>
      <c r="O43" s="79">
        <f>$L$43-EFEITO!$O$43*EFEITO!$AA$43</f>
        <v>0</v>
      </c>
      <c r="P43" s="18"/>
      <c r="Q43" s="18"/>
      <c r="R43" s="18"/>
      <c r="S43" s="18"/>
      <c r="T43" s="18"/>
      <c r="U43" s="18"/>
      <c r="V43" s="18"/>
      <c r="W43" s="18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70" t="s">
        <v>21</v>
      </c>
      <c r="B44" s="70" t="s">
        <v>35</v>
      </c>
      <c r="C44" s="70" t="s">
        <v>36</v>
      </c>
      <c r="D44" s="70" t="s">
        <v>40</v>
      </c>
      <c r="E44" s="70" t="s">
        <v>25</v>
      </c>
      <c r="F44" s="70" t="s">
        <v>25</v>
      </c>
      <c r="G44" s="70" t="s">
        <v>25</v>
      </c>
      <c r="H44" s="70" t="s">
        <v>38</v>
      </c>
      <c r="I44" s="78">
        <v>44562</v>
      </c>
      <c r="J44" s="79">
        <f ca="1">EFEITO!$J$44*EFEITO!$Y$44</f>
        <v>18972.519513602714</v>
      </c>
      <c r="K44" s="79">
        <f ca="1">EFEITO!$L$44*EFEITO!$Z$44</f>
        <v>17961.563243307155</v>
      </c>
      <c r="L44" s="79">
        <f>EFEITO!$N$44*EFEITO!$AA$44</f>
        <v>38480.790621714594</v>
      </c>
      <c r="M44" s="79">
        <f ca="1">$J$44-EFEITO!$K$44*EFEITO!$Y$44</f>
        <v>0</v>
      </c>
      <c r="N44" s="79">
        <f ca="1">$K$44-EFEITO!$M$44*EFEITO!$Z$44</f>
        <v>0</v>
      </c>
      <c r="O44" s="79">
        <f>$L$44-EFEITO!$O$44*EFEITO!$AA$44</f>
        <v>0</v>
      </c>
      <c r="P44" s="18"/>
      <c r="Q44" s="18"/>
      <c r="R44" s="18"/>
      <c r="S44" s="18"/>
      <c r="T44" s="18"/>
      <c r="U44" s="18"/>
      <c r="V44" s="18"/>
      <c r="W44" s="18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70" t="s">
        <v>21</v>
      </c>
      <c r="B45" s="70" t="s">
        <v>35</v>
      </c>
      <c r="C45" s="70" t="s">
        <v>36</v>
      </c>
      <c r="D45" s="70" t="s">
        <v>40</v>
      </c>
      <c r="E45" s="70" t="s">
        <v>25</v>
      </c>
      <c r="F45" s="70" t="s">
        <v>25</v>
      </c>
      <c r="G45" s="70" t="s">
        <v>25</v>
      </c>
      <c r="H45" s="70" t="s">
        <v>38</v>
      </c>
      <c r="I45" s="78">
        <v>44593</v>
      </c>
      <c r="J45" s="79">
        <f ca="1">EFEITO!$J$45*EFEITO!$Y$45</f>
        <v>20129.751843485381</v>
      </c>
      <c r="K45" s="79">
        <f ca="1">EFEITO!$L$45*EFEITO!$Z$45</f>
        <v>18328.06723503592</v>
      </c>
      <c r="L45" s="79">
        <f>EFEITO!$N$45*EFEITO!$AA$45</f>
        <v>39265.98749888465</v>
      </c>
      <c r="M45" s="79">
        <f ca="1">$J$45-EFEITO!$K$45*EFEITO!$Y$45</f>
        <v>0</v>
      </c>
      <c r="N45" s="79">
        <f ca="1">$K$45-EFEITO!$M$45*EFEITO!$Z$45</f>
        <v>0</v>
      </c>
      <c r="O45" s="79">
        <f>$L$45-EFEITO!$O$45*EFEITO!$AA$45</f>
        <v>0</v>
      </c>
      <c r="P45" s="18"/>
      <c r="Q45" s="18"/>
      <c r="R45" s="18"/>
      <c r="S45" s="18"/>
      <c r="T45" s="18"/>
      <c r="U45" s="18"/>
      <c r="V45" s="18"/>
      <c r="W45" s="18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70" t="s">
        <v>21</v>
      </c>
      <c r="B46" s="70" t="s">
        <v>35</v>
      </c>
      <c r="C46" s="70" t="s">
        <v>36</v>
      </c>
      <c r="D46" s="70" t="s">
        <v>40</v>
      </c>
      <c r="E46" s="70" t="s">
        <v>25</v>
      </c>
      <c r="F46" s="70" t="s">
        <v>25</v>
      </c>
      <c r="G46" s="70" t="s">
        <v>25</v>
      </c>
      <c r="H46" s="70" t="s">
        <v>38</v>
      </c>
      <c r="I46" s="78">
        <v>44621</v>
      </c>
      <c r="J46" s="79">
        <f ca="1">EFEITO!$J$46*EFEITO!$Y$46</f>
        <v>17510.752360066708</v>
      </c>
      <c r="K46" s="79">
        <f ca="1">EFEITO!$L$46*EFEITO!$Z$46</f>
        <v>17708.37762357933</v>
      </c>
      <c r="L46" s="79">
        <f>EFEITO!$N$46*EFEITO!$AA$46</f>
        <v>37938.366630595345</v>
      </c>
      <c r="M46" s="79">
        <f ca="1">$J$46-EFEITO!$K$46*EFEITO!$Y$46</f>
        <v>0</v>
      </c>
      <c r="N46" s="79">
        <f ca="1">$K$46-EFEITO!$M$46*EFEITO!$Z$46</f>
        <v>0</v>
      </c>
      <c r="O46" s="79">
        <f>$L$46-EFEITO!$O$46*EFEITO!$AA$46</f>
        <v>0</v>
      </c>
      <c r="P46" s="18"/>
      <c r="Q46" s="18"/>
      <c r="R46" s="18"/>
      <c r="S46" s="18"/>
      <c r="T46" s="18"/>
      <c r="U46" s="18"/>
      <c r="V46" s="18"/>
      <c r="W46" s="18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70" t="s">
        <v>21</v>
      </c>
      <c r="B47" s="70" t="s">
        <v>35</v>
      </c>
      <c r="C47" s="70" t="s">
        <v>36</v>
      </c>
      <c r="D47" s="70" t="s">
        <v>40</v>
      </c>
      <c r="E47" s="70" t="s">
        <v>25</v>
      </c>
      <c r="F47" s="70" t="s">
        <v>25</v>
      </c>
      <c r="G47" s="70" t="s">
        <v>25</v>
      </c>
      <c r="H47" s="70" t="s">
        <v>38</v>
      </c>
      <c r="I47" s="78">
        <v>44652</v>
      </c>
      <c r="J47" s="79">
        <f ca="1">EFEITO!$J$47*EFEITO!$Y$47</f>
        <v>17937.101113181376</v>
      </c>
      <c r="K47" s="79">
        <f ca="1">EFEITO!$L$47*EFEITO!$Z$47</f>
        <v>18749.889093259844</v>
      </c>
      <c r="L47" s="79">
        <f>EFEITO!$N$47*EFEITO!$AA$47</f>
        <v>40169.697180837065</v>
      </c>
      <c r="M47" s="79">
        <f ca="1">$J$47-EFEITO!$K$47*EFEITO!$Y$47</f>
        <v>0</v>
      </c>
      <c r="N47" s="79">
        <f ca="1">$K$47-EFEITO!$M$47*EFEITO!$Z$47</f>
        <v>0</v>
      </c>
      <c r="O47" s="79">
        <f>$L$47-EFEITO!$O$47*EFEITO!$AA$47</f>
        <v>0</v>
      </c>
      <c r="P47" s="18"/>
      <c r="Q47" s="18"/>
      <c r="R47" s="18"/>
      <c r="S47" s="18"/>
      <c r="T47" s="18"/>
      <c r="U47" s="18"/>
      <c r="V47" s="18"/>
      <c r="W47" s="18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70" t="s">
        <v>21</v>
      </c>
      <c r="B48" s="70" t="s">
        <v>35</v>
      </c>
      <c r="C48" s="70" t="s">
        <v>36</v>
      </c>
      <c r="D48" s="70" t="s">
        <v>40</v>
      </c>
      <c r="E48" s="70" t="s">
        <v>25</v>
      </c>
      <c r="F48" s="70" t="s">
        <v>25</v>
      </c>
      <c r="G48" s="70" t="s">
        <v>25</v>
      </c>
      <c r="H48" s="70" t="s">
        <v>38</v>
      </c>
      <c r="I48" s="78">
        <v>44682</v>
      </c>
      <c r="J48" s="79">
        <f ca="1">EFEITO!$J$48*EFEITO!$Y$48</f>
        <v>16749.415300933375</v>
      </c>
      <c r="K48" s="79">
        <f ca="1">EFEITO!$L$48*EFEITO!$Z$48</f>
        <v>16648.365195204788</v>
      </c>
      <c r="L48" s="79">
        <f>EFEITO!$N$48*EFEITO!$AA$48</f>
        <v>35667.399690794307</v>
      </c>
      <c r="M48" s="79">
        <f ca="1">$J$48-EFEITO!$K$48*EFEITO!$Y$48</f>
        <v>0</v>
      </c>
      <c r="N48" s="79">
        <f ca="1">$K$48-EFEITO!$M$48*EFEITO!$Z$48</f>
        <v>0</v>
      </c>
      <c r="O48" s="79">
        <f>$L$48-EFEITO!$O$48*EFEITO!$AA$48</f>
        <v>0</v>
      </c>
      <c r="P48" s="18"/>
      <c r="Q48" s="18"/>
      <c r="R48" s="18"/>
      <c r="S48" s="18"/>
      <c r="T48" s="18"/>
      <c r="U48" s="18"/>
      <c r="V48" s="18"/>
      <c r="W48" s="18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70" t="s">
        <v>21</v>
      </c>
      <c r="B49" s="70" t="s">
        <v>35</v>
      </c>
      <c r="C49" s="70" t="s">
        <v>36</v>
      </c>
      <c r="D49" s="70" t="s">
        <v>40</v>
      </c>
      <c r="E49" s="70" t="s">
        <v>25</v>
      </c>
      <c r="F49" s="70" t="s">
        <v>25</v>
      </c>
      <c r="G49" s="70" t="s">
        <v>25</v>
      </c>
      <c r="H49" s="70" t="s">
        <v>38</v>
      </c>
      <c r="I49" s="78">
        <v>44713</v>
      </c>
      <c r="J49" s="79">
        <f ca="1">EFEITO!$J$49*EFEITO!$Y$49</f>
        <v>16749.415300933375</v>
      </c>
      <c r="K49" s="79">
        <f ca="1">EFEITO!$L$49*EFEITO!$Z$49</f>
        <v>17659.442587833615</v>
      </c>
      <c r="L49" s="79">
        <f>EFEITO!$N$49*EFEITO!$AA$49</f>
        <v>37833.528380210948</v>
      </c>
      <c r="M49" s="79">
        <f ca="1">$J$49-EFEITO!$K$49*EFEITO!$Y$49</f>
        <v>0</v>
      </c>
      <c r="N49" s="79">
        <f ca="1">$K$49-EFEITO!$M$49*EFEITO!$Z$49</f>
        <v>0</v>
      </c>
      <c r="O49" s="79">
        <f>$L$49-EFEITO!$O$49*EFEITO!$AA$49</f>
        <v>0</v>
      </c>
      <c r="P49" s="18"/>
      <c r="Q49" s="18"/>
      <c r="R49" s="18"/>
      <c r="S49" s="18"/>
      <c r="T49" s="18"/>
      <c r="U49" s="18"/>
      <c r="V49" s="18"/>
      <c r="W49" s="18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70" t="s">
        <v>21</v>
      </c>
      <c r="B50" s="70" t="s">
        <v>35</v>
      </c>
      <c r="C50" s="70" t="s">
        <v>36</v>
      </c>
      <c r="D50" s="70" t="s">
        <v>40</v>
      </c>
      <c r="E50" s="70" t="s">
        <v>25</v>
      </c>
      <c r="F50" s="70" t="s">
        <v>25</v>
      </c>
      <c r="G50" s="70" t="s">
        <v>25</v>
      </c>
      <c r="H50" s="70" t="s">
        <v>37</v>
      </c>
      <c r="I50" s="78">
        <v>44378</v>
      </c>
      <c r="J50" s="79">
        <f ca="1">EFEITO!$J$50*EFEITO!$Y$50</f>
        <v>20122.476138988841</v>
      </c>
      <c r="K50" s="79">
        <f ca="1">EFEITO!$L$50*EFEITO!$Z$50</f>
        <v>1757.1285519656558</v>
      </c>
      <c r="L50" s="79">
        <f>EFEITO!$N$50*EFEITO!$AA$50</f>
        <v>3764.4660983960812</v>
      </c>
      <c r="M50" s="79">
        <f ca="1">$J$50-EFEITO!$K$50*EFEITO!$Y$50</f>
        <v>0</v>
      </c>
      <c r="N50" s="79">
        <f ca="1">$K$50-EFEITO!$M$50*EFEITO!$Z$50</f>
        <v>0</v>
      </c>
      <c r="O50" s="79">
        <f>$L$50-EFEITO!$O$50*EFEITO!$AA$50</f>
        <v>0</v>
      </c>
      <c r="P50" s="18"/>
      <c r="Q50" s="18"/>
      <c r="R50" s="18"/>
      <c r="S50" s="18"/>
      <c r="T50" s="18"/>
      <c r="U50" s="18"/>
      <c r="V50" s="18"/>
      <c r="W50" s="18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70" t="s">
        <v>21</v>
      </c>
      <c r="B51" s="70" t="s">
        <v>35</v>
      </c>
      <c r="C51" s="70" t="s">
        <v>36</v>
      </c>
      <c r="D51" s="70" t="s">
        <v>40</v>
      </c>
      <c r="E51" s="70" t="s">
        <v>25</v>
      </c>
      <c r="F51" s="70" t="s">
        <v>25</v>
      </c>
      <c r="G51" s="70" t="s">
        <v>25</v>
      </c>
      <c r="H51" s="70" t="s">
        <v>37</v>
      </c>
      <c r="I51" s="78">
        <v>44409</v>
      </c>
      <c r="J51" s="79">
        <f ca="1">EFEITO!$J$51*EFEITO!$Y$51</f>
        <v>20122.476138988841</v>
      </c>
      <c r="K51" s="79">
        <f ca="1">EFEITO!$L$51*EFEITO!$Z$51</f>
        <v>1804.2134918419663</v>
      </c>
      <c r="L51" s="79">
        <f>EFEITO!$N$51*EFEITO!$AA$51</f>
        <v>3865.3407098245416</v>
      </c>
      <c r="M51" s="79">
        <f ca="1">$J$51-EFEITO!$K$51*EFEITO!$Y$51</f>
        <v>0</v>
      </c>
      <c r="N51" s="79">
        <f ca="1">$K$51-EFEITO!$M$51*EFEITO!$Z$51</f>
        <v>0</v>
      </c>
      <c r="O51" s="79">
        <f>$L$51-EFEITO!$O$51*EFEITO!$AA$51</f>
        <v>0</v>
      </c>
      <c r="P51" s="18"/>
      <c r="Q51" s="18"/>
      <c r="R51" s="18"/>
      <c r="S51" s="18"/>
      <c r="T51" s="18"/>
      <c r="U51" s="18"/>
      <c r="V51" s="18"/>
      <c r="W51" s="18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70" t="s">
        <v>21</v>
      </c>
      <c r="B52" s="70" t="s">
        <v>35</v>
      </c>
      <c r="C52" s="70" t="s">
        <v>36</v>
      </c>
      <c r="D52" s="70" t="s">
        <v>40</v>
      </c>
      <c r="E52" s="70" t="s">
        <v>25</v>
      </c>
      <c r="F52" s="70" t="s">
        <v>25</v>
      </c>
      <c r="G52" s="70" t="s">
        <v>25</v>
      </c>
      <c r="H52" s="70" t="s">
        <v>37</v>
      </c>
      <c r="I52" s="78">
        <v>44440</v>
      </c>
      <c r="J52" s="79">
        <f ca="1">EFEITO!$J$52*EFEITO!$Y$52</f>
        <v>20122.476138988841</v>
      </c>
      <c r="K52" s="79">
        <f ca="1">EFEITO!$L$52*EFEITO!$Z$52</f>
        <v>1771.0967757796495</v>
      </c>
      <c r="L52" s="79">
        <f>EFEITO!$N$52*EFEITO!$AA$52</f>
        <v>3794.3915725133652</v>
      </c>
      <c r="M52" s="79">
        <f ca="1">$J$52-EFEITO!$K$52*EFEITO!$Y$52</f>
        <v>0</v>
      </c>
      <c r="N52" s="79">
        <f ca="1">$K$52-EFEITO!$M$52*EFEITO!$Z$52</f>
        <v>0</v>
      </c>
      <c r="O52" s="79">
        <f>$L$52-EFEITO!$O$52*EFEITO!$AA$52</f>
        <v>0</v>
      </c>
      <c r="P52" s="18"/>
      <c r="Q52" s="18"/>
      <c r="R52" s="18"/>
      <c r="S52" s="18"/>
      <c r="T52" s="18"/>
      <c r="U52" s="18"/>
      <c r="V52" s="18"/>
      <c r="W52" s="18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70" t="s">
        <v>21</v>
      </c>
      <c r="B53" s="70" t="s">
        <v>35</v>
      </c>
      <c r="C53" s="70" t="s">
        <v>36</v>
      </c>
      <c r="D53" s="70" t="s">
        <v>40</v>
      </c>
      <c r="E53" s="70" t="s">
        <v>25</v>
      </c>
      <c r="F53" s="70" t="s">
        <v>25</v>
      </c>
      <c r="G53" s="70" t="s">
        <v>25</v>
      </c>
      <c r="H53" s="70" t="s">
        <v>37</v>
      </c>
      <c r="I53" s="78">
        <v>44470</v>
      </c>
      <c r="J53" s="79">
        <f ca="1">EFEITO!$J$53*EFEITO!$Y$53</f>
        <v>20122.476138988841</v>
      </c>
      <c r="K53" s="79">
        <f ca="1">EFEITO!$L$53*EFEITO!$Z$53</f>
        <v>1744.4553952602439</v>
      </c>
      <c r="L53" s="79">
        <f>EFEITO!$N$53*EFEITO!$AA$53</f>
        <v>3737.3151715479494</v>
      </c>
      <c r="M53" s="79">
        <f ca="1">$J$53-EFEITO!$K$53*EFEITO!$Y$53</f>
        <v>0</v>
      </c>
      <c r="N53" s="79">
        <f ca="1">$K$53-EFEITO!$M$53*EFEITO!$Z$53</f>
        <v>0</v>
      </c>
      <c r="O53" s="79">
        <f>$L$53-EFEITO!$O$53*EFEITO!$AA$53</f>
        <v>0</v>
      </c>
      <c r="P53" s="18"/>
      <c r="Q53" s="18"/>
      <c r="R53" s="18"/>
      <c r="S53" s="18"/>
      <c r="T53" s="18"/>
      <c r="U53" s="18"/>
      <c r="V53" s="18"/>
      <c r="W53" s="18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70" t="s">
        <v>21</v>
      </c>
      <c r="B54" s="70" t="s">
        <v>35</v>
      </c>
      <c r="C54" s="70" t="s">
        <v>36</v>
      </c>
      <c r="D54" s="70" t="s">
        <v>40</v>
      </c>
      <c r="E54" s="70" t="s">
        <v>25</v>
      </c>
      <c r="F54" s="70" t="s">
        <v>25</v>
      </c>
      <c r="G54" s="70" t="s">
        <v>25</v>
      </c>
      <c r="H54" s="70" t="s">
        <v>37</v>
      </c>
      <c r="I54" s="78">
        <v>44501</v>
      </c>
      <c r="J54" s="79">
        <f ca="1">EFEITO!$J$54*EFEITO!$Y$54</f>
        <v>20122.476138988841</v>
      </c>
      <c r="K54" s="79">
        <f ca="1">EFEITO!$L$54*EFEITO!$Z$54</f>
        <v>1623.9216493686279</v>
      </c>
      <c r="L54" s="79">
        <f>EFEITO!$N$54*EFEITO!$AA$54</f>
        <v>3479.0840935690026</v>
      </c>
      <c r="M54" s="79">
        <f ca="1">$J$54-EFEITO!$K$54*EFEITO!$Y$54</f>
        <v>0</v>
      </c>
      <c r="N54" s="79">
        <f ca="1">$K$54-EFEITO!$M$54*EFEITO!$Z$54</f>
        <v>0</v>
      </c>
      <c r="O54" s="79">
        <f>$L$54-EFEITO!$O$54*EFEITO!$AA$54</f>
        <v>0</v>
      </c>
      <c r="P54" s="18"/>
      <c r="Q54" s="18"/>
      <c r="R54" s="18"/>
      <c r="S54" s="18"/>
      <c r="T54" s="18"/>
      <c r="U54" s="18"/>
      <c r="V54" s="18"/>
      <c r="W54" s="18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70" t="s">
        <v>21</v>
      </c>
      <c r="B55" s="70" t="s">
        <v>35</v>
      </c>
      <c r="C55" s="70" t="s">
        <v>36</v>
      </c>
      <c r="D55" s="70" t="s">
        <v>40</v>
      </c>
      <c r="E55" s="70" t="s">
        <v>25</v>
      </c>
      <c r="F55" s="70" t="s">
        <v>25</v>
      </c>
      <c r="G55" s="70" t="s">
        <v>25</v>
      </c>
      <c r="H55" s="70" t="s">
        <v>37</v>
      </c>
      <c r="I55" s="78">
        <v>44531</v>
      </c>
      <c r="J55" s="79">
        <f ca="1">EFEITO!$J$55*EFEITO!$Y$55</f>
        <v>20122.476138988841</v>
      </c>
      <c r="K55" s="79">
        <f ca="1">EFEITO!$L$55*EFEITO!$Z$55</f>
        <v>1731.689733761362</v>
      </c>
      <c r="L55" s="79">
        <f>EFEITO!$N$55*EFEITO!$AA$55</f>
        <v>3709.9660627520207</v>
      </c>
      <c r="M55" s="79">
        <f ca="1">$J$55-EFEITO!$K$55*EFEITO!$Y$55</f>
        <v>0</v>
      </c>
      <c r="N55" s="79">
        <f ca="1">$K$55-EFEITO!$M$55*EFEITO!$Z$55</f>
        <v>0</v>
      </c>
      <c r="O55" s="79">
        <f>$L$55-EFEITO!$O$55*EFEITO!$AA$55</f>
        <v>0</v>
      </c>
      <c r="P55" s="18"/>
      <c r="Q55" s="18"/>
      <c r="R55" s="18"/>
      <c r="S55" s="18"/>
      <c r="T55" s="18"/>
      <c r="U55" s="18"/>
      <c r="V55" s="18"/>
      <c r="W55" s="18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70" t="s">
        <v>21</v>
      </c>
      <c r="B56" s="70" t="s">
        <v>35</v>
      </c>
      <c r="C56" s="70" t="s">
        <v>36</v>
      </c>
      <c r="D56" s="70" t="s">
        <v>40</v>
      </c>
      <c r="E56" s="70" t="s">
        <v>25</v>
      </c>
      <c r="F56" s="70" t="s">
        <v>25</v>
      </c>
      <c r="G56" s="70" t="s">
        <v>25</v>
      </c>
      <c r="H56" s="70" t="s">
        <v>37</v>
      </c>
      <c r="I56" s="78">
        <v>44562</v>
      </c>
      <c r="J56" s="79">
        <f ca="1">EFEITO!$J$56*EFEITO!$Y$56</f>
        <v>20122.476138988841</v>
      </c>
      <c r="K56" s="79">
        <f ca="1">EFEITO!$L$56*EFEITO!$Z$56</f>
        <v>1926.9673527768662</v>
      </c>
      <c r="L56" s="79">
        <f>EFEITO!$N$56*EFEITO!$AA$56</f>
        <v>4128.3281545506061</v>
      </c>
      <c r="M56" s="79">
        <f ca="1">$J$56-EFEITO!$K$56*EFEITO!$Y$56</f>
        <v>0</v>
      </c>
      <c r="N56" s="79">
        <f ca="1">$K$56-EFEITO!$M$56*EFEITO!$Z$56</f>
        <v>0</v>
      </c>
      <c r="O56" s="79">
        <f>$L$56-EFEITO!$O$56*EFEITO!$AA$56</f>
        <v>0</v>
      </c>
      <c r="P56" s="18"/>
      <c r="Q56" s="18"/>
      <c r="R56" s="18"/>
      <c r="S56" s="18"/>
      <c r="T56" s="18"/>
      <c r="U56" s="18"/>
      <c r="V56" s="18"/>
      <c r="W56" s="18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70" t="s">
        <v>21</v>
      </c>
      <c r="B57" s="70" t="s">
        <v>35</v>
      </c>
      <c r="C57" s="70" t="s">
        <v>36</v>
      </c>
      <c r="D57" s="70" t="s">
        <v>40</v>
      </c>
      <c r="E57" s="70" t="s">
        <v>25</v>
      </c>
      <c r="F57" s="70" t="s">
        <v>25</v>
      </c>
      <c r="G57" s="70" t="s">
        <v>25</v>
      </c>
      <c r="H57" s="70" t="s">
        <v>37</v>
      </c>
      <c r="I57" s="78">
        <v>44593</v>
      </c>
      <c r="J57" s="79">
        <f ca="1">EFEITO!$J$57*EFEITO!$Y$57</f>
        <v>25907.688028948134</v>
      </c>
      <c r="K57" s="79">
        <f ca="1">EFEITO!$L$57*EFEITO!$Z$57</f>
        <v>1968.7795194253779</v>
      </c>
      <c r="L57" s="79">
        <f>EFEITO!$N$57*EFEITO!$AA$57</f>
        <v>4217.9063949546617</v>
      </c>
      <c r="M57" s="79">
        <f ca="1">$J$57-EFEITO!$K$57*EFEITO!$Y$57</f>
        <v>0</v>
      </c>
      <c r="N57" s="79">
        <f ca="1">$K$57-EFEITO!$M$57*EFEITO!$Z$57</f>
        <v>0</v>
      </c>
      <c r="O57" s="79">
        <f>$L$57-EFEITO!$O$57*EFEITO!$AA$57</f>
        <v>0</v>
      </c>
      <c r="P57" s="18"/>
      <c r="Q57" s="18"/>
      <c r="R57" s="18"/>
      <c r="S57" s="18"/>
      <c r="T57" s="18"/>
      <c r="U57" s="18"/>
      <c r="V57" s="18"/>
      <c r="W57" s="18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70" t="s">
        <v>21</v>
      </c>
      <c r="B58" s="70" t="s">
        <v>35</v>
      </c>
      <c r="C58" s="70" t="s">
        <v>36</v>
      </c>
      <c r="D58" s="70" t="s">
        <v>40</v>
      </c>
      <c r="E58" s="70" t="s">
        <v>25</v>
      </c>
      <c r="F58" s="70" t="s">
        <v>25</v>
      </c>
      <c r="G58" s="70" t="s">
        <v>25</v>
      </c>
      <c r="H58" s="70" t="s">
        <v>37</v>
      </c>
      <c r="I58" s="78">
        <v>44621</v>
      </c>
      <c r="J58" s="79">
        <f ca="1">EFEITO!$J$58*EFEITO!$Y$58</f>
        <v>20122.476138988841</v>
      </c>
      <c r="K58" s="79">
        <f ca="1">EFEITO!$L$58*EFEITO!$Z$58</f>
        <v>1773.7794147902841</v>
      </c>
      <c r="L58" s="79">
        <f>EFEITO!$N$58*EFEITO!$AA$58</f>
        <v>3800.1388489994661</v>
      </c>
      <c r="M58" s="79">
        <f ca="1">$J$58-EFEITO!$K$58*EFEITO!$Y$58</f>
        <v>0</v>
      </c>
      <c r="N58" s="79">
        <f ca="1">$K$58-EFEITO!$M$58*EFEITO!$Z$58</f>
        <v>0</v>
      </c>
      <c r="O58" s="79">
        <f>$L$58-EFEITO!$O$58*EFEITO!$AA$58</f>
        <v>0</v>
      </c>
      <c r="P58" s="18"/>
      <c r="Q58" s="18"/>
      <c r="R58" s="18"/>
      <c r="S58" s="18"/>
      <c r="T58" s="18"/>
      <c r="U58" s="18"/>
      <c r="V58" s="18"/>
      <c r="W58" s="18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70" t="s">
        <v>21</v>
      </c>
      <c r="B59" s="70" t="s">
        <v>35</v>
      </c>
      <c r="C59" s="70" t="s">
        <v>36</v>
      </c>
      <c r="D59" s="70" t="s">
        <v>40</v>
      </c>
      <c r="E59" s="70" t="s">
        <v>25</v>
      </c>
      <c r="F59" s="70" t="s">
        <v>25</v>
      </c>
      <c r="G59" s="70" t="s">
        <v>25</v>
      </c>
      <c r="H59" s="70" t="s">
        <v>37</v>
      </c>
      <c r="I59" s="78">
        <v>44652</v>
      </c>
      <c r="J59" s="79">
        <f ca="1">EFEITO!$J$59*EFEITO!$Y$59</f>
        <v>20122.476138988841</v>
      </c>
      <c r="K59" s="79">
        <f ca="1">EFEITO!$L$59*EFEITO!$Z$59</f>
        <v>1932.0551164177248</v>
      </c>
      <c r="L59" s="79">
        <f>EFEITO!$N$59*EFEITO!$AA$59</f>
        <v>4139.228161679418</v>
      </c>
      <c r="M59" s="79">
        <f ca="1">$J$59-EFEITO!$K$59*EFEITO!$Y$59</f>
        <v>0</v>
      </c>
      <c r="N59" s="79">
        <f ca="1">$K$59-EFEITO!$M$59*EFEITO!$Z$59</f>
        <v>0</v>
      </c>
      <c r="O59" s="79">
        <f>$L$59-EFEITO!$O$59*EFEITO!$AA$59</f>
        <v>0</v>
      </c>
      <c r="P59" s="18"/>
      <c r="Q59" s="18"/>
      <c r="R59" s="18"/>
      <c r="S59" s="18"/>
      <c r="T59" s="18"/>
      <c r="U59" s="18"/>
      <c r="V59" s="18"/>
      <c r="W59" s="18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70" t="s">
        <v>21</v>
      </c>
      <c r="B60" s="70" t="s">
        <v>35</v>
      </c>
      <c r="C60" s="70" t="s">
        <v>36</v>
      </c>
      <c r="D60" s="70" t="s">
        <v>40</v>
      </c>
      <c r="E60" s="70" t="s">
        <v>25</v>
      </c>
      <c r="F60" s="70" t="s">
        <v>25</v>
      </c>
      <c r="G60" s="70" t="s">
        <v>25</v>
      </c>
      <c r="H60" s="70" t="s">
        <v>37</v>
      </c>
      <c r="I60" s="78">
        <v>44682</v>
      </c>
      <c r="J60" s="79">
        <f ca="1">EFEITO!$J$60*EFEITO!$Y$60</f>
        <v>20122.476138988841</v>
      </c>
      <c r="K60" s="79">
        <f ca="1">EFEITO!$L$60*EFEITO!$Z$60</f>
        <v>1667.1213879191916</v>
      </c>
      <c r="L60" s="79">
        <f>EFEITO!$N$60*EFEITO!$AA$60</f>
        <v>3571.6350631900059</v>
      </c>
      <c r="M60" s="79">
        <f ca="1">$J$60-EFEITO!$K$60*EFEITO!$Y$60</f>
        <v>0</v>
      </c>
      <c r="N60" s="79">
        <f ca="1">$K$60-EFEITO!$M$60*EFEITO!$Z$60</f>
        <v>0</v>
      </c>
      <c r="O60" s="79">
        <f>$L$60-EFEITO!$O$60*EFEITO!$AA$60</f>
        <v>0</v>
      </c>
      <c r="P60" s="18"/>
      <c r="Q60" s="18"/>
      <c r="R60" s="18"/>
      <c r="S60" s="18"/>
      <c r="T60" s="18"/>
      <c r="U60" s="18"/>
      <c r="V60" s="18"/>
      <c r="W60" s="18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70" t="s">
        <v>21</v>
      </c>
      <c r="B61" s="70" t="s">
        <v>35</v>
      </c>
      <c r="C61" s="70" t="s">
        <v>36</v>
      </c>
      <c r="D61" s="70" t="s">
        <v>40</v>
      </c>
      <c r="E61" s="70" t="s">
        <v>25</v>
      </c>
      <c r="F61" s="70" t="s">
        <v>25</v>
      </c>
      <c r="G61" s="70" t="s">
        <v>25</v>
      </c>
      <c r="H61" s="70" t="s">
        <v>37</v>
      </c>
      <c r="I61" s="78">
        <v>44713</v>
      </c>
      <c r="J61" s="79">
        <f ca="1">EFEITO!$J$61*EFEITO!$Y$61</f>
        <v>20122.476138988841</v>
      </c>
      <c r="K61" s="79">
        <f ca="1">EFEITO!$L$61*EFEITO!$Z$61</f>
        <v>1992.5532513472083</v>
      </c>
      <c r="L61" s="79">
        <f>EFEITO!$N$61*EFEITO!$AA$61</f>
        <v>4268.8391555383823</v>
      </c>
      <c r="M61" s="79">
        <f ca="1">$J$61-EFEITO!$K$61*EFEITO!$Y$61</f>
        <v>0</v>
      </c>
      <c r="N61" s="79">
        <f ca="1">$K$61-EFEITO!$M$61*EFEITO!$Z$61</f>
        <v>0</v>
      </c>
      <c r="O61" s="79">
        <f>$L$61-EFEITO!$O$61*EFEITO!$AA$61</f>
        <v>0</v>
      </c>
      <c r="P61" s="18"/>
      <c r="Q61" s="18"/>
      <c r="R61" s="18"/>
      <c r="S61" s="18"/>
      <c r="T61" s="18"/>
      <c r="U61" s="18"/>
      <c r="V61" s="18"/>
      <c r="W61" s="18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70" t="s">
        <v>21</v>
      </c>
      <c r="B62" s="70" t="s">
        <v>35</v>
      </c>
      <c r="C62" s="70" t="s">
        <v>36</v>
      </c>
      <c r="D62" s="70" t="s">
        <v>34</v>
      </c>
      <c r="E62" s="70" t="s">
        <v>25</v>
      </c>
      <c r="F62" s="70" t="s">
        <v>55</v>
      </c>
      <c r="G62" s="70" t="s">
        <v>25</v>
      </c>
      <c r="H62" s="70" t="s">
        <v>38</v>
      </c>
      <c r="I62" s="78">
        <v>44378</v>
      </c>
      <c r="J62" s="79">
        <f ca="1">EFEITO!$J$62*EFEITO!$Y$62</f>
        <v>306118.40473633143</v>
      </c>
      <c r="K62" s="79">
        <f ca="1">EFEITO!$L$62*EFEITO!$Z$62</f>
        <v>0</v>
      </c>
      <c r="L62" s="79">
        <f>EFEITO!$N$62*EFEITO!$AA$62</f>
        <v>0</v>
      </c>
      <c r="M62" s="79">
        <f ca="1">$J$62-EFEITO!$K$62*EFEITO!$Y$62</f>
        <v>153059.20236816572</v>
      </c>
      <c r="N62" s="79">
        <f ca="1">$K$62-EFEITO!$M$62*EFEITO!$Z$62</f>
        <v>0</v>
      </c>
      <c r="O62" s="79">
        <f>$L$62-EFEITO!$O$62*EFEITO!$AA$62</f>
        <v>0</v>
      </c>
      <c r="P62" s="18"/>
      <c r="Q62" s="18"/>
      <c r="R62" s="18"/>
      <c r="S62" s="18"/>
      <c r="T62" s="18"/>
      <c r="U62" s="18"/>
      <c r="V62" s="18"/>
      <c r="W62" s="18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70" t="s">
        <v>21</v>
      </c>
      <c r="B63" s="70" t="s">
        <v>35</v>
      </c>
      <c r="C63" s="70" t="s">
        <v>36</v>
      </c>
      <c r="D63" s="70" t="s">
        <v>34</v>
      </c>
      <c r="E63" s="70" t="s">
        <v>25</v>
      </c>
      <c r="F63" s="70" t="s">
        <v>55</v>
      </c>
      <c r="G63" s="70" t="s">
        <v>25</v>
      </c>
      <c r="H63" s="70" t="s">
        <v>38</v>
      </c>
      <c r="I63" s="78">
        <v>44409</v>
      </c>
      <c r="J63" s="79">
        <f ca="1">EFEITO!$J$63*EFEITO!$Y$63</f>
        <v>299266.3712041314</v>
      </c>
      <c r="K63" s="79">
        <f ca="1">EFEITO!$L$63*EFEITO!$Z$63</f>
        <v>0</v>
      </c>
      <c r="L63" s="79">
        <f>EFEITO!$N$63*EFEITO!$AA$63</f>
        <v>0</v>
      </c>
      <c r="M63" s="79">
        <f ca="1">$J$63-EFEITO!$K$63*EFEITO!$Y$63</f>
        <v>149633.1856020657</v>
      </c>
      <c r="N63" s="79">
        <f ca="1">$K$63-EFEITO!$M$63*EFEITO!$Z$63</f>
        <v>0</v>
      </c>
      <c r="O63" s="79">
        <f>$L$63-EFEITO!$O$63*EFEITO!$AA$63</f>
        <v>0</v>
      </c>
      <c r="P63" s="18"/>
      <c r="Q63" s="18"/>
      <c r="R63" s="18"/>
      <c r="S63" s="18"/>
      <c r="T63" s="18"/>
      <c r="U63" s="18"/>
      <c r="V63" s="18"/>
      <c r="W63" s="18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70" t="s">
        <v>21</v>
      </c>
      <c r="B64" s="70" t="s">
        <v>35</v>
      </c>
      <c r="C64" s="70" t="s">
        <v>36</v>
      </c>
      <c r="D64" s="70" t="s">
        <v>34</v>
      </c>
      <c r="E64" s="70" t="s">
        <v>25</v>
      </c>
      <c r="F64" s="70" t="s">
        <v>55</v>
      </c>
      <c r="G64" s="70" t="s">
        <v>25</v>
      </c>
      <c r="H64" s="70" t="s">
        <v>38</v>
      </c>
      <c r="I64" s="78">
        <v>44440</v>
      </c>
      <c r="J64" s="79">
        <f ca="1">EFEITO!$J$64*EFEITO!$Y$64</f>
        <v>308341.50894900074</v>
      </c>
      <c r="K64" s="79">
        <f ca="1">EFEITO!$L$64*EFEITO!$Z$64</f>
        <v>0</v>
      </c>
      <c r="L64" s="79">
        <f>EFEITO!$N$64*EFEITO!$AA$64</f>
        <v>0</v>
      </c>
      <c r="M64" s="79">
        <f ca="1">$J$64-EFEITO!$K$64*EFEITO!$Y$64</f>
        <v>154170.75447450037</v>
      </c>
      <c r="N64" s="79">
        <f ca="1">$K$64-EFEITO!$M$64*EFEITO!$Z$64</f>
        <v>0</v>
      </c>
      <c r="O64" s="79">
        <f>$L$64-EFEITO!$O$64*EFEITO!$AA$64</f>
        <v>0</v>
      </c>
      <c r="P64" s="18"/>
      <c r="Q64" s="18"/>
      <c r="R64" s="18"/>
      <c r="S64" s="18"/>
      <c r="T64" s="18"/>
      <c r="U64" s="18"/>
      <c r="V64" s="18"/>
      <c r="W64" s="18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70" t="s">
        <v>21</v>
      </c>
      <c r="B65" s="70" t="s">
        <v>35</v>
      </c>
      <c r="C65" s="70" t="s">
        <v>36</v>
      </c>
      <c r="D65" s="70" t="s">
        <v>34</v>
      </c>
      <c r="E65" s="70" t="s">
        <v>25</v>
      </c>
      <c r="F65" s="70" t="s">
        <v>55</v>
      </c>
      <c r="G65" s="70" t="s">
        <v>25</v>
      </c>
      <c r="H65" s="70" t="s">
        <v>38</v>
      </c>
      <c r="I65" s="78">
        <v>44470</v>
      </c>
      <c r="J65" s="79">
        <f ca="1">EFEITO!$J$65*EFEITO!$Y$65</f>
        <v>315589.43775195011</v>
      </c>
      <c r="K65" s="79">
        <f ca="1">EFEITO!$L$65*EFEITO!$Z$65</f>
        <v>0</v>
      </c>
      <c r="L65" s="79">
        <f>EFEITO!$N$65*EFEITO!$AA$65</f>
        <v>0</v>
      </c>
      <c r="M65" s="79">
        <f ca="1">$J$65-EFEITO!$K$65*EFEITO!$Y$65</f>
        <v>157794.71887597506</v>
      </c>
      <c r="N65" s="79">
        <f ca="1">$K$65-EFEITO!$M$65*EFEITO!$Z$65</f>
        <v>0</v>
      </c>
      <c r="O65" s="79">
        <f>$L$65-EFEITO!$O$65*EFEITO!$AA$65</f>
        <v>0</v>
      </c>
      <c r="P65" s="18"/>
      <c r="Q65" s="18"/>
      <c r="R65" s="18"/>
      <c r="S65" s="18"/>
      <c r="T65" s="18"/>
      <c r="U65" s="18"/>
      <c r="V65" s="18"/>
      <c r="W65" s="18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70" t="s">
        <v>21</v>
      </c>
      <c r="B66" s="70" t="s">
        <v>35</v>
      </c>
      <c r="C66" s="70" t="s">
        <v>36</v>
      </c>
      <c r="D66" s="70" t="s">
        <v>34</v>
      </c>
      <c r="E66" s="70" t="s">
        <v>25</v>
      </c>
      <c r="F66" s="70" t="s">
        <v>55</v>
      </c>
      <c r="G66" s="70" t="s">
        <v>25</v>
      </c>
      <c r="H66" s="70" t="s">
        <v>38</v>
      </c>
      <c r="I66" s="78">
        <v>44501</v>
      </c>
      <c r="J66" s="79">
        <f ca="1">EFEITO!$J$66*EFEITO!$Y$66</f>
        <v>313396.7870216461</v>
      </c>
      <c r="K66" s="79">
        <f ca="1">EFEITO!$L$66*EFEITO!$Z$66</f>
        <v>0</v>
      </c>
      <c r="L66" s="79">
        <f>EFEITO!$N$66*EFEITO!$AA$66</f>
        <v>0</v>
      </c>
      <c r="M66" s="79">
        <f ca="1">$J$66-EFEITO!$K$66*EFEITO!$Y$66</f>
        <v>156698.39351082305</v>
      </c>
      <c r="N66" s="79">
        <f ca="1">$K$66-EFEITO!$M$66*EFEITO!$Z$66</f>
        <v>0</v>
      </c>
      <c r="O66" s="79">
        <f>$L$66-EFEITO!$O$66*EFEITO!$AA$66</f>
        <v>0</v>
      </c>
      <c r="P66" s="18"/>
      <c r="Q66" s="18"/>
      <c r="R66" s="18"/>
      <c r="S66" s="18"/>
      <c r="T66" s="18"/>
      <c r="U66" s="18"/>
      <c r="V66" s="18"/>
      <c r="W66" s="18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70" t="s">
        <v>65</v>
      </c>
      <c r="B67" s="70" t="s">
        <v>35</v>
      </c>
      <c r="C67" s="70" t="s">
        <v>36</v>
      </c>
      <c r="D67" s="70" t="s">
        <v>34</v>
      </c>
      <c r="E67" s="70" t="s">
        <v>25</v>
      </c>
      <c r="F67" s="70" t="s">
        <v>55</v>
      </c>
      <c r="G67" s="70" t="s">
        <v>25</v>
      </c>
      <c r="H67" s="70" t="s">
        <v>38</v>
      </c>
      <c r="I67" s="78">
        <v>44531</v>
      </c>
      <c r="J67" s="79">
        <f ca="1">EFEITO!$J$67*EFEITO!$Y$67</f>
        <v>313396.7870216461</v>
      </c>
      <c r="K67" s="79">
        <f ca="1">EFEITO!$L$67*EFEITO!$Z$67</f>
        <v>0</v>
      </c>
      <c r="L67" s="79">
        <f>EFEITO!$N$67*EFEITO!$AA$67</f>
        <v>0</v>
      </c>
      <c r="M67" s="79">
        <f ca="1">$J$67-EFEITO!$K$67*EFEITO!$Y$67</f>
        <v>156698.39351082305</v>
      </c>
      <c r="N67" s="79">
        <f ca="1">$K$67-EFEITO!$M$67*EFEITO!$Z$67</f>
        <v>0</v>
      </c>
      <c r="O67" s="79">
        <f>$L$67-EFEITO!$O$67*EFEITO!$AA$67</f>
        <v>0</v>
      </c>
      <c r="P67" s="18"/>
      <c r="Q67" s="18"/>
      <c r="R67" s="18"/>
      <c r="S67" s="18"/>
      <c r="T67" s="18"/>
      <c r="U67" s="18"/>
      <c r="V67" s="18"/>
      <c r="W67" s="18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70" t="s">
        <v>21</v>
      </c>
      <c r="B68" s="70" t="s">
        <v>35</v>
      </c>
      <c r="C68" s="70" t="s">
        <v>36</v>
      </c>
      <c r="D68" s="70" t="s">
        <v>34</v>
      </c>
      <c r="E68" s="70" t="s">
        <v>25</v>
      </c>
      <c r="F68" s="70" t="s">
        <v>55</v>
      </c>
      <c r="G68" s="70" t="s">
        <v>25</v>
      </c>
      <c r="H68" s="70" t="s">
        <v>38</v>
      </c>
      <c r="I68" s="78">
        <v>44562</v>
      </c>
      <c r="J68" s="79">
        <f ca="1">EFEITO!$J$68*EFEITO!$Y$68</f>
        <v>313488.1474687421</v>
      </c>
      <c r="K68" s="79">
        <f ca="1">EFEITO!$L$68*EFEITO!$Z$68</f>
        <v>0</v>
      </c>
      <c r="L68" s="79">
        <f>EFEITO!$N$68*EFEITO!$AA$68</f>
        <v>0</v>
      </c>
      <c r="M68" s="79">
        <f ca="1">$J$68-EFEITO!$K$68*EFEITO!$Y$68</f>
        <v>156744.07373437105</v>
      </c>
      <c r="N68" s="79">
        <f ca="1">$K$68-EFEITO!$M$68*EFEITO!$Z$68</f>
        <v>0</v>
      </c>
      <c r="O68" s="79">
        <f>$L$68-EFEITO!$O$68*EFEITO!$AA$68</f>
        <v>0</v>
      </c>
      <c r="P68" s="18"/>
      <c r="Q68" s="18"/>
      <c r="R68" s="18"/>
      <c r="S68" s="18"/>
      <c r="T68" s="18"/>
      <c r="U68" s="18"/>
      <c r="V68" s="18"/>
      <c r="W68" s="18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70" t="s">
        <v>21</v>
      </c>
      <c r="B69" s="70" t="s">
        <v>35</v>
      </c>
      <c r="C69" s="70" t="s">
        <v>36</v>
      </c>
      <c r="D69" s="70" t="s">
        <v>34</v>
      </c>
      <c r="E69" s="70" t="s">
        <v>25</v>
      </c>
      <c r="F69" s="70" t="s">
        <v>55</v>
      </c>
      <c r="G69" s="70" t="s">
        <v>25</v>
      </c>
      <c r="H69" s="70" t="s">
        <v>38</v>
      </c>
      <c r="I69" s="78">
        <v>44593</v>
      </c>
      <c r="J69" s="79">
        <f ca="1">EFEITO!$J$69*EFEITO!$Y$69</f>
        <v>326765.86578002747</v>
      </c>
      <c r="K69" s="79">
        <f ca="1">EFEITO!$L$69*EFEITO!$Z$69</f>
        <v>0</v>
      </c>
      <c r="L69" s="79">
        <f>EFEITO!$N$69*EFEITO!$AA$69</f>
        <v>0</v>
      </c>
      <c r="M69" s="79">
        <f ca="1">$J$69-EFEITO!$K$69*EFEITO!$Y$69</f>
        <v>163382.93289001373</v>
      </c>
      <c r="N69" s="79">
        <f ca="1">$K$69-EFEITO!$M$69*EFEITO!$Z$69</f>
        <v>0</v>
      </c>
      <c r="O69" s="79">
        <f>$L$69-EFEITO!$O$69*EFEITO!$AA$69</f>
        <v>0</v>
      </c>
      <c r="P69" s="18"/>
      <c r="Q69" s="18"/>
      <c r="R69" s="18"/>
      <c r="S69" s="18"/>
      <c r="T69" s="18"/>
      <c r="U69" s="18"/>
      <c r="V69" s="18"/>
      <c r="W69" s="18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70" t="s">
        <v>21</v>
      </c>
      <c r="B70" s="70" t="s">
        <v>35</v>
      </c>
      <c r="C70" s="70" t="s">
        <v>36</v>
      </c>
      <c r="D70" s="70" t="s">
        <v>34</v>
      </c>
      <c r="E70" s="70" t="s">
        <v>25</v>
      </c>
      <c r="F70" s="70" t="s">
        <v>55</v>
      </c>
      <c r="G70" s="70" t="s">
        <v>25</v>
      </c>
      <c r="H70" s="70" t="s">
        <v>38</v>
      </c>
      <c r="I70" s="78">
        <v>44621</v>
      </c>
      <c r="J70" s="79">
        <f ca="1">EFEITO!$J$70*EFEITO!$Y$70</f>
        <v>322746.00610780343</v>
      </c>
      <c r="K70" s="79">
        <f ca="1">EFEITO!$L$70*EFEITO!$Z$70</f>
        <v>0</v>
      </c>
      <c r="L70" s="79">
        <f>EFEITO!$N$70*EFEITO!$AA$70</f>
        <v>0</v>
      </c>
      <c r="M70" s="79">
        <f ca="1">$J$70-EFEITO!$K$70*EFEITO!$Y$70</f>
        <v>161373.00305390172</v>
      </c>
      <c r="N70" s="79">
        <f ca="1">$K$70-EFEITO!$M$70*EFEITO!$Z$70</f>
        <v>0</v>
      </c>
      <c r="O70" s="79">
        <f>$L$70-EFEITO!$O$70*EFEITO!$AA$70</f>
        <v>0</v>
      </c>
      <c r="P70" s="18"/>
      <c r="Q70" s="18"/>
      <c r="R70" s="18"/>
      <c r="S70" s="18"/>
      <c r="T70" s="18"/>
      <c r="U70" s="18"/>
      <c r="V70" s="18"/>
      <c r="W70" s="18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70" t="s">
        <v>65</v>
      </c>
      <c r="B71" s="70" t="s">
        <v>35</v>
      </c>
      <c r="C71" s="70" t="s">
        <v>36</v>
      </c>
      <c r="D71" s="70" t="s">
        <v>34</v>
      </c>
      <c r="E71" s="70" t="s">
        <v>25</v>
      </c>
      <c r="F71" s="70" t="s">
        <v>55</v>
      </c>
      <c r="G71" s="70" t="s">
        <v>25</v>
      </c>
      <c r="H71" s="70" t="s">
        <v>38</v>
      </c>
      <c r="I71" s="78">
        <v>44652</v>
      </c>
      <c r="J71" s="79">
        <f ca="1">EFEITO!$J$71*EFEITO!$Y$71</f>
        <v>322746.00610780343</v>
      </c>
      <c r="K71" s="79">
        <f ca="1">EFEITO!$L$71*EFEITO!$Z$71</f>
        <v>0</v>
      </c>
      <c r="L71" s="79">
        <f>EFEITO!$N$71*EFEITO!$AA$71</f>
        <v>0</v>
      </c>
      <c r="M71" s="79">
        <f ca="1">$J$71-EFEITO!$K$71*EFEITO!$Y$71</f>
        <v>161373.00305390172</v>
      </c>
      <c r="N71" s="79">
        <f ca="1">$K$71-EFEITO!$M$71*EFEITO!$Z$71</f>
        <v>0</v>
      </c>
      <c r="O71" s="79">
        <f>$L$71-EFEITO!$O$71*EFEITO!$AA$71</f>
        <v>0</v>
      </c>
      <c r="P71" s="18"/>
      <c r="Q71" s="18"/>
      <c r="R71" s="18"/>
      <c r="S71" s="18"/>
      <c r="T71" s="18"/>
      <c r="U71" s="18"/>
      <c r="V71" s="18"/>
      <c r="W71" s="18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70" t="s">
        <v>21</v>
      </c>
      <c r="B72" s="70" t="s">
        <v>35</v>
      </c>
      <c r="C72" s="70" t="s">
        <v>36</v>
      </c>
      <c r="D72" s="70" t="s">
        <v>34</v>
      </c>
      <c r="E72" s="70" t="s">
        <v>25</v>
      </c>
      <c r="F72" s="70" t="s">
        <v>55</v>
      </c>
      <c r="G72" s="70" t="s">
        <v>25</v>
      </c>
      <c r="H72" s="70" t="s">
        <v>38</v>
      </c>
      <c r="I72" s="78">
        <v>44682</v>
      </c>
      <c r="J72" s="79">
        <f ca="1">EFEITO!$J$72*EFEITO!$Y$72</f>
        <v>394859.85234891297</v>
      </c>
      <c r="K72" s="79">
        <f ca="1">EFEITO!$L$72*EFEITO!$Z$72</f>
        <v>0</v>
      </c>
      <c r="L72" s="79">
        <f>EFEITO!$N$72*EFEITO!$AA$72</f>
        <v>0</v>
      </c>
      <c r="M72" s="79">
        <f ca="1">$J$72-EFEITO!$K$72*EFEITO!$Y$72</f>
        <v>197429.92617445649</v>
      </c>
      <c r="N72" s="79">
        <f ca="1">$K$72-EFEITO!$M$72*EFEITO!$Z$72</f>
        <v>0</v>
      </c>
      <c r="O72" s="79">
        <f>$L$72-EFEITO!$O$72*EFEITO!$AA$72</f>
        <v>0</v>
      </c>
      <c r="P72" s="18"/>
      <c r="Q72" s="18"/>
      <c r="R72" s="18"/>
      <c r="S72" s="18"/>
      <c r="T72" s="18"/>
      <c r="U72" s="18"/>
      <c r="V72" s="18"/>
      <c r="W72" s="18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70" t="s">
        <v>21</v>
      </c>
      <c r="B73" s="70" t="s">
        <v>35</v>
      </c>
      <c r="C73" s="70" t="s">
        <v>36</v>
      </c>
      <c r="D73" s="70" t="s">
        <v>34</v>
      </c>
      <c r="E73" s="70" t="s">
        <v>25</v>
      </c>
      <c r="F73" s="70" t="s">
        <v>55</v>
      </c>
      <c r="G73" s="70" t="s">
        <v>25</v>
      </c>
      <c r="H73" s="70" t="s">
        <v>38</v>
      </c>
      <c r="I73" s="78">
        <v>44713</v>
      </c>
      <c r="J73" s="79">
        <f ca="1">EFEITO!$J$73*EFEITO!$Y$73</f>
        <v>401985.967222401</v>
      </c>
      <c r="K73" s="79">
        <f ca="1">EFEITO!$L$73*EFEITO!$Z$73</f>
        <v>0</v>
      </c>
      <c r="L73" s="79">
        <f>EFEITO!$N$73*EFEITO!$AA$73</f>
        <v>0</v>
      </c>
      <c r="M73" s="79">
        <f ca="1">$J$73-EFEITO!$K$73*EFEITO!$Y$73</f>
        <v>200992.9836112005</v>
      </c>
      <c r="N73" s="79">
        <f ca="1">$K$73-EFEITO!$M$73*EFEITO!$Z$73</f>
        <v>0</v>
      </c>
      <c r="O73" s="79">
        <f>$L$73-EFEITO!$O$73*EFEITO!$AA$73</f>
        <v>0</v>
      </c>
      <c r="P73" s="18"/>
      <c r="Q73" s="18"/>
      <c r="R73" s="18"/>
      <c r="S73" s="18"/>
      <c r="T73" s="18"/>
      <c r="U73" s="18"/>
      <c r="V73" s="18"/>
      <c r="W73" s="18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70" t="s">
        <v>21</v>
      </c>
      <c r="B74" s="70" t="s">
        <v>35</v>
      </c>
      <c r="C74" s="70" t="s">
        <v>36</v>
      </c>
      <c r="D74" s="70" t="s">
        <v>34</v>
      </c>
      <c r="E74" s="70" t="s">
        <v>25</v>
      </c>
      <c r="F74" s="70" t="s">
        <v>55</v>
      </c>
      <c r="G74" s="70" t="s">
        <v>25</v>
      </c>
      <c r="H74" s="70" t="s">
        <v>25</v>
      </c>
      <c r="I74" s="78">
        <v>44378</v>
      </c>
      <c r="J74" s="79">
        <f>EFEITO!$J$74*EFEITO!$Y$74</f>
        <v>0</v>
      </c>
      <c r="K74" s="79">
        <f ca="1">EFEITO!$L$74*EFEITO!$Z$74</f>
        <v>389579.2199551044</v>
      </c>
      <c r="L74" s="79">
        <f>EFEITO!$N$74*EFEITO!$AA$74</f>
        <v>0</v>
      </c>
      <c r="M74" s="79">
        <f>$J$74-EFEITO!$K$74*EFEITO!$Y$74</f>
        <v>0</v>
      </c>
      <c r="N74" s="79">
        <f ca="1">$K$74-EFEITO!$M$74*EFEITO!$Z$74</f>
        <v>194789.6099775522</v>
      </c>
      <c r="O74" s="79">
        <f>$L$74-EFEITO!$O$74*EFEITO!$AA$74</f>
        <v>0</v>
      </c>
      <c r="P74" s="18"/>
      <c r="Q74" s="18"/>
      <c r="R74" s="18"/>
      <c r="S74" s="18"/>
      <c r="T74" s="18"/>
      <c r="U74" s="18"/>
      <c r="V74" s="18"/>
      <c r="W74" s="18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70" t="s">
        <v>21</v>
      </c>
      <c r="B75" s="70" t="s">
        <v>35</v>
      </c>
      <c r="C75" s="70" t="s">
        <v>36</v>
      </c>
      <c r="D75" s="70" t="s">
        <v>34</v>
      </c>
      <c r="E75" s="70" t="s">
        <v>25</v>
      </c>
      <c r="F75" s="70" t="s">
        <v>55</v>
      </c>
      <c r="G75" s="70" t="s">
        <v>25</v>
      </c>
      <c r="H75" s="70" t="s">
        <v>25</v>
      </c>
      <c r="I75" s="78">
        <v>44409</v>
      </c>
      <c r="J75" s="79">
        <f>EFEITO!$J$75*EFEITO!$Y$75</f>
        <v>0</v>
      </c>
      <c r="K75" s="79">
        <f ca="1">EFEITO!$L$75*EFEITO!$Z$75</f>
        <v>407323.21192416974</v>
      </c>
      <c r="L75" s="79">
        <f>EFEITO!$N$75*EFEITO!$AA$75</f>
        <v>0</v>
      </c>
      <c r="M75" s="79">
        <f>$J$75-EFEITO!$K$75*EFEITO!$Y$75</f>
        <v>0</v>
      </c>
      <c r="N75" s="79">
        <f ca="1">$K$75-EFEITO!$M$75*EFEITO!$Z$75</f>
        <v>203661.60596208487</v>
      </c>
      <c r="O75" s="79">
        <f>$L$75-EFEITO!$O$75*EFEITO!$AA$75</f>
        <v>0</v>
      </c>
      <c r="P75" s="18"/>
      <c r="Q75" s="18"/>
      <c r="R75" s="18"/>
      <c r="S75" s="18"/>
      <c r="T75" s="18"/>
      <c r="U75" s="18"/>
      <c r="V75" s="18"/>
      <c r="W75" s="18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70" t="s">
        <v>21</v>
      </c>
      <c r="B76" s="70" t="s">
        <v>35</v>
      </c>
      <c r="C76" s="70" t="s">
        <v>36</v>
      </c>
      <c r="D76" s="70" t="s">
        <v>34</v>
      </c>
      <c r="E76" s="70" t="s">
        <v>25</v>
      </c>
      <c r="F76" s="70" t="s">
        <v>55</v>
      </c>
      <c r="G76" s="70" t="s">
        <v>25</v>
      </c>
      <c r="H76" s="70" t="s">
        <v>25</v>
      </c>
      <c r="I76" s="78">
        <v>44440</v>
      </c>
      <c r="J76" s="79">
        <f>EFEITO!$J$76*EFEITO!$Y$76</f>
        <v>0</v>
      </c>
      <c r="K76" s="79">
        <f ca="1">EFEITO!$L$76*EFEITO!$Z$76</f>
        <v>397992.25340683491</v>
      </c>
      <c r="L76" s="79">
        <f>EFEITO!$N$76*EFEITO!$AA$76</f>
        <v>0</v>
      </c>
      <c r="M76" s="79">
        <f>$J$76-EFEITO!$K$76*EFEITO!$Y$76</f>
        <v>0</v>
      </c>
      <c r="N76" s="79">
        <f ca="1">$K$76-EFEITO!$M$76*EFEITO!$Z$76</f>
        <v>198996.12670341745</v>
      </c>
      <c r="O76" s="79">
        <f>$L$76-EFEITO!$O$76*EFEITO!$AA$76</f>
        <v>0</v>
      </c>
      <c r="P76" s="18"/>
      <c r="Q76" s="18"/>
      <c r="R76" s="18"/>
      <c r="S76" s="18"/>
      <c r="T76" s="18"/>
      <c r="U76" s="18"/>
      <c r="V76" s="18"/>
      <c r="W76" s="18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70" t="s">
        <v>21</v>
      </c>
      <c r="B77" s="70" t="s">
        <v>35</v>
      </c>
      <c r="C77" s="70" t="s">
        <v>36</v>
      </c>
      <c r="D77" s="70" t="s">
        <v>34</v>
      </c>
      <c r="E77" s="70" t="s">
        <v>25</v>
      </c>
      <c r="F77" s="70" t="s">
        <v>55</v>
      </c>
      <c r="G77" s="70" t="s">
        <v>25</v>
      </c>
      <c r="H77" s="70" t="s">
        <v>25</v>
      </c>
      <c r="I77" s="78">
        <v>44470</v>
      </c>
      <c r="J77" s="79">
        <f>EFEITO!$J$77*EFEITO!$Y$77</f>
        <v>0</v>
      </c>
      <c r="K77" s="79">
        <f ca="1">EFEITO!$L$77*EFEITO!$Z$77</f>
        <v>404191.64715082443</v>
      </c>
      <c r="L77" s="79">
        <f>EFEITO!$N$77*EFEITO!$AA$77</f>
        <v>0</v>
      </c>
      <c r="M77" s="79">
        <f>$J$77-EFEITO!$K$77*EFEITO!$Y$77</f>
        <v>0</v>
      </c>
      <c r="N77" s="79">
        <f ca="1">$K$77-EFEITO!$M$77*EFEITO!$Z$77</f>
        <v>202095.82357541221</v>
      </c>
      <c r="O77" s="79">
        <f>$L$77-EFEITO!$O$77*EFEITO!$AA$77</f>
        <v>0</v>
      </c>
      <c r="P77" s="18"/>
      <c r="Q77" s="18"/>
      <c r="R77" s="18"/>
      <c r="S77" s="18"/>
      <c r="T77" s="18"/>
      <c r="U77" s="18"/>
      <c r="V77" s="18"/>
      <c r="W77" s="18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70" t="s">
        <v>21</v>
      </c>
      <c r="B78" s="70" t="s">
        <v>35</v>
      </c>
      <c r="C78" s="70" t="s">
        <v>36</v>
      </c>
      <c r="D78" s="70" t="s">
        <v>34</v>
      </c>
      <c r="E78" s="70" t="s">
        <v>25</v>
      </c>
      <c r="F78" s="70" t="s">
        <v>55</v>
      </c>
      <c r="G78" s="70" t="s">
        <v>25</v>
      </c>
      <c r="H78" s="70" t="s">
        <v>25</v>
      </c>
      <c r="I78" s="78">
        <v>44501</v>
      </c>
      <c r="J78" s="79">
        <f>EFEITO!$J$78*EFEITO!$Y$78</f>
        <v>0</v>
      </c>
      <c r="K78" s="79">
        <f ca="1">EFEITO!$L$78*EFEITO!$Z$78</f>
        <v>427694.06251340715</v>
      </c>
      <c r="L78" s="79">
        <f>EFEITO!$N$78*EFEITO!$AA$78</f>
        <v>0</v>
      </c>
      <c r="M78" s="79">
        <f>$J$78-EFEITO!$K$78*EFEITO!$Y$78</f>
        <v>0</v>
      </c>
      <c r="N78" s="79">
        <f ca="1">$K$78-EFEITO!$M$78*EFEITO!$Z$78</f>
        <v>213847.03125670357</v>
      </c>
      <c r="O78" s="79">
        <f>$L$78-EFEITO!$O$78*EFEITO!$AA$78</f>
        <v>0</v>
      </c>
      <c r="P78" s="18"/>
      <c r="Q78" s="18"/>
      <c r="R78" s="18"/>
      <c r="S78" s="18"/>
      <c r="T78" s="18"/>
      <c r="U78" s="18"/>
      <c r="V78" s="18"/>
      <c r="W78" s="18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70" t="s">
        <v>65</v>
      </c>
      <c r="B79" s="70" t="s">
        <v>35</v>
      </c>
      <c r="C79" s="70" t="s">
        <v>36</v>
      </c>
      <c r="D79" s="70" t="s">
        <v>34</v>
      </c>
      <c r="E79" s="70" t="s">
        <v>25</v>
      </c>
      <c r="F79" s="70" t="s">
        <v>55</v>
      </c>
      <c r="G79" s="70" t="s">
        <v>25</v>
      </c>
      <c r="H79" s="70" t="s">
        <v>25</v>
      </c>
      <c r="I79" s="78">
        <v>44531</v>
      </c>
      <c r="J79" s="79">
        <f>EFEITO!$J$79*EFEITO!$Y$79</f>
        <v>0</v>
      </c>
      <c r="K79" s="79">
        <f ca="1">EFEITO!$L$79*EFEITO!$Z$79</f>
        <v>427694.06251340715</v>
      </c>
      <c r="L79" s="79">
        <f>EFEITO!$N$79*EFEITO!$AA$79</f>
        <v>0</v>
      </c>
      <c r="M79" s="79">
        <f>$J$79-EFEITO!$K$79*EFEITO!$Y$79</f>
        <v>0</v>
      </c>
      <c r="N79" s="79">
        <f ca="1">$K$79-EFEITO!$M$79*EFEITO!$Z$79</f>
        <v>213847.03125670357</v>
      </c>
      <c r="O79" s="79">
        <f>$L$79-EFEITO!$O$79*EFEITO!$AA$79</f>
        <v>0</v>
      </c>
      <c r="P79" s="18"/>
      <c r="Q79" s="18"/>
      <c r="R79" s="18"/>
      <c r="S79" s="18"/>
      <c r="T79" s="18"/>
      <c r="U79" s="18"/>
      <c r="V79" s="18"/>
      <c r="W79" s="18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70" t="s">
        <v>21</v>
      </c>
      <c r="B80" s="70" t="s">
        <v>35</v>
      </c>
      <c r="C80" s="70" t="s">
        <v>36</v>
      </c>
      <c r="D80" s="70" t="s">
        <v>34</v>
      </c>
      <c r="E80" s="70" t="s">
        <v>25</v>
      </c>
      <c r="F80" s="70" t="s">
        <v>55</v>
      </c>
      <c r="G80" s="70" t="s">
        <v>25</v>
      </c>
      <c r="H80" s="70" t="s">
        <v>25</v>
      </c>
      <c r="I80" s="78">
        <v>44562</v>
      </c>
      <c r="J80" s="79">
        <f>EFEITO!$J$80*EFEITO!$Y$80</f>
        <v>0</v>
      </c>
      <c r="K80" s="79">
        <f ca="1">EFEITO!$L$80*EFEITO!$Z$80</f>
        <v>395503.5969481073</v>
      </c>
      <c r="L80" s="79">
        <f>EFEITO!$N$80*EFEITO!$AA$80</f>
        <v>0</v>
      </c>
      <c r="M80" s="79">
        <f>$J$80-EFEITO!$K$80*EFEITO!$Y$80</f>
        <v>0</v>
      </c>
      <c r="N80" s="79">
        <f ca="1">$K$80-EFEITO!$M$80*EFEITO!$Z$80</f>
        <v>197751.79847405365</v>
      </c>
      <c r="O80" s="79">
        <f>$L$80-EFEITO!$O$80*EFEITO!$AA$80</f>
        <v>0</v>
      </c>
      <c r="P80" s="18"/>
      <c r="Q80" s="18"/>
      <c r="R80" s="18"/>
      <c r="S80" s="18"/>
      <c r="T80" s="18"/>
      <c r="U80" s="18"/>
      <c r="V80" s="18"/>
      <c r="W80" s="18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70" t="s">
        <v>21</v>
      </c>
      <c r="B81" s="70" t="s">
        <v>35</v>
      </c>
      <c r="C81" s="70" t="s">
        <v>36</v>
      </c>
      <c r="D81" s="70" t="s">
        <v>34</v>
      </c>
      <c r="E81" s="70" t="s">
        <v>25</v>
      </c>
      <c r="F81" s="70" t="s">
        <v>55</v>
      </c>
      <c r="G81" s="70" t="s">
        <v>25</v>
      </c>
      <c r="H81" s="70" t="s">
        <v>25</v>
      </c>
      <c r="I81" s="78">
        <v>44593</v>
      </c>
      <c r="J81" s="79">
        <f>EFEITO!$J$81*EFEITO!$Y$81</f>
        <v>0</v>
      </c>
      <c r="K81" s="79">
        <f ca="1">EFEITO!$L$81*EFEITO!$Z$81</f>
        <v>401172.47570154542</v>
      </c>
      <c r="L81" s="79">
        <f>EFEITO!$N$81*EFEITO!$AA$81</f>
        <v>0</v>
      </c>
      <c r="M81" s="79">
        <f>$J$81-EFEITO!$K$81*EFEITO!$Y$81</f>
        <v>0</v>
      </c>
      <c r="N81" s="79">
        <f ca="1">$K$81-EFEITO!$M$81*EFEITO!$Z$81</f>
        <v>200586.23785077271</v>
      </c>
      <c r="O81" s="79">
        <f>$L$81-EFEITO!$O$81*EFEITO!$AA$81</f>
        <v>0</v>
      </c>
      <c r="P81" s="18"/>
      <c r="Q81" s="18"/>
      <c r="R81" s="18"/>
      <c r="S81" s="18"/>
      <c r="T81" s="18"/>
      <c r="U81" s="18"/>
      <c r="V81" s="18"/>
      <c r="W81" s="18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70" t="s">
        <v>21</v>
      </c>
      <c r="B82" s="70" t="s">
        <v>35</v>
      </c>
      <c r="C82" s="70" t="s">
        <v>36</v>
      </c>
      <c r="D82" s="70" t="s">
        <v>34</v>
      </c>
      <c r="E82" s="70" t="s">
        <v>25</v>
      </c>
      <c r="F82" s="70" t="s">
        <v>55</v>
      </c>
      <c r="G82" s="70" t="s">
        <v>25</v>
      </c>
      <c r="H82" s="70" t="s">
        <v>25</v>
      </c>
      <c r="I82" s="78">
        <v>44621</v>
      </c>
      <c r="J82" s="79">
        <f>EFEITO!$J$82*EFEITO!$Y$82</f>
        <v>0</v>
      </c>
      <c r="K82" s="79">
        <f ca="1">EFEITO!$L$82*EFEITO!$Z$82</f>
        <v>406507.41215055645</v>
      </c>
      <c r="L82" s="79">
        <f>EFEITO!$N$82*EFEITO!$AA$82</f>
        <v>0</v>
      </c>
      <c r="M82" s="79">
        <f>$J$82-EFEITO!$K$82*EFEITO!$Y$82</f>
        <v>0</v>
      </c>
      <c r="N82" s="79">
        <f ca="1">$K$82-EFEITO!$M$82*EFEITO!$Z$82</f>
        <v>203253.70607527823</v>
      </c>
      <c r="O82" s="79">
        <f>$L$82-EFEITO!$O$82*EFEITO!$AA$82</f>
        <v>0</v>
      </c>
      <c r="P82" s="18"/>
      <c r="Q82" s="18"/>
      <c r="R82" s="18"/>
      <c r="S82" s="18"/>
      <c r="T82" s="18"/>
      <c r="U82" s="18"/>
      <c r="V82" s="18"/>
      <c r="W82" s="18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70" t="s">
        <v>65</v>
      </c>
      <c r="B83" s="70" t="s">
        <v>35</v>
      </c>
      <c r="C83" s="70" t="s">
        <v>36</v>
      </c>
      <c r="D83" s="70" t="s">
        <v>34</v>
      </c>
      <c r="E83" s="70" t="s">
        <v>25</v>
      </c>
      <c r="F83" s="70" t="s">
        <v>55</v>
      </c>
      <c r="G83" s="70" t="s">
        <v>25</v>
      </c>
      <c r="H83" s="70" t="s">
        <v>25</v>
      </c>
      <c r="I83" s="78">
        <v>44652</v>
      </c>
      <c r="J83" s="79">
        <f>EFEITO!$J$83*EFEITO!$Y$83</f>
        <v>0</v>
      </c>
      <c r="K83" s="79">
        <f ca="1">EFEITO!$L$83*EFEITO!$Z$83</f>
        <v>406507.41215055645</v>
      </c>
      <c r="L83" s="79">
        <f>EFEITO!$N$83*EFEITO!$AA$83</f>
        <v>0</v>
      </c>
      <c r="M83" s="79">
        <f>$J$83-EFEITO!$K$83*EFEITO!$Y$83</f>
        <v>0</v>
      </c>
      <c r="N83" s="79">
        <f ca="1">$K$83-EFEITO!$M$83*EFEITO!$Z$83</f>
        <v>203253.70607527823</v>
      </c>
      <c r="O83" s="79">
        <f>$L$83-EFEITO!$O$83*EFEITO!$AA$83</f>
        <v>0</v>
      </c>
      <c r="P83" s="18"/>
      <c r="Q83" s="18"/>
      <c r="R83" s="18"/>
      <c r="S83" s="18"/>
      <c r="T83" s="18"/>
      <c r="U83" s="18"/>
      <c r="V83" s="18"/>
      <c r="W83" s="18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70" t="s">
        <v>21</v>
      </c>
      <c r="B84" s="70" t="s">
        <v>35</v>
      </c>
      <c r="C84" s="70" t="s">
        <v>36</v>
      </c>
      <c r="D84" s="70" t="s">
        <v>34</v>
      </c>
      <c r="E84" s="70" t="s">
        <v>25</v>
      </c>
      <c r="F84" s="70" t="s">
        <v>55</v>
      </c>
      <c r="G84" s="70" t="s">
        <v>25</v>
      </c>
      <c r="H84" s="70" t="s">
        <v>25</v>
      </c>
      <c r="I84" s="78">
        <v>44682</v>
      </c>
      <c r="J84" s="79">
        <f>EFEITO!$J$84*EFEITO!$Y$84</f>
        <v>0</v>
      </c>
      <c r="K84" s="79">
        <f ca="1">EFEITO!$L$84*EFEITO!$Z$84</f>
        <v>465406.50922011479</v>
      </c>
      <c r="L84" s="79">
        <f>EFEITO!$N$84*EFEITO!$AA$84</f>
        <v>0</v>
      </c>
      <c r="M84" s="79">
        <f>$J$84-EFEITO!$K$84*EFEITO!$Y$84</f>
        <v>0</v>
      </c>
      <c r="N84" s="79">
        <f ca="1">$K$84-EFEITO!$M$84*EFEITO!$Z$84</f>
        <v>0</v>
      </c>
      <c r="O84" s="79">
        <f>$L$84-EFEITO!$O$84*EFEITO!$AA$84</f>
        <v>0</v>
      </c>
      <c r="P84" s="18"/>
      <c r="Q84" s="18"/>
      <c r="R84" s="18"/>
      <c r="S84" s="18"/>
      <c r="T84" s="18"/>
      <c r="U84" s="18"/>
      <c r="V84" s="18"/>
      <c r="W84" s="18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70" t="s">
        <v>21</v>
      </c>
      <c r="B85" s="70" t="s">
        <v>35</v>
      </c>
      <c r="C85" s="70" t="s">
        <v>36</v>
      </c>
      <c r="D85" s="70" t="s">
        <v>34</v>
      </c>
      <c r="E85" s="70" t="s">
        <v>25</v>
      </c>
      <c r="F85" s="70" t="s">
        <v>55</v>
      </c>
      <c r="G85" s="70" t="s">
        <v>25</v>
      </c>
      <c r="H85" s="70" t="s">
        <v>25</v>
      </c>
      <c r="I85" s="78">
        <v>44713</v>
      </c>
      <c r="J85" s="79">
        <f>EFEITO!$J$85*EFEITO!$Y$85</f>
        <v>0</v>
      </c>
      <c r="K85" s="79">
        <f ca="1">EFEITO!$L$85*EFEITO!$Z$85</f>
        <v>351254.85403959174</v>
      </c>
      <c r="L85" s="79">
        <f>EFEITO!$N$85*EFEITO!$AA$85</f>
        <v>0</v>
      </c>
      <c r="M85" s="79">
        <f>$J$85-EFEITO!$K$85*EFEITO!$Y$85</f>
        <v>0</v>
      </c>
      <c r="N85" s="79">
        <f ca="1">$K$85-EFEITO!$M$85*EFEITO!$Z$85</f>
        <v>0</v>
      </c>
      <c r="O85" s="79">
        <f>$L$85-EFEITO!$O$85*EFEITO!$AA$85</f>
        <v>0</v>
      </c>
      <c r="P85" s="18"/>
      <c r="Q85" s="18"/>
      <c r="R85" s="18"/>
      <c r="S85" s="18"/>
      <c r="T85" s="18"/>
      <c r="U85" s="18"/>
      <c r="V85" s="18"/>
      <c r="W85" s="18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70" t="s">
        <v>21</v>
      </c>
      <c r="B86" s="70" t="s">
        <v>35</v>
      </c>
      <c r="C86" s="70" t="s">
        <v>36</v>
      </c>
      <c r="D86" s="70" t="s">
        <v>34</v>
      </c>
      <c r="E86" s="70" t="s">
        <v>25</v>
      </c>
      <c r="F86" s="70" t="s">
        <v>55</v>
      </c>
      <c r="G86" s="70" t="s">
        <v>25</v>
      </c>
      <c r="H86" s="70" t="s">
        <v>37</v>
      </c>
      <c r="I86" s="78">
        <v>44378</v>
      </c>
      <c r="J86" s="79">
        <f ca="1">EFEITO!$J$86*EFEITO!$Y$86</f>
        <v>387659.50281762006</v>
      </c>
      <c r="K86" s="79">
        <f ca="1">EFEITO!$L$86*EFEITO!$Z$86</f>
        <v>0</v>
      </c>
      <c r="L86" s="79">
        <f>EFEITO!$N$86*EFEITO!$AA$86</f>
        <v>0</v>
      </c>
      <c r="M86" s="79">
        <f ca="1">$J$86-EFEITO!$K$86*EFEITO!$Y$86</f>
        <v>193829.75140881003</v>
      </c>
      <c r="N86" s="79">
        <f ca="1">$K$86-EFEITO!$M$86*EFEITO!$Z$86</f>
        <v>0</v>
      </c>
      <c r="O86" s="79">
        <f>$L$86-EFEITO!$O$86*EFEITO!$AA$86</f>
        <v>0</v>
      </c>
      <c r="P86" s="18"/>
      <c r="Q86" s="18"/>
      <c r="R86" s="18"/>
      <c r="S86" s="18"/>
      <c r="T86" s="18"/>
      <c r="U86" s="18"/>
      <c r="V86" s="18"/>
      <c r="W86" s="18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70" t="s">
        <v>21</v>
      </c>
      <c r="B87" s="70" t="s">
        <v>35</v>
      </c>
      <c r="C87" s="70" t="s">
        <v>36</v>
      </c>
      <c r="D87" s="70" t="s">
        <v>34</v>
      </c>
      <c r="E87" s="70" t="s">
        <v>25</v>
      </c>
      <c r="F87" s="70" t="s">
        <v>55</v>
      </c>
      <c r="G87" s="70" t="s">
        <v>25</v>
      </c>
      <c r="H87" s="70" t="s">
        <v>37</v>
      </c>
      <c r="I87" s="78">
        <v>44409</v>
      </c>
      <c r="J87" s="79">
        <f ca="1">EFEITO!$J$87*EFEITO!$Y$87</f>
        <v>384691.43758711917</v>
      </c>
      <c r="K87" s="79">
        <f ca="1">EFEITO!$L$87*EFEITO!$Z$87</f>
        <v>0</v>
      </c>
      <c r="L87" s="79">
        <f>EFEITO!$N$87*EFEITO!$AA$87</f>
        <v>0</v>
      </c>
      <c r="M87" s="79">
        <f ca="1">$J$87-EFEITO!$K$87*EFEITO!$Y$87</f>
        <v>192345.71879355959</v>
      </c>
      <c r="N87" s="79">
        <f ca="1">$K$87-EFEITO!$M$87*EFEITO!$Z$87</f>
        <v>0</v>
      </c>
      <c r="O87" s="79">
        <f>$L$87-EFEITO!$O$87*EFEITO!$AA$87</f>
        <v>0</v>
      </c>
      <c r="P87" s="18"/>
      <c r="Q87" s="18"/>
      <c r="R87" s="18"/>
      <c r="S87" s="18"/>
      <c r="T87" s="18"/>
      <c r="U87" s="18"/>
      <c r="V87" s="18"/>
      <c r="W87" s="18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70" t="s">
        <v>21</v>
      </c>
      <c r="B88" s="70" t="s">
        <v>35</v>
      </c>
      <c r="C88" s="70" t="s">
        <v>36</v>
      </c>
      <c r="D88" s="70" t="s">
        <v>34</v>
      </c>
      <c r="E88" s="70" t="s">
        <v>25</v>
      </c>
      <c r="F88" s="70" t="s">
        <v>55</v>
      </c>
      <c r="G88" s="70" t="s">
        <v>25</v>
      </c>
      <c r="H88" s="70" t="s">
        <v>37</v>
      </c>
      <c r="I88" s="78">
        <v>44440</v>
      </c>
      <c r="J88" s="79">
        <f ca="1">EFEITO!$J$88*EFEITO!$Y$88</f>
        <v>384993.27472920401</v>
      </c>
      <c r="K88" s="79">
        <f ca="1">EFEITO!$L$88*EFEITO!$Z$88</f>
        <v>0</v>
      </c>
      <c r="L88" s="79">
        <f>EFEITO!$N$88*EFEITO!$AA$88</f>
        <v>0</v>
      </c>
      <c r="M88" s="79">
        <f ca="1">$J$88-EFEITO!$K$88*EFEITO!$Y$88</f>
        <v>192496.63736460201</v>
      </c>
      <c r="N88" s="79">
        <f ca="1">$K$88-EFEITO!$M$88*EFEITO!$Z$88</f>
        <v>0</v>
      </c>
      <c r="O88" s="79">
        <f>$L$88-EFEITO!$O$88*EFEITO!$AA$88</f>
        <v>0</v>
      </c>
      <c r="P88" s="18"/>
      <c r="Q88" s="18"/>
      <c r="R88" s="18"/>
      <c r="S88" s="18"/>
      <c r="T88" s="18"/>
      <c r="U88" s="18"/>
      <c r="V88" s="18"/>
      <c r="W88" s="18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70" t="s">
        <v>21</v>
      </c>
      <c r="B89" s="70" t="s">
        <v>35</v>
      </c>
      <c r="C89" s="70" t="s">
        <v>36</v>
      </c>
      <c r="D89" s="70" t="s">
        <v>34</v>
      </c>
      <c r="E89" s="70" t="s">
        <v>25</v>
      </c>
      <c r="F89" s="70" t="s">
        <v>55</v>
      </c>
      <c r="G89" s="70" t="s">
        <v>25</v>
      </c>
      <c r="H89" s="70" t="s">
        <v>37</v>
      </c>
      <c r="I89" s="78">
        <v>44470</v>
      </c>
      <c r="J89" s="79">
        <f ca="1">EFEITO!$J$89*EFEITO!$Y$89</f>
        <v>399028.70183614874</v>
      </c>
      <c r="K89" s="79">
        <f ca="1">EFEITO!$L$89*EFEITO!$Z$89</f>
        <v>0</v>
      </c>
      <c r="L89" s="79">
        <f>EFEITO!$N$89*EFEITO!$AA$89</f>
        <v>0</v>
      </c>
      <c r="M89" s="79">
        <f ca="1">$J$89-EFEITO!$K$89*EFEITO!$Y$89</f>
        <v>199514.35091807437</v>
      </c>
      <c r="N89" s="79">
        <f ca="1">$K$89-EFEITO!$M$89*EFEITO!$Z$89</f>
        <v>0</v>
      </c>
      <c r="O89" s="79">
        <f>$L$89-EFEITO!$O$89*EFEITO!$AA$89</f>
        <v>0</v>
      </c>
      <c r="P89" s="18"/>
      <c r="Q89" s="18"/>
      <c r="R89" s="18"/>
      <c r="S89" s="18"/>
      <c r="T89" s="18"/>
      <c r="U89" s="18"/>
      <c r="V89" s="18"/>
      <c r="W89" s="18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70" t="s">
        <v>21</v>
      </c>
      <c r="B90" s="70" t="s">
        <v>35</v>
      </c>
      <c r="C90" s="70" t="s">
        <v>36</v>
      </c>
      <c r="D90" s="70" t="s">
        <v>34</v>
      </c>
      <c r="E90" s="70" t="s">
        <v>25</v>
      </c>
      <c r="F90" s="70" t="s">
        <v>55</v>
      </c>
      <c r="G90" s="70" t="s">
        <v>25</v>
      </c>
      <c r="H90" s="70" t="s">
        <v>37</v>
      </c>
      <c r="I90" s="78">
        <v>44501</v>
      </c>
      <c r="J90" s="79">
        <f ca="1">EFEITO!$J$90*EFEITO!$Y$90</f>
        <v>393847.16423035908</v>
      </c>
      <c r="K90" s="79">
        <f ca="1">EFEITO!$L$90*EFEITO!$Z$90</f>
        <v>0</v>
      </c>
      <c r="L90" s="79">
        <f>EFEITO!$N$90*EFEITO!$AA$90</f>
        <v>0</v>
      </c>
      <c r="M90" s="79">
        <f ca="1">$J$90-EFEITO!$K$90*EFEITO!$Y$90</f>
        <v>196923.58211517954</v>
      </c>
      <c r="N90" s="79">
        <f ca="1">$K$90-EFEITO!$M$90*EFEITO!$Z$90</f>
        <v>0</v>
      </c>
      <c r="O90" s="79">
        <f>$L$90-EFEITO!$O$90*EFEITO!$AA$90</f>
        <v>0</v>
      </c>
      <c r="P90" s="18"/>
      <c r="Q90" s="18"/>
      <c r="R90" s="18"/>
      <c r="S90" s="18"/>
      <c r="T90" s="18"/>
      <c r="U90" s="18"/>
      <c r="V90" s="18"/>
      <c r="W90" s="18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70" t="s">
        <v>65</v>
      </c>
      <c r="B91" s="70" t="s">
        <v>35</v>
      </c>
      <c r="C91" s="70" t="s">
        <v>36</v>
      </c>
      <c r="D91" s="70" t="s">
        <v>34</v>
      </c>
      <c r="E91" s="70" t="s">
        <v>25</v>
      </c>
      <c r="F91" s="70" t="s">
        <v>55</v>
      </c>
      <c r="G91" s="70" t="s">
        <v>25</v>
      </c>
      <c r="H91" s="70" t="s">
        <v>37</v>
      </c>
      <c r="I91" s="78">
        <v>44531</v>
      </c>
      <c r="J91" s="79">
        <f ca="1">EFEITO!$J$91*EFEITO!$Y$91</f>
        <v>393847.16423035908</v>
      </c>
      <c r="K91" s="79">
        <f ca="1">EFEITO!$L$91*EFEITO!$Z$91</f>
        <v>0</v>
      </c>
      <c r="L91" s="79">
        <f>EFEITO!$N$91*EFEITO!$AA$91</f>
        <v>0</v>
      </c>
      <c r="M91" s="79">
        <f ca="1">$J$91-EFEITO!$K$91*EFEITO!$Y$91</f>
        <v>196923.58211517954</v>
      </c>
      <c r="N91" s="79">
        <f ca="1">$K$91-EFEITO!$M$91*EFEITO!$Z$91</f>
        <v>0</v>
      </c>
      <c r="O91" s="79">
        <f>$L$91-EFEITO!$O$91*EFEITO!$AA$91</f>
        <v>0</v>
      </c>
      <c r="P91" s="18"/>
      <c r="Q91" s="18"/>
      <c r="R91" s="18"/>
      <c r="S91" s="18"/>
      <c r="T91" s="18"/>
      <c r="U91" s="18"/>
      <c r="V91" s="18"/>
      <c r="W91" s="18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70" t="s">
        <v>21</v>
      </c>
      <c r="B92" s="70" t="s">
        <v>35</v>
      </c>
      <c r="C92" s="70" t="s">
        <v>36</v>
      </c>
      <c r="D92" s="70" t="s">
        <v>34</v>
      </c>
      <c r="E92" s="70" t="s">
        <v>25</v>
      </c>
      <c r="F92" s="70" t="s">
        <v>55</v>
      </c>
      <c r="G92" s="70" t="s">
        <v>25</v>
      </c>
      <c r="H92" s="70" t="s">
        <v>37</v>
      </c>
      <c r="I92" s="78">
        <v>44562</v>
      </c>
      <c r="J92" s="79">
        <f ca="1">EFEITO!$J$92*EFEITO!$Y$92</f>
        <v>390225.11852534109</v>
      </c>
      <c r="K92" s="79">
        <f ca="1">EFEITO!$L$92*EFEITO!$Z$92</f>
        <v>0</v>
      </c>
      <c r="L92" s="79">
        <f>EFEITO!$N$92*EFEITO!$AA$92</f>
        <v>0</v>
      </c>
      <c r="M92" s="79">
        <f ca="1">$J$92-EFEITO!$K$92*EFEITO!$Y$92</f>
        <v>195112.55926267055</v>
      </c>
      <c r="N92" s="79">
        <f ca="1">$K$92-EFEITO!$M$92*EFEITO!$Z$92</f>
        <v>0</v>
      </c>
      <c r="O92" s="79">
        <f>$L$92-EFEITO!$O$92*EFEITO!$AA$92</f>
        <v>0</v>
      </c>
      <c r="P92" s="18"/>
      <c r="Q92" s="18"/>
      <c r="R92" s="18"/>
      <c r="S92" s="18"/>
      <c r="T92" s="18"/>
      <c r="U92" s="18"/>
      <c r="V92" s="18"/>
      <c r="W92" s="18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70" t="s">
        <v>21</v>
      </c>
      <c r="B93" s="70" t="s">
        <v>35</v>
      </c>
      <c r="C93" s="70" t="s">
        <v>36</v>
      </c>
      <c r="D93" s="70" t="s">
        <v>34</v>
      </c>
      <c r="E93" s="70" t="s">
        <v>25</v>
      </c>
      <c r="F93" s="70" t="s">
        <v>55</v>
      </c>
      <c r="G93" s="70" t="s">
        <v>25</v>
      </c>
      <c r="H93" s="70" t="s">
        <v>37</v>
      </c>
      <c r="I93" s="78">
        <v>44593</v>
      </c>
      <c r="J93" s="79">
        <f ca="1">EFEITO!$J$93*EFEITO!$Y$93</f>
        <v>411202.79990023695</v>
      </c>
      <c r="K93" s="79">
        <f ca="1">EFEITO!$L$93*EFEITO!$Z$93</f>
        <v>0</v>
      </c>
      <c r="L93" s="79">
        <f>EFEITO!$N$93*EFEITO!$AA$93</f>
        <v>0</v>
      </c>
      <c r="M93" s="79">
        <f ca="1">$J$93-EFEITO!$K$93*EFEITO!$Y$93</f>
        <v>205601.39995011847</v>
      </c>
      <c r="N93" s="79">
        <f ca="1">$K$93-EFEITO!$M$93*EFEITO!$Z$93</f>
        <v>0</v>
      </c>
      <c r="O93" s="79">
        <f>$L$93-EFEITO!$O$93*EFEITO!$AA$93</f>
        <v>0</v>
      </c>
      <c r="P93" s="18"/>
      <c r="Q93" s="18"/>
      <c r="R93" s="18"/>
      <c r="S93" s="18"/>
      <c r="T93" s="18"/>
      <c r="U93" s="18"/>
      <c r="V93" s="18"/>
      <c r="W93" s="18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70" t="s">
        <v>21</v>
      </c>
      <c r="B94" s="70" t="s">
        <v>35</v>
      </c>
      <c r="C94" s="70" t="s">
        <v>36</v>
      </c>
      <c r="D94" s="70" t="s">
        <v>34</v>
      </c>
      <c r="E94" s="70" t="s">
        <v>25</v>
      </c>
      <c r="F94" s="70" t="s">
        <v>55</v>
      </c>
      <c r="G94" s="70" t="s">
        <v>25</v>
      </c>
      <c r="H94" s="70" t="s">
        <v>37</v>
      </c>
      <c r="I94" s="78">
        <v>44621</v>
      </c>
      <c r="J94" s="79">
        <f ca="1">EFEITO!$J$94*EFEITO!$Y$94</f>
        <v>407480.14181452402</v>
      </c>
      <c r="K94" s="79">
        <f ca="1">EFEITO!$L$94*EFEITO!$Z$94</f>
        <v>0</v>
      </c>
      <c r="L94" s="79">
        <f>EFEITO!$N$94*EFEITO!$AA$94</f>
        <v>0</v>
      </c>
      <c r="M94" s="79">
        <f ca="1">$J$94-EFEITO!$K$94*EFEITO!$Y$94</f>
        <v>203740.07090726201</v>
      </c>
      <c r="N94" s="79">
        <f ca="1">$K$94-EFEITO!$M$94*EFEITO!$Z$94</f>
        <v>0</v>
      </c>
      <c r="O94" s="79">
        <f>$L$94-EFEITO!$O$94*EFEITO!$AA$94</f>
        <v>0</v>
      </c>
      <c r="P94" s="18"/>
      <c r="Q94" s="18"/>
      <c r="R94" s="18"/>
      <c r="S94" s="18"/>
      <c r="T94" s="18"/>
      <c r="U94" s="18"/>
      <c r="V94" s="18"/>
      <c r="W94" s="18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70" t="s">
        <v>65</v>
      </c>
      <c r="B95" s="70" t="s">
        <v>35</v>
      </c>
      <c r="C95" s="70" t="s">
        <v>36</v>
      </c>
      <c r="D95" s="70" t="s">
        <v>34</v>
      </c>
      <c r="E95" s="70" t="s">
        <v>25</v>
      </c>
      <c r="F95" s="70" t="s">
        <v>55</v>
      </c>
      <c r="G95" s="70" t="s">
        <v>25</v>
      </c>
      <c r="H95" s="70" t="s">
        <v>37</v>
      </c>
      <c r="I95" s="78">
        <v>44652</v>
      </c>
      <c r="J95" s="79">
        <f ca="1">EFEITO!$J$95*EFEITO!$Y$95</f>
        <v>407480.14181452402</v>
      </c>
      <c r="K95" s="79">
        <f ca="1">EFEITO!$L$95*EFEITO!$Z$95</f>
        <v>0</v>
      </c>
      <c r="L95" s="79">
        <f>EFEITO!$N$95*EFEITO!$AA$95</f>
        <v>0</v>
      </c>
      <c r="M95" s="79">
        <f ca="1">$J$95-EFEITO!$K$95*EFEITO!$Y$95</f>
        <v>203740.07090726201</v>
      </c>
      <c r="N95" s="79">
        <f ca="1">$K$95-EFEITO!$M$95*EFEITO!$Z$95</f>
        <v>0</v>
      </c>
      <c r="O95" s="79">
        <f>$L$95-EFEITO!$O$95*EFEITO!$AA$95</f>
        <v>0</v>
      </c>
      <c r="P95" s="18"/>
      <c r="Q95" s="18"/>
      <c r="R95" s="18"/>
      <c r="S95" s="18"/>
      <c r="T95" s="18"/>
      <c r="U95" s="18"/>
      <c r="V95" s="18"/>
      <c r="W95" s="18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70" t="s">
        <v>21</v>
      </c>
      <c r="B96" s="70" t="s">
        <v>35</v>
      </c>
      <c r="C96" s="70" t="s">
        <v>36</v>
      </c>
      <c r="D96" s="70" t="s">
        <v>34</v>
      </c>
      <c r="E96" s="70" t="s">
        <v>25</v>
      </c>
      <c r="F96" s="70" t="s">
        <v>55</v>
      </c>
      <c r="G96" s="70" t="s">
        <v>25</v>
      </c>
      <c r="H96" s="70" t="s">
        <v>37</v>
      </c>
      <c r="I96" s="78">
        <v>44682</v>
      </c>
      <c r="J96" s="79">
        <f ca="1">EFEITO!$J$96*EFEITO!$Y$96</f>
        <v>506029.96870522189</v>
      </c>
      <c r="K96" s="79">
        <f ca="1">EFEITO!$L$96*EFEITO!$Z$96</f>
        <v>0</v>
      </c>
      <c r="L96" s="79">
        <f>EFEITO!$N$96*EFEITO!$AA$96</f>
        <v>0</v>
      </c>
      <c r="M96" s="79">
        <f ca="1">$J$96-EFEITO!$K$96*EFEITO!$Y$96</f>
        <v>253014.98435261095</v>
      </c>
      <c r="N96" s="79">
        <f ca="1">$K$96-EFEITO!$M$96*EFEITO!$Z$96</f>
        <v>0</v>
      </c>
      <c r="O96" s="79">
        <f>$L$96-EFEITO!$O$96*EFEITO!$AA$96</f>
        <v>0</v>
      </c>
      <c r="P96" s="18"/>
      <c r="Q96" s="18"/>
      <c r="R96" s="18"/>
      <c r="S96" s="18"/>
      <c r="T96" s="18"/>
      <c r="U96" s="18"/>
      <c r="V96" s="18"/>
      <c r="W96" s="18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70" t="s">
        <v>21</v>
      </c>
      <c r="B97" s="70" t="s">
        <v>35</v>
      </c>
      <c r="C97" s="70" t="s">
        <v>36</v>
      </c>
      <c r="D97" s="70" t="s">
        <v>34</v>
      </c>
      <c r="E97" s="70" t="s">
        <v>25</v>
      </c>
      <c r="F97" s="70" t="s">
        <v>55</v>
      </c>
      <c r="G97" s="70" t="s">
        <v>25</v>
      </c>
      <c r="H97" s="70" t="s">
        <v>37</v>
      </c>
      <c r="I97" s="78">
        <v>44713</v>
      </c>
      <c r="J97" s="79">
        <f ca="1">EFEITO!$J$97*EFEITO!$Y$97</f>
        <v>522480.09294884524</v>
      </c>
      <c r="K97" s="79">
        <f ca="1">EFEITO!$L$97*EFEITO!$Z$97</f>
        <v>0</v>
      </c>
      <c r="L97" s="79">
        <f>EFEITO!$N$97*EFEITO!$AA$97</f>
        <v>0</v>
      </c>
      <c r="M97" s="79">
        <f ca="1">$J$97-EFEITO!$K$97*EFEITO!$Y$97</f>
        <v>261240.04647442262</v>
      </c>
      <c r="N97" s="79">
        <f ca="1">$K$97-EFEITO!$M$97*EFEITO!$Z$97</f>
        <v>0</v>
      </c>
      <c r="O97" s="79">
        <f>$L$97-EFEITO!$O$97*EFEITO!$AA$97</f>
        <v>0</v>
      </c>
      <c r="P97" s="18"/>
      <c r="Q97" s="18"/>
      <c r="R97" s="18"/>
      <c r="S97" s="18"/>
      <c r="T97" s="18"/>
      <c r="U97" s="18"/>
      <c r="V97" s="18"/>
      <c r="W97" s="18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70" t="s">
        <v>21</v>
      </c>
      <c r="B98" s="70" t="s">
        <v>35</v>
      </c>
      <c r="C98" s="70" t="s">
        <v>36</v>
      </c>
      <c r="D98" s="70" t="s">
        <v>34</v>
      </c>
      <c r="E98" s="70" t="s">
        <v>25</v>
      </c>
      <c r="F98" s="70" t="s">
        <v>25</v>
      </c>
      <c r="G98" s="70" t="s">
        <v>25</v>
      </c>
      <c r="H98" s="70" t="s">
        <v>38</v>
      </c>
      <c r="I98" s="78">
        <v>44378</v>
      </c>
      <c r="J98" s="79">
        <f ca="1">EFEITO!$J$98*EFEITO!$Y$98</f>
        <v>77290.938243216195</v>
      </c>
      <c r="K98" s="79">
        <f ca="1">EFEITO!$L$98*EFEITO!$Z$98</f>
        <v>106926.84580091672</v>
      </c>
      <c r="L98" s="79">
        <f>EFEITO!$N$98*EFEITO!$AA$98</f>
        <v>229079.70254975627</v>
      </c>
      <c r="M98" s="79">
        <f ca="1">$J$98-EFEITO!$K$98*EFEITO!$Y$98</f>
        <v>0</v>
      </c>
      <c r="N98" s="79">
        <f ca="1">$K$98-EFEITO!$M$98*EFEITO!$Z$98</f>
        <v>0</v>
      </c>
      <c r="O98" s="79">
        <f>$L$98-EFEITO!$O$98*EFEITO!$AA$98</f>
        <v>0</v>
      </c>
      <c r="P98" s="18"/>
      <c r="Q98" s="18"/>
      <c r="R98" s="18"/>
      <c r="S98" s="18"/>
      <c r="T98" s="18"/>
      <c r="U98" s="18"/>
      <c r="V98" s="18"/>
      <c r="W98" s="18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70" t="s">
        <v>21</v>
      </c>
      <c r="B99" s="70" t="s">
        <v>35</v>
      </c>
      <c r="C99" s="70" t="s">
        <v>36</v>
      </c>
      <c r="D99" s="70" t="s">
        <v>34</v>
      </c>
      <c r="E99" s="70" t="s">
        <v>25</v>
      </c>
      <c r="F99" s="70" t="s">
        <v>25</v>
      </c>
      <c r="G99" s="70" t="s">
        <v>25</v>
      </c>
      <c r="H99" s="70" t="s">
        <v>38</v>
      </c>
      <c r="I99" s="78">
        <v>44409</v>
      </c>
      <c r="J99" s="79">
        <f ca="1">EFEITO!$J$99*EFEITO!$Y$99</f>
        <v>77960.914855253519</v>
      </c>
      <c r="K99" s="79">
        <f ca="1">EFEITO!$L$99*EFEITO!$Z$99</f>
        <v>112799.42010957625</v>
      </c>
      <c r="L99" s="79">
        <f>EFEITO!$N$99*EFEITO!$AA$99</f>
        <v>241661.08532367452</v>
      </c>
      <c r="M99" s="79">
        <f ca="1">$J$99-EFEITO!$K$99*EFEITO!$Y$99</f>
        <v>0</v>
      </c>
      <c r="N99" s="79">
        <f ca="1">$K$99-EFEITO!$M$99*EFEITO!$Z$99</f>
        <v>0</v>
      </c>
      <c r="O99" s="79">
        <f>$L$99-EFEITO!$O$99*EFEITO!$AA$99</f>
        <v>0</v>
      </c>
      <c r="P99" s="18"/>
      <c r="Q99" s="18"/>
      <c r="R99" s="18"/>
      <c r="S99" s="18"/>
      <c r="T99" s="18"/>
      <c r="U99" s="18"/>
      <c r="V99" s="18"/>
      <c r="W99" s="18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70" t="s">
        <v>21</v>
      </c>
      <c r="B100" s="70" t="s">
        <v>35</v>
      </c>
      <c r="C100" s="70" t="s">
        <v>36</v>
      </c>
      <c r="D100" s="70" t="s">
        <v>34</v>
      </c>
      <c r="E100" s="70" t="s">
        <v>25</v>
      </c>
      <c r="F100" s="70" t="s">
        <v>25</v>
      </c>
      <c r="G100" s="70" t="s">
        <v>25</v>
      </c>
      <c r="H100" s="70" t="s">
        <v>38</v>
      </c>
      <c r="I100" s="78">
        <v>44440</v>
      </c>
      <c r="J100" s="79">
        <f ca="1">EFEITO!$J$100*EFEITO!$Y$100</f>
        <v>232512.33785932057</v>
      </c>
      <c r="K100" s="79">
        <f ca="1">EFEITO!$L$100*EFEITO!$Z$100</f>
        <v>333371.91987073421</v>
      </c>
      <c r="L100" s="79">
        <f>EFEITO!$N$100*EFEITO!$AA$100</f>
        <v>714214.84165554831</v>
      </c>
      <c r="M100" s="79">
        <f ca="1">$J$100-EFEITO!$K$100*EFEITO!$Y$100</f>
        <v>0</v>
      </c>
      <c r="N100" s="79">
        <f ca="1">$K$100-EFEITO!$M$100*EFEITO!$Z$100</f>
        <v>0</v>
      </c>
      <c r="O100" s="79">
        <f>$L$100-EFEITO!$O$100*EFEITO!$AA$100</f>
        <v>0</v>
      </c>
      <c r="P100" s="18"/>
      <c r="Q100" s="18"/>
      <c r="R100" s="18"/>
      <c r="S100" s="18"/>
      <c r="T100" s="18"/>
      <c r="U100" s="18"/>
      <c r="V100" s="18"/>
      <c r="W100" s="18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70" t="s">
        <v>27</v>
      </c>
      <c r="B101" s="70" t="s">
        <v>35</v>
      </c>
      <c r="C101" s="70" t="s">
        <v>36</v>
      </c>
      <c r="D101" s="70" t="s">
        <v>34</v>
      </c>
      <c r="E101" s="70" t="s">
        <v>25</v>
      </c>
      <c r="F101" s="70" t="s">
        <v>25</v>
      </c>
      <c r="G101" s="70" t="s">
        <v>25</v>
      </c>
      <c r="H101" s="70" t="s">
        <v>38</v>
      </c>
      <c r="I101" s="78">
        <v>44440</v>
      </c>
      <c r="J101" s="79">
        <f ca="1">EFEITO!$J$101*EFEITO!$Y$101</f>
        <v>-155008.22523954706</v>
      </c>
      <c r="K101" s="79">
        <f ca="1">EFEITO!$L$101*EFEITO!$Z$101</f>
        <v>-222247.94658048949</v>
      </c>
      <c r="L101" s="79">
        <f>EFEITO!$N$101*EFEITO!$AA$101</f>
        <v>-476143.2277703656</v>
      </c>
      <c r="M101" s="79">
        <f ca="1">$J$101-EFEITO!$K$101*EFEITO!$Y$101</f>
        <v>0</v>
      </c>
      <c r="N101" s="79">
        <f ca="1">$K$101-EFEITO!$M$101*EFEITO!$Z$101</f>
        <v>0</v>
      </c>
      <c r="O101" s="79">
        <f>$L$101-EFEITO!$O$101*EFEITO!$AA$101</f>
        <v>0</v>
      </c>
      <c r="P101" s="18"/>
      <c r="Q101" s="18"/>
      <c r="R101" s="18"/>
      <c r="S101" s="18"/>
      <c r="T101" s="18"/>
      <c r="U101" s="18"/>
      <c r="V101" s="18"/>
      <c r="W101" s="18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70" t="s">
        <v>21</v>
      </c>
      <c r="B102" s="70" t="s">
        <v>35</v>
      </c>
      <c r="C102" s="70" t="s">
        <v>36</v>
      </c>
      <c r="D102" s="70" t="s">
        <v>34</v>
      </c>
      <c r="E102" s="70" t="s">
        <v>25</v>
      </c>
      <c r="F102" s="70" t="s">
        <v>25</v>
      </c>
      <c r="G102" s="70" t="s">
        <v>25</v>
      </c>
      <c r="H102" s="70" t="s">
        <v>38</v>
      </c>
      <c r="I102" s="78">
        <v>44470</v>
      </c>
      <c r="J102" s="79">
        <f ca="1">EFEITO!$J$102*EFEITO!$Y$102</f>
        <v>154764.59738062439</v>
      </c>
      <c r="K102" s="79">
        <f ca="1">EFEITO!$L$102*EFEITO!$Z$102</f>
        <v>219831.16634628811</v>
      </c>
      <c r="L102" s="79">
        <f>EFEITO!$N$102*EFEITO!$AA$102</f>
        <v>470965.52620223205</v>
      </c>
      <c r="M102" s="79">
        <f ca="1">$J$102-EFEITO!$K$102*EFEITO!$Y$102</f>
        <v>0</v>
      </c>
      <c r="N102" s="79">
        <f ca="1">$K$102-EFEITO!$M$102*EFEITO!$Z$102</f>
        <v>0</v>
      </c>
      <c r="O102" s="79">
        <f>$L$102-EFEITO!$O$102*EFEITO!$AA$102</f>
        <v>0</v>
      </c>
      <c r="P102" s="18"/>
      <c r="Q102" s="18"/>
      <c r="R102" s="18"/>
      <c r="S102" s="18"/>
      <c r="T102" s="18"/>
      <c r="U102" s="18"/>
      <c r="V102" s="18"/>
      <c r="W102" s="18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70" t="s">
        <v>27</v>
      </c>
      <c r="B103" s="70" t="s">
        <v>35</v>
      </c>
      <c r="C103" s="70" t="s">
        <v>36</v>
      </c>
      <c r="D103" s="70" t="s">
        <v>34</v>
      </c>
      <c r="E103" s="70" t="s">
        <v>25</v>
      </c>
      <c r="F103" s="70" t="s">
        <v>25</v>
      </c>
      <c r="G103" s="70" t="s">
        <v>25</v>
      </c>
      <c r="H103" s="70" t="s">
        <v>38</v>
      </c>
      <c r="I103" s="78">
        <v>44470</v>
      </c>
      <c r="J103" s="79">
        <f ca="1">EFEITO!$J$103*EFEITO!$Y$103</f>
        <v>-77960.914855253519</v>
      </c>
      <c r="K103" s="79">
        <f ca="1">EFEITO!$L$103*EFEITO!$Z$103</f>
        <v>-112799.42010957625</v>
      </c>
      <c r="L103" s="79">
        <f>EFEITO!$N$103*EFEITO!$AA$103</f>
        <v>-241661.08532367452</v>
      </c>
      <c r="M103" s="79">
        <f ca="1">$J$103-EFEITO!$K$103*EFEITO!$Y$103</f>
        <v>0</v>
      </c>
      <c r="N103" s="79">
        <f ca="1">$K$103-EFEITO!$M$103*EFEITO!$Z$103</f>
        <v>0</v>
      </c>
      <c r="O103" s="79">
        <f>$L$103-EFEITO!$O$103*EFEITO!$AA$103</f>
        <v>0</v>
      </c>
      <c r="P103" s="18"/>
      <c r="Q103" s="18"/>
      <c r="R103" s="18"/>
      <c r="S103" s="18"/>
      <c r="T103" s="18"/>
      <c r="U103" s="18"/>
      <c r="V103" s="18"/>
      <c r="W103" s="18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70" t="s">
        <v>21</v>
      </c>
      <c r="B104" s="70" t="s">
        <v>35</v>
      </c>
      <c r="C104" s="70" t="s">
        <v>36</v>
      </c>
      <c r="D104" s="70" t="s">
        <v>34</v>
      </c>
      <c r="E104" s="70" t="s">
        <v>25</v>
      </c>
      <c r="F104" s="70" t="s">
        <v>25</v>
      </c>
      <c r="G104" s="70" t="s">
        <v>25</v>
      </c>
      <c r="H104" s="70" t="s">
        <v>38</v>
      </c>
      <c r="I104" s="78">
        <v>44501</v>
      </c>
      <c r="J104" s="79">
        <f ca="1">EFEITO!$J$104*EFEITO!$Y$104</f>
        <v>201632.50674087249</v>
      </c>
      <c r="K104" s="79">
        <f ca="1">EFEITO!$L$104*EFEITO!$Z$104</f>
        <v>269000.05420989438</v>
      </c>
      <c r="L104" s="79">
        <f>EFEITO!$N$104*EFEITO!$AA$104</f>
        <v>576304.78055065393</v>
      </c>
      <c r="M104" s="79">
        <f ca="1">$J$104-EFEITO!$K$104*EFEITO!$Y$104</f>
        <v>0</v>
      </c>
      <c r="N104" s="79">
        <f ca="1">$K$104-EFEITO!$M$104*EFEITO!$Z$104</f>
        <v>0</v>
      </c>
      <c r="O104" s="79">
        <f>$L$104-EFEITO!$O$104*EFEITO!$AA$104</f>
        <v>0</v>
      </c>
      <c r="P104" s="18"/>
      <c r="Q104" s="18"/>
      <c r="R104" s="18"/>
      <c r="S104" s="18"/>
      <c r="T104" s="18"/>
      <c r="U104" s="18"/>
      <c r="V104" s="18"/>
      <c r="W104" s="18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70" t="s">
        <v>21</v>
      </c>
      <c r="B105" s="70" t="s">
        <v>35</v>
      </c>
      <c r="C105" s="70" t="s">
        <v>36</v>
      </c>
      <c r="D105" s="70" t="s">
        <v>34</v>
      </c>
      <c r="E105" s="70" t="s">
        <v>25</v>
      </c>
      <c r="F105" s="70" t="s">
        <v>25</v>
      </c>
      <c r="G105" s="70" t="s">
        <v>25</v>
      </c>
      <c r="H105" s="70" t="s">
        <v>38</v>
      </c>
      <c r="I105" s="78">
        <v>44531</v>
      </c>
      <c r="J105" s="79">
        <f ca="1">EFEITO!$J$105*EFEITO!$Y$105</f>
        <v>205713.27337782716</v>
      </c>
      <c r="K105" s="79">
        <f ca="1">EFEITO!$L$105*EFEITO!$Z$105</f>
        <v>265652.76825817674</v>
      </c>
      <c r="L105" s="79">
        <f>EFEITO!$N$105*EFEITO!$AA$105</f>
        <v>569133.56676963461</v>
      </c>
      <c r="M105" s="79">
        <f ca="1">$J$105-EFEITO!$K$105*EFEITO!$Y$105</f>
        <v>0</v>
      </c>
      <c r="N105" s="79">
        <f ca="1">$K$105-EFEITO!$M$105*EFEITO!$Z$105</f>
        <v>0</v>
      </c>
      <c r="O105" s="79">
        <f>$L$105-EFEITO!$O$105*EFEITO!$AA$105</f>
        <v>0</v>
      </c>
      <c r="P105" s="18"/>
      <c r="Q105" s="18"/>
      <c r="R105" s="18"/>
      <c r="S105" s="18"/>
      <c r="T105" s="18"/>
      <c r="U105" s="18"/>
      <c r="V105" s="18"/>
      <c r="W105" s="18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70" t="s">
        <v>21</v>
      </c>
      <c r="B106" s="70" t="s">
        <v>35</v>
      </c>
      <c r="C106" s="70" t="s">
        <v>36</v>
      </c>
      <c r="D106" s="70" t="s">
        <v>34</v>
      </c>
      <c r="E106" s="70" t="s">
        <v>25</v>
      </c>
      <c r="F106" s="70" t="s">
        <v>25</v>
      </c>
      <c r="G106" s="70" t="s">
        <v>25</v>
      </c>
      <c r="H106" s="70" t="s">
        <v>38</v>
      </c>
      <c r="I106" s="78">
        <v>44562</v>
      </c>
      <c r="J106" s="79">
        <f ca="1">EFEITO!$J$106*EFEITO!$Y$106</f>
        <v>207966.83107286185</v>
      </c>
      <c r="K106" s="79">
        <f ca="1">EFEITO!$L$106*EFEITO!$Z$106</f>
        <v>235628.20992718704</v>
      </c>
      <c r="L106" s="79">
        <f>EFEITO!$N$106*EFEITO!$AA$106</f>
        <v>504809.05742745439</v>
      </c>
      <c r="M106" s="79">
        <f ca="1">$J$106-EFEITO!$K$106*EFEITO!$Y$106</f>
        <v>0</v>
      </c>
      <c r="N106" s="79">
        <f ca="1">$K$106-EFEITO!$M$106*EFEITO!$Z$106</f>
        <v>0</v>
      </c>
      <c r="O106" s="79">
        <f>$L$106-EFEITO!$O$106*EFEITO!$AA$106</f>
        <v>0</v>
      </c>
      <c r="P106" s="18"/>
      <c r="Q106" s="18"/>
      <c r="R106" s="18"/>
      <c r="S106" s="18"/>
      <c r="T106" s="18"/>
      <c r="U106" s="18"/>
      <c r="V106" s="18"/>
      <c r="W106" s="18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70" t="s">
        <v>21</v>
      </c>
      <c r="B107" s="70" t="s">
        <v>35</v>
      </c>
      <c r="C107" s="70" t="s">
        <v>36</v>
      </c>
      <c r="D107" s="70" t="s">
        <v>34</v>
      </c>
      <c r="E107" s="70" t="s">
        <v>25</v>
      </c>
      <c r="F107" s="70" t="s">
        <v>25</v>
      </c>
      <c r="G107" s="70" t="s">
        <v>25</v>
      </c>
      <c r="H107" s="70" t="s">
        <v>38</v>
      </c>
      <c r="I107" s="78">
        <v>44593</v>
      </c>
      <c r="J107" s="79">
        <f ca="1">EFEITO!$J$107*EFEITO!$Y$107</f>
        <v>204860.57587159783</v>
      </c>
      <c r="K107" s="79">
        <f ca="1">EFEITO!$L$107*EFEITO!$Z$107</f>
        <v>238942.7491820163</v>
      </c>
      <c r="L107" s="79">
        <f>EFEITO!$N$107*EFEITO!$AA$107</f>
        <v>511910.11479895376</v>
      </c>
      <c r="M107" s="79">
        <f ca="1">$J$107-EFEITO!$K$107*EFEITO!$Y$107</f>
        <v>0</v>
      </c>
      <c r="N107" s="79">
        <f ca="1">$K$107-EFEITO!$M$107*EFEITO!$Z$107</f>
        <v>0</v>
      </c>
      <c r="O107" s="79">
        <f>$L$107-EFEITO!$O$107*EFEITO!$AA$107</f>
        <v>0</v>
      </c>
      <c r="P107" s="18"/>
      <c r="Q107" s="18"/>
      <c r="R107" s="18"/>
      <c r="S107" s="18"/>
      <c r="T107" s="18"/>
      <c r="U107" s="18"/>
      <c r="V107" s="18"/>
      <c r="W107" s="18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70" t="s">
        <v>21</v>
      </c>
      <c r="B108" s="70" t="s">
        <v>35</v>
      </c>
      <c r="C108" s="70" t="s">
        <v>36</v>
      </c>
      <c r="D108" s="70" t="s">
        <v>34</v>
      </c>
      <c r="E108" s="70" t="s">
        <v>25</v>
      </c>
      <c r="F108" s="70" t="s">
        <v>25</v>
      </c>
      <c r="G108" s="70" t="s">
        <v>25</v>
      </c>
      <c r="H108" s="70" t="s">
        <v>38</v>
      </c>
      <c r="I108" s="78">
        <v>44621</v>
      </c>
      <c r="J108" s="79">
        <f ca="1">EFEITO!$J$108*EFEITO!$Y$108</f>
        <v>206017.80820148051</v>
      </c>
      <c r="K108" s="79">
        <f ca="1">EFEITO!$L$108*EFEITO!$Z$108</f>
        <v>246418.89408548101</v>
      </c>
      <c r="L108" s="79">
        <f>EFEITO!$N$108*EFEITO!$AA$108</f>
        <v>527926.98163792572</v>
      </c>
      <c r="M108" s="79">
        <f ca="1">$J$108-EFEITO!$K$108*EFEITO!$Y$108</f>
        <v>0</v>
      </c>
      <c r="N108" s="79">
        <f ca="1">$K$108-EFEITO!$M$108*EFEITO!$Z$108</f>
        <v>0</v>
      </c>
      <c r="O108" s="79">
        <f>$L$108-EFEITO!$O$108*EFEITO!$AA$108</f>
        <v>0</v>
      </c>
      <c r="P108" s="18"/>
      <c r="Q108" s="18"/>
      <c r="R108" s="18"/>
      <c r="S108" s="18"/>
      <c r="T108" s="18"/>
      <c r="U108" s="18"/>
      <c r="V108" s="18"/>
      <c r="W108" s="18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70" t="s">
        <v>21</v>
      </c>
      <c r="B109" s="70" t="s">
        <v>35</v>
      </c>
      <c r="C109" s="70" t="s">
        <v>36</v>
      </c>
      <c r="D109" s="70" t="s">
        <v>34</v>
      </c>
      <c r="E109" s="70" t="s">
        <v>25</v>
      </c>
      <c r="F109" s="70" t="s">
        <v>25</v>
      </c>
      <c r="G109" s="70" t="s">
        <v>25</v>
      </c>
      <c r="H109" s="70" t="s">
        <v>38</v>
      </c>
      <c r="I109" s="78">
        <v>44652</v>
      </c>
      <c r="J109" s="79">
        <f ca="1">EFEITO!$J$109*EFEITO!$Y$109</f>
        <v>208301.81937888049</v>
      </c>
      <c r="K109" s="79">
        <f ca="1">EFEITO!$L$109*EFEITO!$Z$109</f>
        <v>288180.46061196434</v>
      </c>
      <c r="L109" s="79">
        <f>EFEITO!$N$109*EFEITO!$AA$109</f>
        <v>617396.81651653617</v>
      </c>
      <c r="M109" s="79">
        <f ca="1">$J$109-EFEITO!$K$109*EFEITO!$Y$109</f>
        <v>0</v>
      </c>
      <c r="N109" s="79">
        <f ca="1">$K$109-EFEITO!$M$109*EFEITO!$Z$109</f>
        <v>0</v>
      </c>
      <c r="O109" s="79">
        <f>$L$109-EFEITO!$O$109*EFEITO!$AA$109</f>
        <v>0</v>
      </c>
      <c r="P109" s="18"/>
      <c r="Q109" s="18"/>
      <c r="R109" s="18"/>
      <c r="S109" s="18"/>
      <c r="T109" s="18"/>
      <c r="U109" s="18"/>
      <c r="V109" s="18"/>
      <c r="W109" s="18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70" t="s">
        <v>21</v>
      </c>
      <c r="B110" s="70" t="s">
        <v>35</v>
      </c>
      <c r="C110" s="70" t="s">
        <v>36</v>
      </c>
      <c r="D110" s="70" t="s">
        <v>34</v>
      </c>
      <c r="E110" s="70" t="s">
        <v>25</v>
      </c>
      <c r="F110" s="70" t="s">
        <v>25</v>
      </c>
      <c r="G110" s="70" t="s">
        <v>25</v>
      </c>
      <c r="H110" s="70" t="s">
        <v>38</v>
      </c>
      <c r="I110" s="78">
        <v>44682</v>
      </c>
      <c r="J110" s="79">
        <f ca="1">EFEITO!$J$110*EFEITO!$Y$110</f>
        <v>132015.84605372031</v>
      </c>
      <c r="K110" s="79">
        <f ca="1">EFEITO!$L$110*EFEITO!$Z$110</f>
        <v>139723.86529700051</v>
      </c>
      <c r="L110" s="79">
        <f>EFEITO!$N$110*EFEITO!$AA$110</f>
        <v>299343.92304934777</v>
      </c>
      <c r="M110" s="79">
        <f ca="1">$J$110-EFEITO!$K$110*EFEITO!$Y$110</f>
        <v>0</v>
      </c>
      <c r="N110" s="79">
        <f ca="1">$K$110-EFEITO!$M$110*EFEITO!$Z$110</f>
        <v>0</v>
      </c>
      <c r="O110" s="79">
        <f>$L$110-EFEITO!$O$110*EFEITO!$AA$110</f>
        <v>0</v>
      </c>
      <c r="P110" s="18"/>
      <c r="Q110" s="18"/>
      <c r="R110" s="18"/>
      <c r="S110" s="18"/>
      <c r="T110" s="18"/>
      <c r="U110" s="18"/>
      <c r="V110" s="18"/>
      <c r="W110" s="18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70" t="s">
        <v>21</v>
      </c>
      <c r="B111" s="70" t="s">
        <v>35</v>
      </c>
      <c r="C111" s="70" t="s">
        <v>36</v>
      </c>
      <c r="D111" s="70" t="s">
        <v>34</v>
      </c>
      <c r="E111" s="70" t="s">
        <v>25</v>
      </c>
      <c r="F111" s="70" t="s">
        <v>25</v>
      </c>
      <c r="G111" s="70" t="s">
        <v>25</v>
      </c>
      <c r="H111" s="70" t="s">
        <v>38</v>
      </c>
      <c r="I111" s="78">
        <v>44713</v>
      </c>
      <c r="J111" s="79">
        <f ca="1">EFEITO!$J$111*EFEITO!$Y$111</f>
        <v>133568.97365435233</v>
      </c>
      <c r="K111" s="79">
        <f ca="1">EFEITO!$L$111*EFEITO!$Z$111</f>
        <v>169790.23579463866</v>
      </c>
      <c r="L111" s="79">
        <f>EFEITO!$N$111*EFEITO!$AA$111</f>
        <v>363758.01063193189</v>
      </c>
      <c r="M111" s="79">
        <f ca="1">$J$111-EFEITO!$K$111*EFEITO!$Y$111</f>
        <v>0</v>
      </c>
      <c r="N111" s="79">
        <f ca="1">$K$111-EFEITO!$M$111*EFEITO!$Z$111</f>
        <v>0</v>
      </c>
      <c r="O111" s="79">
        <f>$L$111-EFEITO!$O$111*EFEITO!$AA$111</f>
        <v>0</v>
      </c>
      <c r="P111" s="18"/>
      <c r="Q111" s="18"/>
      <c r="R111" s="18"/>
      <c r="S111" s="18"/>
      <c r="T111" s="18"/>
      <c r="U111" s="18"/>
      <c r="V111" s="18"/>
      <c r="W111" s="18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70" t="s">
        <v>21</v>
      </c>
      <c r="B112" s="70" t="s">
        <v>35</v>
      </c>
      <c r="C112" s="70" t="s">
        <v>36</v>
      </c>
      <c r="D112" s="70" t="s">
        <v>34</v>
      </c>
      <c r="E112" s="70" t="s">
        <v>25</v>
      </c>
      <c r="F112" s="70" t="s">
        <v>25</v>
      </c>
      <c r="G112" s="70" t="s">
        <v>25</v>
      </c>
      <c r="H112" s="70" t="s">
        <v>37</v>
      </c>
      <c r="I112" s="78">
        <v>44378</v>
      </c>
      <c r="J112" s="79">
        <f ca="1">EFEITO!$J$112*EFEITO!$Y$112</f>
        <v>93116.758333170859</v>
      </c>
      <c r="K112" s="79">
        <f ca="1">EFEITO!$L$112*EFEITO!$Z$112</f>
        <v>9644.1797480248169</v>
      </c>
      <c r="L112" s="79">
        <f>EFEITO!$N$112*EFEITO!$AA$112</f>
        <v>20661.657149480485</v>
      </c>
      <c r="M112" s="79">
        <f ca="1">$J$112-EFEITO!$K$112*EFEITO!$Y$112</f>
        <v>0</v>
      </c>
      <c r="N112" s="79">
        <f ca="1">$K$112-EFEITO!$M$112*EFEITO!$Z$112</f>
        <v>0</v>
      </c>
      <c r="O112" s="79">
        <f>$L$112-EFEITO!$O$112*EFEITO!$AA$112</f>
        <v>0</v>
      </c>
      <c r="P112" s="18"/>
      <c r="Q112" s="18"/>
      <c r="R112" s="18"/>
      <c r="S112" s="18"/>
      <c r="T112" s="18"/>
      <c r="U112" s="18"/>
      <c r="V112" s="18"/>
      <c r="W112" s="18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70" t="s">
        <v>21</v>
      </c>
      <c r="B113" s="70" t="s">
        <v>35</v>
      </c>
      <c r="C113" s="70" t="s">
        <v>36</v>
      </c>
      <c r="D113" s="70" t="s">
        <v>34</v>
      </c>
      <c r="E113" s="70" t="s">
        <v>25</v>
      </c>
      <c r="F113" s="70" t="s">
        <v>25</v>
      </c>
      <c r="G113" s="70" t="s">
        <v>25</v>
      </c>
      <c r="H113" s="70" t="s">
        <v>37</v>
      </c>
      <c r="I113" s="78">
        <v>44409</v>
      </c>
      <c r="J113" s="79">
        <f ca="1">EFEITO!$J$113*EFEITO!$Y$113</f>
        <v>95481.149279502046</v>
      </c>
      <c r="K113" s="79">
        <f ca="1">EFEITO!$L$113*EFEITO!$Z$113</f>
        <v>10186.257837759944</v>
      </c>
      <c r="L113" s="79">
        <f>EFEITO!$N$113*EFEITO!$AA$113</f>
        <v>21823.003363568456</v>
      </c>
      <c r="M113" s="79">
        <f ca="1">$J$113-EFEITO!$K$113*EFEITO!$Y$113</f>
        <v>0</v>
      </c>
      <c r="N113" s="79">
        <f ca="1">$K$113-EFEITO!$M$113*EFEITO!$Z$113</f>
        <v>0</v>
      </c>
      <c r="O113" s="79">
        <f>$L$113-EFEITO!$O$113*EFEITO!$AA$113</f>
        <v>0</v>
      </c>
      <c r="P113" s="18"/>
      <c r="Q113" s="18"/>
      <c r="R113" s="18"/>
      <c r="S113" s="18"/>
      <c r="T113" s="18"/>
      <c r="U113" s="18"/>
      <c r="V113" s="18"/>
      <c r="W113" s="18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70" t="s">
        <v>21</v>
      </c>
      <c r="B114" s="70" t="s">
        <v>35</v>
      </c>
      <c r="C114" s="70" t="s">
        <v>36</v>
      </c>
      <c r="D114" s="70" t="s">
        <v>34</v>
      </c>
      <c r="E114" s="70" t="s">
        <v>25</v>
      </c>
      <c r="F114" s="70" t="s">
        <v>25</v>
      </c>
      <c r="G114" s="70" t="s">
        <v>25</v>
      </c>
      <c r="H114" s="70" t="s">
        <v>37</v>
      </c>
      <c r="I114" s="78">
        <v>44440</v>
      </c>
      <c r="J114" s="79">
        <f ca="1">EFEITO!$J$114*EFEITO!$Y$114</f>
        <v>289009.06354622723</v>
      </c>
      <c r="K114" s="79">
        <f ca="1">EFEITO!$L$114*EFEITO!$Z$114</f>
        <v>30709.741336223131</v>
      </c>
      <c r="L114" s="79">
        <f>EFEITO!$N$114*EFEITO!$AA$114</f>
        <v>65792.443029509392</v>
      </c>
      <c r="M114" s="79">
        <f ca="1">$J$114-EFEITO!$K$114*EFEITO!$Y$114</f>
        <v>0</v>
      </c>
      <c r="N114" s="79">
        <f ca="1">$K$114-EFEITO!$M$114*EFEITO!$Z$114</f>
        <v>0</v>
      </c>
      <c r="O114" s="79">
        <f>$L$114-EFEITO!$O$114*EFEITO!$AA$114</f>
        <v>0</v>
      </c>
      <c r="P114" s="18"/>
      <c r="Q114" s="18"/>
      <c r="R114" s="18"/>
      <c r="S114" s="18"/>
      <c r="T114" s="18"/>
      <c r="U114" s="18"/>
      <c r="V114" s="18"/>
      <c r="W114" s="18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70" t="s">
        <v>27</v>
      </c>
      <c r="B115" s="70" t="s">
        <v>35</v>
      </c>
      <c r="C115" s="70" t="s">
        <v>36</v>
      </c>
      <c r="D115" s="70" t="s">
        <v>34</v>
      </c>
      <c r="E115" s="70" t="s">
        <v>25</v>
      </c>
      <c r="F115" s="70" t="s">
        <v>25</v>
      </c>
      <c r="G115" s="70" t="s">
        <v>25</v>
      </c>
      <c r="H115" s="70" t="s">
        <v>37</v>
      </c>
      <c r="I115" s="78">
        <v>44440</v>
      </c>
      <c r="J115" s="79">
        <f ca="1">EFEITO!$J$115*EFEITO!$Y$115</f>
        <v>-192672.70903081817</v>
      </c>
      <c r="K115" s="79">
        <f ca="1">EFEITO!$L$115*EFEITO!$Z$115</f>
        <v>-20473.160890815419</v>
      </c>
      <c r="L115" s="79">
        <f>EFEITO!$N$115*EFEITO!$AA$115</f>
        <v>-43861.628686339594</v>
      </c>
      <c r="M115" s="79">
        <f ca="1">$J$115-EFEITO!$K$115*EFEITO!$Y$115</f>
        <v>0</v>
      </c>
      <c r="N115" s="79">
        <f ca="1">$K$115-EFEITO!$M$115*EFEITO!$Z$115</f>
        <v>0</v>
      </c>
      <c r="O115" s="79">
        <f>$L$115-EFEITO!$O$115*EFEITO!$AA$115</f>
        <v>0</v>
      </c>
      <c r="P115" s="18"/>
      <c r="Q115" s="18"/>
      <c r="R115" s="18"/>
      <c r="S115" s="18"/>
      <c r="T115" s="18"/>
      <c r="U115" s="18"/>
      <c r="V115" s="18"/>
      <c r="W115" s="18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70" t="s">
        <v>21</v>
      </c>
      <c r="B116" s="70" t="s">
        <v>35</v>
      </c>
      <c r="C116" s="70" t="s">
        <v>36</v>
      </c>
      <c r="D116" s="70" t="s">
        <v>34</v>
      </c>
      <c r="E116" s="70" t="s">
        <v>25</v>
      </c>
      <c r="F116" s="70" t="s">
        <v>25</v>
      </c>
      <c r="G116" s="70" t="s">
        <v>25</v>
      </c>
      <c r="H116" s="70" t="s">
        <v>37</v>
      </c>
      <c r="I116" s="78">
        <v>44470</v>
      </c>
      <c r="J116" s="79">
        <f ca="1">EFEITO!$J$116*EFEITO!$Y$116</f>
        <v>193930.36378950495</v>
      </c>
      <c r="K116" s="79">
        <f ca="1">EFEITO!$L$116*EFEITO!$Z$116</f>
        <v>19976.68766426108</v>
      </c>
      <c r="L116" s="79">
        <f>EFEITO!$N$116*EFEITO!$AA$116</f>
        <v>42797.986172515339</v>
      </c>
      <c r="M116" s="79">
        <f ca="1">$J$116-EFEITO!$K$116*EFEITO!$Y$116</f>
        <v>0</v>
      </c>
      <c r="N116" s="79">
        <f ca="1">$K$116-EFEITO!$M$116*EFEITO!$Z$116</f>
        <v>0</v>
      </c>
      <c r="O116" s="79">
        <f>$L$116-EFEITO!$O$116*EFEITO!$AA$116</f>
        <v>0</v>
      </c>
      <c r="P116" s="18"/>
      <c r="Q116" s="18"/>
      <c r="R116" s="18"/>
      <c r="S116" s="18"/>
      <c r="T116" s="18"/>
      <c r="U116" s="18"/>
      <c r="V116" s="18"/>
      <c r="W116" s="18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70" t="s">
        <v>27</v>
      </c>
      <c r="B117" s="70" t="s">
        <v>35</v>
      </c>
      <c r="C117" s="70" t="s">
        <v>36</v>
      </c>
      <c r="D117" s="70" t="s">
        <v>34</v>
      </c>
      <c r="E117" s="70" t="s">
        <v>25</v>
      </c>
      <c r="F117" s="70" t="s">
        <v>25</v>
      </c>
      <c r="G117" s="70" t="s">
        <v>25</v>
      </c>
      <c r="H117" s="70" t="s">
        <v>37</v>
      </c>
      <c r="I117" s="78">
        <v>44470</v>
      </c>
      <c r="J117" s="79">
        <f ca="1">EFEITO!$J$117*EFEITO!$Y$117</f>
        <v>-95481.149279502046</v>
      </c>
      <c r="K117" s="79">
        <f ca="1">EFEITO!$L$117*EFEITO!$Z$117</f>
        <v>-10186.257837759944</v>
      </c>
      <c r="L117" s="79">
        <f>EFEITO!$N$117*EFEITO!$AA$117</f>
        <v>-21823.003363568456</v>
      </c>
      <c r="M117" s="79">
        <f ca="1">$J$117-EFEITO!$K$117*EFEITO!$Y$117</f>
        <v>0</v>
      </c>
      <c r="N117" s="79">
        <f ca="1">$K$117-EFEITO!$M$117*EFEITO!$Z$117</f>
        <v>0</v>
      </c>
      <c r="O117" s="79">
        <f>$L$117-EFEITO!$O$117*EFEITO!$AA$117</f>
        <v>0</v>
      </c>
      <c r="P117" s="18"/>
      <c r="Q117" s="18"/>
      <c r="R117" s="18"/>
      <c r="S117" s="18"/>
      <c r="T117" s="18"/>
      <c r="U117" s="18"/>
      <c r="V117" s="18"/>
      <c r="W117" s="18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70" t="s">
        <v>21</v>
      </c>
      <c r="B118" s="70" t="s">
        <v>35</v>
      </c>
      <c r="C118" s="70" t="s">
        <v>36</v>
      </c>
      <c r="D118" s="70" t="s">
        <v>34</v>
      </c>
      <c r="E118" s="70" t="s">
        <v>25</v>
      </c>
      <c r="F118" s="70" t="s">
        <v>25</v>
      </c>
      <c r="G118" s="70" t="s">
        <v>25</v>
      </c>
      <c r="H118" s="70" t="s">
        <v>37</v>
      </c>
      <c r="I118" s="78">
        <v>44501</v>
      </c>
      <c r="J118" s="79">
        <f ca="1">EFEITO!$J$118*EFEITO!$Y$118</f>
        <v>268081.68836167885</v>
      </c>
      <c r="K118" s="79">
        <f ca="1">EFEITO!$L$118*EFEITO!$Z$118</f>
        <v>25547.60384141442</v>
      </c>
      <c r="L118" s="79">
        <f>EFEITO!$N$118*EFEITO!$AA$118</f>
        <v>54733.097614668914</v>
      </c>
      <c r="M118" s="79">
        <f ca="1">$J$118-EFEITO!$K$118*EFEITO!$Y$118</f>
        <v>0</v>
      </c>
      <c r="N118" s="79">
        <f ca="1">$K$118-EFEITO!$M$118*EFEITO!$Z$118</f>
        <v>0</v>
      </c>
      <c r="O118" s="79">
        <f>$L$118-EFEITO!$O$118*EFEITO!$AA$118</f>
        <v>0</v>
      </c>
      <c r="P118" s="18"/>
      <c r="Q118" s="18"/>
      <c r="R118" s="18"/>
      <c r="S118" s="18"/>
      <c r="T118" s="18"/>
      <c r="U118" s="18"/>
      <c r="V118" s="18"/>
      <c r="W118" s="18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70" t="s">
        <v>21</v>
      </c>
      <c r="B119" s="70" t="s">
        <v>35</v>
      </c>
      <c r="C119" s="70" t="s">
        <v>36</v>
      </c>
      <c r="D119" s="70" t="s">
        <v>34</v>
      </c>
      <c r="E119" s="70" t="s">
        <v>25</v>
      </c>
      <c r="F119" s="70" t="s">
        <v>25</v>
      </c>
      <c r="G119" s="70" t="s">
        <v>25</v>
      </c>
      <c r="H119" s="70" t="s">
        <v>37</v>
      </c>
      <c r="I119" s="78">
        <v>44531</v>
      </c>
      <c r="J119" s="79">
        <f ca="1">EFEITO!$J$119*EFEITO!$Y$119</f>
        <v>271552.81549565442</v>
      </c>
      <c r="K119" s="79">
        <f ca="1">EFEITO!$L$119*EFEITO!$Z$119</f>
        <v>25764.15756292806</v>
      </c>
      <c r="L119" s="79">
        <f>EFEITO!$N$119*EFEITO!$AA$119</f>
        <v>55197.041554460717</v>
      </c>
      <c r="M119" s="79">
        <f ca="1">$J$119-EFEITO!$K$119*EFEITO!$Y$119</f>
        <v>0</v>
      </c>
      <c r="N119" s="79">
        <f ca="1">$K$119-EFEITO!$M$119*EFEITO!$Z$119</f>
        <v>0</v>
      </c>
      <c r="O119" s="79">
        <f>$L$119-EFEITO!$O$119*EFEITO!$AA$119</f>
        <v>0</v>
      </c>
      <c r="P119" s="18"/>
      <c r="Q119" s="18"/>
      <c r="R119" s="18"/>
      <c r="S119" s="18"/>
      <c r="T119" s="18"/>
      <c r="U119" s="18"/>
      <c r="V119" s="18"/>
      <c r="W119" s="18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70" t="s">
        <v>21</v>
      </c>
      <c r="B120" s="70" t="s">
        <v>35</v>
      </c>
      <c r="C120" s="70" t="s">
        <v>36</v>
      </c>
      <c r="D120" s="70" t="s">
        <v>34</v>
      </c>
      <c r="E120" s="70" t="s">
        <v>25</v>
      </c>
      <c r="F120" s="70" t="s">
        <v>25</v>
      </c>
      <c r="G120" s="70" t="s">
        <v>25</v>
      </c>
      <c r="H120" s="70" t="s">
        <v>37</v>
      </c>
      <c r="I120" s="78">
        <v>44562</v>
      </c>
      <c r="J120" s="79">
        <f ca="1">EFEITO!$J$120*EFEITO!$Y$120</f>
        <v>264509.94884700835</v>
      </c>
      <c r="K120" s="79">
        <f ca="1">EFEITO!$L$120*EFEITO!$Z$120</f>
        <v>22393.282888875496</v>
      </c>
      <c r="L120" s="79">
        <f>EFEITO!$N$120*EFEITO!$AA$120</f>
        <v>47975.291376753252</v>
      </c>
      <c r="M120" s="79">
        <f ca="1">$J$120-EFEITO!$K$120*EFEITO!$Y$120</f>
        <v>0</v>
      </c>
      <c r="N120" s="79">
        <f ca="1">$K$120-EFEITO!$M$120*EFEITO!$Z$120</f>
        <v>0</v>
      </c>
      <c r="O120" s="79">
        <f>$L$120-EFEITO!$O$120*EFEITO!$AA$120</f>
        <v>0</v>
      </c>
      <c r="P120" s="18"/>
      <c r="Q120" s="18"/>
      <c r="R120" s="18"/>
      <c r="S120" s="18"/>
      <c r="T120" s="18"/>
      <c r="U120" s="18"/>
      <c r="V120" s="18"/>
      <c r="W120" s="18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70" t="s">
        <v>21</v>
      </c>
      <c r="B121" s="70" t="s">
        <v>35</v>
      </c>
      <c r="C121" s="70" t="s">
        <v>36</v>
      </c>
      <c r="D121" s="70" t="s">
        <v>34</v>
      </c>
      <c r="E121" s="70" t="s">
        <v>25</v>
      </c>
      <c r="F121" s="70" t="s">
        <v>25</v>
      </c>
      <c r="G121" s="70" t="s">
        <v>25</v>
      </c>
      <c r="H121" s="70" t="s">
        <v>37</v>
      </c>
      <c r="I121" s="78">
        <v>44593</v>
      </c>
      <c r="J121" s="79">
        <f ca="1">EFEITO!$J$121*EFEITO!$Y$121</f>
        <v>274873.02405858756</v>
      </c>
      <c r="K121" s="79">
        <f ca="1">EFEITO!$L$121*EFEITO!$Z$121</f>
        <v>22347.215501727358</v>
      </c>
      <c r="L121" s="79">
        <f>EFEITO!$N$121*EFEITO!$AA$121</f>
        <v>47876.596766750561</v>
      </c>
      <c r="M121" s="79">
        <f ca="1">$J$121-EFEITO!$K$121*EFEITO!$Y$121</f>
        <v>0</v>
      </c>
      <c r="N121" s="79">
        <f ca="1">$K$121-EFEITO!$M$121*EFEITO!$Z$121</f>
        <v>0</v>
      </c>
      <c r="O121" s="79">
        <f>$L$121-EFEITO!$O$121*EFEITO!$AA$121</f>
        <v>0</v>
      </c>
      <c r="P121" s="18"/>
      <c r="Q121" s="18"/>
      <c r="R121" s="18"/>
      <c r="S121" s="18"/>
      <c r="T121" s="18"/>
      <c r="U121" s="18"/>
      <c r="V121" s="18"/>
      <c r="W121" s="18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70" t="s">
        <v>21</v>
      </c>
      <c r="B122" s="70" t="s">
        <v>35</v>
      </c>
      <c r="C122" s="70" t="s">
        <v>36</v>
      </c>
      <c r="D122" s="70" t="s">
        <v>34</v>
      </c>
      <c r="E122" s="70" t="s">
        <v>25</v>
      </c>
      <c r="F122" s="70" t="s">
        <v>25</v>
      </c>
      <c r="G122" s="70" t="s">
        <v>25</v>
      </c>
      <c r="H122" s="70" t="s">
        <v>37</v>
      </c>
      <c r="I122" s="78">
        <v>44621</v>
      </c>
      <c r="J122" s="79">
        <f ca="1">EFEITO!$J$122*EFEITO!$Y$122</f>
        <v>274269.34977441793</v>
      </c>
      <c r="K122" s="79">
        <f ca="1">EFEITO!$L$122*EFEITO!$Z$122</f>
        <v>25340.300599247796</v>
      </c>
      <c r="L122" s="79">
        <f>EFEITO!$N$122*EFEITO!$AA$122</f>
        <v>54288.971869656772</v>
      </c>
      <c r="M122" s="79">
        <f ca="1">$J$122-EFEITO!$K$122*EFEITO!$Y$122</f>
        <v>0</v>
      </c>
      <c r="N122" s="79">
        <f ca="1">$K$122-EFEITO!$M$122*EFEITO!$Z$122</f>
        <v>0</v>
      </c>
      <c r="O122" s="79">
        <f>$L$122-EFEITO!$O$122*EFEITO!$AA$122</f>
        <v>0</v>
      </c>
      <c r="P122" s="18"/>
      <c r="Q122" s="18"/>
      <c r="R122" s="18"/>
      <c r="S122" s="18"/>
      <c r="T122" s="18"/>
      <c r="U122" s="18"/>
      <c r="V122" s="18"/>
      <c r="W122" s="18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70" t="s">
        <v>21</v>
      </c>
      <c r="B123" s="70" t="s">
        <v>35</v>
      </c>
      <c r="C123" s="70" t="s">
        <v>36</v>
      </c>
      <c r="D123" s="70" t="s">
        <v>34</v>
      </c>
      <c r="E123" s="70" t="s">
        <v>25</v>
      </c>
      <c r="F123" s="70" t="s">
        <v>25</v>
      </c>
      <c r="G123" s="70" t="s">
        <v>25</v>
      </c>
      <c r="H123" s="70" t="s">
        <v>37</v>
      </c>
      <c r="I123" s="78">
        <v>44652</v>
      </c>
      <c r="J123" s="79">
        <f ca="1">EFEITO!$J$123*EFEITO!$Y$123</f>
        <v>271552.81549565442</v>
      </c>
      <c r="K123" s="79">
        <f ca="1">EFEITO!$L$123*EFEITO!$Z$123</f>
        <v>28293.70114036954</v>
      </c>
      <c r="L123" s="79">
        <f>EFEITO!$N$123*EFEITO!$AA$123</f>
        <v>60616.326916958264</v>
      </c>
      <c r="M123" s="79">
        <f ca="1">$J$123-EFEITO!$K$123*EFEITO!$Y$123</f>
        <v>0</v>
      </c>
      <c r="N123" s="79">
        <f ca="1">$K$123-EFEITO!$M$123*EFEITO!$Z$123</f>
        <v>0</v>
      </c>
      <c r="O123" s="79">
        <f>$L$123-EFEITO!$O$123*EFEITO!$AA$123</f>
        <v>0</v>
      </c>
      <c r="P123" s="18"/>
      <c r="Q123" s="18"/>
      <c r="R123" s="18"/>
      <c r="S123" s="18"/>
      <c r="T123" s="18"/>
      <c r="U123" s="18"/>
      <c r="V123" s="18"/>
      <c r="W123" s="18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70" t="s">
        <v>21</v>
      </c>
      <c r="B124" s="70" t="s">
        <v>35</v>
      </c>
      <c r="C124" s="70" t="s">
        <v>36</v>
      </c>
      <c r="D124" s="70" t="s">
        <v>34</v>
      </c>
      <c r="E124" s="70" t="s">
        <v>25</v>
      </c>
      <c r="F124" s="70" t="s">
        <v>25</v>
      </c>
      <c r="G124" s="70" t="s">
        <v>25</v>
      </c>
      <c r="H124" s="70" t="s">
        <v>37</v>
      </c>
      <c r="I124" s="78">
        <v>44682</v>
      </c>
      <c r="J124" s="79">
        <f ca="1">EFEITO!$J$124*EFEITO!$Y$124</f>
        <v>187239.64047329116</v>
      </c>
      <c r="K124" s="79">
        <f ca="1">EFEITO!$L$124*EFEITO!$Z$124</f>
        <v>15940.333505984196</v>
      </c>
      <c r="L124" s="79">
        <f>EFEITO!$N$124*EFEITO!$AA$124</f>
        <v>34150.515062359264</v>
      </c>
      <c r="M124" s="79">
        <f ca="1">$J$124-EFEITO!$K$124*EFEITO!$Y$124</f>
        <v>0</v>
      </c>
      <c r="N124" s="79">
        <f ca="1">$K$124-EFEITO!$M$124*EFEITO!$Z$124</f>
        <v>0</v>
      </c>
      <c r="O124" s="79">
        <f>$L$124-EFEITO!$O$124*EFEITO!$AA$124</f>
        <v>0</v>
      </c>
      <c r="P124" s="18"/>
      <c r="Q124" s="18"/>
      <c r="R124" s="18"/>
      <c r="S124" s="18"/>
      <c r="T124" s="18"/>
      <c r="U124" s="18"/>
      <c r="V124" s="18"/>
      <c r="W124" s="18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70" t="s">
        <v>21</v>
      </c>
      <c r="B125" s="70" t="s">
        <v>35</v>
      </c>
      <c r="C125" s="70" t="s">
        <v>36</v>
      </c>
      <c r="D125" s="70" t="s">
        <v>34</v>
      </c>
      <c r="E125" s="70" t="s">
        <v>25</v>
      </c>
      <c r="F125" s="70" t="s">
        <v>25</v>
      </c>
      <c r="G125" s="70" t="s">
        <v>25</v>
      </c>
      <c r="H125" s="70" t="s">
        <v>37</v>
      </c>
      <c r="I125" s="78">
        <v>44713</v>
      </c>
      <c r="J125" s="79">
        <f ca="1">EFEITO!$J$125*EFEITO!$Y$125</f>
        <v>194081.28236054737</v>
      </c>
      <c r="K125" s="79">
        <f ca="1">EFEITO!$L$125*EFEITO!$Z$125</f>
        <v>20367.05789270515</v>
      </c>
      <c r="L125" s="79">
        <f>EFEITO!$N$125*EFEITO!$AA$125</f>
        <v>43634.313992216914</v>
      </c>
      <c r="M125" s="79">
        <f ca="1">$J$125-EFEITO!$K$125*EFEITO!$Y$125</f>
        <v>0</v>
      </c>
      <c r="N125" s="79">
        <f ca="1">$K$125-EFEITO!$M$125*EFEITO!$Z$125</f>
        <v>0</v>
      </c>
      <c r="O125" s="79">
        <f>$L$125-EFEITO!$O$125*EFEITO!$AA$125</f>
        <v>0</v>
      </c>
      <c r="P125" s="18"/>
      <c r="Q125" s="18"/>
      <c r="R125" s="18"/>
      <c r="S125" s="18"/>
      <c r="T125" s="18"/>
      <c r="U125" s="18"/>
      <c r="V125" s="18"/>
      <c r="W125" s="18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70" t="s">
        <v>21</v>
      </c>
      <c r="B126" s="70" t="s">
        <v>35</v>
      </c>
      <c r="C126" s="70" t="s">
        <v>56</v>
      </c>
      <c r="D126" s="70" t="s">
        <v>25</v>
      </c>
      <c r="E126" s="70" t="s">
        <v>25</v>
      </c>
      <c r="F126" s="70" t="s">
        <v>25</v>
      </c>
      <c r="G126" s="70" t="s">
        <v>57</v>
      </c>
      <c r="H126" s="70" t="s">
        <v>25</v>
      </c>
      <c r="I126" s="78">
        <v>44378</v>
      </c>
      <c r="J126" s="79">
        <f ca="1">EFEITO!$J$126*EFEITO!$Y$126</f>
        <v>11370.216841521256</v>
      </c>
      <c r="K126" s="79">
        <f>EFEITO!$L$126*EFEITO!$Z$126</f>
        <v>0</v>
      </c>
      <c r="L126" s="79">
        <f>EFEITO!$N$126*EFEITO!$AA$126</f>
        <v>0</v>
      </c>
      <c r="M126" s="79">
        <f ca="1">$J$126-EFEITO!$K$126*EFEITO!$Y$126</f>
        <v>5685.1084207606282</v>
      </c>
      <c r="N126" s="79">
        <f>$K$126-EFEITO!$M$126*EFEITO!$Z$126</f>
        <v>0</v>
      </c>
      <c r="O126" s="79">
        <f>$L$126-EFEITO!$O$126*EFEITO!$AA$126</f>
        <v>0</v>
      </c>
      <c r="P126" s="18"/>
      <c r="Q126" s="18"/>
      <c r="R126" s="18"/>
      <c r="S126" s="18"/>
      <c r="T126" s="18"/>
      <c r="U126" s="18"/>
      <c r="V126" s="18"/>
      <c r="W126" s="18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70" t="s">
        <v>21</v>
      </c>
      <c r="B127" s="70" t="s">
        <v>35</v>
      </c>
      <c r="C127" s="70" t="s">
        <v>56</v>
      </c>
      <c r="D127" s="70" t="s">
        <v>25</v>
      </c>
      <c r="E127" s="70" t="s">
        <v>25</v>
      </c>
      <c r="F127" s="70" t="s">
        <v>25</v>
      </c>
      <c r="G127" s="70" t="s">
        <v>59</v>
      </c>
      <c r="H127" s="70" t="s">
        <v>25</v>
      </c>
      <c r="I127" s="78">
        <v>44378</v>
      </c>
      <c r="J127" s="79">
        <f ca="1">EFEITO!$J$127*EFEITO!$Y$127</f>
        <v>59673.478459047728</v>
      </c>
      <c r="K127" s="79">
        <f>EFEITO!$L$127*EFEITO!$Z$127</f>
        <v>0</v>
      </c>
      <c r="L127" s="79">
        <f>EFEITO!$N$127*EFEITO!$AA$127</f>
        <v>0</v>
      </c>
      <c r="M127" s="79">
        <f ca="1">$J$127-EFEITO!$K$127*EFEITO!$Y$127</f>
        <v>29836.739229523864</v>
      </c>
      <c r="N127" s="79">
        <f>$K$127-EFEITO!$M$127*EFEITO!$Z$127</f>
        <v>0</v>
      </c>
      <c r="O127" s="79">
        <f>$L$127-EFEITO!$O$127*EFEITO!$AA$127</f>
        <v>0</v>
      </c>
      <c r="P127" s="18"/>
      <c r="Q127" s="18"/>
      <c r="R127" s="18"/>
      <c r="S127" s="18"/>
      <c r="T127" s="18"/>
      <c r="U127" s="18"/>
      <c r="V127" s="18"/>
      <c r="W127" s="18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70" t="s">
        <v>21</v>
      </c>
      <c r="B128" s="70" t="s">
        <v>35</v>
      </c>
      <c r="C128" s="70" t="s">
        <v>56</v>
      </c>
      <c r="D128" s="70" t="s">
        <v>25</v>
      </c>
      <c r="E128" s="70" t="s">
        <v>25</v>
      </c>
      <c r="F128" s="70" t="s">
        <v>25</v>
      </c>
      <c r="G128" s="70" t="s">
        <v>60</v>
      </c>
      <c r="H128" s="70" t="s">
        <v>25</v>
      </c>
      <c r="I128" s="78">
        <v>44378</v>
      </c>
      <c r="J128" s="79">
        <f ca="1">EFEITO!$J$128*EFEITO!$Y$128</f>
        <v>14192.611092962703</v>
      </c>
      <c r="K128" s="79">
        <f>EFEITO!$L$128*EFEITO!$Z$128</f>
        <v>0</v>
      </c>
      <c r="L128" s="79">
        <f>EFEITO!$N$128*EFEITO!$AA$128</f>
        <v>0</v>
      </c>
      <c r="M128" s="79">
        <f ca="1">$J$128-EFEITO!$K$128*EFEITO!$Y$128</f>
        <v>7096.3055464813515</v>
      </c>
      <c r="N128" s="79">
        <f>$K$128-EFEITO!$M$128*EFEITO!$Z$128</f>
        <v>0</v>
      </c>
      <c r="O128" s="79">
        <f>$L$128-EFEITO!$O$128*EFEITO!$AA$128</f>
        <v>0</v>
      </c>
      <c r="P128" s="18"/>
      <c r="Q128" s="18"/>
      <c r="R128" s="18"/>
      <c r="S128" s="18"/>
      <c r="T128" s="18"/>
      <c r="U128" s="18"/>
      <c r="V128" s="18"/>
      <c r="W128" s="18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70" t="s">
        <v>21</v>
      </c>
      <c r="B129" s="70" t="s">
        <v>35</v>
      </c>
      <c r="C129" s="70" t="s">
        <v>56</v>
      </c>
      <c r="D129" s="70" t="s">
        <v>25</v>
      </c>
      <c r="E129" s="70" t="s">
        <v>25</v>
      </c>
      <c r="F129" s="70" t="s">
        <v>25</v>
      </c>
      <c r="G129" s="70" t="s">
        <v>61</v>
      </c>
      <c r="H129" s="70" t="s">
        <v>25</v>
      </c>
      <c r="I129" s="78">
        <v>44378</v>
      </c>
      <c r="J129" s="79">
        <f ca="1">EFEITO!$J$129*EFEITO!$Y$129</f>
        <v>12579.814377853305</v>
      </c>
      <c r="K129" s="79">
        <f>EFEITO!$L$129*EFEITO!$Z$129</f>
        <v>0</v>
      </c>
      <c r="L129" s="79">
        <f>EFEITO!$N$129*EFEITO!$AA$129</f>
        <v>0</v>
      </c>
      <c r="M129" s="79">
        <f ca="1">$J$129-EFEITO!$K$129*EFEITO!$Y$129</f>
        <v>6289.9071889266525</v>
      </c>
      <c r="N129" s="79">
        <f>$K$129-EFEITO!$M$129*EFEITO!$Z$129</f>
        <v>0</v>
      </c>
      <c r="O129" s="79">
        <f>$L$129-EFEITO!$O$129*EFEITO!$AA$129</f>
        <v>0</v>
      </c>
      <c r="P129" s="18"/>
      <c r="Q129" s="18"/>
      <c r="R129" s="18"/>
      <c r="S129" s="18"/>
      <c r="T129" s="18"/>
      <c r="U129" s="18"/>
      <c r="V129" s="18"/>
      <c r="W129" s="18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70" t="s">
        <v>21</v>
      </c>
      <c r="B130" s="70" t="s">
        <v>35</v>
      </c>
      <c r="C130" s="70" t="s">
        <v>56</v>
      </c>
      <c r="D130" s="70" t="s">
        <v>25</v>
      </c>
      <c r="E130" s="70" t="s">
        <v>25</v>
      </c>
      <c r="F130" s="70" t="s">
        <v>25</v>
      </c>
      <c r="G130" s="70" t="s">
        <v>62</v>
      </c>
      <c r="H130" s="70" t="s">
        <v>25</v>
      </c>
      <c r="I130" s="78">
        <v>44378</v>
      </c>
      <c r="J130" s="79">
        <f ca="1">EFEITO!$J$130*EFEITO!$Y$130</f>
        <v>20643.797953400295</v>
      </c>
      <c r="K130" s="79">
        <f>EFEITO!$L$130*EFEITO!$Z$130</f>
        <v>0</v>
      </c>
      <c r="L130" s="79">
        <f>EFEITO!$N$130*EFEITO!$AA$130</f>
        <v>0</v>
      </c>
      <c r="M130" s="79">
        <f ca="1">$J$130-EFEITO!$K$130*EFEITO!$Y$130</f>
        <v>10321.898976700148</v>
      </c>
      <c r="N130" s="79">
        <f>$K$130-EFEITO!$M$130*EFEITO!$Z$130</f>
        <v>0</v>
      </c>
      <c r="O130" s="79">
        <f>$L$130-EFEITO!$O$130*EFEITO!$AA$130</f>
        <v>0</v>
      </c>
      <c r="P130" s="18"/>
      <c r="Q130" s="18"/>
      <c r="R130" s="18"/>
      <c r="S130" s="18"/>
      <c r="T130" s="18"/>
      <c r="U130" s="18"/>
      <c r="V130" s="18"/>
      <c r="W130" s="18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70" t="s">
        <v>21</v>
      </c>
      <c r="B131" s="70" t="s">
        <v>35</v>
      </c>
      <c r="C131" s="70" t="s">
        <v>56</v>
      </c>
      <c r="D131" s="70" t="s">
        <v>25</v>
      </c>
      <c r="E131" s="70" t="s">
        <v>25</v>
      </c>
      <c r="F131" s="70" t="s">
        <v>25</v>
      </c>
      <c r="G131" s="70" t="s">
        <v>63</v>
      </c>
      <c r="H131" s="70" t="s">
        <v>25</v>
      </c>
      <c r="I131" s="78">
        <v>44378</v>
      </c>
      <c r="J131" s="79">
        <f ca="1">EFEITO!$J$131*EFEITO!$Y$131</f>
        <v>39110.320341402905</v>
      </c>
      <c r="K131" s="79">
        <f>EFEITO!$L$131*EFEITO!$Z$131</f>
        <v>0</v>
      </c>
      <c r="L131" s="79">
        <f>EFEITO!$N$131*EFEITO!$AA$131</f>
        <v>0</v>
      </c>
      <c r="M131" s="79">
        <f ca="1">$J$131-EFEITO!$K$131*EFEITO!$Y$131</f>
        <v>19555.160170701452</v>
      </c>
      <c r="N131" s="79">
        <f>$K$131-EFEITO!$M$131*EFEITO!$Z$131</f>
        <v>0</v>
      </c>
      <c r="O131" s="79">
        <f>$L$131-EFEITO!$O$131*EFEITO!$AA$131</f>
        <v>0</v>
      </c>
      <c r="P131" s="18"/>
      <c r="Q131" s="18"/>
      <c r="R131" s="18"/>
      <c r="S131" s="18"/>
      <c r="T131" s="18"/>
      <c r="U131" s="18"/>
      <c r="V131" s="18"/>
      <c r="W131" s="18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70" t="s">
        <v>21</v>
      </c>
      <c r="B132" s="70" t="s">
        <v>35</v>
      </c>
      <c r="C132" s="70" t="s">
        <v>56</v>
      </c>
      <c r="D132" s="70" t="s">
        <v>25</v>
      </c>
      <c r="E132" s="70" t="s">
        <v>25</v>
      </c>
      <c r="F132" s="70" t="s">
        <v>25</v>
      </c>
      <c r="G132" s="70" t="s">
        <v>64</v>
      </c>
      <c r="H132" s="70" t="s">
        <v>25</v>
      </c>
      <c r="I132" s="78">
        <v>44378</v>
      </c>
      <c r="J132" s="79">
        <f ca="1">EFEITO!$J$132*EFEITO!$Y$132</f>
        <v>17740.763866203379</v>
      </c>
      <c r="K132" s="79">
        <f>EFEITO!$L$132*EFEITO!$Z$132</f>
        <v>0</v>
      </c>
      <c r="L132" s="79">
        <f>EFEITO!$N$132*EFEITO!$AA$132</f>
        <v>0</v>
      </c>
      <c r="M132" s="79">
        <f ca="1">$J$132-EFEITO!$K$132*EFEITO!$Y$132</f>
        <v>8870.3819331016894</v>
      </c>
      <c r="N132" s="79">
        <f>$K$132-EFEITO!$M$132*EFEITO!$Z$132</f>
        <v>0</v>
      </c>
      <c r="O132" s="79">
        <f>$L$132-EFEITO!$O$132*EFEITO!$AA$132</f>
        <v>0</v>
      </c>
      <c r="P132" s="18"/>
      <c r="Q132" s="18"/>
      <c r="R132" s="18"/>
      <c r="S132" s="18"/>
      <c r="T132" s="18"/>
      <c r="U132" s="18"/>
      <c r="V132" s="18"/>
      <c r="W132" s="18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70" t="s">
        <v>21</v>
      </c>
      <c r="B133" s="70" t="s">
        <v>35</v>
      </c>
      <c r="C133" s="70" t="s">
        <v>56</v>
      </c>
      <c r="D133" s="70" t="s">
        <v>25</v>
      </c>
      <c r="E133" s="70" t="s">
        <v>25</v>
      </c>
      <c r="F133" s="70" t="s">
        <v>25</v>
      </c>
      <c r="G133" s="70" t="s">
        <v>57</v>
      </c>
      <c r="H133" s="70" t="s">
        <v>25</v>
      </c>
      <c r="I133" s="78">
        <v>44409</v>
      </c>
      <c r="J133" s="79">
        <f ca="1">EFEITO!$J$133*EFEITO!$Y$133</f>
        <v>11370.216841521256</v>
      </c>
      <c r="K133" s="79">
        <f>EFEITO!$L$133*EFEITO!$Z$133</f>
        <v>0</v>
      </c>
      <c r="L133" s="79">
        <f>EFEITO!$N$133*EFEITO!$AA$133</f>
        <v>0</v>
      </c>
      <c r="M133" s="79">
        <f ca="1">$J$133-EFEITO!$K$133*EFEITO!$Y$133</f>
        <v>5685.1084207606282</v>
      </c>
      <c r="N133" s="79">
        <f>$K$133-EFEITO!$M$133*EFEITO!$Z$133</f>
        <v>0</v>
      </c>
      <c r="O133" s="79">
        <f>$L$133-EFEITO!$O$133*EFEITO!$AA$133</f>
        <v>0</v>
      </c>
      <c r="P133" s="18"/>
      <c r="Q133" s="18"/>
      <c r="R133" s="18"/>
      <c r="S133" s="18"/>
      <c r="T133" s="18"/>
      <c r="U133" s="18"/>
      <c r="V133" s="18"/>
      <c r="W133" s="18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70" t="s">
        <v>21</v>
      </c>
      <c r="B134" s="70" t="s">
        <v>35</v>
      </c>
      <c r="C134" s="70" t="s">
        <v>56</v>
      </c>
      <c r="D134" s="70" t="s">
        <v>25</v>
      </c>
      <c r="E134" s="70" t="s">
        <v>25</v>
      </c>
      <c r="F134" s="70" t="s">
        <v>25</v>
      </c>
      <c r="G134" s="70" t="s">
        <v>59</v>
      </c>
      <c r="H134" s="70" t="s">
        <v>25</v>
      </c>
      <c r="I134" s="78">
        <v>44409</v>
      </c>
      <c r="J134" s="79">
        <f ca="1">EFEITO!$J$134*EFEITO!$Y$134</f>
        <v>59673.478459047728</v>
      </c>
      <c r="K134" s="79">
        <f>EFEITO!$L$134*EFEITO!$Z$134</f>
        <v>0</v>
      </c>
      <c r="L134" s="79">
        <f>EFEITO!$N$134*EFEITO!$AA$134</f>
        <v>0</v>
      </c>
      <c r="M134" s="79">
        <f ca="1">$J$134-EFEITO!$K$134*EFEITO!$Y$134</f>
        <v>29836.739229523864</v>
      </c>
      <c r="N134" s="79">
        <f>$K$134-EFEITO!$M$134*EFEITO!$Z$134</f>
        <v>0</v>
      </c>
      <c r="O134" s="79">
        <f>$L$134-EFEITO!$O$134*EFEITO!$AA$134</f>
        <v>0</v>
      </c>
      <c r="P134" s="18"/>
      <c r="Q134" s="18"/>
      <c r="R134" s="18"/>
      <c r="S134" s="18"/>
      <c r="T134" s="18"/>
      <c r="U134" s="18"/>
      <c r="V134" s="18"/>
      <c r="W134" s="18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70" t="s">
        <v>21</v>
      </c>
      <c r="B135" s="70" t="s">
        <v>35</v>
      </c>
      <c r="C135" s="70" t="s">
        <v>56</v>
      </c>
      <c r="D135" s="70" t="s">
        <v>25</v>
      </c>
      <c r="E135" s="70" t="s">
        <v>25</v>
      </c>
      <c r="F135" s="70" t="s">
        <v>25</v>
      </c>
      <c r="G135" s="70" t="s">
        <v>60</v>
      </c>
      <c r="H135" s="70" t="s">
        <v>25</v>
      </c>
      <c r="I135" s="78">
        <v>44409</v>
      </c>
      <c r="J135" s="79">
        <f ca="1">EFEITO!$J$135*EFEITO!$Y$135</f>
        <v>14192.611092962703</v>
      </c>
      <c r="K135" s="79">
        <f>EFEITO!$L$135*EFEITO!$Z$135</f>
        <v>0</v>
      </c>
      <c r="L135" s="79">
        <f>EFEITO!$N$135*EFEITO!$AA$135</f>
        <v>0</v>
      </c>
      <c r="M135" s="79">
        <f ca="1">$J$135-EFEITO!$K$135*EFEITO!$Y$135</f>
        <v>7096.3055464813515</v>
      </c>
      <c r="N135" s="79">
        <f>$K$135-EFEITO!$M$135*EFEITO!$Z$135</f>
        <v>0</v>
      </c>
      <c r="O135" s="79">
        <f>$L$135-EFEITO!$O$135*EFEITO!$AA$135</f>
        <v>0</v>
      </c>
      <c r="P135" s="18"/>
      <c r="Q135" s="18"/>
      <c r="R135" s="18"/>
      <c r="S135" s="18"/>
      <c r="T135" s="18"/>
      <c r="U135" s="18"/>
      <c r="V135" s="18"/>
      <c r="W135" s="18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70" t="s">
        <v>21</v>
      </c>
      <c r="B136" s="70" t="s">
        <v>35</v>
      </c>
      <c r="C136" s="70" t="s">
        <v>56</v>
      </c>
      <c r="D136" s="70" t="s">
        <v>25</v>
      </c>
      <c r="E136" s="70" t="s">
        <v>25</v>
      </c>
      <c r="F136" s="70" t="s">
        <v>25</v>
      </c>
      <c r="G136" s="70" t="s">
        <v>61</v>
      </c>
      <c r="H136" s="70" t="s">
        <v>25</v>
      </c>
      <c r="I136" s="78">
        <v>44409</v>
      </c>
      <c r="J136" s="79">
        <f ca="1">EFEITO!$J$136*EFEITO!$Y$136</f>
        <v>12579.814377853305</v>
      </c>
      <c r="K136" s="79">
        <f>EFEITO!$L$136*EFEITO!$Z$136</f>
        <v>0</v>
      </c>
      <c r="L136" s="79">
        <f>EFEITO!$N$136*EFEITO!$AA$136</f>
        <v>0</v>
      </c>
      <c r="M136" s="79">
        <f ca="1">$J$136-EFEITO!$K$136*EFEITO!$Y$136</f>
        <v>6289.9071889266525</v>
      </c>
      <c r="N136" s="79">
        <f>$K$136-EFEITO!$M$136*EFEITO!$Z$136</f>
        <v>0</v>
      </c>
      <c r="O136" s="79">
        <f>$L$136-EFEITO!$O$136*EFEITO!$AA$136</f>
        <v>0</v>
      </c>
      <c r="P136" s="18"/>
      <c r="Q136" s="18"/>
      <c r="R136" s="18"/>
      <c r="S136" s="18"/>
      <c r="T136" s="18"/>
      <c r="U136" s="18"/>
      <c r="V136" s="18"/>
      <c r="W136" s="18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70" t="s">
        <v>21</v>
      </c>
      <c r="B137" s="70" t="s">
        <v>35</v>
      </c>
      <c r="C137" s="70" t="s">
        <v>56</v>
      </c>
      <c r="D137" s="70" t="s">
        <v>25</v>
      </c>
      <c r="E137" s="70" t="s">
        <v>25</v>
      </c>
      <c r="F137" s="70" t="s">
        <v>25</v>
      </c>
      <c r="G137" s="70" t="s">
        <v>62</v>
      </c>
      <c r="H137" s="70" t="s">
        <v>25</v>
      </c>
      <c r="I137" s="78">
        <v>44409</v>
      </c>
      <c r="J137" s="79">
        <f ca="1">EFEITO!$J$137*EFEITO!$Y$137</f>
        <v>20643.797953400295</v>
      </c>
      <c r="K137" s="79">
        <f>EFEITO!$L$137*EFEITO!$Z$137</f>
        <v>0</v>
      </c>
      <c r="L137" s="79">
        <f>EFEITO!$N$137*EFEITO!$AA$137</f>
        <v>0</v>
      </c>
      <c r="M137" s="79">
        <f ca="1">$J$137-EFEITO!$K$137*EFEITO!$Y$137</f>
        <v>10321.898976700148</v>
      </c>
      <c r="N137" s="79">
        <f>$K$137-EFEITO!$M$137*EFEITO!$Z$137</f>
        <v>0</v>
      </c>
      <c r="O137" s="79">
        <f>$L$137-EFEITO!$O$137*EFEITO!$AA$137</f>
        <v>0</v>
      </c>
      <c r="P137" s="18"/>
      <c r="Q137" s="18"/>
      <c r="R137" s="18"/>
      <c r="S137" s="18"/>
      <c r="T137" s="18"/>
      <c r="U137" s="18"/>
      <c r="V137" s="18"/>
      <c r="W137" s="18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70" t="s">
        <v>21</v>
      </c>
      <c r="B138" s="70" t="s">
        <v>35</v>
      </c>
      <c r="C138" s="70" t="s">
        <v>56</v>
      </c>
      <c r="D138" s="70" t="s">
        <v>25</v>
      </c>
      <c r="E138" s="70" t="s">
        <v>25</v>
      </c>
      <c r="F138" s="70" t="s">
        <v>25</v>
      </c>
      <c r="G138" s="70" t="s">
        <v>63</v>
      </c>
      <c r="H138" s="70" t="s">
        <v>25</v>
      </c>
      <c r="I138" s="78">
        <v>44409</v>
      </c>
      <c r="J138" s="79">
        <f ca="1">EFEITO!$J$138*EFEITO!$Y$138</f>
        <v>39110.320341402905</v>
      </c>
      <c r="K138" s="79">
        <f>EFEITO!$L$138*EFEITO!$Z$138</f>
        <v>0</v>
      </c>
      <c r="L138" s="79">
        <f>EFEITO!$N$138*EFEITO!$AA$138</f>
        <v>0</v>
      </c>
      <c r="M138" s="79">
        <f ca="1">$J$138-EFEITO!$K$138*EFEITO!$Y$138</f>
        <v>19555.160170701452</v>
      </c>
      <c r="N138" s="79">
        <f>$K$138-EFEITO!$M$138*EFEITO!$Z$138</f>
        <v>0</v>
      </c>
      <c r="O138" s="79">
        <f>$L$138-EFEITO!$O$138*EFEITO!$AA$138</f>
        <v>0</v>
      </c>
      <c r="P138" s="18"/>
      <c r="Q138" s="18"/>
      <c r="R138" s="18"/>
      <c r="S138" s="18"/>
      <c r="T138" s="18"/>
      <c r="U138" s="18"/>
      <c r="V138" s="18"/>
      <c r="W138" s="18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70" t="s">
        <v>21</v>
      </c>
      <c r="B139" s="70" t="s">
        <v>35</v>
      </c>
      <c r="C139" s="70" t="s">
        <v>56</v>
      </c>
      <c r="D139" s="70" t="s">
        <v>25</v>
      </c>
      <c r="E139" s="70" t="s">
        <v>25</v>
      </c>
      <c r="F139" s="70" t="s">
        <v>25</v>
      </c>
      <c r="G139" s="70" t="s">
        <v>64</v>
      </c>
      <c r="H139" s="70" t="s">
        <v>25</v>
      </c>
      <c r="I139" s="78">
        <v>44409</v>
      </c>
      <c r="J139" s="79">
        <f ca="1">EFEITO!$J$139*EFEITO!$Y$139</f>
        <v>17740.763866203379</v>
      </c>
      <c r="K139" s="79">
        <f>EFEITO!$L$139*EFEITO!$Z$139</f>
        <v>0</v>
      </c>
      <c r="L139" s="79">
        <f>EFEITO!$N$139*EFEITO!$AA$139</f>
        <v>0</v>
      </c>
      <c r="M139" s="79">
        <f ca="1">$J$139-EFEITO!$K$139*EFEITO!$Y$139</f>
        <v>8870.3819331016894</v>
      </c>
      <c r="N139" s="79">
        <f>$K$139-EFEITO!$M$139*EFEITO!$Z$139</f>
        <v>0</v>
      </c>
      <c r="O139" s="79">
        <f>$L$139-EFEITO!$O$139*EFEITO!$AA$139</f>
        <v>0</v>
      </c>
      <c r="P139" s="18"/>
      <c r="Q139" s="18"/>
      <c r="R139" s="18"/>
      <c r="S139" s="18"/>
      <c r="T139" s="18"/>
      <c r="U139" s="18"/>
      <c r="V139" s="18"/>
      <c r="W139" s="18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70" t="s">
        <v>21</v>
      </c>
      <c r="B140" s="70" t="s">
        <v>35</v>
      </c>
      <c r="C140" s="70" t="s">
        <v>56</v>
      </c>
      <c r="D140" s="70" t="s">
        <v>25</v>
      </c>
      <c r="E140" s="70" t="s">
        <v>25</v>
      </c>
      <c r="F140" s="70" t="s">
        <v>25</v>
      </c>
      <c r="G140" s="70" t="s">
        <v>57</v>
      </c>
      <c r="H140" s="70" t="s">
        <v>25</v>
      </c>
      <c r="I140" s="78">
        <v>44440</v>
      </c>
      <c r="J140" s="79">
        <f ca="1">EFEITO!$J$140*EFEITO!$Y$140</f>
        <v>11370.216841521256</v>
      </c>
      <c r="K140" s="79">
        <f>EFEITO!$L$140*EFEITO!$Z$140</f>
        <v>0</v>
      </c>
      <c r="L140" s="79">
        <f>EFEITO!$N$140*EFEITO!$AA$140</f>
        <v>0</v>
      </c>
      <c r="M140" s="79">
        <f ca="1">$J$140-EFEITO!$K$140*EFEITO!$Y$140</f>
        <v>5685.1084207606282</v>
      </c>
      <c r="N140" s="79">
        <f>$K$140-EFEITO!$M$140*EFEITO!$Z$140</f>
        <v>0</v>
      </c>
      <c r="O140" s="79">
        <f>$L$140-EFEITO!$O$140*EFEITO!$AA$140</f>
        <v>0</v>
      </c>
      <c r="P140" s="18"/>
      <c r="Q140" s="18"/>
      <c r="R140" s="18"/>
      <c r="S140" s="18"/>
      <c r="T140" s="18"/>
      <c r="U140" s="18"/>
      <c r="V140" s="18"/>
      <c r="W140" s="18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70" t="s">
        <v>21</v>
      </c>
      <c r="B141" s="70" t="s">
        <v>35</v>
      </c>
      <c r="C141" s="70" t="s">
        <v>56</v>
      </c>
      <c r="D141" s="70" t="s">
        <v>25</v>
      </c>
      <c r="E141" s="70" t="s">
        <v>25</v>
      </c>
      <c r="F141" s="70" t="s">
        <v>25</v>
      </c>
      <c r="G141" s="70" t="s">
        <v>59</v>
      </c>
      <c r="H141" s="70" t="s">
        <v>25</v>
      </c>
      <c r="I141" s="78">
        <v>44440</v>
      </c>
      <c r="J141" s="79">
        <f ca="1">EFEITO!$J$141*EFEITO!$Y$141</f>
        <v>59673.478459047728</v>
      </c>
      <c r="K141" s="79">
        <f>EFEITO!$L$141*EFEITO!$Z$141</f>
        <v>0</v>
      </c>
      <c r="L141" s="79">
        <f>EFEITO!$N$141*EFEITO!$AA$141</f>
        <v>0</v>
      </c>
      <c r="M141" s="79">
        <f ca="1">$J$141-EFEITO!$K$141*EFEITO!$Y$141</f>
        <v>29836.739229523864</v>
      </c>
      <c r="N141" s="79">
        <f>$K$141-EFEITO!$M$141*EFEITO!$Z$141</f>
        <v>0</v>
      </c>
      <c r="O141" s="79">
        <f>$L$141-EFEITO!$O$141*EFEITO!$AA$141</f>
        <v>0</v>
      </c>
      <c r="P141" s="18"/>
      <c r="Q141" s="18"/>
      <c r="R141" s="18"/>
      <c r="S141" s="18"/>
      <c r="T141" s="18"/>
      <c r="U141" s="18"/>
      <c r="V141" s="18"/>
      <c r="W141" s="18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70" t="s">
        <v>21</v>
      </c>
      <c r="B142" s="70" t="s">
        <v>35</v>
      </c>
      <c r="C142" s="70" t="s">
        <v>56</v>
      </c>
      <c r="D142" s="70" t="s">
        <v>25</v>
      </c>
      <c r="E142" s="70" t="s">
        <v>25</v>
      </c>
      <c r="F142" s="70" t="s">
        <v>25</v>
      </c>
      <c r="G142" s="70" t="s">
        <v>60</v>
      </c>
      <c r="H142" s="70" t="s">
        <v>25</v>
      </c>
      <c r="I142" s="78">
        <v>44440</v>
      </c>
      <c r="J142" s="79">
        <f ca="1">EFEITO!$J$142*EFEITO!$Y$142</f>
        <v>14192.611092962703</v>
      </c>
      <c r="K142" s="79">
        <f>EFEITO!$L$142*EFEITO!$Z$142</f>
        <v>0</v>
      </c>
      <c r="L142" s="79">
        <f>EFEITO!$N$142*EFEITO!$AA$142</f>
        <v>0</v>
      </c>
      <c r="M142" s="79">
        <f ca="1">$J$142-EFEITO!$K$142*EFEITO!$Y$142</f>
        <v>7096.3055464813515</v>
      </c>
      <c r="N142" s="79">
        <f>$K$142-EFEITO!$M$142*EFEITO!$Z$142</f>
        <v>0</v>
      </c>
      <c r="O142" s="79">
        <f>$L$142-EFEITO!$O$142*EFEITO!$AA$142</f>
        <v>0</v>
      </c>
      <c r="P142" s="18"/>
      <c r="Q142" s="18"/>
      <c r="R142" s="18"/>
      <c r="S142" s="18"/>
      <c r="T142" s="18"/>
      <c r="U142" s="18"/>
      <c r="V142" s="18"/>
      <c r="W142" s="18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70" t="s">
        <v>21</v>
      </c>
      <c r="B143" s="70" t="s">
        <v>35</v>
      </c>
      <c r="C143" s="70" t="s">
        <v>56</v>
      </c>
      <c r="D143" s="70" t="s">
        <v>25</v>
      </c>
      <c r="E143" s="70" t="s">
        <v>25</v>
      </c>
      <c r="F143" s="70" t="s">
        <v>25</v>
      </c>
      <c r="G143" s="70" t="s">
        <v>61</v>
      </c>
      <c r="H143" s="70" t="s">
        <v>25</v>
      </c>
      <c r="I143" s="78">
        <v>44440</v>
      </c>
      <c r="J143" s="79">
        <f ca="1">EFEITO!$J$143*EFEITO!$Y$143</f>
        <v>12579.814377853305</v>
      </c>
      <c r="K143" s="79">
        <f>EFEITO!$L$143*EFEITO!$Z$143</f>
        <v>0</v>
      </c>
      <c r="L143" s="79">
        <f>EFEITO!$N$143*EFEITO!$AA$143</f>
        <v>0</v>
      </c>
      <c r="M143" s="79">
        <f ca="1">$J$143-EFEITO!$K$143*EFEITO!$Y$143</f>
        <v>6289.9071889266525</v>
      </c>
      <c r="N143" s="79">
        <f>$K$143-EFEITO!$M$143*EFEITO!$Z$143</f>
        <v>0</v>
      </c>
      <c r="O143" s="79">
        <f>$L$143-EFEITO!$O$143*EFEITO!$AA$143</f>
        <v>0</v>
      </c>
      <c r="P143" s="18"/>
      <c r="Q143" s="18"/>
      <c r="R143" s="18"/>
      <c r="S143" s="18"/>
      <c r="T143" s="18"/>
      <c r="U143" s="18"/>
      <c r="V143" s="18"/>
      <c r="W143" s="18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70" t="s">
        <v>21</v>
      </c>
      <c r="B144" s="70" t="s">
        <v>35</v>
      </c>
      <c r="C144" s="70" t="s">
        <v>56</v>
      </c>
      <c r="D144" s="70" t="s">
        <v>25</v>
      </c>
      <c r="E144" s="70" t="s">
        <v>25</v>
      </c>
      <c r="F144" s="70" t="s">
        <v>25</v>
      </c>
      <c r="G144" s="70" t="s">
        <v>62</v>
      </c>
      <c r="H144" s="70" t="s">
        <v>25</v>
      </c>
      <c r="I144" s="78">
        <v>44440</v>
      </c>
      <c r="J144" s="79">
        <f ca="1">EFEITO!$J$144*EFEITO!$Y$144</f>
        <v>20643.797953400295</v>
      </c>
      <c r="K144" s="79">
        <f>EFEITO!$L$144*EFEITO!$Z$144</f>
        <v>0</v>
      </c>
      <c r="L144" s="79">
        <f>EFEITO!$N$144*EFEITO!$AA$144</f>
        <v>0</v>
      </c>
      <c r="M144" s="79">
        <f ca="1">$J$144-EFEITO!$K$144*EFEITO!$Y$144</f>
        <v>10321.898976700148</v>
      </c>
      <c r="N144" s="79">
        <f>$K$144-EFEITO!$M$144*EFEITO!$Z$144</f>
        <v>0</v>
      </c>
      <c r="O144" s="79">
        <f>$L$144-EFEITO!$O$144*EFEITO!$AA$144</f>
        <v>0</v>
      </c>
      <c r="P144" s="18"/>
      <c r="Q144" s="18"/>
      <c r="R144" s="18"/>
      <c r="S144" s="18"/>
      <c r="T144" s="18"/>
      <c r="U144" s="18"/>
      <c r="V144" s="18"/>
      <c r="W144" s="18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70" t="s">
        <v>21</v>
      </c>
      <c r="B145" s="70" t="s">
        <v>35</v>
      </c>
      <c r="C145" s="70" t="s">
        <v>56</v>
      </c>
      <c r="D145" s="70" t="s">
        <v>25</v>
      </c>
      <c r="E145" s="70" t="s">
        <v>25</v>
      </c>
      <c r="F145" s="70" t="s">
        <v>25</v>
      </c>
      <c r="G145" s="70" t="s">
        <v>63</v>
      </c>
      <c r="H145" s="70" t="s">
        <v>25</v>
      </c>
      <c r="I145" s="78">
        <v>44440</v>
      </c>
      <c r="J145" s="79">
        <f ca="1">EFEITO!$J$145*EFEITO!$Y$145</f>
        <v>39110.320341402905</v>
      </c>
      <c r="K145" s="79">
        <f>EFEITO!$L$145*EFEITO!$Z$145</f>
        <v>0</v>
      </c>
      <c r="L145" s="79">
        <f>EFEITO!$N$145*EFEITO!$AA$145</f>
        <v>0</v>
      </c>
      <c r="M145" s="79">
        <f ca="1">$J$145-EFEITO!$K$145*EFEITO!$Y$145</f>
        <v>19555.160170701452</v>
      </c>
      <c r="N145" s="79">
        <f>$K$145-EFEITO!$M$145*EFEITO!$Z$145</f>
        <v>0</v>
      </c>
      <c r="O145" s="79">
        <f>$L$145-EFEITO!$O$145*EFEITO!$AA$145</f>
        <v>0</v>
      </c>
      <c r="P145" s="18"/>
      <c r="Q145" s="18"/>
      <c r="R145" s="18"/>
      <c r="S145" s="18"/>
      <c r="T145" s="18"/>
      <c r="U145" s="18"/>
      <c r="V145" s="18"/>
      <c r="W145" s="18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70" t="s">
        <v>21</v>
      </c>
      <c r="B146" s="70" t="s">
        <v>35</v>
      </c>
      <c r="C146" s="70" t="s">
        <v>56</v>
      </c>
      <c r="D146" s="70" t="s">
        <v>25</v>
      </c>
      <c r="E146" s="70" t="s">
        <v>25</v>
      </c>
      <c r="F146" s="70" t="s">
        <v>25</v>
      </c>
      <c r="G146" s="70" t="s">
        <v>64</v>
      </c>
      <c r="H146" s="70" t="s">
        <v>25</v>
      </c>
      <c r="I146" s="78">
        <v>44440</v>
      </c>
      <c r="J146" s="79">
        <f ca="1">EFEITO!$J$146*EFEITO!$Y$146</f>
        <v>17740.763866203379</v>
      </c>
      <c r="K146" s="79">
        <f>EFEITO!$L$146*EFEITO!$Z$146</f>
        <v>0</v>
      </c>
      <c r="L146" s="79">
        <f>EFEITO!$N$146*EFEITO!$AA$146</f>
        <v>0</v>
      </c>
      <c r="M146" s="79">
        <f ca="1">$J$146-EFEITO!$K$146*EFEITO!$Y$146</f>
        <v>8870.3819331016894</v>
      </c>
      <c r="N146" s="79">
        <f>$K$146-EFEITO!$M$146*EFEITO!$Z$146</f>
        <v>0</v>
      </c>
      <c r="O146" s="79">
        <f>$L$146-EFEITO!$O$146*EFEITO!$AA$146</f>
        <v>0</v>
      </c>
      <c r="P146" s="18"/>
      <c r="Q146" s="18"/>
      <c r="R146" s="18"/>
      <c r="S146" s="18"/>
      <c r="T146" s="18"/>
      <c r="U146" s="18"/>
      <c r="V146" s="18"/>
      <c r="W146" s="18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70" t="s">
        <v>21</v>
      </c>
      <c r="B147" s="70" t="s">
        <v>35</v>
      </c>
      <c r="C147" s="70" t="s">
        <v>56</v>
      </c>
      <c r="D147" s="70" t="s">
        <v>25</v>
      </c>
      <c r="E147" s="70" t="s">
        <v>25</v>
      </c>
      <c r="F147" s="70" t="s">
        <v>25</v>
      </c>
      <c r="G147" s="70" t="s">
        <v>57</v>
      </c>
      <c r="H147" s="70" t="s">
        <v>25</v>
      </c>
      <c r="I147" s="78">
        <v>44470</v>
      </c>
      <c r="J147" s="79">
        <f ca="1">EFEITO!$J$147*EFEITO!$Y$147</f>
        <v>11370.216841521256</v>
      </c>
      <c r="K147" s="79">
        <f>EFEITO!$L$147*EFEITO!$Z$147</f>
        <v>0</v>
      </c>
      <c r="L147" s="79">
        <f>EFEITO!$N$147*EFEITO!$AA$147</f>
        <v>0</v>
      </c>
      <c r="M147" s="79">
        <f ca="1">$J$147-EFEITO!$K$147*EFEITO!$Y$147</f>
        <v>5685.1084207606282</v>
      </c>
      <c r="N147" s="79">
        <f>$K$147-EFEITO!$M$147*EFEITO!$Z$147</f>
        <v>0</v>
      </c>
      <c r="O147" s="79">
        <f>$L$147-EFEITO!$O$147*EFEITO!$AA$147</f>
        <v>0</v>
      </c>
      <c r="P147" s="18"/>
      <c r="Q147" s="18"/>
      <c r="R147" s="18"/>
      <c r="S147" s="18"/>
      <c r="T147" s="18"/>
      <c r="U147" s="18"/>
      <c r="V147" s="18"/>
      <c r="W147" s="18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70" t="s">
        <v>21</v>
      </c>
      <c r="B148" s="70" t="s">
        <v>35</v>
      </c>
      <c r="C148" s="70" t="s">
        <v>56</v>
      </c>
      <c r="D148" s="70" t="s">
        <v>25</v>
      </c>
      <c r="E148" s="70" t="s">
        <v>25</v>
      </c>
      <c r="F148" s="70" t="s">
        <v>25</v>
      </c>
      <c r="G148" s="70" t="s">
        <v>59</v>
      </c>
      <c r="H148" s="70" t="s">
        <v>25</v>
      </c>
      <c r="I148" s="78">
        <v>44470</v>
      </c>
      <c r="J148" s="79">
        <f ca="1">EFEITO!$J$148*EFEITO!$Y$148</f>
        <v>59673.478459047728</v>
      </c>
      <c r="K148" s="79">
        <f>EFEITO!$L$148*EFEITO!$Z$148</f>
        <v>0</v>
      </c>
      <c r="L148" s="79">
        <f>EFEITO!$N$148*EFEITO!$AA$148</f>
        <v>0</v>
      </c>
      <c r="M148" s="79">
        <f ca="1">$J$148-EFEITO!$K$148*EFEITO!$Y$148</f>
        <v>29836.739229523864</v>
      </c>
      <c r="N148" s="79">
        <f>$K$148-EFEITO!$M$148*EFEITO!$Z$148</f>
        <v>0</v>
      </c>
      <c r="O148" s="79">
        <f>$L$148-EFEITO!$O$148*EFEITO!$AA$148</f>
        <v>0</v>
      </c>
      <c r="P148" s="18"/>
      <c r="Q148" s="18"/>
      <c r="R148" s="18"/>
      <c r="S148" s="18"/>
      <c r="T148" s="18"/>
      <c r="U148" s="18"/>
      <c r="V148" s="18"/>
      <c r="W148" s="18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70" t="s">
        <v>21</v>
      </c>
      <c r="B149" s="70" t="s">
        <v>35</v>
      </c>
      <c r="C149" s="70" t="s">
        <v>56</v>
      </c>
      <c r="D149" s="70" t="s">
        <v>25</v>
      </c>
      <c r="E149" s="70" t="s">
        <v>25</v>
      </c>
      <c r="F149" s="70" t="s">
        <v>25</v>
      </c>
      <c r="G149" s="70" t="s">
        <v>60</v>
      </c>
      <c r="H149" s="70" t="s">
        <v>25</v>
      </c>
      <c r="I149" s="78">
        <v>44470</v>
      </c>
      <c r="J149" s="79">
        <f ca="1">EFEITO!$J$149*EFEITO!$Y$149</f>
        <v>14192.611092962703</v>
      </c>
      <c r="K149" s="79">
        <f>EFEITO!$L$149*EFEITO!$Z$149</f>
        <v>0</v>
      </c>
      <c r="L149" s="79">
        <f>EFEITO!$N$149*EFEITO!$AA$149</f>
        <v>0</v>
      </c>
      <c r="M149" s="79">
        <f ca="1">$J$149-EFEITO!$K$149*EFEITO!$Y$149</f>
        <v>7096.3055464813515</v>
      </c>
      <c r="N149" s="79">
        <f>$K$149-EFEITO!$M$149*EFEITO!$Z$149</f>
        <v>0</v>
      </c>
      <c r="O149" s="79">
        <f>$L$149-EFEITO!$O$149*EFEITO!$AA$149</f>
        <v>0</v>
      </c>
      <c r="P149" s="18"/>
      <c r="Q149" s="18"/>
      <c r="R149" s="18"/>
      <c r="S149" s="18"/>
      <c r="T149" s="18"/>
      <c r="U149" s="18"/>
      <c r="V149" s="18"/>
      <c r="W149" s="18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70" t="s">
        <v>21</v>
      </c>
      <c r="B150" s="70" t="s">
        <v>35</v>
      </c>
      <c r="C150" s="70" t="s">
        <v>56</v>
      </c>
      <c r="D150" s="70" t="s">
        <v>25</v>
      </c>
      <c r="E150" s="70" t="s">
        <v>25</v>
      </c>
      <c r="F150" s="70" t="s">
        <v>25</v>
      </c>
      <c r="G150" s="70" t="s">
        <v>61</v>
      </c>
      <c r="H150" s="70" t="s">
        <v>25</v>
      </c>
      <c r="I150" s="78">
        <v>44470</v>
      </c>
      <c r="J150" s="79">
        <f ca="1">EFEITO!$J$150*EFEITO!$Y$150</f>
        <v>12579.814377853305</v>
      </c>
      <c r="K150" s="79">
        <f>EFEITO!$L$150*EFEITO!$Z$150</f>
        <v>0</v>
      </c>
      <c r="L150" s="79">
        <f>EFEITO!$N$150*EFEITO!$AA$150</f>
        <v>0</v>
      </c>
      <c r="M150" s="79">
        <f ca="1">$J$150-EFEITO!$K$150*EFEITO!$Y$150</f>
        <v>6289.9071889266525</v>
      </c>
      <c r="N150" s="79">
        <f>$K$150-EFEITO!$M$150*EFEITO!$Z$150</f>
        <v>0</v>
      </c>
      <c r="O150" s="79">
        <f>$L$150-EFEITO!$O$150*EFEITO!$AA$150</f>
        <v>0</v>
      </c>
      <c r="P150" s="18"/>
      <c r="Q150" s="18"/>
      <c r="R150" s="18"/>
      <c r="S150" s="18"/>
      <c r="T150" s="18"/>
      <c r="U150" s="18"/>
      <c r="V150" s="18"/>
      <c r="W150" s="18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70" t="s">
        <v>21</v>
      </c>
      <c r="B151" s="70" t="s">
        <v>35</v>
      </c>
      <c r="C151" s="70" t="s">
        <v>56</v>
      </c>
      <c r="D151" s="70" t="s">
        <v>25</v>
      </c>
      <c r="E151" s="70" t="s">
        <v>25</v>
      </c>
      <c r="F151" s="70" t="s">
        <v>25</v>
      </c>
      <c r="G151" s="70" t="s">
        <v>62</v>
      </c>
      <c r="H151" s="70" t="s">
        <v>25</v>
      </c>
      <c r="I151" s="78">
        <v>44470</v>
      </c>
      <c r="J151" s="79">
        <f ca="1">EFEITO!$J$151*EFEITO!$Y$151</f>
        <v>20643.797953400295</v>
      </c>
      <c r="K151" s="79">
        <f>EFEITO!$L$151*EFEITO!$Z$151</f>
        <v>0</v>
      </c>
      <c r="L151" s="79">
        <f>EFEITO!$N$151*EFEITO!$AA$151</f>
        <v>0</v>
      </c>
      <c r="M151" s="79">
        <f ca="1">$J$151-EFEITO!$K$151*EFEITO!$Y$151</f>
        <v>10321.898976700148</v>
      </c>
      <c r="N151" s="79">
        <f>$K$151-EFEITO!$M$151*EFEITO!$Z$151</f>
        <v>0</v>
      </c>
      <c r="O151" s="79">
        <f>$L$151-EFEITO!$O$151*EFEITO!$AA$151</f>
        <v>0</v>
      </c>
      <c r="P151" s="18"/>
      <c r="Q151" s="18"/>
      <c r="R151" s="18"/>
      <c r="S151" s="18"/>
      <c r="T151" s="18"/>
      <c r="U151" s="18"/>
      <c r="V151" s="18"/>
      <c r="W151" s="18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70" t="s">
        <v>21</v>
      </c>
      <c r="B152" s="70" t="s">
        <v>35</v>
      </c>
      <c r="C152" s="70" t="s">
        <v>56</v>
      </c>
      <c r="D152" s="70" t="s">
        <v>25</v>
      </c>
      <c r="E152" s="70" t="s">
        <v>25</v>
      </c>
      <c r="F152" s="70" t="s">
        <v>25</v>
      </c>
      <c r="G152" s="70" t="s">
        <v>63</v>
      </c>
      <c r="H152" s="70" t="s">
        <v>25</v>
      </c>
      <c r="I152" s="78">
        <v>44470</v>
      </c>
      <c r="J152" s="79">
        <f ca="1">EFEITO!$J$152*EFEITO!$Y$152</f>
        <v>39110.320341402905</v>
      </c>
      <c r="K152" s="79">
        <f>EFEITO!$L$152*EFEITO!$Z$152</f>
        <v>0</v>
      </c>
      <c r="L152" s="79">
        <f>EFEITO!$N$152*EFEITO!$AA$152</f>
        <v>0</v>
      </c>
      <c r="M152" s="79">
        <f ca="1">$J$152-EFEITO!$K$152*EFEITO!$Y$152</f>
        <v>19555.160170701452</v>
      </c>
      <c r="N152" s="79">
        <f>$K$152-EFEITO!$M$152*EFEITO!$Z$152</f>
        <v>0</v>
      </c>
      <c r="O152" s="79">
        <f>$L$152-EFEITO!$O$152*EFEITO!$AA$152</f>
        <v>0</v>
      </c>
      <c r="P152" s="18"/>
      <c r="Q152" s="18"/>
      <c r="R152" s="18"/>
      <c r="S152" s="18"/>
      <c r="T152" s="18"/>
      <c r="U152" s="18"/>
      <c r="V152" s="18"/>
      <c r="W152" s="18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70" t="s">
        <v>21</v>
      </c>
      <c r="B153" s="70" t="s">
        <v>35</v>
      </c>
      <c r="C153" s="70" t="s">
        <v>56</v>
      </c>
      <c r="D153" s="70" t="s">
        <v>25</v>
      </c>
      <c r="E153" s="70" t="s">
        <v>25</v>
      </c>
      <c r="F153" s="70" t="s">
        <v>25</v>
      </c>
      <c r="G153" s="70" t="s">
        <v>64</v>
      </c>
      <c r="H153" s="70" t="s">
        <v>25</v>
      </c>
      <c r="I153" s="78">
        <v>44470</v>
      </c>
      <c r="J153" s="79">
        <f ca="1">EFEITO!$J$153*EFEITO!$Y$153</f>
        <v>17740.763866203379</v>
      </c>
      <c r="K153" s="79">
        <f>EFEITO!$L$153*EFEITO!$Z$153</f>
        <v>0</v>
      </c>
      <c r="L153" s="79">
        <f>EFEITO!$N$153*EFEITO!$AA$153</f>
        <v>0</v>
      </c>
      <c r="M153" s="79">
        <f ca="1">$J$153-EFEITO!$K$153*EFEITO!$Y$153</f>
        <v>8870.3819331016894</v>
      </c>
      <c r="N153" s="79">
        <f>$K$153-EFEITO!$M$153*EFEITO!$Z$153</f>
        <v>0</v>
      </c>
      <c r="O153" s="79">
        <f>$L$153-EFEITO!$O$153*EFEITO!$AA$153</f>
        <v>0</v>
      </c>
      <c r="P153" s="18"/>
      <c r="Q153" s="18"/>
      <c r="R153" s="18"/>
      <c r="S153" s="18"/>
      <c r="T153" s="18"/>
      <c r="U153" s="18"/>
      <c r="V153" s="18"/>
      <c r="W153" s="18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70" t="s">
        <v>21</v>
      </c>
      <c r="B154" s="70" t="s">
        <v>35</v>
      </c>
      <c r="C154" s="70" t="s">
        <v>56</v>
      </c>
      <c r="D154" s="70" t="s">
        <v>25</v>
      </c>
      <c r="E154" s="70" t="s">
        <v>25</v>
      </c>
      <c r="F154" s="70" t="s">
        <v>25</v>
      </c>
      <c r="G154" s="70" t="s">
        <v>57</v>
      </c>
      <c r="H154" s="70" t="s">
        <v>25</v>
      </c>
      <c r="I154" s="78">
        <v>44501</v>
      </c>
      <c r="J154" s="79">
        <f ca="1">EFEITO!$J$154*EFEITO!$Y$154</f>
        <v>11370.216841521256</v>
      </c>
      <c r="K154" s="79">
        <f>EFEITO!$L$154*EFEITO!$Z$154</f>
        <v>0</v>
      </c>
      <c r="L154" s="79">
        <f>EFEITO!$N$154*EFEITO!$AA$154</f>
        <v>0</v>
      </c>
      <c r="M154" s="79">
        <f ca="1">$J$154-EFEITO!$K$154*EFEITO!$Y$154</f>
        <v>5685.1084207606282</v>
      </c>
      <c r="N154" s="79">
        <f>$K$154-EFEITO!$M$154*EFEITO!$Z$154</f>
        <v>0</v>
      </c>
      <c r="O154" s="79">
        <f>$L$154-EFEITO!$O$154*EFEITO!$AA$154</f>
        <v>0</v>
      </c>
      <c r="P154" s="18"/>
      <c r="Q154" s="18"/>
      <c r="R154" s="18"/>
      <c r="S154" s="18"/>
      <c r="T154" s="18"/>
      <c r="U154" s="18"/>
      <c r="V154" s="18"/>
      <c r="W154" s="18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70" t="s">
        <v>21</v>
      </c>
      <c r="B155" s="70" t="s">
        <v>35</v>
      </c>
      <c r="C155" s="70" t="s">
        <v>56</v>
      </c>
      <c r="D155" s="70" t="s">
        <v>25</v>
      </c>
      <c r="E155" s="70" t="s">
        <v>25</v>
      </c>
      <c r="F155" s="70" t="s">
        <v>25</v>
      </c>
      <c r="G155" s="70" t="s">
        <v>59</v>
      </c>
      <c r="H155" s="70" t="s">
        <v>25</v>
      </c>
      <c r="I155" s="78">
        <v>44501</v>
      </c>
      <c r="J155" s="79">
        <f ca="1">EFEITO!$J$155*EFEITO!$Y$155</f>
        <v>59673.478459047728</v>
      </c>
      <c r="K155" s="79">
        <f>EFEITO!$L$155*EFEITO!$Z$155</f>
        <v>0</v>
      </c>
      <c r="L155" s="79">
        <f>EFEITO!$N$155*EFEITO!$AA$155</f>
        <v>0</v>
      </c>
      <c r="M155" s="79">
        <f ca="1">$J$155-EFEITO!$K$155*EFEITO!$Y$155</f>
        <v>29836.739229523864</v>
      </c>
      <c r="N155" s="79">
        <f>$K$155-EFEITO!$M$155*EFEITO!$Z$155</f>
        <v>0</v>
      </c>
      <c r="O155" s="79">
        <f>$L$155-EFEITO!$O$155*EFEITO!$AA$155</f>
        <v>0</v>
      </c>
      <c r="P155" s="18"/>
      <c r="Q155" s="18"/>
      <c r="R155" s="18"/>
      <c r="S155" s="18"/>
      <c r="T155" s="18"/>
      <c r="U155" s="18"/>
      <c r="V155" s="18"/>
      <c r="W155" s="18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70" t="s">
        <v>21</v>
      </c>
      <c r="B156" s="70" t="s">
        <v>35</v>
      </c>
      <c r="C156" s="70" t="s">
        <v>56</v>
      </c>
      <c r="D156" s="70" t="s">
        <v>25</v>
      </c>
      <c r="E156" s="70" t="s">
        <v>25</v>
      </c>
      <c r="F156" s="70" t="s">
        <v>25</v>
      </c>
      <c r="G156" s="70" t="s">
        <v>60</v>
      </c>
      <c r="H156" s="70" t="s">
        <v>25</v>
      </c>
      <c r="I156" s="78">
        <v>44501</v>
      </c>
      <c r="J156" s="79">
        <f ca="1">EFEITO!$J$156*EFEITO!$Y$156</f>
        <v>14192.611092962703</v>
      </c>
      <c r="K156" s="79">
        <f>EFEITO!$L$156*EFEITO!$Z$156</f>
        <v>0</v>
      </c>
      <c r="L156" s="79">
        <f>EFEITO!$N$156*EFEITO!$AA$156</f>
        <v>0</v>
      </c>
      <c r="M156" s="79">
        <f ca="1">$J$156-EFEITO!$K$156*EFEITO!$Y$156</f>
        <v>7096.3055464813515</v>
      </c>
      <c r="N156" s="79">
        <f>$K$156-EFEITO!$M$156*EFEITO!$Z$156</f>
        <v>0</v>
      </c>
      <c r="O156" s="79">
        <f>$L$156-EFEITO!$O$156*EFEITO!$AA$156</f>
        <v>0</v>
      </c>
      <c r="P156" s="18"/>
      <c r="Q156" s="18"/>
      <c r="R156" s="18"/>
      <c r="S156" s="18"/>
      <c r="T156" s="18"/>
      <c r="U156" s="18"/>
      <c r="V156" s="18"/>
      <c r="W156" s="18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70" t="s">
        <v>21</v>
      </c>
      <c r="B157" s="70" t="s">
        <v>35</v>
      </c>
      <c r="C157" s="70" t="s">
        <v>56</v>
      </c>
      <c r="D157" s="70" t="s">
        <v>25</v>
      </c>
      <c r="E157" s="70" t="s">
        <v>25</v>
      </c>
      <c r="F157" s="70" t="s">
        <v>25</v>
      </c>
      <c r="G157" s="70" t="s">
        <v>61</v>
      </c>
      <c r="H157" s="70" t="s">
        <v>25</v>
      </c>
      <c r="I157" s="78">
        <v>44501</v>
      </c>
      <c r="J157" s="79">
        <f ca="1">EFEITO!$J$157*EFEITO!$Y$157</f>
        <v>12579.814377853305</v>
      </c>
      <c r="K157" s="79">
        <f>EFEITO!$L$157*EFEITO!$Z$157</f>
        <v>0</v>
      </c>
      <c r="L157" s="79">
        <f>EFEITO!$N$157*EFEITO!$AA$157</f>
        <v>0</v>
      </c>
      <c r="M157" s="79">
        <f ca="1">$J$157-EFEITO!$K$157*EFEITO!$Y$157</f>
        <v>6289.9071889266525</v>
      </c>
      <c r="N157" s="79">
        <f>$K$157-EFEITO!$M$157*EFEITO!$Z$157</f>
        <v>0</v>
      </c>
      <c r="O157" s="79">
        <f>$L$157-EFEITO!$O$157*EFEITO!$AA$157</f>
        <v>0</v>
      </c>
      <c r="P157" s="18"/>
      <c r="Q157" s="18"/>
      <c r="R157" s="18"/>
      <c r="S157" s="18"/>
      <c r="T157" s="18"/>
      <c r="U157" s="18"/>
      <c r="V157" s="18"/>
      <c r="W157" s="18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70" t="s">
        <v>21</v>
      </c>
      <c r="B158" s="70" t="s">
        <v>35</v>
      </c>
      <c r="C158" s="70" t="s">
        <v>56</v>
      </c>
      <c r="D158" s="70" t="s">
        <v>25</v>
      </c>
      <c r="E158" s="70" t="s">
        <v>25</v>
      </c>
      <c r="F158" s="70" t="s">
        <v>25</v>
      </c>
      <c r="G158" s="70" t="s">
        <v>62</v>
      </c>
      <c r="H158" s="70" t="s">
        <v>25</v>
      </c>
      <c r="I158" s="78">
        <v>44501</v>
      </c>
      <c r="J158" s="79">
        <f ca="1">EFEITO!$J$158*EFEITO!$Y$158</f>
        <v>20643.797953400295</v>
      </c>
      <c r="K158" s="79">
        <f>EFEITO!$L$158*EFEITO!$Z$158</f>
        <v>0</v>
      </c>
      <c r="L158" s="79">
        <f>EFEITO!$N$158*EFEITO!$AA$158</f>
        <v>0</v>
      </c>
      <c r="M158" s="79">
        <f ca="1">$J$158-EFEITO!$K$158*EFEITO!$Y$158</f>
        <v>10321.898976700148</v>
      </c>
      <c r="N158" s="79">
        <f>$K$158-EFEITO!$M$158*EFEITO!$Z$158</f>
        <v>0</v>
      </c>
      <c r="O158" s="79">
        <f>$L$158-EFEITO!$O$158*EFEITO!$AA$158</f>
        <v>0</v>
      </c>
      <c r="P158" s="18"/>
      <c r="Q158" s="18"/>
      <c r="R158" s="18"/>
      <c r="S158" s="18"/>
      <c r="T158" s="18"/>
      <c r="U158" s="18"/>
      <c r="V158" s="18"/>
      <c r="W158" s="18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70" t="s">
        <v>21</v>
      </c>
      <c r="B159" s="70" t="s">
        <v>35</v>
      </c>
      <c r="C159" s="70" t="s">
        <v>56</v>
      </c>
      <c r="D159" s="70" t="s">
        <v>25</v>
      </c>
      <c r="E159" s="70" t="s">
        <v>25</v>
      </c>
      <c r="F159" s="70" t="s">
        <v>25</v>
      </c>
      <c r="G159" s="70" t="s">
        <v>63</v>
      </c>
      <c r="H159" s="70" t="s">
        <v>25</v>
      </c>
      <c r="I159" s="78">
        <v>44501</v>
      </c>
      <c r="J159" s="79">
        <f ca="1">EFEITO!$J$159*EFEITO!$Y$159</f>
        <v>39110.320341402905</v>
      </c>
      <c r="K159" s="79">
        <f>EFEITO!$L$159*EFEITO!$Z$159</f>
        <v>0</v>
      </c>
      <c r="L159" s="79">
        <f>EFEITO!$N$159*EFEITO!$AA$159</f>
        <v>0</v>
      </c>
      <c r="M159" s="79">
        <f ca="1">$J$159-EFEITO!$K$159*EFEITO!$Y$159</f>
        <v>19555.160170701452</v>
      </c>
      <c r="N159" s="79">
        <f>$K$159-EFEITO!$M$159*EFEITO!$Z$159</f>
        <v>0</v>
      </c>
      <c r="O159" s="79">
        <f>$L$159-EFEITO!$O$159*EFEITO!$AA$159</f>
        <v>0</v>
      </c>
      <c r="P159" s="18"/>
      <c r="Q159" s="18"/>
      <c r="R159" s="18"/>
      <c r="S159" s="18"/>
      <c r="T159" s="18"/>
      <c r="U159" s="18"/>
      <c r="V159" s="18"/>
      <c r="W159" s="18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70" t="s">
        <v>21</v>
      </c>
      <c r="B160" s="70" t="s">
        <v>35</v>
      </c>
      <c r="C160" s="70" t="s">
        <v>56</v>
      </c>
      <c r="D160" s="70" t="s">
        <v>25</v>
      </c>
      <c r="E160" s="70" t="s">
        <v>25</v>
      </c>
      <c r="F160" s="70" t="s">
        <v>25</v>
      </c>
      <c r="G160" s="70" t="s">
        <v>64</v>
      </c>
      <c r="H160" s="70" t="s">
        <v>25</v>
      </c>
      <c r="I160" s="78">
        <v>44501</v>
      </c>
      <c r="J160" s="79">
        <f ca="1">EFEITO!$J$160*EFEITO!$Y$160</f>
        <v>17740.763866203379</v>
      </c>
      <c r="K160" s="79">
        <f>EFEITO!$L$160*EFEITO!$Z$160</f>
        <v>0</v>
      </c>
      <c r="L160" s="79">
        <f>EFEITO!$N$160*EFEITO!$AA$160</f>
        <v>0</v>
      </c>
      <c r="M160" s="79">
        <f ca="1">$J$160-EFEITO!$K$160*EFEITO!$Y$160</f>
        <v>8870.3819331016894</v>
      </c>
      <c r="N160" s="79">
        <f>$K$160-EFEITO!$M$160*EFEITO!$Z$160</f>
        <v>0</v>
      </c>
      <c r="O160" s="79">
        <f>$L$160-EFEITO!$O$160*EFEITO!$AA$160</f>
        <v>0</v>
      </c>
      <c r="P160" s="18"/>
      <c r="Q160" s="18"/>
      <c r="R160" s="18"/>
      <c r="S160" s="18"/>
      <c r="T160" s="18"/>
      <c r="U160" s="18"/>
      <c r="V160" s="18"/>
      <c r="W160" s="18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70" t="s">
        <v>65</v>
      </c>
      <c r="B161" s="70" t="s">
        <v>35</v>
      </c>
      <c r="C161" s="70" t="s">
        <v>56</v>
      </c>
      <c r="D161" s="70" t="s">
        <v>25</v>
      </c>
      <c r="E161" s="70" t="s">
        <v>25</v>
      </c>
      <c r="F161" s="70" t="s">
        <v>25</v>
      </c>
      <c r="G161" s="70" t="s">
        <v>57</v>
      </c>
      <c r="H161" s="70" t="s">
        <v>25</v>
      </c>
      <c r="I161" s="78">
        <v>44531</v>
      </c>
      <c r="J161" s="79">
        <f ca="1">EFEITO!$J$161*EFEITO!$Y$161</f>
        <v>11370.216841521256</v>
      </c>
      <c r="K161" s="79">
        <f>EFEITO!$L$161*EFEITO!$Z$161</f>
        <v>0</v>
      </c>
      <c r="L161" s="79">
        <f>EFEITO!$N$161*EFEITO!$AA$161</f>
        <v>0</v>
      </c>
      <c r="M161" s="79">
        <f ca="1">$J$161-EFEITO!$K$161*EFEITO!$Y$161</f>
        <v>5685.1084207606282</v>
      </c>
      <c r="N161" s="79">
        <f>$K$161-EFEITO!$M$161*EFEITO!$Z$161</f>
        <v>0</v>
      </c>
      <c r="O161" s="79">
        <f>$L$161-EFEITO!$O$161*EFEITO!$AA$161</f>
        <v>0</v>
      </c>
      <c r="P161" s="18"/>
      <c r="Q161" s="18"/>
      <c r="R161" s="18"/>
      <c r="S161" s="18"/>
      <c r="T161" s="18"/>
      <c r="U161" s="18"/>
      <c r="V161" s="18"/>
      <c r="W161" s="18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70" t="s">
        <v>65</v>
      </c>
      <c r="B162" s="70" t="s">
        <v>35</v>
      </c>
      <c r="C162" s="70" t="s">
        <v>56</v>
      </c>
      <c r="D162" s="70" t="s">
        <v>25</v>
      </c>
      <c r="E162" s="70" t="s">
        <v>25</v>
      </c>
      <c r="F162" s="70" t="s">
        <v>25</v>
      </c>
      <c r="G162" s="70" t="s">
        <v>59</v>
      </c>
      <c r="H162" s="70" t="s">
        <v>25</v>
      </c>
      <c r="I162" s="78">
        <v>44531</v>
      </c>
      <c r="J162" s="79">
        <f ca="1">EFEITO!$J$162*EFEITO!$Y$162</f>
        <v>59673.478459047728</v>
      </c>
      <c r="K162" s="79">
        <f>EFEITO!$L$162*EFEITO!$Z$162</f>
        <v>0</v>
      </c>
      <c r="L162" s="79">
        <f>EFEITO!$N$162*EFEITO!$AA$162</f>
        <v>0</v>
      </c>
      <c r="M162" s="79">
        <f ca="1">$J$162-EFEITO!$K$162*EFEITO!$Y$162</f>
        <v>29836.739229523864</v>
      </c>
      <c r="N162" s="79">
        <f>$K$162-EFEITO!$M$162*EFEITO!$Z$162</f>
        <v>0</v>
      </c>
      <c r="O162" s="79">
        <f>$L$162-EFEITO!$O$162*EFEITO!$AA$162</f>
        <v>0</v>
      </c>
      <c r="P162" s="18"/>
      <c r="Q162" s="18"/>
      <c r="R162" s="18"/>
      <c r="S162" s="18"/>
      <c r="T162" s="18"/>
      <c r="U162" s="18"/>
      <c r="V162" s="18"/>
      <c r="W162" s="18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70" t="s">
        <v>65</v>
      </c>
      <c r="B163" s="70" t="s">
        <v>35</v>
      </c>
      <c r="C163" s="70" t="s">
        <v>56</v>
      </c>
      <c r="D163" s="70" t="s">
        <v>25</v>
      </c>
      <c r="E163" s="70" t="s">
        <v>25</v>
      </c>
      <c r="F163" s="70" t="s">
        <v>25</v>
      </c>
      <c r="G163" s="70" t="s">
        <v>60</v>
      </c>
      <c r="H163" s="70" t="s">
        <v>25</v>
      </c>
      <c r="I163" s="78">
        <v>44531</v>
      </c>
      <c r="J163" s="79">
        <f ca="1">EFEITO!$J$163*EFEITO!$Y$163</f>
        <v>14192.611092962703</v>
      </c>
      <c r="K163" s="79">
        <f>EFEITO!$L$163*EFEITO!$Z$163</f>
        <v>0</v>
      </c>
      <c r="L163" s="79">
        <f>EFEITO!$N$163*EFEITO!$AA$163</f>
        <v>0</v>
      </c>
      <c r="M163" s="79">
        <f ca="1">$J$163-EFEITO!$K$163*EFEITO!$Y$163</f>
        <v>7096.3055464813515</v>
      </c>
      <c r="N163" s="79">
        <f>$K$163-EFEITO!$M$163*EFEITO!$Z$163</f>
        <v>0</v>
      </c>
      <c r="O163" s="79">
        <f>$L$163-EFEITO!$O$163*EFEITO!$AA$163</f>
        <v>0</v>
      </c>
      <c r="P163" s="18"/>
      <c r="Q163" s="18"/>
      <c r="R163" s="18"/>
      <c r="S163" s="18"/>
      <c r="T163" s="18"/>
      <c r="U163" s="18"/>
      <c r="V163" s="18"/>
      <c r="W163" s="18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70" t="s">
        <v>65</v>
      </c>
      <c r="B164" s="70" t="s">
        <v>35</v>
      </c>
      <c r="C164" s="70" t="s">
        <v>56</v>
      </c>
      <c r="D164" s="70" t="s">
        <v>25</v>
      </c>
      <c r="E164" s="70" t="s">
        <v>25</v>
      </c>
      <c r="F164" s="70" t="s">
        <v>25</v>
      </c>
      <c r="G164" s="70" t="s">
        <v>61</v>
      </c>
      <c r="H164" s="70" t="s">
        <v>25</v>
      </c>
      <c r="I164" s="78">
        <v>44531</v>
      </c>
      <c r="J164" s="79">
        <f ca="1">EFEITO!$J$164*EFEITO!$Y$164</f>
        <v>12579.814377853305</v>
      </c>
      <c r="K164" s="79">
        <f>EFEITO!$L$164*EFEITO!$Z$164</f>
        <v>0</v>
      </c>
      <c r="L164" s="79">
        <f>EFEITO!$N$164*EFEITO!$AA$164</f>
        <v>0</v>
      </c>
      <c r="M164" s="79">
        <f ca="1">$J$164-EFEITO!$K$164*EFEITO!$Y$164</f>
        <v>6289.9071889266525</v>
      </c>
      <c r="N164" s="79">
        <f>$K$164-EFEITO!$M$164*EFEITO!$Z$164</f>
        <v>0</v>
      </c>
      <c r="O164" s="79">
        <f>$L$164-EFEITO!$O$164*EFEITO!$AA$164</f>
        <v>0</v>
      </c>
      <c r="P164" s="18"/>
      <c r="Q164" s="18"/>
      <c r="R164" s="18"/>
      <c r="S164" s="18"/>
      <c r="T164" s="18"/>
      <c r="U164" s="18"/>
      <c r="V164" s="18"/>
      <c r="W164" s="18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70" t="s">
        <v>65</v>
      </c>
      <c r="B165" s="70" t="s">
        <v>35</v>
      </c>
      <c r="C165" s="70" t="s">
        <v>56</v>
      </c>
      <c r="D165" s="70" t="s">
        <v>25</v>
      </c>
      <c r="E165" s="70" t="s">
        <v>25</v>
      </c>
      <c r="F165" s="70" t="s">
        <v>25</v>
      </c>
      <c r="G165" s="70" t="s">
        <v>62</v>
      </c>
      <c r="H165" s="70" t="s">
        <v>25</v>
      </c>
      <c r="I165" s="78">
        <v>44531</v>
      </c>
      <c r="J165" s="79">
        <f ca="1">EFEITO!$J$165*EFEITO!$Y$165</f>
        <v>20643.797953400295</v>
      </c>
      <c r="K165" s="79">
        <f>EFEITO!$L$165*EFEITO!$Z$165</f>
        <v>0</v>
      </c>
      <c r="L165" s="79">
        <f>EFEITO!$N$165*EFEITO!$AA$165</f>
        <v>0</v>
      </c>
      <c r="M165" s="79">
        <f ca="1">$J$165-EFEITO!$K$165*EFEITO!$Y$165</f>
        <v>10321.898976700148</v>
      </c>
      <c r="N165" s="79">
        <f>$K$165-EFEITO!$M$165*EFEITO!$Z$165</f>
        <v>0</v>
      </c>
      <c r="O165" s="79">
        <f>$L$165-EFEITO!$O$165*EFEITO!$AA$165</f>
        <v>0</v>
      </c>
      <c r="P165" s="18"/>
      <c r="Q165" s="18"/>
      <c r="R165" s="18"/>
      <c r="S165" s="18"/>
      <c r="T165" s="18"/>
      <c r="U165" s="18"/>
      <c r="V165" s="18"/>
      <c r="W165" s="18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70" t="s">
        <v>65</v>
      </c>
      <c r="B166" s="70" t="s">
        <v>35</v>
      </c>
      <c r="C166" s="70" t="s">
        <v>56</v>
      </c>
      <c r="D166" s="70" t="s">
        <v>25</v>
      </c>
      <c r="E166" s="70" t="s">
        <v>25</v>
      </c>
      <c r="F166" s="70" t="s">
        <v>25</v>
      </c>
      <c r="G166" s="70" t="s">
        <v>63</v>
      </c>
      <c r="H166" s="70" t="s">
        <v>25</v>
      </c>
      <c r="I166" s="78">
        <v>44531</v>
      </c>
      <c r="J166" s="79">
        <f ca="1">EFEITO!$J$166*EFEITO!$Y$166</f>
        <v>39110.320341402905</v>
      </c>
      <c r="K166" s="79">
        <f>EFEITO!$L$166*EFEITO!$Z$166</f>
        <v>0</v>
      </c>
      <c r="L166" s="79">
        <f>EFEITO!$N$166*EFEITO!$AA$166</f>
        <v>0</v>
      </c>
      <c r="M166" s="79">
        <f ca="1">$J$166-EFEITO!$K$166*EFEITO!$Y$166</f>
        <v>19555.160170701452</v>
      </c>
      <c r="N166" s="79">
        <f>$K$166-EFEITO!$M$166*EFEITO!$Z$166</f>
        <v>0</v>
      </c>
      <c r="O166" s="79">
        <f>$L$166-EFEITO!$O$166*EFEITO!$AA$166</f>
        <v>0</v>
      </c>
      <c r="P166" s="18"/>
      <c r="Q166" s="18"/>
      <c r="R166" s="18"/>
      <c r="S166" s="18"/>
      <c r="T166" s="18"/>
      <c r="U166" s="18"/>
      <c r="V166" s="18"/>
      <c r="W166" s="18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70" t="s">
        <v>65</v>
      </c>
      <c r="B167" s="70" t="s">
        <v>35</v>
      </c>
      <c r="C167" s="70" t="s">
        <v>56</v>
      </c>
      <c r="D167" s="70" t="s">
        <v>25</v>
      </c>
      <c r="E167" s="70" t="s">
        <v>25</v>
      </c>
      <c r="F167" s="70" t="s">
        <v>25</v>
      </c>
      <c r="G167" s="70" t="s">
        <v>64</v>
      </c>
      <c r="H167" s="70" t="s">
        <v>25</v>
      </c>
      <c r="I167" s="78">
        <v>44531</v>
      </c>
      <c r="J167" s="79">
        <f ca="1">EFEITO!$J$167*EFEITO!$Y$167</f>
        <v>17740.763866203379</v>
      </c>
      <c r="K167" s="79">
        <f>EFEITO!$L$167*EFEITO!$Z$167</f>
        <v>0</v>
      </c>
      <c r="L167" s="79">
        <f>EFEITO!$N$167*EFEITO!$AA$167</f>
        <v>0</v>
      </c>
      <c r="M167" s="79">
        <f ca="1">$J$167-EFEITO!$K$167*EFEITO!$Y$167</f>
        <v>8870.3819331016894</v>
      </c>
      <c r="N167" s="79">
        <f>$K$167-EFEITO!$M$167*EFEITO!$Z$167</f>
        <v>0</v>
      </c>
      <c r="O167" s="79">
        <f>$L$167-EFEITO!$O$167*EFEITO!$AA$167</f>
        <v>0</v>
      </c>
      <c r="P167" s="18"/>
      <c r="Q167" s="18"/>
      <c r="R167" s="18"/>
      <c r="S167" s="18"/>
      <c r="T167" s="18"/>
      <c r="U167" s="18"/>
      <c r="V167" s="18"/>
      <c r="W167" s="18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70" t="s">
        <v>21</v>
      </c>
      <c r="B168" s="70" t="s">
        <v>35</v>
      </c>
      <c r="C168" s="70" t="s">
        <v>56</v>
      </c>
      <c r="D168" s="70" t="s">
        <v>25</v>
      </c>
      <c r="E168" s="70" t="s">
        <v>25</v>
      </c>
      <c r="F168" s="70" t="s">
        <v>25</v>
      </c>
      <c r="G168" s="70" t="s">
        <v>57</v>
      </c>
      <c r="H168" s="70" t="s">
        <v>25</v>
      </c>
      <c r="I168" s="78">
        <v>44562</v>
      </c>
      <c r="J168" s="79">
        <f ca="1">EFEITO!$J$168*EFEITO!$Y$168</f>
        <v>11370.216841521256</v>
      </c>
      <c r="K168" s="79">
        <f>EFEITO!$L$168*EFEITO!$Z$168</f>
        <v>0</v>
      </c>
      <c r="L168" s="79">
        <f>EFEITO!$N$168*EFEITO!$AA$168</f>
        <v>0</v>
      </c>
      <c r="M168" s="79">
        <f ca="1">$J$168-EFEITO!$K$168*EFEITO!$Y$168</f>
        <v>5685.1084207606282</v>
      </c>
      <c r="N168" s="79">
        <f>$K$168-EFEITO!$M$168*EFEITO!$Z$168</f>
        <v>0</v>
      </c>
      <c r="O168" s="79">
        <f>$L$168-EFEITO!$O$168*EFEITO!$AA$168</f>
        <v>0</v>
      </c>
      <c r="P168" s="18"/>
      <c r="Q168" s="18"/>
      <c r="R168" s="18"/>
      <c r="S168" s="18"/>
      <c r="T168" s="18"/>
      <c r="U168" s="18"/>
      <c r="V168" s="18"/>
      <c r="W168" s="18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70" t="s">
        <v>21</v>
      </c>
      <c r="B169" s="70" t="s">
        <v>35</v>
      </c>
      <c r="C169" s="70" t="s">
        <v>56</v>
      </c>
      <c r="D169" s="70" t="s">
        <v>25</v>
      </c>
      <c r="E169" s="70" t="s">
        <v>25</v>
      </c>
      <c r="F169" s="70" t="s">
        <v>25</v>
      </c>
      <c r="G169" s="70" t="s">
        <v>59</v>
      </c>
      <c r="H169" s="70" t="s">
        <v>25</v>
      </c>
      <c r="I169" s="78">
        <v>44562</v>
      </c>
      <c r="J169" s="79">
        <f ca="1">EFEITO!$J$169*EFEITO!$Y$169</f>
        <v>59673.478459047728</v>
      </c>
      <c r="K169" s="79">
        <f>EFEITO!$L$169*EFEITO!$Z$169</f>
        <v>0</v>
      </c>
      <c r="L169" s="79">
        <f>EFEITO!$N$169*EFEITO!$AA$169</f>
        <v>0</v>
      </c>
      <c r="M169" s="79">
        <f ca="1">$J$169-EFEITO!$K$169*EFEITO!$Y$169</f>
        <v>29836.739229523864</v>
      </c>
      <c r="N169" s="79">
        <f>$K$169-EFEITO!$M$169*EFEITO!$Z$169</f>
        <v>0</v>
      </c>
      <c r="O169" s="79">
        <f>$L$169-EFEITO!$O$169*EFEITO!$AA$169</f>
        <v>0</v>
      </c>
      <c r="P169" s="18"/>
      <c r="Q169" s="18"/>
      <c r="R169" s="18"/>
      <c r="S169" s="18"/>
      <c r="T169" s="18"/>
      <c r="U169" s="18"/>
      <c r="V169" s="18"/>
      <c r="W169" s="18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70" t="s">
        <v>21</v>
      </c>
      <c r="B170" s="70" t="s">
        <v>35</v>
      </c>
      <c r="C170" s="70" t="s">
        <v>56</v>
      </c>
      <c r="D170" s="70" t="s">
        <v>25</v>
      </c>
      <c r="E170" s="70" t="s">
        <v>25</v>
      </c>
      <c r="F170" s="70" t="s">
        <v>25</v>
      </c>
      <c r="G170" s="70" t="s">
        <v>60</v>
      </c>
      <c r="H170" s="70" t="s">
        <v>25</v>
      </c>
      <c r="I170" s="78">
        <v>44562</v>
      </c>
      <c r="J170" s="79">
        <f ca="1">EFEITO!$J$170*EFEITO!$Y$170</f>
        <v>14192.611092962703</v>
      </c>
      <c r="K170" s="79">
        <f>EFEITO!$L$170*EFEITO!$Z$170</f>
        <v>0</v>
      </c>
      <c r="L170" s="79">
        <f>EFEITO!$N$170*EFEITO!$AA$170</f>
        <v>0</v>
      </c>
      <c r="M170" s="79">
        <f ca="1">$J$170-EFEITO!$K$170*EFEITO!$Y$170</f>
        <v>7096.3055464813515</v>
      </c>
      <c r="N170" s="79">
        <f>$K$170-EFEITO!$M$170*EFEITO!$Z$170</f>
        <v>0</v>
      </c>
      <c r="O170" s="79">
        <f>$L$170-EFEITO!$O$170*EFEITO!$AA$170</f>
        <v>0</v>
      </c>
      <c r="P170" s="18"/>
      <c r="Q170" s="18"/>
      <c r="R170" s="18"/>
      <c r="S170" s="18"/>
      <c r="T170" s="18"/>
      <c r="U170" s="18"/>
      <c r="V170" s="18"/>
      <c r="W170" s="18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70" t="s">
        <v>21</v>
      </c>
      <c r="B171" s="70" t="s">
        <v>35</v>
      </c>
      <c r="C171" s="70" t="s">
        <v>56</v>
      </c>
      <c r="D171" s="70" t="s">
        <v>25</v>
      </c>
      <c r="E171" s="70" t="s">
        <v>25</v>
      </c>
      <c r="F171" s="70" t="s">
        <v>25</v>
      </c>
      <c r="G171" s="70" t="s">
        <v>61</v>
      </c>
      <c r="H171" s="70" t="s">
        <v>25</v>
      </c>
      <c r="I171" s="78">
        <v>44562</v>
      </c>
      <c r="J171" s="79">
        <f ca="1">EFEITO!$J$171*EFEITO!$Y$171</f>
        <v>12579.814377853305</v>
      </c>
      <c r="K171" s="79">
        <f>EFEITO!$L$171*EFEITO!$Z$171</f>
        <v>0</v>
      </c>
      <c r="L171" s="79">
        <f>EFEITO!$N$171*EFEITO!$AA$171</f>
        <v>0</v>
      </c>
      <c r="M171" s="79">
        <f ca="1">$J$171-EFEITO!$K$171*EFEITO!$Y$171</f>
        <v>6289.9071889266525</v>
      </c>
      <c r="N171" s="79">
        <f>$K$171-EFEITO!$M$171*EFEITO!$Z$171</f>
        <v>0</v>
      </c>
      <c r="O171" s="79">
        <f>$L$171-EFEITO!$O$171*EFEITO!$AA$171</f>
        <v>0</v>
      </c>
      <c r="P171" s="18"/>
      <c r="Q171" s="18"/>
      <c r="R171" s="18"/>
      <c r="S171" s="18"/>
      <c r="T171" s="18"/>
      <c r="U171" s="18"/>
      <c r="V171" s="18"/>
      <c r="W171" s="18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70" t="s">
        <v>21</v>
      </c>
      <c r="B172" s="70" t="s">
        <v>35</v>
      </c>
      <c r="C172" s="70" t="s">
        <v>56</v>
      </c>
      <c r="D172" s="70" t="s">
        <v>25</v>
      </c>
      <c r="E172" s="70" t="s">
        <v>25</v>
      </c>
      <c r="F172" s="70" t="s">
        <v>25</v>
      </c>
      <c r="G172" s="70" t="s">
        <v>62</v>
      </c>
      <c r="H172" s="70" t="s">
        <v>25</v>
      </c>
      <c r="I172" s="78">
        <v>44562</v>
      </c>
      <c r="J172" s="79">
        <f ca="1">EFEITO!$J$172*EFEITO!$Y$172</f>
        <v>20643.797953400295</v>
      </c>
      <c r="K172" s="79">
        <f>EFEITO!$L$172*EFEITO!$Z$172</f>
        <v>0</v>
      </c>
      <c r="L172" s="79">
        <f>EFEITO!$N$172*EFEITO!$AA$172</f>
        <v>0</v>
      </c>
      <c r="M172" s="79">
        <f ca="1">$J$172-EFEITO!$K$172*EFEITO!$Y$172</f>
        <v>10321.898976700148</v>
      </c>
      <c r="N172" s="79">
        <f>$K$172-EFEITO!$M$172*EFEITO!$Z$172</f>
        <v>0</v>
      </c>
      <c r="O172" s="79">
        <f>$L$172-EFEITO!$O$172*EFEITO!$AA$172</f>
        <v>0</v>
      </c>
      <c r="P172" s="18"/>
      <c r="Q172" s="18"/>
      <c r="R172" s="18"/>
      <c r="S172" s="18"/>
      <c r="T172" s="18"/>
      <c r="U172" s="18"/>
      <c r="V172" s="18"/>
      <c r="W172" s="18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70" t="s">
        <v>21</v>
      </c>
      <c r="B173" s="70" t="s">
        <v>35</v>
      </c>
      <c r="C173" s="70" t="s">
        <v>56</v>
      </c>
      <c r="D173" s="70" t="s">
        <v>25</v>
      </c>
      <c r="E173" s="70" t="s">
        <v>25</v>
      </c>
      <c r="F173" s="70" t="s">
        <v>25</v>
      </c>
      <c r="G173" s="70" t="s">
        <v>63</v>
      </c>
      <c r="H173" s="70" t="s">
        <v>25</v>
      </c>
      <c r="I173" s="78">
        <v>44562</v>
      </c>
      <c r="J173" s="79">
        <f ca="1">EFEITO!$J$173*EFEITO!$Y$173</f>
        <v>39110.320341402905</v>
      </c>
      <c r="K173" s="79">
        <f>EFEITO!$L$173*EFEITO!$Z$173</f>
        <v>0</v>
      </c>
      <c r="L173" s="79">
        <f>EFEITO!$N$173*EFEITO!$AA$173</f>
        <v>0</v>
      </c>
      <c r="M173" s="79">
        <f ca="1">$J$173-EFEITO!$K$173*EFEITO!$Y$173</f>
        <v>19555.160170701452</v>
      </c>
      <c r="N173" s="79">
        <f>$K$173-EFEITO!$M$173*EFEITO!$Z$173</f>
        <v>0</v>
      </c>
      <c r="O173" s="79">
        <f>$L$173-EFEITO!$O$173*EFEITO!$AA$173</f>
        <v>0</v>
      </c>
      <c r="P173" s="18"/>
      <c r="Q173" s="18"/>
      <c r="R173" s="18"/>
      <c r="S173" s="18"/>
      <c r="T173" s="18"/>
      <c r="U173" s="18"/>
      <c r="V173" s="18"/>
      <c r="W173" s="18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70" t="s">
        <v>21</v>
      </c>
      <c r="B174" s="70" t="s">
        <v>35</v>
      </c>
      <c r="C174" s="70" t="s">
        <v>56</v>
      </c>
      <c r="D174" s="70" t="s">
        <v>25</v>
      </c>
      <c r="E174" s="70" t="s">
        <v>25</v>
      </c>
      <c r="F174" s="70" t="s">
        <v>25</v>
      </c>
      <c r="G174" s="70" t="s">
        <v>64</v>
      </c>
      <c r="H174" s="70" t="s">
        <v>25</v>
      </c>
      <c r="I174" s="78">
        <v>44562</v>
      </c>
      <c r="J174" s="79">
        <f ca="1">EFEITO!$J$174*EFEITO!$Y$174</f>
        <v>17740.763866203379</v>
      </c>
      <c r="K174" s="79">
        <f>EFEITO!$L$174*EFEITO!$Z$174</f>
        <v>0</v>
      </c>
      <c r="L174" s="79">
        <f>EFEITO!$N$174*EFEITO!$AA$174</f>
        <v>0</v>
      </c>
      <c r="M174" s="79">
        <f ca="1">$J$174-EFEITO!$K$174*EFEITO!$Y$174</f>
        <v>8870.3819331016894</v>
      </c>
      <c r="N174" s="79">
        <f>$K$174-EFEITO!$M$174*EFEITO!$Z$174</f>
        <v>0</v>
      </c>
      <c r="O174" s="79">
        <f>$L$174-EFEITO!$O$174*EFEITO!$AA$174</f>
        <v>0</v>
      </c>
      <c r="P174" s="18"/>
      <c r="Q174" s="18"/>
      <c r="R174" s="18"/>
      <c r="S174" s="18"/>
      <c r="T174" s="18"/>
      <c r="U174" s="18"/>
      <c r="V174" s="18"/>
      <c r="W174" s="18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70" t="s">
        <v>21</v>
      </c>
      <c r="B175" s="70" t="s">
        <v>35</v>
      </c>
      <c r="C175" s="70" t="s">
        <v>56</v>
      </c>
      <c r="D175" s="70" t="s">
        <v>25</v>
      </c>
      <c r="E175" s="70" t="s">
        <v>25</v>
      </c>
      <c r="F175" s="70" t="s">
        <v>25</v>
      </c>
      <c r="G175" s="70" t="s">
        <v>57</v>
      </c>
      <c r="H175" s="70" t="s">
        <v>25</v>
      </c>
      <c r="I175" s="78">
        <v>44593</v>
      </c>
      <c r="J175" s="79">
        <f ca="1">EFEITO!$J$175*EFEITO!$Y$175</f>
        <v>11370.216841521256</v>
      </c>
      <c r="K175" s="79">
        <f>EFEITO!$L$175*EFEITO!$Z$175</f>
        <v>0</v>
      </c>
      <c r="L175" s="79">
        <f>EFEITO!$N$175*EFEITO!$AA$175</f>
        <v>0</v>
      </c>
      <c r="M175" s="79">
        <f ca="1">$J$175-EFEITO!$K$175*EFEITO!$Y$175</f>
        <v>5685.1084207606282</v>
      </c>
      <c r="N175" s="79">
        <f>$K$175-EFEITO!$M$175*EFEITO!$Z$175</f>
        <v>0</v>
      </c>
      <c r="O175" s="79">
        <f>$L$175-EFEITO!$O$175*EFEITO!$AA$175</f>
        <v>0</v>
      </c>
      <c r="P175" s="18"/>
      <c r="Q175" s="18"/>
      <c r="R175" s="18"/>
      <c r="S175" s="18"/>
      <c r="T175" s="18"/>
      <c r="U175" s="18"/>
      <c r="V175" s="18"/>
      <c r="W175" s="18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70" t="s">
        <v>21</v>
      </c>
      <c r="B176" s="70" t="s">
        <v>35</v>
      </c>
      <c r="C176" s="70" t="s">
        <v>56</v>
      </c>
      <c r="D176" s="70" t="s">
        <v>25</v>
      </c>
      <c r="E176" s="70" t="s">
        <v>25</v>
      </c>
      <c r="F176" s="70" t="s">
        <v>25</v>
      </c>
      <c r="G176" s="70" t="s">
        <v>59</v>
      </c>
      <c r="H176" s="70" t="s">
        <v>25</v>
      </c>
      <c r="I176" s="78">
        <v>44593</v>
      </c>
      <c r="J176" s="79">
        <f ca="1">EFEITO!$J$176*EFEITO!$Y$176</f>
        <v>59673.478459047728</v>
      </c>
      <c r="K176" s="79">
        <f>EFEITO!$L$176*EFEITO!$Z$176</f>
        <v>0</v>
      </c>
      <c r="L176" s="79">
        <f>EFEITO!$N$176*EFEITO!$AA$176</f>
        <v>0</v>
      </c>
      <c r="M176" s="79">
        <f ca="1">$J$176-EFEITO!$K$176*EFEITO!$Y$176</f>
        <v>29836.739229523864</v>
      </c>
      <c r="N176" s="79">
        <f>$K$176-EFEITO!$M$176*EFEITO!$Z$176</f>
        <v>0</v>
      </c>
      <c r="O176" s="79">
        <f>$L$176-EFEITO!$O$176*EFEITO!$AA$176</f>
        <v>0</v>
      </c>
      <c r="P176" s="18"/>
      <c r="Q176" s="18"/>
      <c r="R176" s="18"/>
      <c r="S176" s="18"/>
      <c r="T176" s="18"/>
      <c r="U176" s="18"/>
      <c r="V176" s="18"/>
      <c r="W176" s="18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70" t="s">
        <v>21</v>
      </c>
      <c r="B177" s="70" t="s">
        <v>35</v>
      </c>
      <c r="C177" s="70" t="s">
        <v>56</v>
      </c>
      <c r="D177" s="70" t="s">
        <v>25</v>
      </c>
      <c r="E177" s="70" t="s">
        <v>25</v>
      </c>
      <c r="F177" s="70" t="s">
        <v>25</v>
      </c>
      <c r="G177" s="70" t="s">
        <v>60</v>
      </c>
      <c r="H177" s="70" t="s">
        <v>25</v>
      </c>
      <c r="I177" s="78">
        <v>44593</v>
      </c>
      <c r="J177" s="79">
        <f ca="1">EFEITO!$J$177*EFEITO!$Y$177</f>
        <v>14192.611092962703</v>
      </c>
      <c r="K177" s="79">
        <f>EFEITO!$L$177*EFEITO!$Z$177</f>
        <v>0</v>
      </c>
      <c r="L177" s="79">
        <f>EFEITO!$N$177*EFEITO!$AA$177</f>
        <v>0</v>
      </c>
      <c r="M177" s="79">
        <f ca="1">$J$177-EFEITO!$K$177*EFEITO!$Y$177</f>
        <v>7096.3055464813515</v>
      </c>
      <c r="N177" s="79">
        <f>$K$177-EFEITO!$M$177*EFEITO!$Z$177</f>
        <v>0</v>
      </c>
      <c r="O177" s="79">
        <f>$L$177-EFEITO!$O$177*EFEITO!$AA$177</f>
        <v>0</v>
      </c>
      <c r="P177" s="18"/>
      <c r="Q177" s="18"/>
      <c r="R177" s="18"/>
      <c r="S177" s="18"/>
      <c r="T177" s="18"/>
      <c r="U177" s="18"/>
      <c r="V177" s="18"/>
      <c r="W177" s="18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70" t="s">
        <v>21</v>
      </c>
      <c r="B178" s="70" t="s">
        <v>35</v>
      </c>
      <c r="C178" s="70" t="s">
        <v>56</v>
      </c>
      <c r="D178" s="70" t="s">
        <v>25</v>
      </c>
      <c r="E178" s="70" t="s">
        <v>25</v>
      </c>
      <c r="F178" s="70" t="s">
        <v>25</v>
      </c>
      <c r="G178" s="70" t="s">
        <v>61</v>
      </c>
      <c r="H178" s="70" t="s">
        <v>25</v>
      </c>
      <c r="I178" s="78">
        <v>44593</v>
      </c>
      <c r="J178" s="79">
        <f ca="1">EFEITO!$J$178*EFEITO!$Y$178</f>
        <v>12579.814377853305</v>
      </c>
      <c r="K178" s="79">
        <f>EFEITO!$L$178*EFEITO!$Z$178</f>
        <v>0</v>
      </c>
      <c r="L178" s="79">
        <f>EFEITO!$N$178*EFEITO!$AA$178</f>
        <v>0</v>
      </c>
      <c r="M178" s="79">
        <f ca="1">$J$178-EFEITO!$K$178*EFEITO!$Y$178</f>
        <v>6289.9071889266525</v>
      </c>
      <c r="N178" s="79">
        <f>$K$178-EFEITO!$M$178*EFEITO!$Z$178</f>
        <v>0</v>
      </c>
      <c r="O178" s="79">
        <f>$L$178-EFEITO!$O$178*EFEITO!$AA$178</f>
        <v>0</v>
      </c>
      <c r="P178" s="18"/>
      <c r="Q178" s="18"/>
      <c r="R178" s="18"/>
      <c r="S178" s="18"/>
      <c r="T178" s="18"/>
      <c r="U178" s="18"/>
      <c r="V178" s="18"/>
      <c r="W178" s="18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70" t="s">
        <v>21</v>
      </c>
      <c r="B179" s="70" t="s">
        <v>35</v>
      </c>
      <c r="C179" s="70" t="s">
        <v>56</v>
      </c>
      <c r="D179" s="70" t="s">
        <v>25</v>
      </c>
      <c r="E179" s="70" t="s">
        <v>25</v>
      </c>
      <c r="F179" s="70" t="s">
        <v>25</v>
      </c>
      <c r="G179" s="70" t="s">
        <v>62</v>
      </c>
      <c r="H179" s="70" t="s">
        <v>25</v>
      </c>
      <c r="I179" s="78">
        <v>44593</v>
      </c>
      <c r="J179" s="79">
        <f ca="1">EFEITO!$J$179*EFEITO!$Y$179</f>
        <v>20643.797953400295</v>
      </c>
      <c r="K179" s="79">
        <f>EFEITO!$L$179*EFEITO!$Z$179</f>
        <v>0</v>
      </c>
      <c r="L179" s="79">
        <f>EFEITO!$N$179*EFEITO!$AA$179</f>
        <v>0</v>
      </c>
      <c r="M179" s="79">
        <f ca="1">$J$179-EFEITO!$K$179*EFEITO!$Y$179</f>
        <v>10321.898976700148</v>
      </c>
      <c r="N179" s="79">
        <f>$K$179-EFEITO!$M$179*EFEITO!$Z$179</f>
        <v>0</v>
      </c>
      <c r="O179" s="79">
        <f>$L$179-EFEITO!$O$179*EFEITO!$AA$179</f>
        <v>0</v>
      </c>
      <c r="P179" s="18"/>
      <c r="Q179" s="18"/>
      <c r="R179" s="18"/>
      <c r="S179" s="18"/>
      <c r="T179" s="18"/>
      <c r="U179" s="18"/>
      <c r="V179" s="18"/>
      <c r="W179" s="18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70" t="s">
        <v>21</v>
      </c>
      <c r="B180" s="70" t="s">
        <v>35</v>
      </c>
      <c r="C180" s="70" t="s">
        <v>56</v>
      </c>
      <c r="D180" s="70" t="s">
        <v>25</v>
      </c>
      <c r="E180" s="70" t="s">
        <v>25</v>
      </c>
      <c r="F180" s="70" t="s">
        <v>25</v>
      </c>
      <c r="G180" s="70" t="s">
        <v>63</v>
      </c>
      <c r="H180" s="70" t="s">
        <v>25</v>
      </c>
      <c r="I180" s="78">
        <v>44593</v>
      </c>
      <c r="J180" s="79">
        <f ca="1">EFEITO!$J$180*EFEITO!$Y$180</f>
        <v>39110.320341402905</v>
      </c>
      <c r="K180" s="79">
        <f>EFEITO!$L$180*EFEITO!$Z$180</f>
        <v>0</v>
      </c>
      <c r="L180" s="79">
        <f>EFEITO!$N$180*EFEITO!$AA$180</f>
        <v>0</v>
      </c>
      <c r="M180" s="79">
        <f ca="1">$J$180-EFEITO!$K$180*EFEITO!$Y$180</f>
        <v>19555.160170701452</v>
      </c>
      <c r="N180" s="79">
        <f>$K$180-EFEITO!$M$180*EFEITO!$Z$180</f>
        <v>0</v>
      </c>
      <c r="O180" s="79">
        <f>$L$180-EFEITO!$O$180*EFEITO!$AA$180</f>
        <v>0</v>
      </c>
      <c r="P180" s="18"/>
      <c r="Q180" s="18"/>
      <c r="R180" s="18"/>
      <c r="S180" s="18"/>
      <c r="T180" s="18"/>
      <c r="U180" s="18"/>
      <c r="V180" s="18"/>
      <c r="W180" s="18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70" t="s">
        <v>21</v>
      </c>
      <c r="B181" s="70" t="s">
        <v>35</v>
      </c>
      <c r="C181" s="70" t="s">
        <v>56</v>
      </c>
      <c r="D181" s="70" t="s">
        <v>25</v>
      </c>
      <c r="E181" s="70" t="s">
        <v>25</v>
      </c>
      <c r="F181" s="70" t="s">
        <v>25</v>
      </c>
      <c r="G181" s="70" t="s">
        <v>64</v>
      </c>
      <c r="H181" s="70" t="s">
        <v>25</v>
      </c>
      <c r="I181" s="78">
        <v>44593</v>
      </c>
      <c r="J181" s="79">
        <f ca="1">EFEITO!$J$181*EFEITO!$Y$181</f>
        <v>17740.763866203379</v>
      </c>
      <c r="K181" s="79">
        <f>EFEITO!$L$181*EFEITO!$Z$181</f>
        <v>0</v>
      </c>
      <c r="L181" s="79">
        <f>EFEITO!$N$181*EFEITO!$AA$181</f>
        <v>0</v>
      </c>
      <c r="M181" s="79">
        <f ca="1">$J$181-EFEITO!$K$181*EFEITO!$Y$181</f>
        <v>8870.3819331016894</v>
      </c>
      <c r="N181" s="79">
        <f>$K$181-EFEITO!$M$181*EFEITO!$Z$181</f>
        <v>0</v>
      </c>
      <c r="O181" s="79">
        <f>$L$181-EFEITO!$O$181*EFEITO!$AA$181</f>
        <v>0</v>
      </c>
      <c r="P181" s="18"/>
      <c r="Q181" s="18"/>
      <c r="R181" s="18"/>
      <c r="S181" s="18"/>
      <c r="T181" s="18"/>
      <c r="U181" s="18"/>
      <c r="V181" s="18"/>
      <c r="W181" s="18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70" t="s">
        <v>21</v>
      </c>
      <c r="B182" s="70" t="s">
        <v>35</v>
      </c>
      <c r="C182" s="70" t="s">
        <v>56</v>
      </c>
      <c r="D182" s="70" t="s">
        <v>25</v>
      </c>
      <c r="E182" s="70" t="s">
        <v>25</v>
      </c>
      <c r="F182" s="70" t="s">
        <v>25</v>
      </c>
      <c r="G182" s="70" t="s">
        <v>57</v>
      </c>
      <c r="H182" s="70" t="s">
        <v>25</v>
      </c>
      <c r="I182" s="78">
        <v>44621</v>
      </c>
      <c r="J182" s="79">
        <f ca="1">EFEITO!$J$182*EFEITO!$Y$182</f>
        <v>11370.216841521256</v>
      </c>
      <c r="K182" s="79">
        <f>EFEITO!$L$182*EFEITO!$Z$182</f>
        <v>0</v>
      </c>
      <c r="L182" s="79">
        <f>EFEITO!$N$182*EFEITO!$AA$182</f>
        <v>0</v>
      </c>
      <c r="M182" s="79">
        <f ca="1">$J$182-EFEITO!$K$182*EFEITO!$Y$182</f>
        <v>5685.1084207606282</v>
      </c>
      <c r="N182" s="79">
        <f>$K$182-EFEITO!$M$182*EFEITO!$Z$182</f>
        <v>0</v>
      </c>
      <c r="O182" s="79">
        <f>$L$182-EFEITO!$O$182*EFEITO!$AA$182</f>
        <v>0</v>
      </c>
      <c r="P182" s="18"/>
      <c r="Q182" s="18"/>
      <c r="R182" s="18"/>
      <c r="S182" s="18"/>
      <c r="T182" s="18"/>
      <c r="U182" s="18"/>
      <c r="V182" s="18"/>
      <c r="W182" s="18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70" t="s">
        <v>21</v>
      </c>
      <c r="B183" s="70" t="s">
        <v>35</v>
      </c>
      <c r="C183" s="70" t="s">
        <v>56</v>
      </c>
      <c r="D183" s="70" t="s">
        <v>25</v>
      </c>
      <c r="E183" s="70" t="s">
        <v>25</v>
      </c>
      <c r="F183" s="70" t="s">
        <v>25</v>
      </c>
      <c r="G183" s="70" t="s">
        <v>59</v>
      </c>
      <c r="H183" s="70" t="s">
        <v>25</v>
      </c>
      <c r="I183" s="78">
        <v>44621</v>
      </c>
      <c r="J183" s="79">
        <f ca="1">EFEITO!$J$183*EFEITO!$Y$183</f>
        <v>59673.478459047728</v>
      </c>
      <c r="K183" s="79">
        <f>EFEITO!$L$183*EFEITO!$Z$183</f>
        <v>0</v>
      </c>
      <c r="L183" s="79">
        <f>EFEITO!$N$183*EFEITO!$AA$183</f>
        <v>0</v>
      </c>
      <c r="M183" s="79">
        <f ca="1">$J$183-EFEITO!$K$183*EFEITO!$Y$183</f>
        <v>29836.739229523864</v>
      </c>
      <c r="N183" s="79">
        <f>$K$183-EFEITO!$M$183*EFEITO!$Z$183</f>
        <v>0</v>
      </c>
      <c r="O183" s="79">
        <f>$L$183-EFEITO!$O$183*EFEITO!$AA$183</f>
        <v>0</v>
      </c>
      <c r="P183" s="18"/>
      <c r="Q183" s="18"/>
      <c r="R183" s="18"/>
      <c r="S183" s="18"/>
      <c r="T183" s="18"/>
      <c r="U183" s="18"/>
      <c r="V183" s="18"/>
      <c r="W183" s="18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70" t="s">
        <v>21</v>
      </c>
      <c r="B184" s="70" t="s">
        <v>35</v>
      </c>
      <c r="C184" s="70" t="s">
        <v>56</v>
      </c>
      <c r="D184" s="70" t="s">
        <v>25</v>
      </c>
      <c r="E184" s="70" t="s">
        <v>25</v>
      </c>
      <c r="F184" s="70" t="s">
        <v>25</v>
      </c>
      <c r="G184" s="70" t="s">
        <v>60</v>
      </c>
      <c r="H184" s="70" t="s">
        <v>25</v>
      </c>
      <c r="I184" s="78">
        <v>44621</v>
      </c>
      <c r="J184" s="79">
        <f ca="1">EFEITO!$J$184*EFEITO!$Y$184</f>
        <v>14192.611092962703</v>
      </c>
      <c r="K184" s="79">
        <f>EFEITO!$L$184*EFEITO!$Z$184</f>
        <v>0</v>
      </c>
      <c r="L184" s="79">
        <f>EFEITO!$N$184*EFEITO!$AA$184</f>
        <v>0</v>
      </c>
      <c r="M184" s="79">
        <f ca="1">$J$184-EFEITO!$K$184*EFEITO!$Y$184</f>
        <v>7096.3055464813515</v>
      </c>
      <c r="N184" s="79">
        <f>$K$184-EFEITO!$M$184*EFEITO!$Z$184</f>
        <v>0</v>
      </c>
      <c r="O184" s="79">
        <f>$L$184-EFEITO!$O$184*EFEITO!$AA$184</f>
        <v>0</v>
      </c>
      <c r="P184" s="18"/>
      <c r="Q184" s="18"/>
      <c r="R184" s="18"/>
      <c r="S184" s="18"/>
      <c r="T184" s="18"/>
      <c r="U184" s="18"/>
      <c r="V184" s="18"/>
      <c r="W184" s="18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70" t="s">
        <v>21</v>
      </c>
      <c r="B185" s="70" t="s">
        <v>35</v>
      </c>
      <c r="C185" s="70" t="s">
        <v>56</v>
      </c>
      <c r="D185" s="70" t="s">
        <v>25</v>
      </c>
      <c r="E185" s="70" t="s">
        <v>25</v>
      </c>
      <c r="F185" s="70" t="s">
        <v>25</v>
      </c>
      <c r="G185" s="70" t="s">
        <v>61</v>
      </c>
      <c r="H185" s="70" t="s">
        <v>25</v>
      </c>
      <c r="I185" s="78">
        <v>44621</v>
      </c>
      <c r="J185" s="79">
        <f ca="1">EFEITO!$J$185*EFEITO!$Y$185</f>
        <v>12579.814377853305</v>
      </c>
      <c r="K185" s="79">
        <f>EFEITO!$L$185*EFEITO!$Z$185</f>
        <v>0</v>
      </c>
      <c r="L185" s="79">
        <f>EFEITO!$N$185*EFEITO!$AA$185</f>
        <v>0</v>
      </c>
      <c r="M185" s="79">
        <f ca="1">$J$185-EFEITO!$K$185*EFEITO!$Y$185</f>
        <v>6289.9071889266525</v>
      </c>
      <c r="N185" s="79">
        <f>$K$185-EFEITO!$M$185*EFEITO!$Z$185</f>
        <v>0</v>
      </c>
      <c r="O185" s="79">
        <f>$L$185-EFEITO!$O$185*EFEITO!$AA$185</f>
        <v>0</v>
      </c>
      <c r="P185" s="18"/>
      <c r="Q185" s="18"/>
      <c r="R185" s="18"/>
      <c r="S185" s="18"/>
      <c r="T185" s="18"/>
      <c r="U185" s="18"/>
      <c r="V185" s="18"/>
      <c r="W185" s="18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70" t="s">
        <v>21</v>
      </c>
      <c r="B186" s="70" t="s">
        <v>35</v>
      </c>
      <c r="C186" s="70" t="s">
        <v>56</v>
      </c>
      <c r="D186" s="70" t="s">
        <v>25</v>
      </c>
      <c r="E186" s="70" t="s">
        <v>25</v>
      </c>
      <c r="F186" s="70" t="s">
        <v>25</v>
      </c>
      <c r="G186" s="70" t="s">
        <v>62</v>
      </c>
      <c r="H186" s="70" t="s">
        <v>25</v>
      </c>
      <c r="I186" s="78">
        <v>44621</v>
      </c>
      <c r="J186" s="79">
        <f ca="1">EFEITO!$J$186*EFEITO!$Y$186</f>
        <v>20643.797953400295</v>
      </c>
      <c r="K186" s="79">
        <f>EFEITO!$L$186*EFEITO!$Z$186</f>
        <v>0</v>
      </c>
      <c r="L186" s="79">
        <f>EFEITO!$N$186*EFEITO!$AA$186</f>
        <v>0</v>
      </c>
      <c r="M186" s="79">
        <f ca="1">$J$186-EFEITO!$K$186*EFEITO!$Y$186</f>
        <v>10321.898976700148</v>
      </c>
      <c r="N186" s="79">
        <f>$K$186-EFEITO!$M$186*EFEITO!$Z$186</f>
        <v>0</v>
      </c>
      <c r="O186" s="79">
        <f>$L$186-EFEITO!$O$186*EFEITO!$AA$186</f>
        <v>0</v>
      </c>
      <c r="P186" s="18"/>
      <c r="Q186" s="18"/>
      <c r="R186" s="18"/>
      <c r="S186" s="18"/>
      <c r="T186" s="18"/>
      <c r="U186" s="18"/>
      <c r="V186" s="18"/>
      <c r="W186" s="18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70" t="s">
        <v>21</v>
      </c>
      <c r="B187" s="70" t="s">
        <v>35</v>
      </c>
      <c r="C187" s="70" t="s">
        <v>56</v>
      </c>
      <c r="D187" s="70" t="s">
        <v>25</v>
      </c>
      <c r="E187" s="70" t="s">
        <v>25</v>
      </c>
      <c r="F187" s="70" t="s">
        <v>25</v>
      </c>
      <c r="G187" s="70" t="s">
        <v>63</v>
      </c>
      <c r="H187" s="70" t="s">
        <v>25</v>
      </c>
      <c r="I187" s="78">
        <v>44621</v>
      </c>
      <c r="J187" s="79">
        <f ca="1">EFEITO!$J$187*EFEITO!$Y$187</f>
        <v>39110.320341402905</v>
      </c>
      <c r="K187" s="79">
        <f>EFEITO!$L$187*EFEITO!$Z$187</f>
        <v>0</v>
      </c>
      <c r="L187" s="79">
        <f>EFEITO!$N$187*EFEITO!$AA$187</f>
        <v>0</v>
      </c>
      <c r="M187" s="79">
        <f ca="1">$J$187-EFEITO!$K$187*EFEITO!$Y$187</f>
        <v>19555.160170701452</v>
      </c>
      <c r="N187" s="79">
        <f>$K$187-EFEITO!$M$187*EFEITO!$Z$187</f>
        <v>0</v>
      </c>
      <c r="O187" s="79">
        <f>$L$187-EFEITO!$O$187*EFEITO!$AA$187</f>
        <v>0</v>
      </c>
      <c r="P187" s="18"/>
      <c r="Q187" s="18"/>
      <c r="R187" s="18"/>
      <c r="S187" s="18"/>
      <c r="T187" s="18"/>
      <c r="U187" s="18"/>
      <c r="V187" s="18"/>
      <c r="W187" s="18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70" t="s">
        <v>21</v>
      </c>
      <c r="B188" s="70" t="s">
        <v>35</v>
      </c>
      <c r="C188" s="70" t="s">
        <v>56</v>
      </c>
      <c r="D188" s="70" t="s">
        <v>25</v>
      </c>
      <c r="E188" s="70" t="s">
        <v>25</v>
      </c>
      <c r="F188" s="70" t="s">
        <v>25</v>
      </c>
      <c r="G188" s="70" t="s">
        <v>64</v>
      </c>
      <c r="H188" s="70" t="s">
        <v>25</v>
      </c>
      <c r="I188" s="78">
        <v>44621</v>
      </c>
      <c r="J188" s="79">
        <f ca="1">EFEITO!$J$188*EFEITO!$Y$188</f>
        <v>17740.763866203379</v>
      </c>
      <c r="K188" s="79">
        <f>EFEITO!$L$188*EFEITO!$Z$188</f>
        <v>0</v>
      </c>
      <c r="L188" s="79">
        <f>EFEITO!$N$188*EFEITO!$AA$188</f>
        <v>0</v>
      </c>
      <c r="M188" s="79">
        <f ca="1">$J$188-EFEITO!$K$188*EFEITO!$Y$188</f>
        <v>8870.3819331016894</v>
      </c>
      <c r="N188" s="79">
        <f>$K$188-EFEITO!$M$188*EFEITO!$Z$188</f>
        <v>0</v>
      </c>
      <c r="O188" s="79">
        <f>$L$188-EFEITO!$O$188*EFEITO!$AA$188</f>
        <v>0</v>
      </c>
      <c r="P188" s="18"/>
      <c r="Q188" s="18"/>
      <c r="R188" s="18"/>
      <c r="S188" s="18"/>
      <c r="T188" s="18"/>
      <c r="U188" s="18"/>
      <c r="V188" s="18"/>
      <c r="W188" s="18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70" t="s">
        <v>65</v>
      </c>
      <c r="B189" s="70" t="s">
        <v>35</v>
      </c>
      <c r="C189" s="70" t="s">
        <v>56</v>
      </c>
      <c r="D189" s="70" t="s">
        <v>25</v>
      </c>
      <c r="E189" s="70" t="s">
        <v>25</v>
      </c>
      <c r="F189" s="70" t="s">
        <v>25</v>
      </c>
      <c r="G189" s="70" t="s">
        <v>57</v>
      </c>
      <c r="H189" s="70" t="s">
        <v>25</v>
      </c>
      <c r="I189" s="78">
        <v>44652</v>
      </c>
      <c r="J189" s="79">
        <f ca="1">EFEITO!$J$189*EFEITO!$Y$189</f>
        <v>11370.216841521256</v>
      </c>
      <c r="K189" s="79">
        <f>EFEITO!$L$189*EFEITO!$Z$189</f>
        <v>0</v>
      </c>
      <c r="L189" s="79">
        <f>EFEITO!$N$189*EFEITO!$AA$189</f>
        <v>0</v>
      </c>
      <c r="M189" s="79">
        <f ca="1">$J$189-EFEITO!$K$189*EFEITO!$Y$189</f>
        <v>5685.1084207606282</v>
      </c>
      <c r="N189" s="79">
        <f>$K$189-EFEITO!$M$189*EFEITO!$Z$189</f>
        <v>0</v>
      </c>
      <c r="O189" s="79">
        <f>$L$189-EFEITO!$O$189*EFEITO!$AA$189</f>
        <v>0</v>
      </c>
      <c r="P189" s="18"/>
      <c r="Q189" s="18"/>
      <c r="R189" s="18"/>
      <c r="S189" s="18"/>
      <c r="T189" s="18"/>
      <c r="U189" s="18"/>
      <c r="V189" s="18"/>
      <c r="W189" s="18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70" t="s">
        <v>65</v>
      </c>
      <c r="B190" s="70" t="s">
        <v>35</v>
      </c>
      <c r="C190" s="70" t="s">
        <v>56</v>
      </c>
      <c r="D190" s="70" t="s">
        <v>25</v>
      </c>
      <c r="E190" s="70" t="s">
        <v>25</v>
      </c>
      <c r="F190" s="70" t="s">
        <v>25</v>
      </c>
      <c r="G190" s="70" t="s">
        <v>59</v>
      </c>
      <c r="H190" s="70" t="s">
        <v>25</v>
      </c>
      <c r="I190" s="78">
        <v>44652</v>
      </c>
      <c r="J190" s="79">
        <f ca="1">EFEITO!$J$190*EFEITO!$Y$190</f>
        <v>59673.478459047728</v>
      </c>
      <c r="K190" s="79">
        <f>EFEITO!$L$190*EFEITO!$Z$190</f>
        <v>0</v>
      </c>
      <c r="L190" s="79">
        <f>EFEITO!$N$190*EFEITO!$AA$190</f>
        <v>0</v>
      </c>
      <c r="M190" s="79">
        <f ca="1">$J$190-EFEITO!$K$190*EFEITO!$Y$190</f>
        <v>29836.739229523864</v>
      </c>
      <c r="N190" s="79">
        <f>$K$190-EFEITO!$M$190*EFEITO!$Z$190</f>
        <v>0</v>
      </c>
      <c r="O190" s="79">
        <f>$L$190-EFEITO!$O$190*EFEITO!$AA$190</f>
        <v>0</v>
      </c>
      <c r="P190" s="18"/>
      <c r="Q190" s="18"/>
      <c r="R190" s="18"/>
      <c r="S190" s="18"/>
      <c r="T190" s="18"/>
      <c r="U190" s="18"/>
      <c r="V190" s="18"/>
      <c r="W190" s="18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70" t="s">
        <v>65</v>
      </c>
      <c r="B191" s="70" t="s">
        <v>35</v>
      </c>
      <c r="C191" s="70" t="s">
        <v>56</v>
      </c>
      <c r="D191" s="70" t="s">
        <v>25</v>
      </c>
      <c r="E191" s="70" t="s">
        <v>25</v>
      </c>
      <c r="F191" s="70" t="s">
        <v>25</v>
      </c>
      <c r="G191" s="70" t="s">
        <v>60</v>
      </c>
      <c r="H191" s="70" t="s">
        <v>25</v>
      </c>
      <c r="I191" s="78">
        <v>44652</v>
      </c>
      <c r="J191" s="79">
        <f ca="1">EFEITO!$J$191*EFEITO!$Y$191</f>
        <v>14192.611092962703</v>
      </c>
      <c r="K191" s="79">
        <f>EFEITO!$L$191*EFEITO!$Z$191</f>
        <v>0</v>
      </c>
      <c r="L191" s="79">
        <f>EFEITO!$N$191*EFEITO!$AA$191</f>
        <v>0</v>
      </c>
      <c r="M191" s="79">
        <f ca="1">$J$191-EFEITO!$K$191*EFEITO!$Y$191</f>
        <v>7096.3055464813515</v>
      </c>
      <c r="N191" s="79">
        <f>$K$191-EFEITO!$M$191*EFEITO!$Z$191</f>
        <v>0</v>
      </c>
      <c r="O191" s="79">
        <f>$L$191-EFEITO!$O$191*EFEITO!$AA$191</f>
        <v>0</v>
      </c>
      <c r="P191" s="18"/>
      <c r="Q191" s="18"/>
      <c r="R191" s="18"/>
      <c r="S191" s="18"/>
      <c r="T191" s="18"/>
      <c r="U191" s="18"/>
      <c r="V191" s="18"/>
      <c r="W191" s="18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70" t="s">
        <v>65</v>
      </c>
      <c r="B192" s="70" t="s">
        <v>35</v>
      </c>
      <c r="C192" s="70" t="s">
        <v>56</v>
      </c>
      <c r="D192" s="70" t="s">
        <v>25</v>
      </c>
      <c r="E192" s="70" t="s">
        <v>25</v>
      </c>
      <c r="F192" s="70" t="s">
        <v>25</v>
      </c>
      <c r="G192" s="70" t="s">
        <v>61</v>
      </c>
      <c r="H192" s="70" t="s">
        <v>25</v>
      </c>
      <c r="I192" s="78">
        <v>44652</v>
      </c>
      <c r="J192" s="79">
        <f ca="1">EFEITO!$J$192*EFEITO!$Y$192</f>
        <v>12579.814377853305</v>
      </c>
      <c r="K192" s="79">
        <f>EFEITO!$L$192*EFEITO!$Z$192</f>
        <v>0</v>
      </c>
      <c r="L192" s="79">
        <f>EFEITO!$N$192*EFEITO!$AA$192</f>
        <v>0</v>
      </c>
      <c r="M192" s="79">
        <f ca="1">$J$192-EFEITO!$K$192*EFEITO!$Y$192</f>
        <v>6289.9071889266525</v>
      </c>
      <c r="N192" s="79">
        <f>$K$192-EFEITO!$M$192*EFEITO!$Z$192</f>
        <v>0</v>
      </c>
      <c r="O192" s="79">
        <f>$L$192-EFEITO!$O$192*EFEITO!$AA$192</f>
        <v>0</v>
      </c>
      <c r="P192" s="18"/>
      <c r="Q192" s="18"/>
      <c r="R192" s="18"/>
      <c r="S192" s="18"/>
      <c r="T192" s="18"/>
      <c r="U192" s="18"/>
      <c r="V192" s="18"/>
      <c r="W192" s="18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70" t="s">
        <v>65</v>
      </c>
      <c r="B193" s="70" t="s">
        <v>35</v>
      </c>
      <c r="C193" s="70" t="s">
        <v>56</v>
      </c>
      <c r="D193" s="70" t="s">
        <v>25</v>
      </c>
      <c r="E193" s="70" t="s">
        <v>25</v>
      </c>
      <c r="F193" s="70" t="s">
        <v>25</v>
      </c>
      <c r="G193" s="70" t="s">
        <v>62</v>
      </c>
      <c r="H193" s="70" t="s">
        <v>25</v>
      </c>
      <c r="I193" s="78">
        <v>44652</v>
      </c>
      <c r="J193" s="79">
        <f ca="1">EFEITO!$J$193*EFEITO!$Y$193</f>
        <v>20643.797953400295</v>
      </c>
      <c r="K193" s="79">
        <f>EFEITO!$L$193*EFEITO!$Z$193</f>
        <v>0</v>
      </c>
      <c r="L193" s="79">
        <f>EFEITO!$N$193*EFEITO!$AA$193</f>
        <v>0</v>
      </c>
      <c r="M193" s="79">
        <f ca="1">$J$193-EFEITO!$K$193*EFEITO!$Y$193</f>
        <v>10321.898976700148</v>
      </c>
      <c r="N193" s="79">
        <f>$K$193-EFEITO!$M$193*EFEITO!$Z$193</f>
        <v>0</v>
      </c>
      <c r="O193" s="79">
        <f>$L$193-EFEITO!$O$193*EFEITO!$AA$193</f>
        <v>0</v>
      </c>
      <c r="P193" s="18"/>
      <c r="Q193" s="18"/>
      <c r="R193" s="18"/>
      <c r="S193" s="18"/>
      <c r="T193" s="18"/>
      <c r="U193" s="18"/>
      <c r="V193" s="18"/>
      <c r="W193" s="18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70" t="s">
        <v>65</v>
      </c>
      <c r="B194" s="70" t="s">
        <v>35</v>
      </c>
      <c r="C194" s="70" t="s">
        <v>56</v>
      </c>
      <c r="D194" s="70" t="s">
        <v>25</v>
      </c>
      <c r="E194" s="70" t="s">
        <v>25</v>
      </c>
      <c r="F194" s="70" t="s">
        <v>25</v>
      </c>
      <c r="G194" s="70" t="s">
        <v>63</v>
      </c>
      <c r="H194" s="70" t="s">
        <v>25</v>
      </c>
      <c r="I194" s="78">
        <v>44652</v>
      </c>
      <c r="J194" s="79">
        <f ca="1">EFEITO!$J$194*EFEITO!$Y$194</f>
        <v>39110.320341402905</v>
      </c>
      <c r="K194" s="79">
        <f>EFEITO!$L$194*EFEITO!$Z$194</f>
        <v>0</v>
      </c>
      <c r="L194" s="79">
        <f>EFEITO!$N$194*EFEITO!$AA$194</f>
        <v>0</v>
      </c>
      <c r="M194" s="79">
        <f ca="1">$J$194-EFEITO!$K$194*EFEITO!$Y$194</f>
        <v>19555.160170701452</v>
      </c>
      <c r="N194" s="79">
        <f>$K$194-EFEITO!$M$194*EFEITO!$Z$194</f>
        <v>0</v>
      </c>
      <c r="O194" s="79">
        <f>$L$194-EFEITO!$O$194*EFEITO!$AA$194</f>
        <v>0</v>
      </c>
      <c r="P194" s="18"/>
      <c r="Q194" s="18"/>
      <c r="R194" s="18"/>
      <c r="S194" s="18"/>
      <c r="T194" s="18"/>
      <c r="U194" s="18"/>
      <c r="V194" s="18"/>
      <c r="W194" s="18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70" t="s">
        <v>65</v>
      </c>
      <c r="B195" s="70" t="s">
        <v>35</v>
      </c>
      <c r="C195" s="70" t="s">
        <v>56</v>
      </c>
      <c r="D195" s="70" t="s">
        <v>25</v>
      </c>
      <c r="E195" s="70" t="s">
        <v>25</v>
      </c>
      <c r="F195" s="70" t="s">
        <v>25</v>
      </c>
      <c r="G195" s="70" t="s">
        <v>64</v>
      </c>
      <c r="H195" s="70" t="s">
        <v>25</v>
      </c>
      <c r="I195" s="78">
        <v>44652</v>
      </c>
      <c r="J195" s="79">
        <f ca="1">EFEITO!$J$195*EFEITO!$Y$195</f>
        <v>17740.763866203379</v>
      </c>
      <c r="K195" s="79">
        <f>EFEITO!$L$195*EFEITO!$Z$195</f>
        <v>0</v>
      </c>
      <c r="L195" s="79">
        <f>EFEITO!$N$195*EFEITO!$AA$195</f>
        <v>0</v>
      </c>
      <c r="M195" s="79">
        <f ca="1">$J$195-EFEITO!$K$195*EFEITO!$Y$195</f>
        <v>8870.3819331016894</v>
      </c>
      <c r="N195" s="79">
        <f>$K$195-EFEITO!$M$195*EFEITO!$Z$195</f>
        <v>0</v>
      </c>
      <c r="O195" s="79">
        <f>$L$195-EFEITO!$O$195*EFEITO!$AA$195</f>
        <v>0</v>
      </c>
      <c r="P195" s="18"/>
      <c r="Q195" s="18"/>
      <c r="R195" s="18"/>
      <c r="S195" s="18"/>
      <c r="T195" s="18"/>
      <c r="U195" s="18"/>
      <c r="V195" s="18"/>
      <c r="W195" s="18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70" t="s">
        <v>21</v>
      </c>
      <c r="B196" s="70" t="s">
        <v>35</v>
      </c>
      <c r="C196" s="70" t="s">
        <v>56</v>
      </c>
      <c r="D196" s="70" t="s">
        <v>25</v>
      </c>
      <c r="E196" s="70" t="s">
        <v>25</v>
      </c>
      <c r="F196" s="70" t="s">
        <v>25</v>
      </c>
      <c r="G196" s="70" t="s">
        <v>57</v>
      </c>
      <c r="H196" s="70" t="s">
        <v>25</v>
      </c>
      <c r="I196" s="78">
        <v>44682</v>
      </c>
      <c r="J196" s="79">
        <f ca="1">EFEITO!$J$196*EFEITO!$Y$196</f>
        <v>11370.216841521256</v>
      </c>
      <c r="K196" s="79">
        <f>EFEITO!$L$196*EFEITO!$Z$196</f>
        <v>0</v>
      </c>
      <c r="L196" s="79">
        <f>EFEITO!$N$196*EFEITO!$AA$196</f>
        <v>0</v>
      </c>
      <c r="M196" s="79">
        <f ca="1">$J$196-EFEITO!$K$196*EFEITO!$Y$196</f>
        <v>5685.1084207606282</v>
      </c>
      <c r="N196" s="79">
        <f>$K$196-EFEITO!$M$196*EFEITO!$Z$196</f>
        <v>0</v>
      </c>
      <c r="O196" s="79">
        <f>$L$196-EFEITO!$O$196*EFEITO!$AA$196</f>
        <v>0</v>
      </c>
      <c r="P196" s="18"/>
      <c r="Q196" s="18"/>
      <c r="R196" s="18"/>
      <c r="S196" s="18"/>
      <c r="T196" s="18"/>
      <c r="U196" s="18"/>
      <c r="V196" s="18"/>
      <c r="W196" s="18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70" t="s">
        <v>21</v>
      </c>
      <c r="B197" s="70" t="s">
        <v>35</v>
      </c>
      <c r="C197" s="70" t="s">
        <v>56</v>
      </c>
      <c r="D197" s="70" t="s">
        <v>25</v>
      </c>
      <c r="E197" s="70" t="s">
        <v>25</v>
      </c>
      <c r="F197" s="70" t="s">
        <v>25</v>
      </c>
      <c r="G197" s="70" t="s">
        <v>59</v>
      </c>
      <c r="H197" s="70" t="s">
        <v>25</v>
      </c>
      <c r="I197" s="78">
        <v>44682</v>
      </c>
      <c r="J197" s="79">
        <f ca="1">EFEITO!$J$197*EFEITO!$Y$197</f>
        <v>59673.478459047728</v>
      </c>
      <c r="K197" s="79">
        <f>EFEITO!$L$197*EFEITO!$Z$197</f>
        <v>0</v>
      </c>
      <c r="L197" s="79">
        <f>EFEITO!$N$197*EFEITO!$AA$197</f>
        <v>0</v>
      </c>
      <c r="M197" s="79">
        <f ca="1">$J$197-EFEITO!$K$197*EFEITO!$Y$197</f>
        <v>29836.739229523864</v>
      </c>
      <c r="N197" s="79">
        <f>$K$197-EFEITO!$M$197*EFEITO!$Z$197</f>
        <v>0</v>
      </c>
      <c r="O197" s="79">
        <f>$L$197-EFEITO!$O$197*EFEITO!$AA$197</f>
        <v>0</v>
      </c>
      <c r="P197" s="18"/>
      <c r="Q197" s="18"/>
      <c r="R197" s="18"/>
      <c r="S197" s="18"/>
      <c r="T197" s="18"/>
      <c r="U197" s="18"/>
      <c r="V197" s="18"/>
      <c r="W197" s="18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70" t="s">
        <v>21</v>
      </c>
      <c r="B198" s="70" t="s">
        <v>35</v>
      </c>
      <c r="C198" s="70" t="s">
        <v>56</v>
      </c>
      <c r="D198" s="70" t="s">
        <v>25</v>
      </c>
      <c r="E198" s="70" t="s">
        <v>25</v>
      </c>
      <c r="F198" s="70" t="s">
        <v>25</v>
      </c>
      <c r="G198" s="70" t="s">
        <v>60</v>
      </c>
      <c r="H198" s="70" t="s">
        <v>25</v>
      </c>
      <c r="I198" s="78">
        <v>44682</v>
      </c>
      <c r="J198" s="79">
        <f ca="1">EFEITO!$J$198*EFEITO!$Y$198</f>
        <v>14192.611092962703</v>
      </c>
      <c r="K198" s="79">
        <f>EFEITO!$L$198*EFEITO!$Z$198</f>
        <v>0</v>
      </c>
      <c r="L198" s="79">
        <f>EFEITO!$N$198*EFEITO!$AA$198</f>
        <v>0</v>
      </c>
      <c r="M198" s="79">
        <f ca="1">$J$198-EFEITO!$K$198*EFEITO!$Y$198</f>
        <v>7096.3055464813515</v>
      </c>
      <c r="N198" s="79">
        <f>$K$198-EFEITO!$M$198*EFEITO!$Z$198</f>
        <v>0</v>
      </c>
      <c r="O198" s="79">
        <f>$L$198-EFEITO!$O$198*EFEITO!$AA$198</f>
        <v>0</v>
      </c>
      <c r="P198" s="18"/>
      <c r="Q198" s="18"/>
      <c r="R198" s="18"/>
      <c r="S198" s="18"/>
      <c r="T198" s="18"/>
      <c r="U198" s="18"/>
      <c r="V198" s="18"/>
      <c r="W198" s="18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70" t="s">
        <v>21</v>
      </c>
      <c r="B199" s="70" t="s">
        <v>35</v>
      </c>
      <c r="C199" s="70" t="s">
        <v>56</v>
      </c>
      <c r="D199" s="70" t="s">
        <v>25</v>
      </c>
      <c r="E199" s="70" t="s">
        <v>25</v>
      </c>
      <c r="F199" s="70" t="s">
        <v>25</v>
      </c>
      <c r="G199" s="70" t="s">
        <v>61</v>
      </c>
      <c r="H199" s="70" t="s">
        <v>25</v>
      </c>
      <c r="I199" s="78">
        <v>44682</v>
      </c>
      <c r="J199" s="79">
        <f ca="1">EFEITO!$J$199*EFEITO!$Y$199</f>
        <v>12579.814377853305</v>
      </c>
      <c r="K199" s="79">
        <f>EFEITO!$L$199*EFEITO!$Z$199</f>
        <v>0</v>
      </c>
      <c r="L199" s="79">
        <f>EFEITO!$N$199*EFEITO!$AA$199</f>
        <v>0</v>
      </c>
      <c r="M199" s="79">
        <f ca="1">$J$199-EFEITO!$K$199*EFEITO!$Y$199</f>
        <v>6289.9071889266525</v>
      </c>
      <c r="N199" s="79">
        <f>$K$199-EFEITO!$M$199*EFEITO!$Z$199</f>
        <v>0</v>
      </c>
      <c r="O199" s="79">
        <f>$L$199-EFEITO!$O$199*EFEITO!$AA$199</f>
        <v>0</v>
      </c>
      <c r="P199" s="18"/>
      <c r="Q199" s="18"/>
      <c r="R199" s="18"/>
      <c r="S199" s="18"/>
      <c r="T199" s="18"/>
      <c r="U199" s="18"/>
      <c r="V199" s="18"/>
      <c r="W199" s="18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70" t="s">
        <v>21</v>
      </c>
      <c r="B200" s="70" t="s">
        <v>35</v>
      </c>
      <c r="C200" s="70" t="s">
        <v>56</v>
      </c>
      <c r="D200" s="70" t="s">
        <v>25</v>
      </c>
      <c r="E200" s="70" t="s">
        <v>25</v>
      </c>
      <c r="F200" s="70" t="s">
        <v>25</v>
      </c>
      <c r="G200" s="70" t="s">
        <v>62</v>
      </c>
      <c r="H200" s="70" t="s">
        <v>25</v>
      </c>
      <c r="I200" s="78">
        <v>44682</v>
      </c>
      <c r="J200" s="79">
        <f ca="1">EFEITO!$J$200*EFEITO!$Y$200</f>
        <v>20643.797953400295</v>
      </c>
      <c r="K200" s="79">
        <f>EFEITO!$L$200*EFEITO!$Z$200</f>
        <v>0</v>
      </c>
      <c r="L200" s="79">
        <f>EFEITO!$N$200*EFEITO!$AA$200</f>
        <v>0</v>
      </c>
      <c r="M200" s="79">
        <f ca="1">$J$200-EFEITO!$K$200*EFEITO!$Y$200</f>
        <v>10321.898976700148</v>
      </c>
      <c r="N200" s="79">
        <f>$K$200-EFEITO!$M$200*EFEITO!$Z$200</f>
        <v>0</v>
      </c>
      <c r="O200" s="79">
        <f>$L$200-EFEITO!$O$200*EFEITO!$AA$200</f>
        <v>0</v>
      </c>
      <c r="P200" s="18"/>
      <c r="Q200" s="18"/>
      <c r="R200" s="18"/>
      <c r="S200" s="18"/>
      <c r="T200" s="18"/>
      <c r="U200" s="18"/>
      <c r="V200" s="18"/>
      <c r="W200" s="18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70" t="s">
        <v>21</v>
      </c>
      <c r="B201" s="70" t="s">
        <v>35</v>
      </c>
      <c r="C201" s="70" t="s">
        <v>56</v>
      </c>
      <c r="D201" s="70" t="s">
        <v>25</v>
      </c>
      <c r="E201" s="70" t="s">
        <v>25</v>
      </c>
      <c r="F201" s="70" t="s">
        <v>25</v>
      </c>
      <c r="G201" s="70" t="s">
        <v>63</v>
      </c>
      <c r="H201" s="70" t="s">
        <v>25</v>
      </c>
      <c r="I201" s="78">
        <v>44682</v>
      </c>
      <c r="J201" s="79">
        <f ca="1">EFEITO!$J$201*EFEITO!$Y$201</f>
        <v>39110.320341402905</v>
      </c>
      <c r="K201" s="79">
        <f>EFEITO!$L$201*EFEITO!$Z$201</f>
        <v>0</v>
      </c>
      <c r="L201" s="79">
        <f>EFEITO!$N$201*EFEITO!$AA$201</f>
        <v>0</v>
      </c>
      <c r="M201" s="79">
        <f ca="1">$J$201-EFEITO!$K$201*EFEITO!$Y$201</f>
        <v>19555.160170701452</v>
      </c>
      <c r="N201" s="79">
        <f>$K$201-EFEITO!$M$201*EFEITO!$Z$201</f>
        <v>0</v>
      </c>
      <c r="O201" s="79">
        <f>$L$201-EFEITO!$O$201*EFEITO!$AA$201</f>
        <v>0</v>
      </c>
      <c r="P201" s="18"/>
      <c r="Q201" s="18"/>
      <c r="R201" s="18"/>
      <c r="S201" s="18"/>
      <c r="T201" s="18"/>
      <c r="U201" s="18"/>
      <c r="V201" s="18"/>
      <c r="W201" s="18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70" t="s">
        <v>21</v>
      </c>
      <c r="B202" s="70" t="s">
        <v>35</v>
      </c>
      <c r="C202" s="70" t="s">
        <v>56</v>
      </c>
      <c r="D202" s="70" t="s">
        <v>25</v>
      </c>
      <c r="E202" s="70" t="s">
        <v>25</v>
      </c>
      <c r="F202" s="70" t="s">
        <v>25</v>
      </c>
      <c r="G202" s="70" t="s">
        <v>64</v>
      </c>
      <c r="H202" s="70" t="s">
        <v>25</v>
      </c>
      <c r="I202" s="78">
        <v>44682</v>
      </c>
      <c r="J202" s="79">
        <f ca="1">EFEITO!$J$202*EFEITO!$Y$202</f>
        <v>17740.763866203379</v>
      </c>
      <c r="K202" s="79">
        <f>EFEITO!$L$202*EFEITO!$Z$202</f>
        <v>0</v>
      </c>
      <c r="L202" s="79">
        <f>EFEITO!$N$202*EFEITO!$AA$202</f>
        <v>0</v>
      </c>
      <c r="M202" s="79">
        <f ca="1">$J$202-EFEITO!$K$202*EFEITO!$Y$202</f>
        <v>8870.3819331016894</v>
      </c>
      <c r="N202" s="79">
        <f>$K$202-EFEITO!$M$202*EFEITO!$Z$202</f>
        <v>0</v>
      </c>
      <c r="O202" s="79">
        <f>$L$202-EFEITO!$O$202*EFEITO!$AA$202</f>
        <v>0</v>
      </c>
      <c r="P202" s="18"/>
      <c r="Q202" s="18"/>
      <c r="R202" s="18"/>
      <c r="S202" s="18"/>
      <c r="T202" s="18"/>
      <c r="U202" s="18"/>
      <c r="V202" s="18"/>
      <c r="W202" s="18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70" t="s">
        <v>21</v>
      </c>
      <c r="B203" s="70" t="s">
        <v>35</v>
      </c>
      <c r="C203" s="70" t="s">
        <v>56</v>
      </c>
      <c r="D203" s="70" t="s">
        <v>25</v>
      </c>
      <c r="E203" s="70" t="s">
        <v>25</v>
      </c>
      <c r="F203" s="70" t="s">
        <v>25</v>
      </c>
      <c r="G203" s="70" t="s">
        <v>57</v>
      </c>
      <c r="H203" s="70" t="s">
        <v>25</v>
      </c>
      <c r="I203" s="78">
        <v>44713</v>
      </c>
      <c r="J203" s="79">
        <f ca="1">EFEITO!$J$203*EFEITO!$Y$203</f>
        <v>14192.611092962703</v>
      </c>
      <c r="K203" s="79">
        <f>EFEITO!$L$203*EFEITO!$Z$203</f>
        <v>0</v>
      </c>
      <c r="L203" s="79">
        <f>EFEITO!$N$203*EFEITO!$AA$203</f>
        <v>0</v>
      </c>
      <c r="M203" s="79">
        <f ca="1">$J$203-EFEITO!$K$203*EFEITO!$Y$203</f>
        <v>7096.3055464813515</v>
      </c>
      <c r="N203" s="79">
        <f>$K$203-EFEITO!$M$203*EFEITO!$Z$203</f>
        <v>0</v>
      </c>
      <c r="O203" s="79">
        <f>$L$203-EFEITO!$O$203*EFEITO!$AA$203</f>
        <v>0</v>
      </c>
      <c r="P203" s="18"/>
      <c r="Q203" s="18"/>
      <c r="R203" s="18"/>
      <c r="S203" s="18"/>
      <c r="T203" s="18"/>
      <c r="U203" s="18"/>
      <c r="V203" s="18"/>
      <c r="W203" s="18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70" t="s">
        <v>21</v>
      </c>
      <c r="B204" s="70" t="s">
        <v>35</v>
      </c>
      <c r="C204" s="70" t="s">
        <v>56</v>
      </c>
      <c r="D204" s="70" t="s">
        <v>25</v>
      </c>
      <c r="E204" s="70" t="s">
        <v>25</v>
      </c>
      <c r="F204" s="70" t="s">
        <v>25</v>
      </c>
      <c r="G204" s="70" t="s">
        <v>59</v>
      </c>
      <c r="H204" s="70" t="s">
        <v>25</v>
      </c>
      <c r="I204" s="78">
        <v>44713</v>
      </c>
      <c r="J204" s="79">
        <f ca="1">EFEITO!$J$204*EFEITO!$Y$204</f>
        <v>59673.478459047728</v>
      </c>
      <c r="K204" s="79">
        <f>EFEITO!$L$204*EFEITO!$Z$204</f>
        <v>0</v>
      </c>
      <c r="L204" s="79">
        <f>EFEITO!$N$204*EFEITO!$AA$204</f>
        <v>0</v>
      </c>
      <c r="M204" s="79">
        <f ca="1">$J$204-EFEITO!$K$204*EFEITO!$Y$204</f>
        <v>29836.739229523864</v>
      </c>
      <c r="N204" s="79">
        <f>$K$204-EFEITO!$M$204*EFEITO!$Z$204</f>
        <v>0</v>
      </c>
      <c r="O204" s="79">
        <f>$L$204-EFEITO!$O$204*EFEITO!$AA$204</f>
        <v>0</v>
      </c>
      <c r="P204" s="18"/>
      <c r="Q204" s="18"/>
      <c r="R204" s="18"/>
      <c r="S204" s="18"/>
      <c r="T204" s="18"/>
      <c r="U204" s="18"/>
      <c r="V204" s="18"/>
      <c r="W204" s="18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70" t="s">
        <v>21</v>
      </c>
      <c r="B205" s="70" t="s">
        <v>35</v>
      </c>
      <c r="C205" s="70" t="s">
        <v>56</v>
      </c>
      <c r="D205" s="70" t="s">
        <v>25</v>
      </c>
      <c r="E205" s="70" t="s">
        <v>25</v>
      </c>
      <c r="F205" s="70" t="s">
        <v>25</v>
      </c>
      <c r="G205" s="70" t="s">
        <v>60</v>
      </c>
      <c r="H205" s="70" t="s">
        <v>25</v>
      </c>
      <c r="I205" s="78">
        <v>44713</v>
      </c>
      <c r="J205" s="79">
        <f ca="1">EFEITO!$J$205*EFEITO!$Y$205</f>
        <v>14192.611092962703</v>
      </c>
      <c r="K205" s="79">
        <f>EFEITO!$L$205*EFEITO!$Z$205</f>
        <v>0</v>
      </c>
      <c r="L205" s="79">
        <f>EFEITO!$N$205*EFEITO!$AA$205</f>
        <v>0</v>
      </c>
      <c r="M205" s="79">
        <f ca="1">$J$205-EFEITO!$K$205*EFEITO!$Y$205</f>
        <v>7096.3055464813515</v>
      </c>
      <c r="N205" s="79">
        <f>$K$205-EFEITO!$M$205*EFEITO!$Z$205</f>
        <v>0</v>
      </c>
      <c r="O205" s="79">
        <f>$L$205-EFEITO!$O$205*EFEITO!$AA$205</f>
        <v>0</v>
      </c>
      <c r="P205" s="18"/>
      <c r="Q205" s="18"/>
      <c r="R205" s="18"/>
      <c r="S205" s="18"/>
      <c r="T205" s="18"/>
      <c r="U205" s="18"/>
      <c r="V205" s="18"/>
      <c r="W205" s="18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70" t="s">
        <v>21</v>
      </c>
      <c r="B206" s="70" t="s">
        <v>35</v>
      </c>
      <c r="C206" s="70" t="s">
        <v>56</v>
      </c>
      <c r="D206" s="70" t="s">
        <v>25</v>
      </c>
      <c r="E206" s="70" t="s">
        <v>25</v>
      </c>
      <c r="F206" s="70" t="s">
        <v>25</v>
      </c>
      <c r="G206" s="70" t="s">
        <v>61</v>
      </c>
      <c r="H206" s="70" t="s">
        <v>25</v>
      </c>
      <c r="I206" s="78">
        <v>44713</v>
      </c>
      <c r="J206" s="79">
        <f ca="1">EFEITO!$J$206*EFEITO!$Y$206</f>
        <v>12579.814377853305</v>
      </c>
      <c r="K206" s="79">
        <f>EFEITO!$L$206*EFEITO!$Z$206</f>
        <v>0</v>
      </c>
      <c r="L206" s="79">
        <f>EFEITO!$N$206*EFEITO!$AA$206</f>
        <v>0</v>
      </c>
      <c r="M206" s="79">
        <f ca="1">$J$206-EFEITO!$K$206*EFEITO!$Y$206</f>
        <v>6289.9071889266525</v>
      </c>
      <c r="N206" s="79">
        <f>$K$206-EFEITO!$M$206*EFEITO!$Z$206</f>
        <v>0</v>
      </c>
      <c r="O206" s="79">
        <f>$L$206-EFEITO!$O$206*EFEITO!$AA$206</f>
        <v>0</v>
      </c>
      <c r="P206" s="18"/>
      <c r="Q206" s="18"/>
      <c r="R206" s="18"/>
      <c r="S206" s="18"/>
      <c r="T206" s="18"/>
      <c r="U206" s="18"/>
      <c r="V206" s="18"/>
      <c r="W206" s="18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70" t="s">
        <v>21</v>
      </c>
      <c r="B207" s="70" t="s">
        <v>35</v>
      </c>
      <c r="C207" s="70" t="s">
        <v>56</v>
      </c>
      <c r="D207" s="70" t="s">
        <v>25</v>
      </c>
      <c r="E207" s="70" t="s">
        <v>25</v>
      </c>
      <c r="F207" s="70" t="s">
        <v>25</v>
      </c>
      <c r="G207" s="70" t="s">
        <v>62</v>
      </c>
      <c r="H207" s="70" t="s">
        <v>25</v>
      </c>
      <c r="I207" s="78">
        <v>44713</v>
      </c>
      <c r="J207" s="79">
        <f ca="1">EFEITO!$J$207*EFEITO!$Y$207</f>
        <v>20643.797953400295</v>
      </c>
      <c r="K207" s="79">
        <f>EFEITO!$L$207*EFEITO!$Z$207</f>
        <v>0</v>
      </c>
      <c r="L207" s="79">
        <f>EFEITO!$N$207*EFEITO!$AA$207</f>
        <v>0</v>
      </c>
      <c r="M207" s="79">
        <f ca="1">$J$207-EFEITO!$K$207*EFEITO!$Y$207</f>
        <v>10321.898976700148</v>
      </c>
      <c r="N207" s="79">
        <f>$K$207-EFEITO!$M$207*EFEITO!$Z$207</f>
        <v>0</v>
      </c>
      <c r="O207" s="79">
        <f>$L$207-EFEITO!$O$207*EFEITO!$AA$207</f>
        <v>0</v>
      </c>
      <c r="P207" s="18"/>
      <c r="Q207" s="18"/>
      <c r="R207" s="18"/>
      <c r="S207" s="18"/>
      <c r="T207" s="18"/>
      <c r="U207" s="18"/>
      <c r="V207" s="18"/>
      <c r="W207" s="18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70" t="s">
        <v>21</v>
      </c>
      <c r="B208" s="70" t="s">
        <v>35</v>
      </c>
      <c r="C208" s="70" t="s">
        <v>56</v>
      </c>
      <c r="D208" s="70" t="s">
        <v>25</v>
      </c>
      <c r="E208" s="70" t="s">
        <v>25</v>
      </c>
      <c r="F208" s="70" t="s">
        <v>25</v>
      </c>
      <c r="G208" s="70" t="s">
        <v>63</v>
      </c>
      <c r="H208" s="70" t="s">
        <v>25</v>
      </c>
      <c r="I208" s="78">
        <v>44713</v>
      </c>
      <c r="J208" s="79">
        <f ca="1">EFEITO!$J$208*EFEITO!$Y$208</f>
        <v>39110.320341402905</v>
      </c>
      <c r="K208" s="79">
        <f>EFEITO!$L$208*EFEITO!$Z$208</f>
        <v>0</v>
      </c>
      <c r="L208" s="79">
        <f>EFEITO!$N$208*EFEITO!$AA$208</f>
        <v>0</v>
      </c>
      <c r="M208" s="79">
        <f ca="1">$J$208-EFEITO!$K$208*EFEITO!$Y$208</f>
        <v>19555.160170701452</v>
      </c>
      <c r="N208" s="79">
        <f>$K$208-EFEITO!$M$208*EFEITO!$Z$208</f>
        <v>0</v>
      </c>
      <c r="O208" s="79">
        <f>$L$208-EFEITO!$O$208*EFEITO!$AA$208</f>
        <v>0</v>
      </c>
      <c r="P208" s="18"/>
      <c r="Q208" s="18"/>
      <c r="R208" s="18"/>
      <c r="S208" s="18"/>
      <c r="T208" s="18"/>
      <c r="U208" s="18"/>
      <c r="V208" s="18"/>
      <c r="W208" s="18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70" t="s">
        <v>21</v>
      </c>
      <c r="B209" s="70" t="s">
        <v>35</v>
      </c>
      <c r="C209" s="70" t="s">
        <v>56</v>
      </c>
      <c r="D209" s="70" t="s">
        <v>25</v>
      </c>
      <c r="E209" s="70" t="s">
        <v>25</v>
      </c>
      <c r="F209" s="70" t="s">
        <v>25</v>
      </c>
      <c r="G209" s="70" t="s">
        <v>64</v>
      </c>
      <c r="H209" s="70" t="s">
        <v>25</v>
      </c>
      <c r="I209" s="78">
        <v>44713</v>
      </c>
      <c r="J209" s="79">
        <f ca="1">EFEITO!$J$209*EFEITO!$Y$209</f>
        <v>17740.763866203379</v>
      </c>
      <c r="K209" s="79">
        <f>EFEITO!$L$209*EFEITO!$Z$209</f>
        <v>0</v>
      </c>
      <c r="L209" s="79">
        <f>EFEITO!$N$209*EFEITO!$AA$209</f>
        <v>0</v>
      </c>
      <c r="M209" s="79">
        <f ca="1">$J$209-EFEITO!$K$209*EFEITO!$Y$209</f>
        <v>8870.3819331016894</v>
      </c>
      <c r="N209" s="79">
        <f>$K$209-EFEITO!$M$209*EFEITO!$Z$209</f>
        <v>0</v>
      </c>
      <c r="O209" s="79">
        <f>$L$209-EFEITO!$O$209*EFEITO!$AA$209</f>
        <v>0</v>
      </c>
      <c r="P209" s="18"/>
      <c r="Q209" s="18"/>
      <c r="R209" s="18"/>
      <c r="S209" s="18"/>
      <c r="T209" s="18"/>
      <c r="U209" s="18"/>
      <c r="V209" s="18"/>
      <c r="W209" s="18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70" t="s">
        <v>21</v>
      </c>
      <c r="B210" s="70" t="s">
        <v>35</v>
      </c>
      <c r="C210" s="70" t="s">
        <v>39</v>
      </c>
      <c r="D210" s="70" t="s">
        <v>40</v>
      </c>
      <c r="E210" s="70" t="s">
        <v>25</v>
      </c>
      <c r="F210" s="70" t="s">
        <v>25</v>
      </c>
      <c r="G210" s="70" t="s">
        <v>25</v>
      </c>
      <c r="H210" s="70" t="s">
        <v>38</v>
      </c>
      <c r="I210" s="78">
        <v>44378</v>
      </c>
      <c r="J210" s="79">
        <f>EFEITO!$J$210*EFEITO!$Y$210</f>
        <v>0</v>
      </c>
      <c r="K210" s="79">
        <f ca="1">EFEITO!$L$210*EFEITO!$Z$210</f>
        <v>147057.55281852119</v>
      </c>
      <c r="L210" s="79">
        <f>EFEITO!$N$210*EFEITO!$AA$210</f>
        <v>315055.58968871302</v>
      </c>
      <c r="M210" s="79">
        <f>$J$210-EFEITO!$K$210*EFEITO!$Y$210</f>
        <v>0</v>
      </c>
      <c r="N210" s="79">
        <f ca="1">$K$210-EFEITO!$M$210*EFEITO!$Z$210</f>
        <v>0</v>
      </c>
      <c r="O210" s="79">
        <f>$L$210-EFEITO!$O$210*EFEITO!$AA$210</f>
        <v>0</v>
      </c>
      <c r="P210" s="18"/>
      <c r="Q210" s="18"/>
      <c r="R210" s="18"/>
      <c r="S210" s="18"/>
      <c r="T210" s="18"/>
      <c r="U210" s="18"/>
      <c r="V210" s="18"/>
      <c r="W210" s="18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70" t="s">
        <v>27</v>
      </c>
      <c r="B211" s="70" t="s">
        <v>35</v>
      </c>
      <c r="C211" s="70" t="s">
        <v>39</v>
      </c>
      <c r="D211" s="70" t="s">
        <v>40</v>
      </c>
      <c r="E211" s="70" t="s">
        <v>25</v>
      </c>
      <c r="F211" s="70" t="s">
        <v>25</v>
      </c>
      <c r="G211" s="70" t="s">
        <v>25</v>
      </c>
      <c r="H211" s="70" t="s">
        <v>38</v>
      </c>
      <c r="I211" s="78">
        <v>44378</v>
      </c>
      <c r="J211" s="79">
        <f>EFEITO!$J$211*EFEITO!$Y$211</f>
        <v>0</v>
      </c>
      <c r="K211" s="79">
        <f ca="1">EFEITO!$L$211*EFEITO!$Z$211</f>
        <v>-35409.169854094107</v>
      </c>
      <c r="L211" s="79">
        <f>EFEITO!$N$211*EFEITO!$AA$211</f>
        <v>-75860.482341471361</v>
      </c>
      <c r="M211" s="79">
        <f>$J$211-EFEITO!$K$211*EFEITO!$Y$211</f>
        <v>0</v>
      </c>
      <c r="N211" s="79">
        <f ca="1">$K$211-EFEITO!$M$211*EFEITO!$Z$211</f>
        <v>0</v>
      </c>
      <c r="O211" s="79">
        <f>$L$211-EFEITO!$O$211*EFEITO!$AA$211</f>
        <v>0</v>
      </c>
      <c r="P211" s="18"/>
      <c r="Q211" s="18"/>
      <c r="R211" s="18"/>
      <c r="S211" s="18"/>
      <c r="T211" s="18"/>
      <c r="U211" s="18"/>
      <c r="V211" s="18"/>
      <c r="W211" s="18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70" t="s">
        <v>28</v>
      </c>
      <c r="B212" s="70" t="s">
        <v>35</v>
      </c>
      <c r="C212" s="70" t="s">
        <v>39</v>
      </c>
      <c r="D212" s="70" t="s">
        <v>40</v>
      </c>
      <c r="E212" s="70" t="s">
        <v>25</v>
      </c>
      <c r="F212" s="70" t="s">
        <v>25</v>
      </c>
      <c r="G212" s="70" t="s">
        <v>25</v>
      </c>
      <c r="H212" s="70" t="s">
        <v>38</v>
      </c>
      <c r="I212" s="78">
        <v>44378</v>
      </c>
      <c r="J212" s="79">
        <f>EFEITO!$J$212*EFEITO!$Y$212</f>
        <v>0</v>
      </c>
      <c r="K212" s="79">
        <f ca="1">EFEITO!$L$212*EFEITO!$Z$212</f>
        <v>3246.4557268352032</v>
      </c>
      <c r="L212" s="79">
        <f>EFEITO!$N$212*EFEITO!$AA$212</f>
        <v>6955.195457921056</v>
      </c>
      <c r="M212" s="79">
        <f>$J$212-EFEITO!$K$212*EFEITO!$Y$212</f>
        <v>0</v>
      </c>
      <c r="N212" s="79">
        <f ca="1">$K$212-EFEITO!$M$212*EFEITO!$Z$212</f>
        <v>0</v>
      </c>
      <c r="O212" s="79">
        <f>$L$212-EFEITO!$O$212*EFEITO!$AA$212</f>
        <v>0</v>
      </c>
      <c r="P212" s="18"/>
      <c r="Q212" s="18"/>
      <c r="R212" s="18"/>
      <c r="S212" s="18"/>
      <c r="T212" s="18"/>
      <c r="U212" s="18"/>
      <c r="V212" s="18"/>
      <c r="W212" s="18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70" t="s">
        <v>28</v>
      </c>
      <c r="B213" s="70" t="s">
        <v>35</v>
      </c>
      <c r="C213" s="70" t="s">
        <v>39</v>
      </c>
      <c r="D213" s="70" t="s">
        <v>40</v>
      </c>
      <c r="E213" s="70" t="s">
        <v>25</v>
      </c>
      <c r="F213" s="70" t="s">
        <v>25</v>
      </c>
      <c r="G213" s="70" t="s">
        <v>25</v>
      </c>
      <c r="H213" s="70" t="s">
        <v>38</v>
      </c>
      <c r="I213" s="78">
        <v>44378</v>
      </c>
      <c r="J213" s="79">
        <f>EFEITO!$J$213*EFEITO!$Y$213</f>
        <v>0</v>
      </c>
      <c r="K213" s="79">
        <f ca="1">EFEITO!$L$213*EFEITO!$Z$213</f>
        <v>-1113.6652085872349</v>
      </c>
      <c r="L213" s="79">
        <f>EFEITO!$N$213*EFEITO!$AA$213</f>
        <v>-2385.9124695230544</v>
      </c>
      <c r="M213" s="79">
        <f>$J$213-EFEITO!$K$213*EFEITO!$Y$213</f>
        <v>0</v>
      </c>
      <c r="N213" s="79">
        <f ca="1">$K$213-EFEITO!$M$213*EFEITO!$Z$213</f>
        <v>0</v>
      </c>
      <c r="O213" s="79">
        <f>$L$213-EFEITO!$O$213*EFEITO!$AA$213</f>
        <v>0</v>
      </c>
      <c r="P213" s="18"/>
      <c r="Q213" s="18"/>
      <c r="R213" s="18"/>
      <c r="S213" s="18"/>
      <c r="T213" s="18"/>
      <c r="U213" s="18"/>
      <c r="V213" s="18"/>
      <c r="W213" s="18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70" t="s">
        <v>21</v>
      </c>
      <c r="B214" s="70" t="s">
        <v>35</v>
      </c>
      <c r="C214" s="70" t="s">
        <v>39</v>
      </c>
      <c r="D214" s="70" t="s">
        <v>40</v>
      </c>
      <c r="E214" s="70" t="s">
        <v>25</v>
      </c>
      <c r="F214" s="70" t="s">
        <v>25</v>
      </c>
      <c r="G214" s="70" t="s">
        <v>25</v>
      </c>
      <c r="H214" s="70" t="s">
        <v>38</v>
      </c>
      <c r="I214" s="78">
        <v>44409</v>
      </c>
      <c r="J214" s="79">
        <f>EFEITO!$J$214*EFEITO!$Y$214</f>
        <v>0</v>
      </c>
      <c r="K214" s="79">
        <f ca="1">EFEITO!$L$214*EFEITO!$Z$214</f>
        <v>114125.75383835139</v>
      </c>
      <c r="L214" s="79">
        <f>EFEITO!$N$214*EFEITO!$AA$214</f>
        <v>244502.61809118191</v>
      </c>
      <c r="M214" s="79">
        <f>$J$214-EFEITO!$K$214*EFEITO!$Y$214</f>
        <v>0</v>
      </c>
      <c r="N214" s="79">
        <f ca="1">$K$214-EFEITO!$M$214*EFEITO!$Z$214</f>
        <v>0</v>
      </c>
      <c r="O214" s="79">
        <f>$L$214-EFEITO!$O$214*EFEITO!$AA$214</f>
        <v>0</v>
      </c>
      <c r="P214" s="18"/>
      <c r="Q214" s="18"/>
      <c r="R214" s="18"/>
      <c r="S214" s="18"/>
      <c r="T214" s="18"/>
      <c r="U214" s="18"/>
      <c r="V214" s="18"/>
      <c r="W214" s="18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70" t="s">
        <v>27</v>
      </c>
      <c r="B215" s="70" t="s">
        <v>35</v>
      </c>
      <c r="C215" s="70" t="s">
        <v>39</v>
      </c>
      <c r="D215" s="70" t="s">
        <v>40</v>
      </c>
      <c r="E215" s="70" t="s">
        <v>25</v>
      </c>
      <c r="F215" s="70" t="s">
        <v>25</v>
      </c>
      <c r="G215" s="70" t="s">
        <v>25</v>
      </c>
      <c r="H215" s="70" t="s">
        <v>38</v>
      </c>
      <c r="I215" s="78">
        <v>44409</v>
      </c>
      <c r="J215" s="79">
        <f>EFEITO!$J$215*EFEITO!$Y$215</f>
        <v>0</v>
      </c>
      <c r="K215" s="79">
        <f ca="1">EFEITO!$L$215*EFEITO!$Z$215</f>
        <v>-945.30648447154692</v>
      </c>
      <c r="L215" s="79">
        <f>EFEITO!$N$215*EFEITO!$AA$215</f>
        <v>-2025.2213245332746</v>
      </c>
      <c r="M215" s="79">
        <f>$J$215-EFEITO!$K$215*EFEITO!$Y$215</f>
        <v>0</v>
      </c>
      <c r="N215" s="79">
        <f ca="1">$K$215-EFEITO!$M$215*EFEITO!$Z$215</f>
        <v>0</v>
      </c>
      <c r="O215" s="79">
        <f>$L$215-EFEITO!$O$215*EFEITO!$AA$215</f>
        <v>0</v>
      </c>
      <c r="P215" s="18"/>
      <c r="Q215" s="18"/>
      <c r="R215" s="18"/>
      <c r="S215" s="18"/>
      <c r="T215" s="18"/>
      <c r="U215" s="18"/>
      <c r="V215" s="18"/>
      <c r="W215" s="18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70" t="s">
        <v>28</v>
      </c>
      <c r="B216" s="70" t="s">
        <v>35</v>
      </c>
      <c r="C216" s="70" t="s">
        <v>39</v>
      </c>
      <c r="D216" s="70" t="s">
        <v>40</v>
      </c>
      <c r="E216" s="70" t="s">
        <v>25</v>
      </c>
      <c r="F216" s="70" t="s">
        <v>25</v>
      </c>
      <c r="G216" s="70" t="s">
        <v>25</v>
      </c>
      <c r="H216" s="70" t="s">
        <v>38</v>
      </c>
      <c r="I216" s="78">
        <v>44409</v>
      </c>
      <c r="J216" s="79">
        <f>EFEITO!$J$216*EFEITO!$Y$216</f>
        <v>0</v>
      </c>
      <c r="K216" s="79">
        <f ca="1">EFEITO!$L$216*EFEITO!$Z$216</f>
        <v>1545.5700892994037</v>
      </c>
      <c r="L216" s="79">
        <f>EFEITO!$N$216*EFEITO!$AA$216</f>
        <v>3311.2239837852967</v>
      </c>
      <c r="M216" s="79">
        <f>$J$216-EFEITO!$K$216*EFEITO!$Y$216</f>
        <v>0</v>
      </c>
      <c r="N216" s="79">
        <f ca="1">$K$216-EFEITO!$M$216*EFEITO!$Z$216</f>
        <v>0</v>
      </c>
      <c r="O216" s="79">
        <f>$L$216-EFEITO!$O$216*EFEITO!$AA$216</f>
        <v>0</v>
      </c>
      <c r="P216" s="18"/>
      <c r="Q216" s="18"/>
      <c r="R216" s="18"/>
      <c r="S216" s="18"/>
      <c r="T216" s="18"/>
      <c r="U216" s="18"/>
      <c r="V216" s="18"/>
      <c r="W216" s="18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70" t="s">
        <v>21</v>
      </c>
      <c r="B217" s="70" t="s">
        <v>35</v>
      </c>
      <c r="C217" s="70" t="s">
        <v>39</v>
      </c>
      <c r="D217" s="70" t="s">
        <v>40</v>
      </c>
      <c r="E217" s="70" t="s">
        <v>25</v>
      </c>
      <c r="F217" s="70" t="s">
        <v>25</v>
      </c>
      <c r="G217" s="70" t="s">
        <v>25</v>
      </c>
      <c r="H217" s="70" t="s">
        <v>38</v>
      </c>
      <c r="I217" s="78">
        <v>44440</v>
      </c>
      <c r="J217" s="79">
        <f>EFEITO!$J$217*EFEITO!$Y$217</f>
        <v>0</v>
      </c>
      <c r="K217" s="79">
        <f ca="1">EFEITO!$L$217*EFEITO!$Z$217</f>
        <v>95016.483622459971</v>
      </c>
      <c r="L217" s="79">
        <f>EFEITO!$N$217*EFEITO!$AA$217</f>
        <v>203562.98404315513</v>
      </c>
      <c r="M217" s="79">
        <f>$J$217-EFEITO!$K$217*EFEITO!$Y$217</f>
        <v>0</v>
      </c>
      <c r="N217" s="79">
        <f ca="1">$K$217-EFEITO!$M$217*EFEITO!$Z$217</f>
        <v>0</v>
      </c>
      <c r="O217" s="79">
        <f>$L$217-EFEITO!$O$217*EFEITO!$AA$217</f>
        <v>0</v>
      </c>
      <c r="P217" s="18"/>
      <c r="Q217" s="18"/>
      <c r="R217" s="18"/>
      <c r="S217" s="18"/>
      <c r="T217" s="18"/>
      <c r="U217" s="18"/>
      <c r="V217" s="18"/>
      <c r="W217" s="18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70" t="s">
        <v>27</v>
      </c>
      <c r="B218" s="70" t="s">
        <v>35</v>
      </c>
      <c r="C218" s="70" t="s">
        <v>39</v>
      </c>
      <c r="D218" s="70" t="s">
        <v>40</v>
      </c>
      <c r="E218" s="70" t="s">
        <v>25</v>
      </c>
      <c r="F218" s="70" t="s">
        <v>25</v>
      </c>
      <c r="G218" s="70" t="s">
        <v>25</v>
      </c>
      <c r="H218" s="70" t="s">
        <v>38</v>
      </c>
      <c r="I218" s="78">
        <v>44440</v>
      </c>
      <c r="J218" s="79">
        <f>EFEITO!$J$218*EFEITO!$Y$218</f>
        <v>0</v>
      </c>
      <c r="K218" s="79">
        <f ca="1">EFEITO!$L$218*EFEITO!$Z$218</f>
        <v>-1754.6309225419614</v>
      </c>
      <c r="L218" s="79">
        <f>EFEITO!$N$218*EFEITO!$AA$218</f>
        <v>-3759.1151858055732</v>
      </c>
      <c r="M218" s="79">
        <f>$J$218-EFEITO!$K$218*EFEITO!$Y$218</f>
        <v>0</v>
      </c>
      <c r="N218" s="79">
        <f ca="1">$K$218-EFEITO!$M$218*EFEITO!$Z$218</f>
        <v>0</v>
      </c>
      <c r="O218" s="79">
        <f>$L$218-EFEITO!$O$218*EFEITO!$AA$218</f>
        <v>0</v>
      </c>
      <c r="P218" s="18"/>
      <c r="Q218" s="18"/>
      <c r="R218" s="18"/>
      <c r="S218" s="18"/>
      <c r="T218" s="18"/>
      <c r="U218" s="18"/>
      <c r="V218" s="18"/>
      <c r="W218" s="18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70" t="s">
        <v>28</v>
      </c>
      <c r="B219" s="70" t="s">
        <v>35</v>
      </c>
      <c r="C219" s="70" t="s">
        <v>39</v>
      </c>
      <c r="D219" s="70" t="s">
        <v>40</v>
      </c>
      <c r="E219" s="70" t="s">
        <v>25</v>
      </c>
      <c r="F219" s="70" t="s">
        <v>25</v>
      </c>
      <c r="G219" s="70" t="s">
        <v>25</v>
      </c>
      <c r="H219" s="70" t="s">
        <v>38</v>
      </c>
      <c r="I219" s="78">
        <v>44440</v>
      </c>
      <c r="J219" s="79">
        <f>EFEITO!$J$219*EFEITO!$Y$219</f>
        <v>0</v>
      </c>
      <c r="K219" s="79">
        <f ca="1">EFEITO!$L$219*EFEITO!$Z$219</f>
        <v>1776.8320729747993</v>
      </c>
      <c r="L219" s="79">
        <f>EFEITO!$N$219*EFEITO!$AA$219</f>
        <v>3806.6788532767528</v>
      </c>
      <c r="M219" s="79">
        <f>$J$219-EFEITO!$K$219*EFEITO!$Y$219</f>
        <v>0</v>
      </c>
      <c r="N219" s="79">
        <f ca="1">$K$219-EFEITO!$M$219*EFEITO!$Z$219</f>
        <v>0</v>
      </c>
      <c r="O219" s="79">
        <f>$L$219-EFEITO!$O$219*EFEITO!$AA$219</f>
        <v>0</v>
      </c>
      <c r="P219" s="18"/>
      <c r="Q219" s="18"/>
      <c r="R219" s="18"/>
      <c r="S219" s="18"/>
      <c r="T219" s="18"/>
      <c r="U219" s="18"/>
      <c r="V219" s="18"/>
      <c r="W219" s="18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70" t="s">
        <v>21</v>
      </c>
      <c r="B220" s="70" t="s">
        <v>35</v>
      </c>
      <c r="C220" s="70" t="s">
        <v>39</v>
      </c>
      <c r="D220" s="70" t="s">
        <v>40</v>
      </c>
      <c r="E220" s="70" t="s">
        <v>25</v>
      </c>
      <c r="F220" s="70" t="s">
        <v>25</v>
      </c>
      <c r="G220" s="70" t="s">
        <v>25</v>
      </c>
      <c r="H220" s="70" t="s">
        <v>38</v>
      </c>
      <c r="I220" s="78">
        <v>44470</v>
      </c>
      <c r="J220" s="79">
        <f>EFEITO!$J$220*EFEITO!$Y$220</f>
        <v>0</v>
      </c>
      <c r="K220" s="79">
        <f ca="1">EFEITO!$L$220*EFEITO!$Z$220</f>
        <v>83649.402096053454</v>
      </c>
      <c r="L220" s="79">
        <f>EFEITO!$N$220*EFEITO!$AA$220</f>
        <v>179210.18811596328</v>
      </c>
      <c r="M220" s="79">
        <f>$J$220-EFEITO!$K$220*EFEITO!$Y$220</f>
        <v>0</v>
      </c>
      <c r="N220" s="79">
        <f ca="1">$K$220-EFEITO!$M$220*EFEITO!$Z$220</f>
        <v>0</v>
      </c>
      <c r="O220" s="79">
        <f>$L$220-EFEITO!$O$220*EFEITO!$AA$220</f>
        <v>0</v>
      </c>
      <c r="P220" s="18"/>
      <c r="Q220" s="18"/>
      <c r="R220" s="18"/>
      <c r="S220" s="18"/>
      <c r="T220" s="18"/>
      <c r="U220" s="18"/>
      <c r="V220" s="18"/>
      <c r="W220" s="18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70" t="s">
        <v>27</v>
      </c>
      <c r="B221" s="70" t="s">
        <v>35</v>
      </c>
      <c r="C221" s="70" t="s">
        <v>39</v>
      </c>
      <c r="D221" s="70" t="s">
        <v>40</v>
      </c>
      <c r="E221" s="70" t="s">
        <v>25</v>
      </c>
      <c r="F221" s="70" t="s">
        <v>25</v>
      </c>
      <c r="G221" s="70" t="s">
        <v>25</v>
      </c>
      <c r="H221" s="70" t="s">
        <v>38</v>
      </c>
      <c r="I221" s="78">
        <v>44470</v>
      </c>
      <c r="J221" s="79">
        <f>EFEITO!$J$221*EFEITO!$Y$221</f>
        <v>0</v>
      </c>
      <c r="K221" s="79">
        <f ca="1">EFEITO!$L$221*EFEITO!$Z$221</f>
        <v>-363.91385751160249</v>
      </c>
      <c r="L221" s="79">
        <f>EFEITO!$N$221*EFEITO!$AA$221</f>
        <v>-779.64778263175481</v>
      </c>
      <c r="M221" s="79">
        <f>$J$221-EFEITO!$K$221*EFEITO!$Y$221</f>
        <v>0</v>
      </c>
      <c r="N221" s="79">
        <f ca="1">$K$221-EFEITO!$M$221*EFEITO!$Z$221</f>
        <v>0</v>
      </c>
      <c r="O221" s="79">
        <f>$L$221-EFEITO!$O$221*EFEITO!$AA$221</f>
        <v>0</v>
      </c>
      <c r="P221" s="18"/>
      <c r="Q221" s="18"/>
      <c r="R221" s="18"/>
      <c r="S221" s="18"/>
      <c r="T221" s="18"/>
      <c r="U221" s="18"/>
      <c r="V221" s="18"/>
      <c r="W221" s="18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70" t="s">
        <v>28</v>
      </c>
      <c r="B222" s="70" t="s">
        <v>35</v>
      </c>
      <c r="C222" s="70" t="s">
        <v>39</v>
      </c>
      <c r="D222" s="70" t="s">
        <v>40</v>
      </c>
      <c r="E222" s="70" t="s">
        <v>25</v>
      </c>
      <c r="F222" s="70" t="s">
        <v>25</v>
      </c>
      <c r="G222" s="70" t="s">
        <v>25</v>
      </c>
      <c r="H222" s="70" t="s">
        <v>38</v>
      </c>
      <c r="I222" s="78">
        <v>44470</v>
      </c>
      <c r="J222" s="79">
        <f>EFEITO!$J$222*EFEITO!$Y$222</f>
        <v>0</v>
      </c>
      <c r="K222" s="79">
        <f ca="1">EFEITO!$L$222*EFEITO!$Z$222</f>
        <v>1211.1652609047817</v>
      </c>
      <c r="L222" s="79">
        <f>EFEITO!$N$222*EFEITO!$AA$222</f>
        <v>2594.7962425006522</v>
      </c>
      <c r="M222" s="79">
        <f>$J$222-EFEITO!$K$222*EFEITO!$Y$222</f>
        <v>0</v>
      </c>
      <c r="N222" s="79">
        <f ca="1">$K$222-EFEITO!$M$222*EFEITO!$Z$222</f>
        <v>0</v>
      </c>
      <c r="O222" s="79">
        <f>$L$222-EFEITO!$O$222*EFEITO!$AA$222</f>
        <v>0</v>
      </c>
      <c r="P222" s="18"/>
      <c r="Q222" s="18"/>
      <c r="R222" s="18"/>
      <c r="S222" s="18"/>
      <c r="T222" s="18"/>
      <c r="U222" s="18"/>
      <c r="V222" s="18"/>
      <c r="W222" s="18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70" t="s">
        <v>21</v>
      </c>
      <c r="B223" s="70" t="s">
        <v>35</v>
      </c>
      <c r="C223" s="70" t="s">
        <v>39</v>
      </c>
      <c r="D223" s="70" t="s">
        <v>40</v>
      </c>
      <c r="E223" s="70" t="s">
        <v>25</v>
      </c>
      <c r="F223" s="70" t="s">
        <v>25</v>
      </c>
      <c r="G223" s="70" t="s">
        <v>25</v>
      </c>
      <c r="H223" s="70" t="s">
        <v>38</v>
      </c>
      <c r="I223" s="78">
        <v>44501</v>
      </c>
      <c r="J223" s="79">
        <f>EFEITO!$J$223*EFEITO!$Y$223</f>
        <v>0</v>
      </c>
      <c r="K223" s="79">
        <f ca="1">EFEITO!$L$223*EFEITO!$Z$223</f>
        <v>111133.4087791787</v>
      </c>
      <c r="L223" s="79">
        <f>EFEITO!$N$223*EFEITO!$AA$223</f>
        <v>238091.82844385807</v>
      </c>
      <c r="M223" s="79">
        <f>$J$223-EFEITO!$K$223*EFEITO!$Y$223</f>
        <v>0</v>
      </c>
      <c r="N223" s="79">
        <f ca="1">$K$223-EFEITO!$M$223*EFEITO!$Z$223</f>
        <v>0</v>
      </c>
      <c r="O223" s="79">
        <f>$L$223-EFEITO!$O$223*EFEITO!$AA$223</f>
        <v>0</v>
      </c>
      <c r="P223" s="18"/>
      <c r="Q223" s="18"/>
      <c r="R223" s="18"/>
      <c r="S223" s="18"/>
      <c r="T223" s="18"/>
      <c r="U223" s="18"/>
      <c r="V223" s="18"/>
      <c r="W223" s="18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70" t="s">
        <v>28</v>
      </c>
      <c r="B224" s="70" t="s">
        <v>35</v>
      </c>
      <c r="C224" s="70" t="s">
        <v>39</v>
      </c>
      <c r="D224" s="70" t="s">
        <v>40</v>
      </c>
      <c r="E224" s="70" t="s">
        <v>25</v>
      </c>
      <c r="F224" s="70" t="s">
        <v>25</v>
      </c>
      <c r="G224" s="70" t="s">
        <v>25</v>
      </c>
      <c r="H224" s="70" t="s">
        <v>38</v>
      </c>
      <c r="I224" s="78">
        <v>44501</v>
      </c>
      <c r="J224" s="79">
        <f>EFEITO!$J$224*EFEITO!$Y$224</f>
        <v>0</v>
      </c>
      <c r="K224" s="79">
        <f ca="1">EFEITO!$L$224*EFEITO!$Z$224</f>
        <v>1331.8840163833381</v>
      </c>
      <c r="L224" s="79">
        <f>EFEITO!$N$224*EFEITO!$AA$224</f>
        <v>2853.4236843751919</v>
      </c>
      <c r="M224" s="79">
        <f>$J$224-EFEITO!$K$224*EFEITO!$Y$224</f>
        <v>0</v>
      </c>
      <c r="N224" s="79">
        <f ca="1">$K$224-EFEITO!$M$224*EFEITO!$Z$224</f>
        <v>0</v>
      </c>
      <c r="O224" s="79">
        <f>$L$224-EFEITO!$O$224*EFEITO!$AA$224</f>
        <v>0</v>
      </c>
      <c r="P224" s="18"/>
      <c r="Q224" s="18"/>
      <c r="R224" s="18"/>
      <c r="S224" s="18"/>
      <c r="T224" s="18"/>
      <c r="U224" s="18"/>
      <c r="V224" s="18"/>
      <c r="W224" s="18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70" t="s">
        <v>21</v>
      </c>
      <c r="B225" s="70" t="s">
        <v>35</v>
      </c>
      <c r="C225" s="70" t="s">
        <v>39</v>
      </c>
      <c r="D225" s="70" t="s">
        <v>40</v>
      </c>
      <c r="E225" s="70" t="s">
        <v>25</v>
      </c>
      <c r="F225" s="70" t="s">
        <v>25</v>
      </c>
      <c r="G225" s="70" t="s">
        <v>25</v>
      </c>
      <c r="H225" s="70" t="s">
        <v>38</v>
      </c>
      <c r="I225" s="78">
        <v>44531</v>
      </c>
      <c r="J225" s="79">
        <f>EFEITO!$J$225*EFEITO!$Y$225</f>
        <v>0</v>
      </c>
      <c r="K225" s="79">
        <f ca="1">EFEITO!$L$225*EFEITO!$Z$225</f>
        <v>204709.5002625148</v>
      </c>
      <c r="L225" s="79">
        <f>EFEITO!$N$225*EFEITO!$AA$225</f>
        <v>438568.92137787252</v>
      </c>
      <c r="M225" s="79">
        <f>$J$225-EFEITO!$K$225*EFEITO!$Y$225</f>
        <v>0</v>
      </c>
      <c r="N225" s="79">
        <f ca="1">$K$225-EFEITO!$M$225*EFEITO!$Z$225</f>
        <v>0</v>
      </c>
      <c r="O225" s="79">
        <f>$L$225-EFEITO!$O$225*EFEITO!$AA$225</f>
        <v>0</v>
      </c>
      <c r="P225" s="18"/>
      <c r="Q225" s="18"/>
      <c r="R225" s="18"/>
      <c r="S225" s="18"/>
      <c r="T225" s="18"/>
      <c r="U225" s="18"/>
      <c r="V225" s="18"/>
      <c r="W225" s="18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70" t="s">
        <v>21</v>
      </c>
      <c r="B226" s="70" t="s">
        <v>35</v>
      </c>
      <c r="C226" s="70" t="s">
        <v>39</v>
      </c>
      <c r="D226" s="70" t="s">
        <v>40</v>
      </c>
      <c r="E226" s="70" t="s">
        <v>25</v>
      </c>
      <c r="F226" s="70" t="s">
        <v>25</v>
      </c>
      <c r="G226" s="70" t="s">
        <v>25</v>
      </c>
      <c r="H226" s="70" t="s">
        <v>38</v>
      </c>
      <c r="I226" s="78">
        <v>44562</v>
      </c>
      <c r="J226" s="79">
        <f>EFEITO!$J$226*EFEITO!$Y$226</f>
        <v>0</v>
      </c>
      <c r="K226" s="79">
        <f ca="1">EFEITO!$L$226*EFEITO!$Z$226</f>
        <v>132846.59642646159</v>
      </c>
      <c r="L226" s="79">
        <f>EFEITO!$N$226*EFEITO!$AA$226</f>
        <v>284610.08614041086</v>
      </c>
      <c r="M226" s="79">
        <f>$J$226-EFEITO!$K$226*EFEITO!$Y$226</f>
        <v>0</v>
      </c>
      <c r="N226" s="79">
        <f ca="1">$K$226-EFEITO!$M$226*EFEITO!$Z$226</f>
        <v>0</v>
      </c>
      <c r="O226" s="79">
        <f>$L$226-EFEITO!$O$226*EFEITO!$AA$226</f>
        <v>0</v>
      </c>
      <c r="P226" s="18"/>
      <c r="Q226" s="18"/>
      <c r="R226" s="18"/>
      <c r="S226" s="18"/>
      <c r="T226" s="18"/>
      <c r="U226" s="18"/>
      <c r="V226" s="18"/>
      <c r="W226" s="18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70" t="s">
        <v>28</v>
      </c>
      <c r="B227" s="70" t="s">
        <v>35</v>
      </c>
      <c r="C227" s="70" t="s">
        <v>39</v>
      </c>
      <c r="D227" s="70" t="s">
        <v>40</v>
      </c>
      <c r="E227" s="70" t="s">
        <v>25</v>
      </c>
      <c r="F227" s="70" t="s">
        <v>25</v>
      </c>
      <c r="G227" s="70" t="s">
        <v>25</v>
      </c>
      <c r="H227" s="70" t="s">
        <v>38</v>
      </c>
      <c r="I227" s="78">
        <v>44562</v>
      </c>
      <c r="J227" s="79">
        <f>EFEITO!$J$227*EFEITO!$Y$227</f>
        <v>0</v>
      </c>
      <c r="K227" s="79">
        <f ca="1">EFEITO!$L$227*EFEITO!$Z$227</f>
        <v>2159.8019179412545</v>
      </c>
      <c r="L227" s="79">
        <f>EFEITO!$N$227*EFEITO!$AA$227</f>
        <v>4627.1521171546037</v>
      </c>
      <c r="M227" s="79">
        <f>$J$227-EFEITO!$K$227*EFEITO!$Y$227</f>
        <v>0</v>
      </c>
      <c r="N227" s="79">
        <f ca="1">$K$227-EFEITO!$M$227*EFEITO!$Z$227</f>
        <v>0</v>
      </c>
      <c r="O227" s="79">
        <f>$L$227-EFEITO!$O$227*EFEITO!$AA$227</f>
        <v>0</v>
      </c>
      <c r="P227" s="18"/>
      <c r="Q227" s="18"/>
      <c r="R227" s="18"/>
      <c r="S227" s="18"/>
      <c r="T227" s="18"/>
      <c r="U227" s="18"/>
      <c r="V227" s="18"/>
      <c r="W227" s="18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70" t="s">
        <v>21</v>
      </c>
      <c r="B228" s="70" t="s">
        <v>35</v>
      </c>
      <c r="C228" s="70" t="s">
        <v>39</v>
      </c>
      <c r="D228" s="70" t="s">
        <v>40</v>
      </c>
      <c r="E228" s="70" t="s">
        <v>25</v>
      </c>
      <c r="F228" s="70" t="s">
        <v>25</v>
      </c>
      <c r="G228" s="70" t="s">
        <v>25</v>
      </c>
      <c r="H228" s="70" t="s">
        <v>38</v>
      </c>
      <c r="I228" s="78">
        <v>44593</v>
      </c>
      <c r="J228" s="79">
        <f>EFEITO!$J$228*EFEITO!$Y$228</f>
        <v>0</v>
      </c>
      <c r="K228" s="79">
        <f ca="1">EFEITO!$L$228*EFEITO!$Z$228</f>
        <v>161084.88719554248</v>
      </c>
      <c r="L228" s="79">
        <f>EFEITO!$N$228*EFEITO!$AA$228</f>
        <v>345107.70207063894</v>
      </c>
      <c r="M228" s="79">
        <f>$J$228-EFEITO!$K$228*EFEITO!$Y$228</f>
        <v>0</v>
      </c>
      <c r="N228" s="79">
        <f ca="1">$K$228-EFEITO!$M$228*EFEITO!$Z$228</f>
        <v>0</v>
      </c>
      <c r="O228" s="79">
        <f>$L$228-EFEITO!$O$228*EFEITO!$AA$228</f>
        <v>0</v>
      </c>
      <c r="P228" s="18"/>
      <c r="Q228" s="18"/>
      <c r="R228" s="18"/>
      <c r="S228" s="18"/>
      <c r="T228" s="18"/>
      <c r="U228" s="18"/>
      <c r="V228" s="18"/>
      <c r="W228" s="18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70" t="s">
        <v>27</v>
      </c>
      <c r="B229" s="70" t="s">
        <v>35</v>
      </c>
      <c r="C229" s="70" t="s">
        <v>39</v>
      </c>
      <c r="D229" s="70" t="s">
        <v>40</v>
      </c>
      <c r="E229" s="70" t="s">
        <v>25</v>
      </c>
      <c r="F229" s="70" t="s">
        <v>25</v>
      </c>
      <c r="G229" s="70" t="s">
        <v>25</v>
      </c>
      <c r="H229" s="70" t="s">
        <v>38</v>
      </c>
      <c r="I229" s="78">
        <v>44593</v>
      </c>
      <c r="J229" s="79">
        <f>EFEITO!$J$229*EFEITO!$Y$229</f>
        <v>0</v>
      </c>
      <c r="K229" s="79">
        <f ca="1">EFEITO!$L$229*EFEITO!$Z$229</f>
        <v>-688.05065383103693</v>
      </c>
      <c r="L229" s="79">
        <f>EFEITO!$N$229*EFEITO!$AA$229</f>
        <v>-1474.077327710979</v>
      </c>
      <c r="M229" s="79">
        <f>$J$229-EFEITO!$K$229*EFEITO!$Y$229</f>
        <v>0</v>
      </c>
      <c r="N229" s="79">
        <f ca="1">$K$229-EFEITO!$M$229*EFEITO!$Z$229</f>
        <v>0</v>
      </c>
      <c r="O229" s="79">
        <f>$L$229-EFEITO!$O$229*EFEITO!$AA$229</f>
        <v>0</v>
      </c>
      <c r="P229" s="18"/>
      <c r="Q229" s="18"/>
      <c r="R229" s="18"/>
      <c r="S229" s="18"/>
      <c r="T229" s="18"/>
      <c r="U229" s="18"/>
      <c r="V229" s="18"/>
      <c r="W229" s="18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70" t="s">
        <v>28</v>
      </c>
      <c r="B230" s="70" t="s">
        <v>35</v>
      </c>
      <c r="C230" s="70" t="s">
        <v>39</v>
      </c>
      <c r="D230" s="70" t="s">
        <v>40</v>
      </c>
      <c r="E230" s="70" t="s">
        <v>25</v>
      </c>
      <c r="F230" s="70" t="s">
        <v>25</v>
      </c>
      <c r="G230" s="70" t="s">
        <v>25</v>
      </c>
      <c r="H230" s="70" t="s">
        <v>38</v>
      </c>
      <c r="I230" s="78">
        <v>44593</v>
      </c>
      <c r="J230" s="79">
        <f>EFEITO!$J$230*EFEITO!$Y$230</f>
        <v>0</v>
      </c>
      <c r="K230" s="79">
        <f ca="1">EFEITO!$L$230*EFEITO!$Z$230</f>
        <v>7394.1856564501586</v>
      </c>
      <c r="L230" s="79">
        <f>EFEITO!$N$230*EFEITO!$AA$230</f>
        <v>15841.277633224216</v>
      </c>
      <c r="M230" s="79">
        <f>$J$230-EFEITO!$K$230*EFEITO!$Y$230</f>
        <v>0</v>
      </c>
      <c r="N230" s="79">
        <f ca="1">$K$230-EFEITO!$M$230*EFEITO!$Z$230</f>
        <v>0</v>
      </c>
      <c r="O230" s="79">
        <f>$L$230-EFEITO!$O$230*EFEITO!$AA$230</f>
        <v>0</v>
      </c>
      <c r="P230" s="18"/>
      <c r="Q230" s="18"/>
      <c r="R230" s="18"/>
      <c r="S230" s="18"/>
      <c r="T230" s="18"/>
      <c r="U230" s="18"/>
      <c r="V230" s="18"/>
      <c r="W230" s="18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70" t="s">
        <v>21</v>
      </c>
      <c r="B231" s="70" t="s">
        <v>35</v>
      </c>
      <c r="C231" s="70" t="s">
        <v>39</v>
      </c>
      <c r="D231" s="70" t="s">
        <v>40</v>
      </c>
      <c r="E231" s="70" t="s">
        <v>25</v>
      </c>
      <c r="F231" s="70" t="s">
        <v>25</v>
      </c>
      <c r="G231" s="70" t="s">
        <v>25</v>
      </c>
      <c r="H231" s="70" t="s">
        <v>38</v>
      </c>
      <c r="I231" s="78">
        <v>44621</v>
      </c>
      <c r="J231" s="79">
        <f>EFEITO!$J$231*EFEITO!$Y$231</f>
        <v>0</v>
      </c>
      <c r="K231" s="79">
        <f ca="1">EFEITO!$L$231*EFEITO!$Z$231</f>
        <v>172082.41207203572</v>
      </c>
      <c r="L231" s="79">
        <f>EFEITO!$N$231*EFEITO!$AA$231</f>
        <v>368668.76111638342</v>
      </c>
      <c r="M231" s="79">
        <f>$J$231-EFEITO!$K$231*EFEITO!$Y$231</f>
        <v>0</v>
      </c>
      <c r="N231" s="79">
        <f ca="1">$K$231-EFEITO!$M$231*EFEITO!$Z$231</f>
        <v>0</v>
      </c>
      <c r="O231" s="79">
        <f>$L$231-EFEITO!$O$231*EFEITO!$AA$231</f>
        <v>0</v>
      </c>
      <c r="P231" s="18"/>
      <c r="Q231" s="18"/>
      <c r="R231" s="18"/>
      <c r="S231" s="18"/>
      <c r="T231" s="18"/>
      <c r="U231" s="18"/>
      <c r="V231" s="18"/>
      <c r="W231" s="18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70" t="s">
        <v>27</v>
      </c>
      <c r="B232" s="70" t="s">
        <v>35</v>
      </c>
      <c r="C232" s="70" t="s">
        <v>39</v>
      </c>
      <c r="D232" s="70" t="s">
        <v>40</v>
      </c>
      <c r="E232" s="70" t="s">
        <v>25</v>
      </c>
      <c r="F232" s="70" t="s">
        <v>25</v>
      </c>
      <c r="G232" s="70" t="s">
        <v>25</v>
      </c>
      <c r="H232" s="70" t="s">
        <v>38</v>
      </c>
      <c r="I232" s="78">
        <v>44621</v>
      </c>
      <c r="J232" s="79">
        <f>EFEITO!$J$232*EFEITO!$Y$232</f>
        <v>0</v>
      </c>
      <c r="K232" s="79">
        <f ca="1">EFEITO!$L$232*EFEITO!$Z$232</f>
        <v>-1555.5606069941807</v>
      </c>
      <c r="L232" s="79">
        <f>EFEITO!$N$232*EFEITO!$AA$232</f>
        <v>-3332.6276341473281</v>
      </c>
      <c r="M232" s="79">
        <f>$J$232-EFEITO!$K$232*EFEITO!$Y$232</f>
        <v>0</v>
      </c>
      <c r="N232" s="79">
        <f ca="1">$K$232-EFEITO!$M$232*EFEITO!$Z$232</f>
        <v>0</v>
      </c>
      <c r="O232" s="79">
        <f>$L$232-EFEITO!$O$232*EFEITO!$AA$232</f>
        <v>0</v>
      </c>
      <c r="P232" s="18"/>
      <c r="Q232" s="18"/>
      <c r="R232" s="18"/>
      <c r="S232" s="18"/>
      <c r="T232" s="18"/>
      <c r="U232" s="18"/>
      <c r="V232" s="18"/>
      <c r="W232" s="18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70" t="s">
        <v>28</v>
      </c>
      <c r="B233" s="70" t="s">
        <v>35</v>
      </c>
      <c r="C233" s="70" t="s">
        <v>39</v>
      </c>
      <c r="D233" s="70" t="s">
        <v>40</v>
      </c>
      <c r="E233" s="70" t="s">
        <v>25</v>
      </c>
      <c r="F233" s="70" t="s">
        <v>25</v>
      </c>
      <c r="G233" s="70" t="s">
        <v>25</v>
      </c>
      <c r="H233" s="70" t="s">
        <v>38</v>
      </c>
      <c r="I233" s="78">
        <v>44621</v>
      </c>
      <c r="J233" s="79">
        <f>EFEITO!$J$233*EFEITO!$Y$233</f>
        <v>0</v>
      </c>
      <c r="K233" s="79">
        <f ca="1">EFEITO!$L$233*EFEITO!$Z$233</f>
        <v>7878.4482502664368</v>
      </c>
      <c r="L233" s="79">
        <f>EFEITO!$N$233*EFEITO!$AA$233</f>
        <v>16878.760129939325</v>
      </c>
      <c r="M233" s="79">
        <f>$J$233-EFEITO!$K$233*EFEITO!$Y$233</f>
        <v>0</v>
      </c>
      <c r="N233" s="79">
        <f ca="1">$K$233-EFEITO!$M$233*EFEITO!$Z$233</f>
        <v>0</v>
      </c>
      <c r="O233" s="79">
        <f>$L$233-EFEITO!$O$233*EFEITO!$AA$233</f>
        <v>0</v>
      </c>
      <c r="P233" s="18"/>
      <c r="Q233" s="18"/>
      <c r="R233" s="18"/>
      <c r="S233" s="18"/>
      <c r="T233" s="18"/>
      <c r="U233" s="18"/>
      <c r="V233" s="18"/>
      <c r="W233" s="18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70" t="s">
        <v>21</v>
      </c>
      <c r="B234" s="70" t="s">
        <v>35</v>
      </c>
      <c r="C234" s="70" t="s">
        <v>39</v>
      </c>
      <c r="D234" s="70" t="s">
        <v>40</v>
      </c>
      <c r="E234" s="70" t="s">
        <v>25</v>
      </c>
      <c r="F234" s="70" t="s">
        <v>25</v>
      </c>
      <c r="G234" s="70" t="s">
        <v>25</v>
      </c>
      <c r="H234" s="70" t="s">
        <v>38</v>
      </c>
      <c r="I234" s="78">
        <v>44652</v>
      </c>
      <c r="J234" s="79">
        <f>EFEITO!$J$234*EFEITO!$Y$234</f>
        <v>0</v>
      </c>
      <c r="K234" s="79">
        <f ca="1">EFEITO!$L$234*EFEITO!$Z$234</f>
        <v>219672.24311110639</v>
      </c>
      <c r="L234" s="79">
        <f>EFEITO!$N$234*EFEITO!$AA$234</f>
        <v>470625.04961591755</v>
      </c>
      <c r="M234" s="79">
        <f>$J$234-EFEITO!$K$234*EFEITO!$Y$234</f>
        <v>0</v>
      </c>
      <c r="N234" s="79">
        <f ca="1">$K$234-EFEITO!$M$234*EFEITO!$Z$234</f>
        <v>0</v>
      </c>
      <c r="O234" s="79">
        <f>$L$234-EFEITO!$O$234*EFEITO!$AA$234</f>
        <v>0</v>
      </c>
      <c r="P234" s="18"/>
      <c r="Q234" s="18"/>
      <c r="R234" s="18"/>
      <c r="S234" s="18"/>
      <c r="T234" s="18"/>
      <c r="U234" s="18"/>
      <c r="V234" s="18"/>
      <c r="W234" s="18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70" t="s">
        <v>27</v>
      </c>
      <c r="B235" s="70" t="s">
        <v>35</v>
      </c>
      <c r="C235" s="70" t="s">
        <v>39</v>
      </c>
      <c r="D235" s="70" t="s">
        <v>40</v>
      </c>
      <c r="E235" s="70" t="s">
        <v>25</v>
      </c>
      <c r="F235" s="70" t="s">
        <v>25</v>
      </c>
      <c r="G235" s="70" t="s">
        <v>25</v>
      </c>
      <c r="H235" s="70" t="s">
        <v>38</v>
      </c>
      <c r="I235" s="78">
        <v>44652</v>
      </c>
      <c r="J235" s="79">
        <f>EFEITO!$J$235*EFEITO!$Y$235</f>
        <v>0</v>
      </c>
      <c r="K235" s="79">
        <f ca="1">EFEITO!$L$235*EFEITO!$Z$235</f>
        <v>-25484.23805788736</v>
      </c>
      <c r="L235" s="79">
        <f>EFEITO!$N$235*EFEITO!$AA$235</f>
        <v>-54597.342980428257</v>
      </c>
      <c r="M235" s="79">
        <f>$J$235-EFEITO!$K$235*EFEITO!$Y$235</f>
        <v>0</v>
      </c>
      <c r="N235" s="79">
        <f ca="1">$K$235-EFEITO!$M$235*EFEITO!$Z$235</f>
        <v>0</v>
      </c>
      <c r="O235" s="79">
        <f>$L$235-EFEITO!$O$235*EFEITO!$AA$235</f>
        <v>0</v>
      </c>
      <c r="P235" s="18"/>
      <c r="Q235" s="18"/>
      <c r="R235" s="18"/>
      <c r="S235" s="18"/>
      <c r="T235" s="18"/>
      <c r="U235" s="18"/>
      <c r="V235" s="18"/>
      <c r="W235" s="18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70" t="s">
        <v>28</v>
      </c>
      <c r="B236" s="70" t="s">
        <v>35</v>
      </c>
      <c r="C236" s="70" t="s">
        <v>39</v>
      </c>
      <c r="D236" s="70" t="s">
        <v>40</v>
      </c>
      <c r="E236" s="70" t="s">
        <v>25</v>
      </c>
      <c r="F236" s="70" t="s">
        <v>25</v>
      </c>
      <c r="G236" s="70" t="s">
        <v>25</v>
      </c>
      <c r="H236" s="70" t="s">
        <v>38</v>
      </c>
      <c r="I236" s="78">
        <v>44652</v>
      </c>
      <c r="J236" s="79">
        <f>EFEITO!$J$236*EFEITO!$Y$236</f>
        <v>0</v>
      </c>
      <c r="K236" s="79">
        <f ca="1">EFEITO!$L$236*EFEITO!$Z$236</f>
        <v>22320.019092447128</v>
      </c>
      <c r="L236" s="79">
        <f>EFEITO!$N$236*EFEITO!$AA$236</f>
        <v>47818.33127409836</v>
      </c>
      <c r="M236" s="79">
        <f>$J$236-EFEITO!$K$236*EFEITO!$Y$236</f>
        <v>0</v>
      </c>
      <c r="N236" s="79">
        <f ca="1">$K$236-EFEITO!$M$236*EFEITO!$Z$236</f>
        <v>0</v>
      </c>
      <c r="O236" s="79">
        <f>$L$236-EFEITO!$O$236*EFEITO!$AA$236</f>
        <v>0</v>
      </c>
      <c r="P236" s="18"/>
      <c r="Q236" s="18"/>
      <c r="R236" s="18"/>
      <c r="S236" s="18"/>
      <c r="T236" s="18"/>
      <c r="U236" s="18"/>
      <c r="V236" s="18"/>
      <c r="W236" s="18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70" t="s">
        <v>21</v>
      </c>
      <c r="B237" s="70" t="s">
        <v>35</v>
      </c>
      <c r="C237" s="70" t="s">
        <v>39</v>
      </c>
      <c r="D237" s="70" t="s">
        <v>40</v>
      </c>
      <c r="E237" s="70" t="s">
        <v>25</v>
      </c>
      <c r="F237" s="70" t="s">
        <v>25</v>
      </c>
      <c r="G237" s="70" t="s">
        <v>25</v>
      </c>
      <c r="H237" s="70" t="s">
        <v>38</v>
      </c>
      <c r="I237" s="78">
        <v>44682</v>
      </c>
      <c r="J237" s="79">
        <f>EFEITO!$J$237*EFEITO!$Y$237</f>
        <v>0</v>
      </c>
      <c r="K237" s="79">
        <f ca="1">EFEITO!$L$237*EFEITO!$Z$237</f>
        <v>259892.21725440957</v>
      </c>
      <c r="L237" s="79">
        <f>EFEITO!$N$237*EFEITO!$AA$237</f>
        <v>556792.18233449804</v>
      </c>
      <c r="M237" s="79">
        <f>$J$237-EFEITO!$K$237*EFEITO!$Y$237</f>
        <v>0</v>
      </c>
      <c r="N237" s="79">
        <f ca="1">$K$237-EFEITO!$M$237*EFEITO!$Z$237</f>
        <v>0</v>
      </c>
      <c r="O237" s="79">
        <f>$L$237-EFEITO!$O$237*EFEITO!$AA$237</f>
        <v>0</v>
      </c>
      <c r="P237" s="18"/>
      <c r="Q237" s="18"/>
      <c r="R237" s="18"/>
      <c r="S237" s="18"/>
      <c r="T237" s="18"/>
      <c r="U237" s="18"/>
      <c r="V237" s="18"/>
      <c r="W237" s="18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70" t="s">
        <v>27</v>
      </c>
      <c r="B238" s="70" t="s">
        <v>35</v>
      </c>
      <c r="C238" s="70" t="s">
        <v>39</v>
      </c>
      <c r="D238" s="70" t="s">
        <v>40</v>
      </c>
      <c r="E238" s="70" t="s">
        <v>25</v>
      </c>
      <c r="F238" s="70" t="s">
        <v>25</v>
      </c>
      <c r="G238" s="70" t="s">
        <v>25</v>
      </c>
      <c r="H238" s="70" t="s">
        <v>38</v>
      </c>
      <c r="I238" s="78">
        <v>44682</v>
      </c>
      <c r="J238" s="79">
        <f>EFEITO!$J$238*EFEITO!$Y$238</f>
        <v>0</v>
      </c>
      <c r="K238" s="79">
        <f ca="1">EFEITO!$L$238*EFEITO!$Z$238</f>
        <v>-1814.4815239171537</v>
      </c>
      <c r="L238" s="79">
        <f>EFEITO!$N$238*EFEITO!$AA$238</f>
        <v>-3887.3389060299614</v>
      </c>
      <c r="M238" s="79">
        <f>$J$238-EFEITO!$K$238*EFEITO!$Y$238</f>
        <v>0</v>
      </c>
      <c r="N238" s="79">
        <f ca="1">$K$238-EFEITO!$M$238*EFEITO!$Z$238</f>
        <v>0</v>
      </c>
      <c r="O238" s="79">
        <f>$L$238-EFEITO!$O$238*EFEITO!$AA$238</f>
        <v>0</v>
      </c>
      <c r="P238" s="18"/>
      <c r="Q238" s="18"/>
      <c r="R238" s="18"/>
      <c r="S238" s="18"/>
      <c r="T238" s="18"/>
      <c r="U238" s="18"/>
      <c r="V238" s="18"/>
      <c r="W238" s="18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70" t="s">
        <v>28</v>
      </c>
      <c r="B239" s="70" t="s">
        <v>35</v>
      </c>
      <c r="C239" s="70" t="s">
        <v>39</v>
      </c>
      <c r="D239" s="70" t="s">
        <v>40</v>
      </c>
      <c r="E239" s="70" t="s">
        <v>25</v>
      </c>
      <c r="F239" s="70" t="s">
        <v>25</v>
      </c>
      <c r="G239" s="70" t="s">
        <v>25</v>
      </c>
      <c r="H239" s="70" t="s">
        <v>38</v>
      </c>
      <c r="I239" s="78">
        <v>44682</v>
      </c>
      <c r="J239" s="79">
        <f>EFEITO!$J$239*EFEITO!$Y$239</f>
        <v>0</v>
      </c>
      <c r="K239" s="79">
        <f ca="1">EFEITO!$L$239*EFEITO!$Z$239</f>
        <v>14657.014506172691</v>
      </c>
      <c r="L239" s="79">
        <f>EFEITO!$N$239*EFEITO!$AA$239</f>
        <v>31401.136900577279</v>
      </c>
      <c r="M239" s="79">
        <f>$J$239-EFEITO!$K$239*EFEITO!$Y$239</f>
        <v>0</v>
      </c>
      <c r="N239" s="79">
        <f ca="1">$K$239-EFEITO!$M$239*EFEITO!$Z$239</f>
        <v>0</v>
      </c>
      <c r="O239" s="79">
        <f>$L$239-EFEITO!$O$239*EFEITO!$AA$239</f>
        <v>0</v>
      </c>
      <c r="P239" s="18"/>
      <c r="Q239" s="18"/>
      <c r="R239" s="18"/>
      <c r="S239" s="18"/>
      <c r="T239" s="18"/>
      <c r="U239" s="18"/>
      <c r="V239" s="18"/>
      <c r="W239" s="18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70" t="s">
        <v>21</v>
      </c>
      <c r="B240" s="70" t="s">
        <v>35</v>
      </c>
      <c r="C240" s="70" t="s">
        <v>39</v>
      </c>
      <c r="D240" s="70" t="s">
        <v>40</v>
      </c>
      <c r="E240" s="70" t="s">
        <v>25</v>
      </c>
      <c r="F240" s="70" t="s">
        <v>25</v>
      </c>
      <c r="G240" s="70" t="s">
        <v>25</v>
      </c>
      <c r="H240" s="70" t="s">
        <v>38</v>
      </c>
      <c r="I240" s="78">
        <v>44713</v>
      </c>
      <c r="J240" s="79">
        <f>EFEITO!$J$240*EFEITO!$Y$240</f>
        <v>0</v>
      </c>
      <c r="K240" s="79">
        <f ca="1">EFEITO!$L$240*EFEITO!$Z$240</f>
        <v>237365.44994855663</v>
      </c>
      <c r="L240" s="79">
        <f>EFEITO!$N$240*EFEITO!$AA$240</f>
        <v>508530.91440707428</v>
      </c>
      <c r="M240" s="79">
        <f>$J$240-EFEITO!$K$240*EFEITO!$Y$240</f>
        <v>0</v>
      </c>
      <c r="N240" s="79">
        <f ca="1">$K$240-EFEITO!$M$240*EFEITO!$Z$240</f>
        <v>0</v>
      </c>
      <c r="O240" s="79">
        <f>$L$240-EFEITO!$O$240*EFEITO!$AA$240</f>
        <v>0</v>
      </c>
      <c r="P240" s="18"/>
      <c r="Q240" s="18"/>
      <c r="R240" s="18"/>
      <c r="S240" s="18"/>
      <c r="T240" s="18"/>
      <c r="U240" s="18"/>
      <c r="V240" s="18"/>
      <c r="W240" s="18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70" t="s">
        <v>27</v>
      </c>
      <c r="B241" s="70" t="s">
        <v>35</v>
      </c>
      <c r="C241" s="70" t="s">
        <v>39</v>
      </c>
      <c r="D241" s="70" t="s">
        <v>40</v>
      </c>
      <c r="E241" s="70" t="s">
        <v>25</v>
      </c>
      <c r="F241" s="70" t="s">
        <v>25</v>
      </c>
      <c r="G241" s="70" t="s">
        <v>25</v>
      </c>
      <c r="H241" s="70" t="s">
        <v>38</v>
      </c>
      <c r="I241" s="78">
        <v>44713</v>
      </c>
      <c r="J241" s="79">
        <f>EFEITO!$J$241*EFEITO!$Y$241</f>
        <v>0</v>
      </c>
      <c r="K241" s="79">
        <f ca="1">EFEITO!$L$241*EFEITO!$Z$241</f>
        <v>-11038.597004793983</v>
      </c>
      <c r="L241" s="79">
        <f>EFEITO!$N$241*EFEITO!$AA$241</f>
        <v>-23649.051830566168</v>
      </c>
      <c r="M241" s="79">
        <f>$J$241-EFEITO!$K$241*EFEITO!$Y$241</f>
        <v>0</v>
      </c>
      <c r="N241" s="79">
        <f ca="1">$K$241-EFEITO!$M$241*EFEITO!$Z$241</f>
        <v>0</v>
      </c>
      <c r="O241" s="79">
        <f>$L$241-EFEITO!$O$241*EFEITO!$AA$241</f>
        <v>0</v>
      </c>
      <c r="P241" s="18"/>
      <c r="Q241" s="18"/>
      <c r="R241" s="18"/>
      <c r="S241" s="18"/>
      <c r="T241" s="18"/>
      <c r="U241" s="18"/>
      <c r="V241" s="18"/>
      <c r="W241" s="18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70" t="s">
        <v>28</v>
      </c>
      <c r="B242" s="70" t="s">
        <v>35</v>
      </c>
      <c r="C242" s="70" t="s">
        <v>39</v>
      </c>
      <c r="D242" s="70" t="s">
        <v>40</v>
      </c>
      <c r="E242" s="70" t="s">
        <v>25</v>
      </c>
      <c r="F242" s="70" t="s">
        <v>25</v>
      </c>
      <c r="G242" s="70" t="s">
        <v>25</v>
      </c>
      <c r="H242" s="70" t="s">
        <v>38</v>
      </c>
      <c r="I242" s="78">
        <v>44713</v>
      </c>
      <c r="J242" s="79">
        <f>EFEITO!$J$242*EFEITO!$Y$242</f>
        <v>0</v>
      </c>
      <c r="K242" s="79">
        <f ca="1">EFEITO!$L$242*EFEITO!$Z$242</f>
        <v>23070.232967490112</v>
      </c>
      <c r="L242" s="79">
        <f>EFEITO!$N$242*EFEITO!$AA$242</f>
        <v>49425.58687072865</v>
      </c>
      <c r="M242" s="79">
        <f>$J$242-EFEITO!$K$242*EFEITO!$Y$242</f>
        <v>0</v>
      </c>
      <c r="N242" s="79">
        <f ca="1">$K$242-EFEITO!$M$242*EFEITO!$Z$242</f>
        <v>0</v>
      </c>
      <c r="O242" s="79">
        <f>$L$242-EFEITO!$O$242*EFEITO!$AA$242</f>
        <v>0</v>
      </c>
      <c r="P242" s="18"/>
      <c r="Q242" s="18"/>
      <c r="R242" s="18"/>
      <c r="S242" s="18"/>
      <c r="T242" s="18"/>
      <c r="U242" s="18"/>
      <c r="V242" s="18"/>
      <c r="W242" s="18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70" t="s">
        <v>21</v>
      </c>
      <c r="B243" s="70" t="s">
        <v>35</v>
      </c>
      <c r="C243" s="70" t="s">
        <v>39</v>
      </c>
      <c r="D243" s="70" t="s">
        <v>40</v>
      </c>
      <c r="E243" s="70" t="s">
        <v>25</v>
      </c>
      <c r="F243" s="70" t="s">
        <v>25</v>
      </c>
      <c r="G243" s="70" t="s">
        <v>25</v>
      </c>
      <c r="H243" s="70" t="s">
        <v>25</v>
      </c>
      <c r="I243" s="78">
        <v>44378</v>
      </c>
      <c r="J243" s="79">
        <f ca="1">EFEITO!$J$243*EFEITO!$Y$243</f>
        <v>649268.2440289082</v>
      </c>
      <c r="K243" s="79">
        <f>EFEITO!$L$243*EFEITO!$Z$243</f>
        <v>0</v>
      </c>
      <c r="L243" s="79">
        <f>EFEITO!$N$243*EFEITO!$AA$243</f>
        <v>0</v>
      </c>
      <c r="M243" s="79">
        <f ca="1">$J$243-EFEITO!$K$243*EFEITO!$Y$243</f>
        <v>0</v>
      </c>
      <c r="N243" s="79">
        <f>$K$243-EFEITO!$M$243*EFEITO!$Z$243</f>
        <v>0</v>
      </c>
      <c r="O243" s="79">
        <f>$L$243-EFEITO!$O$243*EFEITO!$AA$243</f>
        <v>0</v>
      </c>
      <c r="P243" s="18"/>
      <c r="Q243" s="18"/>
      <c r="R243" s="18"/>
      <c r="S243" s="18"/>
      <c r="T243" s="18"/>
      <c r="U243" s="18"/>
      <c r="V243" s="18"/>
      <c r="W243" s="18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70" t="s">
        <v>27</v>
      </c>
      <c r="B244" s="70" t="s">
        <v>35</v>
      </c>
      <c r="C244" s="70" t="s">
        <v>39</v>
      </c>
      <c r="D244" s="70" t="s">
        <v>40</v>
      </c>
      <c r="E244" s="70" t="s">
        <v>25</v>
      </c>
      <c r="F244" s="70" t="s">
        <v>25</v>
      </c>
      <c r="G244" s="70" t="s">
        <v>25</v>
      </c>
      <c r="H244" s="70" t="s">
        <v>25</v>
      </c>
      <c r="I244" s="78">
        <v>44378</v>
      </c>
      <c r="J244" s="79">
        <f ca="1">EFEITO!$J$244*EFEITO!$Y$244</f>
        <v>-129975.46273524298</v>
      </c>
      <c r="K244" s="79">
        <f>EFEITO!$L$244*EFEITO!$Z$244</f>
        <v>0</v>
      </c>
      <c r="L244" s="79">
        <f>EFEITO!$N$244*EFEITO!$AA$244</f>
        <v>0</v>
      </c>
      <c r="M244" s="79">
        <f ca="1">$J$244-EFEITO!$K$244*EFEITO!$Y$244</f>
        <v>0</v>
      </c>
      <c r="N244" s="79">
        <f>$K$244-EFEITO!$M$244*EFEITO!$Z$244</f>
        <v>0</v>
      </c>
      <c r="O244" s="79">
        <f>$L$244-EFEITO!$O$244*EFEITO!$AA$244</f>
        <v>0</v>
      </c>
      <c r="P244" s="18"/>
      <c r="Q244" s="18"/>
      <c r="R244" s="18"/>
      <c r="S244" s="18"/>
      <c r="T244" s="18"/>
      <c r="U244" s="18"/>
      <c r="V244" s="18"/>
      <c r="W244" s="18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70" t="s">
        <v>28</v>
      </c>
      <c r="B245" s="70" t="s">
        <v>35</v>
      </c>
      <c r="C245" s="70" t="s">
        <v>39</v>
      </c>
      <c r="D245" s="70" t="s">
        <v>40</v>
      </c>
      <c r="E245" s="70" t="s">
        <v>25</v>
      </c>
      <c r="F245" s="70" t="s">
        <v>25</v>
      </c>
      <c r="G245" s="70" t="s">
        <v>25</v>
      </c>
      <c r="H245" s="70" t="s">
        <v>25</v>
      </c>
      <c r="I245" s="78">
        <v>44378</v>
      </c>
      <c r="J245" s="79">
        <f ca="1">EFEITO!$J$245*EFEITO!$Y$245</f>
        <v>38158.213403762762</v>
      </c>
      <c r="K245" s="79">
        <f>EFEITO!$L$245*EFEITO!$Z$245</f>
        <v>0</v>
      </c>
      <c r="L245" s="79">
        <f>EFEITO!$N$245*EFEITO!$AA$245</f>
        <v>0</v>
      </c>
      <c r="M245" s="79">
        <f ca="1">$J$245-EFEITO!$K$245*EFEITO!$Y$245</f>
        <v>0</v>
      </c>
      <c r="N245" s="79">
        <f>$K$245-EFEITO!$M$245*EFEITO!$Z$245</f>
        <v>0</v>
      </c>
      <c r="O245" s="79">
        <f>$L$245-EFEITO!$O$245*EFEITO!$AA$245</f>
        <v>0</v>
      </c>
      <c r="P245" s="18"/>
      <c r="Q245" s="18"/>
      <c r="R245" s="18"/>
      <c r="S245" s="18"/>
      <c r="T245" s="18"/>
      <c r="U245" s="18"/>
      <c r="V245" s="18"/>
      <c r="W245" s="18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70" t="s">
        <v>28</v>
      </c>
      <c r="B246" s="70" t="s">
        <v>35</v>
      </c>
      <c r="C246" s="70" t="s">
        <v>39</v>
      </c>
      <c r="D246" s="70" t="s">
        <v>40</v>
      </c>
      <c r="E246" s="70" t="s">
        <v>25</v>
      </c>
      <c r="F246" s="70" t="s">
        <v>25</v>
      </c>
      <c r="G246" s="70" t="s">
        <v>25</v>
      </c>
      <c r="H246" s="70" t="s">
        <v>25</v>
      </c>
      <c r="I246" s="78">
        <v>44378</v>
      </c>
      <c r="J246" s="79">
        <f ca="1">EFEITO!$J$246*EFEITO!$Y$246</f>
        <v>-2497.1855539573394</v>
      </c>
      <c r="K246" s="79">
        <f>EFEITO!$L$246*EFEITO!$Z$246</f>
        <v>0</v>
      </c>
      <c r="L246" s="79">
        <f>EFEITO!$N$246*EFEITO!$AA$246</f>
        <v>0</v>
      </c>
      <c r="M246" s="79">
        <f ca="1">$J$246-EFEITO!$K$246*EFEITO!$Y$246</f>
        <v>0</v>
      </c>
      <c r="N246" s="79">
        <f>$K$246-EFEITO!$M$246*EFEITO!$Z$246</f>
        <v>0</v>
      </c>
      <c r="O246" s="79">
        <f>$L$246-EFEITO!$O$246*EFEITO!$AA$246</f>
        <v>0</v>
      </c>
      <c r="P246" s="18"/>
      <c r="Q246" s="18"/>
      <c r="R246" s="18"/>
      <c r="S246" s="18"/>
      <c r="T246" s="18"/>
      <c r="U246" s="18"/>
      <c r="V246" s="18"/>
      <c r="W246" s="18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70" t="s">
        <v>21</v>
      </c>
      <c r="B247" s="70" t="s">
        <v>35</v>
      </c>
      <c r="C247" s="70" t="s">
        <v>39</v>
      </c>
      <c r="D247" s="70" t="s">
        <v>40</v>
      </c>
      <c r="E247" s="70" t="s">
        <v>25</v>
      </c>
      <c r="F247" s="70" t="s">
        <v>25</v>
      </c>
      <c r="G247" s="70" t="s">
        <v>25</v>
      </c>
      <c r="H247" s="70" t="s">
        <v>25</v>
      </c>
      <c r="I247" s="78">
        <v>44409</v>
      </c>
      <c r="J247" s="79">
        <f ca="1">EFEITO!$J$247*EFEITO!$Y$247</f>
        <v>498736.6806970652</v>
      </c>
      <c r="K247" s="79">
        <f>EFEITO!$L$247*EFEITO!$Z$247</f>
        <v>0</v>
      </c>
      <c r="L247" s="79">
        <f>EFEITO!$N$247*EFEITO!$AA$247</f>
        <v>0</v>
      </c>
      <c r="M247" s="79">
        <f ca="1">$J$247-EFEITO!$K$247*EFEITO!$Y$247</f>
        <v>0</v>
      </c>
      <c r="N247" s="79">
        <f>$K$247-EFEITO!$M$247*EFEITO!$Z$247</f>
        <v>0</v>
      </c>
      <c r="O247" s="79">
        <f>$L$247-EFEITO!$O$247*EFEITO!$AA$247</f>
        <v>0</v>
      </c>
      <c r="P247" s="18"/>
      <c r="Q247" s="18"/>
      <c r="R247" s="18"/>
      <c r="S247" s="18"/>
      <c r="T247" s="18"/>
      <c r="U247" s="18"/>
      <c r="V247" s="18"/>
      <c r="W247" s="18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70" t="s">
        <v>27</v>
      </c>
      <c r="B248" s="70" t="s">
        <v>35</v>
      </c>
      <c r="C248" s="70" t="s">
        <v>39</v>
      </c>
      <c r="D248" s="70" t="s">
        <v>40</v>
      </c>
      <c r="E248" s="70" t="s">
        <v>25</v>
      </c>
      <c r="F248" s="70" t="s">
        <v>25</v>
      </c>
      <c r="G248" s="70" t="s">
        <v>25</v>
      </c>
      <c r="H248" s="70" t="s">
        <v>25</v>
      </c>
      <c r="I248" s="78">
        <v>44409</v>
      </c>
      <c r="J248" s="79">
        <f ca="1">EFEITO!$J$248*EFEITO!$Y$248</f>
        <v>-3349.8830601866748</v>
      </c>
      <c r="K248" s="79">
        <f>EFEITO!$L$248*EFEITO!$Z$248</f>
        <v>0</v>
      </c>
      <c r="L248" s="79">
        <f>EFEITO!$N$248*EFEITO!$AA$248</f>
        <v>0</v>
      </c>
      <c r="M248" s="79">
        <f ca="1">$J$248-EFEITO!$K$248*EFEITO!$Y$248</f>
        <v>0</v>
      </c>
      <c r="N248" s="79">
        <f>$K$248-EFEITO!$M$248*EFEITO!$Z$248</f>
        <v>0</v>
      </c>
      <c r="O248" s="79">
        <f>$L$248-EFEITO!$O$248*EFEITO!$AA$248</f>
        <v>0</v>
      </c>
      <c r="P248" s="18"/>
      <c r="Q248" s="18"/>
      <c r="R248" s="18"/>
      <c r="S248" s="18"/>
      <c r="T248" s="18"/>
      <c r="U248" s="18"/>
      <c r="V248" s="18"/>
      <c r="W248" s="18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70" t="s">
        <v>28</v>
      </c>
      <c r="B249" s="70" t="s">
        <v>35</v>
      </c>
      <c r="C249" s="70" t="s">
        <v>39</v>
      </c>
      <c r="D249" s="70" t="s">
        <v>40</v>
      </c>
      <c r="E249" s="70" t="s">
        <v>25</v>
      </c>
      <c r="F249" s="70" t="s">
        <v>25</v>
      </c>
      <c r="G249" s="70" t="s">
        <v>25</v>
      </c>
      <c r="H249" s="70" t="s">
        <v>25</v>
      </c>
      <c r="I249" s="78">
        <v>44409</v>
      </c>
      <c r="J249" s="79">
        <f ca="1">EFEITO!$J$249*EFEITO!$Y$249</f>
        <v>32189.33086015741</v>
      </c>
      <c r="K249" s="79">
        <f>EFEITO!$L$249*EFEITO!$Z$249</f>
        <v>0</v>
      </c>
      <c r="L249" s="79">
        <f>EFEITO!$N$249*EFEITO!$AA$249</f>
        <v>0</v>
      </c>
      <c r="M249" s="79">
        <f ca="1">$J$249-EFEITO!$K$249*EFEITO!$Y$249</f>
        <v>0</v>
      </c>
      <c r="N249" s="79">
        <f>$K$249-EFEITO!$M$249*EFEITO!$Z$249</f>
        <v>0</v>
      </c>
      <c r="O249" s="79">
        <f>$L$249-EFEITO!$O$249*EFEITO!$AA$249</f>
        <v>0</v>
      </c>
      <c r="P249" s="18"/>
      <c r="Q249" s="18"/>
      <c r="R249" s="18"/>
      <c r="S249" s="18"/>
      <c r="T249" s="18"/>
      <c r="U249" s="18"/>
      <c r="V249" s="18"/>
      <c r="W249" s="18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70" t="s">
        <v>21</v>
      </c>
      <c r="B250" s="70" t="s">
        <v>35</v>
      </c>
      <c r="C250" s="70" t="s">
        <v>39</v>
      </c>
      <c r="D250" s="70" t="s">
        <v>40</v>
      </c>
      <c r="E250" s="70" t="s">
        <v>25</v>
      </c>
      <c r="F250" s="70" t="s">
        <v>25</v>
      </c>
      <c r="G250" s="70" t="s">
        <v>25</v>
      </c>
      <c r="H250" s="70" t="s">
        <v>25</v>
      </c>
      <c r="I250" s="78">
        <v>44440</v>
      </c>
      <c r="J250" s="79">
        <f ca="1">EFEITO!$J$250*EFEITO!$Y$250</f>
        <v>451198.79472477979</v>
      </c>
      <c r="K250" s="79">
        <f>EFEITO!$L$250*EFEITO!$Z$250</f>
        <v>0</v>
      </c>
      <c r="L250" s="79">
        <f>EFEITO!$N$250*EFEITO!$AA$250</f>
        <v>0</v>
      </c>
      <c r="M250" s="79">
        <f ca="1">$J$250-EFEITO!$K$250*EFEITO!$Y$250</f>
        <v>0</v>
      </c>
      <c r="N250" s="79">
        <f>$K$250-EFEITO!$M$250*EFEITO!$Z$250</f>
        <v>0</v>
      </c>
      <c r="O250" s="79">
        <f>$L$250-EFEITO!$O$250*EFEITO!$AA$250</f>
        <v>0</v>
      </c>
      <c r="P250" s="18"/>
      <c r="Q250" s="18"/>
      <c r="R250" s="18"/>
      <c r="S250" s="18"/>
      <c r="T250" s="18"/>
      <c r="U250" s="18"/>
      <c r="V250" s="18"/>
      <c r="W250" s="18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70" t="s">
        <v>27</v>
      </c>
      <c r="B251" s="70" t="s">
        <v>35</v>
      </c>
      <c r="C251" s="70" t="s">
        <v>39</v>
      </c>
      <c r="D251" s="70" t="s">
        <v>40</v>
      </c>
      <c r="E251" s="70" t="s">
        <v>25</v>
      </c>
      <c r="F251" s="70" t="s">
        <v>25</v>
      </c>
      <c r="G251" s="70" t="s">
        <v>25</v>
      </c>
      <c r="H251" s="70" t="s">
        <v>25</v>
      </c>
      <c r="I251" s="78">
        <v>44440</v>
      </c>
      <c r="J251" s="79">
        <f ca="1">EFEITO!$J$251*EFEITO!$Y$251</f>
        <v>-21956.960785405387</v>
      </c>
      <c r="K251" s="79">
        <f>EFEITO!$L$251*EFEITO!$Z$251</f>
        <v>0</v>
      </c>
      <c r="L251" s="79">
        <f>EFEITO!$N$251*EFEITO!$AA$251</f>
        <v>0</v>
      </c>
      <c r="M251" s="79">
        <f ca="1">$J$251-EFEITO!$K$251*EFEITO!$Y$251</f>
        <v>0</v>
      </c>
      <c r="N251" s="79">
        <f>$K$251-EFEITO!$M$251*EFEITO!$Z$251</f>
        <v>0</v>
      </c>
      <c r="O251" s="79">
        <f>$L$251-EFEITO!$O$251*EFEITO!$AA$251</f>
        <v>0</v>
      </c>
      <c r="P251" s="18"/>
      <c r="Q251" s="18"/>
      <c r="R251" s="18"/>
      <c r="S251" s="18"/>
      <c r="T251" s="18"/>
      <c r="U251" s="18"/>
      <c r="V251" s="18"/>
      <c r="W251" s="18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70" t="s">
        <v>28</v>
      </c>
      <c r="B252" s="70" t="s">
        <v>35</v>
      </c>
      <c r="C252" s="70" t="s">
        <v>39</v>
      </c>
      <c r="D252" s="70" t="s">
        <v>40</v>
      </c>
      <c r="E252" s="70" t="s">
        <v>25</v>
      </c>
      <c r="F252" s="70" t="s">
        <v>25</v>
      </c>
      <c r="G252" s="70" t="s">
        <v>25</v>
      </c>
      <c r="H252" s="70" t="s">
        <v>25</v>
      </c>
      <c r="I252" s="78">
        <v>44440</v>
      </c>
      <c r="J252" s="79">
        <f ca="1">EFEITO!$J$252*EFEITO!$Y$252</f>
        <v>32189.33086015741</v>
      </c>
      <c r="K252" s="79">
        <f>EFEITO!$L$252*EFEITO!$Z$252</f>
        <v>0</v>
      </c>
      <c r="L252" s="79">
        <f>EFEITO!$N$252*EFEITO!$AA$252</f>
        <v>0</v>
      </c>
      <c r="M252" s="79">
        <f ca="1">$J$252-EFEITO!$K$252*EFEITO!$Y$252</f>
        <v>0</v>
      </c>
      <c r="N252" s="79">
        <f>$K$252-EFEITO!$M$252*EFEITO!$Z$252</f>
        <v>0</v>
      </c>
      <c r="O252" s="79">
        <f>$L$252-EFEITO!$O$252*EFEITO!$AA$252</f>
        <v>0</v>
      </c>
      <c r="P252" s="18"/>
      <c r="Q252" s="18"/>
      <c r="R252" s="18"/>
      <c r="S252" s="18"/>
      <c r="T252" s="18"/>
      <c r="U252" s="18"/>
      <c r="V252" s="18"/>
      <c r="W252" s="18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70" t="s">
        <v>21</v>
      </c>
      <c r="B253" s="70" t="s">
        <v>35</v>
      </c>
      <c r="C253" s="70" t="s">
        <v>39</v>
      </c>
      <c r="D253" s="70" t="s">
        <v>40</v>
      </c>
      <c r="E253" s="70" t="s">
        <v>25</v>
      </c>
      <c r="F253" s="70" t="s">
        <v>25</v>
      </c>
      <c r="G253" s="70" t="s">
        <v>25</v>
      </c>
      <c r="H253" s="70" t="s">
        <v>25</v>
      </c>
      <c r="I253" s="78">
        <v>44470</v>
      </c>
      <c r="J253" s="79">
        <f ca="1">EFEITO!$J$253*EFEITO!$Y$253</f>
        <v>458050.82825697976</v>
      </c>
      <c r="K253" s="79">
        <f>EFEITO!$L$253*EFEITO!$Z$253</f>
        <v>0</v>
      </c>
      <c r="L253" s="79">
        <f>EFEITO!$N$253*EFEITO!$AA$253</f>
        <v>0</v>
      </c>
      <c r="M253" s="79">
        <f ca="1">$J$253-EFEITO!$K$253*EFEITO!$Y$253</f>
        <v>0</v>
      </c>
      <c r="N253" s="79">
        <f>$K$253-EFEITO!$M$253*EFEITO!$Z$253</f>
        <v>0</v>
      </c>
      <c r="O253" s="79">
        <f>$L$253-EFEITO!$O$253*EFEITO!$AA$253</f>
        <v>0</v>
      </c>
      <c r="P253" s="18"/>
      <c r="Q253" s="18"/>
      <c r="R253" s="18"/>
      <c r="S253" s="18"/>
      <c r="T253" s="18"/>
      <c r="U253" s="18"/>
      <c r="V253" s="18"/>
      <c r="W253" s="18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70" t="s">
        <v>27</v>
      </c>
      <c r="B254" s="70" t="s">
        <v>35</v>
      </c>
      <c r="C254" s="70" t="s">
        <v>39</v>
      </c>
      <c r="D254" s="70" t="s">
        <v>40</v>
      </c>
      <c r="E254" s="70" t="s">
        <v>25</v>
      </c>
      <c r="F254" s="70" t="s">
        <v>25</v>
      </c>
      <c r="G254" s="70" t="s">
        <v>25</v>
      </c>
      <c r="H254" s="70" t="s">
        <v>25</v>
      </c>
      <c r="I254" s="78">
        <v>44470</v>
      </c>
      <c r="J254" s="79">
        <f ca="1">EFEITO!$J$254*EFEITO!$Y$254</f>
        <v>-4263.4875311466767</v>
      </c>
      <c r="K254" s="79">
        <f>EFEITO!$L$254*EFEITO!$Z$254</f>
        <v>0</v>
      </c>
      <c r="L254" s="79">
        <f>EFEITO!$N$254*EFEITO!$AA$254</f>
        <v>0</v>
      </c>
      <c r="M254" s="79">
        <f ca="1">$J$254-EFEITO!$K$254*EFEITO!$Y$254</f>
        <v>0</v>
      </c>
      <c r="N254" s="79">
        <f>$K$254-EFEITO!$M$254*EFEITO!$Z$254</f>
        <v>0</v>
      </c>
      <c r="O254" s="79">
        <f>$L$254-EFEITO!$O$254*EFEITO!$AA$254</f>
        <v>0</v>
      </c>
      <c r="P254" s="18"/>
      <c r="Q254" s="18"/>
      <c r="R254" s="18"/>
      <c r="S254" s="18"/>
      <c r="T254" s="18"/>
      <c r="U254" s="18"/>
      <c r="V254" s="18"/>
      <c r="W254" s="18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70" t="s">
        <v>28</v>
      </c>
      <c r="B255" s="70" t="s">
        <v>35</v>
      </c>
      <c r="C255" s="70" t="s">
        <v>39</v>
      </c>
      <c r="D255" s="70" t="s">
        <v>40</v>
      </c>
      <c r="E255" s="70" t="s">
        <v>25</v>
      </c>
      <c r="F255" s="70" t="s">
        <v>25</v>
      </c>
      <c r="G255" s="70" t="s">
        <v>25</v>
      </c>
      <c r="H255" s="70" t="s">
        <v>25</v>
      </c>
      <c r="I255" s="78">
        <v>44470</v>
      </c>
      <c r="J255" s="79">
        <f ca="1">EFEITO!$J$255*EFEITO!$Y$255</f>
        <v>32189.33086015741</v>
      </c>
      <c r="K255" s="79">
        <f>EFEITO!$L$255*EFEITO!$Z$255</f>
        <v>0</v>
      </c>
      <c r="L255" s="79">
        <f>EFEITO!$N$255*EFEITO!$AA$255</f>
        <v>0</v>
      </c>
      <c r="M255" s="79">
        <f ca="1">$J$255-EFEITO!$K$255*EFEITO!$Y$255</f>
        <v>0</v>
      </c>
      <c r="N255" s="79">
        <f>$K$255-EFEITO!$M$255*EFEITO!$Z$255</f>
        <v>0</v>
      </c>
      <c r="O255" s="79">
        <f>$L$255-EFEITO!$O$255*EFEITO!$AA$255</f>
        <v>0</v>
      </c>
      <c r="P255" s="18"/>
      <c r="Q255" s="18"/>
      <c r="R255" s="18"/>
      <c r="S255" s="18"/>
      <c r="T255" s="18"/>
      <c r="U255" s="18"/>
      <c r="V255" s="18"/>
      <c r="W255" s="18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70" t="s">
        <v>21</v>
      </c>
      <c r="B256" s="70" t="s">
        <v>35</v>
      </c>
      <c r="C256" s="70" t="s">
        <v>39</v>
      </c>
      <c r="D256" s="70" t="s">
        <v>40</v>
      </c>
      <c r="E256" s="70" t="s">
        <v>25</v>
      </c>
      <c r="F256" s="70" t="s">
        <v>25</v>
      </c>
      <c r="G256" s="70" t="s">
        <v>25</v>
      </c>
      <c r="H256" s="70" t="s">
        <v>25</v>
      </c>
      <c r="I256" s="78">
        <v>44501</v>
      </c>
      <c r="J256" s="79">
        <f ca="1">EFEITO!$J$256*EFEITO!$Y$256</f>
        <v>497366.27399062522</v>
      </c>
      <c r="K256" s="79">
        <f>EFEITO!$L$256*EFEITO!$Z$256</f>
        <v>0</v>
      </c>
      <c r="L256" s="79">
        <f>EFEITO!$N$256*EFEITO!$AA$256</f>
        <v>0</v>
      </c>
      <c r="M256" s="79">
        <f ca="1">$J$256-EFEITO!$K$256*EFEITO!$Y$256</f>
        <v>0</v>
      </c>
      <c r="N256" s="79">
        <f>$K$256-EFEITO!$M$256*EFEITO!$Z$256</f>
        <v>0</v>
      </c>
      <c r="O256" s="79">
        <f>$L$256-EFEITO!$O$256*EFEITO!$AA$256</f>
        <v>0</v>
      </c>
      <c r="P256" s="18"/>
      <c r="Q256" s="18"/>
      <c r="R256" s="18"/>
      <c r="S256" s="18"/>
      <c r="T256" s="18"/>
      <c r="U256" s="18"/>
      <c r="V256" s="18"/>
      <c r="W256" s="18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70" t="s">
        <v>27</v>
      </c>
      <c r="B257" s="70" t="s">
        <v>35</v>
      </c>
      <c r="C257" s="70" t="s">
        <v>39</v>
      </c>
      <c r="D257" s="70" t="s">
        <v>40</v>
      </c>
      <c r="E257" s="70" t="s">
        <v>25</v>
      </c>
      <c r="F257" s="70" t="s">
        <v>25</v>
      </c>
      <c r="G257" s="70" t="s">
        <v>25</v>
      </c>
      <c r="H257" s="70" t="s">
        <v>25</v>
      </c>
      <c r="I257" s="78">
        <v>44501</v>
      </c>
      <c r="J257" s="79">
        <f ca="1">EFEITO!$J$257*EFEITO!$Y$257</f>
        <v>-25428.657775053394</v>
      </c>
      <c r="K257" s="79">
        <f>EFEITO!$L$257*EFEITO!$Z$257</f>
        <v>0</v>
      </c>
      <c r="L257" s="79">
        <f>EFEITO!$N$257*EFEITO!$AA$257</f>
        <v>0</v>
      </c>
      <c r="M257" s="79">
        <f ca="1">$J$257-EFEITO!$K$257*EFEITO!$Y$257</f>
        <v>0</v>
      </c>
      <c r="N257" s="79">
        <f>$K$257-EFEITO!$M$257*EFEITO!$Z$257</f>
        <v>0</v>
      </c>
      <c r="O257" s="79">
        <f>$L$257-EFEITO!$O$257*EFEITO!$AA$257</f>
        <v>0</v>
      </c>
      <c r="P257" s="18"/>
      <c r="Q257" s="18"/>
      <c r="R257" s="18"/>
      <c r="S257" s="18"/>
      <c r="T257" s="18"/>
      <c r="U257" s="18"/>
      <c r="V257" s="18"/>
      <c r="W257" s="18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70" t="s">
        <v>28</v>
      </c>
      <c r="B258" s="70" t="s">
        <v>35</v>
      </c>
      <c r="C258" s="70" t="s">
        <v>39</v>
      </c>
      <c r="D258" s="70" t="s">
        <v>40</v>
      </c>
      <c r="E258" s="70" t="s">
        <v>25</v>
      </c>
      <c r="F258" s="70" t="s">
        <v>25</v>
      </c>
      <c r="G258" s="70" t="s">
        <v>25</v>
      </c>
      <c r="H258" s="70" t="s">
        <v>25</v>
      </c>
      <c r="I258" s="78">
        <v>44501</v>
      </c>
      <c r="J258" s="79">
        <f ca="1">EFEITO!$J$258*EFEITO!$Y$258</f>
        <v>32311.144789618746</v>
      </c>
      <c r="K258" s="79">
        <f>EFEITO!$L$258*EFEITO!$Z$258</f>
        <v>0</v>
      </c>
      <c r="L258" s="79">
        <f>EFEITO!$N$258*EFEITO!$AA$258</f>
        <v>0</v>
      </c>
      <c r="M258" s="79">
        <f ca="1">$J$258-EFEITO!$K$258*EFEITO!$Y$258</f>
        <v>0</v>
      </c>
      <c r="N258" s="79">
        <f>$K$258-EFEITO!$M$258*EFEITO!$Z$258</f>
        <v>0</v>
      </c>
      <c r="O258" s="79">
        <f>$L$258-EFEITO!$O$258*EFEITO!$AA$258</f>
        <v>0</v>
      </c>
      <c r="P258" s="18"/>
      <c r="Q258" s="18"/>
      <c r="R258" s="18"/>
      <c r="S258" s="18"/>
      <c r="T258" s="18"/>
      <c r="U258" s="18"/>
      <c r="V258" s="18"/>
      <c r="W258" s="18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70" t="s">
        <v>21</v>
      </c>
      <c r="B259" s="70" t="s">
        <v>35</v>
      </c>
      <c r="C259" s="70" t="s">
        <v>39</v>
      </c>
      <c r="D259" s="70" t="s">
        <v>40</v>
      </c>
      <c r="E259" s="70" t="s">
        <v>25</v>
      </c>
      <c r="F259" s="70" t="s">
        <v>25</v>
      </c>
      <c r="G259" s="70" t="s">
        <v>25</v>
      </c>
      <c r="H259" s="70" t="s">
        <v>25</v>
      </c>
      <c r="I259" s="78">
        <v>44531</v>
      </c>
      <c r="J259" s="79">
        <f ca="1">EFEITO!$J$259*EFEITO!$Y$259</f>
        <v>554436.09994325996</v>
      </c>
      <c r="K259" s="79">
        <f>EFEITO!$L$259*EFEITO!$Z$259</f>
        <v>0</v>
      </c>
      <c r="L259" s="79">
        <f>EFEITO!$N$259*EFEITO!$AA$259</f>
        <v>0</v>
      </c>
      <c r="M259" s="79">
        <f ca="1">$J$259-EFEITO!$K$259*EFEITO!$Y$259</f>
        <v>0</v>
      </c>
      <c r="N259" s="79">
        <f>$K$259-EFEITO!$M$259*EFEITO!$Z$259</f>
        <v>0</v>
      </c>
      <c r="O259" s="79">
        <f>$L$259-EFEITO!$O$259*EFEITO!$AA$259</f>
        <v>0</v>
      </c>
      <c r="P259" s="18"/>
      <c r="Q259" s="18"/>
      <c r="R259" s="18"/>
      <c r="S259" s="18"/>
      <c r="T259" s="18"/>
      <c r="U259" s="18"/>
      <c r="V259" s="18"/>
      <c r="W259" s="18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70" t="s">
        <v>21</v>
      </c>
      <c r="B260" s="70" t="s">
        <v>35</v>
      </c>
      <c r="C260" s="70" t="s">
        <v>39</v>
      </c>
      <c r="D260" s="70" t="s">
        <v>40</v>
      </c>
      <c r="E260" s="70" t="s">
        <v>25</v>
      </c>
      <c r="F260" s="70" t="s">
        <v>25</v>
      </c>
      <c r="G260" s="70" t="s">
        <v>25</v>
      </c>
      <c r="H260" s="70" t="s">
        <v>25</v>
      </c>
      <c r="I260" s="78">
        <v>44562</v>
      </c>
      <c r="J260" s="79">
        <f ca="1">EFEITO!$J$260*EFEITO!$Y$260</f>
        <v>498797.5876617959</v>
      </c>
      <c r="K260" s="79">
        <f>EFEITO!$L$260*EFEITO!$Z$260</f>
        <v>0</v>
      </c>
      <c r="L260" s="79">
        <f>EFEITO!$N$260*EFEITO!$AA$260</f>
        <v>0</v>
      </c>
      <c r="M260" s="79">
        <f ca="1">$J$260-EFEITO!$K$260*EFEITO!$Y$260</f>
        <v>0</v>
      </c>
      <c r="N260" s="79">
        <f>$K$260-EFEITO!$M$260*EFEITO!$Z$260</f>
        <v>0</v>
      </c>
      <c r="O260" s="79">
        <f>$L$260-EFEITO!$O$260*EFEITO!$AA$260</f>
        <v>0</v>
      </c>
      <c r="P260" s="18"/>
      <c r="Q260" s="18"/>
      <c r="R260" s="18"/>
      <c r="S260" s="18"/>
      <c r="T260" s="18"/>
      <c r="U260" s="18"/>
      <c r="V260" s="18"/>
      <c r="W260" s="18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70" t="s">
        <v>28</v>
      </c>
      <c r="B261" s="70" t="s">
        <v>35</v>
      </c>
      <c r="C261" s="70" t="s">
        <v>39</v>
      </c>
      <c r="D261" s="70" t="s">
        <v>40</v>
      </c>
      <c r="E261" s="70" t="s">
        <v>25</v>
      </c>
      <c r="F261" s="70" t="s">
        <v>25</v>
      </c>
      <c r="G261" s="70" t="s">
        <v>25</v>
      </c>
      <c r="H261" s="70" t="s">
        <v>25</v>
      </c>
      <c r="I261" s="78">
        <v>44562</v>
      </c>
      <c r="J261" s="79">
        <f ca="1">EFEITO!$J$261*EFEITO!$Y$261</f>
        <v>34473.342037557421</v>
      </c>
      <c r="K261" s="79">
        <f>EFEITO!$L$261*EFEITO!$Z$261</f>
        <v>0</v>
      </c>
      <c r="L261" s="79">
        <f>EFEITO!$N$261*EFEITO!$AA$261</f>
        <v>0</v>
      </c>
      <c r="M261" s="79">
        <f ca="1">$J$261-EFEITO!$K$261*EFEITO!$Y$261</f>
        <v>0</v>
      </c>
      <c r="N261" s="79">
        <f>$K$261-EFEITO!$M$261*EFEITO!$Z$261</f>
        <v>0</v>
      </c>
      <c r="O261" s="79">
        <f>$L$261-EFEITO!$O$261*EFEITO!$AA$261</f>
        <v>0</v>
      </c>
      <c r="P261" s="18"/>
      <c r="Q261" s="18"/>
      <c r="R261" s="18"/>
      <c r="S261" s="18"/>
      <c r="T261" s="18"/>
      <c r="U261" s="18"/>
      <c r="V261" s="18"/>
      <c r="W261" s="18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70" t="s">
        <v>21</v>
      </c>
      <c r="B262" s="70" t="s">
        <v>35</v>
      </c>
      <c r="C262" s="70" t="s">
        <v>39</v>
      </c>
      <c r="D262" s="70" t="s">
        <v>40</v>
      </c>
      <c r="E262" s="70" t="s">
        <v>25</v>
      </c>
      <c r="F262" s="70" t="s">
        <v>25</v>
      </c>
      <c r="G262" s="70" t="s">
        <v>25</v>
      </c>
      <c r="H262" s="70" t="s">
        <v>25</v>
      </c>
      <c r="I262" s="78">
        <v>44593</v>
      </c>
      <c r="J262" s="79">
        <f ca="1">EFEITO!$J$262*EFEITO!$Y$262</f>
        <v>515547.00296272925</v>
      </c>
      <c r="K262" s="79">
        <f>EFEITO!$L$262*EFEITO!$Z$262</f>
        <v>0</v>
      </c>
      <c r="L262" s="79">
        <f>EFEITO!$N$262*EFEITO!$AA$262</f>
        <v>0</v>
      </c>
      <c r="M262" s="79">
        <f ca="1">$J$262-EFEITO!$K$262*EFEITO!$Y$262</f>
        <v>0</v>
      </c>
      <c r="N262" s="79">
        <f>$K$262-EFEITO!$M$262*EFEITO!$Z$262</f>
        <v>0</v>
      </c>
      <c r="O262" s="79">
        <f>$L$262-EFEITO!$O$262*EFEITO!$AA$262</f>
        <v>0</v>
      </c>
      <c r="P262" s="18"/>
      <c r="Q262" s="18"/>
      <c r="R262" s="18"/>
      <c r="S262" s="18"/>
      <c r="T262" s="18"/>
      <c r="U262" s="18"/>
      <c r="V262" s="18"/>
      <c r="W262" s="18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70" t="s">
        <v>27</v>
      </c>
      <c r="B263" s="70" t="s">
        <v>35</v>
      </c>
      <c r="C263" s="70" t="s">
        <v>39</v>
      </c>
      <c r="D263" s="70" t="s">
        <v>40</v>
      </c>
      <c r="E263" s="70" t="s">
        <v>25</v>
      </c>
      <c r="F263" s="70" t="s">
        <v>25</v>
      </c>
      <c r="G263" s="70" t="s">
        <v>25</v>
      </c>
      <c r="H263" s="70" t="s">
        <v>25</v>
      </c>
      <c r="I263" s="78">
        <v>44593</v>
      </c>
      <c r="J263" s="79">
        <f ca="1">EFEITO!$J$263*EFEITO!$Y$263</f>
        <v>-2740.8134128800066</v>
      </c>
      <c r="K263" s="79">
        <f>EFEITO!$L$263*EFEITO!$Z$263</f>
        <v>0</v>
      </c>
      <c r="L263" s="79">
        <f>EFEITO!$N$263*EFEITO!$AA$263</f>
        <v>0</v>
      </c>
      <c r="M263" s="79">
        <f ca="1">$J$263-EFEITO!$K$263*EFEITO!$Y$263</f>
        <v>0</v>
      </c>
      <c r="N263" s="79">
        <f>$K$263-EFEITO!$M$263*EFEITO!$Z$263</f>
        <v>0</v>
      </c>
      <c r="O263" s="79">
        <f>$L$263-EFEITO!$O$263*EFEITO!$AA$263</f>
        <v>0</v>
      </c>
      <c r="P263" s="18"/>
      <c r="Q263" s="18"/>
      <c r="R263" s="18"/>
      <c r="S263" s="18"/>
      <c r="T263" s="18"/>
      <c r="U263" s="18"/>
      <c r="V263" s="18"/>
      <c r="W263" s="18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70" t="s">
        <v>28</v>
      </c>
      <c r="B264" s="70" t="s">
        <v>35</v>
      </c>
      <c r="C264" s="70" t="s">
        <v>39</v>
      </c>
      <c r="D264" s="70" t="s">
        <v>40</v>
      </c>
      <c r="E264" s="70" t="s">
        <v>25</v>
      </c>
      <c r="F264" s="70" t="s">
        <v>25</v>
      </c>
      <c r="G264" s="70" t="s">
        <v>25</v>
      </c>
      <c r="H264" s="70" t="s">
        <v>25</v>
      </c>
      <c r="I264" s="78">
        <v>44593</v>
      </c>
      <c r="J264" s="79">
        <f ca="1">EFEITO!$J$264*EFEITO!$Y$264</f>
        <v>45040.70041832811</v>
      </c>
      <c r="K264" s="79">
        <f>EFEITO!$L$264*EFEITO!$Z$264</f>
        <v>0</v>
      </c>
      <c r="L264" s="79">
        <f>EFEITO!$N$264*EFEITO!$AA$264</f>
        <v>0</v>
      </c>
      <c r="M264" s="79">
        <f ca="1">$J$264-EFEITO!$K$264*EFEITO!$Y$264</f>
        <v>0</v>
      </c>
      <c r="N264" s="79">
        <f>$K$264-EFEITO!$M$264*EFEITO!$Z$264</f>
        <v>0</v>
      </c>
      <c r="O264" s="79">
        <f>$L$264-EFEITO!$O$264*EFEITO!$AA$264</f>
        <v>0</v>
      </c>
      <c r="P264" s="18"/>
      <c r="Q264" s="18"/>
      <c r="R264" s="18"/>
      <c r="S264" s="18"/>
      <c r="T264" s="18"/>
      <c r="U264" s="18"/>
      <c r="V264" s="18"/>
      <c r="W264" s="18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70" t="s">
        <v>21</v>
      </c>
      <c r="B265" s="70" t="s">
        <v>35</v>
      </c>
      <c r="C265" s="70" t="s">
        <v>39</v>
      </c>
      <c r="D265" s="70" t="s">
        <v>40</v>
      </c>
      <c r="E265" s="70" t="s">
        <v>25</v>
      </c>
      <c r="F265" s="70" t="s">
        <v>25</v>
      </c>
      <c r="G265" s="70" t="s">
        <v>25</v>
      </c>
      <c r="H265" s="70" t="s">
        <v>25</v>
      </c>
      <c r="I265" s="78">
        <v>44621</v>
      </c>
      <c r="J265" s="79">
        <f ca="1">EFEITO!$J$265*EFEITO!$Y$265</f>
        <v>544021.00897431595</v>
      </c>
      <c r="K265" s="79">
        <f>EFEITO!$L$265*EFEITO!$Z$265</f>
        <v>0</v>
      </c>
      <c r="L265" s="79">
        <f>EFEITO!$N$265*EFEITO!$AA$265</f>
        <v>0</v>
      </c>
      <c r="M265" s="79">
        <f ca="1">$J$265-EFEITO!$K$265*EFEITO!$Y$265</f>
        <v>0</v>
      </c>
      <c r="N265" s="79">
        <f>$K$265-EFEITO!$M$265*EFEITO!$Z$265</f>
        <v>0</v>
      </c>
      <c r="O265" s="79">
        <f>$L$265-EFEITO!$O$265*EFEITO!$AA$265</f>
        <v>0</v>
      </c>
      <c r="P265" s="18"/>
      <c r="Q265" s="18"/>
      <c r="R265" s="18"/>
      <c r="S265" s="18"/>
      <c r="T265" s="18"/>
      <c r="U265" s="18"/>
      <c r="V265" s="18"/>
      <c r="W265" s="18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70" t="s">
        <v>28</v>
      </c>
      <c r="B266" s="70" t="s">
        <v>35</v>
      </c>
      <c r="C266" s="70" t="s">
        <v>39</v>
      </c>
      <c r="D266" s="70" t="s">
        <v>40</v>
      </c>
      <c r="E266" s="70" t="s">
        <v>25</v>
      </c>
      <c r="F266" s="70" t="s">
        <v>25</v>
      </c>
      <c r="G266" s="70" t="s">
        <v>25</v>
      </c>
      <c r="H266" s="70" t="s">
        <v>25</v>
      </c>
      <c r="I266" s="78">
        <v>44621</v>
      </c>
      <c r="J266" s="79">
        <f ca="1">EFEITO!$J$266*EFEITO!$Y$266</f>
        <v>52410.443150738793</v>
      </c>
      <c r="K266" s="79">
        <f>EFEITO!$L$266*EFEITO!$Z$266</f>
        <v>0</v>
      </c>
      <c r="L266" s="79">
        <f>EFEITO!$N$266*EFEITO!$AA$266</f>
        <v>0</v>
      </c>
      <c r="M266" s="79">
        <f ca="1">$J$266-EFEITO!$K$266*EFEITO!$Y$266</f>
        <v>0</v>
      </c>
      <c r="N266" s="79">
        <f>$K$266-EFEITO!$M$266*EFEITO!$Z$266</f>
        <v>0</v>
      </c>
      <c r="O266" s="79">
        <f>$L$266-EFEITO!$O$266*EFEITO!$AA$266</f>
        <v>0</v>
      </c>
      <c r="P266" s="18"/>
      <c r="Q266" s="18"/>
      <c r="R266" s="18"/>
      <c r="S266" s="18"/>
      <c r="T266" s="18"/>
      <c r="U266" s="18"/>
      <c r="V266" s="18"/>
      <c r="W266" s="18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70" t="s">
        <v>21</v>
      </c>
      <c r="B267" s="70" t="s">
        <v>35</v>
      </c>
      <c r="C267" s="70" t="s">
        <v>39</v>
      </c>
      <c r="D267" s="70" t="s">
        <v>40</v>
      </c>
      <c r="E267" s="70" t="s">
        <v>25</v>
      </c>
      <c r="F267" s="70" t="s">
        <v>25</v>
      </c>
      <c r="G267" s="70" t="s">
        <v>25</v>
      </c>
      <c r="H267" s="70" t="s">
        <v>25</v>
      </c>
      <c r="I267" s="78">
        <v>44652</v>
      </c>
      <c r="J267" s="79">
        <f ca="1">EFEITO!$J$267*EFEITO!$Y$267</f>
        <v>631757.49166884157</v>
      </c>
      <c r="K267" s="79">
        <f>EFEITO!$L$267*EFEITO!$Z$267</f>
        <v>0</v>
      </c>
      <c r="L267" s="79">
        <f>EFEITO!$N$267*EFEITO!$AA$267</f>
        <v>0</v>
      </c>
      <c r="M267" s="79">
        <f ca="1">$J$267-EFEITO!$K$267*EFEITO!$Y$267</f>
        <v>0</v>
      </c>
      <c r="N267" s="79">
        <f>$K$267-EFEITO!$M$267*EFEITO!$Z$267</f>
        <v>0</v>
      </c>
      <c r="O267" s="79">
        <f>$L$267-EFEITO!$O$267*EFEITO!$AA$267</f>
        <v>0</v>
      </c>
      <c r="P267" s="18"/>
      <c r="Q267" s="18"/>
      <c r="R267" s="18"/>
      <c r="S267" s="18"/>
      <c r="T267" s="18"/>
      <c r="U267" s="18"/>
      <c r="V267" s="18"/>
      <c r="W267" s="18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70" t="s">
        <v>27</v>
      </c>
      <c r="B268" s="70" t="s">
        <v>35</v>
      </c>
      <c r="C268" s="70" t="s">
        <v>39</v>
      </c>
      <c r="D268" s="70" t="s">
        <v>40</v>
      </c>
      <c r="E268" s="70" t="s">
        <v>25</v>
      </c>
      <c r="F268" s="70" t="s">
        <v>25</v>
      </c>
      <c r="G268" s="70" t="s">
        <v>25</v>
      </c>
      <c r="H268" s="70" t="s">
        <v>25</v>
      </c>
      <c r="I268" s="78">
        <v>44652</v>
      </c>
      <c r="J268" s="79">
        <f ca="1">EFEITO!$J$268*EFEITO!$Y$268</f>
        <v>-60754.697318840146</v>
      </c>
      <c r="K268" s="79">
        <f>EFEITO!$L$268*EFEITO!$Z$268</f>
        <v>0</v>
      </c>
      <c r="L268" s="79">
        <f>EFEITO!$N$268*EFEITO!$AA$268</f>
        <v>0</v>
      </c>
      <c r="M268" s="79">
        <f ca="1">$J$268-EFEITO!$K$268*EFEITO!$Y$268</f>
        <v>0</v>
      </c>
      <c r="N268" s="79">
        <f>$K$268-EFEITO!$M$268*EFEITO!$Z$268</f>
        <v>0</v>
      </c>
      <c r="O268" s="79">
        <f>$L$268-EFEITO!$O$268*EFEITO!$AA$268</f>
        <v>0</v>
      </c>
      <c r="P268" s="18"/>
      <c r="Q268" s="18"/>
      <c r="R268" s="18"/>
      <c r="S268" s="18"/>
      <c r="T268" s="18"/>
      <c r="U268" s="18"/>
      <c r="V268" s="18"/>
      <c r="W268" s="18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70" t="s">
        <v>28</v>
      </c>
      <c r="B269" s="70" t="s">
        <v>35</v>
      </c>
      <c r="C269" s="70" t="s">
        <v>39</v>
      </c>
      <c r="D269" s="70" t="s">
        <v>40</v>
      </c>
      <c r="E269" s="70" t="s">
        <v>25</v>
      </c>
      <c r="F269" s="70" t="s">
        <v>25</v>
      </c>
      <c r="G269" s="70" t="s">
        <v>25</v>
      </c>
      <c r="H269" s="70" t="s">
        <v>25</v>
      </c>
      <c r="I269" s="78">
        <v>44652</v>
      </c>
      <c r="J269" s="79">
        <f ca="1">EFEITO!$J$269*EFEITO!$Y$269</f>
        <v>113286.95439904027</v>
      </c>
      <c r="K269" s="79">
        <f>EFEITO!$L$269*EFEITO!$Z$269</f>
        <v>0</v>
      </c>
      <c r="L269" s="79">
        <f>EFEITO!$N$269*EFEITO!$AA$269</f>
        <v>0</v>
      </c>
      <c r="M269" s="79">
        <f ca="1">$J$269-EFEITO!$K$269*EFEITO!$Y$269</f>
        <v>0</v>
      </c>
      <c r="N269" s="79">
        <f>$K$269-EFEITO!$M$269*EFEITO!$Z$269</f>
        <v>0</v>
      </c>
      <c r="O269" s="79">
        <f>$L$269-EFEITO!$O$269*EFEITO!$AA$269</f>
        <v>0</v>
      </c>
      <c r="P269" s="18"/>
      <c r="Q269" s="18"/>
      <c r="R269" s="18"/>
      <c r="S269" s="18"/>
      <c r="T269" s="18"/>
      <c r="U269" s="18"/>
      <c r="V269" s="18"/>
      <c r="W269" s="18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70" t="s">
        <v>21</v>
      </c>
      <c r="B270" s="70" t="s">
        <v>35</v>
      </c>
      <c r="C270" s="70" t="s">
        <v>39</v>
      </c>
      <c r="D270" s="70" t="s">
        <v>40</v>
      </c>
      <c r="E270" s="70" t="s">
        <v>25</v>
      </c>
      <c r="F270" s="70" t="s">
        <v>25</v>
      </c>
      <c r="G270" s="70" t="s">
        <v>25</v>
      </c>
      <c r="H270" s="70" t="s">
        <v>25</v>
      </c>
      <c r="I270" s="78">
        <v>44682</v>
      </c>
      <c r="J270" s="79">
        <f ca="1">EFEITO!$J$270*EFEITO!$Y$270</f>
        <v>585772.73329718807</v>
      </c>
      <c r="K270" s="79">
        <f>EFEITO!$L$270*EFEITO!$Z$270</f>
        <v>0</v>
      </c>
      <c r="L270" s="79">
        <f>EFEITO!$N$270*EFEITO!$AA$270</f>
        <v>0</v>
      </c>
      <c r="M270" s="79">
        <f ca="1">$J$270-EFEITO!$K$270*EFEITO!$Y$270</f>
        <v>0</v>
      </c>
      <c r="N270" s="79">
        <f>$K$270-EFEITO!$M$270*EFEITO!$Z$270</f>
        <v>0</v>
      </c>
      <c r="O270" s="79">
        <f>$L$270-EFEITO!$O$270*EFEITO!$AA$270</f>
        <v>0</v>
      </c>
      <c r="P270" s="18"/>
      <c r="Q270" s="18"/>
      <c r="R270" s="18"/>
      <c r="S270" s="18"/>
      <c r="T270" s="18"/>
      <c r="U270" s="18"/>
      <c r="V270" s="18"/>
      <c r="W270" s="18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70" t="s">
        <v>27</v>
      </c>
      <c r="B271" s="70" t="s">
        <v>35</v>
      </c>
      <c r="C271" s="70" t="s">
        <v>39</v>
      </c>
      <c r="D271" s="70" t="s">
        <v>40</v>
      </c>
      <c r="E271" s="70" t="s">
        <v>25</v>
      </c>
      <c r="F271" s="70" t="s">
        <v>25</v>
      </c>
      <c r="G271" s="70" t="s">
        <v>25</v>
      </c>
      <c r="H271" s="70" t="s">
        <v>25</v>
      </c>
      <c r="I271" s="78">
        <v>44682</v>
      </c>
      <c r="J271" s="79">
        <f ca="1">EFEITO!$J$271*EFEITO!$Y$271</f>
        <v>-18089.368525008045</v>
      </c>
      <c r="K271" s="79">
        <f>EFEITO!$L$271*EFEITO!$Z$271</f>
        <v>0</v>
      </c>
      <c r="L271" s="79">
        <f>EFEITO!$N$271*EFEITO!$AA$271</f>
        <v>0</v>
      </c>
      <c r="M271" s="79">
        <f ca="1">$J$271-EFEITO!$K$271*EFEITO!$Y$271</f>
        <v>0</v>
      </c>
      <c r="N271" s="79">
        <f>$K$271-EFEITO!$M$271*EFEITO!$Z$271</f>
        <v>0</v>
      </c>
      <c r="O271" s="79">
        <f>$L$271-EFEITO!$O$271*EFEITO!$AA$271</f>
        <v>0</v>
      </c>
      <c r="P271" s="18"/>
      <c r="Q271" s="18"/>
      <c r="R271" s="18"/>
      <c r="S271" s="18"/>
      <c r="T271" s="18"/>
      <c r="U271" s="18"/>
      <c r="V271" s="18"/>
      <c r="W271" s="18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70" t="s">
        <v>28</v>
      </c>
      <c r="B272" s="70" t="s">
        <v>35</v>
      </c>
      <c r="C272" s="70" t="s">
        <v>39</v>
      </c>
      <c r="D272" s="70" t="s">
        <v>40</v>
      </c>
      <c r="E272" s="70" t="s">
        <v>25</v>
      </c>
      <c r="F272" s="70" t="s">
        <v>25</v>
      </c>
      <c r="G272" s="70" t="s">
        <v>25</v>
      </c>
      <c r="H272" s="70" t="s">
        <v>25</v>
      </c>
      <c r="I272" s="78">
        <v>44682</v>
      </c>
      <c r="J272" s="79">
        <f ca="1">EFEITO!$J$272*EFEITO!$Y$272</f>
        <v>62520.999296029484</v>
      </c>
      <c r="K272" s="79">
        <f>EFEITO!$L$272*EFEITO!$Z$272</f>
        <v>0</v>
      </c>
      <c r="L272" s="79">
        <f>EFEITO!$N$272*EFEITO!$AA$272</f>
        <v>0</v>
      </c>
      <c r="M272" s="79">
        <f ca="1">$J$272-EFEITO!$K$272*EFEITO!$Y$272</f>
        <v>0</v>
      </c>
      <c r="N272" s="79">
        <f>$K$272-EFEITO!$M$272*EFEITO!$Z$272</f>
        <v>0</v>
      </c>
      <c r="O272" s="79">
        <f>$L$272-EFEITO!$O$272*EFEITO!$AA$272</f>
        <v>0</v>
      </c>
      <c r="P272" s="18"/>
      <c r="Q272" s="18"/>
      <c r="R272" s="18"/>
      <c r="S272" s="18"/>
      <c r="T272" s="18"/>
      <c r="U272" s="18"/>
      <c r="V272" s="18"/>
      <c r="W272" s="18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70" t="s">
        <v>21</v>
      </c>
      <c r="B273" s="70" t="s">
        <v>35</v>
      </c>
      <c r="C273" s="70" t="s">
        <v>39</v>
      </c>
      <c r="D273" s="70" t="s">
        <v>40</v>
      </c>
      <c r="E273" s="70" t="s">
        <v>25</v>
      </c>
      <c r="F273" s="70" t="s">
        <v>25</v>
      </c>
      <c r="G273" s="70" t="s">
        <v>25</v>
      </c>
      <c r="H273" s="70" t="s">
        <v>25</v>
      </c>
      <c r="I273" s="78">
        <v>44713</v>
      </c>
      <c r="J273" s="79">
        <f ca="1">EFEITO!$J$273*EFEITO!$Y$273</f>
        <v>633280.16578710824</v>
      </c>
      <c r="K273" s="79">
        <f>EFEITO!$L$273*EFEITO!$Z$273</f>
        <v>0</v>
      </c>
      <c r="L273" s="79">
        <f>EFEITO!$N$273*EFEITO!$AA$273</f>
        <v>0</v>
      </c>
      <c r="M273" s="79">
        <f ca="1">$J$273-EFEITO!$K$273*EFEITO!$Y$273</f>
        <v>0</v>
      </c>
      <c r="N273" s="79">
        <f>$K$273-EFEITO!$M$273*EFEITO!$Z$273</f>
        <v>0</v>
      </c>
      <c r="O273" s="79">
        <f>$L$273-EFEITO!$O$273*EFEITO!$AA$273</f>
        <v>0</v>
      </c>
      <c r="P273" s="18"/>
      <c r="Q273" s="18"/>
      <c r="R273" s="18"/>
      <c r="S273" s="18"/>
      <c r="T273" s="18"/>
      <c r="U273" s="18"/>
      <c r="V273" s="18"/>
      <c r="W273" s="18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70" t="s">
        <v>27</v>
      </c>
      <c r="B274" s="70" t="s">
        <v>35</v>
      </c>
      <c r="C274" s="70" t="s">
        <v>39</v>
      </c>
      <c r="D274" s="70" t="s">
        <v>40</v>
      </c>
      <c r="E274" s="70" t="s">
        <v>25</v>
      </c>
      <c r="F274" s="70" t="s">
        <v>25</v>
      </c>
      <c r="G274" s="70" t="s">
        <v>25</v>
      </c>
      <c r="H274" s="70" t="s">
        <v>25</v>
      </c>
      <c r="I274" s="78">
        <v>44713</v>
      </c>
      <c r="J274" s="79">
        <f ca="1">EFEITO!$J$274*EFEITO!$Y$274</f>
        <v>-30636.203259525406</v>
      </c>
      <c r="K274" s="79">
        <f>EFEITO!$L$274*EFEITO!$Z$274</f>
        <v>0</v>
      </c>
      <c r="L274" s="79">
        <f>EFEITO!$N$274*EFEITO!$AA$274</f>
        <v>0</v>
      </c>
      <c r="M274" s="79">
        <f ca="1">$J$274-EFEITO!$K$274*EFEITO!$Y$274</f>
        <v>0</v>
      </c>
      <c r="N274" s="79">
        <f>$K$274-EFEITO!$M$274*EFEITO!$Z$274</f>
        <v>0</v>
      </c>
      <c r="O274" s="79">
        <f>$L$274-EFEITO!$O$274*EFEITO!$AA$274</f>
        <v>0</v>
      </c>
      <c r="P274" s="18"/>
      <c r="Q274" s="18"/>
      <c r="R274" s="18"/>
      <c r="S274" s="18"/>
      <c r="T274" s="18"/>
      <c r="U274" s="18"/>
      <c r="V274" s="18"/>
      <c r="W274" s="18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70" t="s">
        <v>28</v>
      </c>
      <c r="B275" s="70" t="s">
        <v>35</v>
      </c>
      <c r="C275" s="70" t="s">
        <v>39</v>
      </c>
      <c r="D275" s="70" t="s">
        <v>40</v>
      </c>
      <c r="E275" s="70" t="s">
        <v>25</v>
      </c>
      <c r="F275" s="70" t="s">
        <v>25</v>
      </c>
      <c r="G275" s="70" t="s">
        <v>25</v>
      </c>
      <c r="H275" s="70" t="s">
        <v>25</v>
      </c>
      <c r="I275" s="78">
        <v>44713</v>
      </c>
      <c r="J275" s="79">
        <f ca="1">EFEITO!$J$275*EFEITO!$Y$275</f>
        <v>71961.578829282837</v>
      </c>
      <c r="K275" s="79">
        <f>EFEITO!$L$275*EFEITO!$Z$275</f>
        <v>0</v>
      </c>
      <c r="L275" s="79">
        <f>EFEITO!$N$275*EFEITO!$AA$275</f>
        <v>0</v>
      </c>
      <c r="M275" s="79">
        <f ca="1">$J$275-EFEITO!$K$275*EFEITO!$Y$275</f>
        <v>0</v>
      </c>
      <c r="N275" s="79">
        <f>$K$275-EFEITO!$M$275*EFEITO!$Z$275</f>
        <v>0</v>
      </c>
      <c r="O275" s="79">
        <f>$L$275-EFEITO!$O$275*EFEITO!$AA$275</f>
        <v>0</v>
      </c>
      <c r="P275" s="18"/>
      <c r="Q275" s="18"/>
      <c r="R275" s="18"/>
      <c r="S275" s="18"/>
      <c r="T275" s="18"/>
      <c r="U275" s="18"/>
      <c r="V275" s="18"/>
      <c r="W275" s="18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70" t="s">
        <v>21</v>
      </c>
      <c r="B276" s="70" t="s">
        <v>35</v>
      </c>
      <c r="C276" s="70" t="s">
        <v>39</v>
      </c>
      <c r="D276" s="70" t="s">
        <v>40</v>
      </c>
      <c r="E276" s="70" t="s">
        <v>25</v>
      </c>
      <c r="F276" s="70" t="s">
        <v>25</v>
      </c>
      <c r="G276" s="70" t="s">
        <v>25</v>
      </c>
      <c r="H276" s="70" t="s">
        <v>37</v>
      </c>
      <c r="I276" s="78">
        <v>44378</v>
      </c>
      <c r="J276" s="79">
        <f>EFEITO!$J$276*EFEITO!$Y$276</f>
        <v>0</v>
      </c>
      <c r="K276" s="79">
        <f ca="1">EFEITO!$L$276*EFEITO!$Z$276</f>
        <v>155488.17248856727</v>
      </c>
      <c r="L276" s="79">
        <f>EFEITO!$N$276*EFEITO!$AA$276</f>
        <v>23660.744565486166</v>
      </c>
      <c r="M276" s="79">
        <f>$J$276-EFEITO!$K$276*EFEITO!$Y$276</f>
        <v>0</v>
      </c>
      <c r="N276" s="79">
        <f ca="1">$K$276-EFEITO!$M$276*EFEITO!$Z$276</f>
        <v>0</v>
      </c>
      <c r="O276" s="79">
        <f>$L$276-EFEITO!$O$276*EFEITO!$AA$276</f>
        <v>0</v>
      </c>
      <c r="P276" s="18"/>
      <c r="Q276" s="18"/>
      <c r="R276" s="18"/>
      <c r="S276" s="18"/>
      <c r="T276" s="18"/>
      <c r="U276" s="18"/>
      <c r="V276" s="18"/>
      <c r="W276" s="18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70" t="s">
        <v>27</v>
      </c>
      <c r="B277" s="70" t="s">
        <v>35</v>
      </c>
      <c r="C277" s="70" t="s">
        <v>39</v>
      </c>
      <c r="D277" s="70" t="s">
        <v>40</v>
      </c>
      <c r="E277" s="70" t="s">
        <v>25</v>
      </c>
      <c r="F277" s="70" t="s">
        <v>25</v>
      </c>
      <c r="G277" s="70" t="s">
        <v>25</v>
      </c>
      <c r="H277" s="70" t="s">
        <v>37</v>
      </c>
      <c r="I277" s="78">
        <v>44378</v>
      </c>
      <c r="J277" s="79">
        <f>EFEITO!$J$277*EFEITO!$Y$277</f>
        <v>0</v>
      </c>
      <c r="K277" s="79">
        <f ca="1">EFEITO!$L$277*EFEITO!$Z$277</f>
        <v>-54700.673702705557</v>
      </c>
      <c r="L277" s="79">
        <f>EFEITO!$N$277*EFEITO!$AA$277</f>
        <v>-8323.8399894042523</v>
      </c>
      <c r="M277" s="79">
        <f>$J$277-EFEITO!$K$277*EFEITO!$Y$277</f>
        <v>0</v>
      </c>
      <c r="N277" s="79">
        <f ca="1">$K$277-EFEITO!$M$277*EFEITO!$Z$277</f>
        <v>0</v>
      </c>
      <c r="O277" s="79">
        <f>$L$277-EFEITO!$O$277*EFEITO!$AA$277</f>
        <v>0</v>
      </c>
      <c r="P277" s="18"/>
      <c r="Q277" s="18"/>
      <c r="R277" s="18"/>
      <c r="S277" s="18"/>
      <c r="T277" s="18"/>
      <c r="U277" s="18"/>
      <c r="V277" s="18"/>
      <c r="W277" s="18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70" t="s">
        <v>28</v>
      </c>
      <c r="B278" s="70" t="s">
        <v>35</v>
      </c>
      <c r="C278" s="70" t="s">
        <v>39</v>
      </c>
      <c r="D278" s="70" t="s">
        <v>40</v>
      </c>
      <c r="E278" s="70" t="s">
        <v>25</v>
      </c>
      <c r="F278" s="70" t="s">
        <v>25</v>
      </c>
      <c r="G278" s="70" t="s">
        <v>25</v>
      </c>
      <c r="H278" s="70" t="s">
        <v>37</v>
      </c>
      <c r="I278" s="78">
        <v>44378</v>
      </c>
      <c r="J278" s="79">
        <f>EFEITO!$J$278*EFEITO!$Y$278</f>
        <v>0</v>
      </c>
      <c r="K278" s="79">
        <f ca="1">EFEITO!$L$278*EFEITO!$Z$278</f>
        <v>3294.9859400453574</v>
      </c>
      <c r="L278" s="79">
        <f>EFEITO!$N$278*EFEITO!$AA$278</f>
        <v>501.40032792535322</v>
      </c>
      <c r="M278" s="79">
        <f>$J$278-EFEITO!$K$278*EFEITO!$Y$278</f>
        <v>0</v>
      </c>
      <c r="N278" s="79">
        <f ca="1">$K$278-EFEITO!$M$278*EFEITO!$Z$278</f>
        <v>0</v>
      </c>
      <c r="O278" s="79">
        <f>$L$278-EFEITO!$O$278*EFEITO!$AA$278</f>
        <v>0</v>
      </c>
      <c r="P278" s="18"/>
      <c r="Q278" s="18"/>
      <c r="R278" s="18"/>
      <c r="S278" s="18"/>
      <c r="T278" s="18"/>
      <c r="U278" s="18"/>
      <c r="V278" s="18"/>
      <c r="W278" s="18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70" t="s">
        <v>28</v>
      </c>
      <c r="B279" s="70" t="s">
        <v>35</v>
      </c>
      <c r="C279" s="70" t="s">
        <v>39</v>
      </c>
      <c r="D279" s="70" t="s">
        <v>40</v>
      </c>
      <c r="E279" s="70" t="s">
        <v>25</v>
      </c>
      <c r="F279" s="70" t="s">
        <v>25</v>
      </c>
      <c r="G279" s="70" t="s">
        <v>25</v>
      </c>
      <c r="H279" s="70" t="s">
        <v>37</v>
      </c>
      <c r="I279" s="78">
        <v>44378</v>
      </c>
      <c r="J279" s="79">
        <f>EFEITO!$J$279*EFEITO!$Y$279</f>
        <v>0</v>
      </c>
      <c r="K279" s="79">
        <f ca="1">EFEITO!$L$279*EFEITO!$Z$279</f>
        <v>-1631.8645782121869</v>
      </c>
      <c r="L279" s="79">
        <f>EFEITO!$N$279*EFEITO!$AA$279</f>
        <v>-248.3219805891176</v>
      </c>
      <c r="M279" s="79">
        <f>$J$279-EFEITO!$K$279*EFEITO!$Y$279</f>
        <v>0</v>
      </c>
      <c r="N279" s="79">
        <f ca="1">$K$279-EFEITO!$M$279*EFEITO!$Z$279</f>
        <v>0</v>
      </c>
      <c r="O279" s="79">
        <f>$L$279-EFEITO!$O$279*EFEITO!$AA$279</f>
        <v>0</v>
      </c>
      <c r="P279" s="18"/>
      <c r="Q279" s="18"/>
      <c r="R279" s="18"/>
      <c r="S279" s="18"/>
      <c r="T279" s="18"/>
      <c r="U279" s="18"/>
      <c r="V279" s="18"/>
      <c r="W279" s="18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70" t="s">
        <v>21</v>
      </c>
      <c r="B280" s="70" t="s">
        <v>35</v>
      </c>
      <c r="C280" s="70" t="s">
        <v>39</v>
      </c>
      <c r="D280" s="70" t="s">
        <v>40</v>
      </c>
      <c r="E280" s="70" t="s">
        <v>25</v>
      </c>
      <c r="F280" s="70" t="s">
        <v>25</v>
      </c>
      <c r="G280" s="70" t="s">
        <v>25</v>
      </c>
      <c r="H280" s="70" t="s">
        <v>37</v>
      </c>
      <c r="I280" s="78">
        <v>44409</v>
      </c>
      <c r="J280" s="79">
        <f>EFEITO!$J$280*EFEITO!$Y$280</f>
        <v>0</v>
      </c>
      <c r="K280" s="79">
        <f ca="1">EFEITO!$L$280*EFEITO!$Z$280</f>
        <v>99996.962633447678</v>
      </c>
      <c r="L280" s="79">
        <f>EFEITO!$N$280*EFEITO!$AA$280</f>
        <v>15216.608133769387</v>
      </c>
      <c r="M280" s="79">
        <f>$J$280-EFEITO!$K$280*EFEITO!$Y$280</f>
        <v>0</v>
      </c>
      <c r="N280" s="79">
        <f ca="1">$K$280-EFEITO!$M$280*EFEITO!$Z$280</f>
        <v>0</v>
      </c>
      <c r="O280" s="79">
        <f>$L$280-EFEITO!$O$280*EFEITO!$AA$280</f>
        <v>0</v>
      </c>
      <c r="P280" s="18"/>
      <c r="Q280" s="18"/>
      <c r="R280" s="18"/>
      <c r="S280" s="18"/>
      <c r="T280" s="18"/>
      <c r="U280" s="18"/>
      <c r="V280" s="18"/>
      <c r="W280" s="18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70" t="s">
        <v>27</v>
      </c>
      <c r="B281" s="70" t="s">
        <v>35</v>
      </c>
      <c r="C281" s="70" t="s">
        <v>39</v>
      </c>
      <c r="D281" s="70" t="s">
        <v>40</v>
      </c>
      <c r="E281" s="70" t="s">
        <v>25</v>
      </c>
      <c r="F281" s="70" t="s">
        <v>25</v>
      </c>
      <c r="G281" s="70" t="s">
        <v>25</v>
      </c>
      <c r="H281" s="70" t="s">
        <v>37</v>
      </c>
      <c r="I281" s="78">
        <v>44409</v>
      </c>
      <c r="J281" s="79">
        <f>EFEITO!$J$281*EFEITO!$Y$281</f>
        <v>0</v>
      </c>
      <c r="K281" s="79">
        <f ca="1">EFEITO!$L$281*EFEITO!$Z$281</f>
        <v>-845.23552375076576</v>
      </c>
      <c r="L281" s="79">
        <f>EFEITO!$N$281*EFEITO!$AA$281</f>
        <v>-128.62008411998193</v>
      </c>
      <c r="M281" s="79">
        <f>$J$281-EFEITO!$K$281*EFEITO!$Y$281</f>
        <v>0</v>
      </c>
      <c r="N281" s="79">
        <f ca="1">$K$281-EFEITO!$M$281*EFEITO!$Z$281</f>
        <v>0</v>
      </c>
      <c r="O281" s="79">
        <f>$L$281-EFEITO!$O$281*EFEITO!$AA$281</f>
        <v>0</v>
      </c>
      <c r="P281" s="18"/>
      <c r="Q281" s="18"/>
      <c r="R281" s="18"/>
      <c r="S281" s="18"/>
      <c r="T281" s="18"/>
      <c r="U281" s="18"/>
      <c r="V281" s="18"/>
      <c r="W281" s="18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70" t="s">
        <v>28</v>
      </c>
      <c r="B282" s="70" t="s">
        <v>35</v>
      </c>
      <c r="C282" s="70" t="s">
        <v>39</v>
      </c>
      <c r="D282" s="70" t="s">
        <v>40</v>
      </c>
      <c r="E282" s="70" t="s">
        <v>25</v>
      </c>
      <c r="F282" s="70" t="s">
        <v>25</v>
      </c>
      <c r="G282" s="70" t="s">
        <v>25</v>
      </c>
      <c r="H282" s="70" t="s">
        <v>37</v>
      </c>
      <c r="I282" s="78">
        <v>44409</v>
      </c>
      <c r="J282" s="79">
        <f>EFEITO!$J$282*EFEITO!$Y$282</f>
        <v>0</v>
      </c>
      <c r="K282" s="79">
        <f ca="1">EFEITO!$L$282*EFEITO!$Z$282</f>
        <v>2904.2761447830626</v>
      </c>
      <c r="L282" s="79">
        <f>EFEITO!$N$282*EFEITO!$AA$282</f>
        <v>441.94574358637857</v>
      </c>
      <c r="M282" s="79">
        <f>$J$282-EFEITO!$K$282*EFEITO!$Y$282</f>
        <v>0</v>
      </c>
      <c r="N282" s="79">
        <f ca="1">$K$282-EFEITO!$M$282*EFEITO!$Z$282</f>
        <v>0</v>
      </c>
      <c r="O282" s="79">
        <f>$L$282-EFEITO!$O$282*EFEITO!$AA$282</f>
        <v>0</v>
      </c>
      <c r="P282" s="18"/>
      <c r="Q282" s="18"/>
      <c r="R282" s="18"/>
      <c r="S282" s="18"/>
      <c r="T282" s="18"/>
      <c r="U282" s="18"/>
      <c r="V282" s="18"/>
      <c r="W282" s="18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70" t="s">
        <v>21</v>
      </c>
      <c r="B283" s="70" t="s">
        <v>35</v>
      </c>
      <c r="C283" s="70" t="s">
        <v>39</v>
      </c>
      <c r="D283" s="70" t="s">
        <v>40</v>
      </c>
      <c r="E283" s="70" t="s">
        <v>25</v>
      </c>
      <c r="F283" s="70" t="s">
        <v>25</v>
      </c>
      <c r="G283" s="70" t="s">
        <v>25</v>
      </c>
      <c r="H283" s="70" t="s">
        <v>37</v>
      </c>
      <c r="I283" s="78">
        <v>44440</v>
      </c>
      <c r="J283" s="79">
        <f>EFEITO!$J$283*EFEITO!$Y$283</f>
        <v>0</v>
      </c>
      <c r="K283" s="79">
        <f ca="1">EFEITO!$L$283*EFEITO!$Z$283</f>
        <v>88123.291955426525</v>
      </c>
      <c r="L283" s="79">
        <f>EFEITO!$N$283*EFEITO!$AA$283</f>
        <v>13409.783315707946</v>
      </c>
      <c r="M283" s="79">
        <f>$J$283-EFEITO!$K$283*EFEITO!$Y$283</f>
        <v>0</v>
      </c>
      <c r="N283" s="79">
        <f ca="1">$K$283-EFEITO!$M$283*EFEITO!$Z$283</f>
        <v>0</v>
      </c>
      <c r="O283" s="79">
        <f>$L$283-EFEITO!$O$283*EFEITO!$AA$283</f>
        <v>0</v>
      </c>
      <c r="P283" s="18"/>
      <c r="Q283" s="18"/>
      <c r="R283" s="18"/>
      <c r="S283" s="18"/>
      <c r="T283" s="18"/>
      <c r="U283" s="18"/>
      <c r="V283" s="18"/>
      <c r="W283" s="18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70" t="s">
        <v>27</v>
      </c>
      <c r="B284" s="70" t="s">
        <v>35</v>
      </c>
      <c r="C284" s="70" t="s">
        <v>39</v>
      </c>
      <c r="D284" s="70" t="s">
        <v>40</v>
      </c>
      <c r="E284" s="70" t="s">
        <v>25</v>
      </c>
      <c r="F284" s="70" t="s">
        <v>25</v>
      </c>
      <c r="G284" s="70" t="s">
        <v>25</v>
      </c>
      <c r="H284" s="70" t="s">
        <v>37</v>
      </c>
      <c r="I284" s="78">
        <v>44440</v>
      </c>
      <c r="J284" s="79">
        <f>EFEITO!$J$284*EFEITO!$Y$284</f>
        <v>0</v>
      </c>
      <c r="K284" s="79">
        <f ca="1">EFEITO!$L$284*EFEITO!$Z$284</f>
        <v>-2434.1220244841002</v>
      </c>
      <c r="L284" s="79">
        <f>EFEITO!$N$284*EFEITO!$AA$284</f>
        <v>-370.40206043181234</v>
      </c>
      <c r="M284" s="79">
        <f>$J$284-EFEITO!$K$284*EFEITO!$Y$284</f>
        <v>0</v>
      </c>
      <c r="N284" s="79">
        <f ca="1">$K$284-EFEITO!$M$284*EFEITO!$Z$284</f>
        <v>0</v>
      </c>
      <c r="O284" s="79">
        <f>$L$284-EFEITO!$O$284*EFEITO!$AA$284</f>
        <v>0</v>
      </c>
      <c r="P284" s="18"/>
      <c r="Q284" s="18"/>
      <c r="R284" s="18"/>
      <c r="S284" s="18"/>
      <c r="T284" s="18"/>
      <c r="U284" s="18"/>
      <c r="V284" s="18"/>
      <c r="W284" s="18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70" t="s">
        <v>28</v>
      </c>
      <c r="B285" s="70" t="s">
        <v>35</v>
      </c>
      <c r="C285" s="70" t="s">
        <v>39</v>
      </c>
      <c r="D285" s="70" t="s">
        <v>40</v>
      </c>
      <c r="E285" s="70" t="s">
        <v>25</v>
      </c>
      <c r="F285" s="70" t="s">
        <v>25</v>
      </c>
      <c r="G285" s="70" t="s">
        <v>25</v>
      </c>
      <c r="H285" s="70" t="s">
        <v>37</v>
      </c>
      <c r="I285" s="78">
        <v>44440</v>
      </c>
      <c r="J285" s="79">
        <f>EFEITO!$J$285*EFEITO!$Y$285</f>
        <v>0</v>
      </c>
      <c r="K285" s="79">
        <f ca="1">EFEITO!$L$285*EFEITO!$Z$285</f>
        <v>3565.8780647605495</v>
      </c>
      <c r="L285" s="79">
        <f>EFEITO!$N$285*EFEITO!$AA$285</f>
        <v>542.62217306704235</v>
      </c>
      <c r="M285" s="79">
        <f>$J$285-EFEITO!$K$285*EFEITO!$Y$285</f>
        <v>0</v>
      </c>
      <c r="N285" s="79">
        <f ca="1">$K$285-EFEITO!$M$285*EFEITO!$Z$285</f>
        <v>0</v>
      </c>
      <c r="O285" s="79">
        <f>$L$285-EFEITO!$O$285*EFEITO!$AA$285</f>
        <v>0</v>
      </c>
      <c r="P285" s="18"/>
      <c r="Q285" s="18"/>
      <c r="R285" s="18"/>
      <c r="S285" s="18"/>
      <c r="T285" s="18"/>
      <c r="U285" s="18"/>
      <c r="V285" s="18"/>
      <c r="W285" s="18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70" t="s">
        <v>21</v>
      </c>
      <c r="B286" s="70" t="s">
        <v>35</v>
      </c>
      <c r="C286" s="70" t="s">
        <v>39</v>
      </c>
      <c r="D286" s="70" t="s">
        <v>40</v>
      </c>
      <c r="E286" s="70" t="s">
        <v>25</v>
      </c>
      <c r="F286" s="70" t="s">
        <v>25</v>
      </c>
      <c r="G286" s="70" t="s">
        <v>25</v>
      </c>
      <c r="H286" s="70" t="s">
        <v>37</v>
      </c>
      <c r="I286" s="78">
        <v>44470</v>
      </c>
      <c r="J286" s="79">
        <f>EFEITO!$J$286*EFEITO!$Y$286</f>
        <v>0</v>
      </c>
      <c r="K286" s="79">
        <f ca="1">EFEITO!$L$286*EFEITO!$Z$286</f>
        <v>80559.150319148481</v>
      </c>
      <c r="L286" s="79">
        <f>EFEITO!$N$286*EFEITO!$AA$286</f>
        <v>12258.742562905396</v>
      </c>
      <c r="M286" s="79">
        <f>$J$286-EFEITO!$K$286*EFEITO!$Y$286</f>
        <v>0</v>
      </c>
      <c r="N286" s="79">
        <f ca="1">$K$286-EFEITO!$M$286*EFEITO!$Z$286</f>
        <v>0</v>
      </c>
      <c r="O286" s="79">
        <f>$L$286-EFEITO!$O$286*EFEITO!$AA$286</f>
        <v>0</v>
      </c>
      <c r="P286" s="18"/>
      <c r="Q286" s="18"/>
      <c r="R286" s="18"/>
      <c r="S286" s="18"/>
      <c r="T286" s="18"/>
      <c r="U286" s="18"/>
      <c r="V286" s="18"/>
      <c r="W286" s="18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70" t="s">
        <v>27</v>
      </c>
      <c r="B287" s="70" t="s">
        <v>35</v>
      </c>
      <c r="C287" s="70" t="s">
        <v>39</v>
      </c>
      <c r="D287" s="70" t="s">
        <v>40</v>
      </c>
      <c r="E287" s="70" t="s">
        <v>25</v>
      </c>
      <c r="F287" s="70" t="s">
        <v>25</v>
      </c>
      <c r="G287" s="70" t="s">
        <v>25</v>
      </c>
      <c r="H287" s="70" t="s">
        <v>37</v>
      </c>
      <c r="I287" s="78">
        <v>44470</v>
      </c>
      <c r="J287" s="79">
        <f>EFEITO!$J$287*EFEITO!$Y$287</f>
        <v>0</v>
      </c>
      <c r="K287" s="79">
        <f ca="1">EFEITO!$L$287*EFEITO!$Z$287</f>
        <v>-494.89907399890751</v>
      </c>
      <c r="L287" s="79">
        <f>EFEITO!$N$287*EFEITO!$AA$287</f>
        <v>-75.309140162701283</v>
      </c>
      <c r="M287" s="79">
        <f>$J$287-EFEITO!$K$287*EFEITO!$Y$287</f>
        <v>0</v>
      </c>
      <c r="N287" s="79">
        <f ca="1">$K$287-EFEITO!$M$287*EFEITO!$Z$287</f>
        <v>0</v>
      </c>
      <c r="O287" s="79">
        <f>$L$287-EFEITO!$O$287*EFEITO!$AA$287</f>
        <v>0</v>
      </c>
      <c r="P287" s="18"/>
      <c r="Q287" s="18"/>
      <c r="R287" s="18"/>
      <c r="S287" s="18"/>
      <c r="T287" s="18"/>
      <c r="U287" s="18"/>
      <c r="V287" s="18"/>
      <c r="W287" s="18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70" t="s">
        <v>28</v>
      </c>
      <c r="B288" s="70" t="s">
        <v>35</v>
      </c>
      <c r="C288" s="70" t="s">
        <v>39</v>
      </c>
      <c r="D288" s="70" t="s">
        <v>40</v>
      </c>
      <c r="E288" s="70" t="s">
        <v>25</v>
      </c>
      <c r="F288" s="70" t="s">
        <v>25</v>
      </c>
      <c r="G288" s="70" t="s">
        <v>25</v>
      </c>
      <c r="H288" s="70" t="s">
        <v>37</v>
      </c>
      <c r="I288" s="78">
        <v>44470</v>
      </c>
      <c r="J288" s="79">
        <f>EFEITO!$J$288*EFEITO!$Y$288</f>
        <v>0</v>
      </c>
      <c r="K288" s="79">
        <f ca="1">EFEITO!$L$288*EFEITO!$Z$288</f>
        <v>3314.5214298084725</v>
      </c>
      <c r="L288" s="79">
        <f>EFEITO!$N$288*EFEITO!$AA$288</f>
        <v>504.37305714230195</v>
      </c>
      <c r="M288" s="79">
        <f>$J$288-EFEITO!$K$288*EFEITO!$Y$288</f>
        <v>0</v>
      </c>
      <c r="N288" s="79">
        <f ca="1">$K$288-EFEITO!$M$288*EFEITO!$Z$288</f>
        <v>0</v>
      </c>
      <c r="O288" s="79">
        <f>$L$288-EFEITO!$O$288*EFEITO!$AA$288</f>
        <v>0</v>
      </c>
      <c r="P288" s="18"/>
      <c r="Q288" s="18"/>
      <c r="R288" s="18"/>
      <c r="S288" s="18"/>
      <c r="T288" s="18"/>
      <c r="U288" s="18"/>
      <c r="V288" s="18"/>
      <c r="W288" s="18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70" t="s">
        <v>21</v>
      </c>
      <c r="B289" s="70" t="s">
        <v>35</v>
      </c>
      <c r="C289" s="70" t="s">
        <v>39</v>
      </c>
      <c r="D289" s="70" t="s">
        <v>40</v>
      </c>
      <c r="E289" s="70" t="s">
        <v>25</v>
      </c>
      <c r="F289" s="70" t="s">
        <v>25</v>
      </c>
      <c r="G289" s="70" t="s">
        <v>25</v>
      </c>
      <c r="H289" s="70" t="s">
        <v>37</v>
      </c>
      <c r="I289" s="78">
        <v>44501</v>
      </c>
      <c r="J289" s="79">
        <f>EFEITO!$J$289*EFEITO!$Y$289</f>
        <v>0</v>
      </c>
      <c r="K289" s="79">
        <f ca="1">EFEITO!$L$289*EFEITO!$Z$289</f>
        <v>121864.98987427836</v>
      </c>
      <c r="L289" s="79">
        <f>EFEITO!$N$289*EFEITO!$AA$289</f>
        <v>18544.281219221801</v>
      </c>
      <c r="M289" s="79">
        <f>$J$289-EFEITO!$K$289*EFEITO!$Y$289</f>
        <v>0</v>
      </c>
      <c r="N289" s="79">
        <f ca="1">$K$289-EFEITO!$M$289*EFEITO!$Z$289</f>
        <v>0</v>
      </c>
      <c r="O289" s="79">
        <f>$L$289-EFEITO!$O$289*EFEITO!$AA$289</f>
        <v>0</v>
      </c>
      <c r="P289" s="18"/>
      <c r="Q289" s="18"/>
      <c r="R289" s="18"/>
      <c r="S289" s="18"/>
      <c r="T289" s="18"/>
      <c r="U289" s="18"/>
      <c r="V289" s="18"/>
      <c r="W289" s="18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70" t="s">
        <v>28</v>
      </c>
      <c r="B290" s="70" t="s">
        <v>35</v>
      </c>
      <c r="C290" s="70" t="s">
        <v>39</v>
      </c>
      <c r="D290" s="70" t="s">
        <v>40</v>
      </c>
      <c r="E290" s="70" t="s">
        <v>25</v>
      </c>
      <c r="F290" s="70" t="s">
        <v>25</v>
      </c>
      <c r="G290" s="70" t="s">
        <v>25</v>
      </c>
      <c r="H290" s="70" t="s">
        <v>37</v>
      </c>
      <c r="I290" s="78">
        <v>44501</v>
      </c>
      <c r="J290" s="79">
        <f>EFEITO!$J$290*EFEITO!$Y$290</f>
        <v>0</v>
      </c>
      <c r="K290" s="79">
        <f ca="1">EFEITO!$L$290*EFEITO!$Z$290</f>
        <v>3426.5249044503303</v>
      </c>
      <c r="L290" s="79">
        <f>EFEITO!$N$290*EFEITO!$AA$290</f>
        <v>521.41670465280799</v>
      </c>
      <c r="M290" s="79">
        <f>$J$290-EFEITO!$K$290*EFEITO!$Y$290</f>
        <v>0</v>
      </c>
      <c r="N290" s="79">
        <f ca="1">$K$290-EFEITO!$M$290*EFEITO!$Z$290</f>
        <v>0</v>
      </c>
      <c r="O290" s="79">
        <f>$L$290-EFEITO!$O$290*EFEITO!$AA$290</f>
        <v>0</v>
      </c>
      <c r="P290" s="18"/>
      <c r="Q290" s="18"/>
      <c r="R290" s="18"/>
      <c r="S290" s="18"/>
      <c r="T290" s="18"/>
      <c r="U290" s="18"/>
      <c r="V290" s="18"/>
      <c r="W290" s="18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70" t="s">
        <v>21</v>
      </c>
      <c r="B291" s="70" t="s">
        <v>35</v>
      </c>
      <c r="C291" s="70" t="s">
        <v>39</v>
      </c>
      <c r="D291" s="70" t="s">
        <v>40</v>
      </c>
      <c r="E291" s="70" t="s">
        <v>25</v>
      </c>
      <c r="F291" s="70" t="s">
        <v>25</v>
      </c>
      <c r="G291" s="70" t="s">
        <v>25</v>
      </c>
      <c r="H291" s="70" t="s">
        <v>37</v>
      </c>
      <c r="I291" s="78">
        <v>44531</v>
      </c>
      <c r="J291" s="79">
        <f>EFEITO!$J$291*EFEITO!$Y$291</f>
        <v>0</v>
      </c>
      <c r="K291" s="79">
        <f ca="1">EFEITO!$L$291*EFEITO!$Z$291</f>
        <v>205234.64598734694</v>
      </c>
      <c r="L291" s="79">
        <f>EFEITO!$N$291*EFEITO!$AA$291</f>
        <v>31230.700425472223</v>
      </c>
      <c r="M291" s="79">
        <f>$J$291-EFEITO!$K$291*EFEITO!$Y$291</f>
        <v>0</v>
      </c>
      <c r="N291" s="79">
        <f ca="1">$K$291-EFEITO!$M$291*EFEITO!$Z$291</f>
        <v>0</v>
      </c>
      <c r="O291" s="79">
        <f>$L$291-EFEITO!$O$291*EFEITO!$AA$291</f>
        <v>0</v>
      </c>
      <c r="P291" s="18"/>
      <c r="Q291" s="18"/>
      <c r="R291" s="18"/>
      <c r="S291" s="18"/>
      <c r="T291" s="18"/>
      <c r="U291" s="18"/>
      <c r="V291" s="18"/>
      <c r="W291" s="18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70" t="s">
        <v>21</v>
      </c>
      <c r="B292" s="70" t="s">
        <v>35</v>
      </c>
      <c r="C292" s="70" t="s">
        <v>39</v>
      </c>
      <c r="D292" s="70" t="s">
        <v>40</v>
      </c>
      <c r="E292" s="70" t="s">
        <v>25</v>
      </c>
      <c r="F292" s="70" t="s">
        <v>25</v>
      </c>
      <c r="G292" s="70" t="s">
        <v>25</v>
      </c>
      <c r="H292" s="70" t="s">
        <v>37</v>
      </c>
      <c r="I292" s="78">
        <v>44562</v>
      </c>
      <c r="J292" s="79">
        <f>EFEITO!$J$292*EFEITO!$Y$292</f>
        <v>0</v>
      </c>
      <c r="K292" s="79">
        <f ca="1">EFEITO!$L$292*EFEITO!$Z$292</f>
        <v>105164.75085878363</v>
      </c>
      <c r="L292" s="79">
        <f>EFEITO!$N$292*EFEITO!$AA$292</f>
        <v>16002.994102626224</v>
      </c>
      <c r="M292" s="79">
        <f>$J$292-EFEITO!$K$292*EFEITO!$Y$292</f>
        <v>0</v>
      </c>
      <c r="N292" s="79">
        <f ca="1">$K$292-EFEITO!$M$292*EFEITO!$Z$292</f>
        <v>0</v>
      </c>
      <c r="O292" s="79">
        <f>$L$292-EFEITO!$O$292*EFEITO!$AA$292</f>
        <v>0</v>
      </c>
      <c r="P292" s="18"/>
      <c r="Q292" s="18"/>
      <c r="R292" s="18"/>
      <c r="S292" s="18"/>
      <c r="T292" s="18"/>
      <c r="U292" s="18"/>
      <c r="V292" s="18"/>
      <c r="W292" s="18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70" t="s">
        <v>28</v>
      </c>
      <c r="B293" s="70" t="s">
        <v>35</v>
      </c>
      <c r="C293" s="70" t="s">
        <v>39</v>
      </c>
      <c r="D293" s="70" t="s">
        <v>40</v>
      </c>
      <c r="E293" s="70" t="s">
        <v>25</v>
      </c>
      <c r="F293" s="70" t="s">
        <v>25</v>
      </c>
      <c r="G293" s="70" t="s">
        <v>25</v>
      </c>
      <c r="H293" s="70" t="s">
        <v>37</v>
      </c>
      <c r="I293" s="78">
        <v>44562</v>
      </c>
      <c r="J293" s="79">
        <f>EFEITO!$J$293*EFEITO!$Y$293</f>
        <v>0</v>
      </c>
      <c r="K293" s="79">
        <f ca="1">EFEITO!$L$293*EFEITO!$Z$293</f>
        <v>5845.0185371239395</v>
      </c>
      <c r="L293" s="79">
        <f>EFEITO!$N$293*EFEITO!$AA$293</f>
        <v>889.44058171106144</v>
      </c>
      <c r="M293" s="79">
        <f>$J$293-EFEITO!$K$293*EFEITO!$Y$293</f>
        <v>0</v>
      </c>
      <c r="N293" s="79">
        <f ca="1">$K$293-EFEITO!$M$293*EFEITO!$Z$293</f>
        <v>0</v>
      </c>
      <c r="O293" s="79">
        <f>$L$293-EFEITO!$O$293*EFEITO!$AA$293</f>
        <v>0</v>
      </c>
      <c r="P293" s="18"/>
      <c r="Q293" s="18"/>
      <c r="R293" s="18"/>
      <c r="S293" s="18"/>
      <c r="T293" s="18"/>
      <c r="U293" s="18"/>
      <c r="V293" s="18"/>
      <c r="W293" s="18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70" t="s">
        <v>21</v>
      </c>
      <c r="B294" s="70" t="s">
        <v>35</v>
      </c>
      <c r="C294" s="70" t="s">
        <v>39</v>
      </c>
      <c r="D294" s="70" t="s">
        <v>40</v>
      </c>
      <c r="E294" s="70" t="s">
        <v>25</v>
      </c>
      <c r="F294" s="70" t="s">
        <v>25</v>
      </c>
      <c r="G294" s="70" t="s">
        <v>25</v>
      </c>
      <c r="H294" s="70" t="s">
        <v>37</v>
      </c>
      <c r="I294" s="78">
        <v>44593</v>
      </c>
      <c r="J294" s="79">
        <f>EFEITO!$J$294*EFEITO!$Y$294</f>
        <v>0</v>
      </c>
      <c r="K294" s="79">
        <f ca="1">EFEITO!$L$294*EFEITO!$Z$294</f>
        <v>155145.65023472067</v>
      </c>
      <c r="L294" s="79">
        <f>EFEITO!$N$294*EFEITO!$AA$294</f>
        <v>23608.622713215664</v>
      </c>
      <c r="M294" s="79">
        <f>$J$294-EFEITO!$K$294*EFEITO!$Y$294</f>
        <v>0</v>
      </c>
      <c r="N294" s="79">
        <f ca="1">$K$294-EFEITO!$M$294*EFEITO!$Z$294</f>
        <v>0</v>
      </c>
      <c r="O294" s="79">
        <f>$L$294-EFEITO!$O$294*EFEITO!$AA$294</f>
        <v>0</v>
      </c>
      <c r="P294" s="18"/>
      <c r="Q294" s="18"/>
      <c r="R294" s="18"/>
      <c r="S294" s="18"/>
      <c r="T294" s="18"/>
      <c r="U294" s="18"/>
      <c r="V294" s="18"/>
      <c r="W294" s="18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70" t="s">
        <v>27</v>
      </c>
      <c r="B295" s="70" t="s">
        <v>35</v>
      </c>
      <c r="C295" s="70" t="s">
        <v>39</v>
      </c>
      <c r="D295" s="70" t="s">
        <v>40</v>
      </c>
      <c r="E295" s="70" t="s">
        <v>25</v>
      </c>
      <c r="F295" s="70" t="s">
        <v>25</v>
      </c>
      <c r="G295" s="70" t="s">
        <v>25</v>
      </c>
      <c r="H295" s="70" t="s">
        <v>37</v>
      </c>
      <c r="I295" s="78">
        <v>44593</v>
      </c>
      <c r="J295" s="79">
        <f>EFEITO!$J$295*EFEITO!$Y$295</f>
        <v>0</v>
      </c>
      <c r="K295" s="79">
        <f ca="1">EFEITO!$L$295*EFEITO!$Z$295</f>
        <v>-442.80443463060146</v>
      </c>
      <c r="L295" s="79">
        <f>EFEITO!$N$295*EFEITO!$AA$295</f>
        <v>-67.381862250837983</v>
      </c>
      <c r="M295" s="79">
        <f>$J$295-EFEITO!$K$295*EFEITO!$Y$295</f>
        <v>0</v>
      </c>
      <c r="N295" s="79">
        <f ca="1">$K$295-EFEITO!$M$295*EFEITO!$Z$295</f>
        <v>0</v>
      </c>
      <c r="O295" s="79">
        <f>$L$295-EFEITO!$O$295*EFEITO!$AA$295</f>
        <v>0</v>
      </c>
      <c r="P295" s="18"/>
      <c r="Q295" s="18"/>
      <c r="R295" s="18"/>
      <c r="S295" s="18"/>
      <c r="T295" s="18"/>
      <c r="U295" s="18"/>
      <c r="V295" s="18"/>
      <c r="W295" s="18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70" t="s">
        <v>28</v>
      </c>
      <c r="B296" s="70" t="s">
        <v>35</v>
      </c>
      <c r="C296" s="70" t="s">
        <v>39</v>
      </c>
      <c r="D296" s="70" t="s">
        <v>40</v>
      </c>
      <c r="E296" s="70" t="s">
        <v>25</v>
      </c>
      <c r="F296" s="70" t="s">
        <v>25</v>
      </c>
      <c r="G296" s="70" t="s">
        <v>25</v>
      </c>
      <c r="H296" s="70" t="s">
        <v>37</v>
      </c>
      <c r="I296" s="78">
        <v>44593</v>
      </c>
      <c r="J296" s="79">
        <f>EFEITO!$J$296*EFEITO!$Y$296</f>
        <v>0</v>
      </c>
      <c r="K296" s="79">
        <f ca="1">EFEITO!$L$296*EFEITO!$Z$296</f>
        <v>11447.797001185254</v>
      </c>
      <c r="L296" s="79">
        <f>EFEITO!$N$296*EFEITO!$AA$296</f>
        <v>1742.0193211319583</v>
      </c>
      <c r="M296" s="79">
        <f>$J$296-EFEITO!$K$296*EFEITO!$Y$296</f>
        <v>0</v>
      </c>
      <c r="N296" s="79">
        <f ca="1">$K$296-EFEITO!$M$296*EFEITO!$Z$296</f>
        <v>0</v>
      </c>
      <c r="O296" s="79">
        <f>$L$296-EFEITO!$O$296*EFEITO!$AA$296</f>
        <v>0</v>
      </c>
      <c r="P296" s="18"/>
      <c r="Q296" s="18"/>
      <c r="R296" s="18"/>
      <c r="S296" s="18"/>
      <c r="T296" s="18"/>
      <c r="U296" s="18"/>
      <c r="V296" s="18"/>
      <c r="W296" s="18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70" t="s">
        <v>21</v>
      </c>
      <c r="B297" s="70" t="s">
        <v>35</v>
      </c>
      <c r="C297" s="70" t="s">
        <v>39</v>
      </c>
      <c r="D297" s="70" t="s">
        <v>40</v>
      </c>
      <c r="E297" s="70" t="s">
        <v>25</v>
      </c>
      <c r="F297" s="70" t="s">
        <v>25</v>
      </c>
      <c r="G297" s="70" t="s">
        <v>25</v>
      </c>
      <c r="H297" s="70" t="s">
        <v>37</v>
      </c>
      <c r="I297" s="78">
        <v>44621</v>
      </c>
      <c r="J297" s="79">
        <f>EFEITO!$J$297*EFEITO!$Y$297</f>
        <v>0</v>
      </c>
      <c r="K297" s="79">
        <f ca="1">EFEITO!$L$297*EFEITO!$Z$297</f>
        <v>178523.11965124801</v>
      </c>
      <c r="L297" s="79">
        <f>EFEITO!$N$297*EFEITO!$AA$297</f>
        <v>27165.988676164314</v>
      </c>
      <c r="M297" s="79">
        <f>$J$297-EFEITO!$K$297*EFEITO!$Y$297</f>
        <v>0</v>
      </c>
      <c r="N297" s="79">
        <f ca="1">$K$297-EFEITO!$M$297*EFEITO!$Z$297</f>
        <v>0</v>
      </c>
      <c r="O297" s="79">
        <f>$L$297-EFEITO!$O$297*EFEITO!$AA$297</f>
        <v>0</v>
      </c>
      <c r="P297" s="18"/>
      <c r="Q297" s="18"/>
      <c r="R297" s="18"/>
      <c r="S297" s="18"/>
      <c r="T297" s="18"/>
      <c r="U297" s="18"/>
      <c r="V297" s="18"/>
      <c r="W297" s="18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70" t="s">
        <v>27</v>
      </c>
      <c r="B298" s="70" t="s">
        <v>35</v>
      </c>
      <c r="C298" s="70" t="s">
        <v>39</v>
      </c>
      <c r="D298" s="70" t="s">
        <v>40</v>
      </c>
      <c r="E298" s="70" t="s">
        <v>25</v>
      </c>
      <c r="F298" s="70" t="s">
        <v>25</v>
      </c>
      <c r="G298" s="70" t="s">
        <v>25</v>
      </c>
      <c r="H298" s="70" t="s">
        <v>37</v>
      </c>
      <c r="I298" s="78">
        <v>44621</v>
      </c>
      <c r="J298" s="79">
        <f>EFEITO!$J$298*EFEITO!$Y$298</f>
        <v>0</v>
      </c>
      <c r="K298" s="79">
        <f ca="1">EFEITO!$L$298*EFEITO!$Z$298</f>
        <v>-860.86391556125761</v>
      </c>
      <c r="L298" s="79">
        <f>EFEITO!$N$298*EFEITO!$AA$298</f>
        <v>-130.99826749354091</v>
      </c>
      <c r="M298" s="79">
        <f>$J$298-EFEITO!$K$298*EFEITO!$Y$298</f>
        <v>0</v>
      </c>
      <c r="N298" s="79">
        <f ca="1">$K$298-EFEITO!$M$298*EFEITO!$Z$298</f>
        <v>0</v>
      </c>
      <c r="O298" s="79">
        <f>$L$298-EFEITO!$O$298*EFEITO!$AA$298</f>
        <v>0</v>
      </c>
      <c r="P298" s="18"/>
      <c r="Q298" s="18"/>
      <c r="R298" s="18"/>
      <c r="S298" s="18"/>
      <c r="T298" s="18"/>
      <c r="U298" s="18"/>
      <c r="V298" s="18"/>
      <c r="W298" s="18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70" t="s">
        <v>28</v>
      </c>
      <c r="B299" s="70" t="s">
        <v>35</v>
      </c>
      <c r="C299" s="70" t="s">
        <v>39</v>
      </c>
      <c r="D299" s="70" t="s">
        <v>40</v>
      </c>
      <c r="E299" s="70" t="s">
        <v>25</v>
      </c>
      <c r="F299" s="70" t="s">
        <v>25</v>
      </c>
      <c r="G299" s="70" t="s">
        <v>25</v>
      </c>
      <c r="H299" s="70" t="s">
        <v>37</v>
      </c>
      <c r="I299" s="78">
        <v>44621</v>
      </c>
      <c r="J299" s="79">
        <f>EFEITO!$J$299*EFEITO!$Y$299</f>
        <v>0</v>
      </c>
      <c r="K299" s="79">
        <f ca="1">EFEITO!$L$299*EFEITO!$Z$299</f>
        <v>14255.698063136952</v>
      </c>
      <c r="L299" s="79">
        <f>EFEITO!$N$299*EFEITO!$AA$299</f>
        <v>2169.2996005813898</v>
      </c>
      <c r="M299" s="79">
        <f>$J$299-EFEITO!$K$299*EFEITO!$Y$299</f>
        <v>0</v>
      </c>
      <c r="N299" s="79">
        <f ca="1">$K$299-EFEITO!$M$299*EFEITO!$Z$299</f>
        <v>0</v>
      </c>
      <c r="O299" s="79">
        <f>$L$299-EFEITO!$O$299*EFEITO!$AA$299</f>
        <v>0</v>
      </c>
      <c r="P299" s="18"/>
      <c r="Q299" s="18"/>
      <c r="R299" s="18"/>
      <c r="S299" s="18"/>
      <c r="T299" s="18"/>
      <c r="U299" s="18"/>
      <c r="V299" s="18"/>
      <c r="W299" s="18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70" t="s">
        <v>21</v>
      </c>
      <c r="B300" s="70" t="s">
        <v>35</v>
      </c>
      <c r="C300" s="70" t="s">
        <v>39</v>
      </c>
      <c r="D300" s="70" t="s">
        <v>40</v>
      </c>
      <c r="E300" s="70" t="s">
        <v>25</v>
      </c>
      <c r="F300" s="70" t="s">
        <v>25</v>
      </c>
      <c r="G300" s="70" t="s">
        <v>25</v>
      </c>
      <c r="H300" s="70" t="s">
        <v>37</v>
      </c>
      <c r="I300" s="78">
        <v>44652</v>
      </c>
      <c r="J300" s="79">
        <f>EFEITO!$J$300*EFEITO!$Y$300</f>
        <v>0</v>
      </c>
      <c r="K300" s="79">
        <f ca="1">EFEITO!$L$300*EFEITO!$Z$300</f>
        <v>235889.73652362663</v>
      </c>
      <c r="L300" s="79">
        <f>EFEITO!$N$300*EFEITO!$AA$300</f>
        <v>35895.507112708176</v>
      </c>
      <c r="M300" s="79">
        <f>$J$300-EFEITO!$K$300*EFEITO!$Y$300</f>
        <v>0</v>
      </c>
      <c r="N300" s="79">
        <f ca="1">$K$300-EFEITO!$M$300*EFEITO!$Z$300</f>
        <v>0</v>
      </c>
      <c r="O300" s="79">
        <f>$L$300-EFEITO!$O$300*EFEITO!$AA$300</f>
        <v>0</v>
      </c>
      <c r="P300" s="18"/>
      <c r="Q300" s="18"/>
      <c r="R300" s="18"/>
      <c r="S300" s="18"/>
      <c r="T300" s="18"/>
      <c r="U300" s="18"/>
      <c r="V300" s="18"/>
      <c r="W300" s="18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70" t="s">
        <v>27</v>
      </c>
      <c r="B301" s="70" t="s">
        <v>35</v>
      </c>
      <c r="C301" s="70" t="s">
        <v>39</v>
      </c>
      <c r="D301" s="70" t="s">
        <v>40</v>
      </c>
      <c r="E301" s="70" t="s">
        <v>25</v>
      </c>
      <c r="F301" s="70" t="s">
        <v>25</v>
      </c>
      <c r="G301" s="70" t="s">
        <v>25</v>
      </c>
      <c r="H301" s="70" t="s">
        <v>37</v>
      </c>
      <c r="I301" s="78">
        <v>44652</v>
      </c>
      <c r="J301" s="79">
        <f>EFEITO!$J$301*EFEITO!$Y$301</f>
        <v>0</v>
      </c>
      <c r="K301" s="79">
        <f ca="1">EFEITO!$L$301*EFEITO!$Z$301</f>
        <v>-19233.340854778595</v>
      </c>
      <c r="L301" s="79">
        <f>EFEITO!$N$301*EFEITO!$AA$301</f>
        <v>-2926.7510050599276</v>
      </c>
      <c r="M301" s="79">
        <f>$J$301-EFEITO!$K$301*EFEITO!$Y$301</f>
        <v>0</v>
      </c>
      <c r="N301" s="79">
        <f ca="1">$K$301-EFEITO!$M$301*EFEITO!$Z$301</f>
        <v>0</v>
      </c>
      <c r="O301" s="79">
        <f>$L$301-EFEITO!$O$301*EFEITO!$AA$301</f>
        <v>0</v>
      </c>
      <c r="P301" s="18"/>
      <c r="Q301" s="18"/>
      <c r="R301" s="18"/>
      <c r="S301" s="18"/>
      <c r="T301" s="18"/>
      <c r="U301" s="18"/>
      <c r="V301" s="18"/>
      <c r="W301" s="18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70" t="s">
        <v>28</v>
      </c>
      <c r="B302" s="70" t="s">
        <v>35</v>
      </c>
      <c r="C302" s="70" t="s">
        <v>39</v>
      </c>
      <c r="D302" s="70" t="s">
        <v>40</v>
      </c>
      <c r="E302" s="70" t="s">
        <v>25</v>
      </c>
      <c r="F302" s="70" t="s">
        <v>25</v>
      </c>
      <c r="G302" s="70" t="s">
        <v>25</v>
      </c>
      <c r="H302" s="70" t="s">
        <v>37</v>
      </c>
      <c r="I302" s="78">
        <v>44652</v>
      </c>
      <c r="J302" s="79">
        <f>EFEITO!$J$302*EFEITO!$Y$302</f>
        <v>0</v>
      </c>
      <c r="K302" s="79">
        <f ca="1">EFEITO!$L$302*EFEITO!$Z$302</f>
        <v>32233.558109139369</v>
      </c>
      <c r="L302" s="79">
        <f>EFEITO!$N$302*EFEITO!$AA$302</f>
        <v>4905.003207965412</v>
      </c>
      <c r="M302" s="79">
        <f>$J$302-EFEITO!$K$302*EFEITO!$Y$302</f>
        <v>0</v>
      </c>
      <c r="N302" s="79">
        <f ca="1">$K$302-EFEITO!$M$302*EFEITO!$Z$302</f>
        <v>0</v>
      </c>
      <c r="O302" s="79">
        <f>$L$302-EFEITO!$O$302*EFEITO!$AA$302</f>
        <v>0</v>
      </c>
      <c r="P302" s="18"/>
      <c r="Q302" s="18"/>
      <c r="R302" s="18"/>
      <c r="S302" s="18"/>
      <c r="T302" s="18"/>
      <c r="U302" s="18"/>
      <c r="V302" s="18"/>
      <c r="W302" s="18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70" t="s">
        <v>21</v>
      </c>
      <c r="B303" s="70" t="s">
        <v>35</v>
      </c>
      <c r="C303" s="70" t="s">
        <v>39</v>
      </c>
      <c r="D303" s="70" t="s">
        <v>40</v>
      </c>
      <c r="E303" s="70" t="s">
        <v>25</v>
      </c>
      <c r="F303" s="70" t="s">
        <v>25</v>
      </c>
      <c r="G303" s="70" t="s">
        <v>25</v>
      </c>
      <c r="H303" s="70" t="s">
        <v>37</v>
      </c>
      <c r="I303" s="78">
        <v>44682</v>
      </c>
      <c r="J303" s="79">
        <f>EFEITO!$J$303*EFEITO!$Y$303</f>
        <v>0</v>
      </c>
      <c r="K303" s="79">
        <f ca="1">EFEITO!$L$303*EFEITO!$Z$303</f>
        <v>244364.23198286584</v>
      </c>
      <c r="L303" s="79">
        <f>EFEITO!$N$303*EFEITO!$AA$303</f>
        <v>37185.077047020532</v>
      </c>
      <c r="M303" s="79">
        <f>$J$303-EFEITO!$K$303*EFEITO!$Y$303</f>
        <v>0</v>
      </c>
      <c r="N303" s="79">
        <f ca="1">$K$303-EFEITO!$M$303*EFEITO!$Z$303</f>
        <v>0</v>
      </c>
      <c r="O303" s="79">
        <f>$L$303-EFEITO!$O$303*EFEITO!$AA$303</f>
        <v>0</v>
      </c>
      <c r="P303" s="18"/>
      <c r="Q303" s="18"/>
      <c r="R303" s="18"/>
      <c r="S303" s="18"/>
      <c r="T303" s="18"/>
      <c r="U303" s="18"/>
      <c r="V303" s="18"/>
      <c r="W303" s="18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70" t="s">
        <v>27</v>
      </c>
      <c r="B304" s="70" t="s">
        <v>35</v>
      </c>
      <c r="C304" s="70" t="s">
        <v>39</v>
      </c>
      <c r="D304" s="70" t="s">
        <v>40</v>
      </c>
      <c r="E304" s="70" t="s">
        <v>25</v>
      </c>
      <c r="F304" s="70" t="s">
        <v>25</v>
      </c>
      <c r="G304" s="70" t="s">
        <v>25</v>
      </c>
      <c r="H304" s="70" t="s">
        <v>37</v>
      </c>
      <c r="I304" s="78">
        <v>44682</v>
      </c>
      <c r="J304" s="79">
        <f>EFEITO!$J$304*EFEITO!$Y$304</f>
        <v>0</v>
      </c>
      <c r="K304" s="79">
        <f ca="1">EFEITO!$L$304*EFEITO!$Z$304</f>
        <v>-2169.7417296899471</v>
      </c>
      <c r="L304" s="79">
        <f>EFEITO!$N$304*EFEITO!$AA$304</f>
        <v>-330.17112502910612</v>
      </c>
      <c r="M304" s="79">
        <f>$J$304-EFEITO!$K$304*EFEITO!$Y$304</f>
        <v>0</v>
      </c>
      <c r="N304" s="79">
        <f ca="1">$K$304-EFEITO!$M$304*EFEITO!$Z$304</f>
        <v>0</v>
      </c>
      <c r="O304" s="79">
        <f>$L$304-EFEITO!$O$304*EFEITO!$AA$304</f>
        <v>0</v>
      </c>
      <c r="P304" s="18"/>
      <c r="Q304" s="18"/>
      <c r="R304" s="18"/>
      <c r="S304" s="18"/>
      <c r="T304" s="18"/>
      <c r="U304" s="18"/>
      <c r="V304" s="18"/>
      <c r="W304" s="18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70" t="s">
        <v>28</v>
      </c>
      <c r="B305" s="70" t="s">
        <v>35</v>
      </c>
      <c r="C305" s="70" t="s">
        <v>39</v>
      </c>
      <c r="D305" s="70" t="s">
        <v>40</v>
      </c>
      <c r="E305" s="70" t="s">
        <v>25</v>
      </c>
      <c r="F305" s="70" t="s">
        <v>25</v>
      </c>
      <c r="G305" s="70" t="s">
        <v>25</v>
      </c>
      <c r="H305" s="70" t="s">
        <v>37</v>
      </c>
      <c r="I305" s="78">
        <v>44682</v>
      </c>
      <c r="J305" s="79">
        <f>EFEITO!$J$305*EFEITO!$Y$305</f>
        <v>0</v>
      </c>
      <c r="K305" s="79">
        <f ca="1">EFEITO!$L$305*EFEITO!$Z$305</f>
        <v>18199.26226331772</v>
      </c>
      <c r="L305" s="79">
        <f>EFEITO!$N$305*EFEITO!$AA$305</f>
        <v>2769.3945385094412</v>
      </c>
      <c r="M305" s="79">
        <f>$J$305-EFEITO!$K$305*EFEITO!$Y$305</f>
        <v>0</v>
      </c>
      <c r="N305" s="79">
        <f ca="1">$K$305-EFEITO!$M$305*EFEITO!$Z$305</f>
        <v>0</v>
      </c>
      <c r="O305" s="79">
        <f>$L$305-EFEITO!$O$305*EFEITO!$AA$305</f>
        <v>0</v>
      </c>
      <c r="P305" s="18"/>
      <c r="Q305" s="18"/>
      <c r="R305" s="18"/>
      <c r="S305" s="18"/>
      <c r="T305" s="18"/>
      <c r="U305" s="18"/>
      <c r="V305" s="18"/>
      <c r="W305" s="18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70" t="s">
        <v>21</v>
      </c>
      <c r="B306" s="70" t="s">
        <v>35</v>
      </c>
      <c r="C306" s="70" t="s">
        <v>39</v>
      </c>
      <c r="D306" s="70" t="s">
        <v>40</v>
      </c>
      <c r="E306" s="70" t="s">
        <v>25</v>
      </c>
      <c r="F306" s="70" t="s">
        <v>25</v>
      </c>
      <c r="G306" s="70" t="s">
        <v>25</v>
      </c>
      <c r="H306" s="70" t="s">
        <v>37</v>
      </c>
      <c r="I306" s="78">
        <v>44713</v>
      </c>
      <c r="J306" s="79">
        <f>EFEITO!$J$306*EFEITO!$Y$306</f>
        <v>0</v>
      </c>
      <c r="K306" s="79">
        <f ca="1">EFEITO!$L$306*EFEITO!$Z$306</f>
        <v>241341.44053351987</v>
      </c>
      <c r="L306" s="79">
        <f>EFEITO!$N$306*EFEITO!$AA$306</f>
        <v>36725.096746184667</v>
      </c>
      <c r="M306" s="79">
        <f>$J$306-EFEITO!$K$306*EFEITO!$Y$306</f>
        <v>0</v>
      </c>
      <c r="N306" s="79">
        <f ca="1">$K$306-EFEITO!$M$306*EFEITO!$Z$306</f>
        <v>0</v>
      </c>
      <c r="O306" s="79">
        <f>$L$306-EFEITO!$O$306*EFEITO!$AA$306</f>
        <v>0</v>
      </c>
      <c r="P306" s="18"/>
      <c r="Q306" s="18"/>
      <c r="R306" s="18"/>
      <c r="S306" s="18"/>
      <c r="T306" s="18"/>
      <c r="U306" s="18"/>
      <c r="V306" s="18"/>
      <c r="W306" s="18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70" t="s">
        <v>27</v>
      </c>
      <c r="B307" s="70" t="s">
        <v>35</v>
      </c>
      <c r="C307" s="70" t="s">
        <v>39</v>
      </c>
      <c r="D307" s="70" t="s">
        <v>40</v>
      </c>
      <c r="E307" s="70" t="s">
        <v>25</v>
      </c>
      <c r="F307" s="70" t="s">
        <v>25</v>
      </c>
      <c r="G307" s="70" t="s">
        <v>25</v>
      </c>
      <c r="H307" s="70" t="s">
        <v>37</v>
      </c>
      <c r="I307" s="78">
        <v>44713</v>
      </c>
      <c r="J307" s="79">
        <f>EFEITO!$J$307*EFEITO!$Y$307</f>
        <v>0</v>
      </c>
      <c r="K307" s="79">
        <f ca="1">EFEITO!$L$307*EFEITO!$Z$307</f>
        <v>-9787.2803713204994</v>
      </c>
      <c r="L307" s="79">
        <f>EFEITO!$N$307*EFEITO!$AA$307</f>
        <v>-1489.337337691316</v>
      </c>
      <c r="M307" s="79">
        <f>$J$307-EFEITO!$K$307*EFEITO!$Y$307</f>
        <v>0</v>
      </c>
      <c r="N307" s="79">
        <f ca="1">$K$307-EFEITO!$M$307*EFEITO!$Z$307</f>
        <v>0</v>
      </c>
      <c r="O307" s="79">
        <f>$L$307-EFEITO!$O$307*EFEITO!$AA$307</f>
        <v>0</v>
      </c>
      <c r="P307" s="18"/>
      <c r="Q307" s="18"/>
      <c r="R307" s="18"/>
      <c r="S307" s="18"/>
      <c r="T307" s="18"/>
      <c r="U307" s="18"/>
      <c r="V307" s="18"/>
      <c r="W307" s="18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70" t="s">
        <v>28</v>
      </c>
      <c r="B308" s="70" t="s">
        <v>35</v>
      </c>
      <c r="C308" s="70" t="s">
        <v>39</v>
      </c>
      <c r="D308" s="70" t="s">
        <v>40</v>
      </c>
      <c r="E308" s="70" t="s">
        <v>25</v>
      </c>
      <c r="F308" s="70" t="s">
        <v>25</v>
      </c>
      <c r="G308" s="70" t="s">
        <v>25</v>
      </c>
      <c r="H308" s="70" t="s">
        <v>37</v>
      </c>
      <c r="I308" s="78">
        <v>44713</v>
      </c>
      <c r="J308" s="79">
        <f>EFEITO!$J$308*EFEITO!$Y$308</f>
        <v>0</v>
      </c>
      <c r="K308" s="79">
        <f ca="1">EFEITO!$L$308*EFEITO!$Z$308</f>
        <v>32788.366018411827</v>
      </c>
      <c r="L308" s="79">
        <f>EFEITO!$N$308*EFEITO!$AA$308</f>
        <v>4989.4287177267561</v>
      </c>
      <c r="M308" s="79">
        <f>$J$308-EFEITO!$K$308*EFEITO!$Y$308</f>
        <v>0</v>
      </c>
      <c r="N308" s="79">
        <f ca="1">$K$308-EFEITO!$M$308*EFEITO!$Z$308</f>
        <v>0</v>
      </c>
      <c r="O308" s="79">
        <f>$L$308-EFEITO!$O$308*EFEITO!$AA$308</f>
        <v>0</v>
      </c>
      <c r="P308" s="18"/>
      <c r="Q308" s="18"/>
      <c r="R308" s="18"/>
      <c r="S308" s="18"/>
      <c r="T308" s="18"/>
      <c r="U308" s="18"/>
      <c r="V308" s="18"/>
      <c r="W308" s="18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70" t="s">
        <v>21</v>
      </c>
      <c r="B309" s="70" t="s">
        <v>35</v>
      </c>
      <c r="C309" s="70" t="s">
        <v>39</v>
      </c>
      <c r="D309" s="70" t="s">
        <v>49</v>
      </c>
      <c r="E309" s="70" t="s">
        <v>25</v>
      </c>
      <c r="F309" s="70" t="s">
        <v>25</v>
      </c>
      <c r="G309" s="70" t="s">
        <v>25</v>
      </c>
      <c r="H309" s="70" t="s">
        <v>38</v>
      </c>
      <c r="I309" s="78">
        <v>44378</v>
      </c>
      <c r="J309" s="79">
        <f>EFEITO!$J$309*EFEITO!$Y$309</f>
        <v>0</v>
      </c>
      <c r="K309" s="79">
        <f ca="1">EFEITO!$L$309*EFEITO!$Z$309</f>
        <v>2783.284225930121</v>
      </c>
      <c r="L309" s="79">
        <f>EFEITO!$N$309*EFEITO!$AA$309</f>
        <v>5962.8984453035682</v>
      </c>
      <c r="M309" s="79">
        <f>$J$309-EFEITO!$K$309*EFEITO!$Y$309</f>
        <v>0</v>
      </c>
      <c r="N309" s="79">
        <f ca="1">$K$309-EFEITO!$M$309*EFEITO!$Z$309</f>
        <v>0</v>
      </c>
      <c r="O309" s="79">
        <f>$L$309-EFEITO!$O$309*EFEITO!$AA$309</f>
        <v>0</v>
      </c>
      <c r="P309" s="18"/>
      <c r="Q309" s="18"/>
      <c r="R309" s="18"/>
      <c r="S309" s="18"/>
      <c r="T309" s="18"/>
      <c r="U309" s="18"/>
      <c r="V309" s="18"/>
      <c r="W309" s="18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70" t="s">
        <v>21</v>
      </c>
      <c r="B310" s="70" t="s">
        <v>35</v>
      </c>
      <c r="C310" s="70" t="s">
        <v>39</v>
      </c>
      <c r="D310" s="70" t="s">
        <v>49</v>
      </c>
      <c r="E310" s="70" t="s">
        <v>25</v>
      </c>
      <c r="F310" s="70" t="s">
        <v>25</v>
      </c>
      <c r="G310" s="70" t="s">
        <v>25</v>
      </c>
      <c r="H310" s="70" t="s">
        <v>38</v>
      </c>
      <c r="I310" s="78">
        <v>44409</v>
      </c>
      <c r="J310" s="79">
        <f>EFEITO!$J$310*EFEITO!$Y$310</f>
        <v>0</v>
      </c>
      <c r="K310" s="79">
        <f ca="1">EFEITO!$L$310*EFEITO!$Z$310</f>
        <v>3118.2440830855644</v>
      </c>
      <c r="L310" s="79">
        <f>EFEITO!$N$310*EFEITO!$AA$310</f>
        <v>6680.5152782749938</v>
      </c>
      <c r="M310" s="79">
        <f>$J$310-EFEITO!$K$310*EFEITO!$Y$310</f>
        <v>0</v>
      </c>
      <c r="N310" s="79">
        <f ca="1">$K$310-EFEITO!$M$310*EFEITO!$Z$310</f>
        <v>0</v>
      </c>
      <c r="O310" s="79">
        <f>$L$310-EFEITO!$O$310*EFEITO!$AA$310</f>
        <v>0</v>
      </c>
      <c r="P310" s="18"/>
      <c r="Q310" s="18"/>
      <c r="R310" s="18"/>
      <c r="S310" s="18"/>
      <c r="T310" s="18"/>
      <c r="U310" s="18"/>
      <c r="V310" s="18"/>
      <c r="W310" s="18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70" t="s">
        <v>21</v>
      </c>
      <c r="B311" s="70" t="s">
        <v>35</v>
      </c>
      <c r="C311" s="70" t="s">
        <v>39</v>
      </c>
      <c r="D311" s="70" t="s">
        <v>49</v>
      </c>
      <c r="E311" s="70" t="s">
        <v>25</v>
      </c>
      <c r="F311" s="70" t="s">
        <v>25</v>
      </c>
      <c r="G311" s="70" t="s">
        <v>25</v>
      </c>
      <c r="H311" s="70" t="s">
        <v>38</v>
      </c>
      <c r="I311" s="78">
        <v>44440</v>
      </c>
      <c r="J311" s="79">
        <f>EFEITO!$J$311*EFEITO!$Y$311</f>
        <v>0</v>
      </c>
      <c r="K311" s="79">
        <f ca="1">EFEITO!$L$311*EFEITO!$Z$311</f>
        <v>3027.2193663109283</v>
      </c>
      <c r="L311" s="79">
        <f>EFEITO!$N$311*EFEITO!$AA$311</f>
        <v>6485.5042416431561</v>
      </c>
      <c r="M311" s="79">
        <f>$J$311-EFEITO!$K$311*EFEITO!$Y$311</f>
        <v>0</v>
      </c>
      <c r="N311" s="79">
        <f ca="1">$K$311-EFEITO!$M$311*EFEITO!$Z$311</f>
        <v>0</v>
      </c>
      <c r="O311" s="79">
        <f>$L$311-EFEITO!$O$311*EFEITO!$AA$311</f>
        <v>0</v>
      </c>
      <c r="P311" s="18"/>
      <c r="Q311" s="18"/>
      <c r="R311" s="18"/>
      <c r="S311" s="18"/>
      <c r="T311" s="18"/>
      <c r="U311" s="18"/>
      <c r="V311" s="18"/>
      <c r="W311" s="18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70" t="s">
        <v>21</v>
      </c>
      <c r="B312" s="70" t="s">
        <v>35</v>
      </c>
      <c r="C312" s="70" t="s">
        <v>39</v>
      </c>
      <c r="D312" s="70" t="s">
        <v>49</v>
      </c>
      <c r="E312" s="70" t="s">
        <v>25</v>
      </c>
      <c r="F312" s="70" t="s">
        <v>25</v>
      </c>
      <c r="G312" s="70" t="s">
        <v>25</v>
      </c>
      <c r="H312" s="70" t="s">
        <v>38</v>
      </c>
      <c r="I312" s="78">
        <v>44470</v>
      </c>
      <c r="J312" s="79">
        <f>EFEITO!$J$312*EFEITO!$Y$312</f>
        <v>0</v>
      </c>
      <c r="K312" s="79">
        <f ca="1">EFEITO!$L$312*EFEITO!$Z$312</f>
        <v>2849.5176580547541</v>
      </c>
      <c r="L312" s="79">
        <f>EFEITO!$N$312*EFEITO!$AA$312</f>
        <v>6104.796719925921</v>
      </c>
      <c r="M312" s="79">
        <f>$J$312-EFEITO!$K$312*EFEITO!$Y$312</f>
        <v>0</v>
      </c>
      <c r="N312" s="79">
        <f ca="1">$K$312-EFEITO!$M$312*EFEITO!$Z$312</f>
        <v>0</v>
      </c>
      <c r="O312" s="79">
        <f>$L$312-EFEITO!$O$312*EFEITO!$AA$312</f>
        <v>0</v>
      </c>
      <c r="P312" s="18"/>
      <c r="Q312" s="18"/>
      <c r="R312" s="18"/>
      <c r="S312" s="18"/>
      <c r="T312" s="18"/>
      <c r="U312" s="18"/>
      <c r="V312" s="18"/>
      <c r="W312" s="18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70" t="s">
        <v>21</v>
      </c>
      <c r="B313" s="70" t="s">
        <v>35</v>
      </c>
      <c r="C313" s="70" t="s">
        <v>39</v>
      </c>
      <c r="D313" s="70" t="s">
        <v>49</v>
      </c>
      <c r="E313" s="70" t="s">
        <v>25</v>
      </c>
      <c r="F313" s="70" t="s">
        <v>25</v>
      </c>
      <c r="G313" s="70" t="s">
        <v>25</v>
      </c>
      <c r="H313" s="70" t="s">
        <v>38</v>
      </c>
      <c r="I313" s="78">
        <v>44501</v>
      </c>
      <c r="J313" s="79">
        <f>EFEITO!$J$313*EFEITO!$Y$313</f>
        <v>0</v>
      </c>
      <c r="K313" s="79">
        <f ca="1">EFEITO!$L$313*EFEITO!$Z$313</f>
        <v>6666.2654366334818</v>
      </c>
      <c r="L313" s="79">
        <f>EFEITO!$N$313*EFEITO!$AA$313</f>
        <v>14281.783886012907</v>
      </c>
      <c r="M313" s="79">
        <f>$J$313-EFEITO!$K$313*EFEITO!$Y$313</f>
        <v>0</v>
      </c>
      <c r="N313" s="79">
        <f ca="1">$K$313-EFEITO!$M$313*EFEITO!$Z$313</f>
        <v>0</v>
      </c>
      <c r="O313" s="79">
        <f>$L$313-EFEITO!$O$313*EFEITO!$AA$313</f>
        <v>0</v>
      </c>
      <c r="P313" s="18"/>
      <c r="Q313" s="18"/>
      <c r="R313" s="18"/>
      <c r="S313" s="18"/>
      <c r="T313" s="18"/>
      <c r="U313" s="18"/>
      <c r="V313" s="18"/>
      <c r="W313" s="18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70" t="s">
        <v>27</v>
      </c>
      <c r="B314" s="70" t="s">
        <v>35</v>
      </c>
      <c r="C314" s="70" t="s">
        <v>39</v>
      </c>
      <c r="D314" s="70" t="s">
        <v>49</v>
      </c>
      <c r="E314" s="70" t="s">
        <v>25</v>
      </c>
      <c r="F314" s="70" t="s">
        <v>25</v>
      </c>
      <c r="G314" s="70" t="s">
        <v>25</v>
      </c>
      <c r="H314" s="70" t="s">
        <v>38</v>
      </c>
      <c r="I314" s="78">
        <v>44501</v>
      </c>
      <c r="J314" s="79">
        <f>EFEITO!$J$314*EFEITO!$Y$314</f>
        <v>0</v>
      </c>
      <c r="K314" s="79">
        <f ca="1">EFEITO!$L$314*EFEITO!$Z$314</f>
        <v>-3631.4606772580014</v>
      </c>
      <c r="L314" s="79">
        <f>EFEITO!$N$314*EFEITO!$AA$314</f>
        <v>-7780.0287246504313</v>
      </c>
      <c r="M314" s="79">
        <f>$J$314-EFEITO!$K$314*EFEITO!$Y$314</f>
        <v>0</v>
      </c>
      <c r="N314" s="79">
        <f ca="1">$K$314-EFEITO!$M$314*EFEITO!$Z$314</f>
        <v>0</v>
      </c>
      <c r="O314" s="79">
        <f>$L$314-EFEITO!$O$314*EFEITO!$AA$314</f>
        <v>0</v>
      </c>
      <c r="P314" s="18"/>
      <c r="Q314" s="18"/>
      <c r="R314" s="18"/>
      <c r="S314" s="18"/>
      <c r="T314" s="18"/>
      <c r="U314" s="18"/>
      <c r="V314" s="18"/>
      <c r="W314" s="18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70" t="s">
        <v>21</v>
      </c>
      <c r="B315" s="70" t="s">
        <v>35</v>
      </c>
      <c r="C315" s="70" t="s">
        <v>39</v>
      </c>
      <c r="D315" s="70" t="s">
        <v>49</v>
      </c>
      <c r="E315" s="70" t="s">
        <v>25</v>
      </c>
      <c r="F315" s="70" t="s">
        <v>25</v>
      </c>
      <c r="G315" s="70" t="s">
        <v>25</v>
      </c>
      <c r="H315" s="70" t="s">
        <v>38</v>
      </c>
      <c r="I315" s="78">
        <v>44531</v>
      </c>
      <c r="J315" s="79">
        <f>EFEITO!$J$315*EFEITO!$Y$315</f>
        <v>0</v>
      </c>
      <c r="K315" s="79">
        <f ca="1">EFEITO!$L$315*EFEITO!$Z$315</f>
        <v>3170.6017961896732</v>
      </c>
      <c r="L315" s="79">
        <f>EFEITO!$N$315*EFEITO!$AA$315</f>
        <v>6792.6862607278581</v>
      </c>
      <c r="M315" s="79">
        <f>$J$315-EFEITO!$K$315*EFEITO!$Y$315</f>
        <v>0</v>
      </c>
      <c r="N315" s="79">
        <f ca="1">$K$315-EFEITO!$M$315*EFEITO!$Z$315</f>
        <v>0</v>
      </c>
      <c r="O315" s="79">
        <f>$L$315-EFEITO!$O$315*EFEITO!$AA$315</f>
        <v>0</v>
      </c>
      <c r="P315" s="18"/>
      <c r="Q315" s="18"/>
      <c r="R315" s="18"/>
      <c r="S315" s="18"/>
      <c r="T315" s="18"/>
      <c r="U315" s="18"/>
      <c r="V315" s="18"/>
      <c r="W315" s="18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70" t="s">
        <v>21</v>
      </c>
      <c r="B316" s="70" t="s">
        <v>35</v>
      </c>
      <c r="C316" s="70" t="s">
        <v>39</v>
      </c>
      <c r="D316" s="70" t="s">
        <v>49</v>
      </c>
      <c r="E316" s="70" t="s">
        <v>25</v>
      </c>
      <c r="F316" s="70" t="s">
        <v>25</v>
      </c>
      <c r="G316" s="70" t="s">
        <v>25</v>
      </c>
      <c r="H316" s="70" t="s">
        <v>38</v>
      </c>
      <c r="I316" s="78">
        <v>44562</v>
      </c>
      <c r="J316" s="79">
        <f>EFEITO!$J$316*EFEITO!$Y$316</f>
        <v>0</v>
      </c>
      <c r="K316" s="79">
        <f ca="1">EFEITO!$L$316*EFEITO!$Z$316</f>
        <v>3530.2604332016485</v>
      </c>
      <c r="L316" s="79">
        <f>EFEITO!$N$316*EFEITO!$AA$316</f>
        <v>7563.2176737609698</v>
      </c>
      <c r="M316" s="79">
        <f>$J$316-EFEITO!$K$316*EFEITO!$Y$316</f>
        <v>0</v>
      </c>
      <c r="N316" s="79">
        <f ca="1">$K$316-EFEITO!$M$316*EFEITO!$Z$316</f>
        <v>0</v>
      </c>
      <c r="O316" s="79">
        <f>$L$316-EFEITO!$O$316*EFEITO!$AA$316</f>
        <v>0</v>
      </c>
      <c r="P316" s="18"/>
      <c r="Q316" s="18"/>
      <c r="R316" s="18"/>
      <c r="S316" s="18"/>
      <c r="T316" s="18"/>
      <c r="U316" s="18"/>
      <c r="V316" s="18"/>
      <c r="W316" s="18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70" t="s">
        <v>21</v>
      </c>
      <c r="B317" s="70" t="s">
        <v>35</v>
      </c>
      <c r="C317" s="70" t="s">
        <v>39</v>
      </c>
      <c r="D317" s="70" t="s">
        <v>49</v>
      </c>
      <c r="E317" s="70" t="s">
        <v>25</v>
      </c>
      <c r="F317" s="70" t="s">
        <v>25</v>
      </c>
      <c r="G317" s="70" t="s">
        <v>25</v>
      </c>
      <c r="H317" s="70" t="s">
        <v>38</v>
      </c>
      <c r="I317" s="78">
        <v>44593</v>
      </c>
      <c r="J317" s="79">
        <f>EFEITO!$J$317*EFEITO!$Y$317</f>
        <v>0</v>
      </c>
      <c r="K317" s="79">
        <f ca="1">EFEITO!$L$317*EFEITO!$Z$317</f>
        <v>8403.1354388291747</v>
      </c>
      <c r="L317" s="79">
        <f>EFEITO!$N$317*EFEITO!$AA$317</f>
        <v>18002.848137841538</v>
      </c>
      <c r="M317" s="79">
        <f>$J$317-EFEITO!$K$317*EFEITO!$Y$317</f>
        <v>0</v>
      </c>
      <c r="N317" s="79">
        <f ca="1">$K$317-EFEITO!$M$317*EFEITO!$Z$317</f>
        <v>0</v>
      </c>
      <c r="O317" s="79">
        <f>$L$317-EFEITO!$O$317*EFEITO!$AA$317</f>
        <v>0</v>
      </c>
      <c r="P317" s="18"/>
      <c r="Q317" s="18"/>
      <c r="R317" s="18"/>
      <c r="S317" s="18"/>
      <c r="T317" s="18"/>
      <c r="U317" s="18"/>
      <c r="V317" s="18"/>
      <c r="W317" s="18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70" t="s">
        <v>27</v>
      </c>
      <c r="B318" s="70" t="s">
        <v>35</v>
      </c>
      <c r="C318" s="70" t="s">
        <v>39</v>
      </c>
      <c r="D318" s="70" t="s">
        <v>49</v>
      </c>
      <c r="E318" s="70" t="s">
        <v>25</v>
      </c>
      <c r="F318" s="70" t="s">
        <v>25</v>
      </c>
      <c r="G318" s="70" t="s">
        <v>25</v>
      </c>
      <c r="H318" s="70" t="s">
        <v>38</v>
      </c>
      <c r="I318" s="78">
        <v>44593</v>
      </c>
      <c r="J318" s="79">
        <f>EFEITO!$J$318*EFEITO!$Y$318</f>
        <v>0</v>
      </c>
      <c r="K318" s="79">
        <f ca="1">EFEITO!$L$318*EFEITO!$Z$318</f>
        <v>-4590.457871163132</v>
      </c>
      <c r="L318" s="79">
        <f>EFEITO!$N$318*EFEITO!$AA$318</f>
        <v>-9834.580977457601</v>
      </c>
      <c r="M318" s="79">
        <f>$J$318-EFEITO!$K$318*EFEITO!$Y$318</f>
        <v>0</v>
      </c>
      <c r="N318" s="79">
        <f ca="1">$K$318-EFEITO!$M$318*EFEITO!$Z$318</f>
        <v>0</v>
      </c>
      <c r="O318" s="79">
        <f>$L$318-EFEITO!$O$318*EFEITO!$AA$318</f>
        <v>0</v>
      </c>
      <c r="P318" s="18"/>
      <c r="Q318" s="18"/>
      <c r="R318" s="18"/>
      <c r="S318" s="18"/>
      <c r="T318" s="18"/>
      <c r="U318" s="18"/>
      <c r="V318" s="18"/>
      <c r="W318" s="18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70" t="s">
        <v>21</v>
      </c>
      <c r="B319" s="70" t="s">
        <v>35</v>
      </c>
      <c r="C319" s="70" t="s">
        <v>39</v>
      </c>
      <c r="D319" s="70" t="s">
        <v>49</v>
      </c>
      <c r="E319" s="70" t="s">
        <v>25</v>
      </c>
      <c r="F319" s="70" t="s">
        <v>25</v>
      </c>
      <c r="G319" s="70" t="s">
        <v>25</v>
      </c>
      <c r="H319" s="70" t="s">
        <v>38</v>
      </c>
      <c r="I319" s="78">
        <v>44621</v>
      </c>
      <c r="J319" s="79">
        <f>EFEITO!$J$319*EFEITO!$Y$319</f>
        <v>0</v>
      </c>
      <c r="K319" s="79">
        <f ca="1">EFEITO!$L$319*EFEITO!$Z$319</f>
        <v>7368.8393430393353</v>
      </c>
      <c r="L319" s="79">
        <f>EFEITO!$N$319*EFEITO!$AA$319</f>
        <v>15786.975779527951</v>
      </c>
      <c r="M319" s="79">
        <f>$J$319-EFEITO!$K$319*EFEITO!$Y$319</f>
        <v>0</v>
      </c>
      <c r="N319" s="79">
        <f ca="1">$K$319-EFEITO!$M$319*EFEITO!$Z$319</f>
        <v>0</v>
      </c>
      <c r="O319" s="79">
        <f>$L$319-EFEITO!$O$319*EFEITO!$AA$319</f>
        <v>0</v>
      </c>
      <c r="P319" s="18"/>
      <c r="Q319" s="18"/>
      <c r="R319" s="18"/>
      <c r="S319" s="18"/>
      <c r="T319" s="18"/>
      <c r="U319" s="18"/>
      <c r="V319" s="18"/>
      <c r="W319" s="18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70" t="s">
        <v>27</v>
      </c>
      <c r="B320" s="70" t="s">
        <v>35</v>
      </c>
      <c r="C320" s="70" t="s">
        <v>39</v>
      </c>
      <c r="D320" s="70" t="s">
        <v>49</v>
      </c>
      <c r="E320" s="70" t="s">
        <v>25</v>
      </c>
      <c r="F320" s="70" t="s">
        <v>25</v>
      </c>
      <c r="G320" s="70" t="s">
        <v>25</v>
      </c>
      <c r="H320" s="70" t="s">
        <v>38</v>
      </c>
      <c r="I320" s="78">
        <v>44621</v>
      </c>
      <c r="J320" s="79">
        <f>EFEITO!$J$320*EFEITO!$Y$320</f>
        <v>0</v>
      </c>
      <c r="K320" s="79">
        <f ca="1">EFEITO!$L$320*EFEITO!$Z$320</f>
        <v>-4007.4001579207247</v>
      </c>
      <c r="L320" s="79">
        <f>EFEITO!$N$320*EFEITO!$AA$320</f>
        <v>-8585.440160495742</v>
      </c>
      <c r="M320" s="79">
        <f>$J$320-EFEITO!$K$320*EFEITO!$Y$320</f>
        <v>0</v>
      </c>
      <c r="N320" s="79">
        <f ca="1">$K$320-EFEITO!$M$320*EFEITO!$Z$320</f>
        <v>0</v>
      </c>
      <c r="O320" s="79">
        <f>$L$320-EFEITO!$O$320*EFEITO!$AA$320</f>
        <v>0</v>
      </c>
      <c r="P320" s="18"/>
      <c r="Q320" s="18"/>
      <c r="R320" s="18"/>
      <c r="S320" s="18"/>
      <c r="T320" s="18"/>
      <c r="U320" s="18"/>
      <c r="V320" s="18"/>
      <c r="W320" s="18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70" t="s">
        <v>21</v>
      </c>
      <c r="B321" s="70" t="s">
        <v>35</v>
      </c>
      <c r="C321" s="70" t="s">
        <v>39</v>
      </c>
      <c r="D321" s="70" t="s">
        <v>49</v>
      </c>
      <c r="E321" s="70" t="s">
        <v>25</v>
      </c>
      <c r="F321" s="70" t="s">
        <v>25</v>
      </c>
      <c r="G321" s="70" t="s">
        <v>25</v>
      </c>
      <c r="H321" s="70" t="s">
        <v>38</v>
      </c>
      <c r="I321" s="78">
        <v>44652</v>
      </c>
      <c r="J321" s="79">
        <f>EFEITO!$J$321*EFEITO!$Y$321</f>
        <v>0</v>
      </c>
      <c r="K321" s="79">
        <f ca="1">EFEITO!$L$321*EFEITO!$Z$321</f>
        <v>3541.9160371788889</v>
      </c>
      <c r="L321" s="79">
        <f>EFEITO!$N$321*EFEITO!$AA$321</f>
        <v>7588.1885991833406</v>
      </c>
      <c r="M321" s="79">
        <f>$J$321-EFEITO!$K$321*EFEITO!$Y$321</f>
        <v>0</v>
      </c>
      <c r="N321" s="79">
        <f ca="1">$K$321-EFEITO!$M$321*EFEITO!$Z$321</f>
        <v>0</v>
      </c>
      <c r="O321" s="79">
        <f>$L$321-EFEITO!$O$321*EFEITO!$AA$321</f>
        <v>0</v>
      </c>
      <c r="P321" s="18"/>
      <c r="Q321" s="18"/>
      <c r="R321" s="18"/>
      <c r="S321" s="18"/>
      <c r="T321" s="18"/>
      <c r="U321" s="18"/>
      <c r="V321" s="18"/>
      <c r="W321" s="18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70" t="s">
        <v>21</v>
      </c>
      <c r="B322" s="70" t="s">
        <v>35</v>
      </c>
      <c r="C322" s="70" t="s">
        <v>39</v>
      </c>
      <c r="D322" s="70" t="s">
        <v>49</v>
      </c>
      <c r="E322" s="70" t="s">
        <v>25</v>
      </c>
      <c r="F322" s="70" t="s">
        <v>25</v>
      </c>
      <c r="G322" s="70" t="s">
        <v>25</v>
      </c>
      <c r="H322" s="70" t="s">
        <v>38</v>
      </c>
      <c r="I322" s="78">
        <v>44682</v>
      </c>
      <c r="J322" s="79">
        <f>EFEITO!$J$322*EFEITO!$Y$322</f>
        <v>0</v>
      </c>
      <c r="K322" s="79">
        <f ca="1">EFEITO!$L$322*EFEITO!$Z$322</f>
        <v>2901.4128471915128</v>
      </c>
      <c r="L322" s="79">
        <f>EFEITO!$N$322*EFEITO!$AA$322</f>
        <v>6215.9767926398035</v>
      </c>
      <c r="M322" s="79">
        <f>$J$322-EFEITO!$K$322*EFEITO!$Y$322</f>
        <v>0</v>
      </c>
      <c r="N322" s="79">
        <f ca="1">$K$322-EFEITO!$M$322*EFEITO!$Z$322</f>
        <v>0</v>
      </c>
      <c r="O322" s="79">
        <f>$L$322-EFEITO!$O$322*EFEITO!$AA$322</f>
        <v>0</v>
      </c>
      <c r="P322" s="18"/>
      <c r="Q322" s="18"/>
      <c r="R322" s="18"/>
      <c r="S322" s="18"/>
      <c r="T322" s="18"/>
      <c r="U322" s="18"/>
      <c r="V322" s="18"/>
      <c r="W322" s="18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70" t="s">
        <v>21</v>
      </c>
      <c r="B323" s="70" t="s">
        <v>35</v>
      </c>
      <c r="C323" s="70" t="s">
        <v>39</v>
      </c>
      <c r="D323" s="70" t="s">
        <v>49</v>
      </c>
      <c r="E323" s="70" t="s">
        <v>25</v>
      </c>
      <c r="F323" s="70" t="s">
        <v>25</v>
      </c>
      <c r="G323" s="70" t="s">
        <v>25</v>
      </c>
      <c r="H323" s="70" t="s">
        <v>38</v>
      </c>
      <c r="I323" s="78">
        <v>44713</v>
      </c>
      <c r="J323" s="79">
        <f>EFEITO!$J$323*EFEITO!$Y$323</f>
        <v>0</v>
      </c>
      <c r="K323" s="79">
        <f ca="1">EFEITO!$L$323*EFEITO!$Z$323</f>
        <v>2877.916629650093</v>
      </c>
      <c r="L323" s="79">
        <f>EFEITO!$N$323*EFEITO!$AA$323</f>
        <v>6165.6385778994727</v>
      </c>
      <c r="M323" s="79">
        <f>$J$323-EFEITO!$K$323*EFEITO!$Y$323</f>
        <v>0</v>
      </c>
      <c r="N323" s="79">
        <f ca="1">$K$323-EFEITO!$M$323*EFEITO!$Z$323</f>
        <v>0</v>
      </c>
      <c r="O323" s="79">
        <f>$L$323-EFEITO!$O$323*EFEITO!$AA$323</f>
        <v>0</v>
      </c>
      <c r="P323" s="18"/>
      <c r="Q323" s="18"/>
      <c r="R323" s="18"/>
      <c r="S323" s="18"/>
      <c r="T323" s="18"/>
      <c r="U323" s="18"/>
      <c r="V323" s="18"/>
      <c r="W323" s="18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70" t="s">
        <v>21</v>
      </c>
      <c r="B324" s="70" t="s">
        <v>35</v>
      </c>
      <c r="C324" s="70" t="s">
        <v>39</v>
      </c>
      <c r="D324" s="70" t="s">
        <v>49</v>
      </c>
      <c r="E324" s="70" t="s">
        <v>25</v>
      </c>
      <c r="F324" s="70" t="s">
        <v>25</v>
      </c>
      <c r="G324" s="70" t="s">
        <v>25</v>
      </c>
      <c r="H324" s="70" t="s">
        <v>25</v>
      </c>
      <c r="I324" s="78">
        <v>44378</v>
      </c>
      <c r="J324" s="79">
        <f ca="1">EFEITO!$J$324*EFEITO!$Y$324</f>
        <v>4720.2897666266781</v>
      </c>
      <c r="K324" s="79">
        <f>EFEITO!$L$324*EFEITO!$Z$324</f>
        <v>0</v>
      </c>
      <c r="L324" s="79">
        <f>EFEITO!$N$324*EFEITO!$AA$324</f>
        <v>0</v>
      </c>
      <c r="M324" s="79">
        <f ca="1">$J$324-EFEITO!$K$324*EFEITO!$Y$324</f>
        <v>0</v>
      </c>
      <c r="N324" s="79">
        <f>$K$324-EFEITO!$M$324*EFEITO!$Z$324</f>
        <v>0</v>
      </c>
      <c r="O324" s="79">
        <f>$L$324-EFEITO!$O$324*EFEITO!$AA$324</f>
        <v>0</v>
      </c>
      <c r="P324" s="18"/>
      <c r="Q324" s="18"/>
      <c r="R324" s="18"/>
      <c r="S324" s="18"/>
      <c r="T324" s="18"/>
      <c r="U324" s="18"/>
      <c r="V324" s="18"/>
      <c r="W324" s="18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70" t="s">
        <v>21</v>
      </c>
      <c r="B325" s="70" t="s">
        <v>35</v>
      </c>
      <c r="C325" s="70" t="s">
        <v>39</v>
      </c>
      <c r="D325" s="70" t="s">
        <v>49</v>
      </c>
      <c r="E325" s="70" t="s">
        <v>25</v>
      </c>
      <c r="F325" s="70" t="s">
        <v>25</v>
      </c>
      <c r="G325" s="70" t="s">
        <v>25</v>
      </c>
      <c r="H325" s="70" t="s">
        <v>25</v>
      </c>
      <c r="I325" s="78">
        <v>44409</v>
      </c>
      <c r="J325" s="79">
        <f ca="1">EFEITO!$J$325*EFEITO!$Y$325</f>
        <v>4720.2897666266781</v>
      </c>
      <c r="K325" s="79">
        <f>EFEITO!$L$325*EFEITO!$Z$325</f>
        <v>0</v>
      </c>
      <c r="L325" s="79">
        <f>EFEITO!$N$325*EFEITO!$AA$325</f>
        <v>0</v>
      </c>
      <c r="M325" s="79">
        <f ca="1">$J$325-EFEITO!$K$325*EFEITO!$Y$325</f>
        <v>0</v>
      </c>
      <c r="N325" s="79">
        <f>$K$325-EFEITO!$M$325*EFEITO!$Z$325</f>
        <v>0</v>
      </c>
      <c r="O325" s="79">
        <f>$L$325-EFEITO!$O$325*EFEITO!$AA$325</f>
        <v>0</v>
      </c>
      <c r="P325" s="18"/>
      <c r="Q325" s="18"/>
      <c r="R325" s="18"/>
      <c r="S325" s="18"/>
      <c r="T325" s="18"/>
      <c r="U325" s="18"/>
      <c r="V325" s="18"/>
      <c r="W325" s="18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70" t="s">
        <v>21</v>
      </c>
      <c r="B326" s="70" t="s">
        <v>35</v>
      </c>
      <c r="C326" s="70" t="s">
        <v>39</v>
      </c>
      <c r="D326" s="70" t="s">
        <v>49</v>
      </c>
      <c r="E326" s="70" t="s">
        <v>25</v>
      </c>
      <c r="F326" s="70" t="s">
        <v>25</v>
      </c>
      <c r="G326" s="70" t="s">
        <v>25</v>
      </c>
      <c r="H326" s="70" t="s">
        <v>25</v>
      </c>
      <c r="I326" s="78">
        <v>44440</v>
      </c>
      <c r="J326" s="79">
        <f ca="1">EFEITO!$J$326*EFEITO!$Y$326</f>
        <v>4720.2897666266781</v>
      </c>
      <c r="K326" s="79">
        <f>EFEITO!$L$326*EFEITO!$Z$326</f>
        <v>0</v>
      </c>
      <c r="L326" s="79">
        <f>EFEITO!$N$326*EFEITO!$AA$326</f>
        <v>0</v>
      </c>
      <c r="M326" s="79">
        <f ca="1">$J$326-EFEITO!$K$326*EFEITO!$Y$326</f>
        <v>0</v>
      </c>
      <c r="N326" s="79">
        <f>$K$326-EFEITO!$M$326*EFEITO!$Z$326</f>
        <v>0</v>
      </c>
      <c r="O326" s="79">
        <f>$L$326-EFEITO!$O$326*EFEITO!$AA$326</f>
        <v>0</v>
      </c>
      <c r="P326" s="18"/>
      <c r="Q326" s="18"/>
      <c r="R326" s="18"/>
      <c r="S326" s="18"/>
      <c r="T326" s="18"/>
      <c r="U326" s="18"/>
      <c r="V326" s="18"/>
      <c r="W326" s="18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70" t="s">
        <v>21</v>
      </c>
      <c r="B327" s="70" t="s">
        <v>35</v>
      </c>
      <c r="C327" s="70" t="s">
        <v>39</v>
      </c>
      <c r="D327" s="70" t="s">
        <v>49</v>
      </c>
      <c r="E327" s="70" t="s">
        <v>25</v>
      </c>
      <c r="F327" s="70" t="s">
        <v>25</v>
      </c>
      <c r="G327" s="70" t="s">
        <v>25</v>
      </c>
      <c r="H327" s="70" t="s">
        <v>25</v>
      </c>
      <c r="I327" s="78">
        <v>44470</v>
      </c>
      <c r="J327" s="79">
        <f ca="1">EFEITO!$J$327*EFEITO!$Y$327</f>
        <v>4720.2897666266781</v>
      </c>
      <c r="K327" s="79">
        <f>EFEITO!$L$327*EFEITO!$Z$327</f>
        <v>0</v>
      </c>
      <c r="L327" s="79">
        <f>EFEITO!$N$327*EFEITO!$AA$327</f>
        <v>0</v>
      </c>
      <c r="M327" s="79">
        <f ca="1">$J$327-EFEITO!$K$327*EFEITO!$Y$327</f>
        <v>0</v>
      </c>
      <c r="N327" s="79">
        <f>$K$327-EFEITO!$M$327*EFEITO!$Z$327</f>
        <v>0</v>
      </c>
      <c r="O327" s="79">
        <f>$L$327-EFEITO!$O$327*EFEITO!$AA$327</f>
        <v>0</v>
      </c>
      <c r="P327" s="18"/>
      <c r="Q327" s="18"/>
      <c r="R327" s="18"/>
      <c r="S327" s="18"/>
      <c r="T327" s="18"/>
      <c r="U327" s="18"/>
      <c r="V327" s="18"/>
      <c r="W327" s="18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70" t="s">
        <v>21</v>
      </c>
      <c r="B328" s="70" t="s">
        <v>35</v>
      </c>
      <c r="C328" s="70" t="s">
        <v>39</v>
      </c>
      <c r="D328" s="70" t="s">
        <v>49</v>
      </c>
      <c r="E328" s="70" t="s">
        <v>25</v>
      </c>
      <c r="F328" s="70" t="s">
        <v>25</v>
      </c>
      <c r="G328" s="70" t="s">
        <v>25</v>
      </c>
      <c r="H328" s="70" t="s">
        <v>25</v>
      </c>
      <c r="I328" s="78">
        <v>44501</v>
      </c>
      <c r="J328" s="79">
        <f ca="1">EFEITO!$J$328*EFEITO!$Y$328</f>
        <v>9440.5795332533562</v>
      </c>
      <c r="K328" s="79">
        <f>EFEITO!$L$328*EFEITO!$Z$328</f>
        <v>0</v>
      </c>
      <c r="L328" s="79">
        <f>EFEITO!$N$328*EFEITO!$AA$328</f>
        <v>0</v>
      </c>
      <c r="M328" s="79">
        <f ca="1">$J$328-EFEITO!$K$328*EFEITO!$Y$328</f>
        <v>0</v>
      </c>
      <c r="N328" s="79">
        <f>$K$328-EFEITO!$M$328*EFEITO!$Z$328</f>
        <v>0</v>
      </c>
      <c r="O328" s="79">
        <f>$L$328-EFEITO!$O$328*EFEITO!$AA$328</f>
        <v>0</v>
      </c>
      <c r="P328" s="18"/>
      <c r="Q328" s="18"/>
      <c r="R328" s="18"/>
      <c r="S328" s="18"/>
      <c r="T328" s="18"/>
      <c r="U328" s="18"/>
      <c r="V328" s="18"/>
      <c r="W328" s="18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70" t="s">
        <v>27</v>
      </c>
      <c r="B329" s="70" t="s">
        <v>35</v>
      </c>
      <c r="C329" s="70" t="s">
        <v>39</v>
      </c>
      <c r="D329" s="70" t="s">
        <v>49</v>
      </c>
      <c r="E329" s="70" t="s">
        <v>25</v>
      </c>
      <c r="F329" s="70" t="s">
        <v>25</v>
      </c>
      <c r="G329" s="70" t="s">
        <v>25</v>
      </c>
      <c r="H329" s="70" t="s">
        <v>25</v>
      </c>
      <c r="I329" s="78">
        <v>44501</v>
      </c>
      <c r="J329" s="79">
        <f ca="1">EFEITO!$J$329*EFEITO!$Y$329</f>
        <v>-4720.2897666266781</v>
      </c>
      <c r="K329" s="79">
        <f>EFEITO!$L$329*EFEITO!$Z$329</f>
        <v>0</v>
      </c>
      <c r="L329" s="79">
        <f>EFEITO!$N$329*EFEITO!$AA$329</f>
        <v>0</v>
      </c>
      <c r="M329" s="79">
        <f ca="1">$J$329-EFEITO!$K$329*EFEITO!$Y$329</f>
        <v>0</v>
      </c>
      <c r="N329" s="79">
        <f>$K$329-EFEITO!$M$329*EFEITO!$Z$329</f>
        <v>0</v>
      </c>
      <c r="O329" s="79">
        <f>$L$329-EFEITO!$O$329*EFEITO!$AA$329</f>
        <v>0</v>
      </c>
      <c r="P329" s="18"/>
      <c r="Q329" s="18"/>
      <c r="R329" s="18"/>
      <c r="S329" s="18"/>
      <c r="T329" s="18"/>
      <c r="U329" s="18"/>
      <c r="V329" s="18"/>
      <c r="W329" s="18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70" t="s">
        <v>21</v>
      </c>
      <c r="B330" s="70" t="s">
        <v>35</v>
      </c>
      <c r="C330" s="70" t="s">
        <v>39</v>
      </c>
      <c r="D330" s="70" t="s">
        <v>49</v>
      </c>
      <c r="E330" s="70" t="s">
        <v>25</v>
      </c>
      <c r="F330" s="70" t="s">
        <v>25</v>
      </c>
      <c r="G330" s="70" t="s">
        <v>25</v>
      </c>
      <c r="H330" s="70" t="s">
        <v>25</v>
      </c>
      <c r="I330" s="78">
        <v>44531</v>
      </c>
      <c r="J330" s="79">
        <f ca="1">EFEITO!$J$330*EFEITO!$Y$330</f>
        <v>4720.2897666266781</v>
      </c>
      <c r="K330" s="79">
        <f>EFEITO!$L$330*EFEITO!$Z$330</f>
        <v>0</v>
      </c>
      <c r="L330" s="79">
        <f>EFEITO!$N$330*EFEITO!$AA$330</f>
        <v>0</v>
      </c>
      <c r="M330" s="79">
        <f ca="1">$J$330-EFEITO!$K$330*EFEITO!$Y$330</f>
        <v>0</v>
      </c>
      <c r="N330" s="79">
        <f>$K$330-EFEITO!$M$330*EFEITO!$Z$330</f>
        <v>0</v>
      </c>
      <c r="O330" s="79">
        <f>$L$330-EFEITO!$O$330*EFEITO!$AA$330</f>
        <v>0</v>
      </c>
      <c r="P330" s="18"/>
      <c r="Q330" s="18"/>
      <c r="R330" s="18"/>
      <c r="S330" s="18"/>
      <c r="T330" s="18"/>
      <c r="U330" s="18"/>
      <c r="V330" s="18"/>
      <c r="W330" s="18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70" t="s">
        <v>21</v>
      </c>
      <c r="B331" s="70" t="s">
        <v>35</v>
      </c>
      <c r="C331" s="70" t="s">
        <v>39</v>
      </c>
      <c r="D331" s="70" t="s">
        <v>49</v>
      </c>
      <c r="E331" s="70" t="s">
        <v>25</v>
      </c>
      <c r="F331" s="70" t="s">
        <v>25</v>
      </c>
      <c r="G331" s="70" t="s">
        <v>25</v>
      </c>
      <c r="H331" s="70" t="s">
        <v>25</v>
      </c>
      <c r="I331" s="78">
        <v>44562</v>
      </c>
      <c r="J331" s="79">
        <f ca="1">EFEITO!$J$331*EFEITO!$Y$331</f>
        <v>4720.2897666266781</v>
      </c>
      <c r="K331" s="79">
        <f>EFEITO!$L$331*EFEITO!$Z$331</f>
        <v>0</v>
      </c>
      <c r="L331" s="79">
        <f>EFEITO!$N$331*EFEITO!$AA$331</f>
        <v>0</v>
      </c>
      <c r="M331" s="79">
        <f ca="1">$J$331-EFEITO!$K$331*EFEITO!$Y$331</f>
        <v>0</v>
      </c>
      <c r="N331" s="79">
        <f>$K$331-EFEITO!$M$331*EFEITO!$Z$331</f>
        <v>0</v>
      </c>
      <c r="O331" s="79">
        <f>$L$331-EFEITO!$O$331*EFEITO!$AA$331</f>
        <v>0</v>
      </c>
      <c r="P331" s="18"/>
      <c r="Q331" s="18"/>
      <c r="R331" s="18"/>
      <c r="S331" s="18"/>
      <c r="T331" s="18"/>
      <c r="U331" s="18"/>
      <c r="V331" s="18"/>
      <c r="W331" s="18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70" t="s">
        <v>21</v>
      </c>
      <c r="B332" s="70" t="s">
        <v>35</v>
      </c>
      <c r="C332" s="70" t="s">
        <v>39</v>
      </c>
      <c r="D332" s="70" t="s">
        <v>49</v>
      </c>
      <c r="E332" s="70" t="s">
        <v>25</v>
      </c>
      <c r="F332" s="70" t="s">
        <v>25</v>
      </c>
      <c r="G332" s="70" t="s">
        <v>25</v>
      </c>
      <c r="H332" s="70" t="s">
        <v>25</v>
      </c>
      <c r="I332" s="78">
        <v>44593</v>
      </c>
      <c r="J332" s="79">
        <f ca="1">EFEITO!$J$332*EFEITO!$Y$332</f>
        <v>9440.5795332533562</v>
      </c>
      <c r="K332" s="79">
        <f>EFEITO!$L$332*EFEITO!$Z$332</f>
        <v>0</v>
      </c>
      <c r="L332" s="79">
        <f>EFEITO!$N$332*EFEITO!$AA$332</f>
        <v>0</v>
      </c>
      <c r="M332" s="79">
        <f ca="1">$J$332-EFEITO!$K$332*EFEITO!$Y$332</f>
        <v>0</v>
      </c>
      <c r="N332" s="79">
        <f>$K$332-EFEITO!$M$332*EFEITO!$Z$332</f>
        <v>0</v>
      </c>
      <c r="O332" s="79">
        <f>$L$332-EFEITO!$O$332*EFEITO!$AA$332</f>
        <v>0</v>
      </c>
      <c r="P332" s="18"/>
      <c r="Q332" s="18"/>
      <c r="R332" s="18"/>
      <c r="S332" s="18"/>
      <c r="T332" s="18"/>
      <c r="U332" s="18"/>
      <c r="V332" s="18"/>
      <c r="W332" s="18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70" t="s">
        <v>27</v>
      </c>
      <c r="B333" s="70" t="s">
        <v>35</v>
      </c>
      <c r="C333" s="70" t="s">
        <v>39</v>
      </c>
      <c r="D333" s="70" t="s">
        <v>49</v>
      </c>
      <c r="E333" s="70" t="s">
        <v>25</v>
      </c>
      <c r="F333" s="70" t="s">
        <v>25</v>
      </c>
      <c r="G333" s="70" t="s">
        <v>25</v>
      </c>
      <c r="H333" s="70" t="s">
        <v>25</v>
      </c>
      <c r="I333" s="78">
        <v>44593</v>
      </c>
      <c r="J333" s="79">
        <f ca="1">EFEITO!$J$333*EFEITO!$Y$333</f>
        <v>-4720.2897666266781</v>
      </c>
      <c r="K333" s="79">
        <f>EFEITO!$L$333*EFEITO!$Z$333</f>
        <v>0</v>
      </c>
      <c r="L333" s="79">
        <f>EFEITO!$N$333*EFEITO!$AA$333</f>
        <v>0</v>
      </c>
      <c r="M333" s="79">
        <f ca="1">$J$333-EFEITO!$K$333*EFEITO!$Y$333</f>
        <v>0</v>
      </c>
      <c r="N333" s="79">
        <f>$K$333-EFEITO!$M$333*EFEITO!$Z$333</f>
        <v>0</v>
      </c>
      <c r="O333" s="79">
        <f>$L$333-EFEITO!$O$333*EFEITO!$AA$333</f>
        <v>0</v>
      </c>
      <c r="P333" s="18"/>
      <c r="Q333" s="18"/>
      <c r="R333" s="18"/>
      <c r="S333" s="18"/>
      <c r="T333" s="18"/>
      <c r="U333" s="18"/>
      <c r="V333" s="18"/>
      <c r="W333" s="18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70" t="s">
        <v>21</v>
      </c>
      <c r="B334" s="70" t="s">
        <v>35</v>
      </c>
      <c r="C334" s="70" t="s">
        <v>39</v>
      </c>
      <c r="D334" s="70" t="s">
        <v>49</v>
      </c>
      <c r="E334" s="70" t="s">
        <v>25</v>
      </c>
      <c r="F334" s="70" t="s">
        <v>25</v>
      </c>
      <c r="G334" s="70" t="s">
        <v>25</v>
      </c>
      <c r="H334" s="70" t="s">
        <v>25</v>
      </c>
      <c r="I334" s="78">
        <v>44621</v>
      </c>
      <c r="J334" s="79">
        <f ca="1">EFEITO!$J$334*EFEITO!$Y$334</f>
        <v>9440.5795332533562</v>
      </c>
      <c r="K334" s="79">
        <f>EFEITO!$L$334*EFEITO!$Z$334</f>
        <v>0</v>
      </c>
      <c r="L334" s="79">
        <f>EFEITO!$N$334*EFEITO!$AA$334</f>
        <v>0</v>
      </c>
      <c r="M334" s="79">
        <f ca="1">$J$334-EFEITO!$K$334*EFEITO!$Y$334</f>
        <v>0</v>
      </c>
      <c r="N334" s="79">
        <f>$K$334-EFEITO!$M$334*EFEITO!$Z$334</f>
        <v>0</v>
      </c>
      <c r="O334" s="79">
        <f>$L$334-EFEITO!$O$334*EFEITO!$AA$334</f>
        <v>0</v>
      </c>
      <c r="P334" s="18"/>
      <c r="Q334" s="18"/>
      <c r="R334" s="18"/>
      <c r="S334" s="18"/>
      <c r="T334" s="18"/>
      <c r="U334" s="18"/>
      <c r="V334" s="18"/>
      <c r="W334" s="18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70" t="s">
        <v>27</v>
      </c>
      <c r="B335" s="70" t="s">
        <v>35</v>
      </c>
      <c r="C335" s="70" t="s">
        <v>39</v>
      </c>
      <c r="D335" s="70" t="s">
        <v>49</v>
      </c>
      <c r="E335" s="70" t="s">
        <v>25</v>
      </c>
      <c r="F335" s="70" t="s">
        <v>25</v>
      </c>
      <c r="G335" s="70" t="s">
        <v>25</v>
      </c>
      <c r="H335" s="70" t="s">
        <v>25</v>
      </c>
      <c r="I335" s="78">
        <v>44621</v>
      </c>
      <c r="J335" s="79">
        <f ca="1">EFEITO!$J$335*EFEITO!$Y$335</f>
        <v>-4720.2897666266781</v>
      </c>
      <c r="K335" s="79">
        <f>EFEITO!$L$335*EFEITO!$Z$335</f>
        <v>0</v>
      </c>
      <c r="L335" s="79">
        <f>EFEITO!$N$335*EFEITO!$AA$335</f>
        <v>0</v>
      </c>
      <c r="M335" s="79">
        <f ca="1">$J$335-EFEITO!$K$335*EFEITO!$Y$335</f>
        <v>0</v>
      </c>
      <c r="N335" s="79">
        <f>$K$335-EFEITO!$M$335*EFEITO!$Z$335</f>
        <v>0</v>
      </c>
      <c r="O335" s="79">
        <f>$L$335-EFEITO!$O$335*EFEITO!$AA$335</f>
        <v>0</v>
      </c>
      <c r="P335" s="18"/>
      <c r="Q335" s="18"/>
      <c r="R335" s="18"/>
      <c r="S335" s="18"/>
      <c r="T335" s="18"/>
      <c r="U335" s="18"/>
      <c r="V335" s="18"/>
      <c r="W335" s="18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70" t="s">
        <v>21</v>
      </c>
      <c r="B336" s="70" t="s">
        <v>35</v>
      </c>
      <c r="C336" s="70" t="s">
        <v>39</v>
      </c>
      <c r="D336" s="70" t="s">
        <v>49</v>
      </c>
      <c r="E336" s="70" t="s">
        <v>25</v>
      </c>
      <c r="F336" s="70" t="s">
        <v>25</v>
      </c>
      <c r="G336" s="70" t="s">
        <v>25</v>
      </c>
      <c r="H336" s="70" t="s">
        <v>25</v>
      </c>
      <c r="I336" s="78">
        <v>44652</v>
      </c>
      <c r="J336" s="79">
        <f ca="1">EFEITO!$J$336*EFEITO!$Y$336</f>
        <v>4720.2897666266781</v>
      </c>
      <c r="K336" s="79">
        <f>EFEITO!$L$336*EFEITO!$Z$336</f>
        <v>0</v>
      </c>
      <c r="L336" s="79">
        <f>EFEITO!$N$336*EFEITO!$AA$336</f>
        <v>0</v>
      </c>
      <c r="M336" s="79">
        <f ca="1">$J$336-EFEITO!$K$336*EFEITO!$Y$336</f>
        <v>0</v>
      </c>
      <c r="N336" s="79">
        <f>$K$336-EFEITO!$M$336*EFEITO!$Z$336</f>
        <v>0</v>
      </c>
      <c r="O336" s="79">
        <f>$L$336-EFEITO!$O$336*EFEITO!$AA$336</f>
        <v>0</v>
      </c>
      <c r="P336" s="18"/>
      <c r="Q336" s="18"/>
      <c r="R336" s="18"/>
      <c r="S336" s="18"/>
      <c r="T336" s="18"/>
      <c r="U336" s="18"/>
      <c r="V336" s="18"/>
      <c r="W336" s="18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70" t="s">
        <v>21</v>
      </c>
      <c r="B337" s="70" t="s">
        <v>35</v>
      </c>
      <c r="C337" s="70" t="s">
        <v>39</v>
      </c>
      <c r="D337" s="70" t="s">
        <v>49</v>
      </c>
      <c r="E337" s="70" t="s">
        <v>25</v>
      </c>
      <c r="F337" s="70" t="s">
        <v>25</v>
      </c>
      <c r="G337" s="70" t="s">
        <v>25</v>
      </c>
      <c r="H337" s="70" t="s">
        <v>25</v>
      </c>
      <c r="I337" s="78">
        <v>44682</v>
      </c>
      <c r="J337" s="79">
        <f ca="1">EFEITO!$J$337*EFEITO!$Y$337</f>
        <v>4720.2897666266781</v>
      </c>
      <c r="K337" s="79">
        <f>EFEITO!$L$337*EFEITO!$Z$337</f>
        <v>0</v>
      </c>
      <c r="L337" s="79">
        <f>EFEITO!$N$337*EFEITO!$AA$337</f>
        <v>0</v>
      </c>
      <c r="M337" s="79">
        <f ca="1">$J$337-EFEITO!$K$337*EFEITO!$Y$337</f>
        <v>0</v>
      </c>
      <c r="N337" s="79">
        <f>$K$337-EFEITO!$M$337*EFEITO!$Z$337</f>
        <v>0</v>
      </c>
      <c r="O337" s="79">
        <f>$L$337-EFEITO!$O$337*EFEITO!$AA$337</f>
        <v>0</v>
      </c>
      <c r="P337" s="18"/>
      <c r="Q337" s="18"/>
      <c r="R337" s="18"/>
      <c r="S337" s="18"/>
      <c r="T337" s="18"/>
      <c r="U337" s="18"/>
      <c r="V337" s="18"/>
      <c r="W337" s="18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70" t="s">
        <v>21</v>
      </c>
      <c r="B338" s="70" t="s">
        <v>35</v>
      </c>
      <c r="C338" s="70" t="s">
        <v>39</v>
      </c>
      <c r="D338" s="70" t="s">
        <v>49</v>
      </c>
      <c r="E338" s="70" t="s">
        <v>25</v>
      </c>
      <c r="F338" s="70" t="s">
        <v>25</v>
      </c>
      <c r="G338" s="70" t="s">
        <v>25</v>
      </c>
      <c r="H338" s="70" t="s">
        <v>25</v>
      </c>
      <c r="I338" s="78">
        <v>44713</v>
      </c>
      <c r="J338" s="79">
        <f ca="1">EFEITO!$J$338*EFEITO!$Y$338</f>
        <v>4720.2897666266781</v>
      </c>
      <c r="K338" s="79">
        <f>EFEITO!$L$338*EFEITO!$Z$338</f>
        <v>0</v>
      </c>
      <c r="L338" s="79">
        <f>EFEITO!$N$338*EFEITO!$AA$338</f>
        <v>0</v>
      </c>
      <c r="M338" s="79">
        <f ca="1">$J$338-EFEITO!$K$338*EFEITO!$Y$338</f>
        <v>0</v>
      </c>
      <c r="N338" s="79">
        <f>$K$338-EFEITO!$M$338*EFEITO!$Z$338</f>
        <v>0</v>
      </c>
      <c r="O338" s="79">
        <f>$L$338-EFEITO!$O$338*EFEITO!$AA$338</f>
        <v>0</v>
      </c>
      <c r="P338" s="18"/>
      <c r="Q338" s="18"/>
      <c r="R338" s="18"/>
      <c r="S338" s="18"/>
      <c r="T338" s="18"/>
      <c r="U338" s="18"/>
      <c r="V338" s="18"/>
      <c r="W338" s="18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70" t="s">
        <v>21</v>
      </c>
      <c r="B339" s="70" t="s">
        <v>35</v>
      </c>
      <c r="C339" s="70" t="s">
        <v>39</v>
      </c>
      <c r="D339" s="70" t="s">
        <v>49</v>
      </c>
      <c r="E339" s="70" t="s">
        <v>25</v>
      </c>
      <c r="F339" s="70" t="s">
        <v>25</v>
      </c>
      <c r="G339" s="70" t="s">
        <v>25</v>
      </c>
      <c r="H339" s="70" t="s">
        <v>37</v>
      </c>
      <c r="I339" s="78">
        <v>44378</v>
      </c>
      <c r="J339" s="79">
        <f>EFEITO!$J$339*EFEITO!$Y$339</f>
        <v>0</v>
      </c>
      <c r="K339" s="79">
        <f ca="1">EFEITO!$L$339*EFEITO!$Z$339</f>
        <v>4416.323052448146</v>
      </c>
      <c r="L339" s="79">
        <f>EFEITO!$N$339*EFEITO!$AA$339</f>
        <v>672.03498497821056</v>
      </c>
      <c r="M339" s="79">
        <f>$J$339-EFEITO!$K$339*EFEITO!$Y$339</f>
        <v>0</v>
      </c>
      <c r="N339" s="79">
        <f ca="1">$K$339-EFEITO!$M$339*EFEITO!$Z$339</f>
        <v>0</v>
      </c>
      <c r="O339" s="79">
        <f>$L$339-EFEITO!$O$339*EFEITO!$AA$339</f>
        <v>0</v>
      </c>
      <c r="P339" s="18"/>
      <c r="Q339" s="18"/>
      <c r="R339" s="18"/>
      <c r="S339" s="18"/>
      <c r="T339" s="18"/>
      <c r="U339" s="18"/>
      <c r="V339" s="18"/>
      <c r="W339" s="18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70" t="s">
        <v>21</v>
      </c>
      <c r="B340" s="70" t="s">
        <v>35</v>
      </c>
      <c r="C340" s="70" t="s">
        <v>39</v>
      </c>
      <c r="D340" s="70" t="s">
        <v>49</v>
      </c>
      <c r="E340" s="70" t="s">
        <v>25</v>
      </c>
      <c r="F340" s="70" t="s">
        <v>25</v>
      </c>
      <c r="G340" s="70" t="s">
        <v>25</v>
      </c>
      <c r="H340" s="70" t="s">
        <v>37</v>
      </c>
      <c r="I340" s="78">
        <v>44409</v>
      </c>
      <c r="J340" s="79">
        <f>EFEITO!$J$340*EFEITO!$Y$340</f>
        <v>0</v>
      </c>
      <c r="K340" s="79">
        <f ca="1">EFEITO!$L$340*EFEITO!$Z$340</f>
        <v>5093.5533642361243</v>
      </c>
      <c r="L340" s="79">
        <f>EFEITO!$N$340*EFEITO!$AA$340</f>
        <v>775.08959783243336</v>
      </c>
      <c r="M340" s="79">
        <f>$J$340-EFEITO!$K$340*EFEITO!$Y$340</f>
        <v>0</v>
      </c>
      <c r="N340" s="79">
        <f ca="1">$K$340-EFEITO!$M$340*EFEITO!$Z$340</f>
        <v>0</v>
      </c>
      <c r="O340" s="79">
        <f>$L$340-EFEITO!$O$340*EFEITO!$AA$340</f>
        <v>0</v>
      </c>
      <c r="P340" s="18"/>
      <c r="Q340" s="18"/>
      <c r="R340" s="18"/>
      <c r="S340" s="18"/>
      <c r="T340" s="18"/>
      <c r="U340" s="18"/>
      <c r="V340" s="18"/>
      <c r="W340" s="18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70" t="s">
        <v>21</v>
      </c>
      <c r="B341" s="70" t="s">
        <v>35</v>
      </c>
      <c r="C341" s="70" t="s">
        <v>39</v>
      </c>
      <c r="D341" s="70" t="s">
        <v>49</v>
      </c>
      <c r="E341" s="70" t="s">
        <v>25</v>
      </c>
      <c r="F341" s="70" t="s">
        <v>25</v>
      </c>
      <c r="G341" s="70" t="s">
        <v>25</v>
      </c>
      <c r="H341" s="70" t="s">
        <v>37</v>
      </c>
      <c r="I341" s="78">
        <v>44440</v>
      </c>
      <c r="J341" s="79">
        <f>EFEITO!$J$341*EFEITO!$Y$341</f>
        <v>0</v>
      </c>
      <c r="K341" s="79">
        <f ca="1">EFEITO!$L$341*EFEITO!$Z$341</f>
        <v>5094.8557302203317</v>
      </c>
      <c r="L341" s="79">
        <f>EFEITO!$N$341*EFEITO!$AA$341</f>
        <v>775.28777978022993</v>
      </c>
      <c r="M341" s="79">
        <f>$J$341-EFEITO!$K$341*EFEITO!$Y$341</f>
        <v>0</v>
      </c>
      <c r="N341" s="79">
        <f ca="1">$K$341-EFEITO!$M$341*EFEITO!$Z$341</f>
        <v>0</v>
      </c>
      <c r="O341" s="79">
        <f>$L$341-EFEITO!$O$341*EFEITO!$AA$341</f>
        <v>0</v>
      </c>
      <c r="P341" s="18"/>
      <c r="Q341" s="18"/>
      <c r="R341" s="18"/>
      <c r="S341" s="18"/>
      <c r="T341" s="18"/>
      <c r="U341" s="18"/>
      <c r="V341" s="18"/>
      <c r="W341" s="18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70" t="s">
        <v>21</v>
      </c>
      <c r="B342" s="70" t="s">
        <v>35</v>
      </c>
      <c r="C342" s="70" t="s">
        <v>39</v>
      </c>
      <c r="D342" s="70" t="s">
        <v>49</v>
      </c>
      <c r="E342" s="70" t="s">
        <v>25</v>
      </c>
      <c r="F342" s="70" t="s">
        <v>25</v>
      </c>
      <c r="G342" s="70" t="s">
        <v>25</v>
      </c>
      <c r="H342" s="70" t="s">
        <v>37</v>
      </c>
      <c r="I342" s="78">
        <v>44470</v>
      </c>
      <c r="J342" s="79">
        <f>EFEITO!$J$342*EFEITO!$Y$342</f>
        <v>0</v>
      </c>
      <c r="K342" s="79">
        <f ca="1">EFEITO!$L$342*EFEITO!$Z$342</f>
        <v>4652.0512955897302</v>
      </c>
      <c r="L342" s="79">
        <f>EFEITO!$N$342*EFEITO!$AA$342</f>
        <v>707.90591752939201</v>
      </c>
      <c r="M342" s="79">
        <f>$J$342-EFEITO!$K$342*EFEITO!$Y$342</f>
        <v>0</v>
      </c>
      <c r="N342" s="79">
        <f ca="1">$K$342-EFEITO!$M$342*EFEITO!$Z$342</f>
        <v>0</v>
      </c>
      <c r="O342" s="79">
        <f>$L$342-EFEITO!$O$342*EFEITO!$AA$342</f>
        <v>0</v>
      </c>
      <c r="P342" s="18"/>
      <c r="Q342" s="18"/>
      <c r="R342" s="18"/>
      <c r="S342" s="18"/>
      <c r="T342" s="18"/>
      <c r="U342" s="18"/>
      <c r="V342" s="18"/>
      <c r="W342" s="18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70" t="s">
        <v>21</v>
      </c>
      <c r="B343" s="70" t="s">
        <v>35</v>
      </c>
      <c r="C343" s="70" t="s">
        <v>39</v>
      </c>
      <c r="D343" s="70" t="s">
        <v>49</v>
      </c>
      <c r="E343" s="70" t="s">
        <v>25</v>
      </c>
      <c r="F343" s="70" t="s">
        <v>25</v>
      </c>
      <c r="G343" s="70" t="s">
        <v>25</v>
      </c>
      <c r="H343" s="70" t="s">
        <v>37</v>
      </c>
      <c r="I343" s="78">
        <v>44501</v>
      </c>
      <c r="J343" s="79">
        <f>EFEITO!$J$343*EFEITO!$Y$343</f>
        <v>0</v>
      </c>
      <c r="K343" s="79">
        <f ca="1">EFEITO!$L$343*EFEITO!$Z$343</f>
        <v>9004.5584148117014</v>
      </c>
      <c r="L343" s="79">
        <f>EFEITO!$N$343*EFEITO!$AA$343</f>
        <v>1370.22998706557</v>
      </c>
      <c r="M343" s="79">
        <f>$J$343-EFEITO!$K$343*EFEITO!$Y$343</f>
        <v>0</v>
      </c>
      <c r="N343" s="79">
        <f ca="1">$K$343-EFEITO!$M$343*EFEITO!$Z$343</f>
        <v>0</v>
      </c>
      <c r="O343" s="79">
        <f>$L$343-EFEITO!$O$343*EFEITO!$AA$343</f>
        <v>0</v>
      </c>
      <c r="P343" s="18"/>
      <c r="Q343" s="18"/>
      <c r="R343" s="18"/>
      <c r="S343" s="18"/>
      <c r="T343" s="18"/>
      <c r="U343" s="18"/>
      <c r="V343" s="18"/>
      <c r="W343" s="18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70" t="s">
        <v>27</v>
      </c>
      <c r="B344" s="70" t="s">
        <v>35</v>
      </c>
      <c r="C344" s="70" t="s">
        <v>39</v>
      </c>
      <c r="D344" s="70" t="s">
        <v>49</v>
      </c>
      <c r="E344" s="70" t="s">
        <v>25</v>
      </c>
      <c r="F344" s="70" t="s">
        <v>25</v>
      </c>
      <c r="G344" s="70" t="s">
        <v>25</v>
      </c>
      <c r="H344" s="70" t="s">
        <v>37</v>
      </c>
      <c r="I344" s="78">
        <v>44501</v>
      </c>
      <c r="J344" s="79">
        <f>EFEITO!$J$344*EFEITO!$Y$344</f>
        <v>0</v>
      </c>
      <c r="K344" s="79">
        <f ca="1">EFEITO!$L$344*EFEITO!$Z$344</f>
        <v>-4502.2792074058507</v>
      </c>
      <c r="L344" s="79">
        <f>EFEITO!$N$344*EFEITO!$AA$344</f>
        <v>-685.11499353278498</v>
      </c>
      <c r="M344" s="79">
        <f>$J$344-EFEITO!$K$344*EFEITO!$Y$344</f>
        <v>0</v>
      </c>
      <c r="N344" s="79">
        <f ca="1">$K$344-EFEITO!$M$344*EFEITO!$Z$344</f>
        <v>0</v>
      </c>
      <c r="O344" s="79">
        <f>$L$344-EFEITO!$O$344*EFEITO!$AA$344</f>
        <v>0</v>
      </c>
      <c r="P344" s="18"/>
      <c r="Q344" s="18"/>
      <c r="R344" s="18"/>
      <c r="S344" s="18"/>
      <c r="T344" s="18"/>
      <c r="U344" s="18"/>
      <c r="V344" s="18"/>
      <c r="W344" s="18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70" t="s">
        <v>21</v>
      </c>
      <c r="B345" s="70" t="s">
        <v>35</v>
      </c>
      <c r="C345" s="70" t="s">
        <v>39</v>
      </c>
      <c r="D345" s="70" t="s">
        <v>49</v>
      </c>
      <c r="E345" s="70" t="s">
        <v>25</v>
      </c>
      <c r="F345" s="70" t="s">
        <v>25</v>
      </c>
      <c r="G345" s="70" t="s">
        <v>25</v>
      </c>
      <c r="H345" s="70" t="s">
        <v>37</v>
      </c>
      <c r="I345" s="78">
        <v>44531</v>
      </c>
      <c r="J345" s="79">
        <f>EFEITO!$J$345*EFEITO!$Y$345</f>
        <v>0</v>
      </c>
      <c r="K345" s="79">
        <f ca="1">EFEITO!$L$345*EFEITO!$Z$345</f>
        <v>4741.9145485000581</v>
      </c>
      <c r="L345" s="79">
        <f>EFEITO!$N$345*EFEITO!$AA$345</f>
        <v>721.58047192735614</v>
      </c>
      <c r="M345" s="79">
        <f>$J$345-EFEITO!$K$345*EFEITO!$Y$345</f>
        <v>0</v>
      </c>
      <c r="N345" s="79">
        <f ca="1">$K$345-EFEITO!$M$345*EFEITO!$Z$345</f>
        <v>0</v>
      </c>
      <c r="O345" s="79">
        <f>$L$345-EFEITO!$O$345*EFEITO!$AA$345</f>
        <v>0</v>
      </c>
      <c r="P345" s="18"/>
      <c r="Q345" s="18"/>
      <c r="R345" s="18"/>
      <c r="S345" s="18"/>
      <c r="T345" s="18"/>
      <c r="U345" s="18"/>
      <c r="V345" s="18"/>
      <c r="W345" s="18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70" t="s">
        <v>21</v>
      </c>
      <c r="B346" s="70" t="s">
        <v>35</v>
      </c>
      <c r="C346" s="70" t="s">
        <v>39</v>
      </c>
      <c r="D346" s="70" t="s">
        <v>49</v>
      </c>
      <c r="E346" s="70" t="s">
        <v>25</v>
      </c>
      <c r="F346" s="70" t="s">
        <v>25</v>
      </c>
      <c r="G346" s="70" t="s">
        <v>25</v>
      </c>
      <c r="H346" s="70" t="s">
        <v>37</v>
      </c>
      <c r="I346" s="78">
        <v>44562</v>
      </c>
      <c r="J346" s="79">
        <f>EFEITO!$J$346*EFEITO!$Y$346</f>
        <v>0</v>
      </c>
      <c r="K346" s="79">
        <f ca="1">EFEITO!$L$346*EFEITO!$Z$346</f>
        <v>5841.1114391713163</v>
      </c>
      <c r="L346" s="79">
        <f>EFEITO!$N$346*EFEITO!$AA$346</f>
        <v>888.84603586767173</v>
      </c>
      <c r="M346" s="79">
        <f>$J$346-EFEITO!$K$346*EFEITO!$Y$346</f>
        <v>0</v>
      </c>
      <c r="N346" s="79">
        <f ca="1">$K$346-EFEITO!$M$346*EFEITO!$Z$346</f>
        <v>0</v>
      </c>
      <c r="O346" s="79">
        <f>$L$346-EFEITO!$O$346*EFEITO!$AA$346</f>
        <v>0</v>
      </c>
      <c r="P346" s="18"/>
      <c r="Q346" s="18"/>
      <c r="R346" s="18"/>
      <c r="S346" s="18"/>
      <c r="T346" s="18"/>
      <c r="U346" s="18"/>
      <c r="V346" s="18"/>
      <c r="W346" s="18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70" t="s">
        <v>21</v>
      </c>
      <c r="B347" s="70" t="s">
        <v>35</v>
      </c>
      <c r="C347" s="70" t="s">
        <v>39</v>
      </c>
      <c r="D347" s="70" t="s">
        <v>49</v>
      </c>
      <c r="E347" s="70" t="s">
        <v>25</v>
      </c>
      <c r="F347" s="70" t="s">
        <v>25</v>
      </c>
      <c r="G347" s="70" t="s">
        <v>25</v>
      </c>
      <c r="H347" s="70" t="s">
        <v>37</v>
      </c>
      <c r="I347" s="78">
        <v>44593</v>
      </c>
      <c r="J347" s="79">
        <f>EFEITO!$J$347*EFEITO!$Y$347</f>
        <v>0</v>
      </c>
      <c r="K347" s="79">
        <f ca="1">EFEITO!$L$347*EFEITO!$Z$347</f>
        <v>10986.759442775747</v>
      </c>
      <c r="L347" s="79">
        <f>EFEITO!$N$347*EFEITO!$AA$347</f>
        <v>1671.8629116119682</v>
      </c>
      <c r="M347" s="79">
        <f>$J$347-EFEITO!$K$347*EFEITO!$Y$347</f>
        <v>0</v>
      </c>
      <c r="N347" s="79">
        <f ca="1">$K$347-EFEITO!$M$347*EFEITO!$Z$347</f>
        <v>0</v>
      </c>
      <c r="O347" s="79">
        <f>$L$347-EFEITO!$O$347*EFEITO!$AA$347</f>
        <v>0</v>
      </c>
      <c r="P347" s="18"/>
      <c r="Q347" s="18"/>
      <c r="R347" s="18"/>
      <c r="S347" s="18"/>
      <c r="T347" s="18"/>
      <c r="U347" s="18"/>
      <c r="V347" s="18"/>
      <c r="W347" s="18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70" t="s">
        <v>27</v>
      </c>
      <c r="B348" s="70" t="s">
        <v>35</v>
      </c>
      <c r="C348" s="70" t="s">
        <v>39</v>
      </c>
      <c r="D348" s="70" t="s">
        <v>49</v>
      </c>
      <c r="E348" s="70" t="s">
        <v>25</v>
      </c>
      <c r="F348" s="70" t="s">
        <v>25</v>
      </c>
      <c r="G348" s="70" t="s">
        <v>25</v>
      </c>
      <c r="H348" s="70" t="s">
        <v>37</v>
      </c>
      <c r="I348" s="78">
        <v>44593</v>
      </c>
      <c r="J348" s="79">
        <f>EFEITO!$J$348*EFEITO!$Y$348</f>
        <v>0</v>
      </c>
      <c r="K348" s="79">
        <f ca="1">EFEITO!$L$348*EFEITO!$Z$348</f>
        <v>-5493.3797213878734</v>
      </c>
      <c r="L348" s="79">
        <f>EFEITO!$N$348*EFEITO!$AA$348</f>
        <v>-835.93145580598411</v>
      </c>
      <c r="M348" s="79">
        <f>$J$348-EFEITO!$K$348*EFEITO!$Y$348</f>
        <v>0</v>
      </c>
      <c r="N348" s="79">
        <f ca="1">$K$348-EFEITO!$M$348*EFEITO!$Z$348</f>
        <v>0</v>
      </c>
      <c r="O348" s="79">
        <f>$L$348-EFEITO!$O$348*EFEITO!$AA$348</f>
        <v>0</v>
      </c>
      <c r="P348" s="18"/>
      <c r="Q348" s="18"/>
      <c r="R348" s="18"/>
      <c r="S348" s="18"/>
      <c r="T348" s="18"/>
      <c r="U348" s="18"/>
      <c r="V348" s="18"/>
      <c r="W348" s="18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70" t="s">
        <v>21</v>
      </c>
      <c r="B349" s="70" t="s">
        <v>35</v>
      </c>
      <c r="C349" s="70" t="s">
        <v>39</v>
      </c>
      <c r="D349" s="70" t="s">
        <v>49</v>
      </c>
      <c r="E349" s="70" t="s">
        <v>25</v>
      </c>
      <c r="F349" s="70" t="s">
        <v>25</v>
      </c>
      <c r="G349" s="70" t="s">
        <v>25</v>
      </c>
      <c r="H349" s="70" t="s">
        <v>37</v>
      </c>
      <c r="I349" s="78">
        <v>44621</v>
      </c>
      <c r="J349" s="79">
        <f>EFEITO!$J$349*EFEITO!$Y$349</f>
        <v>0</v>
      </c>
      <c r="K349" s="79">
        <f ca="1">EFEITO!$L$349*EFEITO!$Z$349</f>
        <v>10377.252162166566</v>
      </c>
      <c r="L349" s="79">
        <f>EFEITO!$N$349*EFEITO!$AA$349</f>
        <v>1579.1137600431678</v>
      </c>
      <c r="M349" s="79">
        <f>$J$349-EFEITO!$K$349*EFEITO!$Y$349</f>
        <v>0</v>
      </c>
      <c r="N349" s="79">
        <f ca="1">$K$349-EFEITO!$M$349*EFEITO!$Z$349</f>
        <v>0</v>
      </c>
      <c r="O349" s="79">
        <f>$L$349-EFEITO!$O$349*EFEITO!$AA$349</f>
        <v>0</v>
      </c>
      <c r="P349" s="18"/>
      <c r="Q349" s="18"/>
      <c r="R349" s="18"/>
      <c r="S349" s="18"/>
      <c r="T349" s="18"/>
      <c r="U349" s="18"/>
      <c r="V349" s="18"/>
      <c r="W349" s="18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70" t="s">
        <v>27</v>
      </c>
      <c r="B350" s="70" t="s">
        <v>35</v>
      </c>
      <c r="C350" s="70" t="s">
        <v>39</v>
      </c>
      <c r="D350" s="70" t="s">
        <v>49</v>
      </c>
      <c r="E350" s="70" t="s">
        <v>25</v>
      </c>
      <c r="F350" s="70" t="s">
        <v>25</v>
      </c>
      <c r="G350" s="70" t="s">
        <v>25</v>
      </c>
      <c r="H350" s="70" t="s">
        <v>37</v>
      </c>
      <c r="I350" s="78">
        <v>44621</v>
      </c>
      <c r="J350" s="79">
        <f>EFEITO!$J$350*EFEITO!$Y$350</f>
        <v>0</v>
      </c>
      <c r="K350" s="79">
        <f ca="1">EFEITO!$L$350*EFEITO!$Z$350</f>
        <v>-5188.6260810832828</v>
      </c>
      <c r="L350" s="79">
        <f>EFEITO!$N$350*EFEITO!$AA$350</f>
        <v>-789.55688002158388</v>
      </c>
      <c r="M350" s="79">
        <f>$J$350-EFEITO!$K$350*EFEITO!$Y$350</f>
        <v>0</v>
      </c>
      <c r="N350" s="79">
        <f ca="1">$K$350-EFEITO!$M$350*EFEITO!$Z$350</f>
        <v>0</v>
      </c>
      <c r="O350" s="79">
        <f>$L$350-EFEITO!$O$350*EFEITO!$AA$350</f>
        <v>0</v>
      </c>
      <c r="P350" s="18"/>
      <c r="Q350" s="18"/>
      <c r="R350" s="18"/>
      <c r="S350" s="18"/>
      <c r="T350" s="18"/>
      <c r="U350" s="18"/>
      <c r="V350" s="18"/>
      <c r="W350" s="18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70" t="s">
        <v>21</v>
      </c>
      <c r="B351" s="70" t="s">
        <v>35</v>
      </c>
      <c r="C351" s="70" t="s">
        <v>39</v>
      </c>
      <c r="D351" s="70" t="s">
        <v>49</v>
      </c>
      <c r="E351" s="70" t="s">
        <v>25</v>
      </c>
      <c r="F351" s="70" t="s">
        <v>25</v>
      </c>
      <c r="G351" s="70" t="s">
        <v>25</v>
      </c>
      <c r="H351" s="70" t="s">
        <v>37</v>
      </c>
      <c r="I351" s="78">
        <v>44652</v>
      </c>
      <c r="J351" s="79">
        <f>EFEITO!$J$351*EFEITO!$Y$351</f>
        <v>0</v>
      </c>
      <c r="K351" s="79">
        <f ca="1">EFEITO!$L$351*EFEITO!$Z$351</f>
        <v>5708.270108782136</v>
      </c>
      <c r="L351" s="79">
        <f>EFEITO!$N$351*EFEITO!$AA$351</f>
        <v>868.63147719242022</v>
      </c>
      <c r="M351" s="79">
        <f>$J$351-EFEITO!$K$351*EFEITO!$Y$351</f>
        <v>0</v>
      </c>
      <c r="N351" s="79">
        <f ca="1">$K$351-EFEITO!$M$351*EFEITO!$Z$351</f>
        <v>0</v>
      </c>
      <c r="O351" s="79">
        <f>$L$351-EFEITO!$O$351*EFEITO!$AA$351</f>
        <v>0</v>
      </c>
      <c r="P351" s="18"/>
      <c r="Q351" s="18"/>
      <c r="R351" s="18"/>
      <c r="S351" s="18"/>
      <c r="T351" s="18"/>
      <c r="U351" s="18"/>
      <c r="V351" s="18"/>
      <c r="W351" s="18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70" t="s">
        <v>21</v>
      </c>
      <c r="B352" s="70" t="s">
        <v>35</v>
      </c>
      <c r="C352" s="70" t="s">
        <v>39</v>
      </c>
      <c r="D352" s="70" t="s">
        <v>49</v>
      </c>
      <c r="E352" s="70" t="s">
        <v>25</v>
      </c>
      <c r="F352" s="70" t="s">
        <v>25</v>
      </c>
      <c r="G352" s="70" t="s">
        <v>25</v>
      </c>
      <c r="H352" s="70" t="s">
        <v>37</v>
      </c>
      <c r="I352" s="78">
        <v>44682</v>
      </c>
      <c r="J352" s="79">
        <f>EFEITO!$J$352*EFEITO!$Y$352</f>
        <v>0</v>
      </c>
      <c r="K352" s="79">
        <f ca="1">EFEITO!$L$352*EFEITO!$Z$352</f>
        <v>4185.8042732433914</v>
      </c>
      <c r="L352" s="79">
        <f>EFEITO!$N$352*EFEITO!$AA$352</f>
        <v>636.9567802182155</v>
      </c>
      <c r="M352" s="79">
        <f>$J$352-EFEITO!$K$352*EFEITO!$Y$352</f>
        <v>0</v>
      </c>
      <c r="N352" s="79">
        <f ca="1">$K$352-EFEITO!$M$352*EFEITO!$Z$352</f>
        <v>0</v>
      </c>
      <c r="O352" s="79">
        <f>$L$352-EFEITO!$O$352*EFEITO!$AA$352</f>
        <v>0</v>
      </c>
      <c r="P352" s="18"/>
      <c r="Q352" s="18"/>
      <c r="R352" s="18"/>
      <c r="S352" s="18"/>
      <c r="T352" s="18"/>
      <c r="U352" s="18"/>
      <c r="V352" s="18"/>
      <c r="W352" s="18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70" t="s">
        <v>21</v>
      </c>
      <c r="B353" s="70" t="s">
        <v>35</v>
      </c>
      <c r="C353" s="70" t="s">
        <v>39</v>
      </c>
      <c r="D353" s="70" t="s">
        <v>49</v>
      </c>
      <c r="E353" s="70" t="s">
        <v>25</v>
      </c>
      <c r="F353" s="70" t="s">
        <v>25</v>
      </c>
      <c r="G353" s="70" t="s">
        <v>25</v>
      </c>
      <c r="H353" s="70" t="s">
        <v>37</v>
      </c>
      <c r="I353" s="78">
        <v>44713</v>
      </c>
      <c r="J353" s="79">
        <f>EFEITO!$J$353*EFEITO!$Y$353</f>
        <v>0</v>
      </c>
      <c r="K353" s="79">
        <f ca="1">EFEITO!$L$353*EFEITO!$Z$353</f>
        <v>4521.8146971689657</v>
      </c>
      <c r="L353" s="79">
        <f>EFEITO!$N$353*EFEITO!$AA$353</f>
        <v>688.08772274973376</v>
      </c>
      <c r="M353" s="79">
        <f>$J$353-EFEITO!$K$353*EFEITO!$Y$353</f>
        <v>0</v>
      </c>
      <c r="N353" s="79">
        <f ca="1">$K$353-EFEITO!$M$353*EFEITO!$Z$353</f>
        <v>0</v>
      </c>
      <c r="O353" s="79">
        <f>$L$353-EFEITO!$O$353*EFEITO!$AA$353</f>
        <v>0</v>
      </c>
      <c r="P353" s="18"/>
      <c r="Q353" s="18"/>
      <c r="R353" s="18"/>
      <c r="S353" s="18"/>
      <c r="T353" s="18"/>
      <c r="U353" s="18"/>
      <c r="V353" s="18"/>
      <c r="W353" s="18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70" t="s">
        <v>21</v>
      </c>
      <c r="B354" s="70" t="s">
        <v>35</v>
      </c>
      <c r="C354" s="70" t="s">
        <v>39</v>
      </c>
      <c r="D354" s="70" t="s">
        <v>34</v>
      </c>
      <c r="E354" s="70" t="s">
        <v>25</v>
      </c>
      <c r="F354" s="70" t="s">
        <v>55</v>
      </c>
      <c r="G354" s="70" t="s">
        <v>25</v>
      </c>
      <c r="H354" s="70" t="s">
        <v>38</v>
      </c>
      <c r="I354" s="78">
        <v>44378</v>
      </c>
      <c r="J354" s="79">
        <f>EFEITO!$J$354*EFEITO!$Y$354</f>
        <v>0</v>
      </c>
      <c r="K354" s="79">
        <f ca="1">EFEITO!$L$354*EFEITO!$Z$354</f>
        <v>42193.748921575927</v>
      </c>
      <c r="L354" s="79">
        <f>EFEITO!$N$354*EFEITO!$AA$354</f>
        <v>0</v>
      </c>
      <c r="M354" s="79">
        <f>$J$354-EFEITO!$K$354*EFEITO!$Y$354</f>
        <v>0</v>
      </c>
      <c r="N354" s="79">
        <f ca="1">$K$354-EFEITO!$M$354*EFEITO!$Z$354</f>
        <v>27088.386807651746</v>
      </c>
      <c r="O354" s="79">
        <f>$L$354-EFEITO!$O$354*EFEITO!$AA$354</f>
        <v>0</v>
      </c>
      <c r="P354" s="18"/>
      <c r="Q354" s="18"/>
      <c r="R354" s="18"/>
      <c r="S354" s="18"/>
      <c r="T354" s="18"/>
      <c r="U354" s="18"/>
      <c r="V354" s="18"/>
      <c r="W354" s="18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70" t="s">
        <v>21</v>
      </c>
      <c r="B355" s="70" t="s">
        <v>35</v>
      </c>
      <c r="C355" s="70" t="s">
        <v>39</v>
      </c>
      <c r="D355" s="70" t="s">
        <v>34</v>
      </c>
      <c r="E355" s="70" t="s">
        <v>25</v>
      </c>
      <c r="F355" s="70" t="s">
        <v>55</v>
      </c>
      <c r="G355" s="70" t="s">
        <v>25</v>
      </c>
      <c r="H355" s="70" t="s">
        <v>38</v>
      </c>
      <c r="I355" s="78">
        <v>44409</v>
      </c>
      <c r="J355" s="79">
        <f>EFEITO!$J$355*EFEITO!$Y$355</f>
        <v>0</v>
      </c>
      <c r="K355" s="79">
        <f ca="1">EFEITO!$L$355*EFEITO!$Z$355</f>
        <v>48798.406165758286</v>
      </c>
      <c r="L355" s="79">
        <f>EFEITO!$N$355*EFEITO!$AA$355</f>
        <v>0</v>
      </c>
      <c r="M355" s="79">
        <f>$J$355-EFEITO!$K$355*EFEITO!$Y$355</f>
        <v>0</v>
      </c>
      <c r="N355" s="79">
        <f ca="1">$K$355-EFEITO!$M$355*EFEITO!$Z$355</f>
        <v>0</v>
      </c>
      <c r="O355" s="79">
        <f>$L$355-EFEITO!$O$355*EFEITO!$AA$355</f>
        <v>0</v>
      </c>
      <c r="P355" s="18"/>
      <c r="Q355" s="18"/>
      <c r="R355" s="18"/>
      <c r="S355" s="18"/>
      <c r="T355" s="18"/>
      <c r="U355" s="18"/>
      <c r="V355" s="18"/>
      <c r="W355" s="18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70" t="s">
        <v>21</v>
      </c>
      <c r="B356" s="70" t="s">
        <v>35</v>
      </c>
      <c r="C356" s="70" t="s">
        <v>39</v>
      </c>
      <c r="D356" s="70" t="s">
        <v>34</v>
      </c>
      <c r="E356" s="70" t="s">
        <v>25</v>
      </c>
      <c r="F356" s="70" t="s">
        <v>55</v>
      </c>
      <c r="G356" s="70" t="s">
        <v>25</v>
      </c>
      <c r="H356" s="70" t="s">
        <v>38</v>
      </c>
      <c r="I356" s="78">
        <v>44440</v>
      </c>
      <c r="J356" s="79">
        <f>EFEITO!$J$356*EFEITO!$Y$356</f>
        <v>0</v>
      </c>
      <c r="K356" s="79">
        <f ca="1">EFEITO!$L$356*EFEITO!$Z$356</f>
        <v>51561.61685150538</v>
      </c>
      <c r="L356" s="79">
        <f>EFEITO!$N$356*EFEITO!$AA$356</f>
        <v>0</v>
      </c>
      <c r="M356" s="79">
        <f>$J$356-EFEITO!$K$356*EFEITO!$Y$356</f>
        <v>0</v>
      </c>
      <c r="N356" s="79">
        <f ca="1">$K$356-EFEITO!$M$356*EFEITO!$Z$356</f>
        <v>0</v>
      </c>
      <c r="O356" s="79">
        <f>$L$356-EFEITO!$O$356*EFEITO!$AA$356</f>
        <v>0</v>
      </c>
      <c r="P356" s="18"/>
      <c r="Q356" s="18"/>
      <c r="R356" s="18"/>
      <c r="S356" s="18"/>
      <c r="T356" s="18"/>
      <c r="U356" s="18"/>
      <c r="V356" s="18"/>
      <c r="W356" s="18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70" t="s">
        <v>21</v>
      </c>
      <c r="B357" s="70" t="s">
        <v>35</v>
      </c>
      <c r="C357" s="70" t="s">
        <v>39</v>
      </c>
      <c r="D357" s="70" t="s">
        <v>34</v>
      </c>
      <c r="E357" s="70" t="s">
        <v>25</v>
      </c>
      <c r="F357" s="70" t="s">
        <v>55</v>
      </c>
      <c r="G357" s="70" t="s">
        <v>25</v>
      </c>
      <c r="H357" s="70" t="s">
        <v>38</v>
      </c>
      <c r="I357" s="78">
        <v>44470</v>
      </c>
      <c r="J357" s="79">
        <f>EFEITO!$J$357*EFEITO!$Y$357</f>
        <v>0</v>
      </c>
      <c r="K357" s="79">
        <f ca="1">EFEITO!$L$357*EFEITO!$Z$357</f>
        <v>47760.87240219699</v>
      </c>
      <c r="L357" s="79">
        <f>EFEITO!$N$357*EFEITO!$AA$357</f>
        <v>0</v>
      </c>
      <c r="M357" s="79">
        <f>$J$357-EFEITO!$K$357*EFEITO!$Y$357</f>
        <v>0</v>
      </c>
      <c r="N357" s="79">
        <f ca="1">$K$357-EFEITO!$M$357*EFEITO!$Z$357</f>
        <v>0</v>
      </c>
      <c r="O357" s="79">
        <f>$L$357-EFEITO!$O$357*EFEITO!$AA$357</f>
        <v>0</v>
      </c>
      <c r="P357" s="18"/>
      <c r="Q357" s="18"/>
      <c r="R357" s="18"/>
      <c r="S357" s="18"/>
      <c r="T357" s="18"/>
      <c r="U357" s="18"/>
      <c r="V357" s="18"/>
      <c r="W357" s="18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70" t="s">
        <v>21</v>
      </c>
      <c r="B358" s="70" t="s">
        <v>35</v>
      </c>
      <c r="C358" s="70" t="s">
        <v>39</v>
      </c>
      <c r="D358" s="70" t="s">
        <v>34</v>
      </c>
      <c r="E358" s="70" t="s">
        <v>25</v>
      </c>
      <c r="F358" s="70" t="s">
        <v>55</v>
      </c>
      <c r="G358" s="70" t="s">
        <v>25</v>
      </c>
      <c r="H358" s="70" t="s">
        <v>38</v>
      </c>
      <c r="I358" s="78">
        <v>44501</v>
      </c>
      <c r="J358" s="79">
        <f>EFEITO!$J$358*EFEITO!$Y$358</f>
        <v>0</v>
      </c>
      <c r="K358" s="79">
        <f ca="1">EFEITO!$L$358*EFEITO!$Z$358</f>
        <v>44965.192533941859</v>
      </c>
      <c r="L358" s="79">
        <f>EFEITO!$N$358*EFEITO!$AA$358</f>
        <v>0</v>
      </c>
      <c r="M358" s="79">
        <f>$J$358-EFEITO!$K$358*EFEITO!$Y$358</f>
        <v>0</v>
      </c>
      <c r="N358" s="79">
        <f ca="1">$K$358-EFEITO!$M$358*EFEITO!$Z$358</f>
        <v>0</v>
      </c>
      <c r="O358" s="79">
        <f>$L$358-EFEITO!$O$358*EFEITO!$AA$358</f>
        <v>0</v>
      </c>
      <c r="P358" s="18"/>
      <c r="Q358" s="18"/>
      <c r="R358" s="18"/>
      <c r="S358" s="18"/>
      <c r="T358" s="18"/>
      <c r="U358" s="18"/>
      <c r="V358" s="18"/>
      <c r="W358" s="18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70" t="s">
        <v>65</v>
      </c>
      <c r="B359" s="70" t="s">
        <v>35</v>
      </c>
      <c r="C359" s="70" t="s">
        <v>39</v>
      </c>
      <c r="D359" s="70" t="s">
        <v>34</v>
      </c>
      <c r="E359" s="70" t="s">
        <v>25</v>
      </c>
      <c r="F359" s="70" t="s">
        <v>55</v>
      </c>
      <c r="G359" s="70" t="s">
        <v>25</v>
      </c>
      <c r="H359" s="70" t="s">
        <v>38</v>
      </c>
      <c r="I359" s="78">
        <v>44531</v>
      </c>
      <c r="J359" s="79">
        <f>EFEITO!$J$359*EFEITO!$Y$359</f>
        <v>0</v>
      </c>
      <c r="K359" s="79">
        <f ca="1">EFEITO!$L$359*EFEITO!$Z$359</f>
        <v>44965.192533941859</v>
      </c>
      <c r="L359" s="79">
        <f>EFEITO!$N$359*EFEITO!$AA$359</f>
        <v>0</v>
      </c>
      <c r="M359" s="79">
        <f>$J$359-EFEITO!$K$359*EFEITO!$Y$359</f>
        <v>0</v>
      </c>
      <c r="N359" s="79">
        <f ca="1">$K$359-EFEITO!$M$359*EFEITO!$Z$359</f>
        <v>0</v>
      </c>
      <c r="O359" s="79">
        <f>$L$359-EFEITO!$O$359*EFEITO!$AA$359</f>
        <v>0</v>
      </c>
      <c r="P359" s="18"/>
      <c r="Q359" s="18"/>
      <c r="R359" s="18"/>
      <c r="S359" s="18"/>
      <c r="T359" s="18"/>
      <c r="U359" s="18"/>
      <c r="V359" s="18"/>
      <c r="W359" s="18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70" t="s">
        <v>21</v>
      </c>
      <c r="B360" s="70" t="s">
        <v>35</v>
      </c>
      <c r="C360" s="70" t="s">
        <v>39</v>
      </c>
      <c r="D360" s="70" t="s">
        <v>34</v>
      </c>
      <c r="E360" s="70" t="s">
        <v>25</v>
      </c>
      <c r="F360" s="70" t="s">
        <v>55</v>
      </c>
      <c r="G360" s="70" t="s">
        <v>25</v>
      </c>
      <c r="H360" s="70" t="s">
        <v>38</v>
      </c>
      <c r="I360" s="78">
        <v>44562</v>
      </c>
      <c r="J360" s="79">
        <f>EFEITO!$J$360*EFEITO!$Y$360</f>
        <v>0</v>
      </c>
      <c r="K360" s="79">
        <f ca="1">EFEITO!$L$360*EFEITO!$Z$360</f>
        <v>33561.201594940758</v>
      </c>
      <c r="L360" s="79">
        <f>EFEITO!$N$360*EFEITO!$AA$360</f>
        <v>0</v>
      </c>
      <c r="M360" s="79">
        <f>$J$360-EFEITO!$K$360*EFEITO!$Y$360</f>
        <v>0</v>
      </c>
      <c r="N360" s="79">
        <f ca="1">$K$360-EFEITO!$M$360*EFEITO!$Z$360</f>
        <v>0</v>
      </c>
      <c r="O360" s="79">
        <f>$L$360-EFEITO!$O$360*EFEITO!$AA$360</f>
        <v>0</v>
      </c>
      <c r="P360" s="18"/>
      <c r="Q360" s="18"/>
      <c r="R360" s="18"/>
      <c r="S360" s="18"/>
      <c r="T360" s="18"/>
      <c r="U360" s="18"/>
      <c r="V360" s="18"/>
      <c r="W360" s="18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70" t="s">
        <v>21</v>
      </c>
      <c r="B361" s="70" t="s">
        <v>35</v>
      </c>
      <c r="C361" s="70" t="s">
        <v>39</v>
      </c>
      <c r="D361" s="70" t="s">
        <v>34</v>
      </c>
      <c r="E361" s="70" t="s">
        <v>25</v>
      </c>
      <c r="F361" s="70" t="s">
        <v>55</v>
      </c>
      <c r="G361" s="70" t="s">
        <v>25</v>
      </c>
      <c r="H361" s="70" t="s">
        <v>38</v>
      </c>
      <c r="I361" s="78">
        <v>44593</v>
      </c>
      <c r="J361" s="79">
        <f>EFEITO!$J$361*EFEITO!$Y$361</f>
        <v>0</v>
      </c>
      <c r="K361" s="79">
        <f ca="1">EFEITO!$L$361*EFEITO!$Z$361</f>
        <v>41942.13588333709</v>
      </c>
      <c r="L361" s="79">
        <f>EFEITO!$N$361*EFEITO!$AA$361</f>
        <v>0</v>
      </c>
      <c r="M361" s="79">
        <f>$J$361-EFEITO!$K$361*EFEITO!$Y$361</f>
        <v>0</v>
      </c>
      <c r="N361" s="79">
        <f ca="1">$K$361-EFEITO!$M$361*EFEITO!$Z$361</f>
        <v>0</v>
      </c>
      <c r="O361" s="79">
        <f>$L$361-EFEITO!$O$361*EFEITO!$AA$361</f>
        <v>0</v>
      </c>
      <c r="P361" s="18"/>
      <c r="Q361" s="18"/>
      <c r="R361" s="18"/>
      <c r="S361" s="18"/>
      <c r="T361" s="18"/>
      <c r="U361" s="18"/>
      <c r="V361" s="18"/>
      <c r="W361" s="18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70" t="s">
        <v>21</v>
      </c>
      <c r="B362" s="70" t="s">
        <v>35</v>
      </c>
      <c r="C362" s="70" t="s">
        <v>39</v>
      </c>
      <c r="D362" s="70" t="s">
        <v>34</v>
      </c>
      <c r="E362" s="70" t="s">
        <v>25</v>
      </c>
      <c r="F362" s="70" t="s">
        <v>55</v>
      </c>
      <c r="G362" s="70" t="s">
        <v>25</v>
      </c>
      <c r="H362" s="70" t="s">
        <v>38</v>
      </c>
      <c r="I362" s="78">
        <v>44621</v>
      </c>
      <c r="J362" s="79">
        <f>EFEITO!$J$362*EFEITO!$Y$362</f>
        <v>0</v>
      </c>
      <c r="K362" s="79">
        <f ca="1">EFEITO!$L$362*EFEITO!$Z$362</f>
        <v>44792.948608500432</v>
      </c>
      <c r="L362" s="79">
        <f>EFEITO!$N$362*EFEITO!$AA$362</f>
        <v>0</v>
      </c>
      <c r="M362" s="79">
        <f>$J$362-EFEITO!$K$362*EFEITO!$Y$362</f>
        <v>0</v>
      </c>
      <c r="N362" s="79">
        <f ca="1">$K$362-EFEITO!$M$362*EFEITO!$Z$362</f>
        <v>0</v>
      </c>
      <c r="O362" s="79">
        <f>$L$362-EFEITO!$O$362*EFEITO!$AA$362</f>
        <v>0</v>
      </c>
      <c r="P362" s="18"/>
      <c r="Q362" s="18"/>
      <c r="R362" s="18"/>
      <c r="S362" s="18"/>
      <c r="T362" s="18"/>
      <c r="U362" s="18"/>
      <c r="V362" s="18"/>
      <c r="W362" s="18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70" t="s">
        <v>65</v>
      </c>
      <c r="B363" s="70" t="s">
        <v>35</v>
      </c>
      <c r="C363" s="70" t="s">
        <v>39</v>
      </c>
      <c r="D363" s="70" t="s">
        <v>34</v>
      </c>
      <c r="E363" s="70" t="s">
        <v>25</v>
      </c>
      <c r="F363" s="70" t="s">
        <v>55</v>
      </c>
      <c r="G363" s="70" t="s">
        <v>25</v>
      </c>
      <c r="H363" s="70" t="s">
        <v>38</v>
      </c>
      <c r="I363" s="78">
        <v>44652</v>
      </c>
      <c r="J363" s="79">
        <f>EFEITO!$J$363*EFEITO!$Y$363</f>
        <v>0</v>
      </c>
      <c r="K363" s="79">
        <f ca="1">EFEITO!$L$363*EFEITO!$Z$363</f>
        <v>44792.948608500432</v>
      </c>
      <c r="L363" s="79">
        <f>EFEITO!$N$363*EFEITO!$AA$363</f>
        <v>0</v>
      </c>
      <c r="M363" s="79">
        <f>$J$363-EFEITO!$K$363*EFEITO!$Y$363</f>
        <v>0</v>
      </c>
      <c r="N363" s="79">
        <f ca="1">$K$363-EFEITO!$M$363*EFEITO!$Z$363</f>
        <v>0</v>
      </c>
      <c r="O363" s="79">
        <f>$L$363-EFEITO!$O$363*EFEITO!$AA$363</f>
        <v>0</v>
      </c>
      <c r="P363" s="18"/>
      <c r="Q363" s="18"/>
      <c r="R363" s="18"/>
      <c r="S363" s="18"/>
      <c r="T363" s="18"/>
      <c r="U363" s="18"/>
      <c r="V363" s="18"/>
      <c r="W363" s="18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70" t="s">
        <v>21</v>
      </c>
      <c r="B364" s="70" t="s">
        <v>35</v>
      </c>
      <c r="C364" s="70" t="s">
        <v>39</v>
      </c>
      <c r="D364" s="70" t="s">
        <v>34</v>
      </c>
      <c r="E364" s="70" t="s">
        <v>25</v>
      </c>
      <c r="F364" s="70" t="s">
        <v>55</v>
      </c>
      <c r="G364" s="70" t="s">
        <v>25</v>
      </c>
      <c r="H364" s="70" t="s">
        <v>38</v>
      </c>
      <c r="I364" s="78">
        <v>44682</v>
      </c>
      <c r="J364" s="79">
        <f>EFEITO!$J$364*EFEITO!$Y$364</f>
        <v>0</v>
      </c>
      <c r="K364" s="79">
        <f ca="1">EFEITO!$L$364*EFEITO!$Z$364</f>
        <v>142989.74703046444</v>
      </c>
      <c r="L364" s="79">
        <f>EFEITO!$N$364*EFEITO!$AA$364</f>
        <v>0</v>
      </c>
      <c r="M364" s="79">
        <f>$J$364-EFEITO!$K$364*EFEITO!$Y$364</f>
        <v>0</v>
      </c>
      <c r="N364" s="79">
        <f ca="1">$K$364-EFEITO!$M$364*EFEITO!$Z$364</f>
        <v>0</v>
      </c>
      <c r="O364" s="79">
        <f>$L$364-EFEITO!$O$364*EFEITO!$AA$364</f>
        <v>0</v>
      </c>
      <c r="P364" s="18"/>
      <c r="Q364" s="18"/>
      <c r="R364" s="18"/>
      <c r="S364" s="18"/>
      <c r="T364" s="18"/>
      <c r="U364" s="18"/>
      <c r="V364" s="18"/>
      <c r="W364" s="18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70" t="s">
        <v>21</v>
      </c>
      <c r="B365" s="70" t="s">
        <v>35</v>
      </c>
      <c r="C365" s="70" t="s">
        <v>39</v>
      </c>
      <c r="D365" s="70" t="s">
        <v>34</v>
      </c>
      <c r="E365" s="70" t="s">
        <v>25</v>
      </c>
      <c r="F365" s="70" t="s">
        <v>55</v>
      </c>
      <c r="G365" s="70" t="s">
        <v>25</v>
      </c>
      <c r="H365" s="70" t="s">
        <v>38</v>
      </c>
      <c r="I365" s="78">
        <v>44713</v>
      </c>
      <c r="J365" s="79">
        <f>EFEITO!$J$365*EFEITO!$Y$365</f>
        <v>0</v>
      </c>
      <c r="K365" s="79">
        <f ca="1">EFEITO!$L$365*EFEITO!$Z$365</f>
        <v>184618.47667352462</v>
      </c>
      <c r="L365" s="79">
        <f>EFEITO!$N$365*EFEITO!$AA$365</f>
        <v>0</v>
      </c>
      <c r="M365" s="79">
        <f>$J$365-EFEITO!$K$365*EFEITO!$Y$365</f>
        <v>0</v>
      </c>
      <c r="N365" s="79">
        <f ca="1">$K$365-EFEITO!$M$365*EFEITO!$Z$365</f>
        <v>0</v>
      </c>
      <c r="O365" s="79">
        <f>$L$365-EFEITO!$O$365*EFEITO!$AA$365</f>
        <v>0</v>
      </c>
      <c r="P365" s="18"/>
      <c r="Q365" s="18"/>
      <c r="R365" s="18"/>
      <c r="S365" s="18"/>
      <c r="T365" s="18"/>
      <c r="U365" s="18"/>
      <c r="V365" s="18"/>
      <c r="W365" s="18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70" t="s">
        <v>21</v>
      </c>
      <c r="B366" s="70" t="s">
        <v>35</v>
      </c>
      <c r="C366" s="70" t="s">
        <v>39</v>
      </c>
      <c r="D366" s="70" t="s">
        <v>34</v>
      </c>
      <c r="E366" s="70" t="s">
        <v>25</v>
      </c>
      <c r="F366" s="70" t="s">
        <v>55</v>
      </c>
      <c r="G366" s="70" t="s">
        <v>25</v>
      </c>
      <c r="H366" s="70" t="s">
        <v>25</v>
      </c>
      <c r="I366" s="78">
        <v>44378</v>
      </c>
      <c r="J366" s="79">
        <f ca="1">EFEITO!$J$366*EFEITO!$Y$366</f>
        <v>55486.24486963747</v>
      </c>
      <c r="K366" s="79">
        <f>EFEITO!$L$366*EFEITO!$Z$366</f>
        <v>0</v>
      </c>
      <c r="L366" s="79">
        <f>EFEITO!$N$366*EFEITO!$AA$366</f>
        <v>0</v>
      </c>
      <c r="M366" s="79">
        <f ca="1">$J$366-EFEITO!$K$366*EFEITO!$Y$366</f>
        <v>35622.169206307255</v>
      </c>
      <c r="N366" s="79">
        <f>$K$366-EFEITO!$M$366*EFEITO!$Z$366</f>
        <v>0</v>
      </c>
      <c r="O366" s="79">
        <f>$L$366-EFEITO!$O$366*EFEITO!$AA$366</f>
        <v>0</v>
      </c>
      <c r="P366" s="18"/>
      <c r="Q366" s="18"/>
      <c r="R366" s="18"/>
      <c r="S366" s="18"/>
      <c r="T366" s="18"/>
      <c r="U366" s="18"/>
      <c r="V366" s="18"/>
      <c r="W366" s="18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70" t="s">
        <v>21</v>
      </c>
      <c r="B367" s="70" t="s">
        <v>35</v>
      </c>
      <c r="C367" s="70" t="s">
        <v>39</v>
      </c>
      <c r="D367" s="70" t="s">
        <v>34</v>
      </c>
      <c r="E367" s="70" t="s">
        <v>25</v>
      </c>
      <c r="F367" s="70" t="s">
        <v>55</v>
      </c>
      <c r="G367" s="70" t="s">
        <v>25</v>
      </c>
      <c r="H367" s="70" t="s">
        <v>25</v>
      </c>
      <c r="I367" s="78">
        <v>44409</v>
      </c>
      <c r="J367" s="79">
        <f ca="1">EFEITO!$J$367*EFEITO!$Y$367</f>
        <v>77199.577796120182</v>
      </c>
      <c r="K367" s="79">
        <f>EFEITO!$L$367*EFEITO!$Z$367</f>
        <v>0</v>
      </c>
      <c r="L367" s="79">
        <f>EFEITO!$N$367*EFEITO!$AA$367</f>
        <v>0</v>
      </c>
      <c r="M367" s="79">
        <f ca="1">$J$367-EFEITO!$K$367*EFEITO!$Y$367</f>
        <v>42691.366521254458</v>
      </c>
      <c r="N367" s="79">
        <f>$K$367-EFEITO!$M$367*EFEITO!$Z$367</f>
        <v>0</v>
      </c>
      <c r="O367" s="79">
        <f>$L$367-EFEITO!$O$367*EFEITO!$AA$367</f>
        <v>0</v>
      </c>
      <c r="P367" s="18"/>
      <c r="Q367" s="18"/>
      <c r="R367" s="18"/>
      <c r="S367" s="18"/>
      <c r="T367" s="18"/>
      <c r="U367" s="18"/>
      <c r="V367" s="18"/>
      <c r="W367" s="18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70" t="s">
        <v>21</v>
      </c>
      <c r="B368" s="70" t="s">
        <v>35</v>
      </c>
      <c r="C368" s="70" t="s">
        <v>39</v>
      </c>
      <c r="D368" s="70" t="s">
        <v>34</v>
      </c>
      <c r="E368" s="70" t="s">
        <v>25</v>
      </c>
      <c r="F368" s="70" t="s">
        <v>55</v>
      </c>
      <c r="G368" s="70" t="s">
        <v>25</v>
      </c>
      <c r="H368" s="70" t="s">
        <v>25</v>
      </c>
      <c r="I368" s="78">
        <v>44440</v>
      </c>
      <c r="J368" s="79">
        <f ca="1">EFEITO!$J$368*EFEITO!$Y$368</f>
        <v>93948.993097053564</v>
      </c>
      <c r="K368" s="79">
        <f>EFEITO!$L$368*EFEITO!$Z$368</f>
        <v>0</v>
      </c>
      <c r="L368" s="79">
        <f>EFEITO!$N$368*EFEITO!$AA$368</f>
        <v>0</v>
      </c>
      <c r="M368" s="79">
        <f ca="1">$J$368-EFEITO!$K$368*EFEITO!$Y$368</f>
        <v>38425.138176694913</v>
      </c>
      <c r="N368" s="79">
        <f>$K$368-EFEITO!$M$368*EFEITO!$Z$368</f>
        <v>0</v>
      </c>
      <c r="O368" s="79">
        <f>$L$368-EFEITO!$O$368*EFEITO!$AA$368</f>
        <v>0</v>
      </c>
      <c r="P368" s="18"/>
      <c r="Q368" s="18"/>
      <c r="R368" s="18"/>
      <c r="S368" s="18"/>
      <c r="T368" s="18"/>
      <c r="U368" s="18"/>
      <c r="V368" s="18"/>
      <c r="W368" s="18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70" t="s">
        <v>21</v>
      </c>
      <c r="B369" s="70" t="s">
        <v>35</v>
      </c>
      <c r="C369" s="70" t="s">
        <v>39</v>
      </c>
      <c r="D369" s="70" t="s">
        <v>34</v>
      </c>
      <c r="E369" s="70" t="s">
        <v>25</v>
      </c>
      <c r="F369" s="70" t="s">
        <v>55</v>
      </c>
      <c r="G369" s="70" t="s">
        <v>25</v>
      </c>
      <c r="H369" s="70" t="s">
        <v>25</v>
      </c>
      <c r="I369" s="78">
        <v>44470</v>
      </c>
      <c r="J369" s="79">
        <f ca="1">EFEITO!$J$369*EFEITO!$Y$369</f>
        <v>96598.446062837567</v>
      </c>
      <c r="K369" s="79">
        <f>EFEITO!$L$369*EFEITO!$Z$369</f>
        <v>0</v>
      </c>
      <c r="L369" s="79">
        <f>EFEITO!$N$369*EFEITO!$AA$369</f>
        <v>0</v>
      </c>
      <c r="M369" s="79">
        <f ca="1">$J$369-EFEITO!$K$369*EFEITO!$Y$369</f>
        <v>45884.261879847843</v>
      </c>
      <c r="N369" s="79">
        <f>$K$369-EFEITO!$M$369*EFEITO!$Z$369</f>
        <v>0</v>
      </c>
      <c r="O369" s="79">
        <f>$L$369-EFEITO!$O$369*EFEITO!$AA$369</f>
        <v>0</v>
      </c>
      <c r="P369" s="18"/>
      <c r="Q369" s="18"/>
      <c r="R369" s="18"/>
      <c r="S369" s="18"/>
      <c r="T369" s="18"/>
      <c r="U369" s="18"/>
      <c r="V369" s="18"/>
      <c r="W369" s="18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70" t="s">
        <v>21</v>
      </c>
      <c r="B370" s="70" t="s">
        <v>35</v>
      </c>
      <c r="C370" s="70" t="s">
        <v>39</v>
      </c>
      <c r="D370" s="70" t="s">
        <v>34</v>
      </c>
      <c r="E370" s="70" t="s">
        <v>25</v>
      </c>
      <c r="F370" s="70" t="s">
        <v>55</v>
      </c>
      <c r="G370" s="70" t="s">
        <v>25</v>
      </c>
      <c r="H370" s="70" t="s">
        <v>25</v>
      </c>
      <c r="I370" s="78">
        <v>44501</v>
      </c>
      <c r="J370" s="79">
        <f ca="1">EFEITO!$J$370*EFEITO!$Y$370</f>
        <v>92395.865496421553</v>
      </c>
      <c r="K370" s="79">
        <f>EFEITO!$L$370*EFEITO!$Z$370</f>
        <v>0</v>
      </c>
      <c r="L370" s="79">
        <f>EFEITO!$N$370*EFEITO!$AA$370</f>
        <v>0</v>
      </c>
      <c r="M370" s="79">
        <f ca="1">$J$370-EFEITO!$K$370*EFEITO!$Y$370</f>
        <v>45643.557555232248</v>
      </c>
      <c r="N370" s="79">
        <f>$K$370-EFEITO!$M$370*EFEITO!$Z$370</f>
        <v>0</v>
      </c>
      <c r="O370" s="79">
        <f>$L$370-EFEITO!$O$370*EFEITO!$AA$370</f>
        <v>0</v>
      </c>
      <c r="P370" s="18"/>
      <c r="Q370" s="18"/>
      <c r="R370" s="18"/>
      <c r="S370" s="18"/>
      <c r="T370" s="18"/>
      <c r="U370" s="18"/>
      <c r="V370" s="18"/>
      <c r="W370" s="18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70" t="s">
        <v>65</v>
      </c>
      <c r="B371" s="70" t="s">
        <v>35</v>
      </c>
      <c r="C371" s="70" t="s">
        <v>39</v>
      </c>
      <c r="D371" s="70" t="s">
        <v>34</v>
      </c>
      <c r="E371" s="70" t="s">
        <v>25</v>
      </c>
      <c r="F371" s="70" t="s">
        <v>55</v>
      </c>
      <c r="G371" s="70" t="s">
        <v>25</v>
      </c>
      <c r="H371" s="70" t="s">
        <v>25</v>
      </c>
      <c r="I371" s="78">
        <v>44531</v>
      </c>
      <c r="J371" s="79">
        <f ca="1">EFEITO!$J$371*EFEITO!$Y$371</f>
        <v>92395.865496421553</v>
      </c>
      <c r="K371" s="79">
        <f>EFEITO!$L$371*EFEITO!$Z$371</f>
        <v>0</v>
      </c>
      <c r="L371" s="79">
        <f>EFEITO!$N$371*EFEITO!$AA$371</f>
        <v>0</v>
      </c>
      <c r="M371" s="79">
        <f ca="1">$J$371-EFEITO!$K$371*EFEITO!$Y$371</f>
        <v>45643.557555232248</v>
      </c>
      <c r="N371" s="79">
        <f>$K$371-EFEITO!$M$371*EFEITO!$Z$371</f>
        <v>0</v>
      </c>
      <c r="O371" s="79">
        <f>$L$371-EFEITO!$O$371*EFEITO!$AA$371</f>
        <v>0</v>
      </c>
      <c r="P371" s="18"/>
      <c r="Q371" s="18"/>
      <c r="R371" s="18"/>
      <c r="S371" s="18"/>
      <c r="T371" s="18"/>
      <c r="U371" s="18"/>
      <c r="V371" s="18"/>
      <c r="W371" s="18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70" t="s">
        <v>21</v>
      </c>
      <c r="B372" s="70" t="s">
        <v>35</v>
      </c>
      <c r="C372" s="70" t="s">
        <v>39</v>
      </c>
      <c r="D372" s="70" t="s">
        <v>34</v>
      </c>
      <c r="E372" s="70" t="s">
        <v>25</v>
      </c>
      <c r="F372" s="70" t="s">
        <v>55</v>
      </c>
      <c r="G372" s="70" t="s">
        <v>25</v>
      </c>
      <c r="H372" s="70" t="s">
        <v>25</v>
      </c>
      <c r="I372" s="78">
        <v>44562</v>
      </c>
      <c r="J372" s="79">
        <f ca="1">EFEITO!$J$372*EFEITO!$Y$372</f>
        <v>117398.17451836029</v>
      </c>
      <c r="K372" s="79">
        <f>EFEITO!$L$372*EFEITO!$Z$372</f>
        <v>0</v>
      </c>
      <c r="L372" s="79">
        <f>EFEITO!$N$372*EFEITO!$AA$372</f>
        <v>0</v>
      </c>
      <c r="M372" s="79">
        <f ca="1">$J$372-EFEITO!$K$372*EFEITO!$Y$372</f>
        <v>51303.002264523457</v>
      </c>
      <c r="N372" s="79">
        <f>$K$372-EFEITO!$M$372*EFEITO!$Z$372</f>
        <v>0</v>
      </c>
      <c r="O372" s="79">
        <f>$L$372-EFEITO!$O$372*EFEITO!$AA$372</f>
        <v>0</v>
      </c>
      <c r="P372" s="18"/>
      <c r="Q372" s="18"/>
      <c r="R372" s="18"/>
      <c r="S372" s="18"/>
      <c r="T372" s="18"/>
      <c r="U372" s="18"/>
      <c r="V372" s="18"/>
      <c r="W372" s="18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70" t="s">
        <v>21</v>
      </c>
      <c r="B373" s="70" t="s">
        <v>35</v>
      </c>
      <c r="C373" s="70" t="s">
        <v>39</v>
      </c>
      <c r="D373" s="70" t="s">
        <v>34</v>
      </c>
      <c r="E373" s="70" t="s">
        <v>25</v>
      </c>
      <c r="F373" s="70" t="s">
        <v>55</v>
      </c>
      <c r="G373" s="70" t="s">
        <v>25</v>
      </c>
      <c r="H373" s="70" t="s">
        <v>25</v>
      </c>
      <c r="I373" s="78">
        <v>44593</v>
      </c>
      <c r="J373" s="79">
        <f ca="1">EFEITO!$J$373*EFEITO!$Y$373</f>
        <v>140481.91415128301</v>
      </c>
      <c r="K373" s="79">
        <f>EFEITO!$L$373*EFEITO!$Z$373</f>
        <v>0</v>
      </c>
      <c r="L373" s="79">
        <f>EFEITO!$N$373*EFEITO!$AA$373</f>
        <v>0</v>
      </c>
      <c r="M373" s="79">
        <f ca="1">$J$373-EFEITO!$K$373*EFEITO!$Y$373</f>
        <v>81339.028293592855</v>
      </c>
      <c r="N373" s="79">
        <f>$K$373-EFEITO!$M$373*EFEITO!$Z$373</f>
        <v>0</v>
      </c>
      <c r="O373" s="79">
        <f>$L$373-EFEITO!$O$373*EFEITO!$AA$373</f>
        <v>0</v>
      </c>
      <c r="P373" s="18"/>
      <c r="Q373" s="18"/>
      <c r="R373" s="18"/>
      <c r="S373" s="18"/>
      <c r="T373" s="18"/>
      <c r="U373" s="18"/>
      <c r="V373" s="18"/>
      <c r="W373" s="18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70" t="s">
        <v>21</v>
      </c>
      <c r="B374" s="70" t="s">
        <v>35</v>
      </c>
      <c r="C374" s="70" t="s">
        <v>39</v>
      </c>
      <c r="D374" s="70" t="s">
        <v>34</v>
      </c>
      <c r="E374" s="70" t="s">
        <v>25</v>
      </c>
      <c r="F374" s="70" t="s">
        <v>55</v>
      </c>
      <c r="G374" s="70" t="s">
        <v>25</v>
      </c>
      <c r="H374" s="70" t="s">
        <v>25</v>
      </c>
      <c r="I374" s="78">
        <v>44621</v>
      </c>
      <c r="J374" s="79">
        <f ca="1">EFEITO!$J$374*EFEITO!$Y$374</f>
        <v>127386.91673418964</v>
      </c>
      <c r="K374" s="79">
        <f>EFEITO!$L$374*EFEITO!$Z$374</f>
        <v>0</v>
      </c>
      <c r="L374" s="79">
        <f>EFEITO!$N$374*EFEITO!$AA$374</f>
        <v>0</v>
      </c>
      <c r="M374" s="79">
        <f ca="1">$J$374-EFEITO!$K$374*EFEITO!$Y$374</f>
        <v>73629.637872361607</v>
      </c>
      <c r="N374" s="79">
        <f>$K$374-EFEITO!$M$374*EFEITO!$Z$374</f>
        <v>0</v>
      </c>
      <c r="O374" s="79">
        <f>$L$374-EFEITO!$O$374*EFEITO!$AA$374</f>
        <v>0</v>
      </c>
      <c r="P374" s="18"/>
      <c r="Q374" s="18"/>
      <c r="R374" s="18"/>
      <c r="S374" s="18"/>
      <c r="T374" s="18"/>
      <c r="U374" s="18"/>
      <c r="V374" s="18"/>
      <c r="W374" s="18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70" t="s">
        <v>65</v>
      </c>
      <c r="B375" s="70" t="s">
        <v>35</v>
      </c>
      <c r="C375" s="70" t="s">
        <v>39</v>
      </c>
      <c r="D375" s="70" t="s">
        <v>34</v>
      </c>
      <c r="E375" s="70" t="s">
        <v>25</v>
      </c>
      <c r="F375" s="70" t="s">
        <v>55</v>
      </c>
      <c r="G375" s="70" t="s">
        <v>25</v>
      </c>
      <c r="H375" s="70" t="s">
        <v>25</v>
      </c>
      <c r="I375" s="78">
        <v>44652</v>
      </c>
      <c r="J375" s="79">
        <f ca="1">EFEITO!$J$375*EFEITO!$Y$375</f>
        <v>127386.91673418964</v>
      </c>
      <c r="K375" s="79">
        <f>EFEITO!$L$375*EFEITO!$Z$375</f>
        <v>0</v>
      </c>
      <c r="L375" s="79">
        <f>EFEITO!$N$375*EFEITO!$AA$375</f>
        <v>0</v>
      </c>
      <c r="M375" s="79">
        <f ca="1">$J$375-EFEITO!$K$375*EFEITO!$Y$375</f>
        <v>73629.637872361607</v>
      </c>
      <c r="N375" s="79">
        <f>$K$375-EFEITO!$M$375*EFEITO!$Z$375</f>
        <v>0</v>
      </c>
      <c r="O375" s="79">
        <f>$L$375-EFEITO!$O$375*EFEITO!$AA$375</f>
        <v>0</v>
      </c>
      <c r="P375" s="18"/>
      <c r="Q375" s="18"/>
      <c r="R375" s="18"/>
      <c r="S375" s="18"/>
      <c r="T375" s="18"/>
      <c r="U375" s="18"/>
      <c r="V375" s="18"/>
      <c r="W375" s="18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70" t="s">
        <v>21</v>
      </c>
      <c r="B376" s="70" t="s">
        <v>35</v>
      </c>
      <c r="C376" s="70" t="s">
        <v>39</v>
      </c>
      <c r="D376" s="70" t="s">
        <v>34</v>
      </c>
      <c r="E376" s="70" t="s">
        <v>25</v>
      </c>
      <c r="F376" s="70" t="s">
        <v>55</v>
      </c>
      <c r="G376" s="70" t="s">
        <v>25</v>
      </c>
      <c r="H376" s="70" t="s">
        <v>25</v>
      </c>
      <c r="I376" s="78">
        <v>44682</v>
      </c>
      <c r="J376" s="79">
        <f ca="1">EFEITO!$J$376*EFEITO!$Y$376</f>
        <v>203033.36692967784</v>
      </c>
      <c r="K376" s="79">
        <f>EFEITO!$L$376*EFEITO!$Z$376</f>
        <v>0</v>
      </c>
      <c r="L376" s="79">
        <f>EFEITO!$N$376*EFEITO!$AA$376</f>
        <v>0</v>
      </c>
      <c r="M376" s="79">
        <f ca="1">$J$376-EFEITO!$K$376*EFEITO!$Y$376</f>
        <v>118977.55302079122</v>
      </c>
      <c r="N376" s="79">
        <f>$K$376-EFEITO!$M$376*EFEITO!$Z$376</f>
        <v>0</v>
      </c>
      <c r="O376" s="79">
        <f>$L$376-EFEITO!$O$376*EFEITO!$AA$376</f>
        <v>0</v>
      </c>
      <c r="P376" s="18"/>
      <c r="Q376" s="18"/>
      <c r="R376" s="18"/>
      <c r="S376" s="18"/>
      <c r="T376" s="18"/>
      <c r="U376" s="18"/>
      <c r="V376" s="18"/>
      <c r="W376" s="18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70" t="s">
        <v>21</v>
      </c>
      <c r="B377" s="70" t="s">
        <v>35</v>
      </c>
      <c r="C377" s="70" t="s">
        <v>39</v>
      </c>
      <c r="D377" s="70" t="s">
        <v>34</v>
      </c>
      <c r="E377" s="70" t="s">
        <v>25</v>
      </c>
      <c r="F377" s="70" t="s">
        <v>55</v>
      </c>
      <c r="G377" s="70" t="s">
        <v>25</v>
      </c>
      <c r="H377" s="70" t="s">
        <v>25</v>
      </c>
      <c r="I377" s="78">
        <v>44713</v>
      </c>
      <c r="J377" s="79">
        <f ca="1">EFEITO!$J$377*EFEITO!$Y$377</f>
        <v>260499.08815306195</v>
      </c>
      <c r="K377" s="79">
        <f>EFEITO!$L$377*EFEITO!$Z$377</f>
        <v>0</v>
      </c>
      <c r="L377" s="79">
        <f>EFEITO!$N$377*EFEITO!$AA$377</f>
        <v>0</v>
      </c>
      <c r="M377" s="79">
        <f ca="1">$J$377-EFEITO!$K$377*EFEITO!$Y$377</f>
        <v>169063.9082113372</v>
      </c>
      <c r="N377" s="79">
        <f>$K$377-EFEITO!$M$377*EFEITO!$Z$377</f>
        <v>0</v>
      </c>
      <c r="O377" s="79">
        <f>$L$377-EFEITO!$O$377*EFEITO!$AA$377</f>
        <v>0</v>
      </c>
      <c r="P377" s="18"/>
      <c r="Q377" s="18"/>
      <c r="R377" s="18"/>
      <c r="S377" s="18"/>
      <c r="T377" s="18"/>
      <c r="U377" s="18"/>
      <c r="V377" s="18"/>
      <c r="W377" s="18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70" t="s">
        <v>21</v>
      </c>
      <c r="B378" s="70" t="s">
        <v>35</v>
      </c>
      <c r="C378" s="70" t="s">
        <v>39</v>
      </c>
      <c r="D378" s="70" t="s">
        <v>34</v>
      </c>
      <c r="E378" s="70" t="s">
        <v>25</v>
      </c>
      <c r="F378" s="70" t="s">
        <v>55</v>
      </c>
      <c r="G378" s="70" t="s">
        <v>25</v>
      </c>
      <c r="H378" s="70" t="s">
        <v>37</v>
      </c>
      <c r="I378" s="78">
        <v>44378</v>
      </c>
      <c r="J378" s="79">
        <f>EFEITO!$J$378*EFEITO!$Y$378</f>
        <v>0</v>
      </c>
      <c r="K378" s="79">
        <f ca="1">EFEITO!$L$378*EFEITO!$Z$378</f>
        <v>84588.670674286957</v>
      </c>
      <c r="L378" s="79">
        <f>EFEITO!$N$378*EFEITO!$AA$378</f>
        <v>0</v>
      </c>
      <c r="M378" s="79">
        <f>$J$378-EFEITO!$K$378*EFEITO!$Y$378</f>
        <v>0</v>
      </c>
      <c r="N378" s="79">
        <f ca="1">$K$378-EFEITO!$M$378*EFEITO!$Z$378</f>
        <v>54305.926572892233</v>
      </c>
      <c r="O378" s="79">
        <f>$L$378-EFEITO!$O$378*EFEITO!$AA$378</f>
        <v>0</v>
      </c>
      <c r="P378" s="18"/>
      <c r="Q378" s="18"/>
      <c r="R378" s="18"/>
      <c r="S378" s="18"/>
      <c r="T378" s="18"/>
      <c r="U378" s="18"/>
      <c r="V378" s="18"/>
      <c r="W378" s="18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70" t="s">
        <v>21</v>
      </c>
      <c r="B379" s="70" t="s">
        <v>35</v>
      </c>
      <c r="C379" s="70" t="s">
        <v>39</v>
      </c>
      <c r="D379" s="70" t="s">
        <v>34</v>
      </c>
      <c r="E379" s="70" t="s">
        <v>25</v>
      </c>
      <c r="F379" s="70" t="s">
        <v>55</v>
      </c>
      <c r="G379" s="70" t="s">
        <v>25</v>
      </c>
      <c r="H379" s="70" t="s">
        <v>37</v>
      </c>
      <c r="I379" s="78">
        <v>44409</v>
      </c>
      <c r="J379" s="79">
        <f>EFEITO!$J$379*EFEITO!$Y$379</f>
        <v>0</v>
      </c>
      <c r="K379" s="79">
        <f ca="1">EFEITO!$L$379*EFEITO!$Z$379</f>
        <v>77122.206486824492</v>
      </c>
      <c r="L379" s="79">
        <f>EFEITO!$N$379*EFEITO!$AA$379</f>
        <v>0</v>
      </c>
      <c r="M379" s="79">
        <f>$J$379-EFEITO!$K$379*EFEITO!$Y$379</f>
        <v>0</v>
      </c>
      <c r="N379" s="79">
        <f ca="1">$K$379-EFEITO!$M$379*EFEITO!$Z$379</f>
        <v>42417.213567753475</v>
      </c>
      <c r="O379" s="79">
        <f>$L$379-EFEITO!$O$379*EFEITO!$AA$379</f>
        <v>0</v>
      </c>
      <c r="P379" s="18"/>
      <c r="Q379" s="18"/>
      <c r="R379" s="18"/>
      <c r="S379" s="18"/>
      <c r="T379" s="18"/>
      <c r="U379" s="18"/>
      <c r="V379" s="18"/>
      <c r="W379" s="18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70" t="s">
        <v>21</v>
      </c>
      <c r="B380" s="70" t="s">
        <v>35</v>
      </c>
      <c r="C380" s="70" t="s">
        <v>39</v>
      </c>
      <c r="D380" s="70" t="s">
        <v>34</v>
      </c>
      <c r="E380" s="70" t="s">
        <v>25</v>
      </c>
      <c r="F380" s="70" t="s">
        <v>55</v>
      </c>
      <c r="G380" s="70" t="s">
        <v>25</v>
      </c>
      <c r="H380" s="70" t="s">
        <v>37</v>
      </c>
      <c r="I380" s="78">
        <v>44440</v>
      </c>
      <c r="J380" s="79">
        <f>EFEITO!$J$380*EFEITO!$Y$380</f>
        <v>0</v>
      </c>
      <c r="K380" s="79">
        <f ca="1">EFEITO!$L$380*EFEITO!$Z$380</f>
        <v>66524.854473326821</v>
      </c>
      <c r="L380" s="79">
        <f>EFEITO!$N$380*EFEITO!$AA$380</f>
        <v>0</v>
      </c>
      <c r="M380" s="79">
        <f>$J$380-EFEITO!$K$380*EFEITO!$Y$380</f>
        <v>0</v>
      </c>
      <c r="N380" s="79">
        <f ca="1">$K$380-EFEITO!$M$380*EFEITO!$Z$380</f>
        <v>31226.766689779601</v>
      </c>
      <c r="O380" s="79">
        <f>$L$380-EFEITO!$O$380*EFEITO!$AA$380</f>
        <v>0</v>
      </c>
      <c r="P380" s="18"/>
      <c r="Q380" s="18"/>
      <c r="R380" s="18"/>
      <c r="S380" s="18"/>
      <c r="T380" s="18"/>
      <c r="U380" s="18"/>
      <c r="V380" s="18"/>
      <c r="W380" s="18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70" t="s">
        <v>21</v>
      </c>
      <c r="B381" s="70" t="s">
        <v>35</v>
      </c>
      <c r="C381" s="70" t="s">
        <v>39</v>
      </c>
      <c r="D381" s="70" t="s">
        <v>34</v>
      </c>
      <c r="E381" s="70" t="s">
        <v>25</v>
      </c>
      <c r="F381" s="70" t="s">
        <v>55</v>
      </c>
      <c r="G381" s="70" t="s">
        <v>25</v>
      </c>
      <c r="H381" s="70" t="s">
        <v>37</v>
      </c>
      <c r="I381" s="78">
        <v>44470</v>
      </c>
      <c r="J381" s="79">
        <f>EFEITO!$J$381*EFEITO!$Y$381</f>
        <v>0</v>
      </c>
      <c r="K381" s="79">
        <f ca="1">EFEITO!$L$381*EFEITO!$Z$381</f>
        <v>61219.015453664855</v>
      </c>
      <c r="L381" s="79">
        <f>EFEITO!$N$381*EFEITO!$AA$381</f>
        <v>0</v>
      </c>
      <c r="M381" s="79">
        <f>$J$381-EFEITO!$K$381*EFEITO!$Y$381</f>
        <v>0</v>
      </c>
      <c r="N381" s="79">
        <f ca="1">$K$381-EFEITO!$M$381*EFEITO!$Z$381</f>
        <v>29079.032340490805</v>
      </c>
      <c r="O381" s="79">
        <f>$L$381-EFEITO!$O$381*EFEITO!$AA$381</f>
        <v>0</v>
      </c>
      <c r="P381" s="18"/>
      <c r="Q381" s="18"/>
      <c r="R381" s="18"/>
      <c r="S381" s="18"/>
      <c r="T381" s="18"/>
      <c r="U381" s="18"/>
      <c r="V381" s="18"/>
      <c r="W381" s="18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70" t="s">
        <v>21</v>
      </c>
      <c r="B382" s="70" t="s">
        <v>35</v>
      </c>
      <c r="C382" s="70" t="s">
        <v>39</v>
      </c>
      <c r="D382" s="70" t="s">
        <v>34</v>
      </c>
      <c r="E382" s="70" t="s">
        <v>25</v>
      </c>
      <c r="F382" s="70" t="s">
        <v>55</v>
      </c>
      <c r="G382" s="70" t="s">
        <v>25</v>
      </c>
      <c r="H382" s="70" t="s">
        <v>37</v>
      </c>
      <c r="I382" s="78">
        <v>44501</v>
      </c>
      <c r="J382" s="79">
        <f>EFEITO!$J$382*EFEITO!$Y$382</f>
        <v>0</v>
      </c>
      <c r="K382" s="79">
        <f ca="1">EFEITO!$L$382*EFEITO!$Z$382</f>
        <v>62481.00809236207</v>
      </c>
      <c r="L382" s="79">
        <f>EFEITO!$N$382*EFEITO!$AA$382</f>
        <v>0</v>
      </c>
      <c r="M382" s="79">
        <f>$J$382-EFEITO!$K$382*EFEITO!$Y$382</f>
        <v>0</v>
      </c>
      <c r="N382" s="79">
        <f ca="1">$K$382-EFEITO!$M$382*EFEITO!$Z$382</f>
        <v>30865.617997626861</v>
      </c>
      <c r="O382" s="79">
        <f>$L$382-EFEITO!$O$382*EFEITO!$AA$382</f>
        <v>0</v>
      </c>
      <c r="P382" s="18"/>
      <c r="Q382" s="18"/>
      <c r="R382" s="18"/>
      <c r="S382" s="18"/>
      <c r="T382" s="18"/>
      <c r="U382" s="18"/>
      <c r="V382" s="18"/>
      <c r="W382" s="18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70" t="s">
        <v>65</v>
      </c>
      <c r="B383" s="70" t="s">
        <v>35</v>
      </c>
      <c r="C383" s="70" t="s">
        <v>39</v>
      </c>
      <c r="D383" s="70" t="s">
        <v>34</v>
      </c>
      <c r="E383" s="70" t="s">
        <v>25</v>
      </c>
      <c r="F383" s="70" t="s">
        <v>55</v>
      </c>
      <c r="G383" s="70" t="s">
        <v>25</v>
      </c>
      <c r="H383" s="70" t="s">
        <v>37</v>
      </c>
      <c r="I383" s="78">
        <v>44531</v>
      </c>
      <c r="J383" s="79">
        <f>EFEITO!$J$383*EFEITO!$Y$383</f>
        <v>0</v>
      </c>
      <c r="K383" s="79">
        <f ca="1">EFEITO!$L$383*EFEITO!$Z$383</f>
        <v>62481.00809236207</v>
      </c>
      <c r="L383" s="79">
        <f>EFEITO!$N$383*EFEITO!$AA$383</f>
        <v>0</v>
      </c>
      <c r="M383" s="79">
        <f>$J$383-EFEITO!$K$383*EFEITO!$Y$383</f>
        <v>0</v>
      </c>
      <c r="N383" s="79">
        <f ca="1">$K$383-EFEITO!$M$383*EFEITO!$Z$383</f>
        <v>30865.617997626861</v>
      </c>
      <c r="O383" s="79">
        <f>$L$383-EFEITO!$O$383*EFEITO!$AA$383</f>
        <v>0</v>
      </c>
      <c r="P383" s="18"/>
      <c r="Q383" s="18"/>
      <c r="R383" s="18"/>
      <c r="S383" s="18"/>
      <c r="T383" s="18"/>
      <c r="U383" s="18"/>
      <c r="V383" s="18"/>
      <c r="W383" s="18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70" t="s">
        <v>21</v>
      </c>
      <c r="B384" s="70" t="s">
        <v>35</v>
      </c>
      <c r="C384" s="70" t="s">
        <v>39</v>
      </c>
      <c r="D384" s="70" t="s">
        <v>34</v>
      </c>
      <c r="E384" s="70" t="s">
        <v>25</v>
      </c>
      <c r="F384" s="70" t="s">
        <v>55</v>
      </c>
      <c r="G384" s="70" t="s">
        <v>25</v>
      </c>
      <c r="H384" s="70" t="s">
        <v>37</v>
      </c>
      <c r="I384" s="78">
        <v>44562</v>
      </c>
      <c r="J384" s="79">
        <f>EFEITO!$J$384*EFEITO!$Y$384</f>
        <v>0</v>
      </c>
      <c r="K384" s="79">
        <f ca="1">EFEITO!$L$384*EFEITO!$Z$384</f>
        <v>45098.329301142549</v>
      </c>
      <c r="L384" s="79">
        <f>EFEITO!$N$384*EFEITO!$AA$384</f>
        <v>0</v>
      </c>
      <c r="M384" s="79">
        <f>$J$384-EFEITO!$K$384*EFEITO!$Y$384</f>
        <v>0</v>
      </c>
      <c r="N384" s="79">
        <f ca="1">$K$384-EFEITO!$M$384*EFEITO!$Z$384</f>
        <v>19707.969904599289</v>
      </c>
      <c r="O384" s="79">
        <f>$L$384-EFEITO!$O$384*EFEITO!$AA$384</f>
        <v>0</v>
      </c>
      <c r="P384" s="18"/>
      <c r="Q384" s="18"/>
      <c r="R384" s="18"/>
      <c r="S384" s="18"/>
      <c r="T384" s="18"/>
      <c r="U384" s="18"/>
      <c r="V384" s="18"/>
      <c r="W384" s="18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70" t="s">
        <v>21</v>
      </c>
      <c r="B385" s="70" t="s">
        <v>35</v>
      </c>
      <c r="C385" s="70" t="s">
        <v>39</v>
      </c>
      <c r="D385" s="70" t="s">
        <v>34</v>
      </c>
      <c r="E385" s="70" t="s">
        <v>25</v>
      </c>
      <c r="F385" s="70" t="s">
        <v>55</v>
      </c>
      <c r="G385" s="70" t="s">
        <v>25</v>
      </c>
      <c r="H385" s="70" t="s">
        <v>37</v>
      </c>
      <c r="I385" s="78">
        <v>44593</v>
      </c>
      <c r="J385" s="79">
        <f>EFEITO!$J$385*EFEITO!$Y$385</f>
        <v>0</v>
      </c>
      <c r="K385" s="79">
        <f ca="1">EFEITO!$L$385*EFEITO!$Z$385</f>
        <v>57881.051436140646</v>
      </c>
      <c r="L385" s="79">
        <f>EFEITO!$N$385*EFEITO!$AA$385</f>
        <v>0</v>
      </c>
      <c r="M385" s="79">
        <f>$J$385-EFEITO!$K$385*EFEITO!$Y$385</f>
        <v>0</v>
      </c>
      <c r="N385" s="79">
        <f ca="1">$K$385-EFEITO!$M$385*EFEITO!$Z$385</f>
        <v>27285.127646996702</v>
      </c>
      <c r="O385" s="79">
        <f>$L$385-EFEITO!$O$385*EFEITO!$AA$385</f>
        <v>0</v>
      </c>
      <c r="P385" s="18"/>
      <c r="Q385" s="18"/>
      <c r="R385" s="18"/>
      <c r="S385" s="18"/>
      <c r="T385" s="18"/>
      <c r="U385" s="18"/>
      <c r="V385" s="18"/>
      <c r="W385" s="18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70" t="s">
        <v>21</v>
      </c>
      <c r="B386" s="70" t="s">
        <v>35</v>
      </c>
      <c r="C386" s="70" t="s">
        <v>39</v>
      </c>
      <c r="D386" s="70" t="s">
        <v>34</v>
      </c>
      <c r="E386" s="70" t="s">
        <v>25</v>
      </c>
      <c r="F386" s="70" t="s">
        <v>55</v>
      </c>
      <c r="G386" s="70" t="s">
        <v>25</v>
      </c>
      <c r="H386" s="70" t="s">
        <v>37</v>
      </c>
      <c r="I386" s="78">
        <v>44621</v>
      </c>
      <c r="J386" s="79">
        <f>EFEITO!$J$386*EFEITO!$Y$386</f>
        <v>0</v>
      </c>
      <c r="K386" s="79">
        <f ca="1">EFEITO!$L$386*EFEITO!$Z$386</f>
        <v>71318.863661195195</v>
      </c>
      <c r="L386" s="79">
        <f>EFEITO!$N$386*EFEITO!$AA$386</f>
        <v>0</v>
      </c>
      <c r="M386" s="79">
        <f>$J$386-EFEITO!$K$386*EFEITO!$Y$386</f>
        <v>0</v>
      </c>
      <c r="N386" s="79">
        <f ca="1">$K$386-EFEITO!$M$386*EFEITO!$Z$386</f>
        <v>41222.303196170826</v>
      </c>
      <c r="O386" s="79">
        <f>$L$386-EFEITO!$O$386*EFEITO!$AA$386</f>
        <v>0</v>
      </c>
      <c r="P386" s="18"/>
      <c r="Q386" s="18"/>
      <c r="R386" s="18"/>
      <c r="S386" s="18"/>
      <c r="T386" s="18"/>
      <c r="U386" s="18"/>
      <c r="V386" s="18"/>
      <c r="W386" s="18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70" t="s">
        <v>65</v>
      </c>
      <c r="B387" s="70" t="s">
        <v>35</v>
      </c>
      <c r="C387" s="70" t="s">
        <v>39</v>
      </c>
      <c r="D387" s="70" t="s">
        <v>34</v>
      </c>
      <c r="E387" s="70" t="s">
        <v>25</v>
      </c>
      <c r="F387" s="70" t="s">
        <v>55</v>
      </c>
      <c r="G387" s="70" t="s">
        <v>25</v>
      </c>
      <c r="H387" s="70" t="s">
        <v>37</v>
      </c>
      <c r="I387" s="78">
        <v>44652</v>
      </c>
      <c r="J387" s="79">
        <f>EFEITO!$J$387*EFEITO!$Y$387</f>
        <v>0</v>
      </c>
      <c r="K387" s="79">
        <f ca="1">EFEITO!$L$387*EFEITO!$Z$387</f>
        <v>71318.863661195195</v>
      </c>
      <c r="L387" s="79">
        <f>EFEITO!$N$387*EFEITO!$AA$387</f>
        <v>0</v>
      </c>
      <c r="M387" s="79">
        <f>$J$387-EFEITO!$K$387*EFEITO!$Y$387</f>
        <v>0</v>
      </c>
      <c r="N387" s="79">
        <f ca="1">$K$387-EFEITO!$M$387*EFEITO!$Z$387</f>
        <v>41222.303196170826</v>
      </c>
      <c r="O387" s="79">
        <f>$L$387-EFEITO!$O$387*EFEITO!$AA$387</f>
        <v>0</v>
      </c>
      <c r="P387" s="18"/>
      <c r="Q387" s="18"/>
      <c r="R387" s="18"/>
      <c r="S387" s="18"/>
      <c r="T387" s="18"/>
      <c r="U387" s="18"/>
      <c r="V387" s="18"/>
      <c r="W387" s="18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70" t="s">
        <v>21</v>
      </c>
      <c r="B388" s="70" t="s">
        <v>35</v>
      </c>
      <c r="C388" s="70" t="s">
        <v>39</v>
      </c>
      <c r="D388" s="70" t="s">
        <v>34</v>
      </c>
      <c r="E388" s="70" t="s">
        <v>25</v>
      </c>
      <c r="F388" s="70" t="s">
        <v>55</v>
      </c>
      <c r="G388" s="70" t="s">
        <v>25</v>
      </c>
      <c r="H388" s="70" t="s">
        <v>37</v>
      </c>
      <c r="I388" s="78">
        <v>44682</v>
      </c>
      <c r="J388" s="79">
        <f>EFEITO!$J$388*EFEITO!$Y$388</f>
        <v>0</v>
      </c>
      <c r="K388" s="79">
        <f ca="1">EFEITO!$L$388*EFEITO!$Z$388</f>
        <v>235745.17389937959</v>
      </c>
      <c r="L388" s="79">
        <f>EFEITO!$N$388*EFEITO!$AA$388</f>
        <v>0</v>
      </c>
      <c r="M388" s="79">
        <f>$J$388-EFEITO!$K$388*EFEITO!$Y$388</f>
        <v>0</v>
      </c>
      <c r="N388" s="79">
        <f ca="1">$K$388-EFEITO!$M$388*EFEITO!$Z$388</f>
        <v>103492.13134182763</v>
      </c>
      <c r="O388" s="79">
        <f>$L$388-EFEITO!$O$388*EFEITO!$AA$388</f>
        <v>0</v>
      </c>
      <c r="P388" s="18"/>
      <c r="Q388" s="18"/>
      <c r="R388" s="18"/>
      <c r="S388" s="18"/>
      <c r="T388" s="18"/>
      <c r="U388" s="18"/>
      <c r="V388" s="18"/>
      <c r="W388" s="18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70" t="s">
        <v>21</v>
      </c>
      <c r="B389" s="70" t="s">
        <v>35</v>
      </c>
      <c r="C389" s="70" t="s">
        <v>39</v>
      </c>
      <c r="D389" s="70" t="s">
        <v>34</v>
      </c>
      <c r="E389" s="70" t="s">
        <v>25</v>
      </c>
      <c r="F389" s="70" t="s">
        <v>55</v>
      </c>
      <c r="G389" s="70" t="s">
        <v>25</v>
      </c>
      <c r="H389" s="70" t="s">
        <v>37</v>
      </c>
      <c r="I389" s="78">
        <v>44713</v>
      </c>
      <c r="J389" s="79">
        <f>EFEITO!$J$389*EFEITO!$Y$389</f>
        <v>0</v>
      </c>
      <c r="K389" s="79">
        <f ca="1">EFEITO!$L$389*EFEITO!$Z$389</f>
        <v>299402.21847548115</v>
      </c>
      <c r="L389" s="79">
        <f>EFEITO!$N$389*EFEITO!$AA$389</f>
        <v>0</v>
      </c>
      <c r="M389" s="79">
        <f>$J$389-EFEITO!$K$389*EFEITO!$Y$389</f>
        <v>0</v>
      </c>
      <c r="N389" s="79">
        <f ca="1">$K$389-EFEITO!$M$389*EFEITO!$Z$389</f>
        <v>132335.78056616266</v>
      </c>
      <c r="O389" s="79">
        <f>$L$389-EFEITO!$O$389*EFEITO!$AA$389</f>
        <v>0</v>
      </c>
      <c r="P389" s="18"/>
      <c r="Q389" s="18"/>
      <c r="R389" s="18"/>
      <c r="S389" s="18"/>
      <c r="T389" s="18"/>
      <c r="U389" s="18"/>
      <c r="V389" s="18"/>
      <c r="W389" s="18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70" t="s">
        <v>21</v>
      </c>
      <c r="B390" s="70" t="s">
        <v>35</v>
      </c>
      <c r="C390" s="70" t="s">
        <v>39</v>
      </c>
      <c r="D390" s="70" t="s">
        <v>34</v>
      </c>
      <c r="E390" s="70" t="s">
        <v>25</v>
      </c>
      <c r="F390" s="70" t="s">
        <v>25</v>
      </c>
      <c r="G390" s="70" t="s">
        <v>25</v>
      </c>
      <c r="H390" s="70" t="s">
        <v>38</v>
      </c>
      <c r="I390" s="78">
        <v>44378</v>
      </c>
      <c r="J390" s="79">
        <f>EFEITO!$J$390*EFEITO!$Y$390</f>
        <v>0</v>
      </c>
      <c r="K390" s="79">
        <f ca="1">EFEITO!$L$390*EFEITO!$Z$390</f>
        <v>630426.0878059105</v>
      </c>
      <c r="L390" s="79">
        <f>EFEITO!$N$390*EFEITO!$AA$390</f>
        <v>1350622.6578783675</v>
      </c>
      <c r="M390" s="79">
        <f>$J$390-EFEITO!$K$390*EFEITO!$Y$390</f>
        <v>0</v>
      </c>
      <c r="N390" s="79">
        <f ca="1">$K$390-EFEITO!$M$390*EFEITO!$Z$390</f>
        <v>0</v>
      </c>
      <c r="O390" s="79">
        <f>$L$390-EFEITO!$O$390*EFEITO!$AA$390</f>
        <v>0</v>
      </c>
      <c r="P390" s="18"/>
      <c r="Q390" s="18"/>
      <c r="R390" s="18"/>
      <c r="S390" s="18"/>
      <c r="T390" s="18"/>
      <c r="U390" s="18"/>
      <c r="V390" s="18"/>
      <c r="W390" s="18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70" t="s">
        <v>27</v>
      </c>
      <c r="B391" s="70" t="s">
        <v>35</v>
      </c>
      <c r="C391" s="70" t="s">
        <v>39</v>
      </c>
      <c r="D391" s="70" t="s">
        <v>34</v>
      </c>
      <c r="E391" s="70" t="s">
        <v>25</v>
      </c>
      <c r="F391" s="70" t="s">
        <v>25</v>
      </c>
      <c r="G391" s="70" t="s">
        <v>25</v>
      </c>
      <c r="H391" s="70" t="s">
        <v>38</v>
      </c>
      <c r="I391" s="78">
        <v>44378</v>
      </c>
      <c r="J391" s="79">
        <f>EFEITO!$J$391*EFEITO!$Y$391</f>
        <v>0</v>
      </c>
      <c r="K391" s="79">
        <f ca="1">EFEITO!$L$391*EFEITO!$Z$391</f>
        <v>-50330.563060004511</v>
      </c>
      <c r="L391" s="79">
        <f>EFEITO!$N$391*EFEITO!$AA$391</f>
        <v>-107828.02324885128</v>
      </c>
      <c r="M391" s="79">
        <f>$J$391-EFEITO!$K$391*EFEITO!$Y$391</f>
        <v>0</v>
      </c>
      <c r="N391" s="79">
        <f ca="1">$K$391-EFEITO!$M$391*EFEITO!$Z$391</f>
        <v>0</v>
      </c>
      <c r="O391" s="79">
        <f>$L$391-EFEITO!$O$391*EFEITO!$AA$391</f>
        <v>0</v>
      </c>
      <c r="P391" s="18"/>
      <c r="Q391" s="18"/>
      <c r="R391" s="18"/>
      <c r="S391" s="18"/>
      <c r="T391" s="18"/>
      <c r="U391" s="18"/>
      <c r="V391" s="18"/>
      <c r="W391" s="18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70" t="s">
        <v>28</v>
      </c>
      <c r="B392" s="70" t="s">
        <v>35</v>
      </c>
      <c r="C392" s="70" t="s">
        <v>39</v>
      </c>
      <c r="D392" s="70" t="s">
        <v>34</v>
      </c>
      <c r="E392" s="70" t="s">
        <v>25</v>
      </c>
      <c r="F392" s="70" t="s">
        <v>25</v>
      </c>
      <c r="G392" s="70" t="s">
        <v>25</v>
      </c>
      <c r="H392" s="70" t="s">
        <v>38</v>
      </c>
      <c r="I392" s="78">
        <v>44378</v>
      </c>
      <c r="J392" s="79">
        <f>EFEITO!$J$392*EFEITO!$Y$392</f>
        <v>0</v>
      </c>
      <c r="K392" s="79">
        <f ca="1">EFEITO!$L$392*EFEITO!$Z$392</f>
        <v>29267.776615610303</v>
      </c>
      <c r="L392" s="79">
        <f>EFEITO!$N$392*EFEITO!$AA$392</f>
        <v>62703.182827256271</v>
      </c>
      <c r="M392" s="79">
        <f>$J$392-EFEITO!$K$392*EFEITO!$Y$392</f>
        <v>0</v>
      </c>
      <c r="N392" s="79">
        <f ca="1">$K$392-EFEITO!$M$392*EFEITO!$Z$392</f>
        <v>0</v>
      </c>
      <c r="O392" s="79">
        <f>$L$392-EFEITO!$O$392*EFEITO!$AA$392</f>
        <v>0</v>
      </c>
      <c r="P392" s="18"/>
      <c r="Q392" s="18"/>
      <c r="R392" s="18"/>
      <c r="S392" s="18"/>
      <c r="T392" s="18"/>
      <c r="U392" s="18"/>
      <c r="V392" s="18"/>
      <c r="W392" s="18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70" t="s">
        <v>21</v>
      </c>
      <c r="B393" s="70" t="s">
        <v>35</v>
      </c>
      <c r="C393" s="70" t="s">
        <v>39</v>
      </c>
      <c r="D393" s="70" t="s">
        <v>34</v>
      </c>
      <c r="E393" s="70" t="s">
        <v>25</v>
      </c>
      <c r="F393" s="70" t="s">
        <v>25</v>
      </c>
      <c r="G393" s="70" t="s">
        <v>25</v>
      </c>
      <c r="H393" s="70" t="s">
        <v>38</v>
      </c>
      <c r="I393" s="78">
        <v>44409</v>
      </c>
      <c r="J393" s="79">
        <f>EFEITO!$J$393*EFEITO!$Y$393</f>
        <v>0</v>
      </c>
      <c r="K393" s="79">
        <f ca="1">EFEITO!$L$393*EFEITO!$Z$393</f>
        <v>590555.9667915114</v>
      </c>
      <c r="L393" s="79">
        <f>EFEITO!$N$393*EFEITO!$AA$393</f>
        <v>1265205.0492863536</v>
      </c>
      <c r="M393" s="79">
        <f>$J$393-EFEITO!$K$393*EFEITO!$Y$393</f>
        <v>0</v>
      </c>
      <c r="N393" s="79">
        <f ca="1">$K$393-EFEITO!$M$393*EFEITO!$Z$393</f>
        <v>0</v>
      </c>
      <c r="O393" s="79">
        <f>$L$393-EFEITO!$O$393*EFEITO!$AA$393</f>
        <v>0</v>
      </c>
      <c r="P393" s="18"/>
      <c r="Q393" s="18"/>
      <c r="R393" s="18"/>
      <c r="S393" s="18"/>
      <c r="T393" s="18"/>
      <c r="U393" s="18"/>
      <c r="V393" s="18"/>
      <c r="W393" s="18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70" t="s">
        <v>28</v>
      </c>
      <c r="B394" s="70" t="s">
        <v>35</v>
      </c>
      <c r="C394" s="70" t="s">
        <v>39</v>
      </c>
      <c r="D394" s="70" t="s">
        <v>34</v>
      </c>
      <c r="E394" s="70" t="s">
        <v>25</v>
      </c>
      <c r="F394" s="70" t="s">
        <v>25</v>
      </c>
      <c r="G394" s="70" t="s">
        <v>25</v>
      </c>
      <c r="H394" s="70" t="s">
        <v>38</v>
      </c>
      <c r="I394" s="78">
        <v>44409</v>
      </c>
      <c r="J394" s="79">
        <f>EFEITO!$J$394*EFEITO!$Y$394</f>
        <v>0</v>
      </c>
      <c r="K394" s="79">
        <f ca="1">EFEITO!$L$394*EFEITO!$Z$394</f>
        <v>30172.103476574572</v>
      </c>
      <c r="L394" s="79">
        <f>EFEITO!$N$394*EFEITO!$AA$394</f>
        <v>64640.609548915658</v>
      </c>
      <c r="M394" s="79">
        <f>$J$394-EFEITO!$K$394*EFEITO!$Y$394</f>
        <v>0</v>
      </c>
      <c r="N394" s="79">
        <f ca="1">$K$394-EFEITO!$M$394*EFEITO!$Z$394</f>
        <v>0</v>
      </c>
      <c r="O394" s="79">
        <f>$L$394-EFEITO!$O$394*EFEITO!$AA$394</f>
        <v>0</v>
      </c>
      <c r="P394" s="18"/>
      <c r="Q394" s="18"/>
      <c r="R394" s="18"/>
      <c r="S394" s="18"/>
      <c r="T394" s="18"/>
      <c r="U394" s="18"/>
      <c r="V394" s="18"/>
      <c r="W394" s="18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70" t="s">
        <v>21</v>
      </c>
      <c r="B395" s="70" t="s">
        <v>35</v>
      </c>
      <c r="C395" s="70" t="s">
        <v>39</v>
      </c>
      <c r="D395" s="70" t="s">
        <v>34</v>
      </c>
      <c r="E395" s="70" t="s">
        <v>25</v>
      </c>
      <c r="F395" s="70" t="s">
        <v>25</v>
      </c>
      <c r="G395" s="70" t="s">
        <v>25</v>
      </c>
      <c r="H395" s="70" t="s">
        <v>38</v>
      </c>
      <c r="I395" s="78">
        <v>44440</v>
      </c>
      <c r="J395" s="79">
        <f>EFEITO!$J$395*EFEITO!$Y$395</f>
        <v>0</v>
      </c>
      <c r="K395" s="79">
        <f ca="1">EFEITO!$L$395*EFEITO!$Z$395</f>
        <v>615250.49142754404</v>
      </c>
      <c r="L395" s="79">
        <f>EFEITO!$N$395*EFEITO!$AA$395</f>
        <v>1318110.5129784425</v>
      </c>
      <c r="M395" s="79">
        <f>$J$395-EFEITO!$K$395*EFEITO!$Y$395</f>
        <v>0</v>
      </c>
      <c r="N395" s="79">
        <f ca="1">$K$395-EFEITO!$M$395*EFEITO!$Z$395</f>
        <v>0</v>
      </c>
      <c r="O395" s="79">
        <f>$L$395-EFEITO!$O$395*EFEITO!$AA$395</f>
        <v>0</v>
      </c>
      <c r="P395" s="18"/>
      <c r="Q395" s="18"/>
      <c r="R395" s="18"/>
      <c r="S395" s="18"/>
      <c r="T395" s="18"/>
      <c r="U395" s="18"/>
      <c r="V395" s="18"/>
      <c r="W395" s="18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70" t="s">
        <v>28</v>
      </c>
      <c r="B396" s="70" t="s">
        <v>35</v>
      </c>
      <c r="C396" s="70" t="s">
        <v>39</v>
      </c>
      <c r="D396" s="70" t="s">
        <v>34</v>
      </c>
      <c r="E396" s="70" t="s">
        <v>25</v>
      </c>
      <c r="F396" s="70" t="s">
        <v>25</v>
      </c>
      <c r="G396" s="70" t="s">
        <v>25</v>
      </c>
      <c r="H396" s="70" t="s">
        <v>38</v>
      </c>
      <c r="I396" s="78">
        <v>44440</v>
      </c>
      <c r="J396" s="79">
        <f>EFEITO!$J$396*EFEITO!$Y$396</f>
        <v>0</v>
      </c>
      <c r="K396" s="79">
        <f ca="1">EFEITO!$L$396*EFEITO!$Z$396</f>
        <v>30141.484389935948</v>
      </c>
      <c r="L396" s="79">
        <f>EFEITO!$N$396*EFEITO!$AA$396</f>
        <v>64575.011324194988</v>
      </c>
      <c r="M396" s="79">
        <f>$J$396-EFEITO!$K$396*EFEITO!$Y$396</f>
        <v>0</v>
      </c>
      <c r="N396" s="79">
        <f ca="1">$K$396-EFEITO!$M$396*EFEITO!$Z$396</f>
        <v>0</v>
      </c>
      <c r="O396" s="79">
        <f>$L$396-EFEITO!$O$396*EFEITO!$AA$396</f>
        <v>0</v>
      </c>
      <c r="P396" s="18"/>
      <c r="Q396" s="18"/>
      <c r="R396" s="18"/>
      <c r="S396" s="18"/>
      <c r="T396" s="18"/>
      <c r="U396" s="18"/>
      <c r="V396" s="18"/>
      <c r="W396" s="18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70" t="s">
        <v>21</v>
      </c>
      <c r="B397" s="70" t="s">
        <v>35</v>
      </c>
      <c r="C397" s="70" t="s">
        <v>39</v>
      </c>
      <c r="D397" s="70" t="s">
        <v>34</v>
      </c>
      <c r="E397" s="70" t="s">
        <v>25</v>
      </c>
      <c r="F397" s="70" t="s">
        <v>25</v>
      </c>
      <c r="G397" s="70" t="s">
        <v>25</v>
      </c>
      <c r="H397" s="70" t="s">
        <v>38</v>
      </c>
      <c r="I397" s="78">
        <v>44470</v>
      </c>
      <c r="J397" s="79">
        <f>EFEITO!$J$397*EFEITO!$Y$397</f>
        <v>0</v>
      </c>
      <c r="K397" s="79">
        <f ca="1">EFEITO!$L$397*EFEITO!$Z$397</f>
        <v>605543.68593433988</v>
      </c>
      <c r="L397" s="79">
        <f>EFEITO!$N$397*EFEITO!$AA$397</f>
        <v>1297314.6866503037</v>
      </c>
      <c r="M397" s="79">
        <f>$J$397-EFEITO!$K$397*EFEITO!$Y$397</f>
        <v>0</v>
      </c>
      <c r="N397" s="79">
        <f ca="1">$K$397-EFEITO!$M$397*EFEITO!$Z$397</f>
        <v>0</v>
      </c>
      <c r="O397" s="79">
        <f>$L$397-EFEITO!$O$397*EFEITO!$AA$397</f>
        <v>0</v>
      </c>
      <c r="P397" s="18"/>
      <c r="Q397" s="18"/>
      <c r="R397" s="18"/>
      <c r="S397" s="18"/>
      <c r="T397" s="18"/>
      <c r="U397" s="18"/>
      <c r="V397" s="18"/>
      <c r="W397" s="18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70" t="s">
        <v>28</v>
      </c>
      <c r="B398" s="70" t="s">
        <v>35</v>
      </c>
      <c r="C398" s="70" t="s">
        <v>39</v>
      </c>
      <c r="D398" s="70" t="s">
        <v>34</v>
      </c>
      <c r="E398" s="70" t="s">
        <v>25</v>
      </c>
      <c r="F398" s="70" t="s">
        <v>25</v>
      </c>
      <c r="G398" s="70" t="s">
        <v>25</v>
      </c>
      <c r="H398" s="70" t="s">
        <v>38</v>
      </c>
      <c r="I398" s="78">
        <v>44470</v>
      </c>
      <c r="J398" s="79">
        <f>EFEITO!$J$398*EFEITO!$Y$398</f>
        <v>0</v>
      </c>
      <c r="K398" s="79">
        <f ca="1">EFEITO!$L$398*EFEITO!$Z$398</f>
        <v>28223.86002129957</v>
      </c>
      <c r="L398" s="79">
        <f>EFEITO!$N$398*EFEITO!$AA$398</f>
        <v>60466.699546371841</v>
      </c>
      <c r="M398" s="79">
        <f>$J$398-EFEITO!$K$398*EFEITO!$Y$398</f>
        <v>0</v>
      </c>
      <c r="N398" s="79">
        <f ca="1">$K$398-EFEITO!$M$398*EFEITO!$Z$398</f>
        <v>0</v>
      </c>
      <c r="O398" s="79">
        <f>$L$398-EFEITO!$O$398*EFEITO!$AA$398</f>
        <v>0</v>
      </c>
      <c r="P398" s="18"/>
      <c r="Q398" s="18"/>
      <c r="R398" s="18"/>
      <c r="S398" s="18"/>
      <c r="T398" s="18"/>
      <c r="U398" s="18"/>
      <c r="V398" s="18"/>
      <c r="W398" s="18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70" t="s">
        <v>21</v>
      </c>
      <c r="B399" s="70" t="s">
        <v>35</v>
      </c>
      <c r="C399" s="70" t="s">
        <v>39</v>
      </c>
      <c r="D399" s="70" t="s">
        <v>34</v>
      </c>
      <c r="E399" s="70" t="s">
        <v>25</v>
      </c>
      <c r="F399" s="70" t="s">
        <v>25</v>
      </c>
      <c r="G399" s="70" t="s">
        <v>25</v>
      </c>
      <c r="H399" s="70" t="s">
        <v>38</v>
      </c>
      <c r="I399" s="78">
        <v>44501</v>
      </c>
      <c r="J399" s="79">
        <f>EFEITO!$J$399*EFEITO!$Y$399</f>
        <v>0</v>
      </c>
      <c r="K399" s="79">
        <f ca="1">EFEITO!$L$399*EFEITO!$Z$399</f>
        <v>465108.92129952129</v>
      </c>
      <c r="L399" s="79">
        <f>EFEITO!$N$399*EFEITO!$AA$399</f>
        <v>996447.7353321393</v>
      </c>
      <c r="M399" s="79">
        <f>$J$399-EFEITO!$K$399*EFEITO!$Y$399</f>
        <v>0</v>
      </c>
      <c r="N399" s="79">
        <f ca="1">$K$399-EFEITO!$M$399*EFEITO!$Z$399</f>
        <v>0</v>
      </c>
      <c r="O399" s="79">
        <f>$L$399-EFEITO!$O$399*EFEITO!$AA$399</f>
        <v>0</v>
      </c>
      <c r="P399" s="18"/>
      <c r="Q399" s="18"/>
      <c r="R399" s="18"/>
      <c r="S399" s="18"/>
      <c r="T399" s="18"/>
      <c r="U399" s="18"/>
      <c r="V399" s="18"/>
      <c r="W399" s="18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70" t="s">
        <v>28</v>
      </c>
      <c r="B400" s="70" t="s">
        <v>35</v>
      </c>
      <c r="C400" s="70" t="s">
        <v>39</v>
      </c>
      <c r="D400" s="70" t="s">
        <v>34</v>
      </c>
      <c r="E400" s="70" t="s">
        <v>25</v>
      </c>
      <c r="F400" s="70" t="s">
        <v>25</v>
      </c>
      <c r="G400" s="70" t="s">
        <v>25</v>
      </c>
      <c r="H400" s="70" t="s">
        <v>38</v>
      </c>
      <c r="I400" s="78">
        <v>44501</v>
      </c>
      <c r="J400" s="79">
        <f>EFEITO!$J$400*EFEITO!$Y$400</f>
        <v>0</v>
      </c>
      <c r="K400" s="79">
        <f ca="1">EFEITO!$L$400*EFEITO!$Z$400</f>
        <v>27337.016566301161</v>
      </c>
      <c r="L400" s="79">
        <f>EFEITO!$N$400*EFEITO!$AA$400</f>
        <v>58566.729212846003</v>
      </c>
      <c r="M400" s="79">
        <f>$J$400-EFEITO!$K$400*EFEITO!$Y$400</f>
        <v>0</v>
      </c>
      <c r="N400" s="79">
        <f ca="1">$K$400-EFEITO!$M$400*EFEITO!$Z$400</f>
        <v>0</v>
      </c>
      <c r="O400" s="79">
        <f>$L$400-EFEITO!$O$400*EFEITO!$AA$400</f>
        <v>0</v>
      </c>
      <c r="P400" s="18"/>
      <c r="Q400" s="18"/>
      <c r="R400" s="18"/>
      <c r="S400" s="18"/>
      <c r="T400" s="18"/>
      <c r="U400" s="18"/>
      <c r="V400" s="18"/>
      <c r="W400" s="18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70" t="s">
        <v>21</v>
      </c>
      <c r="B401" s="70" t="s">
        <v>35</v>
      </c>
      <c r="C401" s="70" t="s">
        <v>39</v>
      </c>
      <c r="D401" s="70" t="s">
        <v>34</v>
      </c>
      <c r="E401" s="70" t="s">
        <v>25</v>
      </c>
      <c r="F401" s="70" t="s">
        <v>25</v>
      </c>
      <c r="G401" s="70" t="s">
        <v>25</v>
      </c>
      <c r="H401" s="70" t="s">
        <v>38</v>
      </c>
      <c r="I401" s="78">
        <v>44531</v>
      </c>
      <c r="J401" s="79">
        <f>EFEITO!$J$401*EFEITO!$Y$401</f>
        <v>0</v>
      </c>
      <c r="K401" s="79">
        <f ca="1">EFEITO!$L$401*EFEITO!$Z$401</f>
        <v>436924.65332982695</v>
      </c>
      <c r="L401" s="79">
        <f>EFEITO!$N$401*EFEITO!$AA$401</f>
        <v>936065.85765942442</v>
      </c>
      <c r="M401" s="79">
        <f>$J$401-EFEITO!$K$401*EFEITO!$Y$401</f>
        <v>0</v>
      </c>
      <c r="N401" s="79">
        <f ca="1">$K$401-EFEITO!$M$401*EFEITO!$Z$401</f>
        <v>0</v>
      </c>
      <c r="O401" s="79">
        <f>$L$401-EFEITO!$O$401*EFEITO!$AA$401</f>
        <v>0</v>
      </c>
      <c r="P401" s="18"/>
      <c r="Q401" s="18"/>
      <c r="R401" s="18"/>
      <c r="S401" s="18"/>
      <c r="T401" s="18"/>
      <c r="U401" s="18"/>
      <c r="V401" s="18"/>
      <c r="W401" s="18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70" t="s">
        <v>21</v>
      </c>
      <c r="B402" s="70" t="s">
        <v>35</v>
      </c>
      <c r="C402" s="70" t="s">
        <v>39</v>
      </c>
      <c r="D402" s="70" t="s">
        <v>34</v>
      </c>
      <c r="E402" s="70" t="s">
        <v>25</v>
      </c>
      <c r="F402" s="70" t="s">
        <v>25</v>
      </c>
      <c r="G402" s="70" t="s">
        <v>25</v>
      </c>
      <c r="H402" s="70" t="s">
        <v>38</v>
      </c>
      <c r="I402" s="78">
        <v>44562</v>
      </c>
      <c r="J402" s="79">
        <f>EFEITO!$J$402*EFEITO!$Y$402</f>
        <v>0</v>
      </c>
      <c r="K402" s="79">
        <f ca="1">EFEITO!$L$402*EFEITO!$Z$402</f>
        <v>383298.8845168284</v>
      </c>
      <c r="L402" s="79">
        <f>EFEITO!$N$402*EFEITO!$AA$402</f>
        <v>821178.19706616318</v>
      </c>
      <c r="M402" s="79">
        <f>$J$402-EFEITO!$K$402*EFEITO!$Y$402</f>
        <v>0</v>
      </c>
      <c r="N402" s="79">
        <f ca="1">$K$402-EFEITO!$M$402*EFEITO!$Z$402</f>
        <v>0</v>
      </c>
      <c r="O402" s="79">
        <f>$L$402-EFEITO!$O$402*EFEITO!$AA$402</f>
        <v>0</v>
      </c>
      <c r="P402" s="18"/>
      <c r="Q402" s="18"/>
      <c r="R402" s="18"/>
      <c r="S402" s="18"/>
      <c r="T402" s="18"/>
      <c r="U402" s="18"/>
      <c r="V402" s="18"/>
      <c r="W402" s="18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70" t="s">
        <v>28</v>
      </c>
      <c r="B403" s="70" t="s">
        <v>35</v>
      </c>
      <c r="C403" s="70" t="s">
        <v>39</v>
      </c>
      <c r="D403" s="70" t="s">
        <v>34</v>
      </c>
      <c r="E403" s="70" t="s">
        <v>25</v>
      </c>
      <c r="F403" s="70" t="s">
        <v>25</v>
      </c>
      <c r="G403" s="70" t="s">
        <v>25</v>
      </c>
      <c r="H403" s="70" t="s">
        <v>38</v>
      </c>
      <c r="I403" s="78">
        <v>44562</v>
      </c>
      <c r="J403" s="79">
        <f>EFEITO!$J$403*EFEITO!$Y$403</f>
        <v>0</v>
      </c>
      <c r="K403" s="79">
        <f ca="1">EFEITO!$L$403*EFEITO!$Z$403</f>
        <v>25437.245622804523</v>
      </c>
      <c r="L403" s="79">
        <f>EFEITO!$N$403*EFEITO!$AA$403</f>
        <v>54496.666550947593</v>
      </c>
      <c r="M403" s="79">
        <f>$J$403-EFEITO!$K$403*EFEITO!$Y$403</f>
        <v>0</v>
      </c>
      <c r="N403" s="79">
        <f ca="1">$K$403-EFEITO!$M$403*EFEITO!$Z$403</f>
        <v>0</v>
      </c>
      <c r="O403" s="79">
        <f>$L$403-EFEITO!$O$403*EFEITO!$AA$403</f>
        <v>0</v>
      </c>
      <c r="P403" s="18"/>
      <c r="Q403" s="18"/>
      <c r="R403" s="18"/>
      <c r="S403" s="18"/>
      <c r="T403" s="18"/>
      <c r="U403" s="18"/>
      <c r="V403" s="18"/>
      <c r="W403" s="18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70" t="s">
        <v>21</v>
      </c>
      <c r="B404" s="70" t="s">
        <v>35</v>
      </c>
      <c r="C404" s="70" t="s">
        <v>39</v>
      </c>
      <c r="D404" s="70" t="s">
        <v>34</v>
      </c>
      <c r="E404" s="70" t="s">
        <v>25</v>
      </c>
      <c r="F404" s="70" t="s">
        <v>25</v>
      </c>
      <c r="G404" s="70" t="s">
        <v>25</v>
      </c>
      <c r="H404" s="70" t="s">
        <v>38</v>
      </c>
      <c r="I404" s="78">
        <v>44593</v>
      </c>
      <c r="J404" s="79">
        <f>EFEITO!$J$404*EFEITO!$Y$404</f>
        <v>0</v>
      </c>
      <c r="K404" s="79">
        <f ca="1">EFEITO!$L$404*EFEITO!$Z$404</f>
        <v>377284.31535019225</v>
      </c>
      <c r="L404" s="79">
        <f>EFEITO!$N$404*EFEITO!$AA$404</f>
        <v>808292.60500237718</v>
      </c>
      <c r="M404" s="79">
        <f>$J$404-EFEITO!$K$404*EFEITO!$Y$404</f>
        <v>0</v>
      </c>
      <c r="N404" s="79">
        <f ca="1">$K$404-EFEITO!$M$404*EFEITO!$Z$404</f>
        <v>0</v>
      </c>
      <c r="O404" s="79">
        <f>$L$404-EFEITO!$O$404*EFEITO!$AA$404</f>
        <v>0</v>
      </c>
      <c r="P404" s="18"/>
      <c r="Q404" s="18"/>
      <c r="R404" s="18"/>
      <c r="S404" s="18"/>
      <c r="T404" s="18"/>
      <c r="U404" s="18"/>
      <c r="V404" s="18"/>
      <c r="W404" s="18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70" t="s">
        <v>27</v>
      </c>
      <c r="B405" s="70" t="s">
        <v>35</v>
      </c>
      <c r="C405" s="70" t="s">
        <v>39</v>
      </c>
      <c r="D405" s="70" t="s">
        <v>34</v>
      </c>
      <c r="E405" s="70" t="s">
        <v>25</v>
      </c>
      <c r="F405" s="70" t="s">
        <v>25</v>
      </c>
      <c r="G405" s="70" t="s">
        <v>25</v>
      </c>
      <c r="H405" s="70" t="s">
        <v>38</v>
      </c>
      <c r="I405" s="78">
        <v>44593</v>
      </c>
      <c r="J405" s="79">
        <f>EFEITO!$J$405*EFEITO!$Y$405</f>
        <v>0</v>
      </c>
      <c r="K405" s="79">
        <f ca="1">EFEITO!$L$405*EFEITO!$Z$405</f>
        <v>-125.52900473900472</v>
      </c>
      <c r="L405" s="79">
        <f>EFEITO!$N$405*EFEITO!$AA$405</f>
        <v>-268.93290315996217</v>
      </c>
      <c r="M405" s="79">
        <f>$J$405-EFEITO!$K$405*EFEITO!$Y$405</f>
        <v>0</v>
      </c>
      <c r="N405" s="79">
        <f ca="1">$K$405-EFEITO!$M$405*EFEITO!$Z$405</f>
        <v>0</v>
      </c>
      <c r="O405" s="79">
        <f>$L$405-EFEITO!$O$405*EFEITO!$AA$405</f>
        <v>0</v>
      </c>
      <c r="P405" s="18"/>
      <c r="Q405" s="18"/>
      <c r="R405" s="18"/>
      <c r="S405" s="18"/>
      <c r="T405" s="18"/>
      <c r="U405" s="18"/>
      <c r="V405" s="18"/>
      <c r="W405" s="18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70" t="s">
        <v>28</v>
      </c>
      <c r="B406" s="70" t="s">
        <v>35</v>
      </c>
      <c r="C406" s="70" t="s">
        <v>39</v>
      </c>
      <c r="D406" s="70" t="s">
        <v>34</v>
      </c>
      <c r="E406" s="70" t="s">
        <v>25</v>
      </c>
      <c r="F406" s="70" t="s">
        <v>25</v>
      </c>
      <c r="G406" s="70" t="s">
        <v>25</v>
      </c>
      <c r="H406" s="70" t="s">
        <v>38</v>
      </c>
      <c r="I406" s="78">
        <v>44593</v>
      </c>
      <c r="J406" s="79">
        <f>EFEITO!$J$406*EFEITO!$Y$406</f>
        <v>0</v>
      </c>
      <c r="K406" s="79">
        <f ca="1">EFEITO!$L$406*EFEITO!$Z$406</f>
        <v>34815.751603983044</v>
      </c>
      <c r="L406" s="79">
        <f>EFEITO!$N$406*EFEITO!$AA$406</f>
        <v>74589.145146356299</v>
      </c>
      <c r="M406" s="79">
        <f>$J$406-EFEITO!$K$406*EFEITO!$Y$406</f>
        <v>0</v>
      </c>
      <c r="N406" s="79">
        <f ca="1">$K$406-EFEITO!$M$406*EFEITO!$Z$406</f>
        <v>0</v>
      </c>
      <c r="O406" s="79">
        <f>$L$406-EFEITO!$O$406*EFEITO!$AA$406</f>
        <v>0</v>
      </c>
      <c r="P406" s="18"/>
      <c r="Q406" s="18"/>
      <c r="R406" s="18"/>
      <c r="S406" s="18"/>
      <c r="T406" s="18"/>
      <c r="U406" s="18"/>
      <c r="V406" s="18"/>
      <c r="W406" s="18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70" t="s">
        <v>21</v>
      </c>
      <c r="B407" s="70" t="s">
        <v>35</v>
      </c>
      <c r="C407" s="70" t="s">
        <v>39</v>
      </c>
      <c r="D407" s="70" t="s">
        <v>34</v>
      </c>
      <c r="E407" s="70" t="s">
        <v>25</v>
      </c>
      <c r="F407" s="70" t="s">
        <v>25</v>
      </c>
      <c r="G407" s="70" t="s">
        <v>25</v>
      </c>
      <c r="H407" s="70" t="s">
        <v>38</v>
      </c>
      <c r="I407" s="78">
        <v>44621</v>
      </c>
      <c r="J407" s="79">
        <f>EFEITO!$J$407*EFEITO!$Y$407</f>
        <v>0</v>
      </c>
      <c r="K407" s="79">
        <f ca="1">EFEITO!$L$407*EFEITO!$Z$407</f>
        <v>389185.61205888895</v>
      </c>
      <c r="L407" s="79">
        <f>EFEITO!$N$407*EFEITO!$AA$407</f>
        <v>833789.90167809441</v>
      </c>
      <c r="M407" s="79">
        <f>$J$407-EFEITO!$K$407*EFEITO!$Y$407</f>
        <v>0</v>
      </c>
      <c r="N407" s="79">
        <f ca="1">$K$407-EFEITO!$M$407*EFEITO!$Z$407</f>
        <v>0</v>
      </c>
      <c r="O407" s="79">
        <f>$L$407-EFEITO!$O$407*EFEITO!$AA$407</f>
        <v>0</v>
      </c>
      <c r="P407" s="18"/>
      <c r="Q407" s="18"/>
      <c r="R407" s="18"/>
      <c r="S407" s="18"/>
      <c r="T407" s="18"/>
      <c r="U407" s="18"/>
      <c r="V407" s="18"/>
      <c r="W407" s="18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70" t="s">
        <v>28</v>
      </c>
      <c r="B408" s="70" t="s">
        <v>35</v>
      </c>
      <c r="C408" s="70" t="s">
        <v>39</v>
      </c>
      <c r="D408" s="70" t="s">
        <v>34</v>
      </c>
      <c r="E408" s="70" t="s">
        <v>25</v>
      </c>
      <c r="F408" s="70" t="s">
        <v>25</v>
      </c>
      <c r="G408" s="70" t="s">
        <v>25</v>
      </c>
      <c r="H408" s="70" t="s">
        <v>38</v>
      </c>
      <c r="I408" s="78">
        <v>44621</v>
      </c>
      <c r="J408" s="79">
        <f>EFEITO!$J$408*EFEITO!$Y$408</f>
        <v>0</v>
      </c>
      <c r="K408" s="79">
        <f ca="1">EFEITO!$L$408*EFEITO!$Z$408</f>
        <v>38224.923262532255</v>
      </c>
      <c r="L408" s="79">
        <f>EFEITO!$N$408*EFEITO!$AA$408</f>
        <v>81892.942650451543</v>
      </c>
      <c r="M408" s="79">
        <f>$J$408-EFEITO!$K$408*EFEITO!$Y$408</f>
        <v>0</v>
      </c>
      <c r="N408" s="79">
        <f ca="1">$K$408-EFEITO!$M$408*EFEITO!$Z$408</f>
        <v>0</v>
      </c>
      <c r="O408" s="79">
        <f>$L$408-EFEITO!$O$408*EFEITO!$AA$408</f>
        <v>0</v>
      </c>
      <c r="P408" s="18"/>
      <c r="Q408" s="18"/>
      <c r="R408" s="18"/>
      <c r="S408" s="18"/>
      <c r="T408" s="18"/>
      <c r="U408" s="18"/>
      <c r="V408" s="18"/>
      <c r="W408" s="18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70" t="s">
        <v>21</v>
      </c>
      <c r="B409" s="70" t="s">
        <v>35</v>
      </c>
      <c r="C409" s="70" t="s">
        <v>39</v>
      </c>
      <c r="D409" s="70" t="s">
        <v>34</v>
      </c>
      <c r="E409" s="70" t="s">
        <v>25</v>
      </c>
      <c r="F409" s="70" t="s">
        <v>25</v>
      </c>
      <c r="G409" s="70" t="s">
        <v>25</v>
      </c>
      <c r="H409" s="70" t="s">
        <v>38</v>
      </c>
      <c r="I409" s="78">
        <v>44652</v>
      </c>
      <c r="J409" s="79">
        <f>EFEITO!$J$409*EFEITO!$Y$409</f>
        <v>0</v>
      </c>
      <c r="K409" s="79">
        <f ca="1">EFEITO!$L$409*EFEITO!$Z$409</f>
        <v>361721.67891594669</v>
      </c>
      <c r="L409" s="79">
        <f>EFEITO!$N$409*EFEITO!$AA$409</f>
        <v>774951.26683287136</v>
      </c>
      <c r="M409" s="79">
        <f>$J$409-EFEITO!$K$409*EFEITO!$Y$409</f>
        <v>0</v>
      </c>
      <c r="N409" s="79">
        <f ca="1">$K$409-EFEITO!$M$409*EFEITO!$Z$409</f>
        <v>0</v>
      </c>
      <c r="O409" s="79">
        <f>$L$409-EFEITO!$O$409*EFEITO!$AA$409</f>
        <v>0</v>
      </c>
      <c r="P409" s="18"/>
      <c r="Q409" s="18"/>
      <c r="R409" s="18"/>
      <c r="S409" s="18"/>
      <c r="T409" s="18"/>
      <c r="U409" s="18"/>
      <c r="V409" s="18"/>
      <c r="W409" s="18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70" t="s">
        <v>27</v>
      </c>
      <c r="B410" s="70" t="s">
        <v>35</v>
      </c>
      <c r="C410" s="70" t="s">
        <v>39</v>
      </c>
      <c r="D410" s="70" t="s">
        <v>34</v>
      </c>
      <c r="E410" s="70" t="s">
        <v>25</v>
      </c>
      <c r="F410" s="70" t="s">
        <v>25</v>
      </c>
      <c r="G410" s="70" t="s">
        <v>25</v>
      </c>
      <c r="H410" s="70" t="s">
        <v>38</v>
      </c>
      <c r="I410" s="78">
        <v>44652</v>
      </c>
      <c r="J410" s="79">
        <f>EFEITO!$J$410*EFEITO!$Y$410</f>
        <v>0</v>
      </c>
      <c r="K410" s="79">
        <f ca="1">EFEITO!$L$410*EFEITO!$Z$410</f>
        <v>-2310.2147121237317</v>
      </c>
      <c r="L410" s="79">
        <f>EFEITO!$N$410*EFEITO!$AA$410</f>
        <v>-4949.3959642718464</v>
      </c>
      <c r="M410" s="79">
        <f>$J$410-EFEITO!$K$410*EFEITO!$Y$410</f>
        <v>0</v>
      </c>
      <c r="N410" s="79">
        <f ca="1">$K$410-EFEITO!$M$410*EFEITO!$Z$410</f>
        <v>0</v>
      </c>
      <c r="O410" s="79">
        <f>$L$410-EFEITO!$O$410*EFEITO!$AA$410</f>
        <v>0</v>
      </c>
      <c r="P410" s="18"/>
      <c r="Q410" s="18"/>
      <c r="R410" s="18"/>
      <c r="S410" s="18"/>
      <c r="T410" s="18"/>
      <c r="U410" s="18"/>
      <c r="V410" s="18"/>
      <c r="W410" s="18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70" t="s">
        <v>28</v>
      </c>
      <c r="B411" s="70" t="s">
        <v>35</v>
      </c>
      <c r="C411" s="70" t="s">
        <v>39</v>
      </c>
      <c r="D411" s="70" t="s">
        <v>34</v>
      </c>
      <c r="E411" s="70" t="s">
        <v>25</v>
      </c>
      <c r="F411" s="70" t="s">
        <v>25</v>
      </c>
      <c r="G411" s="70" t="s">
        <v>25</v>
      </c>
      <c r="H411" s="70" t="s">
        <v>38</v>
      </c>
      <c r="I411" s="78">
        <v>44652</v>
      </c>
      <c r="J411" s="79">
        <f>EFEITO!$J$411*EFEITO!$Y$411</f>
        <v>0</v>
      </c>
      <c r="K411" s="79">
        <f ca="1">EFEITO!$L$411*EFEITO!$Z$411</f>
        <v>50391.616223694815</v>
      </c>
      <c r="L411" s="79">
        <f>EFEITO!$N$411*EFEITO!$AA$411</f>
        <v>107958.82333439702</v>
      </c>
      <c r="M411" s="79">
        <f>$J$411-EFEITO!$K$411*EFEITO!$Y$411</f>
        <v>0</v>
      </c>
      <c r="N411" s="79">
        <f ca="1">$K$411-EFEITO!$M$411*EFEITO!$Z$411</f>
        <v>0</v>
      </c>
      <c r="O411" s="79">
        <f>$L$411-EFEITO!$O$411*EFEITO!$AA$411</f>
        <v>0</v>
      </c>
      <c r="P411" s="18"/>
      <c r="Q411" s="18"/>
      <c r="R411" s="18"/>
      <c r="S411" s="18"/>
      <c r="T411" s="18"/>
      <c r="U411" s="18"/>
      <c r="V411" s="18"/>
      <c r="W411" s="18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70" t="s">
        <v>21</v>
      </c>
      <c r="B412" s="70" t="s">
        <v>35</v>
      </c>
      <c r="C412" s="70" t="s">
        <v>39</v>
      </c>
      <c r="D412" s="70" t="s">
        <v>34</v>
      </c>
      <c r="E412" s="70" t="s">
        <v>25</v>
      </c>
      <c r="F412" s="70" t="s">
        <v>25</v>
      </c>
      <c r="G412" s="70" t="s">
        <v>25</v>
      </c>
      <c r="H412" s="70" t="s">
        <v>38</v>
      </c>
      <c r="I412" s="78">
        <v>44682</v>
      </c>
      <c r="J412" s="79">
        <f>EFEITO!$J$412*EFEITO!$Y$412</f>
        <v>0</v>
      </c>
      <c r="K412" s="79">
        <f ca="1">EFEITO!$L$412*EFEITO!$Z$412</f>
        <v>319442.2705556174</v>
      </c>
      <c r="L412" s="79">
        <f>EFEITO!$N$412*EFEITO!$AA$412</f>
        <v>684372.00941049564</v>
      </c>
      <c r="M412" s="79">
        <f>$J$412-EFEITO!$K$412*EFEITO!$Y$412</f>
        <v>0</v>
      </c>
      <c r="N412" s="79">
        <f ca="1">$K$412-EFEITO!$M$412*EFEITO!$Z$412</f>
        <v>0</v>
      </c>
      <c r="O412" s="79">
        <f>$L$412-EFEITO!$O$412*EFEITO!$AA$412</f>
        <v>0</v>
      </c>
      <c r="P412" s="18"/>
      <c r="Q412" s="18"/>
      <c r="R412" s="18"/>
      <c r="S412" s="18"/>
      <c r="T412" s="18"/>
      <c r="U412" s="18"/>
      <c r="V412" s="18"/>
      <c r="W412" s="18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70" t="s">
        <v>27</v>
      </c>
      <c r="B413" s="70" t="s">
        <v>35</v>
      </c>
      <c r="C413" s="70" t="s">
        <v>39</v>
      </c>
      <c r="D413" s="70" t="s">
        <v>34</v>
      </c>
      <c r="E413" s="70" t="s">
        <v>25</v>
      </c>
      <c r="F413" s="70" t="s">
        <v>25</v>
      </c>
      <c r="G413" s="70" t="s">
        <v>25</v>
      </c>
      <c r="H413" s="70" t="s">
        <v>38</v>
      </c>
      <c r="I413" s="78">
        <v>44682</v>
      </c>
      <c r="J413" s="79">
        <f>EFEITO!$J$413*EFEITO!$Y$413</f>
        <v>0</v>
      </c>
      <c r="K413" s="79">
        <f ca="1">EFEITO!$L$413*EFEITO!$Z$413</f>
        <v>-3670.4051953089383</v>
      </c>
      <c r="L413" s="79">
        <f>EFEITO!$N$413*EFEITO!$AA$413</f>
        <v>-7863.4633246727926</v>
      </c>
      <c r="M413" s="79">
        <f>$J$413-EFEITO!$K$413*EFEITO!$Y$413</f>
        <v>0</v>
      </c>
      <c r="N413" s="79">
        <f ca="1">$K$413-EFEITO!$M$413*EFEITO!$Z$413</f>
        <v>0</v>
      </c>
      <c r="O413" s="79">
        <f>$L$413-EFEITO!$O$413*EFEITO!$AA$413</f>
        <v>0</v>
      </c>
      <c r="P413" s="18"/>
      <c r="Q413" s="18"/>
      <c r="R413" s="18"/>
      <c r="S413" s="18"/>
      <c r="T413" s="18"/>
      <c r="U413" s="18"/>
      <c r="V413" s="18"/>
      <c r="W413" s="18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70" t="s">
        <v>28</v>
      </c>
      <c r="B414" s="70" t="s">
        <v>35</v>
      </c>
      <c r="C414" s="70" t="s">
        <v>39</v>
      </c>
      <c r="D414" s="70" t="s">
        <v>34</v>
      </c>
      <c r="E414" s="70" t="s">
        <v>25</v>
      </c>
      <c r="F414" s="70" t="s">
        <v>25</v>
      </c>
      <c r="G414" s="70" t="s">
        <v>25</v>
      </c>
      <c r="H414" s="70" t="s">
        <v>38</v>
      </c>
      <c r="I414" s="78">
        <v>44682</v>
      </c>
      <c r="J414" s="79">
        <f>EFEITO!$J$414*EFEITO!$Y$414</f>
        <v>0</v>
      </c>
      <c r="K414" s="79">
        <f ca="1">EFEITO!$L$414*EFEITO!$Z$414</f>
        <v>39173.467414775259</v>
      </c>
      <c r="L414" s="79">
        <f>EFEITO!$N$414*EFEITO!$AA$414</f>
        <v>83925.100343157697</v>
      </c>
      <c r="M414" s="79">
        <f>$J$414-EFEITO!$K$414*EFEITO!$Y$414</f>
        <v>0</v>
      </c>
      <c r="N414" s="79">
        <f ca="1">$K$414-EFEITO!$M$414*EFEITO!$Z$414</f>
        <v>0</v>
      </c>
      <c r="O414" s="79">
        <f>$L$414-EFEITO!$O$414*EFEITO!$AA$414</f>
        <v>0</v>
      </c>
      <c r="P414" s="18"/>
      <c r="Q414" s="18"/>
      <c r="R414" s="18"/>
      <c r="S414" s="18"/>
      <c r="T414" s="18"/>
      <c r="U414" s="18"/>
      <c r="V414" s="18"/>
      <c r="W414" s="18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70" t="s">
        <v>21</v>
      </c>
      <c r="B415" s="70" t="s">
        <v>35</v>
      </c>
      <c r="C415" s="70" t="s">
        <v>39</v>
      </c>
      <c r="D415" s="70" t="s">
        <v>34</v>
      </c>
      <c r="E415" s="70" t="s">
        <v>25</v>
      </c>
      <c r="F415" s="70" t="s">
        <v>25</v>
      </c>
      <c r="G415" s="70" t="s">
        <v>25</v>
      </c>
      <c r="H415" s="70" t="s">
        <v>38</v>
      </c>
      <c r="I415" s="78">
        <v>44713</v>
      </c>
      <c r="J415" s="79">
        <f>EFEITO!$J$415*EFEITO!$Y$415</f>
        <v>0</v>
      </c>
      <c r="K415" s="79">
        <f ca="1">EFEITO!$L$415*EFEITO!$Z$415</f>
        <v>337654.42928443517</v>
      </c>
      <c r="L415" s="79">
        <f>EFEITO!$N$415*EFEITO!$AA$415</f>
        <v>723389.67492879112</v>
      </c>
      <c r="M415" s="79">
        <f>$J$415-EFEITO!$K$415*EFEITO!$Y$415</f>
        <v>0</v>
      </c>
      <c r="N415" s="79">
        <f ca="1">$K$415-EFEITO!$M$415*EFEITO!$Z$415</f>
        <v>0</v>
      </c>
      <c r="O415" s="79">
        <f>$L$415-EFEITO!$O$415*EFEITO!$AA$415</f>
        <v>0</v>
      </c>
      <c r="P415" s="18"/>
      <c r="Q415" s="18"/>
      <c r="R415" s="18"/>
      <c r="S415" s="18"/>
      <c r="T415" s="18"/>
      <c r="U415" s="18"/>
      <c r="V415" s="18"/>
      <c r="W415" s="18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70" t="s">
        <v>28</v>
      </c>
      <c r="B416" s="70" t="s">
        <v>35</v>
      </c>
      <c r="C416" s="70" t="s">
        <v>39</v>
      </c>
      <c r="D416" s="70" t="s">
        <v>34</v>
      </c>
      <c r="E416" s="70" t="s">
        <v>25</v>
      </c>
      <c r="F416" s="70" t="s">
        <v>25</v>
      </c>
      <c r="G416" s="70" t="s">
        <v>25</v>
      </c>
      <c r="H416" s="70" t="s">
        <v>38</v>
      </c>
      <c r="I416" s="78">
        <v>44713</v>
      </c>
      <c r="J416" s="79">
        <f>EFEITO!$J$416*EFEITO!$Y$416</f>
        <v>0</v>
      </c>
      <c r="K416" s="79">
        <f ca="1">EFEITO!$L$416*EFEITO!$Z$416</f>
        <v>47363.471809449184</v>
      </c>
      <c r="L416" s="79">
        <f>EFEITO!$N$416*EFEITO!$AA$416</f>
        <v>101471.3372732759</v>
      </c>
      <c r="M416" s="79">
        <f>$J$416-EFEITO!$K$416*EFEITO!$Y$416</f>
        <v>0</v>
      </c>
      <c r="N416" s="79">
        <f ca="1">$K$416-EFEITO!$M$416*EFEITO!$Z$416</f>
        <v>0</v>
      </c>
      <c r="O416" s="79">
        <f>$L$416-EFEITO!$O$416*EFEITO!$AA$416</f>
        <v>0</v>
      </c>
      <c r="P416" s="18"/>
      <c r="Q416" s="18"/>
      <c r="R416" s="18"/>
      <c r="S416" s="18"/>
      <c r="T416" s="18"/>
      <c r="U416" s="18"/>
      <c r="V416" s="18"/>
      <c r="W416" s="18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70" t="s">
        <v>21</v>
      </c>
      <c r="B417" s="70" t="s">
        <v>35</v>
      </c>
      <c r="C417" s="70" t="s">
        <v>39</v>
      </c>
      <c r="D417" s="70" t="s">
        <v>34</v>
      </c>
      <c r="E417" s="70" t="s">
        <v>25</v>
      </c>
      <c r="F417" s="70" t="s">
        <v>25</v>
      </c>
      <c r="G417" s="70" t="s">
        <v>25</v>
      </c>
      <c r="H417" s="70" t="s">
        <v>25</v>
      </c>
      <c r="I417" s="78">
        <v>44378</v>
      </c>
      <c r="J417" s="79">
        <f ca="1">EFEITO!$J$417*EFEITO!$Y$417</f>
        <v>877182.10605106351</v>
      </c>
      <c r="K417" s="79">
        <f>EFEITO!$L$417*EFEITO!$Z$417</f>
        <v>0</v>
      </c>
      <c r="L417" s="79">
        <f>EFEITO!$N$417*EFEITO!$AA$417</f>
        <v>0</v>
      </c>
      <c r="M417" s="79">
        <f ca="1">$J$417-EFEITO!$K$417*EFEITO!$Y$417</f>
        <v>0</v>
      </c>
      <c r="N417" s="79">
        <f>$K$417-EFEITO!$M$417*EFEITO!$Z$417</f>
        <v>0</v>
      </c>
      <c r="O417" s="79">
        <f>$L$417-EFEITO!$O$417*EFEITO!$AA$417</f>
        <v>0</v>
      </c>
      <c r="P417" s="18"/>
      <c r="Q417" s="18"/>
      <c r="R417" s="18"/>
      <c r="S417" s="18"/>
      <c r="T417" s="18"/>
      <c r="U417" s="18"/>
      <c r="V417" s="18"/>
      <c r="W417" s="18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70" t="s">
        <v>27</v>
      </c>
      <c r="B418" s="70" t="s">
        <v>35</v>
      </c>
      <c r="C418" s="70" t="s">
        <v>39</v>
      </c>
      <c r="D418" s="70" t="s">
        <v>34</v>
      </c>
      <c r="E418" s="70" t="s">
        <v>25</v>
      </c>
      <c r="F418" s="70" t="s">
        <v>25</v>
      </c>
      <c r="G418" s="70" t="s">
        <v>25</v>
      </c>
      <c r="H418" s="70" t="s">
        <v>25</v>
      </c>
      <c r="I418" s="78">
        <v>44378</v>
      </c>
      <c r="J418" s="79">
        <f ca="1">EFEITO!$J$418*EFEITO!$Y$418</f>
        <v>-133173.07838360299</v>
      </c>
      <c r="K418" s="79">
        <f>EFEITO!$L$418*EFEITO!$Z$418</f>
        <v>0</v>
      </c>
      <c r="L418" s="79">
        <f>EFEITO!$N$418*EFEITO!$AA$418</f>
        <v>0</v>
      </c>
      <c r="M418" s="79">
        <f ca="1">$J$418-EFEITO!$K$418*EFEITO!$Y$418</f>
        <v>0</v>
      </c>
      <c r="N418" s="79">
        <f>$K$418-EFEITO!$M$418*EFEITO!$Z$418</f>
        <v>0</v>
      </c>
      <c r="O418" s="79">
        <f>$L$418-EFEITO!$O$418*EFEITO!$AA$418</f>
        <v>0</v>
      </c>
      <c r="P418" s="18"/>
      <c r="Q418" s="18"/>
      <c r="R418" s="18"/>
      <c r="S418" s="18"/>
      <c r="T418" s="18"/>
      <c r="U418" s="18"/>
      <c r="V418" s="18"/>
      <c r="W418" s="18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70" t="s">
        <v>28</v>
      </c>
      <c r="B419" s="70" t="s">
        <v>35</v>
      </c>
      <c r="C419" s="70" t="s">
        <v>39</v>
      </c>
      <c r="D419" s="70" t="s">
        <v>34</v>
      </c>
      <c r="E419" s="70" t="s">
        <v>25</v>
      </c>
      <c r="F419" s="70" t="s">
        <v>25</v>
      </c>
      <c r="G419" s="70" t="s">
        <v>25</v>
      </c>
      <c r="H419" s="70" t="s">
        <v>25</v>
      </c>
      <c r="I419" s="78">
        <v>44378</v>
      </c>
      <c r="J419" s="79">
        <f ca="1">EFEITO!$J$419*EFEITO!$Y$419</f>
        <v>52593.164044930796</v>
      </c>
      <c r="K419" s="79">
        <f>EFEITO!$L$419*EFEITO!$Z$419</f>
        <v>0</v>
      </c>
      <c r="L419" s="79">
        <f>EFEITO!$N$419*EFEITO!$AA$419</f>
        <v>0</v>
      </c>
      <c r="M419" s="79">
        <f ca="1">$J$419-EFEITO!$K$419*EFEITO!$Y$419</f>
        <v>0</v>
      </c>
      <c r="N419" s="79">
        <f>$K$419-EFEITO!$M$419*EFEITO!$Z$419</f>
        <v>0</v>
      </c>
      <c r="O419" s="79">
        <f>$L$419-EFEITO!$O$419*EFEITO!$AA$419</f>
        <v>0</v>
      </c>
      <c r="P419" s="18"/>
      <c r="Q419" s="18"/>
      <c r="R419" s="18"/>
      <c r="S419" s="18"/>
      <c r="T419" s="18"/>
      <c r="U419" s="18"/>
      <c r="V419" s="18"/>
      <c r="W419" s="18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70" t="s">
        <v>21</v>
      </c>
      <c r="B420" s="70" t="s">
        <v>35</v>
      </c>
      <c r="C420" s="70" t="s">
        <v>39</v>
      </c>
      <c r="D420" s="70" t="s">
        <v>34</v>
      </c>
      <c r="E420" s="70" t="s">
        <v>25</v>
      </c>
      <c r="F420" s="70" t="s">
        <v>25</v>
      </c>
      <c r="G420" s="70" t="s">
        <v>25</v>
      </c>
      <c r="H420" s="70" t="s">
        <v>25</v>
      </c>
      <c r="I420" s="78">
        <v>44409</v>
      </c>
      <c r="J420" s="79">
        <f ca="1">EFEITO!$J$420*EFEITO!$Y$420</f>
        <v>738253.31950041244</v>
      </c>
      <c r="K420" s="79">
        <f>EFEITO!$L$420*EFEITO!$Z$420</f>
        <v>0</v>
      </c>
      <c r="L420" s="79">
        <f>EFEITO!$N$420*EFEITO!$AA$420</f>
        <v>0</v>
      </c>
      <c r="M420" s="79">
        <f ca="1">$J$420-EFEITO!$K$420*EFEITO!$Y$420</f>
        <v>0</v>
      </c>
      <c r="N420" s="79">
        <f>$K$420-EFEITO!$M$420*EFEITO!$Z$420</f>
        <v>0</v>
      </c>
      <c r="O420" s="79">
        <f>$L$420-EFEITO!$O$420*EFEITO!$AA$420</f>
        <v>0</v>
      </c>
      <c r="P420" s="18"/>
      <c r="Q420" s="18"/>
      <c r="R420" s="18"/>
      <c r="S420" s="18"/>
      <c r="T420" s="18"/>
      <c r="U420" s="18"/>
      <c r="V420" s="18"/>
      <c r="W420" s="18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70" t="s">
        <v>28</v>
      </c>
      <c r="B421" s="70" t="s">
        <v>35</v>
      </c>
      <c r="C421" s="70" t="s">
        <v>39</v>
      </c>
      <c r="D421" s="70" t="s">
        <v>34</v>
      </c>
      <c r="E421" s="70" t="s">
        <v>25</v>
      </c>
      <c r="F421" s="70" t="s">
        <v>25</v>
      </c>
      <c r="G421" s="70" t="s">
        <v>25</v>
      </c>
      <c r="H421" s="70" t="s">
        <v>25</v>
      </c>
      <c r="I421" s="78">
        <v>44409</v>
      </c>
      <c r="J421" s="79">
        <f ca="1">EFEITO!$J$421*EFEITO!$Y$421</f>
        <v>52593.164044930796</v>
      </c>
      <c r="K421" s="79">
        <f>EFEITO!$L$421*EFEITO!$Z$421</f>
        <v>0</v>
      </c>
      <c r="L421" s="79">
        <f>EFEITO!$N$421*EFEITO!$AA$421</f>
        <v>0</v>
      </c>
      <c r="M421" s="79">
        <f ca="1">$J$421-EFEITO!$K$421*EFEITO!$Y$421</f>
        <v>0</v>
      </c>
      <c r="N421" s="79">
        <f>$K$421-EFEITO!$M$421*EFEITO!$Z$421</f>
        <v>0</v>
      </c>
      <c r="O421" s="79">
        <f>$L$421-EFEITO!$O$421*EFEITO!$AA$421</f>
        <v>0</v>
      </c>
      <c r="P421" s="18"/>
      <c r="Q421" s="18"/>
      <c r="R421" s="18"/>
      <c r="S421" s="18"/>
      <c r="T421" s="18"/>
      <c r="U421" s="18"/>
      <c r="V421" s="18"/>
      <c r="W421" s="18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70" t="s">
        <v>21</v>
      </c>
      <c r="B422" s="70" t="s">
        <v>35</v>
      </c>
      <c r="C422" s="70" t="s">
        <v>39</v>
      </c>
      <c r="D422" s="70" t="s">
        <v>34</v>
      </c>
      <c r="E422" s="70" t="s">
        <v>25</v>
      </c>
      <c r="F422" s="70" t="s">
        <v>25</v>
      </c>
      <c r="G422" s="70" t="s">
        <v>25</v>
      </c>
      <c r="H422" s="70" t="s">
        <v>25</v>
      </c>
      <c r="I422" s="78">
        <v>44440</v>
      </c>
      <c r="J422" s="79">
        <f ca="1">EFEITO!$J$422*EFEITO!$Y$422</f>
        <v>756159.96713122854</v>
      </c>
      <c r="K422" s="79">
        <f>EFEITO!$L$422*EFEITO!$Z$422</f>
        <v>0</v>
      </c>
      <c r="L422" s="79">
        <f>EFEITO!$N$422*EFEITO!$AA$422</f>
        <v>0</v>
      </c>
      <c r="M422" s="79">
        <f ca="1">$J$422-EFEITO!$K$422*EFEITO!$Y$422</f>
        <v>0</v>
      </c>
      <c r="N422" s="79">
        <f>$K$422-EFEITO!$M$422*EFEITO!$Z$422</f>
        <v>0</v>
      </c>
      <c r="O422" s="79">
        <f>$L$422-EFEITO!$O$422*EFEITO!$AA$422</f>
        <v>0</v>
      </c>
      <c r="P422" s="18"/>
      <c r="Q422" s="18"/>
      <c r="R422" s="18"/>
      <c r="S422" s="18"/>
      <c r="T422" s="18"/>
      <c r="U422" s="18"/>
      <c r="V422" s="18"/>
      <c r="W422" s="18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70" t="s">
        <v>28</v>
      </c>
      <c r="B423" s="70" t="s">
        <v>35</v>
      </c>
      <c r="C423" s="70" t="s">
        <v>39</v>
      </c>
      <c r="D423" s="70" t="s">
        <v>34</v>
      </c>
      <c r="E423" s="70" t="s">
        <v>25</v>
      </c>
      <c r="F423" s="70" t="s">
        <v>25</v>
      </c>
      <c r="G423" s="70" t="s">
        <v>25</v>
      </c>
      <c r="H423" s="70" t="s">
        <v>25</v>
      </c>
      <c r="I423" s="78">
        <v>44440</v>
      </c>
      <c r="J423" s="79">
        <f ca="1">EFEITO!$J$423*EFEITO!$Y$423</f>
        <v>52593.164044930796</v>
      </c>
      <c r="K423" s="79">
        <f>EFEITO!$L$423*EFEITO!$Z$423</f>
        <v>0</v>
      </c>
      <c r="L423" s="79">
        <f>EFEITO!$N$423*EFEITO!$AA$423</f>
        <v>0</v>
      </c>
      <c r="M423" s="79">
        <f ca="1">$J$423-EFEITO!$K$423*EFEITO!$Y$423</f>
        <v>0</v>
      </c>
      <c r="N423" s="79">
        <f>$K$423-EFEITO!$M$423*EFEITO!$Z$423</f>
        <v>0</v>
      </c>
      <c r="O423" s="79">
        <f>$L$423-EFEITO!$O$423*EFEITO!$AA$423</f>
        <v>0</v>
      </c>
      <c r="P423" s="18"/>
      <c r="Q423" s="18"/>
      <c r="R423" s="18"/>
      <c r="S423" s="18"/>
      <c r="T423" s="18"/>
      <c r="U423" s="18"/>
      <c r="V423" s="18"/>
      <c r="W423" s="18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70" t="s">
        <v>21</v>
      </c>
      <c r="B424" s="70" t="s">
        <v>35</v>
      </c>
      <c r="C424" s="70" t="s">
        <v>39</v>
      </c>
      <c r="D424" s="70" t="s">
        <v>34</v>
      </c>
      <c r="E424" s="70" t="s">
        <v>25</v>
      </c>
      <c r="F424" s="70" t="s">
        <v>25</v>
      </c>
      <c r="G424" s="70" t="s">
        <v>25</v>
      </c>
      <c r="H424" s="70" t="s">
        <v>25</v>
      </c>
      <c r="I424" s="78">
        <v>44470</v>
      </c>
      <c r="J424" s="79">
        <f ca="1">EFEITO!$J$424*EFEITO!$Y$424</f>
        <v>760941.16386258579</v>
      </c>
      <c r="K424" s="79">
        <f>EFEITO!$L$424*EFEITO!$Z$424</f>
        <v>0</v>
      </c>
      <c r="L424" s="79">
        <f>EFEITO!$N$424*EFEITO!$AA$424</f>
        <v>0</v>
      </c>
      <c r="M424" s="79">
        <f ca="1">$J$424-EFEITO!$K$424*EFEITO!$Y$424</f>
        <v>0</v>
      </c>
      <c r="N424" s="79">
        <f>$K$424-EFEITO!$M$424*EFEITO!$Z$424</f>
        <v>0</v>
      </c>
      <c r="O424" s="79">
        <f>$L$424-EFEITO!$O$424*EFEITO!$AA$424</f>
        <v>0</v>
      </c>
      <c r="P424" s="18"/>
      <c r="Q424" s="18"/>
      <c r="R424" s="18"/>
      <c r="S424" s="18"/>
      <c r="T424" s="18"/>
      <c r="U424" s="18"/>
      <c r="V424" s="18"/>
      <c r="W424" s="18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70" t="s">
        <v>28</v>
      </c>
      <c r="B425" s="70" t="s">
        <v>35</v>
      </c>
      <c r="C425" s="70" t="s">
        <v>39</v>
      </c>
      <c r="D425" s="70" t="s">
        <v>34</v>
      </c>
      <c r="E425" s="70" t="s">
        <v>25</v>
      </c>
      <c r="F425" s="70" t="s">
        <v>25</v>
      </c>
      <c r="G425" s="70" t="s">
        <v>25</v>
      </c>
      <c r="H425" s="70" t="s">
        <v>25</v>
      </c>
      <c r="I425" s="78">
        <v>44470</v>
      </c>
      <c r="J425" s="79">
        <f ca="1">EFEITO!$J$425*EFEITO!$Y$425</f>
        <v>52593.164044930796</v>
      </c>
      <c r="K425" s="79">
        <f>EFEITO!$L$425*EFEITO!$Z$425</f>
        <v>0</v>
      </c>
      <c r="L425" s="79">
        <f>EFEITO!$N$425*EFEITO!$AA$425</f>
        <v>0</v>
      </c>
      <c r="M425" s="79">
        <f ca="1">$J$425-EFEITO!$K$425*EFEITO!$Y$425</f>
        <v>0</v>
      </c>
      <c r="N425" s="79">
        <f>$K$425-EFEITO!$M$425*EFEITO!$Z$425</f>
        <v>0</v>
      </c>
      <c r="O425" s="79">
        <f>$L$425-EFEITO!$O$425*EFEITO!$AA$425</f>
        <v>0</v>
      </c>
      <c r="P425" s="18"/>
      <c r="Q425" s="18"/>
      <c r="R425" s="18"/>
      <c r="S425" s="18"/>
      <c r="T425" s="18"/>
      <c r="U425" s="18"/>
      <c r="V425" s="18"/>
      <c r="W425" s="18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70" t="s">
        <v>21</v>
      </c>
      <c r="B426" s="70" t="s">
        <v>35</v>
      </c>
      <c r="C426" s="70" t="s">
        <v>39</v>
      </c>
      <c r="D426" s="70" t="s">
        <v>34</v>
      </c>
      <c r="E426" s="70" t="s">
        <v>25</v>
      </c>
      <c r="F426" s="70" t="s">
        <v>25</v>
      </c>
      <c r="G426" s="70" t="s">
        <v>25</v>
      </c>
      <c r="H426" s="70" t="s">
        <v>25</v>
      </c>
      <c r="I426" s="78">
        <v>44501</v>
      </c>
      <c r="J426" s="79">
        <f ca="1">EFEITO!$J$426*EFEITO!$Y$426</f>
        <v>648080.55821666028</v>
      </c>
      <c r="K426" s="79">
        <f>EFEITO!$L$426*EFEITO!$Z$426</f>
        <v>0</v>
      </c>
      <c r="L426" s="79">
        <f>EFEITO!$N$426*EFEITO!$AA$426</f>
        <v>0</v>
      </c>
      <c r="M426" s="79">
        <f ca="1">$J$426-EFEITO!$K$426*EFEITO!$Y$426</f>
        <v>0</v>
      </c>
      <c r="N426" s="79">
        <f>$K$426-EFEITO!$M$426*EFEITO!$Z$426</f>
        <v>0</v>
      </c>
      <c r="O426" s="79">
        <f>$L$426-EFEITO!$O$426*EFEITO!$AA$426</f>
        <v>0</v>
      </c>
      <c r="P426" s="18"/>
      <c r="Q426" s="18"/>
      <c r="R426" s="18"/>
      <c r="S426" s="18"/>
      <c r="T426" s="18"/>
      <c r="U426" s="18"/>
      <c r="V426" s="18"/>
      <c r="W426" s="18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70" t="s">
        <v>28</v>
      </c>
      <c r="B427" s="70" t="s">
        <v>35</v>
      </c>
      <c r="C427" s="70" t="s">
        <v>39</v>
      </c>
      <c r="D427" s="70" t="s">
        <v>34</v>
      </c>
      <c r="E427" s="70" t="s">
        <v>25</v>
      </c>
      <c r="F427" s="70" t="s">
        <v>25</v>
      </c>
      <c r="G427" s="70" t="s">
        <v>25</v>
      </c>
      <c r="H427" s="70" t="s">
        <v>25</v>
      </c>
      <c r="I427" s="78">
        <v>44501</v>
      </c>
      <c r="J427" s="79">
        <f ca="1">EFEITO!$J$427*EFEITO!$Y$427</f>
        <v>52593.164044930796</v>
      </c>
      <c r="K427" s="79">
        <f>EFEITO!$L$427*EFEITO!$Z$427</f>
        <v>0</v>
      </c>
      <c r="L427" s="79">
        <f>EFEITO!$N$427*EFEITO!$AA$427</f>
        <v>0</v>
      </c>
      <c r="M427" s="79">
        <f ca="1">$J$427-EFEITO!$K$427*EFEITO!$Y$427</f>
        <v>0</v>
      </c>
      <c r="N427" s="79">
        <f>$K$427-EFEITO!$M$427*EFEITO!$Z$427</f>
        <v>0</v>
      </c>
      <c r="O427" s="79">
        <f>$L$427-EFEITO!$O$427*EFEITO!$AA$427</f>
        <v>0</v>
      </c>
      <c r="P427" s="18"/>
      <c r="Q427" s="18"/>
      <c r="R427" s="18"/>
      <c r="S427" s="18"/>
      <c r="T427" s="18"/>
      <c r="U427" s="18"/>
      <c r="V427" s="18"/>
      <c r="W427" s="18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70" t="s">
        <v>21</v>
      </c>
      <c r="B428" s="70" t="s">
        <v>35</v>
      </c>
      <c r="C428" s="70" t="s">
        <v>39</v>
      </c>
      <c r="D428" s="70" t="s">
        <v>34</v>
      </c>
      <c r="E428" s="70" t="s">
        <v>25</v>
      </c>
      <c r="F428" s="70" t="s">
        <v>25</v>
      </c>
      <c r="G428" s="70" t="s">
        <v>25</v>
      </c>
      <c r="H428" s="70" t="s">
        <v>25</v>
      </c>
      <c r="I428" s="78">
        <v>44531</v>
      </c>
      <c r="J428" s="79">
        <f ca="1">EFEITO!$J$428*EFEITO!$Y$428</f>
        <v>649603.23233492696</v>
      </c>
      <c r="K428" s="79">
        <f>EFEITO!$L$428*EFEITO!$Z$428</f>
        <v>0</v>
      </c>
      <c r="L428" s="79">
        <f>EFEITO!$N$428*EFEITO!$AA$428</f>
        <v>0</v>
      </c>
      <c r="M428" s="79">
        <f ca="1">$J$428-EFEITO!$K$428*EFEITO!$Y$428</f>
        <v>0</v>
      </c>
      <c r="N428" s="79">
        <f>$K$428-EFEITO!$M$428*EFEITO!$Z$428</f>
        <v>0</v>
      </c>
      <c r="O428" s="79">
        <f>$L$428-EFEITO!$O$428*EFEITO!$AA$428</f>
        <v>0</v>
      </c>
      <c r="P428" s="18"/>
      <c r="Q428" s="18"/>
      <c r="R428" s="18"/>
      <c r="S428" s="18"/>
      <c r="T428" s="18"/>
      <c r="U428" s="18"/>
      <c r="V428" s="18"/>
      <c r="W428" s="18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70" t="s">
        <v>21</v>
      </c>
      <c r="B429" s="70" t="s">
        <v>35</v>
      </c>
      <c r="C429" s="70" t="s">
        <v>39</v>
      </c>
      <c r="D429" s="70" t="s">
        <v>34</v>
      </c>
      <c r="E429" s="70" t="s">
        <v>25</v>
      </c>
      <c r="F429" s="70" t="s">
        <v>25</v>
      </c>
      <c r="G429" s="70" t="s">
        <v>25</v>
      </c>
      <c r="H429" s="70" t="s">
        <v>25</v>
      </c>
      <c r="I429" s="78">
        <v>44562</v>
      </c>
      <c r="J429" s="79">
        <f ca="1">EFEITO!$J$429*EFEITO!$Y$429</f>
        <v>641898.50129649753</v>
      </c>
      <c r="K429" s="79">
        <f>EFEITO!$L$429*EFEITO!$Z$429</f>
        <v>0</v>
      </c>
      <c r="L429" s="79">
        <f>EFEITO!$N$429*EFEITO!$AA$429</f>
        <v>0</v>
      </c>
      <c r="M429" s="79">
        <f ca="1">$J$429-EFEITO!$K$429*EFEITO!$Y$429</f>
        <v>0</v>
      </c>
      <c r="N429" s="79">
        <f>$K$429-EFEITO!$M$429*EFEITO!$Z$429</f>
        <v>0</v>
      </c>
      <c r="O429" s="79">
        <f>$L$429-EFEITO!$O$429*EFEITO!$AA$429</f>
        <v>0</v>
      </c>
      <c r="P429" s="18"/>
      <c r="Q429" s="18"/>
      <c r="R429" s="18"/>
      <c r="S429" s="18"/>
      <c r="T429" s="18"/>
      <c r="U429" s="18"/>
      <c r="V429" s="18"/>
      <c r="W429" s="18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70" t="s">
        <v>28</v>
      </c>
      <c r="B430" s="70" t="s">
        <v>35</v>
      </c>
      <c r="C430" s="70" t="s">
        <v>39</v>
      </c>
      <c r="D430" s="70" t="s">
        <v>34</v>
      </c>
      <c r="E430" s="70" t="s">
        <v>25</v>
      </c>
      <c r="F430" s="70" t="s">
        <v>25</v>
      </c>
      <c r="G430" s="70" t="s">
        <v>25</v>
      </c>
      <c r="H430" s="70" t="s">
        <v>25</v>
      </c>
      <c r="I430" s="78">
        <v>44562</v>
      </c>
      <c r="J430" s="79">
        <f ca="1">EFEITO!$J$430*EFEITO!$Y$430</f>
        <v>51953.640915258795</v>
      </c>
      <c r="K430" s="79">
        <f>EFEITO!$L$430*EFEITO!$Z$430</f>
        <v>0</v>
      </c>
      <c r="L430" s="79">
        <f>EFEITO!$N$430*EFEITO!$AA$430</f>
        <v>0</v>
      </c>
      <c r="M430" s="79">
        <f ca="1">$J$430-EFEITO!$K$430*EFEITO!$Y$430</f>
        <v>0</v>
      </c>
      <c r="N430" s="79">
        <f>$K$430-EFEITO!$M$430*EFEITO!$Z$430</f>
        <v>0</v>
      </c>
      <c r="O430" s="79">
        <f>$L$430-EFEITO!$O$430*EFEITO!$AA$430</f>
        <v>0</v>
      </c>
      <c r="P430" s="18"/>
      <c r="Q430" s="18"/>
      <c r="R430" s="18"/>
      <c r="S430" s="18"/>
      <c r="T430" s="18"/>
      <c r="U430" s="18"/>
      <c r="V430" s="18"/>
      <c r="W430" s="18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70" t="s">
        <v>21</v>
      </c>
      <c r="B431" s="70" t="s">
        <v>35</v>
      </c>
      <c r="C431" s="70" t="s">
        <v>39</v>
      </c>
      <c r="D431" s="70" t="s">
        <v>34</v>
      </c>
      <c r="E431" s="70" t="s">
        <v>25</v>
      </c>
      <c r="F431" s="70" t="s">
        <v>25</v>
      </c>
      <c r="G431" s="70" t="s">
        <v>25</v>
      </c>
      <c r="H431" s="70" t="s">
        <v>25</v>
      </c>
      <c r="I431" s="78">
        <v>44593</v>
      </c>
      <c r="J431" s="79">
        <f ca="1">EFEITO!$J$431*EFEITO!$Y$431</f>
        <v>625697.24867814023</v>
      </c>
      <c r="K431" s="79">
        <f>EFEITO!$L$431*EFEITO!$Z$431</f>
        <v>0</v>
      </c>
      <c r="L431" s="79">
        <f>EFEITO!$N$431*EFEITO!$AA$431</f>
        <v>0</v>
      </c>
      <c r="M431" s="79">
        <f ca="1">$J$431-EFEITO!$K$431*EFEITO!$Y$431</f>
        <v>0</v>
      </c>
      <c r="N431" s="79">
        <f>$K$431-EFEITO!$M$431*EFEITO!$Z$431</f>
        <v>0</v>
      </c>
      <c r="O431" s="79">
        <f>$L$431-EFEITO!$O$431*EFEITO!$AA$431</f>
        <v>0</v>
      </c>
      <c r="P431" s="18"/>
      <c r="Q431" s="18"/>
      <c r="R431" s="18"/>
      <c r="S431" s="18"/>
      <c r="T431" s="18"/>
      <c r="U431" s="18"/>
      <c r="V431" s="18"/>
      <c r="W431" s="18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70" t="s">
        <v>27</v>
      </c>
      <c r="B432" s="70" t="s">
        <v>35</v>
      </c>
      <c r="C432" s="70" t="s">
        <v>39</v>
      </c>
      <c r="D432" s="70" t="s">
        <v>34</v>
      </c>
      <c r="E432" s="70" t="s">
        <v>25</v>
      </c>
      <c r="F432" s="70" t="s">
        <v>25</v>
      </c>
      <c r="G432" s="70" t="s">
        <v>25</v>
      </c>
      <c r="H432" s="70" t="s">
        <v>25</v>
      </c>
      <c r="I432" s="78">
        <v>44593</v>
      </c>
      <c r="J432" s="79">
        <f ca="1">EFEITO!$J$432*EFEITO!$Y$432</f>
        <v>-16901.682712760041</v>
      </c>
      <c r="K432" s="79">
        <f>EFEITO!$L$432*EFEITO!$Z$432</f>
        <v>0</v>
      </c>
      <c r="L432" s="79">
        <f>EFEITO!$N$432*EFEITO!$AA$432</f>
        <v>0</v>
      </c>
      <c r="M432" s="79">
        <f ca="1">$J$432-EFEITO!$K$432*EFEITO!$Y$432</f>
        <v>0</v>
      </c>
      <c r="N432" s="79">
        <f>$K$432-EFEITO!$M$432*EFEITO!$Z$432</f>
        <v>0</v>
      </c>
      <c r="O432" s="79">
        <f>$L$432-EFEITO!$O$432*EFEITO!$AA$432</f>
        <v>0</v>
      </c>
      <c r="P432" s="18"/>
      <c r="Q432" s="18"/>
      <c r="R432" s="18"/>
      <c r="S432" s="18"/>
      <c r="T432" s="18"/>
      <c r="U432" s="18"/>
      <c r="V432" s="18"/>
      <c r="W432" s="18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70" t="s">
        <v>28</v>
      </c>
      <c r="B433" s="70" t="s">
        <v>35</v>
      </c>
      <c r="C433" s="70" t="s">
        <v>39</v>
      </c>
      <c r="D433" s="70" t="s">
        <v>34</v>
      </c>
      <c r="E433" s="70" t="s">
        <v>25</v>
      </c>
      <c r="F433" s="70" t="s">
        <v>25</v>
      </c>
      <c r="G433" s="70" t="s">
        <v>25</v>
      </c>
      <c r="H433" s="70" t="s">
        <v>25</v>
      </c>
      <c r="I433" s="78">
        <v>44593</v>
      </c>
      <c r="J433" s="79">
        <f ca="1">EFEITO!$J$433*EFEITO!$Y$433</f>
        <v>85635.192411317548</v>
      </c>
      <c r="K433" s="79">
        <f>EFEITO!$L$433*EFEITO!$Z$433</f>
        <v>0</v>
      </c>
      <c r="L433" s="79">
        <f>EFEITO!$N$433*EFEITO!$AA$433</f>
        <v>0</v>
      </c>
      <c r="M433" s="79">
        <f ca="1">$J$433-EFEITO!$K$433*EFEITO!$Y$433</f>
        <v>0</v>
      </c>
      <c r="N433" s="79">
        <f>$K$433-EFEITO!$M$433*EFEITO!$Z$433</f>
        <v>0</v>
      </c>
      <c r="O433" s="79">
        <f>$L$433-EFEITO!$O$433*EFEITO!$AA$433</f>
        <v>0</v>
      </c>
      <c r="P433" s="18"/>
      <c r="Q433" s="18"/>
      <c r="R433" s="18"/>
      <c r="S433" s="18"/>
      <c r="T433" s="18"/>
      <c r="U433" s="18"/>
      <c r="V433" s="18"/>
      <c r="W433" s="18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70" t="s">
        <v>21</v>
      </c>
      <c r="B434" s="70" t="s">
        <v>35</v>
      </c>
      <c r="C434" s="70" t="s">
        <v>39</v>
      </c>
      <c r="D434" s="70" t="s">
        <v>34</v>
      </c>
      <c r="E434" s="70" t="s">
        <v>25</v>
      </c>
      <c r="F434" s="70" t="s">
        <v>25</v>
      </c>
      <c r="G434" s="70" t="s">
        <v>25</v>
      </c>
      <c r="H434" s="70" t="s">
        <v>25</v>
      </c>
      <c r="I434" s="78">
        <v>44621</v>
      </c>
      <c r="J434" s="79">
        <f ca="1">EFEITO!$J$434*EFEITO!$Y$434</f>
        <v>619667.45916980412</v>
      </c>
      <c r="K434" s="79">
        <f>EFEITO!$L$434*EFEITO!$Z$434</f>
        <v>0</v>
      </c>
      <c r="L434" s="79">
        <f>EFEITO!$N$434*EFEITO!$AA$434</f>
        <v>0</v>
      </c>
      <c r="M434" s="79">
        <f ca="1">$J$434-EFEITO!$K$434*EFEITO!$Y$434</f>
        <v>0</v>
      </c>
      <c r="N434" s="79">
        <f>$K$434-EFEITO!$M$434*EFEITO!$Z$434</f>
        <v>0</v>
      </c>
      <c r="O434" s="79">
        <f>$L$434-EFEITO!$O$434*EFEITO!$AA$434</f>
        <v>0</v>
      </c>
      <c r="P434" s="18"/>
      <c r="Q434" s="18"/>
      <c r="R434" s="18"/>
      <c r="S434" s="18"/>
      <c r="T434" s="18"/>
      <c r="U434" s="18"/>
      <c r="V434" s="18"/>
      <c r="W434" s="18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70" t="s">
        <v>28</v>
      </c>
      <c r="B435" s="70" t="s">
        <v>35</v>
      </c>
      <c r="C435" s="70" t="s">
        <v>39</v>
      </c>
      <c r="D435" s="70" t="s">
        <v>34</v>
      </c>
      <c r="E435" s="70" t="s">
        <v>25</v>
      </c>
      <c r="F435" s="70" t="s">
        <v>25</v>
      </c>
      <c r="G435" s="70" t="s">
        <v>25</v>
      </c>
      <c r="H435" s="70" t="s">
        <v>25</v>
      </c>
      <c r="I435" s="78">
        <v>44621</v>
      </c>
      <c r="J435" s="79">
        <f ca="1">EFEITO!$J$435*EFEITO!$Y$435</f>
        <v>86701.064294104217</v>
      </c>
      <c r="K435" s="79">
        <f>EFEITO!$L$435*EFEITO!$Z$435</f>
        <v>0</v>
      </c>
      <c r="L435" s="79">
        <f>EFEITO!$N$435*EFEITO!$AA$435</f>
        <v>0</v>
      </c>
      <c r="M435" s="79">
        <f ca="1">$J$435-EFEITO!$K$435*EFEITO!$Y$435</f>
        <v>0</v>
      </c>
      <c r="N435" s="79">
        <f>$K$435-EFEITO!$M$435*EFEITO!$Z$435</f>
        <v>0</v>
      </c>
      <c r="O435" s="79">
        <f>$L$435-EFEITO!$O$435*EFEITO!$AA$435</f>
        <v>0</v>
      </c>
      <c r="P435" s="18"/>
      <c r="Q435" s="18"/>
      <c r="R435" s="18"/>
      <c r="S435" s="18"/>
      <c r="T435" s="18"/>
      <c r="U435" s="18"/>
      <c r="V435" s="18"/>
      <c r="W435" s="18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70" t="s">
        <v>21</v>
      </c>
      <c r="B436" s="70" t="s">
        <v>35</v>
      </c>
      <c r="C436" s="70" t="s">
        <v>39</v>
      </c>
      <c r="D436" s="70" t="s">
        <v>34</v>
      </c>
      <c r="E436" s="70" t="s">
        <v>25</v>
      </c>
      <c r="F436" s="70" t="s">
        <v>25</v>
      </c>
      <c r="G436" s="70" t="s">
        <v>25</v>
      </c>
      <c r="H436" s="70" t="s">
        <v>25</v>
      </c>
      <c r="I436" s="78">
        <v>44652</v>
      </c>
      <c r="J436" s="79">
        <f ca="1">EFEITO!$J$436*EFEITO!$Y$436</f>
        <v>576149.43286974274</v>
      </c>
      <c r="K436" s="79">
        <f>EFEITO!$L$436*EFEITO!$Z$436</f>
        <v>0</v>
      </c>
      <c r="L436" s="79">
        <f>EFEITO!$N$436*EFEITO!$AA$436</f>
        <v>0</v>
      </c>
      <c r="M436" s="79">
        <f ca="1">$J$436-EFEITO!$K$436*EFEITO!$Y$436</f>
        <v>0</v>
      </c>
      <c r="N436" s="79">
        <f>$K$436-EFEITO!$M$436*EFEITO!$Z$436</f>
        <v>0</v>
      </c>
      <c r="O436" s="79">
        <f>$L$436-EFEITO!$O$436*EFEITO!$AA$436</f>
        <v>0</v>
      </c>
      <c r="P436" s="18"/>
      <c r="Q436" s="18"/>
      <c r="R436" s="18"/>
      <c r="S436" s="18"/>
      <c r="T436" s="18"/>
      <c r="U436" s="18"/>
      <c r="V436" s="18"/>
      <c r="W436" s="18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70" t="s">
        <v>27</v>
      </c>
      <c r="B437" s="70" t="s">
        <v>35</v>
      </c>
      <c r="C437" s="70" t="s">
        <v>39</v>
      </c>
      <c r="D437" s="70" t="s">
        <v>34</v>
      </c>
      <c r="E437" s="70" t="s">
        <v>25</v>
      </c>
      <c r="F437" s="70" t="s">
        <v>25</v>
      </c>
      <c r="G437" s="70" t="s">
        <v>25</v>
      </c>
      <c r="H437" s="70" t="s">
        <v>25</v>
      </c>
      <c r="I437" s="78">
        <v>44652</v>
      </c>
      <c r="J437" s="79">
        <f ca="1">EFEITO!$J$437*EFEITO!$Y$437</f>
        <v>-11237.334992808028</v>
      </c>
      <c r="K437" s="79">
        <f>EFEITO!$L$437*EFEITO!$Z$437</f>
        <v>0</v>
      </c>
      <c r="L437" s="79">
        <f>EFEITO!$N$437*EFEITO!$AA$437</f>
        <v>0</v>
      </c>
      <c r="M437" s="79">
        <f ca="1">$J$437-EFEITO!$K$437*EFEITO!$Y$437</f>
        <v>0</v>
      </c>
      <c r="N437" s="79">
        <f>$K$437-EFEITO!$M$437*EFEITO!$Z$437</f>
        <v>0</v>
      </c>
      <c r="O437" s="79">
        <f>$L$437-EFEITO!$O$437*EFEITO!$AA$437</f>
        <v>0</v>
      </c>
      <c r="P437" s="18"/>
      <c r="Q437" s="18"/>
      <c r="R437" s="18"/>
      <c r="S437" s="18"/>
      <c r="T437" s="18"/>
      <c r="U437" s="18"/>
      <c r="V437" s="18"/>
      <c r="W437" s="18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70" t="s">
        <v>28</v>
      </c>
      <c r="B438" s="70" t="s">
        <v>35</v>
      </c>
      <c r="C438" s="70" t="s">
        <v>39</v>
      </c>
      <c r="D438" s="70" t="s">
        <v>34</v>
      </c>
      <c r="E438" s="70" t="s">
        <v>25</v>
      </c>
      <c r="F438" s="70" t="s">
        <v>25</v>
      </c>
      <c r="G438" s="70" t="s">
        <v>25</v>
      </c>
      <c r="H438" s="70" t="s">
        <v>25</v>
      </c>
      <c r="I438" s="78">
        <v>44652</v>
      </c>
      <c r="J438" s="79">
        <f ca="1">EFEITO!$J$438*EFEITO!$Y$438</f>
        <v>91512.714507826895</v>
      </c>
      <c r="K438" s="79">
        <f>EFEITO!$L$438*EFEITO!$Z$438</f>
        <v>0</v>
      </c>
      <c r="L438" s="79">
        <f>EFEITO!$N$438*EFEITO!$AA$438</f>
        <v>0</v>
      </c>
      <c r="M438" s="79">
        <f ca="1">$J$438-EFEITO!$K$438*EFEITO!$Y$438</f>
        <v>0</v>
      </c>
      <c r="N438" s="79">
        <f>$K$438-EFEITO!$M$438*EFEITO!$Z$438</f>
        <v>0</v>
      </c>
      <c r="O438" s="79">
        <f>$L$438-EFEITO!$O$438*EFEITO!$AA$438</f>
        <v>0</v>
      </c>
      <c r="P438" s="18"/>
      <c r="Q438" s="18"/>
      <c r="R438" s="18"/>
      <c r="S438" s="18"/>
      <c r="T438" s="18"/>
      <c r="U438" s="18"/>
      <c r="V438" s="18"/>
      <c r="W438" s="18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70" t="s">
        <v>21</v>
      </c>
      <c r="B439" s="70" t="s">
        <v>35</v>
      </c>
      <c r="C439" s="70" t="s">
        <v>39</v>
      </c>
      <c r="D439" s="70" t="s">
        <v>34</v>
      </c>
      <c r="E439" s="70" t="s">
        <v>25</v>
      </c>
      <c r="F439" s="70" t="s">
        <v>25</v>
      </c>
      <c r="G439" s="70" t="s">
        <v>25</v>
      </c>
      <c r="H439" s="70" t="s">
        <v>25</v>
      </c>
      <c r="I439" s="78">
        <v>44682</v>
      </c>
      <c r="J439" s="79">
        <f ca="1">EFEITO!$J$439*EFEITO!$Y$439</f>
        <v>547096.81069321465</v>
      </c>
      <c r="K439" s="79">
        <f>EFEITO!$L$439*EFEITO!$Z$439</f>
        <v>0</v>
      </c>
      <c r="L439" s="79">
        <f>EFEITO!$N$439*EFEITO!$AA$439</f>
        <v>0</v>
      </c>
      <c r="M439" s="79">
        <f ca="1">$J$439-EFEITO!$K$439*EFEITO!$Y$439</f>
        <v>0</v>
      </c>
      <c r="N439" s="79">
        <f>$K$439-EFEITO!$M$439*EFEITO!$Z$439</f>
        <v>0</v>
      </c>
      <c r="O439" s="79">
        <f>$L$439-EFEITO!$O$439*EFEITO!$AA$439</f>
        <v>0</v>
      </c>
      <c r="P439" s="18"/>
      <c r="Q439" s="18"/>
      <c r="R439" s="18"/>
      <c r="S439" s="18"/>
      <c r="T439" s="18"/>
      <c r="U439" s="18"/>
      <c r="V439" s="18"/>
      <c r="W439" s="18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70" t="s">
        <v>27</v>
      </c>
      <c r="B440" s="70" t="s">
        <v>35</v>
      </c>
      <c r="C440" s="70" t="s">
        <v>39</v>
      </c>
      <c r="D440" s="70" t="s">
        <v>34</v>
      </c>
      <c r="E440" s="70" t="s">
        <v>25</v>
      </c>
      <c r="F440" s="70" t="s">
        <v>25</v>
      </c>
      <c r="G440" s="70" t="s">
        <v>25</v>
      </c>
      <c r="H440" s="70" t="s">
        <v>25</v>
      </c>
      <c r="I440" s="78">
        <v>44682</v>
      </c>
      <c r="J440" s="79">
        <f ca="1">EFEITO!$J$440*EFEITO!$Y$440</f>
        <v>-5177.0920021066795</v>
      </c>
      <c r="K440" s="79">
        <f>EFEITO!$L$440*EFEITO!$Z$440</f>
        <v>0</v>
      </c>
      <c r="L440" s="79">
        <f>EFEITO!$N$440*EFEITO!$AA$440</f>
        <v>0</v>
      </c>
      <c r="M440" s="79">
        <f ca="1">$J$440-EFEITO!$K$440*EFEITO!$Y$440</f>
        <v>0</v>
      </c>
      <c r="N440" s="79">
        <f>$K$440-EFEITO!$M$440*EFEITO!$Z$440</f>
        <v>0</v>
      </c>
      <c r="O440" s="79">
        <f>$L$440-EFEITO!$O$440*EFEITO!$AA$440</f>
        <v>0</v>
      </c>
      <c r="P440" s="18"/>
      <c r="Q440" s="18"/>
      <c r="R440" s="18"/>
      <c r="S440" s="18"/>
      <c r="T440" s="18"/>
      <c r="U440" s="18"/>
      <c r="V440" s="18"/>
      <c r="W440" s="18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70" t="s">
        <v>28</v>
      </c>
      <c r="B441" s="70" t="s">
        <v>35</v>
      </c>
      <c r="C441" s="70" t="s">
        <v>39</v>
      </c>
      <c r="D441" s="70" t="s">
        <v>34</v>
      </c>
      <c r="E441" s="70" t="s">
        <v>25</v>
      </c>
      <c r="F441" s="70" t="s">
        <v>25</v>
      </c>
      <c r="G441" s="70" t="s">
        <v>25</v>
      </c>
      <c r="H441" s="70" t="s">
        <v>25</v>
      </c>
      <c r="I441" s="78">
        <v>44682</v>
      </c>
      <c r="J441" s="79">
        <f ca="1">EFEITO!$J$441*EFEITO!$Y$441</f>
        <v>89259.156812792222</v>
      </c>
      <c r="K441" s="79">
        <f>EFEITO!$L$441*EFEITO!$Z$441</f>
        <v>0</v>
      </c>
      <c r="L441" s="79">
        <f>EFEITO!$N$441*EFEITO!$AA$441</f>
        <v>0</v>
      </c>
      <c r="M441" s="79">
        <f ca="1">$J$441-EFEITO!$K$441*EFEITO!$Y$441</f>
        <v>0</v>
      </c>
      <c r="N441" s="79">
        <f>$K$441-EFEITO!$M$441*EFEITO!$Z$441</f>
        <v>0</v>
      </c>
      <c r="O441" s="79">
        <f>$L$441-EFEITO!$O$441*EFEITO!$AA$441</f>
        <v>0</v>
      </c>
      <c r="P441" s="18"/>
      <c r="Q441" s="18"/>
      <c r="R441" s="18"/>
      <c r="S441" s="18"/>
      <c r="T441" s="18"/>
      <c r="U441" s="18"/>
      <c r="V441" s="18"/>
      <c r="W441" s="18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70" t="s">
        <v>21</v>
      </c>
      <c r="B442" s="70" t="s">
        <v>35</v>
      </c>
      <c r="C442" s="70" t="s">
        <v>39</v>
      </c>
      <c r="D442" s="70" t="s">
        <v>34</v>
      </c>
      <c r="E442" s="70" t="s">
        <v>25</v>
      </c>
      <c r="F442" s="70" t="s">
        <v>25</v>
      </c>
      <c r="G442" s="70" t="s">
        <v>25</v>
      </c>
      <c r="H442" s="70" t="s">
        <v>25</v>
      </c>
      <c r="I442" s="78">
        <v>44713</v>
      </c>
      <c r="J442" s="79">
        <f ca="1">EFEITO!$J$442*EFEITO!$Y$442</f>
        <v>545147.78782183328</v>
      </c>
      <c r="K442" s="79">
        <f>EFEITO!$L$442*EFEITO!$Z$442</f>
        <v>0</v>
      </c>
      <c r="L442" s="79">
        <f>EFEITO!$N$442*EFEITO!$AA$442</f>
        <v>0</v>
      </c>
      <c r="M442" s="79">
        <f ca="1">$J$442-EFEITO!$K$442*EFEITO!$Y$442</f>
        <v>0</v>
      </c>
      <c r="N442" s="79">
        <f>$K$442-EFEITO!$M$442*EFEITO!$Z$442</f>
        <v>0</v>
      </c>
      <c r="O442" s="79">
        <f>$L$442-EFEITO!$O$442*EFEITO!$AA$442</f>
        <v>0</v>
      </c>
      <c r="P442" s="18"/>
      <c r="Q442" s="18"/>
      <c r="R442" s="18"/>
      <c r="S442" s="18"/>
      <c r="T442" s="18"/>
      <c r="U442" s="18"/>
      <c r="V442" s="18"/>
      <c r="W442" s="18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70" t="s">
        <v>28</v>
      </c>
      <c r="B443" s="70" t="s">
        <v>35</v>
      </c>
      <c r="C443" s="70" t="s">
        <v>39</v>
      </c>
      <c r="D443" s="70" t="s">
        <v>34</v>
      </c>
      <c r="E443" s="70" t="s">
        <v>25</v>
      </c>
      <c r="F443" s="70" t="s">
        <v>25</v>
      </c>
      <c r="G443" s="70" t="s">
        <v>25</v>
      </c>
      <c r="H443" s="70" t="s">
        <v>25</v>
      </c>
      <c r="I443" s="78">
        <v>44713</v>
      </c>
      <c r="J443" s="79">
        <f ca="1">EFEITO!$J$443*EFEITO!$Y$443</f>
        <v>90142.30780138688</v>
      </c>
      <c r="K443" s="79">
        <f>EFEITO!$L$443*EFEITO!$Z$443</f>
        <v>0</v>
      </c>
      <c r="L443" s="79">
        <f>EFEITO!$N$443*EFEITO!$AA$443</f>
        <v>0</v>
      </c>
      <c r="M443" s="79">
        <f ca="1">$J$443-EFEITO!$K$443*EFEITO!$Y$443</f>
        <v>0</v>
      </c>
      <c r="N443" s="79">
        <f>$K$443-EFEITO!$M$443*EFEITO!$Z$443</f>
        <v>0</v>
      </c>
      <c r="O443" s="79">
        <f>$L$443-EFEITO!$O$443*EFEITO!$AA$443</f>
        <v>0</v>
      </c>
      <c r="P443" s="18"/>
      <c r="Q443" s="18"/>
      <c r="R443" s="18"/>
      <c r="S443" s="18"/>
      <c r="T443" s="18"/>
      <c r="U443" s="18"/>
      <c r="V443" s="18"/>
      <c r="W443" s="18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70" t="s">
        <v>21</v>
      </c>
      <c r="B444" s="70" t="s">
        <v>35</v>
      </c>
      <c r="C444" s="70" t="s">
        <v>39</v>
      </c>
      <c r="D444" s="70" t="s">
        <v>34</v>
      </c>
      <c r="E444" s="70" t="s">
        <v>25</v>
      </c>
      <c r="F444" s="70" t="s">
        <v>25</v>
      </c>
      <c r="G444" s="70" t="s">
        <v>25</v>
      </c>
      <c r="H444" s="70" t="s">
        <v>37</v>
      </c>
      <c r="I444" s="78">
        <v>44378</v>
      </c>
      <c r="J444" s="79">
        <f>EFEITO!$J$444*EFEITO!$Y$444</f>
        <v>0</v>
      </c>
      <c r="K444" s="79">
        <f ca="1">EFEITO!$L$444*EFEITO!$Z$444</f>
        <v>584061.65400973172</v>
      </c>
      <c r="L444" s="79">
        <f>EFEITO!$N$444*EFEITO!$AA$444</f>
        <v>88877.072672750888</v>
      </c>
      <c r="M444" s="79">
        <f>$J$444-EFEITO!$K$444*EFEITO!$Y$444</f>
        <v>0</v>
      </c>
      <c r="N444" s="79">
        <f ca="1">$K$444-EFEITO!$M$444*EFEITO!$Z$444</f>
        <v>0</v>
      </c>
      <c r="O444" s="79">
        <f>$L$444-EFEITO!$O$444*EFEITO!$AA$444</f>
        <v>0</v>
      </c>
      <c r="P444" s="18"/>
      <c r="Q444" s="18"/>
      <c r="R444" s="18"/>
      <c r="S444" s="18"/>
      <c r="T444" s="18"/>
      <c r="U444" s="18"/>
      <c r="V444" s="18"/>
      <c r="W444" s="18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70" t="s">
        <v>27</v>
      </c>
      <c r="B445" s="70" t="s">
        <v>35</v>
      </c>
      <c r="C445" s="70" t="s">
        <v>39</v>
      </c>
      <c r="D445" s="70" t="s">
        <v>34</v>
      </c>
      <c r="E445" s="70" t="s">
        <v>25</v>
      </c>
      <c r="F445" s="70" t="s">
        <v>25</v>
      </c>
      <c r="G445" s="70" t="s">
        <v>25</v>
      </c>
      <c r="H445" s="70" t="s">
        <v>37</v>
      </c>
      <c r="I445" s="78">
        <v>44378</v>
      </c>
      <c r="J445" s="79">
        <f>EFEITO!$J$445*EFEITO!$Y$445</f>
        <v>0</v>
      </c>
      <c r="K445" s="79">
        <f ca="1">EFEITO!$L$445*EFEITO!$Z$445</f>
        <v>-24184.936326736086</v>
      </c>
      <c r="L445" s="79">
        <f>EFEITO!$N$445*EFEITO!$AA$445</f>
        <v>-3680.2387705825336</v>
      </c>
      <c r="M445" s="79">
        <f>$J$445-EFEITO!$K$445*EFEITO!$Y$445</f>
        <v>0</v>
      </c>
      <c r="N445" s="79">
        <f ca="1">$K$445-EFEITO!$M$445*EFEITO!$Z$445</f>
        <v>0</v>
      </c>
      <c r="O445" s="79">
        <f>$L$445-EFEITO!$O$445*EFEITO!$AA$445</f>
        <v>0</v>
      </c>
      <c r="P445" s="18"/>
      <c r="Q445" s="18"/>
      <c r="R445" s="18"/>
      <c r="S445" s="18"/>
      <c r="T445" s="18"/>
      <c r="U445" s="18"/>
      <c r="V445" s="18"/>
      <c r="W445" s="18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70" t="s">
        <v>28</v>
      </c>
      <c r="B446" s="70" t="s">
        <v>35</v>
      </c>
      <c r="C446" s="70" t="s">
        <v>39</v>
      </c>
      <c r="D446" s="70" t="s">
        <v>34</v>
      </c>
      <c r="E446" s="70" t="s">
        <v>25</v>
      </c>
      <c r="F446" s="70" t="s">
        <v>25</v>
      </c>
      <c r="G446" s="70" t="s">
        <v>25</v>
      </c>
      <c r="H446" s="70" t="s">
        <v>37</v>
      </c>
      <c r="I446" s="78">
        <v>44378</v>
      </c>
      <c r="J446" s="79">
        <f>EFEITO!$J$446*EFEITO!$Y$446</f>
        <v>0</v>
      </c>
      <c r="K446" s="79">
        <f ca="1">EFEITO!$L$446*EFEITO!$Z$446</f>
        <v>14523.985455883727</v>
      </c>
      <c r="L446" s="79">
        <f>EFEITO!$N$446*EFEITO!$AA$446</f>
        <v>2210.1250818274857</v>
      </c>
      <c r="M446" s="79">
        <f>$J$446-EFEITO!$K$446*EFEITO!$Y$446</f>
        <v>0</v>
      </c>
      <c r="N446" s="79">
        <f ca="1">$K$446-EFEITO!$M$446*EFEITO!$Z$446</f>
        <v>0</v>
      </c>
      <c r="O446" s="79">
        <f>$L$446-EFEITO!$O$446*EFEITO!$AA$446</f>
        <v>0</v>
      </c>
      <c r="P446" s="18"/>
      <c r="Q446" s="18"/>
      <c r="R446" s="18"/>
      <c r="S446" s="18"/>
      <c r="T446" s="18"/>
      <c r="U446" s="18"/>
      <c r="V446" s="18"/>
      <c r="W446" s="18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70" t="s">
        <v>21</v>
      </c>
      <c r="B447" s="70" t="s">
        <v>35</v>
      </c>
      <c r="C447" s="70" t="s">
        <v>39</v>
      </c>
      <c r="D447" s="70" t="s">
        <v>34</v>
      </c>
      <c r="E447" s="70" t="s">
        <v>25</v>
      </c>
      <c r="F447" s="70" t="s">
        <v>25</v>
      </c>
      <c r="G447" s="70" t="s">
        <v>25</v>
      </c>
      <c r="H447" s="70" t="s">
        <v>37</v>
      </c>
      <c r="I447" s="78">
        <v>44409</v>
      </c>
      <c r="J447" s="79">
        <f>EFEITO!$J$447*EFEITO!$Y$447</f>
        <v>0</v>
      </c>
      <c r="K447" s="79">
        <f ca="1">EFEITO!$L$447*EFEITO!$Z$447</f>
        <v>533677.02117869025</v>
      </c>
      <c r="L447" s="79">
        <f>EFEITO!$N$447*EFEITO!$AA$447</f>
        <v>81210.007658344504</v>
      </c>
      <c r="M447" s="79">
        <f>$J$447-EFEITO!$K$447*EFEITO!$Y$447</f>
        <v>0</v>
      </c>
      <c r="N447" s="79">
        <f ca="1">$K$447-EFEITO!$M$447*EFEITO!$Z$447</f>
        <v>0</v>
      </c>
      <c r="O447" s="79">
        <f>$L$447-EFEITO!$O$447*EFEITO!$AA$447</f>
        <v>0</v>
      </c>
      <c r="P447" s="18"/>
      <c r="Q447" s="18"/>
      <c r="R447" s="18"/>
      <c r="S447" s="18"/>
      <c r="T447" s="18"/>
      <c r="U447" s="18"/>
      <c r="V447" s="18"/>
      <c r="W447" s="18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70" t="s">
        <v>28</v>
      </c>
      <c r="B448" s="70" t="s">
        <v>35</v>
      </c>
      <c r="C448" s="70" t="s">
        <v>39</v>
      </c>
      <c r="D448" s="70" t="s">
        <v>34</v>
      </c>
      <c r="E448" s="70" t="s">
        <v>25</v>
      </c>
      <c r="F448" s="70" t="s">
        <v>25</v>
      </c>
      <c r="G448" s="70" t="s">
        <v>25</v>
      </c>
      <c r="H448" s="70" t="s">
        <v>37</v>
      </c>
      <c r="I448" s="78">
        <v>44409</v>
      </c>
      <c r="J448" s="79">
        <f>EFEITO!$J$448*EFEITO!$Y$448</f>
        <v>0</v>
      </c>
      <c r="K448" s="79">
        <f ca="1">EFEITO!$L$448*EFEITO!$Z$448</f>
        <v>20893.857484643348</v>
      </c>
      <c r="L448" s="79">
        <f>EFEITO!$N$448*EFEITO!$AA$448</f>
        <v>3179.43298850057</v>
      </c>
      <c r="M448" s="79">
        <f>$J$448-EFEITO!$K$448*EFEITO!$Y$448</f>
        <v>0</v>
      </c>
      <c r="N448" s="79">
        <f ca="1">$K$448-EFEITO!$M$448*EFEITO!$Z$448</f>
        <v>0</v>
      </c>
      <c r="O448" s="79">
        <f>$L$448-EFEITO!$O$448*EFEITO!$AA$448</f>
        <v>0</v>
      </c>
      <c r="P448" s="18"/>
      <c r="Q448" s="18"/>
      <c r="R448" s="18"/>
      <c r="S448" s="18"/>
      <c r="T448" s="18"/>
      <c r="U448" s="18"/>
      <c r="V448" s="18"/>
      <c r="W448" s="18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70" t="s">
        <v>21</v>
      </c>
      <c r="B449" s="70" t="s">
        <v>35</v>
      </c>
      <c r="C449" s="70" t="s">
        <v>39</v>
      </c>
      <c r="D449" s="70" t="s">
        <v>34</v>
      </c>
      <c r="E449" s="70" t="s">
        <v>25</v>
      </c>
      <c r="F449" s="70" t="s">
        <v>25</v>
      </c>
      <c r="G449" s="70" t="s">
        <v>25</v>
      </c>
      <c r="H449" s="70" t="s">
        <v>37</v>
      </c>
      <c r="I449" s="78">
        <v>44440</v>
      </c>
      <c r="J449" s="79">
        <f>EFEITO!$J$449*EFEITO!$Y$449</f>
        <v>0</v>
      </c>
      <c r="K449" s="79">
        <f ca="1">EFEITO!$L$449*EFEITO!$Z$449</f>
        <v>516312.57551124971</v>
      </c>
      <c r="L449" s="79">
        <f>EFEITO!$N$449*EFEITO!$AA$449</f>
        <v>78567.647748372678</v>
      </c>
      <c r="M449" s="79">
        <f>$J$449-EFEITO!$K$449*EFEITO!$Y$449</f>
        <v>0</v>
      </c>
      <c r="N449" s="79">
        <f ca="1">$K$449-EFEITO!$M$449*EFEITO!$Z$449</f>
        <v>0</v>
      </c>
      <c r="O449" s="79">
        <f>$L$449-EFEITO!$O$449*EFEITO!$AA$449</f>
        <v>0</v>
      </c>
      <c r="P449" s="18"/>
      <c r="Q449" s="18"/>
      <c r="R449" s="18"/>
      <c r="S449" s="18"/>
      <c r="T449" s="18"/>
      <c r="U449" s="18"/>
      <c r="V449" s="18"/>
      <c r="W449" s="18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70" t="s">
        <v>28</v>
      </c>
      <c r="B450" s="70" t="s">
        <v>35</v>
      </c>
      <c r="C450" s="70" t="s">
        <v>39</v>
      </c>
      <c r="D450" s="70" t="s">
        <v>34</v>
      </c>
      <c r="E450" s="70" t="s">
        <v>25</v>
      </c>
      <c r="F450" s="70" t="s">
        <v>25</v>
      </c>
      <c r="G450" s="70" t="s">
        <v>25</v>
      </c>
      <c r="H450" s="70" t="s">
        <v>37</v>
      </c>
      <c r="I450" s="78">
        <v>44440</v>
      </c>
      <c r="J450" s="79">
        <f>EFEITO!$J$450*EFEITO!$Y$450</f>
        <v>0</v>
      </c>
      <c r="K450" s="79">
        <f ca="1">EFEITO!$L$450*EFEITO!$Z$450</f>
        <v>17930.974870570943</v>
      </c>
      <c r="L450" s="79">
        <f>EFEITO!$N$450*EFEITO!$AA$450</f>
        <v>2728.5690572633453</v>
      </c>
      <c r="M450" s="79">
        <f>$J$450-EFEITO!$K$450*EFEITO!$Y$450</f>
        <v>0</v>
      </c>
      <c r="N450" s="79">
        <f ca="1">$K$450-EFEITO!$M$450*EFEITO!$Z$450</f>
        <v>0</v>
      </c>
      <c r="O450" s="79">
        <f>$L$450-EFEITO!$O$450*EFEITO!$AA$450</f>
        <v>0</v>
      </c>
      <c r="P450" s="18"/>
      <c r="Q450" s="18"/>
      <c r="R450" s="18"/>
      <c r="S450" s="18"/>
      <c r="T450" s="18"/>
      <c r="U450" s="18"/>
      <c r="V450" s="18"/>
      <c r="W450" s="18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70" t="s">
        <v>21</v>
      </c>
      <c r="B451" s="70" t="s">
        <v>35</v>
      </c>
      <c r="C451" s="70" t="s">
        <v>39</v>
      </c>
      <c r="D451" s="70" t="s">
        <v>34</v>
      </c>
      <c r="E451" s="70" t="s">
        <v>25</v>
      </c>
      <c r="F451" s="70" t="s">
        <v>25</v>
      </c>
      <c r="G451" s="70" t="s">
        <v>25</v>
      </c>
      <c r="H451" s="70" t="s">
        <v>37</v>
      </c>
      <c r="I451" s="78">
        <v>44470</v>
      </c>
      <c r="J451" s="79">
        <f>EFEITO!$J$451*EFEITO!$Y$451</f>
        <v>0</v>
      </c>
      <c r="K451" s="79">
        <f ca="1">EFEITO!$L$451*EFEITO!$Z$451</f>
        <v>483770.3566638531</v>
      </c>
      <c r="L451" s="79">
        <f>EFEITO!$N$451*EFEITO!$AA$451</f>
        <v>73615.675418779472</v>
      </c>
      <c r="M451" s="79">
        <f>$J$451-EFEITO!$K$451*EFEITO!$Y$451</f>
        <v>0</v>
      </c>
      <c r="N451" s="79">
        <f ca="1">$K$451-EFEITO!$M$451*EFEITO!$Z$451</f>
        <v>0</v>
      </c>
      <c r="O451" s="79">
        <f>$L$451-EFEITO!$O$451*EFEITO!$AA$451</f>
        <v>0</v>
      </c>
      <c r="P451" s="18"/>
      <c r="Q451" s="18"/>
      <c r="R451" s="18"/>
      <c r="S451" s="18"/>
      <c r="T451" s="18"/>
      <c r="U451" s="18"/>
      <c r="V451" s="18"/>
      <c r="W451" s="18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70" t="s">
        <v>28</v>
      </c>
      <c r="B452" s="70" t="s">
        <v>35</v>
      </c>
      <c r="C452" s="70" t="s">
        <v>39</v>
      </c>
      <c r="D452" s="70" t="s">
        <v>34</v>
      </c>
      <c r="E452" s="70" t="s">
        <v>25</v>
      </c>
      <c r="F452" s="70" t="s">
        <v>25</v>
      </c>
      <c r="G452" s="70" t="s">
        <v>25</v>
      </c>
      <c r="H452" s="70" t="s">
        <v>37</v>
      </c>
      <c r="I452" s="78">
        <v>44470</v>
      </c>
      <c r="J452" s="79">
        <f>EFEITO!$J$452*EFEITO!$Y$452</f>
        <v>0</v>
      </c>
      <c r="K452" s="79">
        <f ca="1">EFEITO!$L$452*EFEITO!$Z$452</f>
        <v>13044.497697823836</v>
      </c>
      <c r="L452" s="79">
        <f>EFEITO!$N$452*EFEITO!$AA$452</f>
        <v>1984.9903891305685</v>
      </c>
      <c r="M452" s="79">
        <f>$J$452-EFEITO!$K$452*EFEITO!$Y$452</f>
        <v>0</v>
      </c>
      <c r="N452" s="79">
        <f ca="1">$K$452-EFEITO!$M$452*EFEITO!$Z$452</f>
        <v>0</v>
      </c>
      <c r="O452" s="79">
        <f>$L$452-EFEITO!$O$452*EFEITO!$AA$452</f>
        <v>0</v>
      </c>
      <c r="P452" s="18"/>
      <c r="Q452" s="18"/>
      <c r="R452" s="18"/>
      <c r="S452" s="18"/>
      <c r="T452" s="18"/>
      <c r="U452" s="18"/>
      <c r="V452" s="18"/>
      <c r="W452" s="18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70" t="s">
        <v>21</v>
      </c>
      <c r="B453" s="70" t="s">
        <v>35</v>
      </c>
      <c r="C453" s="70" t="s">
        <v>39</v>
      </c>
      <c r="D453" s="70" t="s">
        <v>34</v>
      </c>
      <c r="E453" s="70" t="s">
        <v>25</v>
      </c>
      <c r="F453" s="70" t="s">
        <v>25</v>
      </c>
      <c r="G453" s="70" t="s">
        <v>25</v>
      </c>
      <c r="H453" s="70" t="s">
        <v>37</v>
      </c>
      <c r="I453" s="78">
        <v>44501</v>
      </c>
      <c r="J453" s="79">
        <f>EFEITO!$J$453*EFEITO!$Y$453</f>
        <v>0</v>
      </c>
      <c r="K453" s="79">
        <f ca="1">EFEITO!$L$453*EFEITO!$Z$453</f>
        <v>241837.64197350299</v>
      </c>
      <c r="L453" s="79">
        <f>EFEITO!$N$453*EFEITO!$AA$453</f>
        <v>36800.604068295164</v>
      </c>
      <c r="M453" s="79">
        <f>$J$453-EFEITO!$K$453*EFEITO!$Y$453</f>
        <v>0</v>
      </c>
      <c r="N453" s="79">
        <f ca="1">$K$453-EFEITO!$M$453*EFEITO!$Z$453</f>
        <v>0</v>
      </c>
      <c r="O453" s="79">
        <f>$L$453-EFEITO!$O$453*EFEITO!$AA$453</f>
        <v>0</v>
      </c>
      <c r="P453" s="18"/>
      <c r="Q453" s="18"/>
      <c r="R453" s="18"/>
      <c r="S453" s="18"/>
      <c r="T453" s="18"/>
      <c r="U453" s="18"/>
      <c r="V453" s="18"/>
      <c r="W453" s="18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70" t="s">
        <v>28</v>
      </c>
      <c r="B454" s="70" t="s">
        <v>35</v>
      </c>
      <c r="C454" s="70" t="s">
        <v>39</v>
      </c>
      <c r="D454" s="70" t="s">
        <v>34</v>
      </c>
      <c r="E454" s="70" t="s">
        <v>25</v>
      </c>
      <c r="F454" s="70" t="s">
        <v>25</v>
      </c>
      <c r="G454" s="70" t="s">
        <v>25</v>
      </c>
      <c r="H454" s="70" t="s">
        <v>37</v>
      </c>
      <c r="I454" s="78">
        <v>44501</v>
      </c>
      <c r="J454" s="79">
        <f>EFEITO!$J$454*EFEITO!$Y$454</f>
        <v>0</v>
      </c>
      <c r="K454" s="79">
        <f ca="1">EFEITO!$L$454*EFEITO!$Z$454</f>
        <v>9179.0754566955256</v>
      </c>
      <c r="L454" s="79">
        <f>EFEITO!$N$454*EFEITO!$AA$454</f>
        <v>1396.7863680703122</v>
      </c>
      <c r="M454" s="79">
        <f>$J$454-EFEITO!$K$454*EFEITO!$Y$454</f>
        <v>0</v>
      </c>
      <c r="N454" s="79">
        <f ca="1">$K$454-EFEITO!$M$454*EFEITO!$Z$454</f>
        <v>0</v>
      </c>
      <c r="O454" s="79">
        <f>$L$454-EFEITO!$O$454*EFEITO!$AA$454</f>
        <v>0</v>
      </c>
      <c r="P454" s="18"/>
      <c r="Q454" s="18"/>
      <c r="R454" s="18"/>
      <c r="S454" s="18"/>
      <c r="T454" s="18"/>
      <c r="U454" s="18"/>
      <c r="V454" s="18"/>
      <c r="W454" s="18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70" t="s">
        <v>21</v>
      </c>
      <c r="B455" s="70" t="s">
        <v>35</v>
      </c>
      <c r="C455" s="70" t="s">
        <v>39</v>
      </c>
      <c r="D455" s="70" t="s">
        <v>34</v>
      </c>
      <c r="E455" s="70" t="s">
        <v>25</v>
      </c>
      <c r="F455" s="70" t="s">
        <v>25</v>
      </c>
      <c r="G455" s="70" t="s">
        <v>25</v>
      </c>
      <c r="H455" s="70" t="s">
        <v>37</v>
      </c>
      <c r="I455" s="78">
        <v>44531</v>
      </c>
      <c r="J455" s="79">
        <f>EFEITO!$J$455*EFEITO!$Y$455</f>
        <v>0</v>
      </c>
      <c r="K455" s="79">
        <f ca="1">EFEITO!$L$455*EFEITO!$Z$455</f>
        <v>239562.40859909219</v>
      </c>
      <c r="L455" s="79">
        <f>EFEITO!$N$455*EFEITO!$AA$455</f>
        <v>36454.380205494534</v>
      </c>
      <c r="M455" s="79">
        <f>$J$455-EFEITO!$K$455*EFEITO!$Y$455</f>
        <v>0</v>
      </c>
      <c r="N455" s="79">
        <f ca="1">$K$455-EFEITO!$M$455*EFEITO!$Z$455</f>
        <v>0</v>
      </c>
      <c r="O455" s="79">
        <f>$L$455-EFEITO!$O$455*EFEITO!$AA$455</f>
        <v>0</v>
      </c>
      <c r="P455" s="18"/>
      <c r="Q455" s="18"/>
      <c r="R455" s="18"/>
      <c r="S455" s="18"/>
      <c r="T455" s="18"/>
      <c r="U455" s="18"/>
      <c r="V455" s="18"/>
      <c r="W455" s="18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70" t="s">
        <v>21</v>
      </c>
      <c r="B456" s="70" t="s">
        <v>35</v>
      </c>
      <c r="C456" s="70" t="s">
        <v>39</v>
      </c>
      <c r="D456" s="70" t="s">
        <v>34</v>
      </c>
      <c r="E456" s="70" t="s">
        <v>25</v>
      </c>
      <c r="F456" s="70" t="s">
        <v>25</v>
      </c>
      <c r="G456" s="70" t="s">
        <v>25</v>
      </c>
      <c r="H456" s="70" t="s">
        <v>37</v>
      </c>
      <c r="I456" s="78">
        <v>44562</v>
      </c>
      <c r="J456" s="79">
        <f>EFEITO!$J$456*EFEITO!$Y$456</f>
        <v>0</v>
      </c>
      <c r="K456" s="79">
        <f ca="1">EFEITO!$L$456*EFEITO!$Z$456</f>
        <v>571362.28329772293</v>
      </c>
      <c r="L456" s="79">
        <f>EFEITO!$N$456*EFEITO!$AA$456</f>
        <v>86944.600499786422</v>
      </c>
      <c r="M456" s="79">
        <f>$J$456-EFEITO!$K$456*EFEITO!$Y$456</f>
        <v>0</v>
      </c>
      <c r="N456" s="79">
        <f ca="1">$K$456-EFEITO!$M$456*EFEITO!$Z$456</f>
        <v>0</v>
      </c>
      <c r="O456" s="79">
        <f>$L$456-EFEITO!$O$456*EFEITO!$AA$456</f>
        <v>0</v>
      </c>
      <c r="P456" s="18"/>
      <c r="Q456" s="18"/>
      <c r="R456" s="18"/>
      <c r="S456" s="18"/>
      <c r="T456" s="18"/>
      <c r="U456" s="18"/>
      <c r="V456" s="18"/>
      <c r="W456" s="18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70" t="s">
        <v>27</v>
      </c>
      <c r="B457" s="70" t="s">
        <v>35</v>
      </c>
      <c r="C457" s="70" t="s">
        <v>39</v>
      </c>
      <c r="D457" s="70" t="s">
        <v>34</v>
      </c>
      <c r="E457" s="70" t="s">
        <v>25</v>
      </c>
      <c r="F457" s="70" t="s">
        <v>25</v>
      </c>
      <c r="G457" s="70" t="s">
        <v>25</v>
      </c>
      <c r="H457" s="70" t="s">
        <v>37</v>
      </c>
      <c r="I457" s="78">
        <v>44562</v>
      </c>
      <c r="J457" s="79">
        <f>EFEITO!$J$457*EFEITO!$Y$457</f>
        <v>0</v>
      </c>
      <c r="K457" s="79">
        <f ca="1">EFEITO!$L$457*EFEITO!$Z$457</f>
        <v>-336915.56828459835</v>
      </c>
      <c r="L457" s="79">
        <f>EFEITO!$N$457*EFEITO!$AA$457</f>
        <v>-51268.67898523686</v>
      </c>
      <c r="M457" s="79">
        <f>$J$457-EFEITO!$K$457*EFEITO!$Y$457</f>
        <v>0</v>
      </c>
      <c r="N457" s="79">
        <f ca="1">$K$457-EFEITO!$M$457*EFEITO!$Z$457</f>
        <v>0</v>
      </c>
      <c r="O457" s="79">
        <f>$L$457-EFEITO!$O$457*EFEITO!$AA$457</f>
        <v>0</v>
      </c>
      <c r="P457" s="18"/>
      <c r="Q457" s="18"/>
      <c r="R457" s="18"/>
      <c r="S457" s="18"/>
      <c r="T457" s="18"/>
      <c r="U457" s="18"/>
      <c r="V457" s="18"/>
      <c r="W457" s="18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70" t="s">
        <v>28</v>
      </c>
      <c r="B458" s="70" t="s">
        <v>35</v>
      </c>
      <c r="C458" s="70" t="s">
        <v>39</v>
      </c>
      <c r="D458" s="70" t="s">
        <v>34</v>
      </c>
      <c r="E458" s="70" t="s">
        <v>25</v>
      </c>
      <c r="F458" s="70" t="s">
        <v>25</v>
      </c>
      <c r="G458" s="70" t="s">
        <v>25</v>
      </c>
      <c r="H458" s="70" t="s">
        <v>37</v>
      </c>
      <c r="I458" s="78">
        <v>44562</v>
      </c>
      <c r="J458" s="79">
        <f>EFEITO!$J$458*EFEITO!$Y$458</f>
        <v>0</v>
      </c>
      <c r="K458" s="79">
        <f ca="1">EFEITO!$L$458*EFEITO!$Z$458</f>
        <v>23736.922428168651</v>
      </c>
      <c r="L458" s="79">
        <f>EFEITO!$N$458*EFEITO!$AA$458</f>
        <v>3612.0641805405089</v>
      </c>
      <c r="M458" s="79">
        <f>$J$458-EFEITO!$K$458*EFEITO!$Y$458</f>
        <v>0</v>
      </c>
      <c r="N458" s="79">
        <f ca="1">$K$458-EFEITO!$M$458*EFEITO!$Z$458</f>
        <v>0</v>
      </c>
      <c r="O458" s="79">
        <f>$L$458-EFEITO!$O$458*EFEITO!$AA$458</f>
        <v>0</v>
      </c>
      <c r="P458" s="18"/>
      <c r="Q458" s="18"/>
      <c r="R458" s="18"/>
      <c r="S458" s="18"/>
      <c r="T458" s="18"/>
      <c r="U458" s="18"/>
      <c r="V458" s="18"/>
      <c r="W458" s="18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70" t="s">
        <v>21</v>
      </c>
      <c r="B459" s="70" t="s">
        <v>35</v>
      </c>
      <c r="C459" s="70" t="s">
        <v>39</v>
      </c>
      <c r="D459" s="70" t="s">
        <v>34</v>
      </c>
      <c r="E459" s="70" t="s">
        <v>25</v>
      </c>
      <c r="F459" s="70" t="s">
        <v>25</v>
      </c>
      <c r="G459" s="70" t="s">
        <v>25</v>
      </c>
      <c r="H459" s="70" t="s">
        <v>37</v>
      </c>
      <c r="I459" s="78">
        <v>44593</v>
      </c>
      <c r="J459" s="79">
        <f>EFEITO!$J$459*EFEITO!$Y$459</f>
        <v>0</v>
      </c>
      <c r="K459" s="79">
        <f ca="1">EFEITO!$L$459*EFEITO!$Z$459</f>
        <v>206262.21274888678</v>
      </c>
      <c r="L459" s="79">
        <f>EFEITO!$N$459*EFEITO!$AA$459</f>
        <v>31387.065982283722</v>
      </c>
      <c r="M459" s="79">
        <f>$J$459-EFEITO!$K$459*EFEITO!$Y$459</f>
        <v>0</v>
      </c>
      <c r="N459" s="79">
        <f ca="1">$K$459-EFEITO!$M$459*EFEITO!$Z$459</f>
        <v>0</v>
      </c>
      <c r="O459" s="79">
        <f>$L$459-EFEITO!$O$459*EFEITO!$AA$459</f>
        <v>0</v>
      </c>
      <c r="P459" s="18"/>
      <c r="Q459" s="18"/>
      <c r="R459" s="18"/>
      <c r="S459" s="18"/>
      <c r="T459" s="18"/>
      <c r="U459" s="18"/>
      <c r="V459" s="18"/>
      <c r="W459" s="18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70" t="s">
        <v>27</v>
      </c>
      <c r="B460" s="70" t="s">
        <v>35</v>
      </c>
      <c r="C460" s="70" t="s">
        <v>39</v>
      </c>
      <c r="D460" s="70" t="s">
        <v>34</v>
      </c>
      <c r="E460" s="70" t="s">
        <v>25</v>
      </c>
      <c r="F460" s="70" t="s">
        <v>25</v>
      </c>
      <c r="G460" s="70" t="s">
        <v>25</v>
      </c>
      <c r="H460" s="70" t="s">
        <v>37</v>
      </c>
      <c r="I460" s="78">
        <v>44593</v>
      </c>
      <c r="J460" s="79">
        <f>EFEITO!$J$460*EFEITO!$Y$460</f>
        <v>0</v>
      </c>
      <c r="K460" s="79">
        <f ca="1">EFEITO!$L$460*EFEITO!$Z$460</f>
        <v>-147.16735621546459</v>
      </c>
      <c r="L460" s="79">
        <f>EFEITO!$N$460*EFEITO!$AA$460</f>
        <v>-22.394560101013802</v>
      </c>
      <c r="M460" s="79">
        <f>$J$460-EFEITO!$K$460*EFEITO!$Y$460</f>
        <v>0</v>
      </c>
      <c r="N460" s="79">
        <f ca="1">$K$460-EFEITO!$M$460*EFEITO!$Z$460</f>
        <v>0</v>
      </c>
      <c r="O460" s="79">
        <f>$L$460-EFEITO!$O$460*EFEITO!$AA$460</f>
        <v>0</v>
      </c>
      <c r="P460" s="18"/>
      <c r="Q460" s="18"/>
      <c r="R460" s="18"/>
      <c r="S460" s="18"/>
      <c r="T460" s="18"/>
      <c r="U460" s="18"/>
      <c r="V460" s="18"/>
      <c r="W460" s="18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70" t="s">
        <v>28</v>
      </c>
      <c r="B461" s="70" t="s">
        <v>35</v>
      </c>
      <c r="C461" s="70" t="s">
        <v>39</v>
      </c>
      <c r="D461" s="70" t="s">
        <v>34</v>
      </c>
      <c r="E461" s="70" t="s">
        <v>25</v>
      </c>
      <c r="F461" s="70" t="s">
        <v>25</v>
      </c>
      <c r="G461" s="70" t="s">
        <v>25</v>
      </c>
      <c r="H461" s="70" t="s">
        <v>37</v>
      </c>
      <c r="I461" s="78">
        <v>44593</v>
      </c>
      <c r="J461" s="79">
        <f>EFEITO!$J$461*EFEITO!$Y$461</f>
        <v>0</v>
      </c>
      <c r="K461" s="79">
        <f ca="1">EFEITO!$L$461*EFEITO!$Z$461</f>
        <v>43054.91707192074</v>
      </c>
      <c r="L461" s="79">
        <f>EFEITO!$N$461*EFEITO!$AA$461</f>
        <v>6551.6970122072144</v>
      </c>
      <c r="M461" s="79">
        <f>$J$461-EFEITO!$K$461*EFEITO!$Y$461</f>
        <v>0</v>
      </c>
      <c r="N461" s="79">
        <f ca="1">$K$461-EFEITO!$M$461*EFEITO!$Z$461</f>
        <v>0</v>
      </c>
      <c r="O461" s="79">
        <f>$L$461-EFEITO!$O$461*EFEITO!$AA$461</f>
        <v>0</v>
      </c>
      <c r="P461" s="18"/>
      <c r="Q461" s="18"/>
      <c r="R461" s="18"/>
      <c r="S461" s="18"/>
      <c r="T461" s="18"/>
      <c r="U461" s="18"/>
      <c r="V461" s="18"/>
      <c r="W461" s="18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70" t="s">
        <v>21</v>
      </c>
      <c r="B462" s="70" t="s">
        <v>35</v>
      </c>
      <c r="C462" s="70" t="s">
        <v>39</v>
      </c>
      <c r="D462" s="70" t="s">
        <v>34</v>
      </c>
      <c r="E462" s="70" t="s">
        <v>25</v>
      </c>
      <c r="F462" s="70" t="s">
        <v>25</v>
      </c>
      <c r="G462" s="70" t="s">
        <v>25</v>
      </c>
      <c r="H462" s="70" t="s">
        <v>37</v>
      </c>
      <c r="I462" s="78">
        <v>44621</v>
      </c>
      <c r="J462" s="79">
        <f>EFEITO!$J$462*EFEITO!$Y$462</f>
        <v>0</v>
      </c>
      <c r="K462" s="79">
        <f ca="1">EFEITO!$L$462*EFEITO!$Z$462</f>
        <v>199807.68693115367</v>
      </c>
      <c r="L462" s="79">
        <f>EFEITO!$N$462*EFEITO!$AA$462</f>
        <v>30404.876249003864</v>
      </c>
      <c r="M462" s="79">
        <f>$J$462-EFEITO!$K$462*EFEITO!$Y$462</f>
        <v>0</v>
      </c>
      <c r="N462" s="79">
        <f ca="1">$K$462-EFEITO!$M$462*EFEITO!$Z$462</f>
        <v>0</v>
      </c>
      <c r="O462" s="79">
        <f>$L$462-EFEITO!$O$462*EFEITO!$AA$462</f>
        <v>0</v>
      </c>
      <c r="P462" s="18"/>
      <c r="Q462" s="18"/>
      <c r="R462" s="18"/>
      <c r="S462" s="18"/>
      <c r="T462" s="18"/>
      <c r="U462" s="18"/>
      <c r="V462" s="18"/>
      <c r="W462" s="18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70" t="s">
        <v>28</v>
      </c>
      <c r="B463" s="70" t="s">
        <v>35</v>
      </c>
      <c r="C463" s="70" t="s">
        <v>39</v>
      </c>
      <c r="D463" s="70" t="s">
        <v>34</v>
      </c>
      <c r="E463" s="70" t="s">
        <v>25</v>
      </c>
      <c r="F463" s="70" t="s">
        <v>25</v>
      </c>
      <c r="G463" s="70" t="s">
        <v>25</v>
      </c>
      <c r="H463" s="70" t="s">
        <v>37</v>
      </c>
      <c r="I463" s="78">
        <v>44621</v>
      </c>
      <c r="J463" s="79">
        <f>EFEITO!$J$463*EFEITO!$Y$463</f>
        <v>0</v>
      </c>
      <c r="K463" s="79">
        <f ca="1">EFEITO!$L$463*EFEITO!$Z$463</f>
        <v>43288.040583093913</v>
      </c>
      <c r="L463" s="79">
        <f>EFEITO!$N$463*EFEITO!$AA$463</f>
        <v>6587.1715808628023</v>
      </c>
      <c r="M463" s="79">
        <f>$J$463-EFEITO!$K$463*EFEITO!$Y$463</f>
        <v>0</v>
      </c>
      <c r="N463" s="79">
        <f ca="1">$K$463-EFEITO!$M$463*EFEITO!$Z$463</f>
        <v>0</v>
      </c>
      <c r="O463" s="79">
        <f>$L$463-EFEITO!$O$463*EFEITO!$AA$463</f>
        <v>0</v>
      </c>
      <c r="P463" s="18"/>
      <c r="Q463" s="18"/>
      <c r="R463" s="18"/>
      <c r="S463" s="18"/>
      <c r="T463" s="18"/>
      <c r="U463" s="18"/>
      <c r="V463" s="18"/>
      <c r="W463" s="18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70" t="s">
        <v>21</v>
      </c>
      <c r="B464" s="70" t="s">
        <v>35</v>
      </c>
      <c r="C464" s="70" t="s">
        <v>39</v>
      </c>
      <c r="D464" s="70" t="s">
        <v>34</v>
      </c>
      <c r="E464" s="70" t="s">
        <v>25</v>
      </c>
      <c r="F464" s="70" t="s">
        <v>25</v>
      </c>
      <c r="G464" s="70" t="s">
        <v>25</v>
      </c>
      <c r="H464" s="70" t="s">
        <v>37</v>
      </c>
      <c r="I464" s="78">
        <v>44652</v>
      </c>
      <c r="J464" s="79">
        <f>EFEITO!$J$464*EFEITO!$Y$464</f>
        <v>0</v>
      </c>
      <c r="K464" s="79">
        <f ca="1">EFEITO!$L$464*EFEITO!$Z$464</f>
        <v>302339.05376986938</v>
      </c>
      <c r="L464" s="79">
        <f>EFEITO!$N$464*EFEITO!$AA$464</f>
        <v>46007.146453185393</v>
      </c>
      <c r="M464" s="79">
        <f>$J$464-EFEITO!$K$464*EFEITO!$Y$464</f>
        <v>0</v>
      </c>
      <c r="N464" s="79">
        <f ca="1">$K$464-EFEITO!$M$464*EFEITO!$Z$464</f>
        <v>0</v>
      </c>
      <c r="O464" s="79">
        <f>$L$464-EFEITO!$O$464*EFEITO!$AA$464</f>
        <v>0</v>
      </c>
      <c r="P464" s="18"/>
      <c r="Q464" s="18"/>
      <c r="R464" s="18"/>
      <c r="S464" s="18"/>
      <c r="T464" s="18"/>
      <c r="U464" s="18"/>
      <c r="V464" s="18"/>
      <c r="W464" s="18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70" t="s">
        <v>27</v>
      </c>
      <c r="B465" s="70" t="s">
        <v>35</v>
      </c>
      <c r="C465" s="70" t="s">
        <v>39</v>
      </c>
      <c r="D465" s="70" t="s">
        <v>34</v>
      </c>
      <c r="E465" s="70" t="s">
        <v>25</v>
      </c>
      <c r="F465" s="70" t="s">
        <v>25</v>
      </c>
      <c r="G465" s="70" t="s">
        <v>25</v>
      </c>
      <c r="H465" s="70" t="s">
        <v>37</v>
      </c>
      <c r="I465" s="78">
        <v>44652</v>
      </c>
      <c r="J465" s="79">
        <f>EFEITO!$J$465*EFEITO!$Y$465</f>
        <v>0</v>
      </c>
      <c r="K465" s="79">
        <f ca="1">EFEITO!$L$465*EFEITO!$Z$465</f>
        <v>-200.5643615679783</v>
      </c>
      <c r="L465" s="79">
        <f>EFEITO!$N$465*EFEITO!$AA$465</f>
        <v>-30.520019960673675</v>
      </c>
      <c r="M465" s="79">
        <f>$J$465-EFEITO!$K$465*EFEITO!$Y$465</f>
        <v>0</v>
      </c>
      <c r="N465" s="79">
        <f ca="1">$K$465-EFEITO!$M$465*EFEITO!$Z$465</f>
        <v>0</v>
      </c>
      <c r="O465" s="79">
        <f>$L$465-EFEITO!$O$465*EFEITO!$AA$465</f>
        <v>0</v>
      </c>
      <c r="P465" s="18"/>
      <c r="Q465" s="18"/>
      <c r="R465" s="18"/>
      <c r="S465" s="18"/>
      <c r="T465" s="18"/>
      <c r="U465" s="18"/>
      <c r="V465" s="18"/>
      <c r="W465" s="18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70" t="s">
        <v>28</v>
      </c>
      <c r="B466" s="70" t="s">
        <v>35</v>
      </c>
      <c r="C466" s="70" t="s">
        <v>39</v>
      </c>
      <c r="D466" s="70" t="s">
        <v>34</v>
      </c>
      <c r="E466" s="70" t="s">
        <v>25</v>
      </c>
      <c r="F466" s="70" t="s">
        <v>25</v>
      </c>
      <c r="G466" s="70" t="s">
        <v>25</v>
      </c>
      <c r="H466" s="70" t="s">
        <v>37</v>
      </c>
      <c r="I466" s="78">
        <v>44652</v>
      </c>
      <c r="J466" s="79">
        <f>EFEITO!$J$466*EFEITO!$Y$466</f>
        <v>0</v>
      </c>
      <c r="K466" s="79">
        <f ca="1">EFEITO!$L$466*EFEITO!$Z$466</f>
        <v>72526.156928555691</v>
      </c>
      <c r="L466" s="79">
        <f>EFEITO!$N$466*EFEITO!$AA$466</f>
        <v>11036.356308896076</v>
      </c>
      <c r="M466" s="79">
        <f>$J$466-EFEITO!$K$466*EFEITO!$Y$466</f>
        <v>0</v>
      </c>
      <c r="N466" s="79">
        <f ca="1">$K$466-EFEITO!$M$466*EFEITO!$Z$466</f>
        <v>0</v>
      </c>
      <c r="O466" s="79">
        <f>$L$466-EFEITO!$O$466*EFEITO!$AA$466</f>
        <v>0</v>
      </c>
      <c r="P466" s="18"/>
      <c r="Q466" s="18"/>
      <c r="R466" s="18"/>
      <c r="S466" s="18"/>
      <c r="T466" s="18"/>
      <c r="U466" s="18"/>
      <c r="V466" s="18"/>
      <c r="W466" s="18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70" t="s">
        <v>21</v>
      </c>
      <c r="B467" s="70" t="s">
        <v>35</v>
      </c>
      <c r="C467" s="70" t="s">
        <v>39</v>
      </c>
      <c r="D467" s="70" t="s">
        <v>34</v>
      </c>
      <c r="E467" s="70" t="s">
        <v>25</v>
      </c>
      <c r="F467" s="70" t="s">
        <v>25</v>
      </c>
      <c r="G467" s="70" t="s">
        <v>25</v>
      </c>
      <c r="H467" s="70" t="s">
        <v>37</v>
      </c>
      <c r="I467" s="78">
        <v>44682</v>
      </c>
      <c r="J467" s="79">
        <f>EFEITO!$J$467*EFEITO!$Y$467</f>
        <v>0</v>
      </c>
      <c r="K467" s="79">
        <f ca="1">EFEITO!$L$467*EFEITO!$Z$467</f>
        <v>290264.81873028027</v>
      </c>
      <c r="L467" s="79">
        <f>EFEITO!$N$467*EFEITO!$AA$467</f>
        <v>44169.801615163284</v>
      </c>
      <c r="M467" s="79">
        <f>$J$467-EFEITO!$K$467*EFEITO!$Y$467</f>
        <v>0</v>
      </c>
      <c r="N467" s="79">
        <f ca="1">$K$467-EFEITO!$M$467*EFEITO!$Z$467</f>
        <v>0</v>
      </c>
      <c r="O467" s="79">
        <f>$L$467-EFEITO!$O$467*EFEITO!$AA$467</f>
        <v>0</v>
      </c>
      <c r="P467" s="18"/>
      <c r="Q467" s="18"/>
      <c r="R467" s="18"/>
      <c r="S467" s="18"/>
      <c r="T467" s="18"/>
      <c r="U467" s="18"/>
      <c r="V467" s="18"/>
      <c r="W467" s="18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70" t="s">
        <v>27</v>
      </c>
      <c r="B468" s="70" t="s">
        <v>35</v>
      </c>
      <c r="C468" s="70" t="s">
        <v>39</v>
      </c>
      <c r="D468" s="70" t="s">
        <v>34</v>
      </c>
      <c r="E468" s="70" t="s">
        <v>25</v>
      </c>
      <c r="F468" s="70" t="s">
        <v>25</v>
      </c>
      <c r="G468" s="70" t="s">
        <v>25</v>
      </c>
      <c r="H468" s="70" t="s">
        <v>37</v>
      </c>
      <c r="I468" s="78">
        <v>44682</v>
      </c>
      <c r="J468" s="79">
        <f>EFEITO!$J$468*EFEITO!$Y$468</f>
        <v>0</v>
      </c>
      <c r="K468" s="79">
        <f ca="1">EFEITO!$L$468*EFEITO!$Z$468</f>
        <v>-1647.4929700226787</v>
      </c>
      <c r="L468" s="79">
        <f>EFEITO!$N$468*EFEITO!$AA$468</f>
        <v>-250.70016396267661</v>
      </c>
      <c r="M468" s="79">
        <f>$J$468-EFEITO!$K$468*EFEITO!$Y$468</f>
        <v>0</v>
      </c>
      <c r="N468" s="79">
        <f ca="1">$K$468-EFEITO!$M$468*EFEITO!$Z$468</f>
        <v>0</v>
      </c>
      <c r="O468" s="79">
        <f>$L$468-EFEITO!$O$468*EFEITO!$AA$468</f>
        <v>0</v>
      </c>
      <c r="P468" s="18"/>
      <c r="Q468" s="18"/>
      <c r="R468" s="18"/>
      <c r="S468" s="18"/>
      <c r="T468" s="18"/>
      <c r="U468" s="18"/>
      <c r="V468" s="18"/>
      <c r="W468" s="18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70" t="s">
        <v>28</v>
      </c>
      <c r="B469" s="70" t="s">
        <v>35</v>
      </c>
      <c r="C469" s="70" t="s">
        <v>39</v>
      </c>
      <c r="D469" s="70" t="s">
        <v>34</v>
      </c>
      <c r="E469" s="70" t="s">
        <v>25</v>
      </c>
      <c r="F469" s="70" t="s">
        <v>25</v>
      </c>
      <c r="G469" s="70" t="s">
        <v>25</v>
      </c>
      <c r="H469" s="70" t="s">
        <v>37</v>
      </c>
      <c r="I469" s="78">
        <v>44682</v>
      </c>
      <c r="J469" s="79">
        <f>EFEITO!$J$469*EFEITO!$Y$469</f>
        <v>0</v>
      </c>
      <c r="K469" s="79">
        <f ca="1">EFEITO!$L$469*EFEITO!$Z$469</f>
        <v>39026.699082766478</v>
      </c>
      <c r="L469" s="79">
        <f>EFEITO!$N$469*EFEITO!$AA$469</f>
        <v>5938.720247672386</v>
      </c>
      <c r="M469" s="79">
        <f>$J$469-EFEITO!$K$469*EFEITO!$Y$469</f>
        <v>0</v>
      </c>
      <c r="N469" s="79">
        <f ca="1">$K$469-EFEITO!$M$469*EFEITO!$Z$469</f>
        <v>0</v>
      </c>
      <c r="O469" s="79">
        <f>$L$469-EFEITO!$O$469*EFEITO!$AA$469</f>
        <v>0</v>
      </c>
      <c r="P469" s="18"/>
      <c r="Q469" s="18"/>
      <c r="R469" s="18"/>
      <c r="S469" s="18"/>
      <c r="T469" s="18"/>
      <c r="U469" s="18"/>
      <c r="V469" s="18"/>
      <c r="W469" s="18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70" t="s">
        <v>21</v>
      </c>
      <c r="B470" s="70" t="s">
        <v>35</v>
      </c>
      <c r="C470" s="70" t="s">
        <v>39</v>
      </c>
      <c r="D470" s="70" t="s">
        <v>34</v>
      </c>
      <c r="E470" s="70" t="s">
        <v>25</v>
      </c>
      <c r="F470" s="70" t="s">
        <v>25</v>
      </c>
      <c r="G470" s="70" t="s">
        <v>25</v>
      </c>
      <c r="H470" s="70" t="s">
        <v>37</v>
      </c>
      <c r="I470" s="78">
        <v>44713</v>
      </c>
      <c r="J470" s="79">
        <f>EFEITO!$J$470*EFEITO!$Y$470</f>
        <v>0</v>
      </c>
      <c r="K470" s="79">
        <f ca="1">EFEITO!$L$470*EFEITO!$Z$470</f>
        <v>297451.27423113812</v>
      </c>
      <c r="L470" s="79">
        <f>EFEITO!$N$470*EFEITO!$AA$470</f>
        <v>45263.369603104824</v>
      </c>
      <c r="M470" s="79">
        <f>$J$470-EFEITO!$K$470*EFEITO!$Y$470</f>
        <v>0</v>
      </c>
      <c r="N470" s="79">
        <f ca="1">$K$470-EFEITO!$M$470*EFEITO!$Z$470</f>
        <v>0</v>
      </c>
      <c r="O470" s="79">
        <f>$L$470-EFEITO!$O$470*EFEITO!$AA$470</f>
        <v>0</v>
      </c>
      <c r="P470" s="18"/>
      <c r="Q470" s="18"/>
      <c r="R470" s="18"/>
      <c r="S470" s="18"/>
      <c r="T470" s="18"/>
      <c r="U470" s="18"/>
      <c r="V470" s="18"/>
      <c r="W470" s="18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70" t="s">
        <v>28</v>
      </c>
      <c r="B471" s="70" t="s">
        <v>35</v>
      </c>
      <c r="C471" s="70" t="s">
        <v>39</v>
      </c>
      <c r="D471" s="70" t="s">
        <v>34</v>
      </c>
      <c r="E471" s="70" t="s">
        <v>25</v>
      </c>
      <c r="F471" s="70" t="s">
        <v>25</v>
      </c>
      <c r="G471" s="70" t="s">
        <v>25</v>
      </c>
      <c r="H471" s="70" t="s">
        <v>37</v>
      </c>
      <c r="I471" s="78">
        <v>44713</v>
      </c>
      <c r="J471" s="79">
        <f>EFEITO!$J$471*EFEITO!$Y$471</f>
        <v>0</v>
      </c>
      <c r="K471" s="79">
        <f ca="1">EFEITO!$L$471*EFEITO!$Z$471</f>
        <v>40330.367432958337</v>
      </c>
      <c r="L471" s="79">
        <f>EFEITO!$N$471*EFEITO!$AA$471</f>
        <v>6137.1003774167639</v>
      </c>
      <c r="M471" s="79">
        <f>$J$471-EFEITO!$K$471*EFEITO!$Y$471</f>
        <v>0</v>
      </c>
      <c r="N471" s="79">
        <f ca="1">$K$471-EFEITO!$M$471*EFEITO!$Z$471</f>
        <v>0</v>
      </c>
      <c r="O471" s="79">
        <f>$L$471-EFEITO!$O$471*EFEITO!$AA$471</f>
        <v>0</v>
      </c>
      <c r="P471" s="18"/>
      <c r="Q471" s="18"/>
      <c r="R471" s="18"/>
      <c r="S471" s="18"/>
      <c r="T471" s="18"/>
      <c r="U471" s="18"/>
      <c r="V471" s="18"/>
      <c r="W471" s="18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70" t="s">
        <v>21</v>
      </c>
      <c r="B472" s="70" t="s">
        <v>35</v>
      </c>
      <c r="C472" s="70" t="s">
        <v>39</v>
      </c>
      <c r="D472" s="70" t="s">
        <v>43</v>
      </c>
      <c r="E472" s="70" t="s">
        <v>25</v>
      </c>
      <c r="F472" s="70" t="s">
        <v>25</v>
      </c>
      <c r="G472" s="70" t="s">
        <v>25</v>
      </c>
      <c r="H472" s="70" t="s">
        <v>38</v>
      </c>
      <c r="I472" s="78">
        <v>44378</v>
      </c>
      <c r="J472" s="79">
        <f>EFEITO!$J$472*EFEITO!$Y$472</f>
        <v>0</v>
      </c>
      <c r="K472" s="79">
        <f ca="1">EFEITO!$L$472*EFEITO!$Z$472</f>
        <v>2214.7497652625284</v>
      </c>
      <c r="L472" s="79">
        <f>EFEITO!$N$472*EFEITO!$AA$472</f>
        <v>4744.8721941457734</v>
      </c>
      <c r="M472" s="79">
        <f>$J$472-EFEITO!$K$472*EFEITO!$Y$472</f>
        <v>0</v>
      </c>
      <c r="N472" s="79">
        <f ca="1">$K$472-EFEITO!$M$472*EFEITO!$Z$472</f>
        <v>0</v>
      </c>
      <c r="O472" s="79">
        <f>$L$472-EFEITO!$O$472*EFEITO!$AA$472</f>
        <v>0</v>
      </c>
      <c r="P472" s="18"/>
      <c r="Q472" s="18"/>
      <c r="R472" s="18"/>
      <c r="S472" s="18"/>
      <c r="T472" s="18"/>
      <c r="U472" s="18"/>
      <c r="V472" s="18"/>
      <c r="W472" s="18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70" t="s">
        <v>27</v>
      </c>
      <c r="B473" s="70" t="s">
        <v>35</v>
      </c>
      <c r="C473" s="70" t="s">
        <v>39</v>
      </c>
      <c r="D473" s="70" t="s">
        <v>43</v>
      </c>
      <c r="E473" s="70" t="s">
        <v>25</v>
      </c>
      <c r="F473" s="70" t="s">
        <v>25</v>
      </c>
      <c r="G473" s="70" t="s">
        <v>25</v>
      </c>
      <c r="H473" s="70" t="s">
        <v>38</v>
      </c>
      <c r="I473" s="78">
        <v>44378</v>
      </c>
      <c r="J473" s="79">
        <f>EFEITO!$J$473*EFEITO!$Y$473</f>
        <v>0</v>
      </c>
      <c r="K473" s="79">
        <f ca="1">EFEITO!$L$473*EFEITO!$Z$473</f>
        <v>-420.89681028921996</v>
      </c>
      <c r="L473" s="79">
        <f>EFEITO!$N$473*EFEITO!$AA$473</f>
        <v>-901.72786247444947</v>
      </c>
      <c r="M473" s="79">
        <f>$J$473-EFEITO!$K$473*EFEITO!$Y$473</f>
        <v>0</v>
      </c>
      <c r="N473" s="79">
        <f ca="1">$K$473-EFEITO!$M$473*EFEITO!$Z$473</f>
        <v>0</v>
      </c>
      <c r="O473" s="79">
        <f>$L$473-EFEITO!$O$473*EFEITO!$AA$473</f>
        <v>0</v>
      </c>
      <c r="P473" s="18"/>
      <c r="Q473" s="18"/>
      <c r="R473" s="18"/>
      <c r="S473" s="18"/>
      <c r="T473" s="18"/>
      <c r="U473" s="18"/>
      <c r="V473" s="18"/>
      <c r="W473" s="18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70" t="s">
        <v>21</v>
      </c>
      <c r="B474" s="70" t="s">
        <v>35</v>
      </c>
      <c r="C474" s="70" t="s">
        <v>39</v>
      </c>
      <c r="D474" s="70" t="s">
        <v>43</v>
      </c>
      <c r="E474" s="70" t="s">
        <v>25</v>
      </c>
      <c r="F474" s="70" t="s">
        <v>25</v>
      </c>
      <c r="G474" s="70" t="s">
        <v>25</v>
      </c>
      <c r="H474" s="70" t="s">
        <v>38</v>
      </c>
      <c r="I474" s="78">
        <v>44409</v>
      </c>
      <c r="J474" s="79">
        <f>EFEITO!$J$474*EFEITO!$Y$474</f>
        <v>0</v>
      </c>
      <c r="K474" s="79">
        <f ca="1">EFEITO!$L$474*EFEITO!$Z$474</f>
        <v>1918.8269309514922</v>
      </c>
      <c r="L474" s="79">
        <f>EFEITO!$N$474*EFEITO!$AA$474</f>
        <v>4110.8881431445061</v>
      </c>
      <c r="M474" s="79">
        <f>$J$474-EFEITO!$K$474*EFEITO!$Y$474</f>
        <v>0</v>
      </c>
      <c r="N474" s="79">
        <f ca="1">$K$474-EFEITO!$M$474*EFEITO!$Z$474</f>
        <v>0</v>
      </c>
      <c r="O474" s="79">
        <f>$L$474-EFEITO!$O$474*EFEITO!$AA$474</f>
        <v>0</v>
      </c>
      <c r="P474" s="18"/>
      <c r="Q474" s="18"/>
      <c r="R474" s="18"/>
      <c r="S474" s="18"/>
      <c r="T474" s="18"/>
      <c r="U474" s="18"/>
      <c r="V474" s="18"/>
      <c r="W474" s="18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70" t="s">
        <v>21</v>
      </c>
      <c r="B475" s="70" t="s">
        <v>35</v>
      </c>
      <c r="C475" s="70" t="s">
        <v>39</v>
      </c>
      <c r="D475" s="70" t="s">
        <v>43</v>
      </c>
      <c r="E475" s="70" t="s">
        <v>25</v>
      </c>
      <c r="F475" s="70" t="s">
        <v>25</v>
      </c>
      <c r="G475" s="70" t="s">
        <v>25</v>
      </c>
      <c r="H475" s="70" t="s">
        <v>38</v>
      </c>
      <c r="I475" s="78">
        <v>44440</v>
      </c>
      <c r="J475" s="79">
        <f>EFEITO!$J$475*EFEITO!$Y$475</f>
        <v>0</v>
      </c>
      <c r="K475" s="79">
        <f ca="1">EFEITO!$L$475*EFEITO!$Z$475</f>
        <v>1906.5237934199611</v>
      </c>
      <c r="L475" s="79">
        <f>EFEITO!$N$475*EFEITO!$AA$475</f>
        <v>4084.529944087561</v>
      </c>
      <c r="M475" s="79">
        <f>$J$475-EFEITO!$K$475*EFEITO!$Y$475</f>
        <v>0</v>
      </c>
      <c r="N475" s="79">
        <f ca="1">$K$475-EFEITO!$M$475*EFEITO!$Z$475</f>
        <v>0</v>
      </c>
      <c r="O475" s="79">
        <f>$L$475-EFEITO!$O$475*EFEITO!$AA$475</f>
        <v>0</v>
      </c>
      <c r="P475" s="18"/>
      <c r="Q475" s="18"/>
      <c r="R475" s="18"/>
      <c r="S475" s="18"/>
      <c r="T475" s="18"/>
      <c r="U475" s="18"/>
      <c r="V475" s="18"/>
      <c r="W475" s="18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70" t="s">
        <v>21</v>
      </c>
      <c r="B476" s="70" t="s">
        <v>35</v>
      </c>
      <c r="C476" s="70" t="s">
        <v>39</v>
      </c>
      <c r="D476" s="70" t="s">
        <v>43</v>
      </c>
      <c r="E476" s="70" t="s">
        <v>25</v>
      </c>
      <c r="F476" s="70" t="s">
        <v>25</v>
      </c>
      <c r="G476" s="70" t="s">
        <v>25</v>
      </c>
      <c r="H476" s="70" t="s">
        <v>38</v>
      </c>
      <c r="I476" s="78">
        <v>44470</v>
      </c>
      <c r="J476" s="79">
        <f>EFEITO!$J$476*EFEITO!$Y$476</f>
        <v>0</v>
      </c>
      <c r="K476" s="79">
        <f ca="1">EFEITO!$L$476*EFEITO!$Z$476</f>
        <v>1548.7152522773893</v>
      </c>
      <c r="L476" s="79">
        <f>EFEITO!$N$476*EFEITO!$AA$476</f>
        <v>3317.9621700103812</v>
      </c>
      <c r="M476" s="79">
        <f>$J$476-EFEITO!$K$476*EFEITO!$Y$476</f>
        <v>0</v>
      </c>
      <c r="N476" s="79">
        <f ca="1">$K$476-EFEITO!$M$476*EFEITO!$Z$476</f>
        <v>0</v>
      </c>
      <c r="O476" s="79">
        <f>$L$476-EFEITO!$O$476*EFEITO!$AA$476</f>
        <v>0</v>
      </c>
      <c r="P476" s="18"/>
      <c r="Q476" s="18"/>
      <c r="R476" s="18"/>
      <c r="S476" s="18"/>
      <c r="T476" s="18"/>
      <c r="U476" s="18"/>
      <c r="V476" s="18"/>
      <c r="W476" s="18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70" t="s">
        <v>21</v>
      </c>
      <c r="B477" s="70" t="s">
        <v>35</v>
      </c>
      <c r="C477" s="70" t="s">
        <v>39</v>
      </c>
      <c r="D477" s="70" t="s">
        <v>43</v>
      </c>
      <c r="E477" s="70" t="s">
        <v>25</v>
      </c>
      <c r="F477" s="70" t="s">
        <v>25</v>
      </c>
      <c r="G477" s="70" t="s">
        <v>25</v>
      </c>
      <c r="H477" s="70" t="s">
        <v>38</v>
      </c>
      <c r="I477" s="78">
        <v>44501</v>
      </c>
      <c r="J477" s="79">
        <f>EFEITO!$J$477*EFEITO!$Y$477</f>
        <v>0</v>
      </c>
      <c r="K477" s="79">
        <f ca="1">EFEITO!$L$477*EFEITO!$Z$477</f>
        <v>1798.8482138206971</v>
      </c>
      <c r="L477" s="79">
        <f>EFEITO!$N$477*EFEITO!$AA$477</f>
        <v>3853.8461568523398</v>
      </c>
      <c r="M477" s="79">
        <f>$J$477-EFEITO!$K$477*EFEITO!$Y$477</f>
        <v>0</v>
      </c>
      <c r="N477" s="79">
        <f ca="1">$K$477-EFEITO!$M$477*EFEITO!$Z$477</f>
        <v>0</v>
      </c>
      <c r="O477" s="79">
        <f>$L$477-EFEITO!$O$477*EFEITO!$AA$477</f>
        <v>0</v>
      </c>
      <c r="P477" s="18"/>
      <c r="Q477" s="18"/>
      <c r="R477" s="18"/>
      <c r="S477" s="18"/>
      <c r="T477" s="18"/>
      <c r="U477" s="18"/>
      <c r="V477" s="18"/>
      <c r="W477" s="18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70" t="s">
        <v>21</v>
      </c>
      <c r="B478" s="70" t="s">
        <v>35</v>
      </c>
      <c r="C478" s="70" t="s">
        <v>39</v>
      </c>
      <c r="D478" s="70" t="s">
        <v>43</v>
      </c>
      <c r="E478" s="70" t="s">
        <v>25</v>
      </c>
      <c r="F478" s="70" t="s">
        <v>25</v>
      </c>
      <c r="G478" s="70" t="s">
        <v>25</v>
      </c>
      <c r="H478" s="70" t="s">
        <v>38</v>
      </c>
      <c r="I478" s="78">
        <v>44531</v>
      </c>
      <c r="J478" s="79">
        <f>EFEITO!$J$478*EFEITO!$Y$478</f>
        <v>0</v>
      </c>
      <c r="K478" s="79">
        <f ca="1">EFEITO!$L$478*EFEITO!$Z$478</f>
        <v>1985.6153918369464</v>
      </c>
      <c r="L478" s="79">
        <f>EFEITO!$N$478*EFEITO!$AA$478</f>
        <v>4253.9755094536395</v>
      </c>
      <c r="M478" s="79">
        <f>$J$478-EFEITO!$K$478*EFEITO!$Y$478</f>
        <v>0</v>
      </c>
      <c r="N478" s="79">
        <f ca="1">$K$478-EFEITO!$M$478*EFEITO!$Z$478</f>
        <v>0</v>
      </c>
      <c r="O478" s="79">
        <f>$L$478-EFEITO!$O$478*EFEITO!$AA$478</f>
        <v>0</v>
      </c>
      <c r="P478" s="18"/>
      <c r="Q478" s="18"/>
      <c r="R478" s="18"/>
      <c r="S478" s="18"/>
      <c r="T478" s="18"/>
      <c r="U478" s="18"/>
      <c r="V478" s="18"/>
      <c r="W478" s="18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70" t="s">
        <v>21</v>
      </c>
      <c r="B479" s="70" t="s">
        <v>35</v>
      </c>
      <c r="C479" s="70" t="s">
        <v>39</v>
      </c>
      <c r="D479" s="70" t="s">
        <v>43</v>
      </c>
      <c r="E479" s="70" t="s">
        <v>25</v>
      </c>
      <c r="F479" s="70" t="s">
        <v>25</v>
      </c>
      <c r="G479" s="70" t="s">
        <v>25</v>
      </c>
      <c r="H479" s="70" t="s">
        <v>38</v>
      </c>
      <c r="I479" s="78">
        <v>44562</v>
      </c>
      <c r="J479" s="79">
        <f>EFEITO!$J$479*EFEITO!$Y$479</f>
        <v>0</v>
      </c>
      <c r="K479" s="79">
        <f ca="1">EFEITO!$L$479*EFEITO!$Z$479</f>
        <v>1879.5123937266751</v>
      </c>
      <c r="L479" s="79">
        <f>EFEITO!$N$479*EFEITO!$AA$479</f>
        <v>4026.6608153309594</v>
      </c>
      <c r="M479" s="79">
        <f>$J$479-EFEITO!$K$479*EFEITO!$Y$479</f>
        <v>0</v>
      </c>
      <c r="N479" s="79">
        <f ca="1">$K$479-EFEITO!$M$479*EFEITO!$Z$479</f>
        <v>0</v>
      </c>
      <c r="O479" s="79">
        <f>$L$479-EFEITO!$O$479*EFEITO!$AA$479</f>
        <v>0</v>
      </c>
      <c r="P479" s="18"/>
      <c r="Q479" s="18"/>
      <c r="R479" s="18"/>
      <c r="S479" s="18"/>
      <c r="T479" s="18"/>
      <c r="U479" s="18"/>
      <c r="V479" s="18"/>
      <c r="W479" s="18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70" t="s">
        <v>21</v>
      </c>
      <c r="B480" s="70" t="s">
        <v>35</v>
      </c>
      <c r="C480" s="70" t="s">
        <v>39</v>
      </c>
      <c r="D480" s="70" t="s">
        <v>43</v>
      </c>
      <c r="E480" s="70" t="s">
        <v>25</v>
      </c>
      <c r="F480" s="70" t="s">
        <v>25</v>
      </c>
      <c r="G480" s="70" t="s">
        <v>25</v>
      </c>
      <c r="H480" s="70" t="s">
        <v>38</v>
      </c>
      <c r="I480" s="78">
        <v>44593</v>
      </c>
      <c r="J480" s="79">
        <f>EFEITO!$J$480*EFEITO!$Y$480</f>
        <v>0</v>
      </c>
      <c r="K480" s="79">
        <f ca="1">EFEITO!$L$480*EFEITO!$Z$480</f>
        <v>503.59609565154142</v>
      </c>
      <c r="L480" s="79">
        <f>EFEITO!$N$480*EFEITO!$AA$480</f>
        <v>1078.902523804594</v>
      </c>
      <c r="M480" s="79">
        <f>$J$480-EFEITO!$K$480*EFEITO!$Y$480</f>
        <v>0</v>
      </c>
      <c r="N480" s="79">
        <f ca="1">$K$480-EFEITO!$M$480*EFEITO!$Z$480</f>
        <v>0</v>
      </c>
      <c r="O480" s="79">
        <f>$L$480-EFEITO!$O$480*EFEITO!$AA$480</f>
        <v>0</v>
      </c>
      <c r="P480" s="18"/>
      <c r="Q480" s="18"/>
      <c r="R480" s="18"/>
      <c r="S480" s="18"/>
      <c r="T480" s="18"/>
      <c r="U480" s="18"/>
      <c r="V480" s="18"/>
      <c r="W480" s="18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70" t="s">
        <v>21</v>
      </c>
      <c r="B481" s="70" t="s">
        <v>35</v>
      </c>
      <c r="C481" s="70" t="s">
        <v>39</v>
      </c>
      <c r="D481" s="70" t="s">
        <v>43</v>
      </c>
      <c r="E481" s="70" t="s">
        <v>25</v>
      </c>
      <c r="F481" s="70" t="s">
        <v>25</v>
      </c>
      <c r="G481" s="70" t="s">
        <v>25</v>
      </c>
      <c r="H481" s="70" t="s">
        <v>38</v>
      </c>
      <c r="I481" s="78">
        <v>44621</v>
      </c>
      <c r="J481" s="79">
        <f>EFEITO!$J$481*EFEITO!$Y$481</f>
        <v>0</v>
      </c>
      <c r="K481" s="79">
        <f ca="1">EFEITO!$L$481*EFEITO!$Z$481</f>
        <v>648.64361181274944</v>
      </c>
      <c r="L481" s="79">
        <f>EFEITO!$N$481*EFEITO!$AA$481</f>
        <v>1389.651817949635</v>
      </c>
      <c r="M481" s="79">
        <f>$J$481-EFEITO!$K$481*EFEITO!$Y$481</f>
        <v>0</v>
      </c>
      <c r="N481" s="79">
        <f ca="1">$K$481-EFEITO!$M$481*EFEITO!$Z$481</f>
        <v>0</v>
      </c>
      <c r="O481" s="79">
        <f>$L$481-EFEITO!$O$481*EFEITO!$AA$481</f>
        <v>0</v>
      </c>
      <c r="P481" s="18"/>
      <c r="Q481" s="18"/>
      <c r="R481" s="18"/>
      <c r="S481" s="18"/>
      <c r="T481" s="18"/>
      <c r="U481" s="18"/>
      <c r="V481" s="18"/>
      <c r="W481" s="18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70" t="s">
        <v>27</v>
      </c>
      <c r="B482" s="70" t="s">
        <v>35</v>
      </c>
      <c r="C482" s="70" t="s">
        <v>39</v>
      </c>
      <c r="D482" s="70" t="s">
        <v>43</v>
      </c>
      <c r="E482" s="70" t="s">
        <v>25</v>
      </c>
      <c r="F482" s="70" t="s">
        <v>25</v>
      </c>
      <c r="G482" s="70" t="s">
        <v>25</v>
      </c>
      <c r="H482" s="70" t="s">
        <v>38</v>
      </c>
      <c r="I482" s="78">
        <v>44621</v>
      </c>
      <c r="J482" s="79">
        <f>EFEITO!$J$482*EFEITO!$Y$482</f>
        <v>0</v>
      </c>
      <c r="K482" s="79">
        <f ca="1">EFEITO!$L$482*EFEITO!$Z$482</f>
        <v>-10.175527281717406</v>
      </c>
      <c r="L482" s="79">
        <f>EFEITO!$N$482*EFEITO!$AA$482</f>
        <v>-21.800014257624053</v>
      </c>
      <c r="M482" s="79">
        <f>$J$482-EFEITO!$K$482*EFEITO!$Y$482</f>
        <v>0</v>
      </c>
      <c r="N482" s="79">
        <f ca="1">$K$482-EFEITO!$M$482*EFEITO!$Z$482</f>
        <v>0</v>
      </c>
      <c r="O482" s="79">
        <f>$L$482-EFEITO!$O$482*EFEITO!$AA$482</f>
        <v>0</v>
      </c>
      <c r="P482" s="18"/>
      <c r="Q482" s="18"/>
      <c r="R482" s="18"/>
      <c r="S482" s="18"/>
      <c r="T482" s="18"/>
      <c r="U482" s="18"/>
      <c r="V482" s="18"/>
      <c r="W482" s="18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70" t="s">
        <v>21</v>
      </c>
      <c r="B483" s="70" t="s">
        <v>35</v>
      </c>
      <c r="C483" s="70" t="s">
        <v>39</v>
      </c>
      <c r="D483" s="70" t="s">
        <v>43</v>
      </c>
      <c r="E483" s="70" t="s">
        <v>25</v>
      </c>
      <c r="F483" s="70" t="s">
        <v>25</v>
      </c>
      <c r="G483" s="70" t="s">
        <v>25</v>
      </c>
      <c r="H483" s="70" t="s">
        <v>38</v>
      </c>
      <c r="I483" s="78">
        <v>44652</v>
      </c>
      <c r="J483" s="79">
        <f>EFEITO!$J$483*EFEITO!$Y$483</f>
        <v>0</v>
      </c>
      <c r="K483" s="79">
        <f ca="1">EFEITO!$L$483*EFEITO!$Z$483</f>
        <v>972.96541771912439</v>
      </c>
      <c r="L483" s="79">
        <f>EFEITO!$N$483*EFEITO!$AA$483</f>
        <v>2084.4777269244528</v>
      </c>
      <c r="M483" s="79">
        <f>$J$483-EFEITO!$K$483*EFEITO!$Y$483</f>
        <v>0</v>
      </c>
      <c r="N483" s="79">
        <f ca="1">$K$483-EFEITO!$M$483*EFEITO!$Z$483</f>
        <v>0</v>
      </c>
      <c r="O483" s="79">
        <f>$L$483-EFEITO!$O$483*EFEITO!$AA$483</f>
        <v>0</v>
      </c>
      <c r="P483" s="18"/>
      <c r="Q483" s="18"/>
      <c r="R483" s="18"/>
      <c r="S483" s="18"/>
      <c r="T483" s="18"/>
      <c r="U483" s="18"/>
      <c r="V483" s="18"/>
      <c r="W483" s="18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70" t="s">
        <v>27</v>
      </c>
      <c r="B484" s="70" t="s">
        <v>35</v>
      </c>
      <c r="C484" s="70" t="s">
        <v>39</v>
      </c>
      <c r="D484" s="70" t="s">
        <v>43</v>
      </c>
      <c r="E484" s="70" t="s">
        <v>25</v>
      </c>
      <c r="F484" s="70" t="s">
        <v>25</v>
      </c>
      <c r="G484" s="70" t="s">
        <v>25</v>
      </c>
      <c r="H484" s="70" t="s">
        <v>38</v>
      </c>
      <c r="I484" s="78">
        <v>44652</v>
      </c>
      <c r="J484" s="79">
        <f>EFEITO!$J$484*EFEITO!$Y$484</f>
        <v>0</v>
      </c>
      <c r="K484" s="79">
        <f ca="1">EFEITO!$L$484*EFEITO!$Z$484</f>
        <v>-54.022799386572402</v>
      </c>
      <c r="L484" s="79">
        <f>EFEITO!$N$484*EFEITO!$AA$484</f>
        <v>-115.73825751320406</v>
      </c>
      <c r="M484" s="79">
        <f>$J$484-EFEITO!$K$484*EFEITO!$Y$484</f>
        <v>0</v>
      </c>
      <c r="N484" s="79">
        <f ca="1">$K$484-EFEITO!$M$484*EFEITO!$Z$484</f>
        <v>0</v>
      </c>
      <c r="O484" s="79">
        <f>$L$484-EFEITO!$O$484*EFEITO!$AA$484</f>
        <v>0</v>
      </c>
      <c r="P484" s="18"/>
      <c r="Q484" s="18"/>
      <c r="R484" s="18"/>
      <c r="S484" s="18"/>
      <c r="T484" s="18"/>
      <c r="U484" s="18"/>
      <c r="V484" s="18"/>
      <c r="W484" s="18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70" t="s">
        <v>21</v>
      </c>
      <c r="B485" s="70" t="s">
        <v>35</v>
      </c>
      <c r="C485" s="70" t="s">
        <v>39</v>
      </c>
      <c r="D485" s="70" t="s">
        <v>43</v>
      </c>
      <c r="E485" s="70" t="s">
        <v>25</v>
      </c>
      <c r="F485" s="70" t="s">
        <v>25</v>
      </c>
      <c r="G485" s="70" t="s">
        <v>25</v>
      </c>
      <c r="H485" s="70" t="s">
        <v>38</v>
      </c>
      <c r="I485" s="78">
        <v>44682</v>
      </c>
      <c r="J485" s="79">
        <f>EFEITO!$J$485*EFEITO!$Y$485</f>
        <v>0</v>
      </c>
      <c r="K485" s="79">
        <f ca="1">EFEITO!$L$485*EFEITO!$Z$485</f>
        <v>894.15133368254953</v>
      </c>
      <c r="L485" s="79">
        <f>EFEITO!$N$485*EFEITO!$AA$485</f>
        <v>1915.6267074017646</v>
      </c>
      <c r="M485" s="79">
        <f>$J$485-EFEITO!$K$485*EFEITO!$Y$485</f>
        <v>0</v>
      </c>
      <c r="N485" s="79">
        <f ca="1">$K$485-EFEITO!$M$485*EFEITO!$Z$485</f>
        <v>0</v>
      </c>
      <c r="O485" s="79">
        <f>$L$485-EFEITO!$O$485*EFEITO!$AA$485</f>
        <v>0</v>
      </c>
      <c r="P485" s="18"/>
      <c r="Q485" s="18"/>
      <c r="R485" s="18"/>
      <c r="S485" s="18"/>
      <c r="T485" s="18"/>
      <c r="U485" s="18"/>
      <c r="V485" s="18"/>
      <c r="W485" s="18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70" t="s">
        <v>21</v>
      </c>
      <c r="B486" s="70" t="s">
        <v>35</v>
      </c>
      <c r="C486" s="70" t="s">
        <v>39</v>
      </c>
      <c r="D486" s="70" t="s">
        <v>43</v>
      </c>
      <c r="E486" s="70" t="s">
        <v>25</v>
      </c>
      <c r="F486" s="70" t="s">
        <v>25</v>
      </c>
      <c r="G486" s="70" t="s">
        <v>25</v>
      </c>
      <c r="H486" s="70" t="s">
        <v>38</v>
      </c>
      <c r="I486" s="78">
        <v>44713</v>
      </c>
      <c r="J486" s="79">
        <f>EFEITO!$J$486*EFEITO!$Y$486</f>
        <v>0</v>
      </c>
      <c r="K486" s="79">
        <f ca="1">EFEITO!$L$486*EFEITO!$Z$486</f>
        <v>1189.4266344392945</v>
      </c>
      <c r="L486" s="79">
        <f>EFEITO!$N$486*EFEITO!$AA$486</f>
        <v>2548.2234847684554</v>
      </c>
      <c r="M486" s="79">
        <f>$J$486-EFEITO!$K$486*EFEITO!$Y$486</f>
        <v>0</v>
      </c>
      <c r="N486" s="79">
        <f ca="1">$K$486-EFEITO!$M$486*EFEITO!$Z$486</f>
        <v>0</v>
      </c>
      <c r="O486" s="79">
        <f>$L$486-EFEITO!$O$486*EFEITO!$AA$486</f>
        <v>0</v>
      </c>
      <c r="P486" s="18"/>
      <c r="Q486" s="18"/>
      <c r="R486" s="18"/>
      <c r="S486" s="18"/>
      <c r="T486" s="18"/>
      <c r="U486" s="18"/>
      <c r="V486" s="18"/>
      <c r="W486" s="18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70" t="s">
        <v>21</v>
      </c>
      <c r="B487" s="70" t="s">
        <v>35</v>
      </c>
      <c r="C487" s="70" t="s">
        <v>39</v>
      </c>
      <c r="D487" s="70" t="s">
        <v>43</v>
      </c>
      <c r="E487" s="70" t="s">
        <v>25</v>
      </c>
      <c r="F487" s="70" t="s">
        <v>25</v>
      </c>
      <c r="G487" s="70" t="s">
        <v>25</v>
      </c>
      <c r="H487" s="70" t="s">
        <v>25</v>
      </c>
      <c r="I487" s="78">
        <v>44378</v>
      </c>
      <c r="J487" s="79">
        <f ca="1">EFEITO!$J$487*EFEITO!$Y$487</f>
        <v>14069.508852784034</v>
      </c>
      <c r="K487" s="79">
        <f>EFEITO!$L$487*EFEITO!$Z$487</f>
        <v>0</v>
      </c>
      <c r="L487" s="79">
        <f>EFEITO!$N$487*EFEITO!$AA$487</f>
        <v>0</v>
      </c>
      <c r="M487" s="79">
        <f ca="1">$J$487-EFEITO!$K$487*EFEITO!$Y$487</f>
        <v>0</v>
      </c>
      <c r="N487" s="79">
        <f>$K$487-EFEITO!$M$487*EFEITO!$Z$487</f>
        <v>0</v>
      </c>
      <c r="O487" s="79">
        <f>$L$487-EFEITO!$O$487*EFEITO!$AA$487</f>
        <v>0</v>
      </c>
      <c r="P487" s="18"/>
      <c r="Q487" s="18"/>
      <c r="R487" s="18"/>
      <c r="S487" s="18"/>
      <c r="T487" s="18"/>
      <c r="U487" s="18"/>
      <c r="V487" s="18"/>
      <c r="W487" s="18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70" t="s">
        <v>27</v>
      </c>
      <c r="B488" s="70" t="s">
        <v>35</v>
      </c>
      <c r="C488" s="70" t="s">
        <v>39</v>
      </c>
      <c r="D488" s="70" t="s">
        <v>43</v>
      </c>
      <c r="E488" s="70" t="s">
        <v>25</v>
      </c>
      <c r="F488" s="70" t="s">
        <v>25</v>
      </c>
      <c r="G488" s="70" t="s">
        <v>25</v>
      </c>
      <c r="H488" s="70" t="s">
        <v>25</v>
      </c>
      <c r="I488" s="78">
        <v>44378</v>
      </c>
      <c r="J488" s="79">
        <f ca="1">EFEITO!$J$488*EFEITO!$Y$488</f>
        <v>-3958.952707493343</v>
      </c>
      <c r="K488" s="79">
        <f>EFEITO!$L$488*EFEITO!$Z$488</f>
        <v>0</v>
      </c>
      <c r="L488" s="79">
        <f>EFEITO!$N$488*EFEITO!$AA$488</f>
        <v>0</v>
      </c>
      <c r="M488" s="79">
        <f ca="1">$J$488-EFEITO!$K$488*EFEITO!$Y$488</f>
        <v>0</v>
      </c>
      <c r="N488" s="79">
        <f>$K$488-EFEITO!$M$488*EFEITO!$Z$488</f>
        <v>0</v>
      </c>
      <c r="O488" s="79">
        <f>$L$488-EFEITO!$O$488*EFEITO!$AA$488</f>
        <v>0</v>
      </c>
      <c r="P488" s="18"/>
      <c r="Q488" s="18"/>
      <c r="R488" s="18"/>
      <c r="S488" s="18"/>
      <c r="T488" s="18"/>
      <c r="U488" s="18"/>
      <c r="V488" s="18"/>
      <c r="W488" s="18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70" t="s">
        <v>21</v>
      </c>
      <c r="B489" s="70" t="s">
        <v>35</v>
      </c>
      <c r="C489" s="70" t="s">
        <v>39</v>
      </c>
      <c r="D489" s="70" t="s">
        <v>43</v>
      </c>
      <c r="E489" s="70" t="s">
        <v>25</v>
      </c>
      <c r="F489" s="70" t="s">
        <v>25</v>
      </c>
      <c r="G489" s="70" t="s">
        <v>25</v>
      </c>
      <c r="H489" s="70" t="s">
        <v>25</v>
      </c>
      <c r="I489" s="78">
        <v>44409</v>
      </c>
      <c r="J489" s="79">
        <f ca="1">EFEITO!$J$489*EFEITO!$Y$489</f>
        <v>10141.009627656025</v>
      </c>
      <c r="K489" s="79">
        <f>EFEITO!$L$489*EFEITO!$Z$489</f>
        <v>0</v>
      </c>
      <c r="L489" s="79">
        <f>EFEITO!$N$489*EFEITO!$AA$489</f>
        <v>0</v>
      </c>
      <c r="M489" s="79">
        <f ca="1">$J$489-EFEITO!$K$489*EFEITO!$Y$489</f>
        <v>0</v>
      </c>
      <c r="N489" s="79">
        <f>$K$489-EFEITO!$M$489*EFEITO!$Z$489</f>
        <v>0</v>
      </c>
      <c r="O489" s="79">
        <f>$L$489-EFEITO!$O$489*EFEITO!$AA$489</f>
        <v>0</v>
      </c>
      <c r="P489" s="18"/>
      <c r="Q489" s="18"/>
      <c r="R489" s="18"/>
      <c r="S489" s="18"/>
      <c r="T489" s="18"/>
      <c r="U489" s="18"/>
      <c r="V489" s="18"/>
      <c r="W489" s="18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70" t="s">
        <v>21</v>
      </c>
      <c r="B490" s="70" t="s">
        <v>35</v>
      </c>
      <c r="C490" s="70" t="s">
        <v>39</v>
      </c>
      <c r="D490" s="70" t="s">
        <v>43</v>
      </c>
      <c r="E490" s="70" t="s">
        <v>25</v>
      </c>
      <c r="F490" s="70" t="s">
        <v>25</v>
      </c>
      <c r="G490" s="70" t="s">
        <v>25</v>
      </c>
      <c r="H490" s="70" t="s">
        <v>25</v>
      </c>
      <c r="I490" s="78">
        <v>44440</v>
      </c>
      <c r="J490" s="79">
        <f ca="1">EFEITO!$J$490*EFEITO!$Y$490</f>
        <v>10201.916592386691</v>
      </c>
      <c r="K490" s="79">
        <f>EFEITO!$L$490*EFEITO!$Z$490</f>
        <v>0</v>
      </c>
      <c r="L490" s="79">
        <f>EFEITO!$N$490*EFEITO!$AA$490</f>
        <v>0</v>
      </c>
      <c r="M490" s="79">
        <f ca="1">$J$490-EFEITO!$K$490*EFEITO!$Y$490</f>
        <v>0</v>
      </c>
      <c r="N490" s="79">
        <f>$K$490-EFEITO!$M$490*EFEITO!$Z$490</f>
        <v>0</v>
      </c>
      <c r="O490" s="79">
        <f>$L$490-EFEITO!$O$490*EFEITO!$AA$490</f>
        <v>0</v>
      </c>
      <c r="P490" s="18"/>
      <c r="Q490" s="18"/>
      <c r="R490" s="18"/>
      <c r="S490" s="18"/>
      <c r="T490" s="18"/>
      <c r="U490" s="18"/>
      <c r="V490" s="18"/>
      <c r="W490" s="18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70" t="s">
        <v>21</v>
      </c>
      <c r="B491" s="70" t="s">
        <v>35</v>
      </c>
      <c r="C491" s="70" t="s">
        <v>39</v>
      </c>
      <c r="D491" s="70" t="s">
        <v>43</v>
      </c>
      <c r="E491" s="70" t="s">
        <v>25</v>
      </c>
      <c r="F491" s="70" t="s">
        <v>25</v>
      </c>
      <c r="G491" s="70" t="s">
        <v>25</v>
      </c>
      <c r="H491" s="70" t="s">
        <v>25</v>
      </c>
      <c r="I491" s="78">
        <v>44470</v>
      </c>
      <c r="J491" s="79">
        <f ca="1">EFEITO!$J$491*EFEITO!$Y$491</f>
        <v>10110.556145290691</v>
      </c>
      <c r="K491" s="79">
        <f>EFEITO!$L$491*EFEITO!$Z$491</f>
        <v>0</v>
      </c>
      <c r="L491" s="79">
        <f>EFEITO!$N$491*EFEITO!$AA$491</f>
        <v>0</v>
      </c>
      <c r="M491" s="79">
        <f ca="1">$J$491-EFEITO!$K$491*EFEITO!$Y$491</f>
        <v>0</v>
      </c>
      <c r="N491" s="79">
        <f>$K$491-EFEITO!$M$491*EFEITO!$Z$491</f>
        <v>0</v>
      </c>
      <c r="O491" s="79">
        <f>$L$491-EFEITO!$O$491*EFEITO!$AA$491</f>
        <v>0</v>
      </c>
      <c r="P491" s="18"/>
      <c r="Q491" s="18"/>
      <c r="R491" s="18"/>
      <c r="S491" s="18"/>
      <c r="T491" s="18"/>
      <c r="U491" s="18"/>
      <c r="V491" s="18"/>
      <c r="W491" s="18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70" t="s">
        <v>21</v>
      </c>
      <c r="B492" s="70" t="s">
        <v>35</v>
      </c>
      <c r="C492" s="70" t="s">
        <v>39</v>
      </c>
      <c r="D492" s="70" t="s">
        <v>43</v>
      </c>
      <c r="E492" s="70" t="s">
        <v>25</v>
      </c>
      <c r="F492" s="70" t="s">
        <v>25</v>
      </c>
      <c r="G492" s="70" t="s">
        <v>25</v>
      </c>
      <c r="H492" s="70" t="s">
        <v>25</v>
      </c>
      <c r="I492" s="78">
        <v>44501</v>
      </c>
      <c r="J492" s="79">
        <f ca="1">EFEITO!$J$492*EFEITO!$Y$492</f>
        <v>10110.556145290691</v>
      </c>
      <c r="K492" s="79">
        <f>EFEITO!$L$492*EFEITO!$Z$492</f>
        <v>0</v>
      </c>
      <c r="L492" s="79">
        <f>EFEITO!$N$492*EFEITO!$AA$492</f>
        <v>0</v>
      </c>
      <c r="M492" s="79">
        <f ca="1">$J$492-EFEITO!$K$492*EFEITO!$Y$492</f>
        <v>0</v>
      </c>
      <c r="N492" s="79">
        <f>$K$492-EFEITO!$M$492*EFEITO!$Z$492</f>
        <v>0</v>
      </c>
      <c r="O492" s="79">
        <f>$L$492-EFEITO!$O$492*EFEITO!$AA$492</f>
        <v>0</v>
      </c>
      <c r="P492" s="18"/>
      <c r="Q492" s="18"/>
      <c r="R492" s="18"/>
      <c r="S492" s="18"/>
      <c r="T492" s="18"/>
      <c r="U492" s="18"/>
      <c r="V492" s="18"/>
      <c r="W492" s="18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70" t="s">
        <v>21</v>
      </c>
      <c r="B493" s="70" t="s">
        <v>35</v>
      </c>
      <c r="C493" s="70" t="s">
        <v>39</v>
      </c>
      <c r="D493" s="70" t="s">
        <v>43</v>
      </c>
      <c r="E493" s="70" t="s">
        <v>25</v>
      </c>
      <c r="F493" s="70" t="s">
        <v>25</v>
      </c>
      <c r="G493" s="70" t="s">
        <v>25</v>
      </c>
      <c r="H493" s="70" t="s">
        <v>25</v>
      </c>
      <c r="I493" s="78">
        <v>44531</v>
      </c>
      <c r="J493" s="79">
        <f ca="1">EFEITO!$J$493*EFEITO!$Y$493</f>
        <v>10323.730521848025</v>
      </c>
      <c r="K493" s="79">
        <f>EFEITO!$L$493*EFEITO!$Z$493</f>
        <v>0</v>
      </c>
      <c r="L493" s="79">
        <f>EFEITO!$N$493*EFEITO!$AA$493</f>
        <v>0</v>
      </c>
      <c r="M493" s="79">
        <f ca="1">$J$493-EFEITO!$K$493*EFEITO!$Y$493</f>
        <v>0</v>
      </c>
      <c r="N493" s="79">
        <f>$K$493-EFEITO!$M$493*EFEITO!$Z$493</f>
        <v>0</v>
      </c>
      <c r="O493" s="79">
        <f>$L$493-EFEITO!$O$493*EFEITO!$AA$493</f>
        <v>0</v>
      </c>
      <c r="P493" s="18"/>
      <c r="Q493" s="18"/>
      <c r="R493" s="18"/>
      <c r="S493" s="18"/>
      <c r="T493" s="18"/>
      <c r="U493" s="18"/>
      <c r="V493" s="18"/>
      <c r="W493" s="18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70" t="s">
        <v>21</v>
      </c>
      <c r="B494" s="70" t="s">
        <v>35</v>
      </c>
      <c r="C494" s="70" t="s">
        <v>39</v>
      </c>
      <c r="D494" s="70" t="s">
        <v>43</v>
      </c>
      <c r="E494" s="70" t="s">
        <v>25</v>
      </c>
      <c r="F494" s="70" t="s">
        <v>25</v>
      </c>
      <c r="G494" s="70" t="s">
        <v>25</v>
      </c>
      <c r="H494" s="70" t="s">
        <v>25</v>
      </c>
      <c r="I494" s="78">
        <v>44562</v>
      </c>
      <c r="J494" s="79">
        <f ca="1">EFEITO!$J$494*EFEITO!$Y$494</f>
        <v>10354.184004213359</v>
      </c>
      <c r="K494" s="79">
        <f>EFEITO!$L$494*EFEITO!$Z$494</f>
        <v>0</v>
      </c>
      <c r="L494" s="79">
        <f>EFEITO!$N$494*EFEITO!$AA$494</f>
        <v>0</v>
      </c>
      <c r="M494" s="79">
        <f ca="1">$J$494-EFEITO!$K$494*EFEITO!$Y$494</f>
        <v>0</v>
      </c>
      <c r="N494" s="79">
        <f>$K$494-EFEITO!$M$494*EFEITO!$Z$494</f>
        <v>0</v>
      </c>
      <c r="O494" s="79">
        <f>$L$494-EFEITO!$O$494*EFEITO!$AA$494</f>
        <v>0</v>
      </c>
      <c r="P494" s="18"/>
      <c r="Q494" s="18"/>
      <c r="R494" s="18"/>
      <c r="S494" s="18"/>
      <c r="T494" s="18"/>
      <c r="U494" s="18"/>
      <c r="V494" s="18"/>
      <c r="W494" s="18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70" t="s">
        <v>21</v>
      </c>
      <c r="B495" s="70" t="s">
        <v>35</v>
      </c>
      <c r="C495" s="70" t="s">
        <v>39</v>
      </c>
      <c r="D495" s="70" t="s">
        <v>43</v>
      </c>
      <c r="E495" s="70" t="s">
        <v>25</v>
      </c>
      <c r="F495" s="70" t="s">
        <v>25</v>
      </c>
      <c r="G495" s="70" t="s">
        <v>25</v>
      </c>
      <c r="H495" s="70" t="s">
        <v>25</v>
      </c>
      <c r="I495" s="78">
        <v>44593</v>
      </c>
      <c r="J495" s="79">
        <f ca="1">EFEITO!$J$495*EFEITO!$Y$495</f>
        <v>9136.0447096000225</v>
      </c>
      <c r="K495" s="79">
        <f>EFEITO!$L$495*EFEITO!$Z$495</f>
        <v>0</v>
      </c>
      <c r="L495" s="79">
        <f>EFEITO!$N$495*EFEITO!$AA$495</f>
        <v>0</v>
      </c>
      <c r="M495" s="79">
        <f ca="1">$J$495-EFEITO!$K$495*EFEITO!$Y$495</f>
        <v>0</v>
      </c>
      <c r="N495" s="79">
        <f>$K$495-EFEITO!$M$495*EFEITO!$Z$495</f>
        <v>0</v>
      </c>
      <c r="O495" s="79">
        <f>$L$495-EFEITO!$O$495*EFEITO!$AA$495</f>
        <v>0</v>
      </c>
      <c r="P495" s="18"/>
      <c r="Q495" s="18"/>
      <c r="R495" s="18"/>
      <c r="S495" s="18"/>
      <c r="T495" s="18"/>
      <c r="U495" s="18"/>
      <c r="V495" s="18"/>
      <c r="W495" s="18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70" t="s">
        <v>21</v>
      </c>
      <c r="B496" s="70" t="s">
        <v>35</v>
      </c>
      <c r="C496" s="70" t="s">
        <v>39</v>
      </c>
      <c r="D496" s="70" t="s">
        <v>43</v>
      </c>
      <c r="E496" s="70" t="s">
        <v>25</v>
      </c>
      <c r="F496" s="70" t="s">
        <v>25</v>
      </c>
      <c r="G496" s="70" t="s">
        <v>25</v>
      </c>
      <c r="H496" s="70" t="s">
        <v>25</v>
      </c>
      <c r="I496" s="78">
        <v>44621</v>
      </c>
      <c r="J496" s="79">
        <f ca="1">EFEITO!$J$496*EFEITO!$Y$496</f>
        <v>13034.090452362698</v>
      </c>
      <c r="K496" s="79">
        <f>EFEITO!$L$496*EFEITO!$Z$496</f>
        <v>0</v>
      </c>
      <c r="L496" s="79">
        <f>EFEITO!$N$496*EFEITO!$AA$496</f>
        <v>0</v>
      </c>
      <c r="M496" s="79">
        <f ca="1">$J$496-EFEITO!$K$496*EFEITO!$Y$496</f>
        <v>0</v>
      </c>
      <c r="N496" s="79">
        <f>$K$496-EFEITO!$M$496*EFEITO!$Z$496</f>
        <v>0</v>
      </c>
      <c r="O496" s="79">
        <f>$L$496-EFEITO!$O$496*EFEITO!$AA$496</f>
        <v>0</v>
      </c>
      <c r="P496" s="18"/>
      <c r="Q496" s="18"/>
      <c r="R496" s="18"/>
      <c r="S496" s="18"/>
      <c r="T496" s="18"/>
      <c r="U496" s="18"/>
      <c r="V496" s="18"/>
      <c r="W496" s="18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70" t="s">
        <v>27</v>
      </c>
      <c r="B497" s="70" t="s">
        <v>35</v>
      </c>
      <c r="C497" s="70" t="s">
        <v>39</v>
      </c>
      <c r="D497" s="70" t="s">
        <v>43</v>
      </c>
      <c r="E497" s="70" t="s">
        <v>25</v>
      </c>
      <c r="F497" s="70" t="s">
        <v>25</v>
      </c>
      <c r="G497" s="70" t="s">
        <v>25</v>
      </c>
      <c r="H497" s="70" t="s">
        <v>25</v>
      </c>
      <c r="I497" s="78">
        <v>44621</v>
      </c>
      <c r="J497" s="79">
        <f ca="1">EFEITO!$J$497*EFEITO!$Y$497</f>
        <v>-3898.0457427626761</v>
      </c>
      <c r="K497" s="79">
        <f>EFEITO!$L$497*EFEITO!$Z$497</f>
        <v>0</v>
      </c>
      <c r="L497" s="79">
        <f>EFEITO!$N$497*EFEITO!$AA$497</f>
        <v>0</v>
      </c>
      <c r="M497" s="79">
        <f ca="1">$J$497-EFEITO!$K$497*EFEITO!$Y$497</f>
        <v>0</v>
      </c>
      <c r="N497" s="79">
        <f>$K$497-EFEITO!$M$497*EFEITO!$Z$497</f>
        <v>0</v>
      </c>
      <c r="O497" s="79">
        <f>$L$497-EFEITO!$O$497*EFEITO!$AA$497</f>
        <v>0</v>
      </c>
      <c r="P497" s="18"/>
      <c r="Q497" s="18"/>
      <c r="R497" s="18"/>
      <c r="S497" s="18"/>
      <c r="T497" s="18"/>
      <c r="U497" s="18"/>
      <c r="V497" s="18"/>
      <c r="W497" s="18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70" t="s">
        <v>21</v>
      </c>
      <c r="B498" s="70" t="s">
        <v>35</v>
      </c>
      <c r="C498" s="70" t="s">
        <v>39</v>
      </c>
      <c r="D498" s="70" t="s">
        <v>43</v>
      </c>
      <c r="E498" s="70" t="s">
        <v>25</v>
      </c>
      <c r="F498" s="70" t="s">
        <v>25</v>
      </c>
      <c r="G498" s="70" t="s">
        <v>25</v>
      </c>
      <c r="H498" s="70" t="s">
        <v>25</v>
      </c>
      <c r="I498" s="78">
        <v>44652</v>
      </c>
      <c r="J498" s="79">
        <f ca="1">EFEITO!$J$498*EFEITO!$Y$498</f>
        <v>13034.090452362698</v>
      </c>
      <c r="K498" s="79">
        <f>EFEITO!$L$498*EFEITO!$Z$498</f>
        <v>0</v>
      </c>
      <c r="L498" s="79">
        <f>EFEITO!$N$498*EFEITO!$AA$498</f>
        <v>0</v>
      </c>
      <c r="M498" s="79">
        <f ca="1">$J$498-EFEITO!$K$498*EFEITO!$Y$498</f>
        <v>0</v>
      </c>
      <c r="N498" s="79">
        <f>$K$498-EFEITO!$M$498*EFEITO!$Z$498</f>
        <v>0</v>
      </c>
      <c r="O498" s="79">
        <f>$L$498-EFEITO!$O$498*EFEITO!$AA$498</f>
        <v>0</v>
      </c>
      <c r="P498" s="18"/>
      <c r="Q498" s="18"/>
      <c r="R498" s="18"/>
      <c r="S498" s="18"/>
      <c r="T498" s="18"/>
      <c r="U498" s="18"/>
      <c r="V498" s="18"/>
      <c r="W498" s="18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70" t="s">
        <v>27</v>
      </c>
      <c r="B499" s="70" t="s">
        <v>35</v>
      </c>
      <c r="C499" s="70" t="s">
        <v>39</v>
      </c>
      <c r="D499" s="70" t="s">
        <v>43</v>
      </c>
      <c r="E499" s="70" t="s">
        <v>25</v>
      </c>
      <c r="F499" s="70" t="s">
        <v>25</v>
      </c>
      <c r="G499" s="70" t="s">
        <v>25</v>
      </c>
      <c r="H499" s="70" t="s">
        <v>25</v>
      </c>
      <c r="I499" s="78">
        <v>44652</v>
      </c>
      <c r="J499" s="79">
        <f ca="1">EFEITO!$J$499*EFEITO!$Y$499</f>
        <v>-3898.0457427626761</v>
      </c>
      <c r="K499" s="79">
        <f>EFEITO!$L$499*EFEITO!$Z$499</f>
        <v>0</v>
      </c>
      <c r="L499" s="79">
        <f>EFEITO!$N$499*EFEITO!$AA$499</f>
        <v>0</v>
      </c>
      <c r="M499" s="79">
        <f ca="1">$J$499-EFEITO!$K$499*EFEITO!$Y$499</f>
        <v>0</v>
      </c>
      <c r="N499" s="79">
        <f>$K$499-EFEITO!$M$499*EFEITO!$Z$499</f>
        <v>0</v>
      </c>
      <c r="O499" s="79">
        <f>$L$499-EFEITO!$O$499*EFEITO!$AA$499</f>
        <v>0</v>
      </c>
      <c r="P499" s="18"/>
      <c r="Q499" s="18"/>
      <c r="R499" s="18"/>
      <c r="S499" s="18"/>
      <c r="T499" s="18"/>
      <c r="U499" s="18"/>
      <c r="V499" s="18"/>
      <c r="W499" s="18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70" t="s">
        <v>21</v>
      </c>
      <c r="B500" s="70" t="s">
        <v>35</v>
      </c>
      <c r="C500" s="70" t="s">
        <v>39</v>
      </c>
      <c r="D500" s="70" t="s">
        <v>43</v>
      </c>
      <c r="E500" s="70" t="s">
        <v>25</v>
      </c>
      <c r="F500" s="70" t="s">
        <v>25</v>
      </c>
      <c r="G500" s="70" t="s">
        <v>25</v>
      </c>
      <c r="H500" s="70" t="s">
        <v>25</v>
      </c>
      <c r="I500" s="78">
        <v>44682</v>
      </c>
      <c r="J500" s="79">
        <f ca="1">EFEITO!$J$500*EFEITO!$Y$500</f>
        <v>9136.0447096000225</v>
      </c>
      <c r="K500" s="79">
        <f>EFEITO!$L$500*EFEITO!$Z$500</f>
        <v>0</v>
      </c>
      <c r="L500" s="79">
        <f>EFEITO!$N$500*EFEITO!$AA$500</f>
        <v>0</v>
      </c>
      <c r="M500" s="79">
        <f ca="1">$J$500-EFEITO!$K$500*EFEITO!$Y$500</f>
        <v>0</v>
      </c>
      <c r="N500" s="79">
        <f>$K$500-EFEITO!$M$500*EFEITO!$Z$500</f>
        <v>0</v>
      </c>
      <c r="O500" s="79">
        <f>$L$500-EFEITO!$O$500*EFEITO!$AA$500</f>
        <v>0</v>
      </c>
      <c r="P500" s="18"/>
      <c r="Q500" s="18"/>
      <c r="R500" s="18"/>
      <c r="S500" s="18"/>
      <c r="T500" s="18"/>
      <c r="U500" s="18"/>
      <c r="V500" s="18"/>
      <c r="W500" s="18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70" t="s">
        <v>21</v>
      </c>
      <c r="B501" s="70" t="s">
        <v>35</v>
      </c>
      <c r="C501" s="70" t="s">
        <v>39</v>
      </c>
      <c r="D501" s="70" t="s">
        <v>43</v>
      </c>
      <c r="E501" s="70" t="s">
        <v>25</v>
      </c>
      <c r="F501" s="70" t="s">
        <v>25</v>
      </c>
      <c r="G501" s="70" t="s">
        <v>25</v>
      </c>
      <c r="H501" s="70" t="s">
        <v>25</v>
      </c>
      <c r="I501" s="78">
        <v>44713</v>
      </c>
      <c r="J501" s="79">
        <f ca="1">EFEITO!$J$501*EFEITO!$Y$501</f>
        <v>9136.0447096000225</v>
      </c>
      <c r="K501" s="79">
        <f>EFEITO!$L$501*EFEITO!$Z$501</f>
        <v>0</v>
      </c>
      <c r="L501" s="79">
        <f>EFEITO!$N$501*EFEITO!$AA$501</f>
        <v>0</v>
      </c>
      <c r="M501" s="79">
        <f ca="1">$J$501-EFEITO!$K$501*EFEITO!$Y$501</f>
        <v>0</v>
      </c>
      <c r="N501" s="79">
        <f>$K$501-EFEITO!$M$501*EFEITO!$Z$501</f>
        <v>0</v>
      </c>
      <c r="O501" s="79">
        <f>$L$501-EFEITO!$O$501*EFEITO!$AA$501</f>
        <v>0</v>
      </c>
      <c r="P501" s="18"/>
      <c r="Q501" s="18"/>
      <c r="R501" s="18"/>
      <c r="S501" s="18"/>
      <c r="T501" s="18"/>
      <c r="U501" s="18"/>
      <c r="V501" s="18"/>
      <c r="W501" s="18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70" t="s">
        <v>21</v>
      </c>
      <c r="B502" s="70" t="s">
        <v>35</v>
      </c>
      <c r="C502" s="70" t="s">
        <v>39</v>
      </c>
      <c r="D502" s="70" t="s">
        <v>43</v>
      </c>
      <c r="E502" s="70" t="s">
        <v>25</v>
      </c>
      <c r="F502" s="70" t="s">
        <v>25</v>
      </c>
      <c r="G502" s="70" t="s">
        <v>25</v>
      </c>
      <c r="H502" s="70" t="s">
        <v>37</v>
      </c>
      <c r="I502" s="78">
        <v>44378</v>
      </c>
      <c r="J502" s="79">
        <f>EFEITO!$J$502*EFEITO!$Y$502</f>
        <v>0</v>
      </c>
      <c r="K502" s="79">
        <f ca="1">EFEITO!$L$502*EFEITO!$Z$502</f>
        <v>1531.582397428198</v>
      </c>
      <c r="L502" s="79">
        <f>EFEITO!$N$502*EFEITO!$AA$502</f>
        <v>233.06197060878077</v>
      </c>
      <c r="M502" s="79">
        <f>$J$502-EFEITO!$K$502*EFEITO!$Y$502</f>
        <v>0</v>
      </c>
      <c r="N502" s="79">
        <f ca="1">$K$502-EFEITO!$M$502*EFEITO!$Z$502</f>
        <v>0</v>
      </c>
      <c r="O502" s="79">
        <f>$L$502-EFEITO!$O$502*EFEITO!$AA$502</f>
        <v>0</v>
      </c>
      <c r="P502" s="18"/>
      <c r="Q502" s="18"/>
      <c r="R502" s="18"/>
      <c r="S502" s="18"/>
      <c r="T502" s="18"/>
      <c r="U502" s="18"/>
      <c r="V502" s="18"/>
      <c r="W502" s="18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70" t="s">
        <v>27</v>
      </c>
      <c r="B503" s="70" t="s">
        <v>35</v>
      </c>
      <c r="C503" s="70" t="s">
        <v>39</v>
      </c>
      <c r="D503" s="70" t="s">
        <v>43</v>
      </c>
      <c r="E503" s="70" t="s">
        <v>25</v>
      </c>
      <c r="F503" s="70" t="s">
        <v>25</v>
      </c>
      <c r="G503" s="70" t="s">
        <v>25</v>
      </c>
      <c r="H503" s="70" t="s">
        <v>37</v>
      </c>
      <c r="I503" s="78">
        <v>44378</v>
      </c>
      <c r="J503" s="79">
        <f>EFEITO!$J$503*EFEITO!$Y$503</f>
        <v>0</v>
      </c>
      <c r="K503" s="79">
        <f ca="1">EFEITO!$L$503*EFEITO!$Z$503</f>
        <v>-561.31973919349775</v>
      </c>
      <c r="L503" s="79">
        <f>EFEITO!$N$503*EFEITO!$AA$503</f>
        <v>-85.416419500326967</v>
      </c>
      <c r="M503" s="79">
        <f>$J$503-EFEITO!$K$503*EFEITO!$Y$503</f>
        <v>0</v>
      </c>
      <c r="N503" s="79">
        <f ca="1">$K$503-EFEITO!$M$503*EFEITO!$Z$503</f>
        <v>0</v>
      </c>
      <c r="O503" s="79">
        <f>$L$503-EFEITO!$O$503*EFEITO!$AA$503</f>
        <v>0</v>
      </c>
      <c r="P503" s="18"/>
      <c r="Q503" s="18"/>
      <c r="R503" s="18"/>
      <c r="S503" s="18"/>
      <c r="T503" s="18"/>
      <c r="U503" s="18"/>
      <c r="V503" s="18"/>
      <c r="W503" s="18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70" t="s">
        <v>21</v>
      </c>
      <c r="B504" s="70" t="s">
        <v>35</v>
      </c>
      <c r="C504" s="70" t="s">
        <v>39</v>
      </c>
      <c r="D504" s="70" t="s">
        <v>43</v>
      </c>
      <c r="E504" s="70" t="s">
        <v>25</v>
      </c>
      <c r="F504" s="70" t="s">
        <v>25</v>
      </c>
      <c r="G504" s="70" t="s">
        <v>25</v>
      </c>
      <c r="H504" s="70" t="s">
        <v>37</v>
      </c>
      <c r="I504" s="78">
        <v>44409</v>
      </c>
      <c r="J504" s="79">
        <f>EFEITO!$J$504*EFEITO!$Y$504</f>
        <v>0</v>
      </c>
      <c r="K504" s="79">
        <f ca="1">EFEITO!$L$504*EFEITO!$Z$504</f>
        <v>1357.0653555443728</v>
      </c>
      <c r="L504" s="79">
        <f>EFEITO!$N$504*EFEITO!$AA$504</f>
        <v>206.50558960403876</v>
      </c>
      <c r="M504" s="79">
        <f>$J$504-EFEITO!$K$504*EFEITO!$Y$504</f>
        <v>0</v>
      </c>
      <c r="N504" s="79">
        <f ca="1">$K$504-EFEITO!$M$504*EFEITO!$Z$504</f>
        <v>0</v>
      </c>
      <c r="O504" s="79">
        <f>$L$504-EFEITO!$O$504*EFEITO!$AA$504</f>
        <v>0</v>
      </c>
      <c r="P504" s="18"/>
      <c r="Q504" s="18"/>
      <c r="R504" s="18"/>
      <c r="S504" s="18"/>
      <c r="T504" s="18"/>
      <c r="U504" s="18"/>
      <c r="V504" s="18"/>
      <c r="W504" s="18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70" t="s">
        <v>21</v>
      </c>
      <c r="B505" s="70" t="s">
        <v>35</v>
      </c>
      <c r="C505" s="70" t="s">
        <v>39</v>
      </c>
      <c r="D505" s="70" t="s">
        <v>43</v>
      </c>
      <c r="E505" s="70" t="s">
        <v>25</v>
      </c>
      <c r="F505" s="70" t="s">
        <v>25</v>
      </c>
      <c r="G505" s="70" t="s">
        <v>25</v>
      </c>
      <c r="H505" s="70" t="s">
        <v>37</v>
      </c>
      <c r="I505" s="78">
        <v>44440</v>
      </c>
      <c r="J505" s="79">
        <f>EFEITO!$J$505*EFEITO!$Y$505</f>
        <v>0</v>
      </c>
      <c r="K505" s="79">
        <f ca="1">EFEITO!$L$505*EFEITO!$Z$505</f>
        <v>1280.2257624761212</v>
      </c>
      <c r="L505" s="79">
        <f>EFEITO!$N$505*EFEITO!$AA$505</f>
        <v>194.81285468404042</v>
      </c>
      <c r="M505" s="79">
        <f>$J$505-EFEITO!$K$505*EFEITO!$Y$505</f>
        <v>0</v>
      </c>
      <c r="N505" s="79">
        <f ca="1">$K$505-EFEITO!$M$505*EFEITO!$Z$505</f>
        <v>0</v>
      </c>
      <c r="O505" s="79">
        <f>$L$505-EFEITO!$O$505*EFEITO!$AA$505</f>
        <v>0</v>
      </c>
      <c r="P505" s="18"/>
      <c r="Q505" s="18"/>
      <c r="R505" s="18"/>
      <c r="S505" s="18"/>
      <c r="T505" s="18"/>
      <c r="U505" s="18"/>
      <c r="V505" s="18"/>
      <c r="W505" s="18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70" t="s">
        <v>21</v>
      </c>
      <c r="B506" s="70" t="s">
        <v>35</v>
      </c>
      <c r="C506" s="70" t="s">
        <v>39</v>
      </c>
      <c r="D506" s="70" t="s">
        <v>43</v>
      </c>
      <c r="E506" s="70" t="s">
        <v>25</v>
      </c>
      <c r="F506" s="70" t="s">
        <v>25</v>
      </c>
      <c r="G506" s="70" t="s">
        <v>25</v>
      </c>
      <c r="H506" s="70" t="s">
        <v>37</v>
      </c>
      <c r="I506" s="78">
        <v>44470</v>
      </c>
      <c r="J506" s="79">
        <f>EFEITO!$J$506*EFEITO!$Y$506</f>
        <v>0</v>
      </c>
      <c r="K506" s="79">
        <f ca="1">EFEITO!$L$506*EFEITO!$Z$506</f>
        <v>1186.4554116131703</v>
      </c>
      <c r="L506" s="79">
        <f>EFEITO!$N$506*EFEITO!$AA$506</f>
        <v>180.54375444268649</v>
      </c>
      <c r="M506" s="79">
        <f>$J$506-EFEITO!$K$506*EFEITO!$Y$506</f>
        <v>0</v>
      </c>
      <c r="N506" s="79">
        <f ca="1">$K$506-EFEITO!$M$506*EFEITO!$Z$506</f>
        <v>0</v>
      </c>
      <c r="O506" s="79">
        <f>$L$506-EFEITO!$O$506*EFEITO!$AA$506</f>
        <v>0</v>
      </c>
      <c r="P506" s="18"/>
      <c r="Q506" s="18"/>
      <c r="R506" s="18"/>
      <c r="S506" s="18"/>
      <c r="T506" s="18"/>
      <c r="U506" s="18"/>
      <c r="V506" s="18"/>
      <c r="W506" s="18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70" t="s">
        <v>21</v>
      </c>
      <c r="B507" s="70" t="s">
        <v>35</v>
      </c>
      <c r="C507" s="70" t="s">
        <v>39</v>
      </c>
      <c r="D507" s="70" t="s">
        <v>43</v>
      </c>
      <c r="E507" s="70" t="s">
        <v>25</v>
      </c>
      <c r="F507" s="70" t="s">
        <v>25</v>
      </c>
      <c r="G507" s="70" t="s">
        <v>25</v>
      </c>
      <c r="H507" s="70" t="s">
        <v>37</v>
      </c>
      <c r="I507" s="78">
        <v>44501</v>
      </c>
      <c r="J507" s="79">
        <f>EFEITO!$J$507*EFEITO!$Y$507</f>
        <v>0</v>
      </c>
      <c r="K507" s="79">
        <f ca="1">EFEITO!$L$507*EFEITO!$Z$507</f>
        <v>1095.2897927186348</v>
      </c>
      <c r="L507" s="79">
        <f>EFEITO!$N$507*EFEITO!$AA$507</f>
        <v>166.67101809692571</v>
      </c>
      <c r="M507" s="79">
        <f>$J$507-EFEITO!$K$507*EFEITO!$Y$507</f>
        <v>0</v>
      </c>
      <c r="N507" s="79">
        <f ca="1">$K$507-EFEITO!$M$507*EFEITO!$Z$507</f>
        <v>0</v>
      </c>
      <c r="O507" s="79">
        <f>$L$507-EFEITO!$O$507*EFEITO!$AA$507</f>
        <v>0</v>
      </c>
      <c r="P507" s="18"/>
      <c r="Q507" s="18"/>
      <c r="R507" s="18"/>
      <c r="S507" s="18"/>
      <c r="T507" s="18"/>
      <c r="U507" s="18"/>
      <c r="V507" s="18"/>
      <c r="W507" s="18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70" t="s">
        <v>21</v>
      </c>
      <c r="B508" s="70" t="s">
        <v>35</v>
      </c>
      <c r="C508" s="70" t="s">
        <v>39</v>
      </c>
      <c r="D508" s="70" t="s">
        <v>43</v>
      </c>
      <c r="E508" s="70" t="s">
        <v>25</v>
      </c>
      <c r="F508" s="70" t="s">
        <v>25</v>
      </c>
      <c r="G508" s="70" t="s">
        <v>25</v>
      </c>
      <c r="H508" s="70" t="s">
        <v>37</v>
      </c>
      <c r="I508" s="78">
        <v>44531</v>
      </c>
      <c r="J508" s="79">
        <f>EFEITO!$J$508*EFEITO!$Y$508</f>
        <v>0</v>
      </c>
      <c r="K508" s="79">
        <f ca="1">EFEITO!$L$508*EFEITO!$Z$508</f>
        <v>1064.0330090976511</v>
      </c>
      <c r="L508" s="79">
        <f>EFEITO!$N$508*EFEITO!$AA$508</f>
        <v>161.91465134980774</v>
      </c>
      <c r="M508" s="79">
        <f>$J$508-EFEITO!$K$508*EFEITO!$Y$508</f>
        <v>0</v>
      </c>
      <c r="N508" s="79">
        <f ca="1">$K$508-EFEITO!$M$508*EFEITO!$Z$508</f>
        <v>0</v>
      </c>
      <c r="O508" s="79">
        <f>$L$508-EFEITO!$O$508*EFEITO!$AA$508</f>
        <v>0</v>
      </c>
      <c r="P508" s="18"/>
      <c r="Q508" s="18"/>
      <c r="R508" s="18"/>
      <c r="S508" s="18"/>
      <c r="T508" s="18"/>
      <c r="U508" s="18"/>
      <c r="V508" s="18"/>
      <c r="W508" s="18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70" t="s">
        <v>21</v>
      </c>
      <c r="B509" s="70" t="s">
        <v>35</v>
      </c>
      <c r="C509" s="70" t="s">
        <v>39</v>
      </c>
      <c r="D509" s="70" t="s">
        <v>43</v>
      </c>
      <c r="E509" s="70" t="s">
        <v>25</v>
      </c>
      <c r="F509" s="70" t="s">
        <v>25</v>
      </c>
      <c r="G509" s="70" t="s">
        <v>25</v>
      </c>
      <c r="H509" s="70" t="s">
        <v>37</v>
      </c>
      <c r="I509" s="78">
        <v>44562</v>
      </c>
      <c r="J509" s="79">
        <f>EFEITO!$J$509*EFEITO!$Y$509</f>
        <v>0</v>
      </c>
      <c r="K509" s="79">
        <f ca="1">EFEITO!$L$509*EFEITO!$Z$509</f>
        <v>1194.2696075184163</v>
      </c>
      <c r="L509" s="79">
        <f>EFEITO!$N$509*EFEITO!$AA$509</f>
        <v>181.73284612946597</v>
      </c>
      <c r="M509" s="79">
        <f>$J$509-EFEITO!$K$509*EFEITO!$Y$509</f>
        <v>0</v>
      </c>
      <c r="N509" s="79">
        <f ca="1">$K$509-EFEITO!$M$509*EFEITO!$Z$509</f>
        <v>0</v>
      </c>
      <c r="O509" s="79">
        <f>$L$509-EFEITO!$O$509*EFEITO!$AA$509</f>
        <v>0</v>
      </c>
      <c r="P509" s="18"/>
      <c r="Q509" s="18"/>
      <c r="R509" s="18"/>
      <c r="S509" s="18"/>
      <c r="T509" s="18"/>
      <c r="U509" s="18"/>
      <c r="V509" s="18"/>
      <c r="W509" s="18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70" t="s">
        <v>21</v>
      </c>
      <c r="B510" s="70" t="s">
        <v>35</v>
      </c>
      <c r="C510" s="70" t="s">
        <v>39</v>
      </c>
      <c r="D510" s="70" t="s">
        <v>43</v>
      </c>
      <c r="E510" s="70" t="s">
        <v>25</v>
      </c>
      <c r="F510" s="70" t="s">
        <v>25</v>
      </c>
      <c r="G510" s="70" t="s">
        <v>25</v>
      </c>
      <c r="H510" s="70" t="s">
        <v>37</v>
      </c>
      <c r="I510" s="78">
        <v>44593</v>
      </c>
      <c r="J510" s="79">
        <f>EFEITO!$J$510*EFEITO!$Y$510</f>
        <v>0</v>
      </c>
      <c r="K510" s="79">
        <f ca="1">EFEITO!$L$510*EFEITO!$Z$510</f>
        <v>586.06469289344307</v>
      </c>
      <c r="L510" s="79">
        <f>EFEITO!$N$510*EFEITO!$AA$510</f>
        <v>89.18187650846204</v>
      </c>
      <c r="M510" s="79">
        <f>$J$510-EFEITO!$K$510*EFEITO!$Y$510</f>
        <v>0</v>
      </c>
      <c r="N510" s="79">
        <f ca="1">$K$510-EFEITO!$M$510*EFEITO!$Z$510</f>
        <v>0</v>
      </c>
      <c r="O510" s="79">
        <f>$L$510-EFEITO!$O$510*EFEITO!$AA$510</f>
        <v>0</v>
      </c>
      <c r="P510" s="18"/>
      <c r="Q510" s="18"/>
      <c r="R510" s="18"/>
      <c r="S510" s="18"/>
      <c r="T510" s="18"/>
      <c r="U510" s="18"/>
      <c r="V510" s="18"/>
      <c r="W510" s="18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70" t="s">
        <v>21</v>
      </c>
      <c r="B511" s="70" t="s">
        <v>35</v>
      </c>
      <c r="C511" s="70" t="s">
        <v>39</v>
      </c>
      <c r="D511" s="70" t="s">
        <v>43</v>
      </c>
      <c r="E511" s="70" t="s">
        <v>25</v>
      </c>
      <c r="F511" s="70" t="s">
        <v>25</v>
      </c>
      <c r="G511" s="70" t="s">
        <v>25</v>
      </c>
      <c r="H511" s="70" t="s">
        <v>37</v>
      </c>
      <c r="I511" s="78">
        <v>44621</v>
      </c>
      <c r="J511" s="79">
        <f>EFEITO!$J$511*EFEITO!$Y$511</f>
        <v>0</v>
      </c>
      <c r="K511" s="79">
        <f ca="1">EFEITO!$L$511*EFEITO!$Z$511</f>
        <v>597.78598675131195</v>
      </c>
      <c r="L511" s="79">
        <f>EFEITO!$N$511*EFEITO!$AA$511</f>
        <v>90.965514038631284</v>
      </c>
      <c r="M511" s="79">
        <f>$J$511-EFEITO!$K$511*EFEITO!$Y$511</f>
        <v>0</v>
      </c>
      <c r="N511" s="79">
        <f ca="1">$K$511-EFEITO!$M$511*EFEITO!$Z$511</f>
        <v>0</v>
      </c>
      <c r="O511" s="79">
        <f>$L$511-EFEITO!$O$511*EFEITO!$AA$511</f>
        <v>0</v>
      </c>
      <c r="P511" s="18"/>
      <c r="Q511" s="18"/>
      <c r="R511" s="18"/>
      <c r="S511" s="18"/>
      <c r="T511" s="18"/>
      <c r="U511" s="18"/>
      <c r="V511" s="18"/>
      <c r="W511" s="18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70" t="s">
        <v>27</v>
      </c>
      <c r="B512" s="70" t="s">
        <v>35</v>
      </c>
      <c r="C512" s="70" t="s">
        <v>39</v>
      </c>
      <c r="D512" s="70" t="s">
        <v>43</v>
      </c>
      <c r="E512" s="70" t="s">
        <v>25</v>
      </c>
      <c r="F512" s="70" t="s">
        <v>25</v>
      </c>
      <c r="G512" s="70" t="s">
        <v>25</v>
      </c>
      <c r="H512" s="70" t="s">
        <v>37</v>
      </c>
      <c r="I512" s="78">
        <v>44621</v>
      </c>
      <c r="J512" s="79">
        <f>EFEITO!$J$512*EFEITO!$Y$512</f>
        <v>0</v>
      </c>
      <c r="K512" s="79">
        <f ca="1">EFEITO!$L$512*EFEITO!$Z$512</f>
        <v>-14.326025826284164</v>
      </c>
      <c r="L512" s="79">
        <f>EFEITO!$N$512*EFEITO!$AA$512</f>
        <v>-2.1800014257624052</v>
      </c>
      <c r="M512" s="79">
        <f>$J$512-EFEITO!$K$512*EFEITO!$Y$512</f>
        <v>0</v>
      </c>
      <c r="N512" s="79">
        <f ca="1">$K$512-EFEITO!$M$512*EFEITO!$Z$512</f>
        <v>0</v>
      </c>
      <c r="O512" s="79">
        <f>$L$512-EFEITO!$O$512*EFEITO!$AA$512</f>
        <v>0</v>
      </c>
      <c r="P512" s="18"/>
      <c r="Q512" s="18"/>
      <c r="R512" s="18"/>
      <c r="S512" s="18"/>
      <c r="T512" s="18"/>
      <c r="U512" s="18"/>
      <c r="V512" s="18"/>
      <c r="W512" s="18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70" t="s">
        <v>21</v>
      </c>
      <c r="B513" s="70" t="s">
        <v>35</v>
      </c>
      <c r="C513" s="70" t="s">
        <v>39</v>
      </c>
      <c r="D513" s="70" t="s">
        <v>43</v>
      </c>
      <c r="E513" s="70" t="s">
        <v>25</v>
      </c>
      <c r="F513" s="70" t="s">
        <v>25</v>
      </c>
      <c r="G513" s="70" t="s">
        <v>25</v>
      </c>
      <c r="H513" s="70" t="s">
        <v>37</v>
      </c>
      <c r="I513" s="78">
        <v>44652</v>
      </c>
      <c r="J513" s="79">
        <f>EFEITO!$J$513*EFEITO!$Y$513</f>
        <v>0</v>
      </c>
      <c r="K513" s="79">
        <f ca="1">EFEITO!$L$513*EFEITO!$Z$513</f>
        <v>948.12243650317009</v>
      </c>
      <c r="L513" s="79">
        <f>EFEITO!$N$513*EFEITO!$AA$513</f>
        <v>144.27645799591193</v>
      </c>
      <c r="M513" s="79">
        <f>$J$513-EFEITO!$K$513*EFEITO!$Y$513</f>
        <v>0</v>
      </c>
      <c r="N513" s="79">
        <f ca="1">$K$513-EFEITO!$M$513*EFEITO!$Z$513</f>
        <v>0</v>
      </c>
      <c r="O513" s="79">
        <f>$L$513-EFEITO!$O$513*EFEITO!$AA$513</f>
        <v>0</v>
      </c>
      <c r="P513" s="18"/>
      <c r="Q513" s="18"/>
      <c r="R513" s="18"/>
      <c r="S513" s="18"/>
      <c r="T513" s="18"/>
      <c r="U513" s="18"/>
      <c r="V513" s="18"/>
      <c r="W513" s="18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70" t="s">
        <v>27</v>
      </c>
      <c r="B514" s="70" t="s">
        <v>35</v>
      </c>
      <c r="C514" s="70" t="s">
        <v>39</v>
      </c>
      <c r="D514" s="70" t="s">
        <v>43</v>
      </c>
      <c r="E514" s="70" t="s">
        <v>25</v>
      </c>
      <c r="F514" s="70" t="s">
        <v>25</v>
      </c>
      <c r="G514" s="70" t="s">
        <v>25</v>
      </c>
      <c r="H514" s="70" t="s">
        <v>37</v>
      </c>
      <c r="I514" s="78">
        <v>44652</v>
      </c>
      <c r="J514" s="79">
        <f>EFEITO!$J$514*EFEITO!$Y$514</f>
        <v>0</v>
      </c>
      <c r="K514" s="79">
        <f ca="1">EFEITO!$L$514*EFEITO!$Z$514</f>
        <v>-19.535489763114768</v>
      </c>
      <c r="L514" s="79">
        <f>EFEITO!$N$514*EFEITO!$AA$514</f>
        <v>-2.9727292169487347</v>
      </c>
      <c r="M514" s="79">
        <f>$J$514-EFEITO!$K$514*EFEITO!$Y$514</f>
        <v>0</v>
      </c>
      <c r="N514" s="79">
        <f ca="1">$K$514-EFEITO!$M$514*EFEITO!$Z$514</f>
        <v>0</v>
      </c>
      <c r="O514" s="79">
        <f>$L$514-EFEITO!$O$514*EFEITO!$AA$514</f>
        <v>0</v>
      </c>
      <c r="P514" s="18"/>
      <c r="Q514" s="18"/>
      <c r="R514" s="18"/>
      <c r="S514" s="18"/>
      <c r="T514" s="18"/>
      <c r="U514" s="18"/>
      <c r="V514" s="18"/>
      <c r="W514" s="18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70" t="s">
        <v>21</v>
      </c>
      <c r="B515" s="70" t="s">
        <v>35</v>
      </c>
      <c r="C515" s="70" t="s">
        <v>39</v>
      </c>
      <c r="D515" s="70" t="s">
        <v>43</v>
      </c>
      <c r="E515" s="70" t="s">
        <v>25</v>
      </c>
      <c r="F515" s="70" t="s">
        <v>25</v>
      </c>
      <c r="G515" s="70" t="s">
        <v>25</v>
      </c>
      <c r="H515" s="70" t="s">
        <v>37</v>
      </c>
      <c r="I515" s="78">
        <v>44682</v>
      </c>
      <c r="J515" s="79">
        <f>EFEITO!$J$515*EFEITO!$Y$515</f>
        <v>0</v>
      </c>
      <c r="K515" s="79">
        <f ca="1">EFEITO!$L$515*EFEITO!$Z$515</f>
        <v>847.84025571918107</v>
      </c>
      <c r="L515" s="79">
        <f>EFEITO!$N$515*EFEITO!$AA$515</f>
        <v>129.01644801557509</v>
      </c>
      <c r="M515" s="79">
        <f>$J$515-EFEITO!$K$515*EFEITO!$Y$515</f>
        <v>0</v>
      </c>
      <c r="N515" s="79">
        <f ca="1">$K$515-EFEITO!$M$515*EFEITO!$Z$515</f>
        <v>0</v>
      </c>
      <c r="O515" s="79">
        <f>$L$515-EFEITO!$O$515*EFEITO!$AA$515</f>
        <v>0</v>
      </c>
      <c r="P515" s="18"/>
      <c r="Q515" s="18"/>
      <c r="R515" s="18"/>
      <c r="S515" s="18"/>
      <c r="T515" s="18"/>
      <c r="U515" s="18"/>
      <c r="V515" s="18"/>
      <c r="W515" s="18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70" t="s">
        <v>21</v>
      </c>
      <c r="B516" s="70" t="s">
        <v>35</v>
      </c>
      <c r="C516" s="70" t="s">
        <v>39</v>
      </c>
      <c r="D516" s="70" t="s">
        <v>43</v>
      </c>
      <c r="E516" s="70" t="s">
        <v>25</v>
      </c>
      <c r="F516" s="70" t="s">
        <v>25</v>
      </c>
      <c r="G516" s="70" t="s">
        <v>25</v>
      </c>
      <c r="H516" s="70" t="s">
        <v>37</v>
      </c>
      <c r="I516" s="78">
        <v>44713</v>
      </c>
      <c r="J516" s="79">
        <f>EFEITO!$J$516*EFEITO!$Y$516</f>
        <v>0</v>
      </c>
      <c r="K516" s="79">
        <f ca="1">EFEITO!$L$516*EFEITO!$Z$516</f>
        <v>1079.6614009081429</v>
      </c>
      <c r="L516" s="79">
        <f>EFEITO!$N$516*EFEITO!$AA$516</f>
        <v>164.29283472336672</v>
      </c>
      <c r="M516" s="79">
        <f>$J$516-EFEITO!$K$516*EFEITO!$Y$516</f>
        <v>0</v>
      </c>
      <c r="N516" s="79">
        <f ca="1">$K$516-EFEITO!$M$516*EFEITO!$Z$516</f>
        <v>0</v>
      </c>
      <c r="O516" s="79">
        <f>$L$516-EFEITO!$O$516*EFEITO!$AA$516</f>
        <v>0</v>
      </c>
      <c r="P516" s="18"/>
      <c r="Q516" s="18"/>
      <c r="R516" s="18"/>
      <c r="S516" s="18"/>
      <c r="T516" s="18"/>
      <c r="U516" s="18"/>
      <c r="V516" s="18"/>
      <c r="W516" s="18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70" t="s">
        <v>21</v>
      </c>
      <c r="B517" s="70" t="s">
        <v>35</v>
      </c>
      <c r="C517" s="70" t="s">
        <v>39</v>
      </c>
      <c r="D517" s="70" t="s">
        <v>42</v>
      </c>
      <c r="E517" s="70" t="s">
        <v>50</v>
      </c>
      <c r="F517" s="70" t="s">
        <v>51</v>
      </c>
      <c r="G517" s="70" t="s">
        <v>25</v>
      </c>
      <c r="H517" s="70" t="s">
        <v>38</v>
      </c>
      <c r="I517" s="78">
        <v>44378</v>
      </c>
      <c r="J517" s="79">
        <f>EFEITO!$J$517*EFEITO!$Y$486</f>
        <v>0</v>
      </c>
      <c r="K517" s="79">
        <f ca="1">EFEITO!$L$517*EFEITO!$Z$486</f>
        <v>11401.123290403531</v>
      </c>
      <c r="L517" s="79">
        <f>EFEITO!$N$517*EFEITO!$AA$486</f>
        <v>24425.726883980973</v>
      </c>
      <c r="M517" s="79">
        <f>$J$517-EFEITO!$K$517*EFEITO!$Y$517</f>
        <v>0</v>
      </c>
      <c r="N517" s="79">
        <f ca="1">$K$517-EFEITO!$M$517*EFEITO!$Z$517</f>
        <v>228.02246580806968</v>
      </c>
      <c r="O517" s="79">
        <f>$L$517-EFEITO!$O$517*EFEITO!$AA$517</f>
        <v>488.51453767962084</v>
      </c>
      <c r="P517" s="18"/>
      <c r="Q517" s="18"/>
      <c r="R517" s="18"/>
      <c r="S517" s="18"/>
      <c r="T517" s="18"/>
      <c r="U517" s="18"/>
      <c r="V517" s="18"/>
      <c r="W517" s="18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70" t="s">
        <v>28</v>
      </c>
      <c r="B518" s="70" t="s">
        <v>35</v>
      </c>
      <c r="C518" s="70" t="s">
        <v>39</v>
      </c>
      <c r="D518" s="70" t="s">
        <v>42</v>
      </c>
      <c r="E518" s="70" t="s">
        <v>50</v>
      </c>
      <c r="F518" s="70" t="s">
        <v>51</v>
      </c>
      <c r="G518" s="70" t="s">
        <v>25</v>
      </c>
      <c r="H518" s="70" t="s">
        <v>38</v>
      </c>
      <c r="I518" s="78">
        <v>44378</v>
      </c>
      <c r="J518" s="79">
        <f>EFEITO!$J$518*EFEITO!$Y$486</f>
        <v>0</v>
      </c>
      <c r="K518" s="79">
        <f ca="1">EFEITO!$L$518*EFEITO!$Z$486</f>
        <v>21.923636052427501</v>
      </c>
      <c r="L518" s="79">
        <f>EFEITO!$N$518*EFEITO!$AA$486</f>
        <v>46.969121627790003</v>
      </c>
      <c r="M518" s="79">
        <f>$J$518-EFEITO!$K$518*EFEITO!$Y$518</f>
        <v>0</v>
      </c>
      <c r="N518" s="79">
        <f ca="1">$K$518-EFEITO!$M$518*EFEITO!$Z$518</f>
        <v>0.43847272104855151</v>
      </c>
      <c r="O518" s="79">
        <f>$L$518-EFEITO!$O$518*EFEITO!$AA$518</f>
        <v>0.93938243255580289</v>
      </c>
      <c r="P518" s="18"/>
      <c r="Q518" s="18"/>
      <c r="R518" s="18"/>
      <c r="S518" s="18"/>
      <c r="T518" s="18"/>
      <c r="U518" s="18"/>
      <c r="V518" s="18"/>
      <c r="W518" s="18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70" t="s">
        <v>21</v>
      </c>
      <c r="B519" s="70" t="s">
        <v>35</v>
      </c>
      <c r="C519" s="70" t="s">
        <v>39</v>
      </c>
      <c r="D519" s="70" t="s">
        <v>42</v>
      </c>
      <c r="E519" s="70" t="s">
        <v>50</v>
      </c>
      <c r="F519" s="70" t="s">
        <v>51</v>
      </c>
      <c r="G519" s="70" t="s">
        <v>25</v>
      </c>
      <c r="H519" s="70" t="s">
        <v>38</v>
      </c>
      <c r="I519" s="78">
        <v>44409</v>
      </c>
      <c r="J519" s="79">
        <f>EFEITO!$J$519*EFEITO!$Y$486</f>
        <v>0</v>
      </c>
      <c r="K519" s="79">
        <f ca="1">EFEITO!$L$519*EFEITO!$Z$486</f>
        <v>19340.254685186392</v>
      </c>
      <c r="L519" s="79">
        <f>EFEITO!$N$519*EFEITO!$AA$486</f>
        <v>41434.494371674853</v>
      </c>
      <c r="M519" s="79">
        <f>$J$519-EFEITO!$K$519*EFEITO!$Y$519</f>
        <v>0</v>
      </c>
      <c r="N519" s="79">
        <f ca="1">$K$519-EFEITO!$M$519*EFEITO!$Z$519</f>
        <v>386.80509370372602</v>
      </c>
      <c r="O519" s="79">
        <f>$L$519-EFEITO!$O$519*EFEITO!$AA$519</f>
        <v>828.68988743349473</v>
      </c>
      <c r="P519" s="18"/>
      <c r="Q519" s="18"/>
      <c r="R519" s="18"/>
      <c r="S519" s="18"/>
      <c r="T519" s="18"/>
      <c r="U519" s="18"/>
      <c r="V519" s="18"/>
      <c r="W519" s="18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70" t="s">
        <v>28</v>
      </c>
      <c r="B520" s="70" t="s">
        <v>35</v>
      </c>
      <c r="C520" s="70" t="s">
        <v>39</v>
      </c>
      <c r="D520" s="70" t="s">
        <v>42</v>
      </c>
      <c r="E520" s="70" t="s">
        <v>50</v>
      </c>
      <c r="F520" s="70" t="s">
        <v>51</v>
      </c>
      <c r="G520" s="70" t="s">
        <v>25</v>
      </c>
      <c r="H520" s="70" t="s">
        <v>38</v>
      </c>
      <c r="I520" s="78">
        <v>44409</v>
      </c>
      <c r="J520" s="79">
        <f>EFEITO!$J$520*EFEITO!$Y$486</f>
        <v>0</v>
      </c>
      <c r="K520" s="79">
        <f ca="1">EFEITO!$L$520*EFEITO!$Z$486</f>
        <v>771.02745357376898</v>
      </c>
      <c r="L520" s="79">
        <f>EFEITO!$N$520*EFEITO!$AA$486</f>
        <v>1651.8465348845136</v>
      </c>
      <c r="M520" s="79">
        <f>$J$520-EFEITO!$K$520*EFEITO!$Y$520</f>
        <v>0</v>
      </c>
      <c r="N520" s="79">
        <f ca="1">$K$520-EFEITO!$M$520*EFEITO!$Z$520</f>
        <v>15.420549071475421</v>
      </c>
      <c r="O520" s="79">
        <f>$L$520-EFEITO!$O$520*EFEITO!$AA$520</f>
        <v>33.036930697690195</v>
      </c>
      <c r="P520" s="18"/>
      <c r="Q520" s="18"/>
      <c r="R520" s="18"/>
      <c r="S520" s="18"/>
      <c r="T520" s="18"/>
      <c r="U520" s="18"/>
      <c r="V520" s="18"/>
      <c r="W520" s="18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70" t="s">
        <v>21</v>
      </c>
      <c r="B521" s="70" t="s">
        <v>35</v>
      </c>
      <c r="C521" s="70" t="s">
        <v>39</v>
      </c>
      <c r="D521" s="70" t="s">
        <v>42</v>
      </c>
      <c r="E521" s="70" t="s">
        <v>50</v>
      </c>
      <c r="F521" s="70" t="s">
        <v>51</v>
      </c>
      <c r="G521" s="70" t="s">
        <v>25</v>
      </c>
      <c r="H521" s="70" t="s">
        <v>38</v>
      </c>
      <c r="I521" s="78">
        <v>44440</v>
      </c>
      <c r="J521" s="79">
        <f>EFEITO!$J$521*EFEITO!$Y$486</f>
        <v>0</v>
      </c>
      <c r="K521" s="79">
        <f ca="1">EFEITO!$L$521*EFEITO!$Z$486</f>
        <v>56932.630169969707</v>
      </c>
      <c r="L521" s="79">
        <f>EFEITO!$N$521*EFEITO!$AA$486</f>
        <v>121972.26886309337</v>
      </c>
      <c r="M521" s="79">
        <f>$J$521-EFEITO!$K$521*EFEITO!$Y$521</f>
        <v>0</v>
      </c>
      <c r="N521" s="79">
        <f ca="1">$K$521-EFEITO!$M$521*EFEITO!$Z$521</f>
        <v>1138.6526033993941</v>
      </c>
      <c r="O521" s="79">
        <f>$L$521-EFEITO!$O$521*EFEITO!$AA$521</f>
        <v>2439.4453772618872</v>
      </c>
      <c r="P521" s="18"/>
      <c r="Q521" s="18"/>
      <c r="R521" s="18"/>
      <c r="S521" s="18"/>
      <c r="T521" s="18"/>
      <c r="U521" s="18"/>
      <c r="V521" s="18"/>
      <c r="W521" s="18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70" t="s">
        <v>28</v>
      </c>
      <c r="B522" s="70" t="s">
        <v>35</v>
      </c>
      <c r="C522" s="70" t="s">
        <v>39</v>
      </c>
      <c r="D522" s="70" t="s">
        <v>42</v>
      </c>
      <c r="E522" s="70" t="s">
        <v>50</v>
      </c>
      <c r="F522" s="70" t="s">
        <v>51</v>
      </c>
      <c r="G522" s="70" t="s">
        <v>25</v>
      </c>
      <c r="H522" s="70" t="s">
        <v>38</v>
      </c>
      <c r="I522" s="78">
        <v>44440</v>
      </c>
      <c r="J522" s="79">
        <f>EFEITO!$J$522*EFEITO!$Y$486</f>
        <v>0</v>
      </c>
      <c r="K522" s="79">
        <f ca="1">EFEITO!$L$522*EFEITO!$Z$486</f>
        <v>1069.81793648238</v>
      </c>
      <c r="L522" s="79">
        <f>EFEITO!$N$522*EFEITO!$AA$486</f>
        <v>2291.9742262674745</v>
      </c>
      <c r="M522" s="79">
        <f>$J$522-EFEITO!$K$522*EFEITO!$Y$522</f>
        <v>0</v>
      </c>
      <c r="N522" s="79">
        <f ca="1">$K$522-EFEITO!$M$522*EFEITO!$Z$522</f>
        <v>21.396358729647545</v>
      </c>
      <c r="O522" s="79">
        <f>$L$522-EFEITO!$O$522*EFEITO!$AA$522</f>
        <v>45.83948452534969</v>
      </c>
      <c r="P522" s="18"/>
      <c r="Q522" s="18"/>
      <c r="R522" s="18"/>
      <c r="S522" s="18"/>
      <c r="T522" s="18"/>
      <c r="U522" s="18"/>
      <c r="V522" s="18"/>
      <c r="W522" s="18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70" t="s">
        <v>21</v>
      </c>
      <c r="B523" s="70" t="s">
        <v>35</v>
      </c>
      <c r="C523" s="70" t="s">
        <v>39</v>
      </c>
      <c r="D523" s="70" t="s">
        <v>42</v>
      </c>
      <c r="E523" s="70" t="s">
        <v>50</v>
      </c>
      <c r="F523" s="70" t="s">
        <v>51</v>
      </c>
      <c r="G523" s="70" t="s">
        <v>25</v>
      </c>
      <c r="H523" s="70" t="s">
        <v>38</v>
      </c>
      <c r="I523" s="78">
        <v>44470</v>
      </c>
      <c r="J523" s="79">
        <f>EFEITO!$J$523*EFEITO!$Y$486</f>
        <v>0</v>
      </c>
      <c r="K523" s="79">
        <f ca="1">EFEITO!$L$523*EFEITO!$Z$486</f>
        <v>29225.964448961793</v>
      </c>
      <c r="L523" s="79">
        <f>EFEITO!$N$523*EFEITO!$AA$486</f>
        <v>62613.604586852212</v>
      </c>
      <c r="M523" s="79">
        <f>$J$523-EFEITO!$K$523*EFEITO!$Y$523</f>
        <v>0</v>
      </c>
      <c r="N523" s="79">
        <f ca="1">$K$523-EFEITO!$M$523*EFEITO!$Z$523</f>
        <v>584.5192889792379</v>
      </c>
      <c r="O523" s="79">
        <f>$L$523-EFEITO!$O$523*EFEITO!$AA$523</f>
        <v>1252.2720917370461</v>
      </c>
      <c r="P523" s="18"/>
      <c r="Q523" s="18"/>
      <c r="R523" s="18"/>
      <c r="S523" s="18"/>
      <c r="T523" s="18"/>
      <c r="U523" s="18"/>
      <c r="V523" s="18"/>
      <c r="W523" s="18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70" t="s">
        <v>21</v>
      </c>
      <c r="B524" s="70" t="s">
        <v>35</v>
      </c>
      <c r="C524" s="70" t="s">
        <v>39</v>
      </c>
      <c r="D524" s="70" t="s">
        <v>42</v>
      </c>
      <c r="E524" s="70" t="s">
        <v>50</v>
      </c>
      <c r="F524" s="70" t="s">
        <v>51</v>
      </c>
      <c r="G524" s="70" t="s">
        <v>25</v>
      </c>
      <c r="H524" s="70" t="s">
        <v>38</v>
      </c>
      <c r="I524" s="78">
        <v>44501</v>
      </c>
      <c r="J524" s="79">
        <f>EFEITO!$J$524*EFEITO!$Y$486</f>
        <v>0</v>
      </c>
      <c r="K524" s="79">
        <f ca="1">EFEITO!$L$524*EFEITO!$Z$486</f>
        <v>54101.890984989397</v>
      </c>
      <c r="L524" s="79">
        <f>EFEITO!$N$524*EFEITO!$AA$486</f>
        <v>115907.70307857015</v>
      </c>
      <c r="M524" s="79">
        <f>$J$524-EFEITO!$K$524*EFEITO!$Y$524</f>
        <v>0</v>
      </c>
      <c r="N524" s="79">
        <f ca="1">$K$524-EFEITO!$M$524*EFEITO!$Z$524</f>
        <v>1082.0378196997917</v>
      </c>
      <c r="O524" s="79">
        <f>$L$524-EFEITO!$O$524*EFEITO!$AA$524</f>
        <v>2318.1540615714039</v>
      </c>
      <c r="P524" s="18"/>
      <c r="Q524" s="18"/>
      <c r="R524" s="18"/>
      <c r="S524" s="18"/>
      <c r="T524" s="18"/>
      <c r="U524" s="18"/>
      <c r="V524" s="18"/>
      <c r="W524" s="18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70" t="s">
        <v>27</v>
      </c>
      <c r="B525" s="70" t="s">
        <v>35</v>
      </c>
      <c r="C525" s="70" t="s">
        <v>39</v>
      </c>
      <c r="D525" s="70" t="s">
        <v>42</v>
      </c>
      <c r="E525" s="70" t="s">
        <v>50</v>
      </c>
      <c r="F525" s="70" t="s">
        <v>51</v>
      </c>
      <c r="G525" s="70" t="s">
        <v>25</v>
      </c>
      <c r="H525" s="70" t="s">
        <v>38</v>
      </c>
      <c r="I525" s="78">
        <v>44501</v>
      </c>
      <c r="J525" s="79">
        <f>EFEITO!$J$525*EFEITO!$Y$486</f>
        <v>0</v>
      </c>
      <c r="K525" s="79">
        <f ca="1">EFEITO!$L$525*EFEITO!$Z$486</f>
        <v>-58.555534266610159</v>
      </c>
      <c r="L525" s="79">
        <f>EFEITO!$N$525*EFEITO!$AA$486</f>
        <v>-125.44917295523661</v>
      </c>
      <c r="M525" s="79">
        <f>$J$525-EFEITO!$K$525*EFEITO!$Y$525</f>
        <v>0</v>
      </c>
      <c r="N525" s="79">
        <f ca="1">$K$525-EFEITO!$M$525*EFEITO!$Z$525</f>
        <v>-1.1711106853322022</v>
      </c>
      <c r="O525" s="79">
        <f>$L$525-EFEITO!$O$525*EFEITO!$AA$525</f>
        <v>-2.5089834591047406</v>
      </c>
      <c r="P525" s="18"/>
      <c r="Q525" s="18"/>
      <c r="R525" s="18"/>
      <c r="S525" s="18"/>
      <c r="T525" s="18"/>
      <c r="U525" s="18"/>
      <c r="V525" s="18"/>
      <c r="W525" s="18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70" t="s">
        <v>28</v>
      </c>
      <c r="B526" s="70" t="s">
        <v>35</v>
      </c>
      <c r="C526" s="70" t="s">
        <v>39</v>
      </c>
      <c r="D526" s="70" t="s">
        <v>42</v>
      </c>
      <c r="E526" s="70" t="s">
        <v>50</v>
      </c>
      <c r="F526" s="70" t="s">
        <v>51</v>
      </c>
      <c r="G526" s="70" t="s">
        <v>25</v>
      </c>
      <c r="H526" s="70" t="s">
        <v>38</v>
      </c>
      <c r="I526" s="78">
        <v>44501</v>
      </c>
      <c r="J526" s="79">
        <f>EFEITO!$J$526*EFEITO!$Y$486</f>
        <v>0</v>
      </c>
      <c r="K526" s="79">
        <f ca="1">EFEITO!$L$526*EFEITO!$Z$486</f>
        <v>843.18119248049231</v>
      </c>
      <c r="L526" s="79">
        <f>EFEITO!$N$526*EFEITO!$AA$486</f>
        <v>1806.4284541658478</v>
      </c>
      <c r="M526" s="79">
        <f>$J$526-EFEITO!$K$526*EFEITO!$Y$526</f>
        <v>0</v>
      </c>
      <c r="N526" s="79">
        <f ca="1">$K$526-EFEITO!$M$526*EFEITO!$Z$526</f>
        <v>16.86362384960978</v>
      </c>
      <c r="O526" s="79">
        <f>$L$526-EFEITO!$O$526*EFEITO!$AA$526</f>
        <v>36.128569083317188</v>
      </c>
      <c r="P526" s="18"/>
      <c r="Q526" s="18"/>
      <c r="R526" s="18"/>
      <c r="S526" s="18"/>
      <c r="T526" s="18"/>
      <c r="U526" s="18"/>
      <c r="V526" s="18"/>
      <c r="W526" s="18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70" t="s">
        <v>21</v>
      </c>
      <c r="B527" s="70" t="s">
        <v>35</v>
      </c>
      <c r="C527" s="70" t="s">
        <v>39</v>
      </c>
      <c r="D527" s="70" t="s">
        <v>42</v>
      </c>
      <c r="E527" s="70" t="s">
        <v>50</v>
      </c>
      <c r="F527" s="70" t="s">
        <v>51</v>
      </c>
      <c r="G527" s="70" t="s">
        <v>25</v>
      </c>
      <c r="H527" s="70" t="s">
        <v>38</v>
      </c>
      <c r="I527" s="78">
        <v>44531</v>
      </c>
      <c r="J527" s="79">
        <f>EFEITO!$J$527*EFEITO!$Y$486</f>
        <v>0</v>
      </c>
      <c r="K527" s="79">
        <f ca="1">EFEITO!$L$527*EFEITO!$Z$486</f>
        <v>476298.48612725857</v>
      </c>
      <c r="L527" s="79">
        <f>EFEITO!$N$527*EFEITO!$AA$486</f>
        <v>1020420.2201015094</v>
      </c>
      <c r="M527" s="79">
        <f>$J$527-EFEITO!$K$527*EFEITO!$Y$527</f>
        <v>0</v>
      </c>
      <c r="N527" s="79">
        <f ca="1">$K$527-EFEITO!$M$527*EFEITO!$Z$527</f>
        <v>9525.9697225451819</v>
      </c>
      <c r="O527" s="79">
        <f>$L$527-EFEITO!$O$527*EFEITO!$AA$527</f>
        <v>20408.404402030166</v>
      </c>
      <c r="P527" s="18"/>
      <c r="Q527" s="18"/>
      <c r="R527" s="18"/>
      <c r="S527" s="18"/>
      <c r="T527" s="18"/>
      <c r="U527" s="18"/>
      <c r="V527" s="18"/>
      <c r="W527" s="18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70" t="s">
        <v>21</v>
      </c>
      <c r="B528" s="70" t="s">
        <v>35</v>
      </c>
      <c r="C528" s="70" t="s">
        <v>39</v>
      </c>
      <c r="D528" s="70" t="s">
        <v>42</v>
      </c>
      <c r="E528" s="70" t="s">
        <v>50</v>
      </c>
      <c r="F528" s="70" t="s">
        <v>51</v>
      </c>
      <c r="G528" s="70" t="s">
        <v>25</v>
      </c>
      <c r="H528" s="70" t="s">
        <v>38</v>
      </c>
      <c r="I528" s="78">
        <v>44562</v>
      </c>
      <c r="J528" s="79">
        <f>EFEITO!$J$528*EFEITO!$Y$486</f>
        <v>0</v>
      </c>
      <c r="K528" s="79">
        <f ca="1">EFEITO!$L$528*EFEITO!$Z$486</f>
        <v>617553.39826098364</v>
      </c>
      <c r="L528" s="79">
        <f>EFEITO!$N$528*EFEITO!$AA$486</f>
        <v>1323044.2525688384</v>
      </c>
      <c r="M528" s="79">
        <f>$J$528-EFEITO!$K$528*EFEITO!$Y$528</f>
        <v>0</v>
      </c>
      <c r="N528" s="79">
        <f ca="1">$K$528-EFEITO!$M$528*EFEITO!$Z$528</f>
        <v>12351.067965219612</v>
      </c>
      <c r="O528" s="79">
        <f>$L$528-EFEITO!$O$528*EFEITO!$AA$528</f>
        <v>26460.885051376885</v>
      </c>
      <c r="P528" s="18"/>
      <c r="Q528" s="18"/>
      <c r="R528" s="18"/>
      <c r="S528" s="18"/>
      <c r="T528" s="18"/>
      <c r="U528" s="18"/>
      <c r="V528" s="18"/>
      <c r="W528" s="18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70" t="s">
        <v>28</v>
      </c>
      <c r="B529" s="70" t="s">
        <v>35</v>
      </c>
      <c r="C529" s="70" t="s">
        <v>39</v>
      </c>
      <c r="D529" s="70" t="s">
        <v>42</v>
      </c>
      <c r="E529" s="70" t="s">
        <v>50</v>
      </c>
      <c r="F529" s="70" t="s">
        <v>51</v>
      </c>
      <c r="G529" s="70" t="s">
        <v>25</v>
      </c>
      <c r="H529" s="70" t="s">
        <v>38</v>
      </c>
      <c r="I529" s="78">
        <v>44562</v>
      </c>
      <c r="J529" s="79">
        <f>EFEITO!$J$529*EFEITO!$Y$486</f>
        <v>0</v>
      </c>
      <c r="K529" s="79">
        <f ca="1">EFEITO!$L$529*EFEITO!$Z$486</f>
        <v>16778.14942044342</v>
      </c>
      <c r="L529" s="79">
        <f>EFEITO!$N$529*EFEITO!$AA$486</f>
        <v>35945.44896355291</v>
      </c>
      <c r="M529" s="79">
        <f>$J$529-EFEITO!$K$529*EFEITO!$Y$529</f>
        <v>0</v>
      </c>
      <c r="N529" s="79">
        <f ca="1">$K$529-EFEITO!$M$529*EFEITO!$Z$529</f>
        <v>335.56298840886666</v>
      </c>
      <c r="O529" s="79">
        <f>$L$529-EFEITO!$O$529*EFEITO!$AA$529</f>
        <v>718.90897927105834</v>
      </c>
      <c r="P529" s="18"/>
      <c r="Q529" s="18"/>
      <c r="R529" s="18"/>
      <c r="S529" s="18"/>
      <c r="T529" s="18"/>
      <c r="U529" s="18"/>
      <c r="V529" s="18"/>
      <c r="W529" s="18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70" t="s">
        <v>21</v>
      </c>
      <c r="B530" s="70" t="s">
        <v>35</v>
      </c>
      <c r="C530" s="70" t="s">
        <v>39</v>
      </c>
      <c r="D530" s="70" t="s">
        <v>42</v>
      </c>
      <c r="E530" s="70" t="s">
        <v>50</v>
      </c>
      <c r="F530" s="70" t="s">
        <v>51</v>
      </c>
      <c r="G530" s="70" t="s">
        <v>25</v>
      </c>
      <c r="H530" s="70" t="s">
        <v>38</v>
      </c>
      <c r="I530" s="78">
        <v>44593</v>
      </c>
      <c r="J530" s="79">
        <f>EFEITO!$J$530*EFEITO!$Y$486</f>
        <v>0</v>
      </c>
      <c r="K530" s="79">
        <f ca="1">EFEITO!$L$530*EFEITO!$Z$486</f>
        <v>477763.20702706504</v>
      </c>
      <c r="L530" s="79">
        <f>EFEITO!$N$530*EFEITO!$AA$486</f>
        <v>1023558.2330629205</v>
      </c>
      <c r="M530" s="79">
        <f>$J$530-EFEITO!$K$530*EFEITO!$Y$530</f>
        <v>0</v>
      </c>
      <c r="N530" s="79">
        <f ca="1">$K$530-EFEITO!$M$530*EFEITO!$Z$530</f>
        <v>9555.264140541316</v>
      </c>
      <c r="O530" s="79">
        <f>$L$530-EFEITO!$O$530*EFEITO!$AA$530</f>
        <v>20471.164661258459</v>
      </c>
      <c r="P530" s="18"/>
      <c r="Q530" s="18"/>
      <c r="R530" s="18"/>
      <c r="S530" s="18"/>
      <c r="T530" s="18"/>
      <c r="U530" s="18"/>
      <c r="V530" s="18"/>
      <c r="W530" s="18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70" t="s">
        <v>27</v>
      </c>
      <c r="B531" s="70" t="s">
        <v>35</v>
      </c>
      <c r="C531" s="70" t="s">
        <v>39</v>
      </c>
      <c r="D531" s="70" t="s">
        <v>42</v>
      </c>
      <c r="E531" s="70" t="s">
        <v>50</v>
      </c>
      <c r="F531" s="70" t="s">
        <v>51</v>
      </c>
      <c r="G531" s="70" t="s">
        <v>25</v>
      </c>
      <c r="H531" s="70" t="s">
        <v>38</v>
      </c>
      <c r="I531" s="78">
        <v>44593</v>
      </c>
      <c r="J531" s="79">
        <f>EFEITO!$J$531*EFEITO!$Y$486</f>
        <v>0</v>
      </c>
      <c r="K531" s="79">
        <f ca="1">EFEITO!$L$531*EFEITO!$Z$486</f>
        <v>-5223.8381920533056</v>
      </c>
      <c r="L531" s="79">
        <f>EFEITO!$N$531*EFEITO!$AA$486</f>
        <v>-11191.532774020799</v>
      </c>
      <c r="M531" s="79">
        <f>$J$531-EFEITO!$K$531*EFEITO!$Y$531</f>
        <v>0</v>
      </c>
      <c r="N531" s="79">
        <f ca="1">$K$531-EFEITO!$M$531*EFEITO!$Z$531</f>
        <v>-104.47676384106671</v>
      </c>
      <c r="O531" s="79">
        <f>$L$531-EFEITO!$O$531*EFEITO!$AA$531</f>
        <v>-223.83065548041668</v>
      </c>
      <c r="P531" s="18"/>
      <c r="Q531" s="18"/>
      <c r="R531" s="18"/>
      <c r="S531" s="18"/>
      <c r="T531" s="18"/>
      <c r="U531" s="18"/>
      <c r="V531" s="18"/>
      <c r="W531" s="18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70" t="s">
        <v>28</v>
      </c>
      <c r="B532" s="70" t="s">
        <v>35</v>
      </c>
      <c r="C532" s="70" t="s">
        <v>39</v>
      </c>
      <c r="D532" s="70" t="s">
        <v>42</v>
      </c>
      <c r="E532" s="70" t="s">
        <v>50</v>
      </c>
      <c r="F532" s="70" t="s">
        <v>51</v>
      </c>
      <c r="G532" s="70" t="s">
        <v>25</v>
      </c>
      <c r="H532" s="70" t="s">
        <v>38</v>
      </c>
      <c r="I532" s="78">
        <v>44593</v>
      </c>
      <c r="J532" s="79">
        <f>EFEITO!$J$532*EFEITO!$Y$486</f>
        <v>0</v>
      </c>
      <c r="K532" s="79">
        <f ca="1">EFEITO!$L$532*EFEITO!$Z$486</f>
        <v>14610.207080676792</v>
      </c>
      <c r="L532" s="79">
        <f>EFEITO!$N$532*EFEITO!$AA$486</f>
        <v>31300.85683499221</v>
      </c>
      <c r="M532" s="79">
        <f>$J$532-EFEITO!$K$532*EFEITO!$Y$532</f>
        <v>0</v>
      </c>
      <c r="N532" s="79">
        <f ca="1">$K$532-EFEITO!$M$532*EFEITO!$Z$532</f>
        <v>292.20414161353619</v>
      </c>
      <c r="O532" s="79">
        <f>$L$532-EFEITO!$O$532*EFEITO!$AA$532</f>
        <v>626.01713669984747</v>
      </c>
      <c r="P532" s="18"/>
      <c r="Q532" s="18"/>
      <c r="R532" s="18"/>
      <c r="S532" s="18"/>
      <c r="T532" s="18"/>
      <c r="U532" s="18"/>
      <c r="V532" s="18"/>
      <c r="W532" s="18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70" t="s">
        <v>21</v>
      </c>
      <c r="B533" s="70" t="s">
        <v>35</v>
      </c>
      <c r="C533" s="70" t="s">
        <v>39</v>
      </c>
      <c r="D533" s="70" t="s">
        <v>42</v>
      </c>
      <c r="E533" s="70" t="s">
        <v>50</v>
      </c>
      <c r="F533" s="70" t="s">
        <v>51</v>
      </c>
      <c r="G533" s="70" t="s">
        <v>25</v>
      </c>
      <c r="H533" s="70" t="s">
        <v>38</v>
      </c>
      <c r="I533" s="78">
        <v>44621</v>
      </c>
      <c r="J533" s="79">
        <f>EFEITO!$J$533*EFEITO!$Y$486</f>
        <v>0</v>
      </c>
      <c r="K533" s="79">
        <f ca="1">EFEITO!$L$533*EFEITO!$Z$486</f>
        <v>305878.8477178489</v>
      </c>
      <c r="L533" s="79">
        <f>EFEITO!$N$533*EFEITO!$AA$486</f>
        <v>655313.77949676954</v>
      </c>
      <c r="M533" s="79">
        <f>$J$533-EFEITO!$K$533*EFEITO!$Y$533</f>
        <v>0</v>
      </c>
      <c r="N533" s="79">
        <f ca="1">$K$533-EFEITO!$M$533*EFEITO!$Z$533</f>
        <v>6117.5769543569768</v>
      </c>
      <c r="O533" s="79">
        <f>$L$533-EFEITO!$O$533*EFEITO!$AA$533</f>
        <v>13106.275589935365</v>
      </c>
      <c r="P533" s="18"/>
      <c r="Q533" s="18"/>
      <c r="R533" s="18"/>
      <c r="S533" s="18"/>
      <c r="T533" s="18"/>
      <c r="U533" s="18"/>
      <c r="V533" s="18"/>
      <c r="W533" s="18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70" t="s">
        <v>27</v>
      </c>
      <c r="B534" s="70" t="s">
        <v>35</v>
      </c>
      <c r="C534" s="70" t="s">
        <v>39</v>
      </c>
      <c r="D534" s="70" t="s">
        <v>42</v>
      </c>
      <c r="E534" s="70" t="s">
        <v>50</v>
      </c>
      <c r="F534" s="70" t="s">
        <v>51</v>
      </c>
      <c r="G534" s="70" t="s">
        <v>25</v>
      </c>
      <c r="H534" s="70" t="s">
        <v>38</v>
      </c>
      <c r="I534" s="78">
        <v>44621</v>
      </c>
      <c r="J534" s="79">
        <f>EFEITO!$J$534*EFEITO!$Y$486</f>
        <v>0</v>
      </c>
      <c r="K534" s="79">
        <f ca="1">EFEITO!$L$534*EFEITO!$Z$486</f>
        <v>-5120.1403185732588</v>
      </c>
      <c r="L534" s="79">
        <f>EFEITO!$N$534*EFEITO!$AA$486</f>
        <v>-10969.370810540831</v>
      </c>
      <c r="M534" s="79">
        <f>$J$534-EFEITO!$K$534*EFEITO!$Y$534</f>
        <v>0</v>
      </c>
      <c r="N534" s="79">
        <f ca="1">$K$534-EFEITO!$M$534*EFEITO!$Z$534</f>
        <v>-102.40280637146589</v>
      </c>
      <c r="O534" s="79">
        <f>$L$534-EFEITO!$O$534*EFEITO!$AA$534</f>
        <v>-219.38741621081681</v>
      </c>
      <c r="P534" s="18"/>
      <c r="Q534" s="18"/>
      <c r="R534" s="18"/>
      <c r="S534" s="18"/>
      <c r="T534" s="18"/>
      <c r="U534" s="18"/>
      <c r="V534" s="18"/>
      <c r="W534" s="18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70" t="s">
        <v>28</v>
      </c>
      <c r="B535" s="70" t="s">
        <v>35</v>
      </c>
      <c r="C535" s="70" t="s">
        <v>39</v>
      </c>
      <c r="D535" s="70" t="s">
        <v>42</v>
      </c>
      <c r="E535" s="70" t="s">
        <v>50</v>
      </c>
      <c r="F535" s="70" t="s">
        <v>51</v>
      </c>
      <c r="G535" s="70" t="s">
        <v>25</v>
      </c>
      <c r="H535" s="70" t="s">
        <v>38</v>
      </c>
      <c r="I535" s="78">
        <v>44621</v>
      </c>
      <c r="J535" s="79">
        <f>EFEITO!$J$535*EFEITO!$Y$486</f>
        <v>0</v>
      </c>
      <c r="K535" s="79">
        <f ca="1">EFEITO!$L$535*EFEITO!$Z$486</f>
        <v>9306.7222614456805</v>
      </c>
      <c r="L535" s="79">
        <f>EFEITO!$N$535*EFEITO!$AA$486</f>
        <v>19938.689403918554</v>
      </c>
      <c r="M535" s="79">
        <f>$J$535-EFEITO!$K$535*EFEITO!$Y$535</f>
        <v>0</v>
      </c>
      <c r="N535" s="79">
        <f ca="1">$K$535-EFEITO!$M$535*EFEITO!$Z$535</f>
        <v>186.13444522891405</v>
      </c>
      <c r="O535" s="79">
        <f>$L$535-EFEITO!$O$535*EFEITO!$AA$535</f>
        <v>398.77378807837158</v>
      </c>
      <c r="P535" s="18"/>
      <c r="Q535" s="18"/>
      <c r="R535" s="18"/>
      <c r="S535" s="18"/>
      <c r="T535" s="18"/>
      <c r="U535" s="18"/>
      <c r="V535" s="18"/>
      <c r="W535" s="18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70" t="s">
        <v>21</v>
      </c>
      <c r="B536" s="70" t="s">
        <v>35</v>
      </c>
      <c r="C536" s="70" t="s">
        <v>39</v>
      </c>
      <c r="D536" s="70" t="s">
        <v>42</v>
      </c>
      <c r="E536" s="70" t="s">
        <v>50</v>
      </c>
      <c r="F536" s="70" t="s">
        <v>51</v>
      </c>
      <c r="G536" s="70" t="s">
        <v>25</v>
      </c>
      <c r="H536" s="70" t="s">
        <v>38</v>
      </c>
      <c r="I536" s="78">
        <v>44652</v>
      </c>
      <c r="J536" s="79">
        <f>EFEITO!$J$536*EFEITO!$Y$486</f>
        <v>0</v>
      </c>
      <c r="K536" s="79">
        <f ca="1">EFEITO!$L$536*EFEITO!$Z$486</f>
        <v>94277.555332220349</v>
      </c>
      <c r="L536" s="79">
        <f>EFEITO!$N$536*EFEITO!$AA$486</f>
        <v>201979.906644156</v>
      </c>
      <c r="M536" s="79">
        <f>$J$536-EFEITO!$K$536*EFEITO!$Y$536</f>
        <v>0</v>
      </c>
      <c r="N536" s="79">
        <f ca="1">$K$536-EFEITO!$M$536*EFEITO!$Z$536</f>
        <v>1885.5511066444014</v>
      </c>
      <c r="O536" s="79">
        <f>$L$536-EFEITO!$O$536*EFEITO!$AA$536</f>
        <v>4039.5981328831112</v>
      </c>
      <c r="P536" s="18"/>
      <c r="Q536" s="18"/>
      <c r="R536" s="18"/>
      <c r="S536" s="18"/>
      <c r="T536" s="18"/>
      <c r="U536" s="18"/>
      <c r="V536" s="18"/>
      <c r="W536" s="18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70" t="s">
        <v>27</v>
      </c>
      <c r="B537" s="70" t="s">
        <v>35</v>
      </c>
      <c r="C537" s="70" t="s">
        <v>39</v>
      </c>
      <c r="D537" s="70" t="s">
        <v>42</v>
      </c>
      <c r="E537" s="70" t="s">
        <v>50</v>
      </c>
      <c r="F537" s="70" t="s">
        <v>51</v>
      </c>
      <c r="G537" s="70" t="s">
        <v>25</v>
      </c>
      <c r="H537" s="70" t="s">
        <v>38</v>
      </c>
      <c r="I537" s="78">
        <v>44652</v>
      </c>
      <c r="J537" s="79">
        <f>EFEITO!$J$537*EFEITO!$Y$486</f>
        <v>0</v>
      </c>
      <c r="K537" s="79">
        <f ca="1">EFEITO!$L$537*EFEITO!$Z$486</f>
        <v>-2609.4677189996937</v>
      </c>
      <c r="L537" s="79">
        <f>EFEITO!$N$537*EFEITO!$AA$486</f>
        <v>-5590.5145653937898</v>
      </c>
      <c r="M537" s="79">
        <f>$J$537-EFEITO!$K$537*EFEITO!$Y$537</f>
        <v>0</v>
      </c>
      <c r="N537" s="79">
        <f ca="1">$K$537-EFEITO!$M$537*EFEITO!$Z$537</f>
        <v>-52.189354379993802</v>
      </c>
      <c r="O537" s="79">
        <f>$L$537-EFEITO!$O$537*EFEITO!$AA$537</f>
        <v>-111.81029130787556</v>
      </c>
      <c r="P537" s="18"/>
      <c r="Q537" s="18"/>
      <c r="R537" s="18"/>
      <c r="S537" s="18"/>
      <c r="T537" s="18"/>
      <c r="U537" s="18"/>
      <c r="V537" s="18"/>
      <c r="W537" s="18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70" t="s">
        <v>28</v>
      </c>
      <c r="B538" s="70" t="s">
        <v>35</v>
      </c>
      <c r="C538" s="70" t="s">
        <v>39</v>
      </c>
      <c r="D538" s="70" t="s">
        <v>42</v>
      </c>
      <c r="E538" s="70" t="s">
        <v>50</v>
      </c>
      <c r="F538" s="70" t="s">
        <v>51</v>
      </c>
      <c r="G538" s="70" t="s">
        <v>25</v>
      </c>
      <c r="H538" s="70" t="s">
        <v>38</v>
      </c>
      <c r="I538" s="78">
        <v>44652</v>
      </c>
      <c r="J538" s="79">
        <f>EFEITO!$J$538*EFEITO!$Y$486</f>
        <v>0</v>
      </c>
      <c r="K538" s="79">
        <f ca="1">EFEITO!$L$538*EFEITO!$Z$486</f>
        <v>2771.9061363332917</v>
      </c>
      <c r="L538" s="79">
        <f>EFEITO!$N$538*EFEITO!$AA$486</f>
        <v>5938.5220657245891</v>
      </c>
      <c r="M538" s="79">
        <f>$J$538-EFEITO!$K$538*EFEITO!$Y$538</f>
        <v>0</v>
      </c>
      <c r="N538" s="79">
        <f ca="1">$K$538-EFEITO!$M$538*EFEITO!$Z$538</f>
        <v>55.438122726665824</v>
      </c>
      <c r="O538" s="79">
        <f>$L$538-EFEITO!$O$538*EFEITO!$AA$538</f>
        <v>118.77044131449202</v>
      </c>
      <c r="P538" s="18"/>
      <c r="Q538" s="18"/>
      <c r="R538" s="18"/>
      <c r="S538" s="18"/>
      <c r="T538" s="18"/>
      <c r="U538" s="18"/>
      <c r="V538" s="18"/>
      <c r="W538" s="18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70" t="s">
        <v>21</v>
      </c>
      <c r="B539" s="70" t="s">
        <v>35</v>
      </c>
      <c r="C539" s="70" t="s">
        <v>39</v>
      </c>
      <c r="D539" s="70" t="s">
        <v>42</v>
      </c>
      <c r="E539" s="70" t="s">
        <v>50</v>
      </c>
      <c r="F539" s="70" t="s">
        <v>51</v>
      </c>
      <c r="G539" s="70" t="s">
        <v>25</v>
      </c>
      <c r="H539" s="70" t="s">
        <v>38</v>
      </c>
      <c r="I539" s="78">
        <v>44682</v>
      </c>
      <c r="J539" s="79">
        <f>EFEITO!$J$539*EFEITO!$Y$486</f>
        <v>0</v>
      </c>
      <c r="K539" s="79">
        <f ca="1">EFEITO!$L$539*EFEITO!$Z$486</f>
        <v>34223.35090660015</v>
      </c>
      <c r="L539" s="79">
        <f>EFEITO!$N$539*EFEITO!$AA$486</f>
        <v>73319.987952666983</v>
      </c>
      <c r="M539" s="79">
        <f>$J$539-EFEITO!$K$539*EFEITO!$Y$539</f>
        <v>0</v>
      </c>
      <c r="N539" s="79">
        <f ca="1">$K$539-EFEITO!$M$539*EFEITO!$Z$539</f>
        <v>684.46701813199616</v>
      </c>
      <c r="O539" s="79">
        <f>$L$539-EFEITO!$O$539*EFEITO!$AA$539</f>
        <v>1466.3997590533399</v>
      </c>
      <c r="P539" s="18"/>
      <c r="Q539" s="18"/>
      <c r="R539" s="18"/>
      <c r="S539" s="18"/>
      <c r="T539" s="18"/>
      <c r="U539" s="18"/>
      <c r="V539" s="18"/>
      <c r="W539" s="18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70" t="s">
        <v>27</v>
      </c>
      <c r="B540" s="70" t="s">
        <v>35</v>
      </c>
      <c r="C540" s="70" t="s">
        <v>39</v>
      </c>
      <c r="D540" s="70" t="s">
        <v>42</v>
      </c>
      <c r="E540" s="70" t="s">
        <v>50</v>
      </c>
      <c r="F540" s="70" t="s">
        <v>51</v>
      </c>
      <c r="G540" s="70" t="s">
        <v>25</v>
      </c>
      <c r="H540" s="70" t="s">
        <v>38</v>
      </c>
      <c r="I540" s="78">
        <v>44682</v>
      </c>
      <c r="J540" s="79">
        <f>EFEITO!$J$540*EFEITO!$Y$486</f>
        <v>0</v>
      </c>
      <c r="K540" s="79">
        <f ca="1">EFEITO!$L$540*EFEITO!$Z$486</f>
        <v>-1277.6762074098256</v>
      </c>
      <c r="L540" s="79">
        <f>EFEITO!$N$540*EFEITO!$AA$486</f>
        <v>-2737.2890629663948</v>
      </c>
      <c r="M540" s="79">
        <f>$J$540-EFEITO!$K$540*EFEITO!$Y$540</f>
        <v>0</v>
      </c>
      <c r="N540" s="79">
        <f ca="1">$K$540-EFEITO!$M$540*EFEITO!$Z$540</f>
        <v>-25.55352414819663</v>
      </c>
      <c r="O540" s="79">
        <f>$L$540-EFEITO!$O$540*EFEITO!$AA$540</f>
        <v>-54.745781259327941</v>
      </c>
      <c r="P540" s="18"/>
      <c r="Q540" s="18"/>
      <c r="R540" s="18"/>
      <c r="S540" s="18"/>
      <c r="T540" s="18"/>
      <c r="U540" s="18"/>
      <c r="V540" s="18"/>
      <c r="W540" s="18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70" t="s">
        <v>28</v>
      </c>
      <c r="B541" s="70" t="s">
        <v>35</v>
      </c>
      <c r="C541" s="70" t="s">
        <v>39</v>
      </c>
      <c r="D541" s="70" t="s">
        <v>42</v>
      </c>
      <c r="E541" s="70" t="s">
        <v>50</v>
      </c>
      <c r="F541" s="70" t="s">
        <v>51</v>
      </c>
      <c r="G541" s="70" t="s">
        <v>25</v>
      </c>
      <c r="H541" s="70" t="s">
        <v>38</v>
      </c>
      <c r="I541" s="78">
        <v>44682</v>
      </c>
      <c r="J541" s="79">
        <f>EFEITO!$J$541*EFEITO!$Y$486</f>
        <v>0</v>
      </c>
      <c r="K541" s="79">
        <f ca="1">EFEITO!$L$541*EFEITO!$Z$486</f>
        <v>148.56269831307412</v>
      </c>
      <c r="L541" s="79">
        <f>EFEITO!$N$541*EFEITO!$AA$486</f>
        <v>318.28020816131118</v>
      </c>
      <c r="M541" s="79">
        <f>$J$541-EFEITO!$K$541*EFEITO!$Y$541</f>
        <v>0</v>
      </c>
      <c r="N541" s="79">
        <f ca="1">$K$541-EFEITO!$M$541*EFEITO!$Z$541</f>
        <v>2.9712539662614574</v>
      </c>
      <c r="O541" s="79">
        <f>$L$541-EFEITO!$O$541*EFEITO!$AA$541</f>
        <v>6.3656041632262372</v>
      </c>
      <c r="P541" s="18"/>
      <c r="Q541" s="18"/>
      <c r="R541" s="18"/>
      <c r="S541" s="18"/>
      <c r="T541" s="18"/>
      <c r="U541" s="18"/>
      <c r="V541" s="18"/>
      <c r="W541" s="18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70" t="s">
        <v>21</v>
      </c>
      <c r="B542" s="70" t="s">
        <v>35</v>
      </c>
      <c r="C542" s="70" t="s">
        <v>39</v>
      </c>
      <c r="D542" s="70" t="s">
        <v>42</v>
      </c>
      <c r="E542" s="70" t="s">
        <v>50</v>
      </c>
      <c r="F542" s="70" t="s">
        <v>51</v>
      </c>
      <c r="G542" s="70" t="s">
        <v>25</v>
      </c>
      <c r="H542" s="70" t="s">
        <v>38</v>
      </c>
      <c r="I542" s="78">
        <v>44713</v>
      </c>
      <c r="J542" s="79">
        <f>EFEITO!$J$542*EFEITO!$Y$486</f>
        <v>0</v>
      </c>
      <c r="K542" s="79">
        <f ca="1">EFEITO!$L$542*EFEITO!$Z$486</f>
        <v>23448.947591956941</v>
      </c>
      <c r="L542" s="79">
        <f>EFEITO!$N$542*EFEITO!$AA$486</f>
        <v>50236.943765007854</v>
      </c>
      <c r="M542" s="79">
        <f>$J$542-EFEITO!$K$542*EFEITO!$Y$542</f>
        <v>0</v>
      </c>
      <c r="N542" s="79">
        <f ca="1">$K$542-EFEITO!$M$542*EFEITO!$Z$542</f>
        <v>468.97895183913715</v>
      </c>
      <c r="O542" s="79">
        <f>$L$542-EFEITO!$O$542*EFEITO!$AA$542</f>
        <v>1004.7388753001578</v>
      </c>
      <c r="P542" s="18"/>
      <c r="Q542" s="18"/>
      <c r="R542" s="18"/>
      <c r="S542" s="18"/>
      <c r="T542" s="18"/>
      <c r="U542" s="18"/>
      <c r="V542" s="18"/>
      <c r="W542" s="18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70" t="s">
        <v>27</v>
      </c>
      <c r="B543" s="70" t="s">
        <v>35</v>
      </c>
      <c r="C543" s="70" t="s">
        <v>39</v>
      </c>
      <c r="D543" s="70" t="s">
        <v>42</v>
      </c>
      <c r="E543" s="70" t="s">
        <v>50</v>
      </c>
      <c r="F543" s="70" t="s">
        <v>51</v>
      </c>
      <c r="G543" s="70" t="s">
        <v>25</v>
      </c>
      <c r="H543" s="70" t="s">
        <v>38</v>
      </c>
      <c r="I543" s="78">
        <v>44713</v>
      </c>
      <c r="J543" s="79">
        <f>EFEITO!$J$543*EFEITO!$Y$486</f>
        <v>0</v>
      </c>
      <c r="K543" s="79">
        <f ca="1">EFEITO!$L$543*EFEITO!$Z$486</f>
        <v>-53.560275419221611</v>
      </c>
      <c r="L543" s="79">
        <f>EFEITO!$N$543*EFEITO!$AA$486</f>
        <v>-114.74734777422115</v>
      </c>
      <c r="M543" s="79">
        <f>$J$543-EFEITO!$K$543*EFEITO!$Y$543</f>
        <v>0</v>
      </c>
      <c r="N543" s="79">
        <f ca="1">$K$543-EFEITO!$M$543*EFEITO!$Z$543</f>
        <v>-1.0712055083844305</v>
      </c>
      <c r="O543" s="79">
        <f>$L$543-EFEITO!$O$543*EFEITO!$AA$543</f>
        <v>-2.2949469554844342</v>
      </c>
      <c r="P543" s="18"/>
      <c r="Q543" s="18"/>
      <c r="R543" s="18"/>
      <c r="S543" s="18"/>
      <c r="T543" s="18"/>
      <c r="U543" s="18"/>
      <c r="V543" s="18"/>
      <c r="W543" s="18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70" t="s">
        <v>21</v>
      </c>
      <c r="B544" s="70" t="s">
        <v>35</v>
      </c>
      <c r="C544" s="70" t="s">
        <v>39</v>
      </c>
      <c r="D544" s="70" t="s">
        <v>42</v>
      </c>
      <c r="E544" s="70" t="s">
        <v>50</v>
      </c>
      <c r="F544" s="70" t="s">
        <v>51</v>
      </c>
      <c r="G544" s="70" t="s">
        <v>25</v>
      </c>
      <c r="H544" s="70" t="s">
        <v>37</v>
      </c>
      <c r="I544" s="78">
        <v>44378</v>
      </c>
      <c r="J544" s="79">
        <f>EFEITO!$J$544*EFEITO!$Y$516</f>
        <v>0</v>
      </c>
      <c r="K544" s="79">
        <f ca="1">EFEITO!$L$544*EFEITO!$Z$516</f>
        <v>19539.396861067391</v>
      </c>
      <c r="L544" s="79">
        <f>EFEITO!$N$544*EFEITO!$AA$516</f>
        <v>2973.3237627921244</v>
      </c>
      <c r="M544" s="79">
        <f>$J$544-EFEITO!$K$544*EFEITO!$Y$544</f>
        <v>0</v>
      </c>
      <c r="N544" s="79">
        <f ca="1">$K$544-EFEITO!$M$544*EFEITO!$Z$544</f>
        <v>390.78793722134651</v>
      </c>
      <c r="O544" s="79">
        <f>$L$544-EFEITO!$O$544*EFEITO!$AA$544</f>
        <v>59.466475255842852</v>
      </c>
      <c r="P544" s="18"/>
      <c r="Q544" s="18"/>
      <c r="R544" s="18"/>
      <c r="S544" s="18"/>
      <c r="T544" s="18"/>
      <c r="U544" s="18"/>
      <c r="V544" s="18"/>
      <c r="W544" s="18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70" t="s">
        <v>21</v>
      </c>
      <c r="B545" s="70" t="s">
        <v>35</v>
      </c>
      <c r="C545" s="70" t="s">
        <v>39</v>
      </c>
      <c r="D545" s="70" t="s">
        <v>42</v>
      </c>
      <c r="E545" s="70" t="s">
        <v>50</v>
      </c>
      <c r="F545" s="70" t="s">
        <v>51</v>
      </c>
      <c r="G545" s="70" t="s">
        <v>25</v>
      </c>
      <c r="H545" s="70" t="s">
        <v>37</v>
      </c>
      <c r="I545" s="78">
        <v>44409</v>
      </c>
      <c r="J545" s="79">
        <f>EFEITO!$J$545*EFEITO!$Y$516</f>
        <v>0</v>
      </c>
      <c r="K545" s="79">
        <f ca="1">EFEITO!$L$545*EFEITO!$Z$516</f>
        <v>21671.36997721532</v>
      </c>
      <c r="L545" s="79">
        <f>EFEITO!$N$545*EFEITO!$AA$516</f>
        <v>3297.7476113351295</v>
      </c>
      <c r="M545" s="79">
        <f>$J$545-EFEITO!$K$545*EFEITO!$Y$545</f>
        <v>0</v>
      </c>
      <c r="N545" s="79">
        <f ca="1">$K$545-EFEITO!$M$545*EFEITO!$Z$545</f>
        <v>433.42739954430726</v>
      </c>
      <c r="O545" s="79">
        <f>$L$545-EFEITO!$O$545*EFEITO!$AA$545</f>
        <v>65.954952226702517</v>
      </c>
      <c r="P545" s="18"/>
      <c r="Q545" s="18"/>
      <c r="R545" s="18"/>
      <c r="S545" s="18"/>
      <c r="T545" s="18"/>
      <c r="U545" s="18"/>
      <c r="V545" s="18"/>
      <c r="W545" s="18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70" t="s">
        <v>28</v>
      </c>
      <c r="B546" s="70" t="s">
        <v>35</v>
      </c>
      <c r="C546" s="70" t="s">
        <v>39</v>
      </c>
      <c r="D546" s="70" t="s">
        <v>42</v>
      </c>
      <c r="E546" s="70" t="s">
        <v>50</v>
      </c>
      <c r="F546" s="70" t="s">
        <v>51</v>
      </c>
      <c r="G546" s="70" t="s">
        <v>25</v>
      </c>
      <c r="H546" s="70" t="s">
        <v>37</v>
      </c>
      <c r="I546" s="78">
        <v>44409</v>
      </c>
      <c r="J546" s="79">
        <f>EFEITO!$J$546*EFEITO!$Y$516</f>
        <v>0</v>
      </c>
      <c r="K546" s="79">
        <f ca="1">EFEITO!$L$546*EFEITO!$Z$516</f>
        <v>423.26894486748671</v>
      </c>
      <c r="L546" s="79">
        <f>EFEITO!$N$546*EFEITO!$AA$516</f>
        <v>64.409133033889248</v>
      </c>
      <c r="M546" s="79">
        <f>$J$546-EFEITO!$K$546*EFEITO!$Y$546</f>
        <v>0</v>
      </c>
      <c r="N546" s="79">
        <f ca="1">$K$546-EFEITO!$M$546*EFEITO!$Z$546</f>
        <v>8.4653788973497512</v>
      </c>
      <c r="O546" s="79">
        <f>$L$546-EFEITO!$O$546*EFEITO!$AA$546</f>
        <v>1.2881826606777835</v>
      </c>
      <c r="P546" s="18"/>
      <c r="Q546" s="18"/>
      <c r="R546" s="18"/>
      <c r="S546" s="18"/>
      <c r="T546" s="18"/>
      <c r="U546" s="18"/>
      <c r="V546" s="18"/>
      <c r="W546" s="18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70" t="s">
        <v>21</v>
      </c>
      <c r="B547" s="70" t="s">
        <v>35</v>
      </c>
      <c r="C547" s="70" t="s">
        <v>39</v>
      </c>
      <c r="D547" s="70" t="s">
        <v>42</v>
      </c>
      <c r="E547" s="70" t="s">
        <v>50</v>
      </c>
      <c r="F547" s="70" t="s">
        <v>51</v>
      </c>
      <c r="G547" s="70" t="s">
        <v>25</v>
      </c>
      <c r="H547" s="70" t="s">
        <v>37</v>
      </c>
      <c r="I547" s="78">
        <v>44440</v>
      </c>
      <c r="J547" s="79">
        <f>EFEITO!$J$547*EFEITO!$Y$516</f>
        <v>0</v>
      </c>
      <c r="K547" s="79">
        <f ca="1">EFEITO!$L$547*EFEITO!$Z$516</f>
        <v>28430.649435253024</v>
      </c>
      <c r="L547" s="79">
        <f>EFEITO!$N$547*EFEITO!$AA$516</f>
        <v>4326.3119203993911</v>
      </c>
      <c r="M547" s="79">
        <f>$J$547-EFEITO!$K$547*EFEITO!$Y$547</f>
        <v>0</v>
      </c>
      <c r="N547" s="79">
        <f ca="1">$K$547-EFEITO!$M$547*EFEITO!$Z$547</f>
        <v>568.61298870505925</v>
      </c>
      <c r="O547" s="79">
        <f>$L$547-EFEITO!$O$547*EFEITO!$AA$547</f>
        <v>86.526238407987876</v>
      </c>
      <c r="P547" s="18"/>
      <c r="Q547" s="18"/>
      <c r="R547" s="18"/>
      <c r="S547" s="18"/>
      <c r="T547" s="18"/>
      <c r="U547" s="18"/>
      <c r="V547" s="18"/>
      <c r="W547" s="18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70" t="s">
        <v>28</v>
      </c>
      <c r="B548" s="70" t="s">
        <v>35</v>
      </c>
      <c r="C548" s="70" t="s">
        <v>39</v>
      </c>
      <c r="D548" s="70" t="s">
        <v>42</v>
      </c>
      <c r="E548" s="70" t="s">
        <v>50</v>
      </c>
      <c r="F548" s="70" t="s">
        <v>51</v>
      </c>
      <c r="G548" s="70" t="s">
        <v>25</v>
      </c>
      <c r="H548" s="70" t="s">
        <v>37</v>
      </c>
      <c r="I548" s="78">
        <v>44440</v>
      </c>
      <c r="J548" s="79">
        <f>EFEITO!$J$548*EFEITO!$Y$516</f>
        <v>0</v>
      </c>
      <c r="K548" s="79">
        <f ca="1">EFEITO!$L$548*EFEITO!$Z$516</f>
        <v>557.41264124087479</v>
      </c>
      <c r="L548" s="79">
        <f>EFEITO!$N$548*EFEITO!$AA$516</f>
        <v>84.821873656937228</v>
      </c>
      <c r="M548" s="79">
        <f>$J$548-EFEITO!$K$548*EFEITO!$Y$548</f>
        <v>0</v>
      </c>
      <c r="N548" s="79">
        <f ca="1">$K$548-EFEITO!$M$548*EFEITO!$Z$548</f>
        <v>11.148252824817519</v>
      </c>
      <c r="O548" s="79">
        <f>$L$548-EFEITO!$O$548*EFEITO!$AA$548</f>
        <v>1.6964374731387579</v>
      </c>
      <c r="P548" s="18"/>
      <c r="Q548" s="18"/>
      <c r="R548" s="18"/>
      <c r="S548" s="18"/>
      <c r="T548" s="18"/>
      <c r="U548" s="18"/>
      <c r="V548" s="18"/>
      <c r="W548" s="18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70" t="s">
        <v>21</v>
      </c>
      <c r="B549" s="70" t="s">
        <v>35</v>
      </c>
      <c r="C549" s="70" t="s">
        <v>39</v>
      </c>
      <c r="D549" s="70" t="s">
        <v>42</v>
      </c>
      <c r="E549" s="70" t="s">
        <v>50</v>
      </c>
      <c r="F549" s="70" t="s">
        <v>51</v>
      </c>
      <c r="G549" s="70" t="s">
        <v>25</v>
      </c>
      <c r="H549" s="70" t="s">
        <v>37</v>
      </c>
      <c r="I549" s="78">
        <v>44470</v>
      </c>
      <c r="J549" s="79">
        <f>EFEITO!$J$549*EFEITO!$Y$516</f>
        <v>0</v>
      </c>
      <c r="K549" s="79">
        <f ca="1">EFEITO!$L$549*EFEITO!$Z$516</f>
        <v>24600.391075698324</v>
      </c>
      <c r="L549" s="79">
        <f>EFEITO!$N$549*EFEITO!$AA$516</f>
        <v>3743.4588119296432</v>
      </c>
      <c r="M549" s="79">
        <f>$J$549-EFEITO!$K$549*EFEITO!$Y$549</f>
        <v>0</v>
      </c>
      <c r="N549" s="79">
        <f ca="1">$K$549-EFEITO!$M$549*EFEITO!$Z$549</f>
        <v>492.00782151396561</v>
      </c>
      <c r="O549" s="79">
        <f>$L$549-EFEITO!$O$549*EFEITO!$AA$549</f>
        <v>74.869176238593354</v>
      </c>
      <c r="P549" s="18"/>
      <c r="Q549" s="18"/>
      <c r="R549" s="18"/>
      <c r="S549" s="18"/>
      <c r="T549" s="18"/>
      <c r="U549" s="18"/>
      <c r="V549" s="18"/>
      <c r="W549" s="18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70" t="s">
        <v>21</v>
      </c>
      <c r="B550" s="70" t="s">
        <v>35</v>
      </c>
      <c r="C550" s="70" t="s">
        <v>39</v>
      </c>
      <c r="D550" s="70" t="s">
        <v>42</v>
      </c>
      <c r="E550" s="70" t="s">
        <v>50</v>
      </c>
      <c r="F550" s="70" t="s">
        <v>51</v>
      </c>
      <c r="G550" s="70" t="s">
        <v>25</v>
      </c>
      <c r="H550" s="70" t="s">
        <v>37</v>
      </c>
      <c r="I550" s="78">
        <v>44501</v>
      </c>
      <c r="J550" s="79">
        <f>EFEITO!$J$550*EFEITO!$Y$516</f>
        <v>0</v>
      </c>
      <c r="K550" s="79">
        <f ca="1">EFEITO!$L$550*EFEITO!$Z$516</f>
        <v>26471.89099500472</v>
      </c>
      <c r="L550" s="79">
        <f>EFEITO!$N$550*EFEITO!$AA$516</f>
        <v>4028.246270913332</v>
      </c>
      <c r="M550" s="79">
        <f>$J$550-EFEITO!$K$550*EFEITO!$Y$550</f>
        <v>0</v>
      </c>
      <c r="N550" s="79">
        <f ca="1">$K$550-EFEITO!$M$550*EFEITO!$Z$550</f>
        <v>529.43781990009302</v>
      </c>
      <c r="O550" s="79">
        <f>$L$550-EFEITO!$O$550*EFEITO!$AA$550</f>
        <v>80.564925418266739</v>
      </c>
      <c r="P550" s="18"/>
      <c r="Q550" s="18"/>
      <c r="R550" s="18"/>
      <c r="S550" s="18"/>
      <c r="T550" s="18"/>
      <c r="U550" s="18"/>
      <c r="V550" s="18"/>
      <c r="W550" s="18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70" t="s">
        <v>27</v>
      </c>
      <c r="B551" s="70" t="s">
        <v>35</v>
      </c>
      <c r="C551" s="70" t="s">
        <v>39</v>
      </c>
      <c r="D551" s="70" t="s">
        <v>42</v>
      </c>
      <c r="E551" s="70" t="s">
        <v>50</v>
      </c>
      <c r="F551" s="70" t="s">
        <v>51</v>
      </c>
      <c r="G551" s="70" t="s">
        <v>25</v>
      </c>
      <c r="H551" s="70" t="s">
        <v>37</v>
      </c>
      <c r="I551" s="78">
        <v>44501</v>
      </c>
      <c r="J551" s="79">
        <f>EFEITO!$J$551*EFEITO!$Y$516</f>
        <v>0</v>
      </c>
      <c r="K551" s="79">
        <f ca="1">EFEITO!$L$551*EFEITO!$Z$516</f>
        <v>-79.444325036666726</v>
      </c>
      <c r="L551" s="79">
        <f>EFEITO!$N$551*EFEITO!$AA$516</f>
        <v>-12.089098815591521</v>
      </c>
      <c r="M551" s="79">
        <f>$J$551-EFEITO!$K$551*EFEITO!$Y$551</f>
        <v>0</v>
      </c>
      <c r="N551" s="79">
        <f ca="1">$K$551-EFEITO!$M$551*EFEITO!$Z$551</f>
        <v>-1.5888865007333379</v>
      </c>
      <c r="O551" s="79">
        <f>$L$551-EFEITO!$O$551*EFEITO!$AA$551</f>
        <v>-0.24178197631183274</v>
      </c>
      <c r="P551" s="18"/>
      <c r="Q551" s="18"/>
      <c r="R551" s="18"/>
      <c r="S551" s="18"/>
      <c r="T551" s="18"/>
      <c r="U551" s="18"/>
      <c r="V551" s="18"/>
      <c r="W551" s="18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70" t="s">
        <v>28</v>
      </c>
      <c r="B552" s="70" t="s">
        <v>35</v>
      </c>
      <c r="C552" s="70" t="s">
        <v>39</v>
      </c>
      <c r="D552" s="70" t="s">
        <v>42</v>
      </c>
      <c r="E552" s="70" t="s">
        <v>50</v>
      </c>
      <c r="F552" s="70" t="s">
        <v>51</v>
      </c>
      <c r="G552" s="70" t="s">
        <v>25</v>
      </c>
      <c r="H552" s="70" t="s">
        <v>37</v>
      </c>
      <c r="I552" s="78">
        <v>44501</v>
      </c>
      <c r="J552" s="79">
        <f>EFEITO!$J$552*EFEITO!$Y$516</f>
        <v>0</v>
      </c>
      <c r="K552" s="79">
        <f ca="1">EFEITO!$L$552*EFEITO!$Z$516</f>
        <v>627.74040438808788</v>
      </c>
      <c r="L552" s="79">
        <f>EFEITO!$N$552*EFEITO!$AA$516</f>
        <v>95.523698837952665</v>
      </c>
      <c r="M552" s="79">
        <f>$J$552-EFEITO!$K$552*EFEITO!$Y$552</f>
        <v>0</v>
      </c>
      <c r="N552" s="79">
        <f ca="1">$K$552-EFEITO!$M$552*EFEITO!$Z$552</f>
        <v>12.554808087761785</v>
      </c>
      <c r="O552" s="79">
        <f>$L$552-EFEITO!$O$552*EFEITO!$AA$552</f>
        <v>1.9104739767590502</v>
      </c>
      <c r="P552" s="18"/>
      <c r="Q552" s="18"/>
      <c r="R552" s="18"/>
      <c r="S552" s="18"/>
      <c r="T552" s="18"/>
      <c r="U552" s="18"/>
      <c r="V552" s="18"/>
      <c r="W552" s="18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70" t="s">
        <v>21</v>
      </c>
      <c r="B553" s="70" t="s">
        <v>35</v>
      </c>
      <c r="C553" s="70" t="s">
        <v>39</v>
      </c>
      <c r="D553" s="70" t="s">
        <v>42</v>
      </c>
      <c r="E553" s="70" t="s">
        <v>50</v>
      </c>
      <c r="F553" s="70" t="s">
        <v>51</v>
      </c>
      <c r="G553" s="70" t="s">
        <v>25</v>
      </c>
      <c r="H553" s="70" t="s">
        <v>37</v>
      </c>
      <c r="I553" s="78">
        <v>44531</v>
      </c>
      <c r="J553" s="79">
        <f>EFEITO!$J$553*EFEITO!$Y$516</f>
        <v>0</v>
      </c>
      <c r="K553" s="79">
        <f ca="1">EFEITO!$L$553*EFEITO!$Z$516</f>
        <v>79018.451359830826</v>
      </c>
      <c r="L553" s="79">
        <f>EFEITO!$N$553*EFEITO!$AA$516</f>
        <v>12024.293318662039</v>
      </c>
      <c r="M553" s="79">
        <f>$J$553-EFEITO!$K$553*EFEITO!$Y$553</f>
        <v>0</v>
      </c>
      <c r="N553" s="79">
        <f ca="1">$K$553-EFEITO!$M$553*EFEITO!$Z$553</f>
        <v>1580.3690271966188</v>
      </c>
      <c r="O553" s="79">
        <f>$L$553-EFEITO!$O$553*EFEITO!$AA$553</f>
        <v>240.48586637324297</v>
      </c>
      <c r="P553" s="18"/>
      <c r="Q553" s="18"/>
      <c r="R553" s="18"/>
      <c r="S553" s="18"/>
      <c r="T553" s="18"/>
      <c r="U553" s="18"/>
      <c r="V553" s="18"/>
      <c r="W553" s="18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70" t="s">
        <v>21</v>
      </c>
      <c r="B554" s="70" t="s">
        <v>35</v>
      </c>
      <c r="C554" s="70" t="s">
        <v>39</v>
      </c>
      <c r="D554" s="70" t="s">
        <v>42</v>
      </c>
      <c r="E554" s="70" t="s">
        <v>50</v>
      </c>
      <c r="F554" s="70" t="s">
        <v>51</v>
      </c>
      <c r="G554" s="70" t="s">
        <v>25</v>
      </c>
      <c r="H554" s="70" t="s">
        <v>37</v>
      </c>
      <c r="I554" s="78">
        <v>44562</v>
      </c>
      <c r="J554" s="79">
        <f>EFEITO!$J$554*EFEITO!$Y$516</f>
        <v>0</v>
      </c>
      <c r="K554" s="79">
        <f ca="1">EFEITO!$L$554*EFEITO!$Z$516</f>
        <v>164637.29352762603</v>
      </c>
      <c r="L554" s="79">
        <f>EFEITO!$N$554*EFEITO!$AA$516</f>
        <v>25052.972748757154</v>
      </c>
      <c r="M554" s="79">
        <f>$J$554-EFEITO!$K$554*EFEITO!$Y$554</f>
        <v>0</v>
      </c>
      <c r="N554" s="79">
        <f ca="1">$K$554-EFEITO!$M$554*EFEITO!$Z$554</f>
        <v>3292.7458705525205</v>
      </c>
      <c r="O554" s="79">
        <f>$L$554-EFEITO!$O$554*EFEITO!$AA$554</f>
        <v>501.05945497514404</v>
      </c>
      <c r="P554" s="18"/>
      <c r="Q554" s="18"/>
      <c r="R554" s="18"/>
      <c r="S554" s="18"/>
      <c r="T554" s="18"/>
      <c r="U554" s="18"/>
      <c r="V554" s="18"/>
      <c r="W554" s="18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70" t="s">
        <v>28</v>
      </c>
      <c r="B555" s="70" t="s">
        <v>35</v>
      </c>
      <c r="C555" s="70" t="s">
        <v>39</v>
      </c>
      <c r="D555" s="70" t="s">
        <v>42</v>
      </c>
      <c r="E555" s="70" t="s">
        <v>50</v>
      </c>
      <c r="F555" s="70" t="s">
        <v>51</v>
      </c>
      <c r="G555" s="70" t="s">
        <v>25</v>
      </c>
      <c r="H555" s="70" t="s">
        <v>37</v>
      </c>
      <c r="I555" s="78">
        <v>44562</v>
      </c>
      <c r="J555" s="79">
        <f>EFEITO!$J$555*EFEITO!$Y$516</f>
        <v>0</v>
      </c>
      <c r="K555" s="79">
        <f ca="1">EFEITO!$L$555*EFEITO!$Z$516</f>
        <v>527.45822360409886</v>
      </c>
      <c r="L555" s="79">
        <f>EFEITO!$N$555*EFEITO!$AA$516</f>
        <v>80.263688857615833</v>
      </c>
      <c r="M555" s="79">
        <f>$J$555-EFEITO!$K$555*EFEITO!$Y$555</f>
        <v>0</v>
      </c>
      <c r="N555" s="79">
        <f ca="1">$K$555-EFEITO!$M$555*EFEITO!$Z$555</f>
        <v>10.549164472081998</v>
      </c>
      <c r="O555" s="79">
        <f>$L$555-EFEITO!$O$555*EFEITO!$AA$555</f>
        <v>1.6052737771523198</v>
      </c>
      <c r="P555" s="18"/>
      <c r="Q555" s="18"/>
      <c r="R555" s="18"/>
      <c r="S555" s="18"/>
      <c r="T555" s="18"/>
      <c r="U555" s="18"/>
      <c r="V555" s="18"/>
      <c r="W555" s="18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70" t="s">
        <v>21</v>
      </c>
      <c r="B556" s="70" t="s">
        <v>35</v>
      </c>
      <c r="C556" s="70" t="s">
        <v>39</v>
      </c>
      <c r="D556" s="70" t="s">
        <v>42</v>
      </c>
      <c r="E556" s="70" t="s">
        <v>50</v>
      </c>
      <c r="F556" s="70" t="s">
        <v>51</v>
      </c>
      <c r="G556" s="70" t="s">
        <v>25</v>
      </c>
      <c r="H556" s="70" t="s">
        <v>37</v>
      </c>
      <c r="I556" s="78">
        <v>44593</v>
      </c>
      <c r="J556" s="79">
        <f>EFEITO!$J$556*EFEITO!$Y$516</f>
        <v>0</v>
      </c>
      <c r="K556" s="79">
        <f ca="1">EFEITO!$L$556*EFEITO!$Z$516</f>
        <v>103599.30694576603</v>
      </c>
      <c r="L556" s="79">
        <f>EFEITO!$N$556*EFEITO!$AA$516</f>
        <v>15764.779401374732</v>
      </c>
      <c r="M556" s="79">
        <f>$J$556-EFEITO!$K$556*EFEITO!$Y$556</f>
        <v>0</v>
      </c>
      <c r="N556" s="79">
        <f ca="1">$K$556-EFEITO!$M$556*EFEITO!$Z$556</f>
        <v>2071.986138915323</v>
      </c>
      <c r="O556" s="79">
        <f>$L$556-EFEITO!$O$556*EFEITO!$AA$556</f>
        <v>315.29558802749489</v>
      </c>
      <c r="P556" s="18"/>
      <c r="Q556" s="18"/>
      <c r="R556" s="18"/>
      <c r="S556" s="18"/>
      <c r="T556" s="18"/>
      <c r="U556" s="18"/>
      <c r="V556" s="18"/>
      <c r="W556" s="18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70" t="s">
        <v>27</v>
      </c>
      <c r="B557" s="70" t="s">
        <v>35</v>
      </c>
      <c r="C557" s="70" t="s">
        <v>39</v>
      </c>
      <c r="D557" s="70" t="s">
        <v>42</v>
      </c>
      <c r="E557" s="70" t="s">
        <v>50</v>
      </c>
      <c r="F557" s="70" t="s">
        <v>51</v>
      </c>
      <c r="G557" s="70" t="s">
        <v>25</v>
      </c>
      <c r="H557" s="70" t="s">
        <v>37</v>
      </c>
      <c r="I557" s="78">
        <v>44593</v>
      </c>
      <c r="J557" s="79">
        <f>EFEITO!$J$557*EFEITO!$Y$516</f>
        <v>0</v>
      </c>
      <c r="K557" s="79">
        <f ca="1">EFEITO!$L$557*EFEITO!$Z$516</f>
        <v>-118.51530456289626</v>
      </c>
      <c r="L557" s="79">
        <f>EFEITO!$N$557*EFEITO!$AA$516</f>
        <v>-18.034557249488991</v>
      </c>
      <c r="M557" s="79">
        <f>$J$557-EFEITO!$K$557*EFEITO!$Y$557</f>
        <v>0</v>
      </c>
      <c r="N557" s="79">
        <f ca="1">$K$557-EFEITO!$M$557*EFEITO!$Z$557</f>
        <v>-2.3703060912579303</v>
      </c>
      <c r="O557" s="79">
        <f>$L$557-EFEITO!$O$557*EFEITO!$AA$557</f>
        <v>-0.36069114498978294</v>
      </c>
      <c r="P557" s="18"/>
      <c r="Q557" s="18"/>
      <c r="R557" s="18"/>
      <c r="S557" s="18"/>
      <c r="T557" s="18"/>
      <c r="U557" s="18"/>
      <c r="V557" s="18"/>
      <c r="W557" s="18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70" t="s">
        <v>28</v>
      </c>
      <c r="B558" s="70" t="s">
        <v>35</v>
      </c>
      <c r="C558" s="70" t="s">
        <v>39</v>
      </c>
      <c r="D558" s="70" t="s">
        <v>42</v>
      </c>
      <c r="E558" s="70" t="s">
        <v>50</v>
      </c>
      <c r="F558" s="70" t="s">
        <v>51</v>
      </c>
      <c r="G558" s="70" t="s">
        <v>25</v>
      </c>
      <c r="H558" s="70" t="s">
        <v>37</v>
      </c>
      <c r="I558" s="78">
        <v>44593</v>
      </c>
      <c r="J558" s="79">
        <f>EFEITO!$J$558*EFEITO!$Y$516</f>
        <v>0</v>
      </c>
      <c r="K558" s="79">
        <f ca="1">EFEITO!$L$558*EFEITO!$Z$516</f>
        <v>502.71326990415344</v>
      </c>
      <c r="L558" s="79">
        <f>EFEITO!$N$558*EFEITO!$AA$516</f>
        <v>76.498231849480774</v>
      </c>
      <c r="M558" s="79">
        <f>$J$558-EFEITO!$K$558*EFEITO!$Y$558</f>
        <v>0</v>
      </c>
      <c r="N558" s="79">
        <f ca="1">$K$558-EFEITO!$M$558*EFEITO!$Z$558</f>
        <v>10.054265398083089</v>
      </c>
      <c r="O558" s="79">
        <f>$L$558-EFEITO!$O$558*EFEITO!$AA$558</f>
        <v>1.529964636989618</v>
      </c>
      <c r="P558" s="18"/>
      <c r="Q558" s="18"/>
      <c r="R558" s="18"/>
      <c r="S558" s="18"/>
      <c r="T558" s="18"/>
      <c r="U558" s="18"/>
      <c r="V558" s="18"/>
      <c r="W558" s="18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70" t="s">
        <v>21</v>
      </c>
      <c r="B559" s="70" t="s">
        <v>35</v>
      </c>
      <c r="C559" s="70" t="s">
        <v>39</v>
      </c>
      <c r="D559" s="70" t="s">
        <v>42</v>
      </c>
      <c r="E559" s="70" t="s">
        <v>50</v>
      </c>
      <c r="F559" s="70" t="s">
        <v>51</v>
      </c>
      <c r="G559" s="70" t="s">
        <v>25</v>
      </c>
      <c r="H559" s="70" t="s">
        <v>37</v>
      </c>
      <c r="I559" s="78">
        <v>44621</v>
      </c>
      <c r="J559" s="79">
        <f>EFEITO!$J$559*EFEITO!$Y$516</f>
        <v>0</v>
      </c>
      <c r="K559" s="79">
        <f ca="1">EFEITO!$L$559*EFEITO!$Z$516</f>
        <v>108682.44138212851</v>
      </c>
      <c r="L559" s="79">
        <f>EFEITO!$N$559*EFEITO!$AA$516</f>
        <v>16538.283543624795</v>
      </c>
      <c r="M559" s="79">
        <f>$J$559-EFEITO!$K$559*EFEITO!$Y$559</f>
        <v>0</v>
      </c>
      <c r="N559" s="79">
        <f ca="1">$K$559-EFEITO!$M$559*EFEITO!$Z$559</f>
        <v>2173.6488276425807</v>
      </c>
      <c r="O559" s="79">
        <f>$L$559-EFEITO!$O$559*EFEITO!$AA$559</f>
        <v>330.76567087249714</v>
      </c>
      <c r="P559" s="18"/>
      <c r="Q559" s="18"/>
      <c r="R559" s="18"/>
      <c r="S559" s="18"/>
      <c r="T559" s="18"/>
      <c r="U559" s="18"/>
      <c r="V559" s="18"/>
      <c r="W559" s="18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70" t="s">
        <v>27</v>
      </c>
      <c r="B560" s="70" t="s">
        <v>35</v>
      </c>
      <c r="C560" s="70" t="s">
        <v>39</v>
      </c>
      <c r="D560" s="70" t="s">
        <v>42</v>
      </c>
      <c r="E560" s="70" t="s">
        <v>50</v>
      </c>
      <c r="F560" s="70" t="s">
        <v>51</v>
      </c>
      <c r="G560" s="70" t="s">
        <v>25</v>
      </c>
      <c r="H560" s="70" t="s">
        <v>37</v>
      </c>
      <c r="I560" s="78">
        <v>44621</v>
      </c>
      <c r="J560" s="79">
        <f>EFEITO!$J$560*EFEITO!$Y$516</f>
        <v>0</v>
      </c>
      <c r="K560" s="79">
        <f ca="1">EFEITO!$L$560*EFEITO!$Z$516</f>
        <v>-1153.896262007979</v>
      </c>
      <c r="L560" s="79">
        <f>EFEITO!$N$560*EFEITO!$AA$516</f>
        <v>-175.58920574777193</v>
      </c>
      <c r="M560" s="79">
        <f>$J$560-EFEITO!$K$560*EFEITO!$Y$560</f>
        <v>0</v>
      </c>
      <c r="N560" s="79">
        <f ca="1">$K$560-EFEITO!$M$560*EFEITO!$Z$560</f>
        <v>-23.07792524015963</v>
      </c>
      <c r="O560" s="79">
        <f>$L$560-EFEITO!$O$560*EFEITO!$AA$560</f>
        <v>-3.5117841149554465</v>
      </c>
      <c r="P560" s="18"/>
      <c r="Q560" s="18"/>
      <c r="R560" s="18"/>
      <c r="S560" s="18"/>
      <c r="T560" s="18"/>
      <c r="U560" s="18"/>
      <c r="V560" s="18"/>
      <c r="W560" s="18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70" t="s">
        <v>28</v>
      </c>
      <c r="B561" s="70" t="s">
        <v>35</v>
      </c>
      <c r="C561" s="70" t="s">
        <v>39</v>
      </c>
      <c r="D561" s="70" t="s">
        <v>42</v>
      </c>
      <c r="E561" s="70" t="s">
        <v>50</v>
      </c>
      <c r="F561" s="70" t="s">
        <v>51</v>
      </c>
      <c r="G561" s="70" t="s">
        <v>25</v>
      </c>
      <c r="H561" s="70" t="s">
        <v>37</v>
      </c>
      <c r="I561" s="78">
        <v>44621</v>
      </c>
      <c r="J561" s="79">
        <f>EFEITO!$J$561*EFEITO!$Y$516</f>
        <v>0</v>
      </c>
      <c r="K561" s="79">
        <f ca="1">EFEITO!$L$561*EFEITO!$Z$516</f>
        <v>336.01042392557406</v>
      </c>
      <c r="L561" s="79">
        <f>EFEITO!$N$561*EFEITO!$AA$516</f>
        <v>51.130942531518237</v>
      </c>
      <c r="M561" s="79">
        <f>$J$561-EFEITO!$K$561*EFEITO!$Y$561</f>
        <v>0</v>
      </c>
      <c r="N561" s="79">
        <f ca="1">$K$561-EFEITO!$M$561*EFEITO!$Z$561</f>
        <v>6.7202084785114948</v>
      </c>
      <c r="O561" s="79">
        <f>$L$561-EFEITO!$O$561*EFEITO!$AA$561</f>
        <v>1.0226188506303657</v>
      </c>
      <c r="P561" s="18"/>
      <c r="Q561" s="18"/>
      <c r="R561" s="18"/>
      <c r="S561" s="18"/>
      <c r="T561" s="18"/>
      <c r="U561" s="18"/>
      <c r="V561" s="18"/>
      <c r="W561" s="18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70" t="s">
        <v>21</v>
      </c>
      <c r="B562" s="70" t="s">
        <v>35</v>
      </c>
      <c r="C562" s="70" t="s">
        <v>39</v>
      </c>
      <c r="D562" s="70" t="s">
        <v>42</v>
      </c>
      <c r="E562" s="70" t="s">
        <v>50</v>
      </c>
      <c r="F562" s="70" t="s">
        <v>51</v>
      </c>
      <c r="G562" s="70" t="s">
        <v>25</v>
      </c>
      <c r="H562" s="70" t="s">
        <v>37</v>
      </c>
      <c r="I562" s="78">
        <v>44652</v>
      </c>
      <c r="J562" s="79">
        <f>EFEITO!$J$562*EFEITO!$Y$516</f>
        <v>0</v>
      </c>
      <c r="K562" s="79">
        <f ca="1">EFEITO!$L$562*EFEITO!$Z$516</f>
        <v>40450.185103505442</v>
      </c>
      <c r="L562" s="79">
        <f>EFEITO!$N$562*EFEITO!$AA$516</f>
        <v>6155.3331166140497</v>
      </c>
      <c r="M562" s="79">
        <f>$J$562-EFEITO!$K$562*EFEITO!$Y$562</f>
        <v>0</v>
      </c>
      <c r="N562" s="79">
        <f ca="1">$K$562-EFEITO!$M$562*EFEITO!$Z$562</f>
        <v>809.00370207011292</v>
      </c>
      <c r="O562" s="79">
        <f>$L$562-EFEITO!$O$562*EFEITO!$AA$562</f>
        <v>123.1066623322813</v>
      </c>
      <c r="P562" s="18"/>
      <c r="Q562" s="18"/>
      <c r="R562" s="18"/>
      <c r="S562" s="18"/>
      <c r="T562" s="18"/>
      <c r="U562" s="18"/>
      <c r="V562" s="18"/>
      <c r="W562" s="18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70" t="s">
        <v>27</v>
      </c>
      <c r="B563" s="70" t="s">
        <v>35</v>
      </c>
      <c r="C563" s="70" t="s">
        <v>39</v>
      </c>
      <c r="D563" s="70" t="s">
        <v>42</v>
      </c>
      <c r="E563" s="70" t="s">
        <v>50</v>
      </c>
      <c r="F563" s="70" t="s">
        <v>51</v>
      </c>
      <c r="G563" s="70" t="s">
        <v>25</v>
      </c>
      <c r="H563" s="70" t="s">
        <v>37</v>
      </c>
      <c r="I563" s="78">
        <v>44652</v>
      </c>
      <c r="J563" s="79">
        <f>EFEITO!$J$563*EFEITO!$Y$516</f>
        <v>0</v>
      </c>
      <c r="K563" s="79">
        <f ca="1">EFEITO!$L$563*EFEITO!$Z$516</f>
        <v>-3894.0742927808778</v>
      </c>
      <c r="L563" s="79">
        <f>EFEITO!$N$563*EFEITO!$AA$516</f>
        <v>-592.56402391178119</v>
      </c>
      <c r="M563" s="79">
        <f>$J$563-EFEITO!$K$563*EFEITO!$Y$563</f>
        <v>0</v>
      </c>
      <c r="N563" s="79">
        <f ca="1">$K$563-EFEITO!$M$563*EFEITO!$Z$563</f>
        <v>-77.881485855617939</v>
      </c>
      <c r="O563" s="79">
        <f>$L$563-EFEITO!$O$563*EFEITO!$AA$563</f>
        <v>-11.851280478235708</v>
      </c>
      <c r="P563" s="18"/>
      <c r="Q563" s="18"/>
      <c r="R563" s="18"/>
      <c r="S563" s="18"/>
      <c r="T563" s="18"/>
      <c r="U563" s="18"/>
      <c r="V563" s="18"/>
      <c r="W563" s="18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70" t="s">
        <v>28</v>
      </c>
      <c r="B564" s="70" t="s">
        <v>35</v>
      </c>
      <c r="C564" s="70" t="s">
        <v>39</v>
      </c>
      <c r="D564" s="70" t="s">
        <v>42</v>
      </c>
      <c r="E564" s="70" t="s">
        <v>50</v>
      </c>
      <c r="F564" s="70" t="s">
        <v>51</v>
      </c>
      <c r="G564" s="70" t="s">
        <v>25</v>
      </c>
      <c r="H564" s="70" t="s">
        <v>37</v>
      </c>
      <c r="I564" s="78">
        <v>44652</v>
      </c>
      <c r="J564" s="79">
        <f>EFEITO!$J$564*EFEITO!$Y$516</f>
        <v>0</v>
      </c>
      <c r="K564" s="79">
        <f ca="1">EFEITO!$L$564*EFEITO!$Z$516</f>
        <v>416.75711494644844</v>
      </c>
      <c r="L564" s="79">
        <f>EFEITO!$N$564*EFEITO!$AA$516</f>
        <v>63.41822329490634</v>
      </c>
      <c r="M564" s="79">
        <f>$J$564-EFEITO!$K$564*EFEITO!$Y$564</f>
        <v>0</v>
      </c>
      <c r="N564" s="79">
        <f ca="1">$K$564-EFEITO!$M$564*EFEITO!$Z$564</f>
        <v>8.3351422989289858</v>
      </c>
      <c r="O564" s="79">
        <f>$L$564-EFEITO!$O$564*EFEITO!$AA$564</f>
        <v>1.2683644658981308</v>
      </c>
      <c r="P564" s="18"/>
      <c r="Q564" s="18"/>
      <c r="R564" s="18"/>
      <c r="S564" s="18"/>
      <c r="T564" s="18"/>
      <c r="U564" s="18"/>
      <c r="V564" s="18"/>
      <c r="W564" s="18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70" t="s">
        <v>21</v>
      </c>
      <c r="B565" s="70" t="s">
        <v>35</v>
      </c>
      <c r="C565" s="70" t="s">
        <v>39</v>
      </c>
      <c r="D565" s="70" t="s">
        <v>42</v>
      </c>
      <c r="E565" s="70" t="s">
        <v>50</v>
      </c>
      <c r="F565" s="70" t="s">
        <v>51</v>
      </c>
      <c r="G565" s="70" t="s">
        <v>25</v>
      </c>
      <c r="H565" s="70" t="s">
        <v>37</v>
      </c>
      <c r="I565" s="78">
        <v>44682</v>
      </c>
      <c r="J565" s="79">
        <f>EFEITO!$J$565*EFEITO!$Y$516</f>
        <v>0</v>
      </c>
      <c r="K565" s="79">
        <f ca="1">EFEITO!$L$565*EFEITO!$Z$516</f>
        <v>24631.64785931931</v>
      </c>
      <c r="L565" s="79">
        <f>EFEITO!$N$565*EFEITO!$AA$516</f>
        <v>3748.2151786767613</v>
      </c>
      <c r="M565" s="79">
        <f>$J$565-EFEITO!$K$565*EFEITO!$Y$565</f>
        <v>0</v>
      </c>
      <c r="N565" s="79">
        <f ca="1">$K$565-EFEITO!$M$565*EFEITO!$Z$565</f>
        <v>492.63295718638619</v>
      </c>
      <c r="O565" s="79">
        <f>$L$565-EFEITO!$O$565*EFEITO!$AA$565</f>
        <v>74.96430357353529</v>
      </c>
      <c r="P565" s="18"/>
      <c r="Q565" s="18"/>
      <c r="R565" s="18"/>
      <c r="S565" s="18"/>
      <c r="T565" s="18"/>
      <c r="U565" s="18"/>
      <c r="V565" s="18"/>
      <c r="W565" s="18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70" t="s">
        <v>27</v>
      </c>
      <c r="B566" s="70" t="s">
        <v>35</v>
      </c>
      <c r="C566" s="70" t="s">
        <v>39</v>
      </c>
      <c r="D566" s="70" t="s">
        <v>42</v>
      </c>
      <c r="E566" s="70" t="s">
        <v>50</v>
      </c>
      <c r="F566" s="70" t="s">
        <v>51</v>
      </c>
      <c r="G566" s="70" t="s">
        <v>25</v>
      </c>
      <c r="H566" s="70" t="s">
        <v>37</v>
      </c>
      <c r="I566" s="78">
        <v>44682</v>
      </c>
      <c r="J566" s="79">
        <f>EFEITO!$J$566*EFEITO!$Y$516</f>
        <v>0</v>
      </c>
      <c r="K566" s="79">
        <f ca="1">EFEITO!$L$566*EFEITO!$Z$516</f>
        <v>-494.89907399890751</v>
      </c>
      <c r="L566" s="79">
        <f>EFEITO!$N$566*EFEITO!$AA$516</f>
        <v>-75.309140162701283</v>
      </c>
      <c r="M566" s="79">
        <f>$J$566-EFEITO!$K$566*EFEITO!$Y$566</f>
        <v>0</v>
      </c>
      <c r="N566" s="79">
        <f ca="1">$K$566-EFEITO!$M$566*EFEITO!$Z$566</f>
        <v>-9.8979814799781707</v>
      </c>
      <c r="O566" s="79">
        <f>$L$566-EFEITO!$O$566*EFEITO!$AA$566</f>
        <v>-1.5061828032540348</v>
      </c>
      <c r="P566" s="18"/>
      <c r="Q566" s="18"/>
      <c r="R566" s="18"/>
      <c r="S566" s="18"/>
      <c r="T566" s="18"/>
      <c r="U566" s="18"/>
      <c r="V566" s="18"/>
      <c r="W566" s="18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70" t="s">
        <v>21</v>
      </c>
      <c r="B567" s="70" t="s">
        <v>35</v>
      </c>
      <c r="C567" s="70" t="s">
        <v>39</v>
      </c>
      <c r="D567" s="70" t="s">
        <v>42</v>
      </c>
      <c r="E567" s="70" t="s">
        <v>50</v>
      </c>
      <c r="F567" s="70" t="s">
        <v>51</v>
      </c>
      <c r="G567" s="70" t="s">
        <v>25</v>
      </c>
      <c r="H567" s="70" t="s">
        <v>37</v>
      </c>
      <c r="I567" s="78">
        <v>44713</v>
      </c>
      <c r="J567" s="79">
        <f>EFEITO!$J$567*EFEITO!$Y$516</f>
        <v>0</v>
      </c>
      <c r="K567" s="79">
        <f ca="1">EFEITO!$L$567*EFEITO!$Z$516</f>
        <v>25261.99299567581</v>
      </c>
      <c r="L567" s="79">
        <f>EFEITO!$N$567*EFEITO!$AA$516</f>
        <v>3844.1352414103067</v>
      </c>
      <c r="M567" s="79">
        <f>$J$567-EFEITO!$K$567*EFEITO!$Y$567</f>
        <v>0</v>
      </c>
      <c r="N567" s="79">
        <f ca="1">$K$567-EFEITO!$M$567*EFEITO!$Z$567</f>
        <v>505.23985991351583</v>
      </c>
      <c r="O567" s="79">
        <f>$L$567-EFEITO!$O$567*EFEITO!$AA$567</f>
        <v>76.882704828206442</v>
      </c>
      <c r="P567" s="18"/>
      <c r="Q567" s="18"/>
      <c r="R567" s="18"/>
      <c r="S567" s="18"/>
      <c r="T567" s="18"/>
      <c r="U567" s="18"/>
      <c r="V567" s="18"/>
      <c r="W567" s="18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70" t="s">
        <v>27</v>
      </c>
      <c r="B568" s="70" t="s">
        <v>35</v>
      </c>
      <c r="C568" s="70" t="s">
        <v>39</v>
      </c>
      <c r="D568" s="70" t="s">
        <v>42</v>
      </c>
      <c r="E568" s="70" t="s">
        <v>50</v>
      </c>
      <c r="F568" s="70" t="s">
        <v>51</v>
      </c>
      <c r="G568" s="70" t="s">
        <v>25</v>
      </c>
      <c r="H568" s="70" t="s">
        <v>37</v>
      </c>
      <c r="I568" s="78">
        <v>44713</v>
      </c>
      <c r="J568" s="79">
        <f>EFEITO!$J$568*EFEITO!$Y$516</f>
        <v>0</v>
      </c>
      <c r="K568" s="79">
        <f ca="1">EFEITO!$L$568*EFEITO!$Z$516</f>
        <v>-117.21293857868861</v>
      </c>
      <c r="L568" s="79">
        <f>EFEITO!$N$568*EFEITO!$AA$516</f>
        <v>-17.836375301692406</v>
      </c>
      <c r="M568" s="79">
        <f>$J$568-EFEITO!$K$568*EFEITO!$Y$568</f>
        <v>0</v>
      </c>
      <c r="N568" s="79">
        <f ca="1">$K$568-EFEITO!$M$568*EFEITO!$Z$568</f>
        <v>-2.3442587715737773</v>
      </c>
      <c r="O568" s="79">
        <f>$L$568-EFEITO!$O$568*EFEITO!$AA$568</f>
        <v>-0.35672750603384884</v>
      </c>
      <c r="P568" s="18"/>
      <c r="Q568" s="18"/>
      <c r="R568" s="18"/>
      <c r="S568" s="18"/>
      <c r="T568" s="18"/>
      <c r="U568" s="18"/>
      <c r="V568" s="18"/>
      <c r="W568" s="18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70" t="s">
        <v>21</v>
      </c>
      <c r="B569" s="70" t="s">
        <v>35</v>
      </c>
      <c r="C569" s="70" t="s">
        <v>39</v>
      </c>
      <c r="D569" s="70" t="s">
        <v>42</v>
      </c>
      <c r="E569" s="70" t="s">
        <v>50</v>
      </c>
      <c r="F569" s="70" t="s">
        <v>52</v>
      </c>
      <c r="G569" s="70" t="s">
        <v>25</v>
      </c>
      <c r="H569" s="70" t="s">
        <v>38</v>
      </c>
      <c r="I569" s="78">
        <v>44378</v>
      </c>
      <c r="J569" s="79">
        <f>EFEITO!$J$569*EFEITO!$Y$486</f>
        <v>0</v>
      </c>
      <c r="K569" s="79">
        <f ca="1">EFEITO!$L$569*EFEITO!$Z$486</f>
        <v>7785.943456796279</v>
      </c>
      <c r="L569" s="79">
        <f>EFEITO!$N$569*EFEITO!$AA$486</f>
        <v>16680.578182142741</v>
      </c>
      <c r="M569" s="79">
        <f>$J$569-EFEITO!$K$569*EFEITO!$Y$569</f>
        <v>0</v>
      </c>
      <c r="N569" s="79">
        <f ca="1">$K$569-EFEITO!$M$569*EFEITO!$Z$569</f>
        <v>5450.1604197573961</v>
      </c>
      <c r="O569" s="79">
        <f>$L$569-EFEITO!$O$569*EFEITO!$AA$569</f>
        <v>11676.404727499919</v>
      </c>
      <c r="P569" s="18"/>
      <c r="Q569" s="18"/>
      <c r="R569" s="18"/>
      <c r="S569" s="18"/>
      <c r="T569" s="18"/>
      <c r="U569" s="18"/>
      <c r="V569" s="18"/>
      <c r="W569" s="18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70" t="s">
        <v>21</v>
      </c>
      <c r="B570" s="70" t="s">
        <v>35</v>
      </c>
      <c r="C570" s="70" t="s">
        <v>39</v>
      </c>
      <c r="D570" s="70" t="s">
        <v>42</v>
      </c>
      <c r="E570" s="70" t="s">
        <v>50</v>
      </c>
      <c r="F570" s="70" t="s">
        <v>52</v>
      </c>
      <c r="G570" s="70" t="s">
        <v>25</v>
      </c>
      <c r="H570" s="70" t="s">
        <v>38</v>
      </c>
      <c r="I570" s="78">
        <v>44409</v>
      </c>
      <c r="J570" s="79">
        <f>EFEITO!$J$570*EFEITO!$Y$486</f>
        <v>0</v>
      </c>
      <c r="K570" s="79">
        <f ca="1">EFEITO!$L$570*EFEITO!$Z$486</f>
        <v>13975.624197471507</v>
      </c>
      <c r="L570" s="79">
        <f>EFEITO!$N$570*EFEITO!$AA$486</f>
        <v>29941.328673107659</v>
      </c>
      <c r="M570" s="79">
        <f>$J$570-EFEITO!$K$570*EFEITO!$Y$570</f>
        <v>0</v>
      </c>
      <c r="N570" s="79">
        <f ca="1">$K$570-EFEITO!$M$570*EFEITO!$Z$570</f>
        <v>9782.9369382300538</v>
      </c>
      <c r="O570" s="79">
        <f>$L$570-EFEITO!$O$570*EFEITO!$AA$570</f>
        <v>20958.93007117536</v>
      </c>
      <c r="P570" s="18"/>
      <c r="Q570" s="18"/>
      <c r="R570" s="18"/>
      <c r="S570" s="18"/>
      <c r="T570" s="18"/>
      <c r="U570" s="18"/>
      <c r="V570" s="18"/>
      <c r="W570" s="18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70" t="s">
        <v>28</v>
      </c>
      <c r="B571" s="70" t="s">
        <v>35</v>
      </c>
      <c r="C571" s="70" t="s">
        <v>39</v>
      </c>
      <c r="D571" s="70" t="s">
        <v>42</v>
      </c>
      <c r="E571" s="70" t="s">
        <v>50</v>
      </c>
      <c r="F571" s="70" t="s">
        <v>52</v>
      </c>
      <c r="G571" s="70" t="s">
        <v>25</v>
      </c>
      <c r="H571" s="70" t="s">
        <v>38</v>
      </c>
      <c r="I571" s="78">
        <v>44409</v>
      </c>
      <c r="J571" s="79">
        <f>EFEITO!$J$571*EFEITO!$Y$486</f>
        <v>0</v>
      </c>
      <c r="K571" s="79">
        <f ca="1">EFEITO!$L$571*EFEITO!$Z$486</f>
        <v>1266.853146573817</v>
      </c>
      <c r="L571" s="79">
        <f>EFEITO!$N$571*EFEITO!$AA$486</f>
        <v>2714.1017750741948</v>
      </c>
      <c r="M571" s="79">
        <f>$J$571-EFEITO!$K$571*EFEITO!$Y$571</f>
        <v>0</v>
      </c>
      <c r="N571" s="79">
        <f ca="1">$K$571-EFEITO!$M$571*EFEITO!$Z$571</f>
        <v>886.79720260167187</v>
      </c>
      <c r="O571" s="79">
        <f>$L$571-EFEITO!$O$571*EFEITO!$AA$571</f>
        <v>1899.8712425519363</v>
      </c>
      <c r="P571" s="18"/>
      <c r="Q571" s="18"/>
      <c r="R571" s="18"/>
      <c r="S571" s="18"/>
      <c r="T571" s="18"/>
      <c r="U571" s="18"/>
      <c r="V571" s="18"/>
      <c r="W571" s="18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70" t="s">
        <v>21</v>
      </c>
      <c r="B572" s="70" t="s">
        <v>35</v>
      </c>
      <c r="C572" s="70" t="s">
        <v>39</v>
      </c>
      <c r="D572" s="70" t="s">
        <v>42</v>
      </c>
      <c r="E572" s="70" t="s">
        <v>50</v>
      </c>
      <c r="F572" s="70" t="s">
        <v>52</v>
      </c>
      <c r="G572" s="70" t="s">
        <v>25</v>
      </c>
      <c r="H572" s="70" t="s">
        <v>38</v>
      </c>
      <c r="I572" s="78">
        <v>44440</v>
      </c>
      <c r="J572" s="79">
        <f>EFEITO!$J$572*EFEITO!$Y$486</f>
        <v>0</v>
      </c>
      <c r="K572" s="79">
        <f ca="1">EFEITO!$L$572*EFEITO!$Z$486</f>
        <v>47811.102505051284</v>
      </c>
      <c r="L572" s="79">
        <f>EFEITO!$N$572*EFEITO!$AA$486</f>
        <v>102430.33971866357</v>
      </c>
      <c r="M572" s="79">
        <f>$J$572-EFEITO!$K$572*EFEITO!$Y$572</f>
        <v>0</v>
      </c>
      <c r="N572" s="79">
        <f ca="1">$K$572-EFEITO!$M$572*EFEITO!$Z$572</f>
        <v>33467.771753535897</v>
      </c>
      <c r="O572" s="79">
        <f>$L$572-EFEITO!$O$572*EFEITO!$AA$572</f>
        <v>71701.23780306449</v>
      </c>
      <c r="P572" s="18"/>
      <c r="Q572" s="18"/>
      <c r="R572" s="18"/>
      <c r="S572" s="18"/>
      <c r="T572" s="18"/>
      <c r="U572" s="18"/>
      <c r="V572" s="18"/>
      <c r="W572" s="18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70" t="s">
        <v>28</v>
      </c>
      <c r="B573" s="70" t="s">
        <v>35</v>
      </c>
      <c r="C573" s="70" t="s">
        <v>39</v>
      </c>
      <c r="D573" s="70" t="s">
        <v>42</v>
      </c>
      <c r="E573" s="70" t="s">
        <v>50</v>
      </c>
      <c r="F573" s="70" t="s">
        <v>52</v>
      </c>
      <c r="G573" s="70" t="s">
        <v>25</v>
      </c>
      <c r="H573" s="70" t="s">
        <v>38</v>
      </c>
      <c r="I573" s="78">
        <v>44440</v>
      </c>
      <c r="J573" s="79">
        <f>EFEITO!$J$573*EFEITO!$Y$486</f>
        <v>0</v>
      </c>
      <c r="K573" s="79">
        <f ca="1">EFEITO!$L$573*EFEITO!$Z$486</f>
        <v>1531.7868750723503</v>
      </c>
      <c r="L573" s="79">
        <f>EFEITO!$N$573*EFEITO!$AA$486</f>
        <v>3281.6948735636065</v>
      </c>
      <c r="M573" s="79">
        <f>$J$573-EFEITO!$K$573*EFEITO!$Y$573</f>
        <v>0</v>
      </c>
      <c r="N573" s="79">
        <f ca="1">$K$573-EFEITO!$M$573*EFEITO!$Z$573</f>
        <v>1072.2508125506452</v>
      </c>
      <c r="O573" s="79">
        <f>$L$573-EFEITO!$O$573*EFEITO!$AA$573</f>
        <v>2297.1864114945247</v>
      </c>
      <c r="P573" s="18"/>
      <c r="Q573" s="18"/>
      <c r="R573" s="18"/>
      <c r="S573" s="18"/>
      <c r="T573" s="18"/>
      <c r="U573" s="18"/>
      <c r="V573" s="18"/>
      <c r="W573" s="18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70" t="s">
        <v>21</v>
      </c>
      <c r="B574" s="70" t="s">
        <v>35</v>
      </c>
      <c r="C574" s="70" t="s">
        <v>39</v>
      </c>
      <c r="D574" s="70" t="s">
        <v>42</v>
      </c>
      <c r="E574" s="70" t="s">
        <v>50</v>
      </c>
      <c r="F574" s="70" t="s">
        <v>52</v>
      </c>
      <c r="G574" s="70" t="s">
        <v>25</v>
      </c>
      <c r="H574" s="70" t="s">
        <v>38</v>
      </c>
      <c r="I574" s="78">
        <v>44470</v>
      </c>
      <c r="J574" s="79">
        <f>EFEITO!$J$574*EFEITO!$Y$486</f>
        <v>0</v>
      </c>
      <c r="K574" s="79">
        <f ca="1">EFEITO!$L$574*EFEITO!$Z$486</f>
        <v>23103.812207519783</v>
      </c>
      <c r="L574" s="79">
        <f>EFEITO!$N$574*EFEITO!$AA$486</f>
        <v>49497.526917778807</v>
      </c>
      <c r="M574" s="79">
        <f>$J$574-EFEITO!$K$574*EFEITO!$Y$574</f>
        <v>0</v>
      </c>
      <c r="N574" s="79">
        <f ca="1">$K$574-EFEITO!$M$574*EFEITO!$Z$574</f>
        <v>16172.668545263849</v>
      </c>
      <c r="O574" s="79">
        <f>$L$574-EFEITO!$O$574*EFEITO!$AA$574</f>
        <v>34648.268842445163</v>
      </c>
      <c r="P574" s="18"/>
      <c r="Q574" s="18"/>
      <c r="R574" s="18"/>
      <c r="S574" s="18"/>
      <c r="T574" s="18"/>
      <c r="U574" s="18"/>
      <c r="V574" s="18"/>
      <c r="W574" s="18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70" t="s">
        <v>21</v>
      </c>
      <c r="B575" s="70" t="s">
        <v>35</v>
      </c>
      <c r="C575" s="70" t="s">
        <v>39</v>
      </c>
      <c r="D575" s="70" t="s">
        <v>42</v>
      </c>
      <c r="E575" s="70" t="s">
        <v>50</v>
      </c>
      <c r="F575" s="70" t="s">
        <v>52</v>
      </c>
      <c r="G575" s="70" t="s">
        <v>25</v>
      </c>
      <c r="H575" s="70" t="s">
        <v>38</v>
      </c>
      <c r="I575" s="78">
        <v>44501</v>
      </c>
      <c r="J575" s="79">
        <f>EFEITO!$J$575*EFEITO!$Y$486</f>
        <v>0</v>
      </c>
      <c r="K575" s="79">
        <f ca="1">EFEITO!$L$575*EFEITO!$Z$486</f>
        <v>45821.046883127769</v>
      </c>
      <c r="L575" s="79">
        <f>EFEITO!$N$575*EFEITO!$AA$486</f>
        <v>98166.851475715681</v>
      </c>
      <c r="M575" s="79">
        <f>$J$575-EFEITO!$K$575*EFEITO!$Y$575</f>
        <v>0</v>
      </c>
      <c r="N575" s="79">
        <f ca="1">$K$575-EFEITO!$M$575*EFEITO!$Z$575</f>
        <v>32074.732818189437</v>
      </c>
      <c r="O575" s="79">
        <f>$L$575-EFEITO!$O$575*EFEITO!$AA$575</f>
        <v>68716.796033000981</v>
      </c>
      <c r="P575" s="18"/>
      <c r="Q575" s="18"/>
      <c r="R575" s="18"/>
      <c r="S575" s="18"/>
      <c r="T575" s="18"/>
      <c r="U575" s="18"/>
      <c r="V575" s="18"/>
      <c r="W575" s="18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70" t="s">
        <v>27</v>
      </c>
      <c r="B576" s="70" t="s">
        <v>35</v>
      </c>
      <c r="C576" s="70" t="s">
        <v>39</v>
      </c>
      <c r="D576" s="70" t="s">
        <v>42</v>
      </c>
      <c r="E576" s="70" t="s">
        <v>50</v>
      </c>
      <c r="F576" s="70" t="s">
        <v>52</v>
      </c>
      <c r="G576" s="70" t="s">
        <v>25</v>
      </c>
      <c r="H576" s="70" t="s">
        <v>38</v>
      </c>
      <c r="I576" s="78">
        <v>44501</v>
      </c>
      <c r="J576" s="79">
        <f>EFEITO!$J$576*EFEITO!$Y$486</f>
        <v>0</v>
      </c>
      <c r="K576" s="79">
        <f ca="1">EFEITO!$L$576*EFEITO!$Z$486</f>
        <v>-363.45133354425167</v>
      </c>
      <c r="L576" s="79">
        <f>EFEITO!$N$576*EFEITO!$AA$486</f>
        <v>-778.65687289277184</v>
      </c>
      <c r="M576" s="79">
        <f>$J$576-EFEITO!$K$576*EFEITO!$Y$576</f>
        <v>0</v>
      </c>
      <c r="N576" s="79">
        <f ca="1">$K$576-EFEITO!$M$576*EFEITO!$Z$576</f>
        <v>-254.41593348097615</v>
      </c>
      <c r="O576" s="79">
        <f>$L$576-EFEITO!$O$576*EFEITO!$AA$576</f>
        <v>-545.05981102494025</v>
      </c>
      <c r="P576" s="18"/>
      <c r="Q576" s="18"/>
      <c r="R576" s="18"/>
      <c r="S576" s="18"/>
      <c r="T576" s="18"/>
      <c r="U576" s="18"/>
      <c r="V576" s="18"/>
      <c r="W576" s="18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70" t="s">
        <v>28</v>
      </c>
      <c r="B577" s="70" t="s">
        <v>35</v>
      </c>
      <c r="C577" s="70" t="s">
        <v>39</v>
      </c>
      <c r="D577" s="70" t="s">
        <v>42</v>
      </c>
      <c r="E577" s="70" t="s">
        <v>50</v>
      </c>
      <c r="F577" s="70" t="s">
        <v>52</v>
      </c>
      <c r="G577" s="70" t="s">
        <v>25</v>
      </c>
      <c r="H577" s="70" t="s">
        <v>38</v>
      </c>
      <c r="I577" s="78">
        <v>44501</v>
      </c>
      <c r="J577" s="79">
        <f>EFEITO!$J$577*EFEITO!$Y$486</f>
        <v>0</v>
      </c>
      <c r="K577" s="79">
        <f ca="1">EFEITO!$L$577*EFEITO!$Z$486</f>
        <v>814.59721129821332</v>
      </c>
      <c r="L577" s="79">
        <f>EFEITO!$N$577*EFEITO!$AA$486</f>
        <v>1745.1902322967037</v>
      </c>
      <c r="M577" s="79">
        <f>$J$577-EFEITO!$K$577*EFEITO!$Y$577</f>
        <v>0</v>
      </c>
      <c r="N577" s="79">
        <f ca="1">$K$577-EFEITO!$M$577*EFEITO!$Z$577</f>
        <v>570.21804790874933</v>
      </c>
      <c r="O577" s="79">
        <f>$L$577-EFEITO!$O$577*EFEITO!$AA$577</f>
        <v>1221.6331626076926</v>
      </c>
      <c r="P577" s="18"/>
      <c r="Q577" s="18"/>
      <c r="R577" s="18"/>
      <c r="S577" s="18"/>
      <c r="T577" s="18"/>
      <c r="U577" s="18"/>
      <c r="V577" s="18"/>
      <c r="W577" s="18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70" t="s">
        <v>21</v>
      </c>
      <c r="B578" s="70" t="s">
        <v>35</v>
      </c>
      <c r="C578" s="70" t="s">
        <v>39</v>
      </c>
      <c r="D578" s="70" t="s">
        <v>42</v>
      </c>
      <c r="E578" s="70" t="s">
        <v>50</v>
      </c>
      <c r="F578" s="70" t="s">
        <v>52</v>
      </c>
      <c r="G578" s="70" t="s">
        <v>25</v>
      </c>
      <c r="H578" s="70" t="s">
        <v>38</v>
      </c>
      <c r="I578" s="78">
        <v>44531</v>
      </c>
      <c r="J578" s="79">
        <f>EFEITO!$J$578*EFEITO!$Y$486</f>
        <v>0</v>
      </c>
      <c r="K578" s="79">
        <f ca="1">EFEITO!$L$578*EFEITO!$Z$486</f>
        <v>406558.38229175843</v>
      </c>
      <c r="L578" s="79">
        <f>EFEITO!$N$578*EFEITO!$AA$486</f>
        <v>871009.26420208358</v>
      </c>
      <c r="M578" s="79">
        <f>$J$578-EFEITO!$K$578*EFEITO!$Y$578</f>
        <v>0</v>
      </c>
      <c r="N578" s="79">
        <f ca="1">$K$578-EFEITO!$M$578*EFEITO!$Z$578</f>
        <v>284590.86760423088</v>
      </c>
      <c r="O578" s="79">
        <f>$L$578-EFEITO!$O$578*EFEITO!$AA$578</f>
        <v>609706.48494145856</v>
      </c>
      <c r="P578" s="18"/>
      <c r="Q578" s="18"/>
      <c r="R578" s="18"/>
      <c r="S578" s="18"/>
      <c r="T578" s="18"/>
      <c r="U578" s="18"/>
      <c r="V578" s="18"/>
      <c r="W578" s="18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70" t="s">
        <v>21</v>
      </c>
      <c r="B579" s="70" t="s">
        <v>35</v>
      </c>
      <c r="C579" s="70" t="s">
        <v>39</v>
      </c>
      <c r="D579" s="70" t="s">
        <v>42</v>
      </c>
      <c r="E579" s="70" t="s">
        <v>50</v>
      </c>
      <c r="F579" s="70" t="s">
        <v>52</v>
      </c>
      <c r="G579" s="70" t="s">
        <v>25</v>
      </c>
      <c r="H579" s="70" t="s">
        <v>38</v>
      </c>
      <c r="I579" s="78">
        <v>44562</v>
      </c>
      <c r="J579" s="79">
        <f>EFEITO!$J$579*EFEITO!$Y$486</f>
        <v>0</v>
      </c>
      <c r="K579" s="79">
        <f ca="1">EFEITO!$L$579*EFEITO!$Z$486</f>
        <v>572385.52772454871</v>
      </c>
      <c r="L579" s="79">
        <f>EFEITO!$N$579*EFEITO!$AA$486</f>
        <v>1226276.7638265144</v>
      </c>
      <c r="M579" s="79">
        <f>$J$579-EFEITO!$K$579*EFEITO!$Y$579</f>
        <v>0</v>
      </c>
      <c r="N579" s="79">
        <f ca="1">$K$579-EFEITO!$M$579*EFEITO!$Z$579</f>
        <v>400669.86940718413</v>
      </c>
      <c r="O579" s="79">
        <f>$L$579-EFEITO!$O$579*EFEITO!$AA$579</f>
        <v>858393.73467856005</v>
      </c>
      <c r="P579" s="18"/>
      <c r="Q579" s="18"/>
      <c r="R579" s="18"/>
      <c r="S579" s="18"/>
      <c r="T579" s="18"/>
      <c r="U579" s="18"/>
      <c r="V579" s="18"/>
      <c r="W579" s="18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70" t="s">
        <v>28</v>
      </c>
      <c r="B580" s="70" t="s">
        <v>35</v>
      </c>
      <c r="C580" s="70" t="s">
        <v>39</v>
      </c>
      <c r="D580" s="70" t="s">
        <v>42</v>
      </c>
      <c r="E580" s="70" t="s">
        <v>50</v>
      </c>
      <c r="F580" s="70" t="s">
        <v>52</v>
      </c>
      <c r="G580" s="70" t="s">
        <v>25</v>
      </c>
      <c r="H580" s="70" t="s">
        <v>38</v>
      </c>
      <c r="I580" s="78">
        <v>44562</v>
      </c>
      <c r="J580" s="79">
        <f>EFEITO!$J$580*EFEITO!$Y$486</f>
        <v>0</v>
      </c>
      <c r="K580" s="79">
        <f ca="1">EFEITO!$L$580*EFEITO!$Z$486</f>
        <v>8707.8462285198748</v>
      </c>
      <c r="L580" s="79">
        <f>EFEITO!$N$580*EFEITO!$AA$486</f>
        <v>18655.659473883479</v>
      </c>
      <c r="M580" s="79">
        <f>$J$580-EFEITO!$K$580*EFEITO!$Y$580</f>
        <v>0</v>
      </c>
      <c r="N580" s="79">
        <f ca="1">$K$580-EFEITO!$M$580*EFEITO!$Z$580</f>
        <v>6095.4923599639114</v>
      </c>
      <c r="O580" s="79">
        <f>$L$580-EFEITO!$O$580*EFEITO!$AA$580</f>
        <v>13058.961631718435</v>
      </c>
      <c r="P580" s="18"/>
      <c r="Q580" s="18"/>
      <c r="R580" s="18"/>
      <c r="S580" s="18"/>
      <c r="T580" s="18"/>
      <c r="U580" s="18"/>
      <c r="V580" s="18"/>
      <c r="W580" s="18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70" t="s">
        <v>21</v>
      </c>
      <c r="B581" s="70" t="s">
        <v>35</v>
      </c>
      <c r="C581" s="70" t="s">
        <v>39</v>
      </c>
      <c r="D581" s="70" t="s">
        <v>42</v>
      </c>
      <c r="E581" s="70" t="s">
        <v>50</v>
      </c>
      <c r="F581" s="70" t="s">
        <v>52</v>
      </c>
      <c r="G581" s="70" t="s">
        <v>25</v>
      </c>
      <c r="H581" s="70" t="s">
        <v>38</v>
      </c>
      <c r="I581" s="78">
        <v>44593</v>
      </c>
      <c r="J581" s="79">
        <f>EFEITO!$J$581*EFEITO!$Y$486</f>
        <v>0</v>
      </c>
      <c r="K581" s="79">
        <f ca="1">EFEITO!$L$581*EFEITO!$Z$486</f>
        <v>436538.07579791517</v>
      </c>
      <c r="L581" s="79">
        <f>EFEITO!$N$581*EFEITO!$AA$486</f>
        <v>935237.6552995824</v>
      </c>
      <c r="M581" s="79">
        <f>$J$581-EFEITO!$K$581*EFEITO!$Y$581</f>
        <v>0</v>
      </c>
      <c r="N581" s="79">
        <f ca="1">$K$581-EFEITO!$M$581*EFEITO!$Z$581</f>
        <v>305576.65305854066</v>
      </c>
      <c r="O581" s="79">
        <f>$L$581-EFEITO!$O$581*EFEITO!$AA$581</f>
        <v>654666.35870970762</v>
      </c>
      <c r="P581" s="18"/>
      <c r="Q581" s="18"/>
      <c r="R581" s="18"/>
      <c r="S581" s="18"/>
      <c r="T581" s="18"/>
      <c r="U581" s="18"/>
      <c r="V581" s="18"/>
      <c r="W581" s="18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70" t="s">
        <v>27</v>
      </c>
      <c r="B582" s="70" t="s">
        <v>35</v>
      </c>
      <c r="C582" s="70" t="s">
        <v>39</v>
      </c>
      <c r="D582" s="70" t="s">
        <v>42</v>
      </c>
      <c r="E582" s="70" t="s">
        <v>50</v>
      </c>
      <c r="F582" s="70" t="s">
        <v>52</v>
      </c>
      <c r="G582" s="70" t="s">
        <v>25</v>
      </c>
      <c r="H582" s="70" t="s">
        <v>38</v>
      </c>
      <c r="I582" s="78">
        <v>44593</v>
      </c>
      <c r="J582" s="79">
        <f>EFEITO!$J$582*EFEITO!$Y$486</f>
        <v>0</v>
      </c>
      <c r="K582" s="79">
        <f ca="1">EFEITO!$L$582*EFEITO!$Z$486</f>
        <v>-5543.2572439057622</v>
      </c>
      <c r="L582" s="79">
        <f>EFEITO!$N$582*EFEITO!$AA$486</f>
        <v>-11875.855039762399</v>
      </c>
      <c r="M582" s="79">
        <f>$J$582-EFEITO!$K$582*EFEITO!$Y$582</f>
        <v>0</v>
      </c>
      <c r="N582" s="79">
        <f ca="1">$K$582-EFEITO!$M$582*EFEITO!$Z$582</f>
        <v>-3880.2800707340339</v>
      </c>
      <c r="O582" s="79">
        <f>$L$582-EFEITO!$O$582*EFEITO!$AA$582</f>
        <v>-8313.0985278336793</v>
      </c>
      <c r="P582" s="18"/>
      <c r="Q582" s="18"/>
      <c r="R582" s="18"/>
      <c r="S582" s="18"/>
      <c r="T582" s="18"/>
      <c r="U582" s="18"/>
      <c r="V582" s="18"/>
      <c r="W582" s="18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70" t="s">
        <v>28</v>
      </c>
      <c r="B583" s="70" t="s">
        <v>35</v>
      </c>
      <c r="C583" s="70" t="s">
        <v>39</v>
      </c>
      <c r="D583" s="70" t="s">
        <v>42</v>
      </c>
      <c r="E583" s="70" t="s">
        <v>50</v>
      </c>
      <c r="F583" s="70" t="s">
        <v>52</v>
      </c>
      <c r="G583" s="70" t="s">
        <v>25</v>
      </c>
      <c r="H583" s="70" t="s">
        <v>38</v>
      </c>
      <c r="I583" s="78">
        <v>44593</v>
      </c>
      <c r="J583" s="79">
        <f>EFEITO!$J$583*EFEITO!$Y$486</f>
        <v>0</v>
      </c>
      <c r="K583" s="79">
        <f ca="1">EFEITO!$L$583*EFEITO!$Z$486</f>
        <v>8692.0279088364769</v>
      </c>
      <c r="L583" s="79">
        <f>EFEITO!$N$583*EFEITO!$AA$486</f>
        <v>18621.770360810264</v>
      </c>
      <c r="M583" s="79">
        <f>$J$583-EFEITO!$K$583*EFEITO!$Y$583</f>
        <v>0</v>
      </c>
      <c r="N583" s="79">
        <f ca="1">$K$583-EFEITO!$M$583*EFEITO!$Z$583</f>
        <v>6084.4195361855336</v>
      </c>
      <c r="O583" s="79">
        <f>$L$583-EFEITO!$O$583*EFEITO!$AA$583</f>
        <v>13035.239252567186</v>
      </c>
      <c r="P583" s="18"/>
      <c r="Q583" s="18"/>
      <c r="R583" s="18"/>
      <c r="S583" s="18"/>
      <c r="T583" s="18"/>
      <c r="U583" s="18"/>
      <c r="V583" s="18"/>
      <c r="W583" s="18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70" t="s">
        <v>21</v>
      </c>
      <c r="B584" s="70" t="s">
        <v>35</v>
      </c>
      <c r="C584" s="70" t="s">
        <v>39</v>
      </c>
      <c r="D584" s="70" t="s">
        <v>42</v>
      </c>
      <c r="E584" s="70" t="s">
        <v>50</v>
      </c>
      <c r="F584" s="70" t="s">
        <v>52</v>
      </c>
      <c r="G584" s="70" t="s">
        <v>25</v>
      </c>
      <c r="H584" s="70" t="s">
        <v>38</v>
      </c>
      <c r="I584" s="78">
        <v>44621</v>
      </c>
      <c r="J584" s="79">
        <f>EFEITO!$J$584*EFEITO!$Y$486</f>
        <v>0</v>
      </c>
      <c r="K584" s="79">
        <f ca="1">EFEITO!$L$584*EFEITO!$Z$486</f>
        <v>335453.09271422582</v>
      </c>
      <c r="L584" s="79">
        <f>EFEITO!$N$584*EFEITO!$AA$486</f>
        <v>718673.53911707585</v>
      </c>
      <c r="M584" s="79">
        <f>$J$584-EFEITO!$K$584*EFEITO!$Y$584</f>
        <v>0</v>
      </c>
      <c r="N584" s="79">
        <f ca="1">$K$584-EFEITO!$M$584*EFEITO!$Z$584</f>
        <v>234817.16489995806</v>
      </c>
      <c r="O584" s="79">
        <f>$L$584-EFEITO!$O$584*EFEITO!$AA$584</f>
        <v>503071.4773819531</v>
      </c>
      <c r="P584" s="18"/>
      <c r="Q584" s="18"/>
      <c r="R584" s="18"/>
      <c r="S584" s="18"/>
      <c r="T584" s="18"/>
      <c r="U584" s="18"/>
      <c r="V584" s="18"/>
      <c r="W584" s="18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70" t="s">
        <v>27</v>
      </c>
      <c r="B585" s="70" t="s">
        <v>35</v>
      </c>
      <c r="C585" s="70" t="s">
        <v>39</v>
      </c>
      <c r="D585" s="70" t="s">
        <v>42</v>
      </c>
      <c r="E585" s="70" t="s">
        <v>50</v>
      </c>
      <c r="F585" s="70" t="s">
        <v>52</v>
      </c>
      <c r="G585" s="70" t="s">
        <v>25</v>
      </c>
      <c r="H585" s="70" t="s">
        <v>38</v>
      </c>
      <c r="I585" s="78">
        <v>44621</v>
      </c>
      <c r="J585" s="79">
        <f>EFEITO!$J$585*EFEITO!$Y$486</f>
        <v>0</v>
      </c>
      <c r="K585" s="79">
        <f ca="1">EFEITO!$L$585*EFEITO!$Z$486</f>
        <v>-9157.5120295783145</v>
      </c>
      <c r="L585" s="79">
        <f>EFEITO!$N$585*EFEITO!$AA$486</f>
        <v>-19619.021922122665</v>
      </c>
      <c r="M585" s="79">
        <f>$J$585-EFEITO!$K$585*EFEITO!$Y$585</f>
        <v>0</v>
      </c>
      <c r="N585" s="79">
        <f ca="1">$K$585-EFEITO!$M$585*EFEITO!$Z$585</f>
        <v>-6410.2584207048203</v>
      </c>
      <c r="O585" s="79">
        <f>$L$585-EFEITO!$O$585*EFEITO!$AA$585</f>
        <v>-13733.315345485866</v>
      </c>
      <c r="P585" s="18"/>
      <c r="Q585" s="18"/>
      <c r="R585" s="18"/>
      <c r="S585" s="18"/>
      <c r="T585" s="18"/>
      <c r="U585" s="18"/>
      <c r="V585" s="18"/>
      <c r="W585" s="18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70" t="s">
        <v>28</v>
      </c>
      <c r="B586" s="70" t="s">
        <v>35</v>
      </c>
      <c r="C586" s="70" t="s">
        <v>39</v>
      </c>
      <c r="D586" s="70" t="s">
        <v>42</v>
      </c>
      <c r="E586" s="70" t="s">
        <v>50</v>
      </c>
      <c r="F586" s="70" t="s">
        <v>52</v>
      </c>
      <c r="G586" s="70" t="s">
        <v>25</v>
      </c>
      <c r="H586" s="70" t="s">
        <v>38</v>
      </c>
      <c r="I586" s="78">
        <v>44621</v>
      </c>
      <c r="J586" s="79">
        <f>EFEITO!$J$586*EFEITO!$Y$486</f>
        <v>0</v>
      </c>
      <c r="K586" s="79">
        <f ca="1">EFEITO!$L$586*EFEITO!$Z$486</f>
        <v>4021.9234104955399</v>
      </c>
      <c r="L586" s="79">
        <f>EFEITO!$N$586*EFEITO!$AA$486</f>
        <v>8616.5547262998061</v>
      </c>
      <c r="M586" s="79">
        <f>$J$586-EFEITO!$K$586*EFEITO!$Y$586</f>
        <v>0</v>
      </c>
      <c r="N586" s="79">
        <f ca="1">$K$586-EFEITO!$M$586*EFEITO!$Z$586</f>
        <v>2815.3463873468781</v>
      </c>
      <c r="O586" s="79">
        <f>$L$586-EFEITO!$O$586*EFEITO!$AA$586</f>
        <v>6031.5883084098641</v>
      </c>
      <c r="P586" s="18"/>
      <c r="Q586" s="18"/>
      <c r="R586" s="18"/>
      <c r="S586" s="18"/>
      <c r="T586" s="18"/>
      <c r="U586" s="18"/>
      <c r="V586" s="18"/>
      <c r="W586" s="18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70" t="s">
        <v>21</v>
      </c>
      <c r="B587" s="70" t="s">
        <v>35</v>
      </c>
      <c r="C587" s="70" t="s">
        <v>39</v>
      </c>
      <c r="D587" s="70" t="s">
        <v>42</v>
      </c>
      <c r="E587" s="70" t="s">
        <v>50</v>
      </c>
      <c r="F587" s="70" t="s">
        <v>52</v>
      </c>
      <c r="G587" s="70" t="s">
        <v>25</v>
      </c>
      <c r="H587" s="70" t="s">
        <v>38</v>
      </c>
      <c r="I587" s="78">
        <v>44652</v>
      </c>
      <c r="J587" s="79">
        <f>EFEITO!$J$587*EFEITO!$Y$486</f>
        <v>0</v>
      </c>
      <c r="K587" s="79">
        <f ca="1">EFEITO!$L$587*EFEITO!$Z$486</f>
        <v>82427.783793486553</v>
      </c>
      <c r="L587" s="79">
        <f>EFEITO!$N$587*EFEITO!$AA$486</f>
        <v>176592.99731336161</v>
      </c>
      <c r="M587" s="79">
        <f>$J$587-EFEITO!$K$587*EFEITO!$Y$587</f>
        <v>0</v>
      </c>
      <c r="N587" s="79">
        <f ca="1">$K$587-EFEITO!$M$587*EFEITO!$Z$587</f>
        <v>57699.448655440588</v>
      </c>
      <c r="O587" s="79">
        <f>$L$587-EFEITO!$O$587*EFEITO!$AA$587</f>
        <v>123615.09811935313</v>
      </c>
      <c r="P587" s="18"/>
      <c r="Q587" s="18"/>
      <c r="R587" s="18"/>
      <c r="S587" s="18"/>
      <c r="T587" s="18"/>
      <c r="U587" s="18"/>
      <c r="V587" s="18"/>
      <c r="W587" s="18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70" t="s">
        <v>27</v>
      </c>
      <c r="B588" s="70" t="s">
        <v>35</v>
      </c>
      <c r="C588" s="70" t="s">
        <v>39</v>
      </c>
      <c r="D588" s="70" t="s">
        <v>42</v>
      </c>
      <c r="E588" s="70" t="s">
        <v>50</v>
      </c>
      <c r="F588" s="70" t="s">
        <v>52</v>
      </c>
      <c r="G588" s="70" t="s">
        <v>25</v>
      </c>
      <c r="H588" s="70" t="s">
        <v>38</v>
      </c>
      <c r="I588" s="78">
        <v>44652</v>
      </c>
      <c r="J588" s="79">
        <f>EFEITO!$J$588*EFEITO!$Y$486</f>
        <v>0</v>
      </c>
      <c r="K588" s="79">
        <f ca="1">EFEITO!$L$588*EFEITO!$Z$486</f>
        <v>-2723.0636053810481</v>
      </c>
      <c r="L588" s="79">
        <f>EFEITO!$N$588*EFEITO!$AA$486</f>
        <v>-5833.8819972879937</v>
      </c>
      <c r="M588" s="79">
        <f>$J$588-EFEITO!$K$588*EFEITO!$Y$588</f>
        <v>0</v>
      </c>
      <c r="N588" s="79">
        <f ca="1">$K$588-EFEITO!$M$588*EFEITO!$Z$588</f>
        <v>-1906.1445237667338</v>
      </c>
      <c r="O588" s="79">
        <f>$L$588-EFEITO!$O$588*EFEITO!$AA$588</f>
        <v>-4083.7173981015958</v>
      </c>
      <c r="P588" s="18"/>
      <c r="Q588" s="18"/>
      <c r="R588" s="18"/>
      <c r="S588" s="18"/>
      <c r="T588" s="18"/>
      <c r="U588" s="18"/>
      <c r="V588" s="18"/>
      <c r="W588" s="18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70" t="s">
        <v>28</v>
      </c>
      <c r="B589" s="70" t="s">
        <v>35</v>
      </c>
      <c r="C589" s="70" t="s">
        <v>39</v>
      </c>
      <c r="D589" s="70" t="s">
        <v>42</v>
      </c>
      <c r="E589" s="70" t="s">
        <v>50</v>
      </c>
      <c r="F589" s="70" t="s">
        <v>52</v>
      </c>
      <c r="G589" s="70" t="s">
        <v>25</v>
      </c>
      <c r="H589" s="70" t="s">
        <v>38</v>
      </c>
      <c r="I589" s="78">
        <v>44652</v>
      </c>
      <c r="J589" s="79">
        <f>EFEITO!$J$589*EFEITO!$Y$486</f>
        <v>0</v>
      </c>
      <c r="K589" s="79">
        <f ca="1">EFEITO!$L$589*EFEITO!$Z$486</f>
        <v>1469.1611298930529</v>
      </c>
      <c r="L589" s="79">
        <f>EFEITO!$N$589*EFEITO!$AA$486</f>
        <v>3147.5256949053201</v>
      </c>
      <c r="M589" s="79">
        <f>$J$589-EFEITO!$K$589*EFEITO!$Y$589</f>
        <v>0</v>
      </c>
      <c r="N589" s="79">
        <f ca="1">$K$589-EFEITO!$M$589*EFEITO!$Z$589</f>
        <v>1028.412790925137</v>
      </c>
      <c r="O589" s="79">
        <f>$L$589-EFEITO!$O$589*EFEITO!$AA$589</f>
        <v>2203.2679864337242</v>
      </c>
      <c r="P589" s="18"/>
      <c r="Q589" s="18"/>
      <c r="R589" s="18"/>
      <c r="S589" s="18"/>
      <c r="T589" s="18"/>
      <c r="U589" s="18"/>
      <c r="V589" s="18"/>
      <c r="W589" s="18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70" t="s">
        <v>21</v>
      </c>
      <c r="B590" s="70" t="s">
        <v>35</v>
      </c>
      <c r="C590" s="70" t="s">
        <v>39</v>
      </c>
      <c r="D590" s="70" t="s">
        <v>42</v>
      </c>
      <c r="E590" s="70" t="s">
        <v>50</v>
      </c>
      <c r="F590" s="70" t="s">
        <v>52</v>
      </c>
      <c r="G590" s="70" t="s">
        <v>25</v>
      </c>
      <c r="H590" s="70" t="s">
        <v>38</v>
      </c>
      <c r="I590" s="78">
        <v>44682</v>
      </c>
      <c r="J590" s="79">
        <f>EFEITO!$J$590*EFEITO!$Y$486</f>
        <v>0</v>
      </c>
      <c r="K590" s="79">
        <f ca="1">EFEITO!$L$590*EFEITO!$Z$486</f>
        <v>26614.924148473106</v>
      </c>
      <c r="L590" s="79">
        <f>EFEITO!$N$590*EFEITO!$AA$486</f>
        <v>57019.72092834588</v>
      </c>
      <c r="M590" s="79">
        <f>$J$590-EFEITO!$K$590*EFEITO!$Y$590</f>
        <v>0</v>
      </c>
      <c r="N590" s="79">
        <f ca="1">$K$590-EFEITO!$M$590*EFEITO!$Z$590</f>
        <v>18630.446903931173</v>
      </c>
      <c r="O590" s="79">
        <f>$L$590-EFEITO!$O$590*EFEITO!$AA$590</f>
        <v>39913.804649842117</v>
      </c>
      <c r="P590" s="18"/>
      <c r="Q590" s="18"/>
      <c r="R590" s="18"/>
      <c r="S590" s="18"/>
      <c r="T590" s="18"/>
      <c r="U590" s="18"/>
      <c r="V590" s="18"/>
      <c r="W590" s="18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70" t="s">
        <v>27</v>
      </c>
      <c r="B591" s="70" t="s">
        <v>35</v>
      </c>
      <c r="C591" s="70" t="s">
        <v>39</v>
      </c>
      <c r="D591" s="70" t="s">
        <v>42</v>
      </c>
      <c r="E591" s="70" t="s">
        <v>50</v>
      </c>
      <c r="F591" s="70" t="s">
        <v>52</v>
      </c>
      <c r="G591" s="70" t="s">
        <v>25</v>
      </c>
      <c r="H591" s="70" t="s">
        <v>38</v>
      </c>
      <c r="I591" s="78">
        <v>44682</v>
      </c>
      <c r="J591" s="79">
        <f>EFEITO!$J$591*EFEITO!$Y$486</f>
        <v>0</v>
      </c>
      <c r="K591" s="79">
        <f ca="1">EFEITO!$L$591*EFEITO!$Z$486</f>
        <v>-583.70524679669836</v>
      </c>
      <c r="L591" s="79">
        <f>EFEITO!$N$591*EFEITO!$AA$486</f>
        <v>-1250.5280905964344</v>
      </c>
      <c r="M591" s="79">
        <f>$J$591-EFEITO!$K$591*EFEITO!$Y$591</f>
        <v>0</v>
      </c>
      <c r="N591" s="79">
        <f ca="1">$K$591-EFEITO!$M$591*EFEITO!$Z$591</f>
        <v>-408.59367275768886</v>
      </c>
      <c r="O591" s="79">
        <f>$L$591-EFEITO!$O$591*EFEITO!$AA$591</f>
        <v>-875.36966341750406</v>
      </c>
      <c r="P591" s="18"/>
      <c r="Q591" s="18"/>
      <c r="R591" s="18"/>
      <c r="S591" s="18"/>
      <c r="T591" s="18"/>
      <c r="U591" s="18"/>
      <c r="V591" s="18"/>
      <c r="W591" s="18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70" t="s">
        <v>21</v>
      </c>
      <c r="B592" s="70" t="s">
        <v>35</v>
      </c>
      <c r="C592" s="70" t="s">
        <v>39</v>
      </c>
      <c r="D592" s="70" t="s">
        <v>42</v>
      </c>
      <c r="E592" s="70" t="s">
        <v>50</v>
      </c>
      <c r="F592" s="70" t="s">
        <v>52</v>
      </c>
      <c r="G592" s="70" t="s">
        <v>25</v>
      </c>
      <c r="H592" s="70" t="s">
        <v>38</v>
      </c>
      <c r="I592" s="78">
        <v>44713</v>
      </c>
      <c r="J592" s="79">
        <f>EFEITO!$J$592*EFEITO!$Y$486</f>
        <v>0</v>
      </c>
      <c r="K592" s="79">
        <f ca="1">EFEITO!$L$592*EFEITO!$Z$486</f>
        <v>20615.710777552933</v>
      </c>
      <c r="L592" s="79">
        <f>EFEITO!$N$592*EFEITO!$AA$486</f>
        <v>44167.027067894131</v>
      </c>
      <c r="M592" s="79">
        <f>$J$592-EFEITO!$K$592*EFEITO!$Y$592</f>
        <v>0</v>
      </c>
      <c r="N592" s="79">
        <f ca="1">$K$592-EFEITO!$M$592*EFEITO!$Z$592</f>
        <v>14430.997544287053</v>
      </c>
      <c r="O592" s="79">
        <f>$L$592-EFEITO!$O$592*EFEITO!$AA$592</f>
        <v>30916.91894752589</v>
      </c>
      <c r="P592" s="18"/>
      <c r="Q592" s="18"/>
      <c r="R592" s="18"/>
      <c r="S592" s="18"/>
      <c r="T592" s="18"/>
      <c r="U592" s="18"/>
      <c r="V592" s="18"/>
      <c r="W592" s="18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70" t="s">
        <v>27</v>
      </c>
      <c r="B593" s="70" t="s">
        <v>35</v>
      </c>
      <c r="C593" s="70" t="s">
        <v>39</v>
      </c>
      <c r="D593" s="70" t="s">
        <v>42</v>
      </c>
      <c r="E593" s="70" t="s">
        <v>50</v>
      </c>
      <c r="F593" s="70" t="s">
        <v>52</v>
      </c>
      <c r="G593" s="70" t="s">
        <v>25</v>
      </c>
      <c r="H593" s="70" t="s">
        <v>38</v>
      </c>
      <c r="I593" s="78">
        <v>44713</v>
      </c>
      <c r="J593" s="79">
        <f>EFEITO!$J$593*EFEITO!$Y$486</f>
        <v>0</v>
      </c>
      <c r="K593" s="79">
        <f ca="1">EFEITO!$L$593*EFEITO!$Z$486</f>
        <v>-33.579240029667439</v>
      </c>
      <c r="L593" s="79">
        <f>EFEITO!$N$593*EFEITO!$AA$486</f>
        <v>-71.940047050159379</v>
      </c>
      <c r="M593" s="79">
        <f>$J$593-EFEITO!$K$593*EFEITO!$Y$593</f>
        <v>0</v>
      </c>
      <c r="N593" s="79">
        <f ca="1">$K$593-EFEITO!$M$593*EFEITO!$Z$593</f>
        <v>-23.505468020767207</v>
      </c>
      <c r="O593" s="79">
        <f>$L$593-EFEITO!$O$593*EFEITO!$AA$593</f>
        <v>-50.358032935111567</v>
      </c>
      <c r="P593" s="18"/>
      <c r="Q593" s="18"/>
      <c r="R593" s="18"/>
      <c r="S593" s="18"/>
      <c r="T593" s="18"/>
      <c r="U593" s="18"/>
      <c r="V593" s="18"/>
      <c r="W593" s="18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70" t="s">
        <v>28</v>
      </c>
      <c r="B594" s="70" t="s">
        <v>35</v>
      </c>
      <c r="C594" s="70" t="s">
        <v>39</v>
      </c>
      <c r="D594" s="70" t="s">
        <v>42</v>
      </c>
      <c r="E594" s="70" t="s">
        <v>50</v>
      </c>
      <c r="F594" s="70" t="s">
        <v>52</v>
      </c>
      <c r="G594" s="70" t="s">
        <v>25</v>
      </c>
      <c r="H594" s="70" t="s">
        <v>38</v>
      </c>
      <c r="I594" s="78">
        <v>44713</v>
      </c>
      <c r="J594" s="79">
        <f>EFEITO!$J$594*EFEITO!$Y$486</f>
        <v>0</v>
      </c>
      <c r="K594" s="79">
        <f ca="1">EFEITO!$L$594*EFEITO!$Z$486</f>
        <v>0.18500958694031647</v>
      </c>
      <c r="L594" s="79">
        <f>EFEITO!$N$594*EFEITO!$AA$486</f>
        <v>0.39636389559316459</v>
      </c>
      <c r="M594" s="79">
        <f>$J$594-EFEITO!$K$594*EFEITO!$Y$594</f>
        <v>0</v>
      </c>
      <c r="N594" s="79">
        <f ca="1">$K$594-EFEITO!$M$594*EFEITO!$Z$594</f>
        <v>0.12950671085822152</v>
      </c>
      <c r="O594" s="79">
        <f>$L$594-EFEITO!$O$594*EFEITO!$AA$594</f>
        <v>0.27745472691521522</v>
      </c>
      <c r="P594" s="18"/>
      <c r="Q594" s="18"/>
      <c r="R594" s="18"/>
      <c r="S594" s="18"/>
      <c r="T594" s="18"/>
      <c r="U594" s="18"/>
      <c r="V594" s="18"/>
      <c r="W594" s="18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70" t="s">
        <v>21</v>
      </c>
      <c r="B595" s="70" t="s">
        <v>35</v>
      </c>
      <c r="C595" s="70" t="s">
        <v>39</v>
      </c>
      <c r="D595" s="70" t="s">
        <v>42</v>
      </c>
      <c r="E595" s="70" t="s">
        <v>50</v>
      </c>
      <c r="F595" s="70" t="s">
        <v>25</v>
      </c>
      <c r="G595" s="70" t="s">
        <v>25</v>
      </c>
      <c r="H595" s="70" t="s">
        <v>25</v>
      </c>
      <c r="I595" s="78">
        <v>44378</v>
      </c>
      <c r="J595" s="79">
        <f ca="1">EFEITO!$J$595*EFEITO!$Y$501</f>
        <v>158601.73615865639</v>
      </c>
      <c r="K595" s="79">
        <f>EFEITO!$L$595*EFEITO!$Z$501</f>
        <v>0</v>
      </c>
      <c r="L595" s="79">
        <f>EFEITO!$N$595*EFEITO!$AA$501</f>
        <v>0</v>
      </c>
      <c r="M595" s="79">
        <f ca="1">$J$595-EFEITO!$K$595*EFEITO!$Y$595</f>
        <v>3172.0347231731284</v>
      </c>
      <c r="N595" s="79">
        <f>$K$595-EFEITO!$M$595*EFEITO!$Z$595</f>
        <v>0</v>
      </c>
      <c r="O595" s="79">
        <f>$L$595-EFEITO!$O$595*EFEITO!$AA$595</f>
        <v>0</v>
      </c>
      <c r="P595" s="18"/>
      <c r="Q595" s="18"/>
      <c r="R595" s="18"/>
      <c r="S595" s="18"/>
      <c r="T595" s="18"/>
      <c r="U595" s="18"/>
      <c r="V595" s="18"/>
      <c r="W595" s="18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70" t="s">
        <v>28</v>
      </c>
      <c r="B596" s="70" t="s">
        <v>35</v>
      </c>
      <c r="C596" s="70" t="s">
        <v>39</v>
      </c>
      <c r="D596" s="70" t="s">
        <v>42</v>
      </c>
      <c r="E596" s="70" t="s">
        <v>50</v>
      </c>
      <c r="F596" s="70" t="s">
        <v>25</v>
      </c>
      <c r="G596" s="70" t="s">
        <v>25</v>
      </c>
      <c r="H596" s="70" t="s">
        <v>25</v>
      </c>
      <c r="I596" s="78">
        <v>44378</v>
      </c>
      <c r="J596" s="79">
        <f ca="1">EFEITO!$J$596*EFEITO!$Y$501</f>
        <v>35630.574367440087</v>
      </c>
      <c r="K596" s="79">
        <f>EFEITO!$L$596*EFEITO!$Z$501</f>
        <v>0</v>
      </c>
      <c r="L596" s="79">
        <f>EFEITO!$N$596*EFEITO!$AA$501</f>
        <v>0</v>
      </c>
      <c r="M596" s="79">
        <f ca="1">$J$596-EFEITO!$K$596*EFEITO!$Y$596</f>
        <v>712.61148734880408</v>
      </c>
      <c r="N596" s="79">
        <f>$K$596-EFEITO!$M$596*EFEITO!$Z$596</f>
        <v>0</v>
      </c>
      <c r="O596" s="79">
        <f>$L$596-EFEITO!$O$596*EFEITO!$AA$596</f>
        <v>0</v>
      </c>
      <c r="P596" s="18"/>
      <c r="Q596" s="18"/>
      <c r="R596" s="18"/>
      <c r="S596" s="18"/>
      <c r="T596" s="18"/>
      <c r="U596" s="18"/>
      <c r="V596" s="18"/>
      <c r="W596" s="18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70" t="s">
        <v>21</v>
      </c>
      <c r="B597" s="70" t="s">
        <v>35</v>
      </c>
      <c r="C597" s="70" t="s">
        <v>39</v>
      </c>
      <c r="D597" s="70" t="s">
        <v>42</v>
      </c>
      <c r="E597" s="70" t="s">
        <v>50</v>
      </c>
      <c r="F597" s="70" t="s">
        <v>25</v>
      </c>
      <c r="G597" s="70" t="s">
        <v>25</v>
      </c>
      <c r="H597" s="70" t="s">
        <v>25</v>
      </c>
      <c r="I597" s="78">
        <v>44409</v>
      </c>
      <c r="J597" s="79">
        <f ca="1">EFEITO!$J$597*EFEITO!$Y$501</f>
        <v>217620.58498267253</v>
      </c>
      <c r="K597" s="79">
        <f>EFEITO!$L$597*EFEITO!$Z$501</f>
        <v>0</v>
      </c>
      <c r="L597" s="79">
        <f>EFEITO!$N$597*EFEITO!$AA$501</f>
        <v>0</v>
      </c>
      <c r="M597" s="79">
        <f ca="1">$J$597-EFEITO!$K$597*EFEITO!$Y$597</f>
        <v>4352.4116996534576</v>
      </c>
      <c r="N597" s="79">
        <f>$K$597-EFEITO!$M$597*EFEITO!$Z$597</f>
        <v>0</v>
      </c>
      <c r="O597" s="79">
        <f>$L$597-EFEITO!$O$597*EFEITO!$AA$597</f>
        <v>0</v>
      </c>
      <c r="P597" s="18"/>
      <c r="Q597" s="18"/>
      <c r="R597" s="18"/>
      <c r="S597" s="18"/>
      <c r="T597" s="18"/>
      <c r="U597" s="18"/>
      <c r="V597" s="18"/>
      <c r="W597" s="18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70" t="s">
        <v>28</v>
      </c>
      <c r="B598" s="70" t="s">
        <v>35</v>
      </c>
      <c r="C598" s="70" t="s">
        <v>39</v>
      </c>
      <c r="D598" s="70" t="s">
        <v>42</v>
      </c>
      <c r="E598" s="70" t="s">
        <v>50</v>
      </c>
      <c r="F598" s="70" t="s">
        <v>25</v>
      </c>
      <c r="G598" s="70" t="s">
        <v>25</v>
      </c>
      <c r="H598" s="70" t="s">
        <v>25</v>
      </c>
      <c r="I598" s="78">
        <v>44409</v>
      </c>
      <c r="J598" s="79">
        <f ca="1">EFEITO!$J$598*EFEITO!$Y$501</f>
        <v>35630.574367440087</v>
      </c>
      <c r="K598" s="79">
        <f>EFEITO!$L$598*EFEITO!$Z$501</f>
        <v>0</v>
      </c>
      <c r="L598" s="79">
        <f>EFEITO!$N$598*EFEITO!$AA$501</f>
        <v>0</v>
      </c>
      <c r="M598" s="79">
        <f ca="1">$J$598-EFEITO!$K$598*EFEITO!$Y$598</f>
        <v>712.61148734880408</v>
      </c>
      <c r="N598" s="79">
        <f>$K$598-EFEITO!$M$598*EFEITO!$Z$598</f>
        <v>0</v>
      </c>
      <c r="O598" s="79">
        <f>$L$598-EFEITO!$O$598*EFEITO!$AA$598</f>
        <v>0</v>
      </c>
      <c r="P598" s="18"/>
      <c r="Q598" s="18"/>
      <c r="R598" s="18"/>
      <c r="S598" s="18"/>
      <c r="T598" s="18"/>
      <c r="U598" s="18"/>
      <c r="V598" s="18"/>
      <c r="W598" s="18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70" t="s">
        <v>21</v>
      </c>
      <c r="B599" s="70" t="s">
        <v>35</v>
      </c>
      <c r="C599" s="70" t="s">
        <v>39</v>
      </c>
      <c r="D599" s="70" t="s">
        <v>42</v>
      </c>
      <c r="E599" s="70" t="s">
        <v>50</v>
      </c>
      <c r="F599" s="70" t="s">
        <v>25</v>
      </c>
      <c r="G599" s="70" t="s">
        <v>25</v>
      </c>
      <c r="H599" s="70" t="s">
        <v>25</v>
      </c>
      <c r="I599" s="78">
        <v>44440</v>
      </c>
      <c r="J599" s="79">
        <f ca="1">EFEITO!$J$599*EFEITO!$Y$501</f>
        <v>486342.11337437452</v>
      </c>
      <c r="K599" s="79">
        <f>EFEITO!$L$599*EFEITO!$Z$501</f>
        <v>0</v>
      </c>
      <c r="L599" s="79">
        <f>EFEITO!$N$599*EFEITO!$AA$501</f>
        <v>0</v>
      </c>
      <c r="M599" s="79">
        <f ca="1">$J$599-EFEITO!$K$599*EFEITO!$Y$599</f>
        <v>9726.8422674874892</v>
      </c>
      <c r="N599" s="79">
        <f>$K$599-EFEITO!$M$599*EFEITO!$Z$599</f>
        <v>0</v>
      </c>
      <c r="O599" s="79">
        <f>$L$599-EFEITO!$O$599*EFEITO!$AA$599</f>
        <v>0</v>
      </c>
      <c r="P599" s="18"/>
      <c r="Q599" s="18"/>
      <c r="R599" s="18"/>
      <c r="S599" s="18"/>
      <c r="T599" s="18"/>
      <c r="U599" s="18"/>
      <c r="V599" s="18"/>
      <c r="W599" s="18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70" t="s">
        <v>28</v>
      </c>
      <c r="B600" s="70" t="s">
        <v>35</v>
      </c>
      <c r="C600" s="70" t="s">
        <v>39</v>
      </c>
      <c r="D600" s="70" t="s">
        <v>42</v>
      </c>
      <c r="E600" s="70" t="s">
        <v>50</v>
      </c>
      <c r="F600" s="70" t="s">
        <v>25</v>
      </c>
      <c r="G600" s="70" t="s">
        <v>25</v>
      </c>
      <c r="H600" s="70" t="s">
        <v>25</v>
      </c>
      <c r="I600" s="78">
        <v>44440</v>
      </c>
      <c r="J600" s="79">
        <f ca="1">EFEITO!$J$600*EFEITO!$Y$501</f>
        <v>35630.574367440087</v>
      </c>
      <c r="K600" s="79">
        <f>EFEITO!$L$600*EFEITO!$Z$501</f>
        <v>0</v>
      </c>
      <c r="L600" s="79">
        <f>EFEITO!$N$600*EFEITO!$AA$501</f>
        <v>0</v>
      </c>
      <c r="M600" s="79">
        <f ca="1">$J$600-EFEITO!$K$600*EFEITO!$Y$600</f>
        <v>712.61148734880408</v>
      </c>
      <c r="N600" s="79">
        <f>$K$600-EFEITO!$M$600*EFEITO!$Z$600</f>
        <v>0</v>
      </c>
      <c r="O600" s="79">
        <f>$L$600-EFEITO!$O$600*EFEITO!$AA$600</f>
        <v>0</v>
      </c>
      <c r="P600" s="18"/>
      <c r="Q600" s="18"/>
      <c r="R600" s="18"/>
      <c r="S600" s="18"/>
      <c r="T600" s="18"/>
      <c r="U600" s="18"/>
      <c r="V600" s="18"/>
      <c r="W600" s="18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70" t="s">
        <v>21</v>
      </c>
      <c r="B601" s="70" t="s">
        <v>35</v>
      </c>
      <c r="C601" s="70" t="s">
        <v>39</v>
      </c>
      <c r="D601" s="70" t="s">
        <v>42</v>
      </c>
      <c r="E601" s="70" t="s">
        <v>50</v>
      </c>
      <c r="F601" s="70" t="s">
        <v>25</v>
      </c>
      <c r="G601" s="70" t="s">
        <v>25</v>
      </c>
      <c r="H601" s="70" t="s">
        <v>25</v>
      </c>
      <c r="I601" s="78">
        <v>44470</v>
      </c>
      <c r="J601" s="79">
        <f ca="1">EFEITO!$J$601*EFEITO!$Y$501</f>
        <v>441788.66867389175</v>
      </c>
      <c r="K601" s="79">
        <f>EFEITO!$L$601*EFEITO!$Z$501</f>
        <v>0</v>
      </c>
      <c r="L601" s="79">
        <f>EFEITO!$N$601*EFEITO!$AA$501</f>
        <v>0</v>
      </c>
      <c r="M601" s="79">
        <f ca="1">$J$601-EFEITO!$K$601*EFEITO!$Y$601</f>
        <v>8835.7733734778594</v>
      </c>
      <c r="N601" s="79">
        <f>$K$601-EFEITO!$M$601*EFEITO!$Z$601</f>
        <v>0</v>
      </c>
      <c r="O601" s="79">
        <f>$L$601-EFEITO!$O$601*EFEITO!$AA$601</f>
        <v>0</v>
      </c>
      <c r="P601" s="18"/>
      <c r="Q601" s="18"/>
      <c r="R601" s="18"/>
      <c r="S601" s="18"/>
      <c r="T601" s="18"/>
      <c r="U601" s="18"/>
      <c r="V601" s="18"/>
      <c r="W601" s="18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70" t="s">
        <v>28</v>
      </c>
      <c r="B602" s="70" t="s">
        <v>35</v>
      </c>
      <c r="C602" s="70" t="s">
        <v>39</v>
      </c>
      <c r="D602" s="70" t="s">
        <v>42</v>
      </c>
      <c r="E602" s="70" t="s">
        <v>50</v>
      </c>
      <c r="F602" s="70" t="s">
        <v>25</v>
      </c>
      <c r="G602" s="70" t="s">
        <v>25</v>
      </c>
      <c r="H602" s="70" t="s">
        <v>25</v>
      </c>
      <c r="I602" s="78">
        <v>44470</v>
      </c>
      <c r="J602" s="79">
        <f ca="1">EFEITO!$J$602*EFEITO!$Y$501</f>
        <v>41234.015122661433</v>
      </c>
      <c r="K602" s="79">
        <f>EFEITO!$L$602*EFEITO!$Z$501</f>
        <v>0</v>
      </c>
      <c r="L602" s="79">
        <f>EFEITO!$N$602*EFEITO!$AA$501</f>
        <v>0</v>
      </c>
      <c r="M602" s="79">
        <f ca="1">$J$602-EFEITO!$K$602*EFEITO!$Y$602</f>
        <v>824.68030245322734</v>
      </c>
      <c r="N602" s="79">
        <f>$K$602-EFEITO!$M$602*EFEITO!$Z$602</f>
        <v>0</v>
      </c>
      <c r="O602" s="79">
        <f>$L$602-EFEITO!$O$602*EFEITO!$AA$602</f>
        <v>0</v>
      </c>
      <c r="P602" s="18"/>
      <c r="Q602" s="18"/>
      <c r="R602" s="18"/>
      <c r="S602" s="18"/>
      <c r="T602" s="18"/>
      <c r="U602" s="18"/>
      <c r="V602" s="18"/>
      <c r="W602" s="18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70" t="s">
        <v>21</v>
      </c>
      <c r="B603" s="70" t="s">
        <v>35</v>
      </c>
      <c r="C603" s="70" t="s">
        <v>39</v>
      </c>
      <c r="D603" s="70" t="s">
        <v>42</v>
      </c>
      <c r="E603" s="70" t="s">
        <v>50</v>
      </c>
      <c r="F603" s="70" t="s">
        <v>25</v>
      </c>
      <c r="G603" s="70" t="s">
        <v>25</v>
      </c>
      <c r="H603" s="70" t="s">
        <v>25</v>
      </c>
      <c r="I603" s="78">
        <v>44501</v>
      </c>
      <c r="J603" s="79">
        <f ca="1">EFEITO!$J$603*EFEITO!$Y$501</f>
        <v>678229.50575834035</v>
      </c>
      <c r="K603" s="79">
        <f>EFEITO!$L$603*EFEITO!$Z$501</f>
        <v>0</v>
      </c>
      <c r="L603" s="79">
        <f>EFEITO!$N$603*EFEITO!$AA$501</f>
        <v>0</v>
      </c>
      <c r="M603" s="79">
        <f ca="1">$J$603-EFEITO!$K$603*EFEITO!$Y$603</f>
        <v>13564.590115166851</v>
      </c>
      <c r="N603" s="79">
        <f>$K$603-EFEITO!$M$603*EFEITO!$Z$603</f>
        <v>0</v>
      </c>
      <c r="O603" s="79">
        <f>$L$603-EFEITO!$O$603*EFEITO!$AA$603</f>
        <v>0</v>
      </c>
      <c r="P603" s="18"/>
      <c r="Q603" s="18"/>
      <c r="R603" s="18"/>
      <c r="S603" s="18"/>
      <c r="T603" s="18"/>
      <c r="U603" s="18"/>
      <c r="V603" s="18"/>
      <c r="W603" s="18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70" t="s">
        <v>27</v>
      </c>
      <c r="B604" s="70" t="s">
        <v>35</v>
      </c>
      <c r="C604" s="70" t="s">
        <v>39</v>
      </c>
      <c r="D604" s="70" t="s">
        <v>42</v>
      </c>
      <c r="E604" s="70" t="s">
        <v>50</v>
      </c>
      <c r="F604" s="70" t="s">
        <v>25</v>
      </c>
      <c r="G604" s="70" t="s">
        <v>25</v>
      </c>
      <c r="H604" s="70" t="s">
        <v>25</v>
      </c>
      <c r="I604" s="78">
        <v>44501</v>
      </c>
      <c r="J604" s="79">
        <f ca="1">EFEITO!$J$604*EFEITO!$Y$501</f>
        <v>-7339.2892500453509</v>
      </c>
      <c r="K604" s="79">
        <f>EFEITO!$L$604*EFEITO!$Z$501</f>
        <v>0</v>
      </c>
      <c r="L604" s="79">
        <f>EFEITO!$N$604*EFEITO!$AA$501</f>
        <v>0</v>
      </c>
      <c r="M604" s="79">
        <f ca="1">$J$604-EFEITO!$K$604*EFEITO!$Y$604</f>
        <v>-146.7857850009068</v>
      </c>
      <c r="N604" s="79">
        <f>$K$604-EFEITO!$M$604*EFEITO!$Z$604</f>
        <v>0</v>
      </c>
      <c r="O604" s="79">
        <f>$L$604-EFEITO!$O$604*EFEITO!$AA$604</f>
        <v>0</v>
      </c>
      <c r="P604" s="18"/>
      <c r="Q604" s="18"/>
      <c r="R604" s="18"/>
      <c r="S604" s="18"/>
      <c r="T604" s="18"/>
      <c r="U604" s="18"/>
      <c r="V604" s="18"/>
      <c r="W604" s="18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70" t="s">
        <v>28</v>
      </c>
      <c r="B605" s="70" t="s">
        <v>35</v>
      </c>
      <c r="C605" s="70" t="s">
        <v>39</v>
      </c>
      <c r="D605" s="70" t="s">
        <v>42</v>
      </c>
      <c r="E605" s="70" t="s">
        <v>50</v>
      </c>
      <c r="F605" s="70" t="s">
        <v>25</v>
      </c>
      <c r="G605" s="70" t="s">
        <v>25</v>
      </c>
      <c r="H605" s="70" t="s">
        <v>25</v>
      </c>
      <c r="I605" s="78">
        <v>44501</v>
      </c>
      <c r="J605" s="79">
        <f ca="1">EFEITO!$J$605*EFEITO!$Y$501</f>
        <v>40899.026816642763</v>
      </c>
      <c r="K605" s="79">
        <f>EFEITO!$L$605*EFEITO!$Z$501</f>
        <v>0</v>
      </c>
      <c r="L605" s="79">
        <f>EFEITO!$N$605*EFEITO!$AA$501</f>
        <v>0</v>
      </c>
      <c r="M605" s="79">
        <f ca="1">$J$605-EFEITO!$K$605*EFEITO!$Y$605</f>
        <v>817.98053633285599</v>
      </c>
      <c r="N605" s="79">
        <f>$K$605-EFEITO!$M$605*EFEITO!$Z$605</f>
        <v>0</v>
      </c>
      <c r="O605" s="79">
        <f>$L$605-EFEITO!$O$605*EFEITO!$AA$605</f>
        <v>0</v>
      </c>
      <c r="P605" s="18"/>
      <c r="Q605" s="18"/>
      <c r="R605" s="18"/>
      <c r="S605" s="18"/>
      <c r="T605" s="18"/>
      <c r="U605" s="18"/>
      <c r="V605" s="18"/>
      <c r="W605" s="18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70" t="s">
        <v>21</v>
      </c>
      <c r="B606" s="70" t="s">
        <v>35</v>
      </c>
      <c r="C606" s="70" t="s">
        <v>39</v>
      </c>
      <c r="D606" s="70" t="s">
        <v>42</v>
      </c>
      <c r="E606" s="70" t="s">
        <v>50</v>
      </c>
      <c r="F606" s="70" t="s">
        <v>25</v>
      </c>
      <c r="G606" s="70" t="s">
        <v>25</v>
      </c>
      <c r="H606" s="70" t="s">
        <v>25</v>
      </c>
      <c r="I606" s="78">
        <v>44531</v>
      </c>
      <c r="J606" s="79">
        <f ca="1">EFEITO!$J$606*EFEITO!$Y$501</f>
        <v>1254409.3921104483</v>
      </c>
      <c r="K606" s="79">
        <f>EFEITO!$L$606*EFEITO!$Z$501</f>
        <v>0</v>
      </c>
      <c r="L606" s="79">
        <f>EFEITO!$N$606*EFEITO!$AA$501</f>
        <v>0</v>
      </c>
      <c r="M606" s="79">
        <f ca="1">$J$606-EFEITO!$K$606*EFEITO!$Y$606</f>
        <v>25088.187842208892</v>
      </c>
      <c r="N606" s="79">
        <f>$K$606-EFEITO!$M$606*EFEITO!$Z$606</f>
        <v>0</v>
      </c>
      <c r="O606" s="79">
        <f>$L$606-EFEITO!$O$606*EFEITO!$AA$606</f>
        <v>0</v>
      </c>
      <c r="P606" s="18"/>
      <c r="Q606" s="18"/>
      <c r="R606" s="18"/>
      <c r="S606" s="18"/>
      <c r="T606" s="18"/>
      <c r="U606" s="18"/>
      <c r="V606" s="18"/>
      <c r="W606" s="18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70" t="s">
        <v>21</v>
      </c>
      <c r="B607" s="70" t="s">
        <v>35</v>
      </c>
      <c r="C607" s="70" t="s">
        <v>39</v>
      </c>
      <c r="D607" s="70" t="s">
        <v>42</v>
      </c>
      <c r="E607" s="70" t="s">
        <v>50</v>
      </c>
      <c r="F607" s="70" t="s">
        <v>25</v>
      </c>
      <c r="G607" s="70" t="s">
        <v>25</v>
      </c>
      <c r="H607" s="70" t="s">
        <v>25</v>
      </c>
      <c r="I607" s="78">
        <v>44562</v>
      </c>
      <c r="J607" s="79">
        <f ca="1">EFEITO!$J$607*EFEITO!$Y$501</f>
        <v>1372721.1710997687</v>
      </c>
      <c r="K607" s="79">
        <f>EFEITO!$L$607*EFEITO!$Z$501</f>
        <v>0</v>
      </c>
      <c r="L607" s="79">
        <f>EFEITO!$N$607*EFEITO!$AA$501</f>
        <v>0</v>
      </c>
      <c r="M607" s="79">
        <f ca="1">$J$607-EFEITO!$K$607*EFEITO!$Y$607</f>
        <v>27454.423421995481</v>
      </c>
      <c r="N607" s="79">
        <f>$K$607-EFEITO!$M$607*EFEITO!$Z$607</f>
        <v>0</v>
      </c>
      <c r="O607" s="79">
        <f>$L$607-EFEITO!$O$607*EFEITO!$AA$607</f>
        <v>0</v>
      </c>
      <c r="P607" s="18"/>
      <c r="Q607" s="18"/>
      <c r="R607" s="18"/>
      <c r="S607" s="18"/>
      <c r="T607" s="18"/>
      <c r="U607" s="18"/>
      <c r="V607" s="18"/>
      <c r="W607" s="18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70" t="s">
        <v>28</v>
      </c>
      <c r="B608" s="70" t="s">
        <v>35</v>
      </c>
      <c r="C608" s="70" t="s">
        <v>39</v>
      </c>
      <c r="D608" s="70" t="s">
        <v>42</v>
      </c>
      <c r="E608" s="70" t="s">
        <v>50</v>
      </c>
      <c r="F608" s="70" t="s">
        <v>25</v>
      </c>
      <c r="G608" s="70" t="s">
        <v>25</v>
      </c>
      <c r="H608" s="70" t="s">
        <v>25</v>
      </c>
      <c r="I608" s="78">
        <v>44562</v>
      </c>
      <c r="J608" s="79">
        <f ca="1">EFEITO!$J$608*EFEITO!$Y$501</f>
        <v>42452.154417274767</v>
      </c>
      <c r="K608" s="79">
        <f>EFEITO!$L$608*EFEITO!$Z$501</f>
        <v>0</v>
      </c>
      <c r="L608" s="79">
        <f>EFEITO!$N$608*EFEITO!$AA$501</f>
        <v>0</v>
      </c>
      <c r="M608" s="79">
        <f ca="1">$J$608-EFEITO!$K$608*EFEITO!$Y$608</f>
        <v>849.0430883454901</v>
      </c>
      <c r="N608" s="79">
        <f>$K$608-EFEITO!$M$608*EFEITO!$Z$608</f>
        <v>0</v>
      </c>
      <c r="O608" s="79">
        <f>$L$608-EFEITO!$O$608*EFEITO!$AA$608</f>
        <v>0</v>
      </c>
      <c r="P608" s="18"/>
      <c r="Q608" s="18"/>
      <c r="R608" s="18"/>
      <c r="S608" s="18"/>
      <c r="T608" s="18"/>
      <c r="U608" s="18"/>
      <c r="V608" s="18"/>
      <c r="W608" s="18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70" t="s">
        <v>21</v>
      </c>
      <c r="B609" s="70" t="s">
        <v>35</v>
      </c>
      <c r="C609" s="70" t="s">
        <v>39</v>
      </c>
      <c r="D609" s="70" t="s">
        <v>42</v>
      </c>
      <c r="E609" s="70" t="s">
        <v>50</v>
      </c>
      <c r="F609" s="70" t="s">
        <v>25</v>
      </c>
      <c r="G609" s="70" t="s">
        <v>25</v>
      </c>
      <c r="H609" s="70" t="s">
        <v>25</v>
      </c>
      <c r="I609" s="78">
        <v>44593</v>
      </c>
      <c r="J609" s="79">
        <f ca="1">EFEITO!$J$609*EFEITO!$Y$501</f>
        <v>1354753.6165042219</v>
      </c>
      <c r="K609" s="79">
        <f>EFEITO!$L$609*EFEITO!$Z$501</f>
        <v>0</v>
      </c>
      <c r="L609" s="79">
        <f>EFEITO!$N$609*EFEITO!$AA$501</f>
        <v>0</v>
      </c>
      <c r="M609" s="79">
        <f ca="1">$J$609-EFEITO!$K$609*EFEITO!$Y$609</f>
        <v>27095.072330084397</v>
      </c>
      <c r="N609" s="79">
        <f>$K$609-EFEITO!$M$609*EFEITO!$Z$609</f>
        <v>0</v>
      </c>
      <c r="O609" s="79">
        <f>$L$609-EFEITO!$O$609*EFEITO!$AA$609</f>
        <v>0</v>
      </c>
      <c r="P609" s="18"/>
      <c r="Q609" s="18"/>
      <c r="R609" s="18"/>
      <c r="S609" s="18"/>
      <c r="T609" s="18"/>
      <c r="U609" s="18"/>
      <c r="V609" s="18"/>
      <c r="W609" s="18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70" t="s">
        <v>27</v>
      </c>
      <c r="B610" s="70" t="s">
        <v>35</v>
      </c>
      <c r="C610" s="70" t="s">
        <v>39</v>
      </c>
      <c r="D610" s="70" t="s">
        <v>42</v>
      </c>
      <c r="E610" s="70" t="s">
        <v>50</v>
      </c>
      <c r="F610" s="70" t="s">
        <v>25</v>
      </c>
      <c r="G610" s="70" t="s">
        <v>25</v>
      </c>
      <c r="H610" s="70" t="s">
        <v>25</v>
      </c>
      <c r="I610" s="78">
        <v>44593</v>
      </c>
      <c r="J610" s="79">
        <f ca="1">EFEITO!$J$610*EFEITO!$Y$501</f>
        <v>-13125.450899458698</v>
      </c>
      <c r="K610" s="79">
        <f>EFEITO!$L$610*EFEITO!$Z$501</f>
        <v>0</v>
      </c>
      <c r="L610" s="79">
        <f>EFEITO!$N$610*EFEITO!$AA$501</f>
        <v>0</v>
      </c>
      <c r="M610" s="79">
        <f ca="1">$J$610-EFEITO!$K$610*EFEITO!$Y$610</f>
        <v>-262.50901798917403</v>
      </c>
      <c r="N610" s="79">
        <f>$K$610-EFEITO!$M$610*EFEITO!$Z$610</f>
        <v>0</v>
      </c>
      <c r="O610" s="79">
        <f>$L$610-EFEITO!$O$610*EFEITO!$AA$610</f>
        <v>0</v>
      </c>
      <c r="P610" s="18"/>
      <c r="Q610" s="18"/>
      <c r="R610" s="18"/>
      <c r="S610" s="18"/>
      <c r="T610" s="18"/>
      <c r="U610" s="18"/>
      <c r="V610" s="18"/>
      <c r="W610" s="18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70" t="s">
        <v>28</v>
      </c>
      <c r="B611" s="70" t="s">
        <v>35</v>
      </c>
      <c r="C611" s="70" t="s">
        <v>39</v>
      </c>
      <c r="D611" s="70" t="s">
        <v>42</v>
      </c>
      <c r="E611" s="70" t="s">
        <v>50</v>
      </c>
      <c r="F611" s="70" t="s">
        <v>25</v>
      </c>
      <c r="G611" s="70" t="s">
        <v>25</v>
      </c>
      <c r="H611" s="70" t="s">
        <v>25</v>
      </c>
      <c r="I611" s="78">
        <v>44593</v>
      </c>
      <c r="J611" s="79">
        <f ca="1">EFEITO!$J$611*EFEITO!$Y$501</f>
        <v>48177.409101957448</v>
      </c>
      <c r="K611" s="79">
        <f>EFEITO!$L$611*EFEITO!$Z$501</f>
        <v>0</v>
      </c>
      <c r="L611" s="79">
        <f>EFEITO!$N$611*EFEITO!$AA$501</f>
        <v>0</v>
      </c>
      <c r="M611" s="79">
        <f ca="1">$J$611-EFEITO!$K$611*EFEITO!$Y$611</f>
        <v>963.54818203915056</v>
      </c>
      <c r="N611" s="79">
        <f>$K$611-EFEITO!$M$611*EFEITO!$Z$611</f>
        <v>0</v>
      </c>
      <c r="O611" s="79">
        <f>$L$611-EFEITO!$O$611*EFEITO!$AA$611</f>
        <v>0</v>
      </c>
      <c r="P611" s="18"/>
      <c r="Q611" s="18"/>
      <c r="R611" s="18"/>
      <c r="S611" s="18"/>
      <c r="T611" s="18"/>
      <c r="U611" s="18"/>
      <c r="V611" s="18"/>
      <c r="W611" s="18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70" t="s">
        <v>21</v>
      </c>
      <c r="B612" s="70" t="s">
        <v>35</v>
      </c>
      <c r="C612" s="70" t="s">
        <v>39</v>
      </c>
      <c r="D612" s="70" t="s">
        <v>42</v>
      </c>
      <c r="E612" s="70" t="s">
        <v>50</v>
      </c>
      <c r="F612" s="70" t="s">
        <v>25</v>
      </c>
      <c r="G612" s="70" t="s">
        <v>25</v>
      </c>
      <c r="H612" s="70" t="s">
        <v>25</v>
      </c>
      <c r="I612" s="78">
        <v>44621</v>
      </c>
      <c r="J612" s="79">
        <f ca="1">EFEITO!$J$612*EFEITO!$Y$501</f>
        <v>1292841.6868554992</v>
      </c>
      <c r="K612" s="79">
        <f>EFEITO!$L$612*EFEITO!$Z$501</f>
        <v>0</v>
      </c>
      <c r="L612" s="79">
        <f>EFEITO!$N$612*EFEITO!$AA$501</f>
        <v>0</v>
      </c>
      <c r="M612" s="79">
        <f ca="1">$J$612-EFEITO!$K$612*EFEITO!$Y$612</f>
        <v>25856.833737110021</v>
      </c>
      <c r="N612" s="79">
        <f>$K$612-EFEITO!$M$612*EFEITO!$Z$612</f>
        <v>0</v>
      </c>
      <c r="O612" s="79">
        <f>$L$612-EFEITO!$O$612*EFEITO!$AA$612</f>
        <v>0</v>
      </c>
      <c r="P612" s="18"/>
      <c r="Q612" s="18"/>
      <c r="R612" s="18"/>
      <c r="S612" s="18"/>
      <c r="T612" s="18"/>
      <c r="U612" s="18"/>
      <c r="V612" s="18"/>
      <c r="W612" s="18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70" t="s">
        <v>27</v>
      </c>
      <c r="B613" s="70" t="s">
        <v>35</v>
      </c>
      <c r="C613" s="70" t="s">
        <v>39</v>
      </c>
      <c r="D613" s="70" t="s">
        <v>42</v>
      </c>
      <c r="E613" s="70" t="s">
        <v>50</v>
      </c>
      <c r="F613" s="70" t="s">
        <v>25</v>
      </c>
      <c r="G613" s="70" t="s">
        <v>25</v>
      </c>
      <c r="H613" s="70" t="s">
        <v>25</v>
      </c>
      <c r="I613" s="78">
        <v>44621</v>
      </c>
      <c r="J613" s="79">
        <f ca="1">EFEITO!$J$613*EFEITO!$Y$501</f>
        <v>-33072.481848752082</v>
      </c>
      <c r="K613" s="79">
        <f>EFEITO!$L$613*EFEITO!$Z$501</f>
        <v>0</v>
      </c>
      <c r="L613" s="79">
        <f>EFEITO!$N$613*EFEITO!$AA$501</f>
        <v>0</v>
      </c>
      <c r="M613" s="79">
        <f ca="1">$J$613-EFEITO!$K$613*EFEITO!$Y$613</f>
        <v>-661.449636975045</v>
      </c>
      <c r="N613" s="79">
        <f>$K$613-EFEITO!$M$613*EFEITO!$Z$613</f>
        <v>0</v>
      </c>
      <c r="O613" s="79">
        <f>$L$613-EFEITO!$O$613*EFEITO!$AA$613</f>
        <v>0</v>
      </c>
      <c r="P613" s="18"/>
      <c r="Q613" s="18"/>
      <c r="R613" s="18"/>
      <c r="S613" s="18"/>
      <c r="T613" s="18"/>
      <c r="U613" s="18"/>
      <c r="V613" s="18"/>
      <c r="W613" s="18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70" t="s">
        <v>28</v>
      </c>
      <c r="B614" s="70" t="s">
        <v>35</v>
      </c>
      <c r="C614" s="70" t="s">
        <v>39</v>
      </c>
      <c r="D614" s="70" t="s">
        <v>42</v>
      </c>
      <c r="E614" s="70" t="s">
        <v>50</v>
      </c>
      <c r="F614" s="70" t="s">
        <v>25</v>
      </c>
      <c r="G614" s="70" t="s">
        <v>25</v>
      </c>
      <c r="H614" s="70" t="s">
        <v>25</v>
      </c>
      <c r="I614" s="78">
        <v>44621</v>
      </c>
      <c r="J614" s="79">
        <f ca="1">EFEITO!$J$614*EFEITO!$Y$501</f>
        <v>54907.62870469613</v>
      </c>
      <c r="K614" s="79">
        <f>EFEITO!$L$614*EFEITO!$Z$501</f>
        <v>0</v>
      </c>
      <c r="L614" s="79">
        <f>EFEITO!$N$614*EFEITO!$AA$501</f>
        <v>0</v>
      </c>
      <c r="M614" s="79">
        <f ca="1">$J$614-EFEITO!$K$614*EFEITO!$Y$614</f>
        <v>1098.1525740939178</v>
      </c>
      <c r="N614" s="79">
        <f>$K$614-EFEITO!$M$614*EFEITO!$Z$614</f>
        <v>0</v>
      </c>
      <c r="O614" s="79">
        <f>$L$614-EFEITO!$O$614*EFEITO!$AA$614</f>
        <v>0</v>
      </c>
      <c r="P614" s="18"/>
      <c r="Q614" s="18"/>
      <c r="R614" s="18"/>
      <c r="S614" s="18"/>
      <c r="T614" s="18"/>
      <c r="U614" s="18"/>
      <c r="V614" s="18"/>
      <c r="W614" s="18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70" t="s">
        <v>21</v>
      </c>
      <c r="B615" s="70" t="s">
        <v>35</v>
      </c>
      <c r="C615" s="70" t="s">
        <v>39</v>
      </c>
      <c r="D615" s="70" t="s">
        <v>42</v>
      </c>
      <c r="E615" s="70" t="s">
        <v>50</v>
      </c>
      <c r="F615" s="70" t="s">
        <v>25</v>
      </c>
      <c r="G615" s="70" t="s">
        <v>25</v>
      </c>
      <c r="H615" s="70" t="s">
        <v>25</v>
      </c>
      <c r="I615" s="78">
        <v>44652</v>
      </c>
      <c r="J615" s="79">
        <f ca="1">EFEITO!$J$615*EFEITO!$Y$501</f>
        <v>867924.24741200206</v>
      </c>
      <c r="K615" s="79">
        <f>EFEITO!$L$615*EFEITO!$Z$501</f>
        <v>0</v>
      </c>
      <c r="L615" s="79">
        <f>EFEITO!$N$615*EFEITO!$AA$501</f>
        <v>0</v>
      </c>
      <c r="M615" s="79">
        <f ca="1">$J$615-EFEITO!$K$615*EFEITO!$Y$615</f>
        <v>17358.484948239988</v>
      </c>
      <c r="N615" s="79">
        <f>$K$615-EFEITO!$M$615*EFEITO!$Z$615</f>
        <v>0</v>
      </c>
      <c r="O615" s="79">
        <f>$L$615-EFEITO!$O$615*EFEITO!$AA$615</f>
        <v>0</v>
      </c>
      <c r="P615" s="18"/>
      <c r="Q615" s="18"/>
      <c r="R615" s="18"/>
      <c r="S615" s="18"/>
      <c r="T615" s="18"/>
      <c r="U615" s="18"/>
      <c r="V615" s="18"/>
      <c r="W615" s="18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70" t="s">
        <v>27</v>
      </c>
      <c r="B616" s="70" t="s">
        <v>35</v>
      </c>
      <c r="C616" s="70" t="s">
        <v>39</v>
      </c>
      <c r="D616" s="70" t="s">
        <v>42</v>
      </c>
      <c r="E616" s="70" t="s">
        <v>50</v>
      </c>
      <c r="F616" s="70" t="s">
        <v>25</v>
      </c>
      <c r="G616" s="70" t="s">
        <v>25</v>
      </c>
      <c r="H616" s="70" t="s">
        <v>25</v>
      </c>
      <c r="I616" s="78">
        <v>44652</v>
      </c>
      <c r="J616" s="79">
        <f ca="1">EFEITO!$J$616*EFEITO!$Y$501</f>
        <v>-55394.884422541465</v>
      </c>
      <c r="K616" s="79">
        <f>EFEITO!$L$616*EFEITO!$Z$501</f>
        <v>0</v>
      </c>
      <c r="L616" s="79">
        <f>EFEITO!$N$616*EFEITO!$AA$501</f>
        <v>0</v>
      </c>
      <c r="M616" s="79">
        <f ca="1">$J$616-EFEITO!$K$616*EFEITO!$Y$616</f>
        <v>-1107.8976884508302</v>
      </c>
      <c r="N616" s="79">
        <f>$K$616-EFEITO!$M$616*EFEITO!$Z$616</f>
        <v>0</v>
      </c>
      <c r="O616" s="79">
        <f>$L$616-EFEITO!$O$616*EFEITO!$AA$616</f>
        <v>0</v>
      </c>
      <c r="P616" s="18"/>
      <c r="Q616" s="18"/>
      <c r="R616" s="18"/>
      <c r="S616" s="18"/>
      <c r="T616" s="18"/>
      <c r="U616" s="18"/>
      <c r="V616" s="18"/>
      <c r="W616" s="18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70" t="s">
        <v>28</v>
      </c>
      <c r="B617" s="70" t="s">
        <v>35</v>
      </c>
      <c r="C617" s="70" t="s">
        <v>39</v>
      </c>
      <c r="D617" s="70" t="s">
        <v>42</v>
      </c>
      <c r="E617" s="70" t="s">
        <v>50</v>
      </c>
      <c r="F617" s="70" t="s">
        <v>25</v>
      </c>
      <c r="G617" s="70" t="s">
        <v>25</v>
      </c>
      <c r="H617" s="70" t="s">
        <v>25</v>
      </c>
      <c r="I617" s="78">
        <v>44652</v>
      </c>
      <c r="J617" s="79">
        <f ca="1">EFEITO!$J$617*EFEITO!$Y$501</f>
        <v>52105.908327085461</v>
      </c>
      <c r="K617" s="79">
        <f>EFEITO!$L$617*EFEITO!$Z$501</f>
        <v>0</v>
      </c>
      <c r="L617" s="79">
        <f>EFEITO!$N$617*EFEITO!$AA$501</f>
        <v>0</v>
      </c>
      <c r="M617" s="79">
        <f ca="1">$J$617-EFEITO!$K$617*EFEITO!$Y$617</f>
        <v>1042.1181665417098</v>
      </c>
      <c r="N617" s="79">
        <f>$K$617-EFEITO!$M$617*EFEITO!$Z$617</f>
        <v>0</v>
      </c>
      <c r="O617" s="79">
        <f>$L$617-EFEITO!$O$617*EFEITO!$AA$617</f>
        <v>0</v>
      </c>
      <c r="P617" s="18"/>
      <c r="Q617" s="18"/>
      <c r="R617" s="18"/>
      <c r="S617" s="18"/>
      <c r="T617" s="18"/>
      <c r="U617" s="18"/>
      <c r="V617" s="18"/>
      <c r="W617" s="18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70" t="s">
        <v>21</v>
      </c>
      <c r="B618" s="70" t="s">
        <v>35</v>
      </c>
      <c r="C618" s="70" t="s">
        <v>39</v>
      </c>
      <c r="D618" s="70" t="s">
        <v>42</v>
      </c>
      <c r="E618" s="70" t="s">
        <v>50</v>
      </c>
      <c r="F618" s="70" t="s">
        <v>25</v>
      </c>
      <c r="G618" s="70" t="s">
        <v>25</v>
      </c>
      <c r="H618" s="70" t="s">
        <v>25</v>
      </c>
      <c r="I618" s="78">
        <v>44682</v>
      </c>
      <c r="J618" s="79">
        <f ca="1">EFEITO!$J$618*EFEITO!$Y$501</f>
        <v>350215.04720133421</v>
      </c>
      <c r="K618" s="79">
        <f>EFEITO!$L$618*EFEITO!$Z$501</f>
        <v>0</v>
      </c>
      <c r="L618" s="79">
        <f>EFEITO!$N$618*EFEITO!$AA$501</f>
        <v>0</v>
      </c>
      <c r="M618" s="79">
        <f ca="1">$J$618-EFEITO!$K$618*EFEITO!$Y$618</f>
        <v>7004.3009440267342</v>
      </c>
      <c r="N618" s="79">
        <f>$K$618-EFEITO!$M$618*EFEITO!$Z$618</f>
        <v>0</v>
      </c>
      <c r="O618" s="79">
        <f>$L$618-EFEITO!$O$618*EFEITO!$AA$618</f>
        <v>0</v>
      </c>
      <c r="P618" s="18"/>
      <c r="Q618" s="18"/>
      <c r="R618" s="18"/>
      <c r="S618" s="18"/>
      <c r="T618" s="18"/>
      <c r="U618" s="18"/>
      <c r="V618" s="18"/>
      <c r="W618" s="18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70" t="s">
        <v>27</v>
      </c>
      <c r="B619" s="70" t="s">
        <v>35</v>
      </c>
      <c r="C619" s="70" t="s">
        <v>39</v>
      </c>
      <c r="D619" s="70" t="s">
        <v>42</v>
      </c>
      <c r="E619" s="70" t="s">
        <v>50</v>
      </c>
      <c r="F619" s="70" t="s">
        <v>25</v>
      </c>
      <c r="G619" s="70" t="s">
        <v>25</v>
      </c>
      <c r="H619" s="70" t="s">
        <v>25</v>
      </c>
      <c r="I619" s="78">
        <v>44682</v>
      </c>
      <c r="J619" s="79">
        <f ca="1">EFEITO!$J$619*EFEITO!$Y$501</f>
        <v>-24454.146339362727</v>
      </c>
      <c r="K619" s="79">
        <f>EFEITO!$L$619*EFEITO!$Z$501</f>
        <v>0</v>
      </c>
      <c r="L619" s="79">
        <f>EFEITO!$N$619*EFEITO!$AA$501</f>
        <v>0</v>
      </c>
      <c r="M619" s="79">
        <f ca="1">$J$619-EFEITO!$K$619*EFEITO!$Y$619</f>
        <v>-489.08292678725775</v>
      </c>
      <c r="N619" s="79">
        <f>$K$619-EFEITO!$M$619*EFEITO!$Z$619</f>
        <v>0</v>
      </c>
      <c r="O619" s="79">
        <f>$L$619-EFEITO!$O$619*EFEITO!$AA$619</f>
        <v>0</v>
      </c>
      <c r="P619" s="18"/>
      <c r="Q619" s="18"/>
      <c r="R619" s="18"/>
      <c r="S619" s="18"/>
      <c r="T619" s="18"/>
      <c r="U619" s="18"/>
      <c r="V619" s="18"/>
      <c r="W619" s="18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70" t="s">
        <v>28</v>
      </c>
      <c r="B620" s="70" t="s">
        <v>35</v>
      </c>
      <c r="C620" s="70" t="s">
        <v>39</v>
      </c>
      <c r="D620" s="70" t="s">
        <v>42</v>
      </c>
      <c r="E620" s="70" t="s">
        <v>50</v>
      </c>
      <c r="F620" s="70" t="s">
        <v>25</v>
      </c>
      <c r="G620" s="70" t="s">
        <v>25</v>
      </c>
      <c r="H620" s="70" t="s">
        <v>25</v>
      </c>
      <c r="I620" s="78">
        <v>44682</v>
      </c>
      <c r="J620" s="79">
        <f ca="1">EFEITO!$J$620*EFEITO!$Y$501</f>
        <v>44157.549429733437</v>
      </c>
      <c r="K620" s="79">
        <f>EFEITO!$L$620*EFEITO!$Z$501</f>
        <v>0</v>
      </c>
      <c r="L620" s="79">
        <f>EFEITO!$N$620*EFEITO!$AA$501</f>
        <v>0</v>
      </c>
      <c r="M620" s="79">
        <f ca="1">$J$620-EFEITO!$K$620*EFEITO!$Y$620</f>
        <v>883.15098859466525</v>
      </c>
      <c r="N620" s="79">
        <f>$K$620-EFEITO!$M$620*EFEITO!$Z$620</f>
        <v>0</v>
      </c>
      <c r="O620" s="79">
        <f>$L$620-EFEITO!$O$620*EFEITO!$AA$620</f>
        <v>0</v>
      </c>
      <c r="P620" s="18"/>
      <c r="Q620" s="18"/>
      <c r="R620" s="18"/>
      <c r="S620" s="18"/>
      <c r="T620" s="18"/>
      <c r="U620" s="18"/>
      <c r="V620" s="18"/>
      <c r="W620" s="18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70" t="s">
        <v>21</v>
      </c>
      <c r="B621" s="70" t="s">
        <v>35</v>
      </c>
      <c r="C621" s="70" t="s">
        <v>39</v>
      </c>
      <c r="D621" s="70" t="s">
        <v>42</v>
      </c>
      <c r="E621" s="70" t="s">
        <v>50</v>
      </c>
      <c r="F621" s="70" t="s">
        <v>25</v>
      </c>
      <c r="G621" s="70" t="s">
        <v>25</v>
      </c>
      <c r="H621" s="70" t="s">
        <v>25</v>
      </c>
      <c r="I621" s="78">
        <v>44713</v>
      </c>
      <c r="J621" s="79">
        <f ca="1">EFEITO!$J$621*EFEITO!$Y$501</f>
        <v>186405.76555820578</v>
      </c>
      <c r="K621" s="79">
        <f>EFEITO!$L$621*EFEITO!$Z$501</f>
        <v>0</v>
      </c>
      <c r="L621" s="79">
        <f>EFEITO!$N$621*EFEITO!$AA$501</f>
        <v>0</v>
      </c>
      <c r="M621" s="79">
        <f ca="1">$J$621-EFEITO!$K$621*EFEITO!$Y$621</f>
        <v>3728.1153111641179</v>
      </c>
      <c r="N621" s="79">
        <f>$K$621-EFEITO!$M$621*EFEITO!$Z$621</f>
        <v>0</v>
      </c>
      <c r="O621" s="79">
        <f>$L$621-EFEITO!$O$621*EFEITO!$AA$621</f>
        <v>0</v>
      </c>
      <c r="P621" s="18"/>
      <c r="Q621" s="18"/>
      <c r="R621" s="18"/>
      <c r="S621" s="18"/>
      <c r="T621" s="18"/>
      <c r="U621" s="18"/>
      <c r="V621" s="18"/>
      <c r="W621" s="18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70" t="s">
        <v>27</v>
      </c>
      <c r="B622" s="70" t="s">
        <v>35</v>
      </c>
      <c r="C622" s="70" t="s">
        <v>39</v>
      </c>
      <c r="D622" s="70" t="s">
        <v>42</v>
      </c>
      <c r="E622" s="70" t="s">
        <v>50</v>
      </c>
      <c r="F622" s="70" t="s">
        <v>25</v>
      </c>
      <c r="G622" s="70" t="s">
        <v>25</v>
      </c>
      <c r="H622" s="70" t="s">
        <v>25</v>
      </c>
      <c r="I622" s="78">
        <v>44713</v>
      </c>
      <c r="J622" s="79">
        <f ca="1">EFEITO!$J$622*EFEITO!$Y$501</f>
        <v>-2344.9181421306725</v>
      </c>
      <c r="K622" s="79">
        <f>EFEITO!$L$622*EFEITO!$Z$501</f>
        <v>0</v>
      </c>
      <c r="L622" s="79">
        <f>EFEITO!$N$622*EFEITO!$AA$501</f>
        <v>0</v>
      </c>
      <c r="M622" s="79">
        <f ca="1">$J$622-EFEITO!$K$622*EFEITO!$Y$622</f>
        <v>-46.898362842613551</v>
      </c>
      <c r="N622" s="79">
        <f>$K$622-EFEITO!$M$622*EFEITO!$Z$622</f>
        <v>0</v>
      </c>
      <c r="O622" s="79">
        <f>$L$622-EFEITO!$O$622*EFEITO!$AA$622</f>
        <v>0</v>
      </c>
      <c r="P622" s="18"/>
      <c r="Q622" s="18"/>
      <c r="R622" s="18"/>
      <c r="S622" s="18"/>
      <c r="T622" s="18"/>
      <c r="U622" s="18"/>
      <c r="V622" s="18"/>
      <c r="W622" s="18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70" t="s">
        <v>28</v>
      </c>
      <c r="B623" s="70" t="s">
        <v>35</v>
      </c>
      <c r="C623" s="70" t="s">
        <v>39</v>
      </c>
      <c r="D623" s="70" t="s">
        <v>42</v>
      </c>
      <c r="E623" s="70" t="s">
        <v>50</v>
      </c>
      <c r="F623" s="70" t="s">
        <v>25</v>
      </c>
      <c r="G623" s="70" t="s">
        <v>25</v>
      </c>
      <c r="H623" s="70" t="s">
        <v>25</v>
      </c>
      <c r="I623" s="78">
        <v>44713</v>
      </c>
      <c r="J623" s="79">
        <f ca="1">EFEITO!$J$623*EFEITO!$Y$501</f>
        <v>38523.655192146762</v>
      </c>
      <c r="K623" s="79">
        <f>EFEITO!$L$623*EFEITO!$Z$501</f>
        <v>0</v>
      </c>
      <c r="L623" s="79">
        <f>EFEITO!$N$623*EFEITO!$AA$501</f>
        <v>0</v>
      </c>
      <c r="M623" s="79">
        <f ca="1">$J$623-EFEITO!$K$623*EFEITO!$Y$623</f>
        <v>770.47310384293814</v>
      </c>
      <c r="N623" s="79">
        <f>$K$623-EFEITO!$M$623*EFEITO!$Z$623</f>
        <v>0</v>
      </c>
      <c r="O623" s="79">
        <f>$L$623-EFEITO!$O$623*EFEITO!$AA$623</f>
        <v>0</v>
      </c>
      <c r="P623" s="18"/>
      <c r="Q623" s="18"/>
      <c r="R623" s="18"/>
      <c r="S623" s="18"/>
      <c r="T623" s="18"/>
      <c r="U623" s="18"/>
      <c r="V623" s="18"/>
      <c r="W623" s="18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70" t="s">
        <v>21</v>
      </c>
      <c r="B624" s="70" t="s">
        <v>35</v>
      </c>
      <c r="C624" s="70" t="s">
        <v>39</v>
      </c>
      <c r="D624" s="70" t="s">
        <v>42</v>
      </c>
      <c r="E624" s="70" t="s">
        <v>25</v>
      </c>
      <c r="F624" s="70" t="s">
        <v>25</v>
      </c>
      <c r="G624" s="70" t="s">
        <v>25</v>
      </c>
      <c r="H624" s="70" t="s">
        <v>38</v>
      </c>
      <c r="I624" s="78">
        <v>44378</v>
      </c>
      <c r="J624" s="79">
        <f>EFEITO!$J$624*EFEITO!$Y$486</f>
        <v>0</v>
      </c>
      <c r="K624" s="79">
        <f ca="1">EFEITO!$L$624*EFEITO!$Z$486</f>
        <v>137033.54838850789</v>
      </c>
      <c r="L624" s="79">
        <f>EFEITO!$N$624*EFEITO!$AA$486</f>
        <v>293580.19746157975</v>
      </c>
      <c r="M624" s="79">
        <f>$J$624-EFEITO!$K$624*EFEITO!$Y$624</f>
        <v>0</v>
      </c>
      <c r="N624" s="79">
        <f ca="1">$K$624-EFEITO!$M$624*EFEITO!$Z$624</f>
        <v>2740.6709677701583</v>
      </c>
      <c r="O624" s="79">
        <f>$L$624-EFEITO!$O$624*EFEITO!$AA$624</f>
        <v>5871.6039492316195</v>
      </c>
      <c r="P624" s="18"/>
      <c r="Q624" s="18"/>
      <c r="R624" s="18"/>
      <c r="S624" s="18"/>
      <c r="T624" s="18"/>
      <c r="U624" s="18"/>
      <c r="V624" s="18"/>
      <c r="W624" s="18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70" t="s">
        <v>28</v>
      </c>
      <c r="B625" s="70" t="s">
        <v>35</v>
      </c>
      <c r="C625" s="70" t="s">
        <v>39</v>
      </c>
      <c r="D625" s="70" t="s">
        <v>42</v>
      </c>
      <c r="E625" s="70" t="s">
        <v>25</v>
      </c>
      <c r="F625" s="70" t="s">
        <v>25</v>
      </c>
      <c r="G625" s="70" t="s">
        <v>25</v>
      </c>
      <c r="H625" s="70" t="s">
        <v>38</v>
      </c>
      <c r="I625" s="78">
        <v>44378</v>
      </c>
      <c r="J625" s="79">
        <f>EFEITO!$J$625*EFEITO!$Y$486</f>
        <v>0</v>
      </c>
      <c r="K625" s="79">
        <f ca="1">EFEITO!$L$625*EFEITO!$Z$486</f>
        <v>4267.8936563326906</v>
      </c>
      <c r="L625" s="79">
        <f>EFEITO!$N$625*EFEITO!$AA$486</f>
        <v>9143.5205254909179</v>
      </c>
      <c r="M625" s="79">
        <f>$J$625-EFEITO!$K$625*EFEITO!$Y$625</f>
        <v>0</v>
      </c>
      <c r="N625" s="79">
        <f ca="1">$K$625-EFEITO!$M$625*EFEITO!$Z$625</f>
        <v>85.357873126653431</v>
      </c>
      <c r="O625" s="79">
        <f>$L$625-EFEITO!$O$625*EFEITO!$AA$625</f>
        <v>182.87041050981861</v>
      </c>
      <c r="P625" s="18"/>
      <c r="Q625" s="18"/>
      <c r="R625" s="18"/>
      <c r="S625" s="18"/>
      <c r="T625" s="18"/>
      <c r="U625" s="18"/>
      <c r="V625" s="18"/>
      <c r="W625" s="18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70" t="s">
        <v>21</v>
      </c>
      <c r="B626" s="70" t="s">
        <v>35</v>
      </c>
      <c r="C626" s="70" t="s">
        <v>39</v>
      </c>
      <c r="D626" s="70" t="s">
        <v>42</v>
      </c>
      <c r="E626" s="70" t="s">
        <v>25</v>
      </c>
      <c r="F626" s="70" t="s">
        <v>25</v>
      </c>
      <c r="G626" s="70" t="s">
        <v>25</v>
      </c>
      <c r="H626" s="70" t="s">
        <v>38</v>
      </c>
      <c r="I626" s="78">
        <v>44409</v>
      </c>
      <c r="J626" s="79">
        <f>EFEITO!$J$626*EFEITO!$Y$486</f>
        <v>0</v>
      </c>
      <c r="K626" s="79">
        <f ca="1">EFEITO!$L$626*EFEITO!$Z$486</f>
        <v>141871.91910617106</v>
      </c>
      <c r="L626" s="79">
        <f>EFEITO!$N$626*EFEITO!$AA$486</f>
        <v>303945.90605913219</v>
      </c>
      <c r="M626" s="79">
        <f>$J$626-EFEITO!$K$626*EFEITO!$Y$626</f>
        <v>0</v>
      </c>
      <c r="N626" s="79">
        <f ca="1">$K$626-EFEITO!$M$626*EFEITO!$Z$626</f>
        <v>2837.4383821234223</v>
      </c>
      <c r="O626" s="79">
        <f>$L$626-EFEITO!$O$626*EFEITO!$AA$626</f>
        <v>6078.9181211826508</v>
      </c>
      <c r="P626" s="18"/>
      <c r="Q626" s="18"/>
      <c r="R626" s="18"/>
      <c r="S626" s="18"/>
      <c r="T626" s="18"/>
      <c r="U626" s="18"/>
      <c r="V626" s="18"/>
      <c r="W626" s="18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70" t="s">
        <v>28</v>
      </c>
      <c r="B627" s="70" t="s">
        <v>35</v>
      </c>
      <c r="C627" s="70" t="s">
        <v>39</v>
      </c>
      <c r="D627" s="70" t="s">
        <v>42</v>
      </c>
      <c r="E627" s="70" t="s">
        <v>25</v>
      </c>
      <c r="F627" s="70" t="s">
        <v>25</v>
      </c>
      <c r="G627" s="70" t="s">
        <v>25</v>
      </c>
      <c r="H627" s="70" t="s">
        <v>38</v>
      </c>
      <c r="I627" s="78">
        <v>44409</v>
      </c>
      <c r="J627" s="79">
        <f>EFEITO!$J$627*EFEITO!$Y$486</f>
        <v>0</v>
      </c>
      <c r="K627" s="79">
        <f ca="1">EFEITO!$L$627*EFEITO!$Z$486</f>
        <v>3031.7521011909662</v>
      </c>
      <c r="L627" s="79">
        <f>EFEITO!$N$627*EFEITO!$AA$486</f>
        <v>6495.2151570851884</v>
      </c>
      <c r="M627" s="79">
        <f>$J$627-EFEITO!$K$627*EFEITO!$Y$627</f>
        <v>0</v>
      </c>
      <c r="N627" s="79">
        <f ca="1">$K$627-EFEITO!$M$627*EFEITO!$Z$627</f>
        <v>60.635042023819551</v>
      </c>
      <c r="O627" s="79">
        <f>$L$627-EFEITO!$O$627*EFEITO!$AA$627</f>
        <v>129.90430314170408</v>
      </c>
      <c r="P627" s="18"/>
      <c r="Q627" s="18"/>
      <c r="R627" s="18"/>
      <c r="S627" s="18"/>
      <c r="T627" s="18"/>
      <c r="U627" s="18"/>
      <c r="V627" s="18"/>
      <c r="W627" s="18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70" t="s">
        <v>28</v>
      </c>
      <c r="B628" s="70" t="s">
        <v>35</v>
      </c>
      <c r="C628" s="70" t="s">
        <v>39</v>
      </c>
      <c r="D628" s="70" t="s">
        <v>42</v>
      </c>
      <c r="E628" s="70" t="s">
        <v>25</v>
      </c>
      <c r="F628" s="70" t="s">
        <v>25</v>
      </c>
      <c r="G628" s="70" t="s">
        <v>25</v>
      </c>
      <c r="H628" s="70" t="s">
        <v>38</v>
      </c>
      <c r="I628" s="78">
        <v>44409</v>
      </c>
      <c r="J628" s="79">
        <f>EFEITO!$J$628*EFEITO!$Y$486</f>
        <v>0</v>
      </c>
      <c r="K628" s="79">
        <f ca="1">EFEITO!$L$628*EFEITO!$Z$486</f>
        <v>-1312.458009754605</v>
      </c>
      <c r="L628" s="79">
        <f>EFEITO!$N$628*EFEITO!$AA$486</f>
        <v>-2811.8054753379097</v>
      </c>
      <c r="M628" s="79">
        <f>$J$628-EFEITO!$K$628*EFEITO!$Y$628</f>
        <v>0</v>
      </c>
      <c r="N628" s="79">
        <f ca="1">$K$628-EFEITO!$M$628*EFEITO!$Z$628</f>
        <v>-26.249160195091918</v>
      </c>
      <c r="O628" s="79">
        <f>$L$628-EFEITO!$O$628*EFEITO!$AA$628</f>
        <v>-56.236109506758112</v>
      </c>
      <c r="P628" s="18"/>
      <c r="Q628" s="18"/>
      <c r="R628" s="18"/>
      <c r="S628" s="18"/>
      <c r="T628" s="18"/>
      <c r="U628" s="18"/>
      <c r="V628" s="18"/>
      <c r="W628" s="18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70" t="s">
        <v>21</v>
      </c>
      <c r="B629" s="70" t="s">
        <v>35</v>
      </c>
      <c r="C629" s="70" t="s">
        <v>39</v>
      </c>
      <c r="D629" s="70" t="s">
        <v>42</v>
      </c>
      <c r="E629" s="70" t="s">
        <v>25</v>
      </c>
      <c r="F629" s="70" t="s">
        <v>25</v>
      </c>
      <c r="G629" s="70" t="s">
        <v>25</v>
      </c>
      <c r="H629" s="70" t="s">
        <v>38</v>
      </c>
      <c r="I629" s="78">
        <v>44440</v>
      </c>
      <c r="J629" s="79">
        <f>EFEITO!$J$629*EFEITO!$Y$486</f>
        <v>0</v>
      </c>
      <c r="K629" s="79">
        <f ca="1">EFEITO!$L$629*EFEITO!$Z$486</f>
        <v>127944.58241089097</v>
      </c>
      <c r="L629" s="79">
        <f>EFEITO!$N$629*EFEITO!$AA$486</f>
        <v>274108.02836277435</v>
      </c>
      <c r="M629" s="79">
        <f>$J$629-EFEITO!$K$629*EFEITO!$Y$629</f>
        <v>0</v>
      </c>
      <c r="N629" s="79">
        <f ca="1">$K$629-EFEITO!$M$629*EFEITO!$Z$629</f>
        <v>2558.8916482178174</v>
      </c>
      <c r="O629" s="79">
        <f>$L$629-EFEITO!$O$629*EFEITO!$AA$629</f>
        <v>5482.1605672555161</v>
      </c>
      <c r="P629" s="18"/>
      <c r="Q629" s="18"/>
      <c r="R629" s="18"/>
      <c r="S629" s="18"/>
      <c r="T629" s="18"/>
      <c r="U629" s="18"/>
      <c r="V629" s="18"/>
      <c r="W629" s="18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70" t="s">
        <v>28</v>
      </c>
      <c r="B630" s="70" t="s">
        <v>35</v>
      </c>
      <c r="C630" s="70" t="s">
        <v>39</v>
      </c>
      <c r="D630" s="70" t="s">
        <v>42</v>
      </c>
      <c r="E630" s="70" t="s">
        <v>25</v>
      </c>
      <c r="F630" s="70" t="s">
        <v>25</v>
      </c>
      <c r="G630" s="70" t="s">
        <v>25</v>
      </c>
      <c r="H630" s="70" t="s">
        <v>38</v>
      </c>
      <c r="I630" s="78">
        <v>44440</v>
      </c>
      <c r="J630" s="79">
        <f>EFEITO!$J$630*EFEITO!$Y$486</f>
        <v>0</v>
      </c>
      <c r="K630" s="79">
        <f ca="1">EFEITO!$L$630*EFEITO!$Z$486</f>
        <v>907.19450956184187</v>
      </c>
      <c r="L630" s="79">
        <f>EFEITO!$N$630*EFEITO!$AA$486</f>
        <v>1943.5703620410827</v>
      </c>
      <c r="M630" s="79">
        <f>$J$630-EFEITO!$K$630*EFEITO!$Y$630</f>
        <v>0</v>
      </c>
      <c r="N630" s="79">
        <f ca="1">$K$630-EFEITO!$M$630*EFEITO!$Z$630</f>
        <v>18.143890191236892</v>
      </c>
      <c r="O630" s="79">
        <f>$L$630-EFEITO!$O$630*EFEITO!$AA$630</f>
        <v>38.871407240821782</v>
      </c>
      <c r="P630" s="18"/>
      <c r="Q630" s="18"/>
      <c r="R630" s="18"/>
      <c r="S630" s="18"/>
      <c r="T630" s="18"/>
      <c r="U630" s="18"/>
      <c r="V630" s="18"/>
      <c r="W630" s="18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70" t="s">
        <v>21</v>
      </c>
      <c r="B631" s="70" t="s">
        <v>35</v>
      </c>
      <c r="C631" s="70" t="s">
        <v>39</v>
      </c>
      <c r="D631" s="70" t="s">
        <v>42</v>
      </c>
      <c r="E631" s="70" t="s">
        <v>25</v>
      </c>
      <c r="F631" s="70" t="s">
        <v>25</v>
      </c>
      <c r="G631" s="70" t="s">
        <v>25</v>
      </c>
      <c r="H631" s="70" t="s">
        <v>38</v>
      </c>
      <c r="I631" s="78">
        <v>44470</v>
      </c>
      <c r="J631" s="79">
        <f>EFEITO!$J$631*EFEITO!$Y$486</f>
        <v>0</v>
      </c>
      <c r="K631" s="79">
        <f ca="1">EFEITO!$L$631*EFEITO!$Z$486</f>
        <v>116356.22941850382</v>
      </c>
      <c r="L631" s="79">
        <f>EFEITO!$N$631*EFEITO!$AA$486</f>
        <v>249281.18121645309</v>
      </c>
      <c r="M631" s="79">
        <f>$J$631-EFEITO!$K$631*EFEITO!$Y$631</f>
        <v>0</v>
      </c>
      <c r="N631" s="79">
        <f ca="1">$K$631-EFEITO!$M$631*EFEITO!$Z$631</f>
        <v>2327.1245883700612</v>
      </c>
      <c r="O631" s="79">
        <f>$L$631-EFEITO!$O$631*EFEITO!$AA$631</f>
        <v>4985.6236243290768</v>
      </c>
      <c r="P631" s="18"/>
      <c r="Q631" s="18"/>
      <c r="R631" s="18"/>
      <c r="S631" s="18"/>
      <c r="T631" s="18"/>
      <c r="U631" s="18"/>
      <c r="V631" s="18"/>
      <c r="W631" s="18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70" t="s">
        <v>28</v>
      </c>
      <c r="B632" s="70" t="s">
        <v>35</v>
      </c>
      <c r="C632" s="70" t="s">
        <v>39</v>
      </c>
      <c r="D632" s="70" t="s">
        <v>42</v>
      </c>
      <c r="E632" s="70" t="s">
        <v>25</v>
      </c>
      <c r="F632" s="70" t="s">
        <v>25</v>
      </c>
      <c r="G632" s="70" t="s">
        <v>25</v>
      </c>
      <c r="H632" s="70" t="s">
        <v>38</v>
      </c>
      <c r="I632" s="78">
        <v>44470</v>
      </c>
      <c r="J632" s="79">
        <f>EFEITO!$J$632*EFEITO!$Y$486</f>
        <v>0</v>
      </c>
      <c r="K632" s="79">
        <f ca="1">EFEITO!$L$632*EFEITO!$Z$486</f>
        <v>1206.2625068508632</v>
      </c>
      <c r="L632" s="79">
        <f>EFEITO!$N$632*EFEITO!$AA$486</f>
        <v>2584.2925992674332</v>
      </c>
      <c r="M632" s="79">
        <f>$J$632-EFEITO!$K$632*EFEITO!$Y$632</f>
        <v>0</v>
      </c>
      <c r="N632" s="79">
        <f ca="1">$K$632-EFEITO!$M$632*EFEITO!$Z$632</f>
        <v>24.125250137017247</v>
      </c>
      <c r="O632" s="79">
        <f>$L$632-EFEITO!$O$632*EFEITO!$AA$632</f>
        <v>51.685851985349018</v>
      </c>
      <c r="P632" s="18"/>
      <c r="Q632" s="18"/>
      <c r="R632" s="18"/>
      <c r="S632" s="18"/>
      <c r="T632" s="18"/>
      <c r="U632" s="18"/>
      <c r="V632" s="18"/>
      <c r="W632" s="18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70" t="s">
        <v>21</v>
      </c>
      <c r="B633" s="70" t="s">
        <v>35</v>
      </c>
      <c r="C633" s="70" t="s">
        <v>39</v>
      </c>
      <c r="D633" s="70" t="s">
        <v>42</v>
      </c>
      <c r="E633" s="70" t="s">
        <v>25</v>
      </c>
      <c r="F633" s="70" t="s">
        <v>25</v>
      </c>
      <c r="G633" s="70" t="s">
        <v>25</v>
      </c>
      <c r="H633" s="70" t="s">
        <v>38</v>
      </c>
      <c r="I633" s="78">
        <v>44501</v>
      </c>
      <c r="J633" s="79">
        <f>EFEITO!$J$633*EFEITO!$Y$486</f>
        <v>0</v>
      </c>
      <c r="K633" s="79">
        <f ca="1">EFEITO!$L$633*EFEITO!$Z$486</f>
        <v>132551.78364967217</v>
      </c>
      <c r="L633" s="79">
        <f>EFEITO!$N$633*EFEITO!$AA$486</f>
        <v>283978.48027278308</v>
      </c>
      <c r="M633" s="79">
        <f>$J$633-EFEITO!$K$633*EFEITO!$Y$633</f>
        <v>0</v>
      </c>
      <c r="N633" s="79">
        <f ca="1">$K$633-EFEITO!$M$633*EFEITO!$Z$633</f>
        <v>2651.0356729934283</v>
      </c>
      <c r="O633" s="79">
        <f>$L$633-EFEITO!$O$633*EFEITO!$AA$633</f>
        <v>5679.5696054556756</v>
      </c>
      <c r="P633" s="18"/>
      <c r="Q633" s="18"/>
      <c r="R633" s="18"/>
      <c r="S633" s="18"/>
      <c r="T633" s="18"/>
      <c r="U633" s="18"/>
      <c r="V633" s="18"/>
      <c r="W633" s="18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70" t="s">
        <v>28</v>
      </c>
      <c r="B634" s="70" t="s">
        <v>35</v>
      </c>
      <c r="C634" s="70" t="s">
        <v>39</v>
      </c>
      <c r="D634" s="70" t="s">
        <v>42</v>
      </c>
      <c r="E634" s="70" t="s">
        <v>25</v>
      </c>
      <c r="F634" s="70" t="s">
        <v>25</v>
      </c>
      <c r="G634" s="70" t="s">
        <v>25</v>
      </c>
      <c r="H634" s="70" t="s">
        <v>38</v>
      </c>
      <c r="I634" s="78">
        <v>44501</v>
      </c>
      <c r="J634" s="79">
        <f>EFEITO!$J$634*EFEITO!$Y$486</f>
        <v>0</v>
      </c>
      <c r="K634" s="79">
        <f ca="1">EFEITO!$L$634*EFEITO!$Z$486</f>
        <v>914.872407419865</v>
      </c>
      <c r="L634" s="79">
        <f>EFEITO!$N$634*EFEITO!$AA$486</f>
        <v>1960.0194637081991</v>
      </c>
      <c r="M634" s="79">
        <f>$J$634-EFEITO!$K$634*EFEITO!$Y$634</f>
        <v>0</v>
      </c>
      <c r="N634" s="79">
        <f ca="1">$K$634-EFEITO!$M$634*EFEITO!$Z$634</f>
        <v>18.29744814839728</v>
      </c>
      <c r="O634" s="79">
        <f>$L$634-EFEITO!$O$634*EFEITO!$AA$634</f>
        <v>39.200389274164081</v>
      </c>
      <c r="P634" s="18"/>
      <c r="Q634" s="18"/>
      <c r="R634" s="18"/>
      <c r="S634" s="18"/>
      <c r="T634" s="18"/>
      <c r="U634" s="18"/>
      <c r="V634" s="18"/>
      <c r="W634" s="18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70" t="s">
        <v>21</v>
      </c>
      <c r="B635" s="70" t="s">
        <v>35</v>
      </c>
      <c r="C635" s="70" t="s">
        <v>39</v>
      </c>
      <c r="D635" s="70" t="s">
        <v>42</v>
      </c>
      <c r="E635" s="70" t="s">
        <v>25</v>
      </c>
      <c r="F635" s="70" t="s">
        <v>25</v>
      </c>
      <c r="G635" s="70" t="s">
        <v>25</v>
      </c>
      <c r="H635" s="70" t="s">
        <v>38</v>
      </c>
      <c r="I635" s="78">
        <v>44531</v>
      </c>
      <c r="J635" s="79">
        <f>EFEITO!$J$635*EFEITO!$Y$486</f>
        <v>0</v>
      </c>
      <c r="K635" s="79">
        <f ca="1">EFEITO!$L$635*EFEITO!$Z$486</f>
        <v>177914.28427156838</v>
      </c>
      <c r="L635" s="79">
        <f>EFEITO!$N$635*EFEITO!$AA$486</f>
        <v>381162.94383327116</v>
      </c>
      <c r="M635" s="79">
        <f>$J$635-EFEITO!$K$635*EFEITO!$Y$635</f>
        <v>0</v>
      </c>
      <c r="N635" s="79">
        <f ca="1">$K$635-EFEITO!$M$635*EFEITO!$Z$635</f>
        <v>3558.2856854313577</v>
      </c>
      <c r="O635" s="79">
        <f>$L$635-EFEITO!$O$635*EFEITO!$AA$635</f>
        <v>7623.2588766654371</v>
      </c>
      <c r="P635" s="18"/>
      <c r="Q635" s="18"/>
      <c r="R635" s="18"/>
      <c r="S635" s="18"/>
      <c r="T635" s="18"/>
      <c r="U635" s="18"/>
      <c r="V635" s="18"/>
      <c r="W635" s="18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70" t="s">
        <v>21</v>
      </c>
      <c r="B636" s="70" t="s">
        <v>35</v>
      </c>
      <c r="C636" s="70" t="s">
        <v>39</v>
      </c>
      <c r="D636" s="70" t="s">
        <v>42</v>
      </c>
      <c r="E636" s="70" t="s">
        <v>25</v>
      </c>
      <c r="F636" s="70" t="s">
        <v>25</v>
      </c>
      <c r="G636" s="70" t="s">
        <v>25</v>
      </c>
      <c r="H636" s="70" t="s">
        <v>38</v>
      </c>
      <c r="I636" s="78">
        <v>44562</v>
      </c>
      <c r="J636" s="79">
        <f>EFEITO!$J$636*EFEITO!$Y$486</f>
        <v>0</v>
      </c>
      <c r="K636" s="79">
        <f ca="1">EFEITO!$L$636*EFEITO!$Z$486</f>
        <v>144143.92933859161</v>
      </c>
      <c r="L636" s="79">
        <f>EFEITO!$N$636*EFEITO!$AA$486</f>
        <v>308813.45287896402</v>
      </c>
      <c r="M636" s="79">
        <f>$J$636-EFEITO!$K$636*EFEITO!$Y$636</f>
        <v>0</v>
      </c>
      <c r="N636" s="79">
        <f ca="1">$K$636-EFEITO!$M$636*EFEITO!$Z$636</f>
        <v>2882.8785867718398</v>
      </c>
      <c r="O636" s="79">
        <f>$L$636-EFEITO!$O$636*EFEITO!$AA$636</f>
        <v>6176.2690575792803</v>
      </c>
      <c r="P636" s="18"/>
      <c r="Q636" s="18"/>
      <c r="R636" s="18"/>
      <c r="S636" s="18"/>
      <c r="T636" s="18"/>
      <c r="U636" s="18"/>
      <c r="V636" s="18"/>
      <c r="W636" s="18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70" t="s">
        <v>27</v>
      </c>
      <c r="B637" s="70" t="s">
        <v>35</v>
      </c>
      <c r="C637" s="70" t="s">
        <v>39</v>
      </c>
      <c r="D637" s="70" t="s">
        <v>42</v>
      </c>
      <c r="E637" s="70" t="s">
        <v>25</v>
      </c>
      <c r="F637" s="70" t="s">
        <v>25</v>
      </c>
      <c r="G637" s="70" t="s">
        <v>25</v>
      </c>
      <c r="H637" s="70" t="s">
        <v>38</v>
      </c>
      <c r="I637" s="78">
        <v>44562</v>
      </c>
      <c r="J637" s="79">
        <f>EFEITO!$J$637*EFEITO!$Y$486</f>
        <v>0</v>
      </c>
      <c r="K637" s="79">
        <f ca="1">EFEITO!$L$637*EFEITO!$Z$486</f>
        <v>-3550.7964973520238</v>
      </c>
      <c r="L637" s="79">
        <f>EFEITO!$N$637*EFEITO!$AA$486</f>
        <v>-7607.2140661718113</v>
      </c>
      <c r="M637" s="79">
        <f>$J$637-EFEITO!$K$637*EFEITO!$Y$637</f>
        <v>0</v>
      </c>
      <c r="N637" s="79">
        <f ca="1">$K$637-EFEITO!$M$637*EFEITO!$Z$637</f>
        <v>-71.015929947040604</v>
      </c>
      <c r="O637" s="79">
        <f>$L$637-EFEITO!$O$637*EFEITO!$AA$637</f>
        <v>-152.14428132343619</v>
      </c>
      <c r="P637" s="18"/>
      <c r="Q637" s="18"/>
      <c r="R637" s="18"/>
      <c r="S637" s="18"/>
      <c r="T637" s="18"/>
      <c r="U637" s="18"/>
      <c r="V637" s="18"/>
      <c r="W637" s="18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70" t="s">
        <v>28</v>
      </c>
      <c r="B638" s="70" t="s">
        <v>35</v>
      </c>
      <c r="C638" s="70" t="s">
        <v>39</v>
      </c>
      <c r="D638" s="70" t="s">
        <v>42</v>
      </c>
      <c r="E638" s="70" t="s">
        <v>25</v>
      </c>
      <c r="F638" s="70" t="s">
        <v>25</v>
      </c>
      <c r="G638" s="70" t="s">
        <v>25</v>
      </c>
      <c r="H638" s="70" t="s">
        <v>38</v>
      </c>
      <c r="I638" s="78">
        <v>44562</v>
      </c>
      <c r="J638" s="79">
        <f>EFEITO!$J$638*EFEITO!$Y$486</f>
        <v>0</v>
      </c>
      <c r="K638" s="79">
        <f ca="1">EFEITO!$L$638*EFEITO!$Z$486</f>
        <v>1025.3231308232339</v>
      </c>
      <c r="L638" s="79">
        <f>EFEITO!$N$638*EFEITO!$AA$486</f>
        <v>2196.648709377318</v>
      </c>
      <c r="M638" s="79">
        <f>$J$638-EFEITO!$K$638*EFEITO!$Y$638</f>
        <v>0</v>
      </c>
      <c r="N638" s="79">
        <f ca="1">$K$638-EFEITO!$M$638*EFEITO!$Z$638</f>
        <v>20.506462616464773</v>
      </c>
      <c r="O638" s="79">
        <f>$L$638-EFEITO!$O$638*EFEITO!$AA$638</f>
        <v>43.932974187546279</v>
      </c>
      <c r="P638" s="18"/>
      <c r="Q638" s="18"/>
      <c r="R638" s="18"/>
      <c r="S638" s="18"/>
      <c r="T638" s="18"/>
      <c r="U638" s="18"/>
      <c r="V638" s="18"/>
      <c r="W638" s="18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70" t="s">
        <v>21</v>
      </c>
      <c r="B639" s="70" t="s">
        <v>35</v>
      </c>
      <c r="C639" s="70" t="s">
        <v>39</v>
      </c>
      <c r="D639" s="70" t="s">
        <v>42</v>
      </c>
      <c r="E639" s="70" t="s">
        <v>25</v>
      </c>
      <c r="F639" s="70" t="s">
        <v>25</v>
      </c>
      <c r="G639" s="70" t="s">
        <v>25</v>
      </c>
      <c r="H639" s="70" t="s">
        <v>38</v>
      </c>
      <c r="I639" s="78">
        <v>44593</v>
      </c>
      <c r="J639" s="79">
        <f>EFEITO!$J$639*EFEITO!$Y$486</f>
        <v>0</v>
      </c>
      <c r="K639" s="79">
        <f ca="1">EFEITO!$L$639*EFEITO!$Z$486</f>
        <v>208100.63348633735</v>
      </c>
      <c r="L639" s="79">
        <f>EFEITO!$N$639*EFEITO!$AA$486</f>
        <v>445834.07340214745</v>
      </c>
      <c r="M639" s="79">
        <f>$J$639-EFEITO!$K$639*EFEITO!$Y$639</f>
        <v>0</v>
      </c>
      <c r="N639" s="79">
        <f ca="1">$K$639-EFEITO!$M$639*EFEITO!$Z$639</f>
        <v>4162.0126697267406</v>
      </c>
      <c r="O639" s="79">
        <f>$L$639-EFEITO!$O$639*EFEITO!$AA$639</f>
        <v>8916.6814680429525</v>
      </c>
      <c r="P639" s="18"/>
      <c r="Q639" s="18"/>
      <c r="R639" s="18"/>
      <c r="S639" s="18"/>
      <c r="T639" s="18"/>
      <c r="U639" s="18"/>
      <c r="V639" s="18"/>
      <c r="W639" s="18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70" t="s">
        <v>27</v>
      </c>
      <c r="B640" s="70" t="s">
        <v>35</v>
      </c>
      <c r="C640" s="70" t="s">
        <v>39</v>
      </c>
      <c r="D640" s="70" t="s">
        <v>42</v>
      </c>
      <c r="E640" s="70" t="s">
        <v>25</v>
      </c>
      <c r="F640" s="70" t="s">
        <v>25</v>
      </c>
      <c r="G640" s="70" t="s">
        <v>25</v>
      </c>
      <c r="H640" s="70" t="s">
        <v>38</v>
      </c>
      <c r="I640" s="78">
        <v>44593</v>
      </c>
      <c r="J640" s="79">
        <f>EFEITO!$J$640*EFEITO!$Y$486</f>
        <v>0</v>
      </c>
      <c r="K640" s="79">
        <f ca="1">EFEITO!$L$640*EFEITO!$Z$486</f>
        <v>-7676.9728100884313</v>
      </c>
      <c r="L640" s="79">
        <f>EFEITO!$N$640*EFEITO!$AA$486</f>
        <v>-16447.119847638365</v>
      </c>
      <c r="M640" s="79">
        <f>$J$640-EFEITO!$K$640*EFEITO!$Y$640</f>
        <v>0</v>
      </c>
      <c r="N640" s="79">
        <f ca="1">$K$640-EFEITO!$M$640*EFEITO!$Z$640</f>
        <v>-153.53945620176819</v>
      </c>
      <c r="O640" s="79">
        <f>$L$640-EFEITO!$O$640*EFEITO!$AA$640</f>
        <v>-328.94239695276883</v>
      </c>
      <c r="P640" s="18"/>
      <c r="Q640" s="18"/>
      <c r="R640" s="18"/>
      <c r="S640" s="18"/>
      <c r="T640" s="18"/>
      <c r="U640" s="18"/>
      <c r="V640" s="18"/>
      <c r="W640" s="18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70" t="s">
        <v>28</v>
      </c>
      <c r="B641" s="70" t="s">
        <v>35</v>
      </c>
      <c r="C641" s="70" t="s">
        <v>39</v>
      </c>
      <c r="D641" s="70" t="s">
        <v>42</v>
      </c>
      <c r="E641" s="70" t="s">
        <v>25</v>
      </c>
      <c r="F641" s="70" t="s">
        <v>25</v>
      </c>
      <c r="G641" s="70" t="s">
        <v>25</v>
      </c>
      <c r="H641" s="70" t="s">
        <v>38</v>
      </c>
      <c r="I641" s="78">
        <v>44593</v>
      </c>
      <c r="J641" s="79">
        <f>EFEITO!$J$641*EFEITO!$Y$486</f>
        <v>0</v>
      </c>
      <c r="K641" s="79">
        <f ca="1">EFEITO!$L$641*EFEITO!$Z$486</f>
        <v>4373.0716065082606</v>
      </c>
      <c r="L641" s="79">
        <f>EFEITO!$N$641*EFEITO!$AA$486</f>
        <v>9368.8534001356329</v>
      </c>
      <c r="M641" s="79">
        <f>$J$641-EFEITO!$K$641*EFEITO!$Y$641</f>
        <v>0</v>
      </c>
      <c r="N641" s="79">
        <f ca="1">$K$641-EFEITO!$M$641*EFEITO!$Z$641</f>
        <v>87.461432130165122</v>
      </c>
      <c r="O641" s="79">
        <f>$L$641-EFEITO!$O$641*EFEITO!$AA$641</f>
        <v>187.37706800271371</v>
      </c>
      <c r="P641" s="18"/>
      <c r="Q641" s="18"/>
      <c r="R641" s="18"/>
      <c r="S641" s="18"/>
      <c r="T641" s="18"/>
      <c r="U641" s="18"/>
      <c r="V641" s="18"/>
      <c r="W641" s="18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70" t="s">
        <v>21</v>
      </c>
      <c r="B642" s="70" t="s">
        <v>35</v>
      </c>
      <c r="C642" s="70" t="s">
        <v>39</v>
      </c>
      <c r="D642" s="70" t="s">
        <v>42</v>
      </c>
      <c r="E642" s="70" t="s">
        <v>25</v>
      </c>
      <c r="F642" s="70" t="s">
        <v>25</v>
      </c>
      <c r="G642" s="70" t="s">
        <v>25</v>
      </c>
      <c r="H642" s="70" t="s">
        <v>38</v>
      </c>
      <c r="I642" s="78">
        <v>44621</v>
      </c>
      <c r="J642" s="79">
        <f>EFEITO!$J$642*EFEITO!$Y$486</f>
        <v>0</v>
      </c>
      <c r="K642" s="79">
        <f ca="1">EFEITO!$L$642*EFEITO!$Z$486</f>
        <v>163578.81642749798</v>
      </c>
      <c r="L642" s="79">
        <f>EFEITO!$N$642*EFEITO!$AA$486</f>
        <v>350450.68738323479</v>
      </c>
      <c r="M642" s="79">
        <f>$J$642-EFEITO!$K$642*EFEITO!$Y$642</f>
        <v>0</v>
      </c>
      <c r="N642" s="79">
        <f ca="1">$K$642-EFEITO!$M$642*EFEITO!$Z$642</f>
        <v>3271.5763285499706</v>
      </c>
      <c r="O642" s="79">
        <f>$L$642-EFEITO!$O$642*EFEITO!$AA$642</f>
        <v>7009.0137476646923</v>
      </c>
      <c r="P642" s="18"/>
      <c r="Q642" s="18"/>
      <c r="R642" s="18"/>
      <c r="S642" s="18"/>
      <c r="T642" s="18"/>
      <c r="U642" s="18"/>
      <c r="V642" s="18"/>
      <c r="W642" s="18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70" t="s">
        <v>27</v>
      </c>
      <c r="B643" s="70" t="s">
        <v>35</v>
      </c>
      <c r="C643" s="70" t="s">
        <v>39</v>
      </c>
      <c r="D643" s="70" t="s">
        <v>42</v>
      </c>
      <c r="E643" s="70" t="s">
        <v>25</v>
      </c>
      <c r="F643" s="70" t="s">
        <v>25</v>
      </c>
      <c r="G643" s="70" t="s">
        <v>25</v>
      </c>
      <c r="H643" s="70" t="s">
        <v>38</v>
      </c>
      <c r="I643" s="78">
        <v>44621</v>
      </c>
      <c r="J643" s="79">
        <f>EFEITO!$J$643*EFEITO!$Y$486</f>
        <v>0</v>
      </c>
      <c r="K643" s="79">
        <f ca="1">EFEITO!$L$643*EFEITO!$Z$486</f>
        <v>-4487.6850456177863</v>
      </c>
      <c r="L643" s="79">
        <f>EFEITO!$N$643*EFEITO!$AA$486</f>
        <v>-9614.4008334555965</v>
      </c>
      <c r="M643" s="79">
        <f>$J$643-EFEITO!$K$643*EFEITO!$Y$643</f>
        <v>0</v>
      </c>
      <c r="N643" s="79">
        <f ca="1">$K$643-EFEITO!$M$643*EFEITO!$Z$643</f>
        <v>-89.753700912355271</v>
      </c>
      <c r="O643" s="79">
        <f>$L$643-EFEITO!$O$643*EFEITO!$AA$643</f>
        <v>-192.28801666911204</v>
      </c>
      <c r="P643" s="18"/>
      <c r="Q643" s="18"/>
      <c r="R643" s="18"/>
      <c r="S643" s="18"/>
      <c r="T643" s="18"/>
      <c r="U643" s="18"/>
      <c r="V643" s="18"/>
      <c r="W643" s="18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70" t="s">
        <v>28</v>
      </c>
      <c r="B644" s="70" t="s">
        <v>35</v>
      </c>
      <c r="C644" s="70" t="s">
        <v>39</v>
      </c>
      <c r="D644" s="70" t="s">
        <v>42</v>
      </c>
      <c r="E644" s="70" t="s">
        <v>25</v>
      </c>
      <c r="F644" s="70" t="s">
        <v>25</v>
      </c>
      <c r="G644" s="70" t="s">
        <v>25</v>
      </c>
      <c r="H644" s="70" t="s">
        <v>38</v>
      </c>
      <c r="I644" s="78">
        <v>44621</v>
      </c>
      <c r="J644" s="79">
        <f>EFEITO!$J$644*EFEITO!$Y$486</f>
        <v>0</v>
      </c>
      <c r="K644" s="79">
        <f ca="1">EFEITO!$L$644*EFEITO!$Z$486</f>
        <v>6987.9971083226937</v>
      </c>
      <c r="L644" s="79">
        <f>EFEITO!$N$644*EFEITO!$AA$486</f>
        <v>14971.060700449421</v>
      </c>
      <c r="M644" s="79">
        <f>$J$644-EFEITO!$K$644*EFEITO!$Y$644</f>
        <v>0</v>
      </c>
      <c r="N644" s="79">
        <f ca="1">$K$644-EFEITO!$M$644*EFEITO!$Z$644</f>
        <v>139.75994216645358</v>
      </c>
      <c r="O644" s="79">
        <f>$L$644-EFEITO!$O$644*EFEITO!$AA$644</f>
        <v>299.42121400898941</v>
      </c>
      <c r="P644" s="18"/>
      <c r="Q644" s="18"/>
      <c r="R644" s="18"/>
      <c r="S644" s="18"/>
      <c r="T644" s="18"/>
      <c r="U644" s="18"/>
      <c r="V644" s="18"/>
      <c r="W644" s="18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70" t="s">
        <v>21</v>
      </c>
      <c r="B645" s="70" t="s">
        <v>35</v>
      </c>
      <c r="C645" s="70" t="s">
        <v>39</v>
      </c>
      <c r="D645" s="70" t="s">
        <v>42</v>
      </c>
      <c r="E645" s="70" t="s">
        <v>25</v>
      </c>
      <c r="F645" s="70" t="s">
        <v>25</v>
      </c>
      <c r="G645" s="70" t="s">
        <v>25</v>
      </c>
      <c r="H645" s="70" t="s">
        <v>38</v>
      </c>
      <c r="I645" s="78">
        <v>44652</v>
      </c>
      <c r="J645" s="79">
        <f>EFEITO!$J$645*EFEITO!$Y$486</f>
        <v>0</v>
      </c>
      <c r="K645" s="79">
        <f ca="1">EFEITO!$L$645*EFEITO!$Z$486</f>
        <v>159154.03464143988</v>
      </c>
      <c r="L645" s="79">
        <f>EFEITO!$N$645*EFEITO!$AA$486</f>
        <v>340971.05027428083</v>
      </c>
      <c r="M645" s="79">
        <f>$J$645-EFEITO!$K$645*EFEITO!$Y$645</f>
        <v>0</v>
      </c>
      <c r="N645" s="79">
        <f ca="1">$K$645-EFEITO!$M$645*EFEITO!$Z$645</f>
        <v>3183.0806928288075</v>
      </c>
      <c r="O645" s="79">
        <f>$L$645-EFEITO!$O$645*EFEITO!$AA$645</f>
        <v>6819.4210054856376</v>
      </c>
      <c r="P645" s="18"/>
      <c r="Q645" s="18"/>
      <c r="R645" s="18"/>
      <c r="S645" s="18"/>
      <c r="T645" s="18"/>
      <c r="U645" s="18"/>
      <c r="V645" s="18"/>
      <c r="W645" s="18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70" t="s">
        <v>28</v>
      </c>
      <c r="B646" s="70" t="s">
        <v>35</v>
      </c>
      <c r="C646" s="70" t="s">
        <v>39</v>
      </c>
      <c r="D646" s="70" t="s">
        <v>42</v>
      </c>
      <c r="E646" s="70" t="s">
        <v>25</v>
      </c>
      <c r="F646" s="70" t="s">
        <v>25</v>
      </c>
      <c r="G646" s="70" t="s">
        <v>25</v>
      </c>
      <c r="H646" s="70" t="s">
        <v>38</v>
      </c>
      <c r="I646" s="78">
        <v>44652</v>
      </c>
      <c r="J646" s="79">
        <f>EFEITO!$J$646*EFEITO!$Y$486</f>
        <v>0</v>
      </c>
      <c r="K646" s="79">
        <f ca="1">EFEITO!$L$646*EFEITO!$Z$486</f>
        <v>3499.9188609434368</v>
      </c>
      <c r="L646" s="79">
        <f>EFEITO!$N$646*EFEITO!$AA$486</f>
        <v>7498.2139948836921</v>
      </c>
      <c r="M646" s="79">
        <f>$J$646-EFEITO!$K$646*EFEITO!$Y$646</f>
        <v>0</v>
      </c>
      <c r="N646" s="79">
        <f ca="1">$K$646-EFEITO!$M$646*EFEITO!$Z$646</f>
        <v>69.998377218868427</v>
      </c>
      <c r="O646" s="79">
        <f>$L$646-EFEITO!$O$646*EFEITO!$AA$646</f>
        <v>149.96427989767471</v>
      </c>
      <c r="P646" s="18"/>
      <c r="Q646" s="18"/>
      <c r="R646" s="18"/>
      <c r="S646" s="18"/>
      <c r="T646" s="18"/>
      <c r="U646" s="18"/>
      <c r="V646" s="18"/>
      <c r="W646" s="18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70" t="s">
        <v>21</v>
      </c>
      <c r="B647" s="70" t="s">
        <v>35</v>
      </c>
      <c r="C647" s="70" t="s">
        <v>39</v>
      </c>
      <c r="D647" s="70" t="s">
        <v>42</v>
      </c>
      <c r="E647" s="70" t="s">
        <v>25</v>
      </c>
      <c r="F647" s="70" t="s">
        <v>25</v>
      </c>
      <c r="G647" s="70" t="s">
        <v>25</v>
      </c>
      <c r="H647" s="70" t="s">
        <v>38</v>
      </c>
      <c r="I647" s="78">
        <v>44682</v>
      </c>
      <c r="J647" s="79">
        <f>EFEITO!$J$647*EFEITO!$Y$486</f>
        <v>0</v>
      </c>
      <c r="K647" s="79">
        <f ca="1">EFEITO!$L$647*EFEITO!$Z$486</f>
        <v>188158.45011004066</v>
      </c>
      <c r="L647" s="79">
        <f>EFEITO!$N$647*EFEITO!$AA$486</f>
        <v>403110.00909616024</v>
      </c>
      <c r="M647" s="79">
        <f>$J$647-EFEITO!$K$647*EFEITO!$Y$647</f>
        <v>0</v>
      </c>
      <c r="N647" s="79">
        <f ca="1">$K$647-EFEITO!$M$647*EFEITO!$Z$647</f>
        <v>3763.1690022008261</v>
      </c>
      <c r="O647" s="79">
        <f>$L$647-EFEITO!$O$647*EFEITO!$AA$647</f>
        <v>8062.2001819232246</v>
      </c>
      <c r="P647" s="18"/>
      <c r="Q647" s="18"/>
      <c r="R647" s="18"/>
      <c r="S647" s="18"/>
      <c r="T647" s="18"/>
      <c r="U647" s="18"/>
      <c r="V647" s="18"/>
      <c r="W647" s="18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70" t="s">
        <v>27</v>
      </c>
      <c r="B648" s="70" t="s">
        <v>35</v>
      </c>
      <c r="C648" s="70" t="s">
        <v>39</v>
      </c>
      <c r="D648" s="70" t="s">
        <v>42</v>
      </c>
      <c r="E648" s="70" t="s">
        <v>25</v>
      </c>
      <c r="F648" s="70" t="s">
        <v>25</v>
      </c>
      <c r="G648" s="70" t="s">
        <v>25</v>
      </c>
      <c r="H648" s="70" t="s">
        <v>38</v>
      </c>
      <c r="I648" s="78">
        <v>44682</v>
      </c>
      <c r="J648" s="79">
        <f>EFEITO!$J$648*EFEITO!$Y$486</f>
        <v>0</v>
      </c>
      <c r="K648" s="79">
        <f ca="1">EFEITO!$L$648*EFEITO!$Z$486</f>
        <v>-3811.7525197313403</v>
      </c>
      <c r="L648" s="79">
        <f>EFEITO!$N$648*EFEITO!$AA$486</f>
        <v>-8166.2853409059708</v>
      </c>
      <c r="M648" s="79">
        <f>$J$648-EFEITO!$K$648*EFEITO!$Y$648</f>
        <v>0</v>
      </c>
      <c r="N648" s="79">
        <f ca="1">$K$648-EFEITO!$M$648*EFEITO!$Z$648</f>
        <v>-76.235050394626342</v>
      </c>
      <c r="O648" s="79">
        <f>$L$648-EFEITO!$O$648*EFEITO!$AA$648</f>
        <v>-163.32570681811922</v>
      </c>
      <c r="P648" s="18"/>
      <c r="Q648" s="18"/>
      <c r="R648" s="18"/>
      <c r="S648" s="18"/>
      <c r="T648" s="18"/>
      <c r="U648" s="18"/>
      <c r="V648" s="18"/>
      <c r="W648" s="18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70" t="s">
        <v>28</v>
      </c>
      <c r="B649" s="70" t="s">
        <v>35</v>
      </c>
      <c r="C649" s="70" t="s">
        <v>39</v>
      </c>
      <c r="D649" s="70" t="s">
        <v>42</v>
      </c>
      <c r="E649" s="70" t="s">
        <v>25</v>
      </c>
      <c r="F649" s="70" t="s">
        <v>25</v>
      </c>
      <c r="G649" s="70" t="s">
        <v>25</v>
      </c>
      <c r="H649" s="70" t="s">
        <v>38</v>
      </c>
      <c r="I649" s="78">
        <v>44682</v>
      </c>
      <c r="J649" s="79">
        <f>EFEITO!$J$649*EFEITO!$Y$486</f>
        <v>0</v>
      </c>
      <c r="K649" s="79">
        <f ca="1">EFEITO!$L$649*EFEITO!$Z$486</f>
        <v>9507.0876441020428</v>
      </c>
      <c r="L649" s="79">
        <f>EFEITO!$N$649*EFEITO!$AA$486</f>
        <v>20367.95150284595</v>
      </c>
      <c r="M649" s="79">
        <f>$J$649-EFEITO!$K$649*EFEITO!$Y$649</f>
        <v>0</v>
      </c>
      <c r="N649" s="79">
        <f ca="1">$K$649-EFEITO!$M$649*EFEITO!$Z$649</f>
        <v>190.14175288204024</v>
      </c>
      <c r="O649" s="79">
        <f>$L$649-EFEITO!$O$649*EFEITO!$AA$649</f>
        <v>407.35903005691944</v>
      </c>
      <c r="P649" s="18"/>
      <c r="Q649" s="18"/>
      <c r="R649" s="18"/>
      <c r="S649" s="18"/>
      <c r="T649" s="18"/>
      <c r="U649" s="18"/>
      <c r="V649" s="18"/>
      <c r="W649" s="18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70" t="s">
        <v>28</v>
      </c>
      <c r="B650" s="70" t="s">
        <v>35</v>
      </c>
      <c r="C650" s="70" t="s">
        <v>39</v>
      </c>
      <c r="D650" s="70" t="s">
        <v>42</v>
      </c>
      <c r="E650" s="70" t="s">
        <v>25</v>
      </c>
      <c r="F650" s="70" t="s">
        <v>25</v>
      </c>
      <c r="G650" s="70" t="s">
        <v>25</v>
      </c>
      <c r="H650" s="70" t="s">
        <v>38</v>
      </c>
      <c r="I650" s="78">
        <v>44682</v>
      </c>
      <c r="J650" s="79">
        <f>EFEITO!$J$650*EFEITO!$Y$486</f>
        <v>0</v>
      </c>
      <c r="K650" s="79">
        <f ca="1">EFEITO!$L$650*EFEITO!$Z$486</f>
        <v>-934.85344280941911</v>
      </c>
      <c r="L650" s="79">
        <f>EFEITO!$N$650*EFEITO!$AA$486</f>
        <v>-2002.8267644322607</v>
      </c>
      <c r="M650" s="79">
        <f>$J$650-EFEITO!$K$650*EFEITO!$Y$650</f>
        <v>0</v>
      </c>
      <c r="N650" s="79">
        <f ca="1">$K$650-EFEITO!$M$650*EFEITO!$Z$650</f>
        <v>-18.697068856188366</v>
      </c>
      <c r="O650" s="79">
        <f>$L$650-EFEITO!$O$650*EFEITO!$AA$650</f>
        <v>-40.056535288645136</v>
      </c>
      <c r="P650" s="18"/>
      <c r="Q650" s="18"/>
      <c r="R650" s="18"/>
      <c r="S650" s="18"/>
      <c r="T650" s="18"/>
      <c r="U650" s="18"/>
      <c r="V650" s="18"/>
      <c r="W650" s="18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70" t="s">
        <v>21</v>
      </c>
      <c r="B651" s="70" t="s">
        <v>35</v>
      </c>
      <c r="C651" s="70" t="s">
        <v>39</v>
      </c>
      <c r="D651" s="70" t="s">
        <v>42</v>
      </c>
      <c r="E651" s="70" t="s">
        <v>25</v>
      </c>
      <c r="F651" s="70" t="s">
        <v>25</v>
      </c>
      <c r="G651" s="70" t="s">
        <v>25</v>
      </c>
      <c r="H651" s="70" t="s">
        <v>38</v>
      </c>
      <c r="I651" s="78">
        <v>44713</v>
      </c>
      <c r="J651" s="79">
        <f>EFEITO!$J$651*EFEITO!$Y$486</f>
        <v>0</v>
      </c>
      <c r="K651" s="79">
        <f ca="1">EFEITO!$L$651*EFEITO!$Z$486</f>
        <v>177093.95176307502</v>
      </c>
      <c r="L651" s="79">
        <f>EFEITO!$N$651*EFEITO!$AA$486</f>
        <v>379405.46632021107</v>
      </c>
      <c r="M651" s="79">
        <f>$J$651-EFEITO!$K$651*EFEITO!$Y$651</f>
        <v>0</v>
      </c>
      <c r="N651" s="79">
        <f ca="1">$K$651-EFEITO!$M$651*EFEITO!$Z$651</f>
        <v>3541.8790352614888</v>
      </c>
      <c r="O651" s="79">
        <f>$L$651-EFEITO!$O$651*EFEITO!$AA$651</f>
        <v>7588.1093264042283</v>
      </c>
      <c r="P651" s="18"/>
      <c r="Q651" s="18"/>
      <c r="R651" s="18"/>
      <c r="S651" s="18"/>
      <c r="T651" s="18"/>
      <c r="U651" s="18"/>
      <c r="V651" s="18"/>
      <c r="W651" s="18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70" t="s">
        <v>27</v>
      </c>
      <c r="B652" s="70" t="s">
        <v>35</v>
      </c>
      <c r="C652" s="70" t="s">
        <v>39</v>
      </c>
      <c r="D652" s="70" t="s">
        <v>42</v>
      </c>
      <c r="E652" s="70" t="s">
        <v>25</v>
      </c>
      <c r="F652" s="70" t="s">
        <v>25</v>
      </c>
      <c r="G652" s="70" t="s">
        <v>25</v>
      </c>
      <c r="H652" s="70" t="s">
        <v>38</v>
      </c>
      <c r="I652" s="78">
        <v>44713</v>
      </c>
      <c r="J652" s="79">
        <f>EFEITO!$J$652*EFEITO!$Y$486</f>
        <v>0</v>
      </c>
      <c r="K652" s="79">
        <f ca="1">EFEITO!$L$652*EFEITO!$Z$486</f>
        <v>-1831.7799202960732</v>
      </c>
      <c r="L652" s="79">
        <f>EFEITO!$N$652*EFEITO!$AA$486</f>
        <v>-3924.3989302679229</v>
      </c>
      <c r="M652" s="79">
        <f>$J$652-EFEITO!$K$652*EFEITO!$Y$652</f>
        <v>0</v>
      </c>
      <c r="N652" s="79">
        <f ca="1">$K$652-EFEITO!$M$652*EFEITO!$Z$652</f>
        <v>-36.635598405921428</v>
      </c>
      <c r="O652" s="79">
        <f>$L$652-EFEITO!$O$652*EFEITO!$AA$652</f>
        <v>-78.487978605358876</v>
      </c>
      <c r="P652" s="18"/>
      <c r="Q652" s="18"/>
      <c r="R652" s="18"/>
      <c r="S652" s="18"/>
      <c r="T652" s="18"/>
      <c r="U652" s="18"/>
      <c r="V652" s="18"/>
      <c r="W652" s="18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70" t="s">
        <v>28</v>
      </c>
      <c r="B653" s="70" t="s">
        <v>35</v>
      </c>
      <c r="C653" s="70" t="s">
        <v>39</v>
      </c>
      <c r="D653" s="70" t="s">
        <v>42</v>
      </c>
      <c r="E653" s="70" t="s">
        <v>25</v>
      </c>
      <c r="F653" s="70" t="s">
        <v>25</v>
      </c>
      <c r="G653" s="70" t="s">
        <v>25</v>
      </c>
      <c r="H653" s="70" t="s">
        <v>38</v>
      </c>
      <c r="I653" s="78">
        <v>44713</v>
      </c>
      <c r="J653" s="79">
        <f>EFEITO!$J$653*EFEITO!$Y$486</f>
        <v>0</v>
      </c>
      <c r="K653" s="79">
        <f ca="1">EFEITO!$L$653*EFEITO!$Z$486</f>
        <v>17679.701137603584</v>
      </c>
      <c r="L653" s="79">
        <f>EFEITO!$N$653*EFEITO!$AA$486</f>
        <v>37876.930226778408</v>
      </c>
      <c r="M653" s="79">
        <f>$J$653-EFEITO!$K$653*EFEITO!$Y$653</f>
        <v>0</v>
      </c>
      <c r="N653" s="79">
        <f ca="1">$K$653-EFEITO!$M$653*EFEITO!$Z$653</f>
        <v>353.59402275207322</v>
      </c>
      <c r="O653" s="79">
        <f>$L$653-EFEITO!$O$653*EFEITO!$AA$653</f>
        <v>757.5386045355699</v>
      </c>
      <c r="P653" s="18"/>
      <c r="Q653" s="18"/>
      <c r="R653" s="18"/>
      <c r="S653" s="18"/>
      <c r="T653" s="18"/>
      <c r="U653" s="18"/>
      <c r="V653" s="18"/>
      <c r="W653" s="18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70" t="s">
        <v>21</v>
      </c>
      <c r="B654" s="70" t="s">
        <v>35</v>
      </c>
      <c r="C654" s="70" t="s">
        <v>39</v>
      </c>
      <c r="D654" s="70" t="s">
        <v>42</v>
      </c>
      <c r="E654" s="70" t="s">
        <v>25</v>
      </c>
      <c r="F654" s="70" t="s">
        <v>25</v>
      </c>
      <c r="G654" s="70" t="s">
        <v>25</v>
      </c>
      <c r="H654" s="70" t="s">
        <v>25</v>
      </c>
      <c r="I654" s="78">
        <v>44378</v>
      </c>
      <c r="J654" s="79">
        <f ca="1">EFEITO!$J$654*EFEITO!$Y$501</f>
        <v>267594.74954418465</v>
      </c>
      <c r="K654" s="79">
        <f>EFEITO!$L$654*EFEITO!$Z$501</f>
        <v>0</v>
      </c>
      <c r="L654" s="79">
        <f>EFEITO!$N$654*EFEITO!$AA$501</f>
        <v>0</v>
      </c>
      <c r="M654" s="79">
        <f ca="1">$J$654-EFEITO!$K$654*EFEITO!$Y$654</f>
        <v>5351.8949908837094</v>
      </c>
      <c r="N654" s="79">
        <f>$K$654-EFEITO!$M$654*EFEITO!$Z$654</f>
        <v>0</v>
      </c>
      <c r="O654" s="79">
        <f>$L$654-EFEITO!$O$654*EFEITO!$AA$654</f>
        <v>0</v>
      </c>
      <c r="P654" s="18"/>
      <c r="Q654" s="18"/>
      <c r="R654" s="18"/>
      <c r="S654" s="18"/>
      <c r="T654" s="18"/>
      <c r="U654" s="18"/>
      <c r="V654" s="18"/>
      <c r="W654" s="18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70" t="s">
        <v>28</v>
      </c>
      <c r="B655" s="70" t="s">
        <v>35</v>
      </c>
      <c r="C655" s="70" t="s">
        <v>39</v>
      </c>
      <c r="D655" s="70" t="s">
        <v>42</v>
      </c>
      <c r="E655" s="70" t="s">
        <v>25</v>
      </c>
      <c r="F655" s="70" t="s">
        <v>25</v>
      </c>
      <c r="G655" s="70" t="s">
        <v>25</v>
      </c>
      <c r="H655" s="70" t="s">
        <v>25</v>
      </c>
      <c r="I655" s="78">
        <v>44378</v>
      </c>
      <c r="J655" s="79">
        <f ca="1">EFEITO!$J$655*EFEITO!$Y$501</f>
        <v>33681.551496058746</v>
      </c>
      <c r="K655" s="79">
        <f>EFEITO!$L$655*EFEITO!$Z$501</f>
        <v>0</v>
      </c>
      <c r="L655" s="79">
        <f>EFEITO!$N$655*EFEITO!$AA$501</f>
        <v>0</v>
      </c>
      <c r="M655" s="79">
        <f ca="1">$J$655-EFEITO!$K$655*EFEITO!$Y$655</f>
        <v>673.63102992117638</v>
      </c>
      <c r="N655" s="79">
        <f>$K$655-EFEITO!$M$655*EFEITO!$Z$655</f>
        <v>0</v>
      </c>
      <c r="O655" s="79">
        <f>$L$655-EFEITO!$O$655*EFEITO!$AA$655</f>
        <v>0</v>
      </c>
      <c r="P655" s="18"/>
      <c r="Q655" s="18"/>
      <c r="R655" s="18"/>
      <c r="S655" s="18"/>
      <c r="T655" s="18"/>
      <c r="U655" s="18"/>
      <c r="V655" s="18"/>
      <c r="W655" s="18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70" t="s">
        <v>21</v>
      </c>
      <c r="B656" s="70" t="s">
        <v>35</v>
      </c>
      <c r="C656" s="70" t="s">
        <v>39</v>
      </c>
      <c r="D656" s="70" t="s">
        <v>42</v>
      </c>
      <c r="E656" s="70" t="s">
        <v>25</v>
      </c>
      <c r="F656" s="70" t="s">
        <v>25</v>
      </c>
      <c r="G656" s="70" t="s">
        <v>25</v>
      </c>
      <c r="H656" s="70" t="s">
        <v>25</v>
      </c>
      <c r="I656" s="78">
        <v>44409</v>
      </c>
      <c r="J656" s="79">
        <f ca="1">EFEITO!$J$656*EFEITO!$Y$501</f>
        <v>248561.32306585126</v>
      </c>
      <c r="K656" s="79">
        <f>EFEITO!$L$656*EFEITO!$Z$501</f>
        <v>0</v>
      </c>
      <c r="L656" s="79">
        <f>EFEITO!$N$656*EFEITO!$AA$501</f>
        <v>0</v>
      </c>
      <c r="M656" s="79">
        <f ca="1">$J$656-EFEITO!$K$656*EFEITO!$Y$656</f>
        <v>4971.2264613170119</v>
      </c>
      <c r="N656" s="79">
        <f>$K$656-EFEITO!$M$656*EFEITO!$Z$656</f>
        <v>0</v>
      </c>
      <c r="O656" s="79">
        <f>$L$656-EFEITO!$O$656*EFEITO!$AA$656</f>
        <v>0</v>
      </c>
      <c r="P656" s="18"/>
      <c r="Q656" s="18"/>
      <c r="R656" s="18"/>
      <c r="S656" s="18"/>
      <c r="T656" s="18"/>
      <c r="U656" s="18"/>
      <c r="V656" s="18"/>
      <c r="W656" s="18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70" t="s">
        <v>28</v>
      </c>
      <c r="B657" s="70" t="s">
        <v>35</v>
      </c>
      <c r="C657" s="70" t="s">
        <v>39</v>
      </c>
      <c r="D657" s="70" t="s">
        <v>42</v>
      </c>
      <c r="E657" s="70" t="s">
        <v>25</v>
      </c>
      <c r="F657" s="70" t="s">
        <v>25</v>
      </c>
      <c r="G657" s="70" t="s">
        <v>25</v>
      </c>
      <c r="H657" s="70" t="s">
        <v>25</v>
      </c>
      <c r="I657" s="78">
        <v>44409</v>
      </c>
      <c r="J657" s="79">
        <f ca="1">EFEITO!$J$657*EFEITO!$Y$501</f>
        <v>38889.096980530761</v>
      </c>
      <c r="K657" s="79">
        <f>EFEITO!$L$657*EFEITO!$Z$501</f>
        <v>0</v>
      </c>
      <c r="L657" s="79">
        <f>EFEITO!$N$657*EFEITO!$AA$501</f>
        <v>0</v>
      </c>
      <c r="M657" s="79">
        <f ca="1">$J$657-EFEITO!$K$657*EFEITO!$Y$657</f>
        <v>777.78193961061334</v>
      </c>
      <c r="N657" s="79">
        <f>$K$657-EFEITO!$M$657*EFEITO!$Z$657</f>
        <v>0</v>
      </c>
      <c r="O657" s="79">
        <f>$L$657-EFEITO!$O$657*EFEITO!$AA$657</f>
        <v>0</v>
      </c>
      <c r="P657" s="18"/>
      <c r="Q657" s="18"/>
      <c r="R657" s="18"/>
      <c r="S657" s="18"/>
      <c r="T657" s="18"/>
      <c r="U657" s="18"/>
      <c r="V657" s="18"/>
      <c r="W657" s="18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70" t="s">
        <v>28</v>
      </c>
      <c r="B658" s="70" t="s">
        <v>35</v>
      </c>
      <c r="C658" s="70" t="s">
        <v>39</v>
      </c>
      <c r="D658" s="70" t="s">
        <v>42</v>
      </c>
      <c r="E658" s="70" t="s">
        <v>25</v>
      </c>
      <c r="F658" s="70" t="s">
        <v>25</v>
      </c>
      <c r="G658" s="70" t="s">
        <v>25</v>
      </c>
      <c r="H658" s="70" t="s">
        <v>25</v>
      </c>
      <c r="I658" s="78">
        <v>44409</v>
      </c>
      <c r="J658" s="79">
        <f ca="1">EFEITO!$J$658*EFEITO!$Y$501</f>
        <v>-4568.0223548000113</v>
      </c>
      <c r="K658" s="79">
        <f>EFEITO!$L$658*EFEITO!$Z$501</f>
        <v>0</v>
      </c>
      <c r="L658" s="79">
        <f>EFEITO!$N$658*EFEITO!$AA$501</f>
        <v>0</v>
      </c>
      <c r="M658" s="79">
        <f ca="1">$J$658-EFEITO!$K$658*EFEITO!$Y$658</f>
        <v>-91.360447096000826</v>
      </c>
      <c r="N658" s="79">
        <f>$K$658-EFEITO!$M$658*EFEITO!$Z$658</f>
        <v>0</v>
      </c>
      <c r="O658" s="79">
        <f>$L$658-EFEITO!$O$658*EFEITO!$AA$658</f>
        <v>0</v>
      </c>
      <c r="P658" s="18"/>
      <c r="Q658" s="18"/>
      <c r="R658" s="18"/>
      <c r="S658" s="18"/>
      <c r="T658" s="18"/>
      <c r="U658" s="18"/>
      <c r="V658" s="18"/>
      <c r="W658" s="18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70" t="s">
        <v>21</v>
      </c>
      <c r="B659" s="70" t="s">
        <v>35</v>
      </c>
      <c r="C659" s="70" t="s">
        <v>39</v>
      </c>
      <c r="D659" s="70" t="s">
        <v>42</v>
      </c>
      <c r="E659" s="70" t="s">
        <v>25</v>
      </c>
      <c r="F659" s="70" t="s">
        <v>25</v>
      </c>
      <c r="G659" s="70" t="s">
        <v>25</v>
      </c>
      <c r="H659" s="70" t="s">
        <v>25</v>
      </c>
      <c r="I659" s="78">
        <v>44440</v>
      </c>
      <c r="J659" s="79">
        <f ca="1">EFEITO!$J$659*EFEITO!$Y$501</f>
        <v>231416.01249416856</v>
      </c>
      <c r="K659" s="79">
        <f>EFEITO!$L$659*EFEITO!$Z$501</f>
        <v>0</v>
      </c>
      <c r="L659" s="79">
        <f>EFEITO!$N$659*EFEITO!$AA$501</f>
        <v>0</v>
      </c>
      <c r="M659" s="79">
        <f ca="1">$J$659-EFEITO!$K$659*EFEITO!$Y$659</f>
        <v>4628.3202498833707</v>
      </c>
      <c r="N659" s="79">
        <f>$K$659-EFEITO!$M$659*EFEITO!$Z$659</f>
        <v>0</v>
      </c>
      <c r="O659" s="79">
        <f>$L$659-EFEITO!$O$659*EFEITO!$AA$659</f>
        <v>0</v>
      </c>
      <c r="P659" s="18"/>
      <c r="Q659" s="18"/>
      <c r="R659" s="18"/>
      <c r="S659" s="18"/>
      <c r="T659" s="18"/>
      <c r="U659" s="18"/>
      <c r="V659" s="18"/>
      <c r="W659" s="18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70" t="s">
        <v>28</v>
      </c>
      <c r="B660" s="70" t="s">
        <v>35</v>
      </c>
      <c r="C660" s="70" t="s">
        <v>39</v>
      </c>
      <c r="D660" s="70" t="s">
        <v>42</v>
      </c>
      <c r="E660" s="70" t="s">
        <v>25</v>
      </c>
      <c r="F660" s="70" t="s">
        <v>25</v>
      </c>
      <c r="G660" s="70" t="s">
        <v>25</v>
      </c>
      <c r="H660" s="70" t="s">
        <v>25</v>
      </c>
      <c r="I660" s="78">
        <v>44440</v>
      </c>
      <c r="J660" s="79">
        <f ca="1">EFEITO!$J$660*EFEITO!$Y$501</f>
        <v>33803.365425520082</v>
      </c>
      <c r="K660" s="79">
        <f>EFEITO!$L$660*EFEITO!$Z$501</f>
        <v>0</v>
      </c>
      <c r="L660" s="79">
        <f>EFEITO!$N$660*EFEITO!$AA$501</f>
        <v>0</v>
      </c>
      <c r="M660" s="79">
        <f ca="1">$J$660-EFEITO!$K$660*EFEITO!$Y$660</f>
        <v>676.06730851039902</v>
      </c>
      <c r="N660" s="79">
        <f>$K$660-EFEITO!$M$660*EFEITO!$Z$660</f>
        <v>0</v>
      </c>
      <c r="O660" s="79">
        <f>$L$660-EFEITO!$O$660*EFEITO!$AA$660</f>
        <v>0</v>
      </c>
      <c r="P660" s="18"/>
      <c r="Q660" s="18"/>
      <c r="R660" s="18"/>
      <c r="S660" s="18"/>
      <c r="T660" s="18"/>
      <c r="U660" s="18"/>
      <c r="V660" s="18"/>
      <c r="W660" s="18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70" t="s">
        <v>21</v>
      </c>
      <c r="B661" s="70" t="s">
        <v>35</v>
      </c>
      <c r="C661" s="70" t="s">
        <v>39</v>
      </c>
      <c r="D661" s="70" t="s">
        <v>42</v>
      </c>
      <c r="E661" s="70" t="s">
        <v>25</v>
      </c>
      <c r="F661" s="70" t="s">
        <v>25</v>
      </c>
      <c r="G661" s="70" t="s">
        <v>25</v>
      </c>
      <c r="H661" s="70" t="s">
        <v>25</v>
      </c>
      <c r="I661" s="78">
        <v>44470</v>
      </c>
      <c r="J661" s="79">
        <f ca="1">EFEITO!$J$661*EFEITO!$Y$501</f>
        <v>221488.17724306986</v>
      </c>
      <c r="K661" s="79">
        <f>EFEITO!$L$661*EFEITO!$Z$501</f>
        <v>0</v>
      </c>
      <c r="L661" s="79">
        <f>EFEITO!$N$661*EFEITO!$AA$501</f>
        <v>0</v>
      </c>
      <c r="M661" s="79">
        <f ca="1">$J$661-EFEITO!$K$661*EFEITO!$Y$661</f>
        <v>4429.7635448614019</v>
      </c>
      <c r="N661" s="79">
        <f>$K$661-EFEITO!$M$661*EFEITO!$Z$661</f>
        <v>0</v>
      </c>
      <c r="O661" s="79">
        <f>$L$661-EFEITO!$O$661*EFEITO!$AA$661</f>
        <v>0</v>
      </c>
      <c r="P661" s="18"/>
      <c r="Q661" s="18"/>
      <c r="R661" s="18"/>
      <c r="S661" s="18"/>
      <c r="T661" s="18"/>
      <c r="U661" s="18"/>
      <c r="V661" s="18"/>
      <c r="W661" s="18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70" t="s">
        <v>28</v>
      </c>
      <c r="B662" s="70" t="s">
        <v>35</v>
      </c>
      <c r="C662" s="70" t="s">
        <v>39</v>
      </c>
      <c r="D662" s="70" t="s">
        <v>42</v>
      </c>
      <c r="E662" s="70" t="s">
        <v>25</v>
      </c>
      <c r="F662" s="70" t="s">
        <v>25</v>
      </c>
      <c r="G662" s="70" t="s">
        <v>25</v>
      </c>
      <c r="H662" s="70" t="s">
        <v>25</v>
      </c>
      <c r="I662" s="78">
        <v>44470</v>
      </c>
      <c r="J662" s="79">
        <f ca="1">EFEITO!$J$662*EFEITO!$Y$501</f>
        <v>34656.062931749417</v>
      </c>
      <c r="K662" s="79">
        <f>EFEITO!$L$662*EFEITO!$Z$501</f>
        <v>0</v>
      </c>
      <c r="L662" s="79">
        <f>EFEITO!$N$662*EFEITO!$AA$501</f>
        <v>0</v>
      </c>
      <c r="M662" s="79">
        <f ca="1">$J$662-EFEITO!$K$662*EFEITO!$Y$662</f>
        <v>693.12125863498659</v>
      </c>
      <c r="N662" s="79">
        <f>$K$662-EFEITO!$M$662*EFEITO!$Z$662</f>
        <v>0</v>
      </c>
      <c r="O662" s="79">
        <f>$L$662-EFEITO!$O$662*EFEITO!$AA$662</f>
        <v>0</v>
      </c>
      <c r="P662" s="18"/>
      <c r="Q662" s="18"/>
      <c r="R662" s="18"/>
      <c r="S662" s="18"/>
      <c r="T662" s="18"/>
      <c r="U662" s="18"/>
      <c r="V662" s="18"/>
      <c r="W662" s="18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70" t="s">
        <v>21</v>
      </c>
      <c r="B663" s="70" t="s">
        <v>35</v>
      </c>
      <c r="C663" s="70" t="s">
        <v>39</v>
      </c>
      <c r="D663" s="70" t="s">
        <v>42</v>
      </c>
      <c r="E663" s="70" t="s">
        <v>25</v>
      </c>
      <c r="F663" s="70" t="s">
        <v>25</v>
      </c>
      <c r="G663" s="70" t="s">
        <v>25</v>
      </c>
      <c r="H663" s="70" t="s">
        <v>25</v>
      </c>
      <c r="I663" s="78">
        <v>44501</v>
      </c>
      <c r="J663" s="79">
        <f ca="1">EFEITO!$J$663*EFEITO!$Y$501</f>
        <v>258885.05358769931</v>
      </c>
      <c r="K663" s="79">
        <f>EFEITO!$L$663*EFEITO!$Z$501</f>
        <v>0</v>
      </c>
      <c r="L663" s="79">
        <f>EFEITO!$N$663*EFEITO!$AA$501</f>
        <v>0</v>
      </c>
      <c r="M663" s="79">
        <f ca="1">$J$663-EFEITO!$K$663*EFEITO!$Y$663</f>
        <v>5177.7010717540106</v>
      </c>
      <c r="N663" s="79">
        <f>$K$663-EFEITO!$M$663*EFEITO!$Z$663</f>
        <v>0</v>
      </c>
      <c r="O663" s="79">
        <f>$L$663-EFEITO!$O$663*EFEITO!$AA$663</f>
        <v>0</v>
      </c>
      <c r="P663" s="18"/>
      <c r="Q663" s="18"/>
      <c r="R663" s="18"/>
      <c r="S663" s="18"/>
      <c r="T663" s="18"/>
      <c r="U663" s="18"/>
      <c r="V663" s="18"/>
      <c r="W663" s="18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70" t="s">
        <v>28</v>
      </c>
      <c r="B664" s="70" t="s">
        <v>35</v>
      </c>
      <c r="C664" s="70" t="s">
        <v>39</v>
      </c>
      <c r="D664" s="70" t="s">
        <v>42</v>
      </c>
      <c r="E664" s="70" t="s">
        <v>25</v>
      </c>
      <c r="F664" s="70" t="s">
        <v>25</v>
      </c>
      <c r="G664" s="70" t="s">
        <v>25</v>
      </c>
      <c r="H664" s="70" t="s">
        <v>25</v>
      </c>
      <c r="I664" s="78">
        <v>44501</v>
      </c>
      <c r="J664" s="79">
        <f ca="1">EFEITO!$J$664*EFEITO!$Y$501</f>
        <v>39528.620110202763</v>
      </c>
      <c r="K664" s="79">
        <f>EFEITO!$L$664*EFEITO!$Z$501</f>
        <v>0</v>
      </c>
      <c r="L664" s="79">
        <f>EFEITO!$N$664*EFEITO!$AA$501</f>
        <v>0</v>
      </c>
      <c r="M664" s="79">
        <f ca="1">$J$664-EFEITO!$K$664*EFEITO!$Y$664</f>
        <v>790.5724022040522</v>
      </c>
      <c r="N664" s="79">
        <f>$K$664-EFEITO!$M$664*EFEITO!$Z$664</f>
        <v>0</v>
      </c>
      <c r="O664" s="79">
        <f>$L$664-EFEITO!$O$664*EFEITO!$AA$664</f>
        <v>0</v>
      </c>
      <c r="P664" s="18"/>
      <c r="Q664" s="18"/>
      <c r="R664" s="18"/>
      <c r="S664" s="18"/>
      <c r="T664" s="18"/>
      <c r="U664" s="18"/>
      <c r="V664" s="18"/>
      <c r="W664" s="18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70" t="s">
        <v>21</v>
      </c>
      <c r="B665" s="70" t="s">
        <v>35</v>
      </c>
      <c r="C665" s="70" t="s">
        <v>39</v>
      </c>
      <c r="D665" s="70" t="s">
        <v>42</v>
      </c>
      <c r="E665" s="70" t="s">
        <v>25</v>
      </c>
      <c r="F665" s="70" t="s">
        <v>25</v>
      </c>
      <c r="G665" s="70" t="s">
        <v>25</v>
      </c>
      <c r="H665" s="70" t="s">
        <v>25</v>
      </c>
      <c r="I665" s="78">
        <v>44531</v>
      </c>
      <c r="J665" s="79">
        <f ca="1">EFEITO!$J$665*EFEITO!$Y$501</f>
        <v>323202.80834328342</v>
      </c>
      <c r="K665" s="79">
        <f>EFEITO!$L$665*EFEITO!$Z$501</f>
        <v>0</v>
      </c>
      <c r="L665" s="79">
        <f>EFEITO!$N$665*EFEITO!$AA$501</f>
        <v>0</v>
      </c>
      <c r="M665" s="79">
        <f ca="1">$J$665-EFEITO!$K$665*EFEITO!$Y$665</f>
        <v>6464.0561668656301</v>
      </c>
      <c r="N665" s="79">
        <f>$K$665-EFEITO!$M$665*EFEITO!$Z$665</f>
        <v>0</v>
      </c>
      <c r="O665" s="79">
        <f>$L$665-EFEITO!$O$665*EFEITO!$AA$665</f>
        <v>0</v>
      </c>
      <c r="P665" s="18"/>
      <c r="Q665" s="18"/>
      <c r="R665" s="18"/>
      <c r="S665" s="18"/>
      <c r="T665" s="18"/>
      <c r="U665" s="18"/>
      <c r="V665" s="18"/>
      <c r="W665" s="18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70" t="s">
        <v>21</v>
      </c>
      <c r="B666" s="70" t="s">
        <v>35</v>
      </c>
      <c r="C666" s="70" t="s">
        <v>39</v>
      </c>
      <c r="D666" s="70" t="s">
        <v>42</v>
      </c>
      <c r="E666" s="70" t="s">
        <v>25</v>
      </c>
      <c r="F666" s="70" t="s">
        <v>25</v>
      </c>
      <c r="G666" s="70" t="s">
        <v>25</v>
      </c>
      <c r="H666" s="70" t="s">
        <v>25</v>
      </c>
      <c r="I666" s="78">
        <v>44562</v>
      </c>
      <c r="J666" s="79">
        <f ca="1">EFEITO!$J$666*EFEITO!$Y$501</f>
        <v>267625.20302655001</v>
      </c>
      <c r="K666" s="79">
        <f>EFEITO!$L$666*EFEITO!$Z$501</f>
        <v>0</v>
      </c>
      <c r="L666" s="79">
        <f>EFEITO!$N$666*EFEITO!$AA$501</f>
        <v>0</v>
      </c>
      <c r="M666" s="79">
        <f ca="1">$J$666-EFEITO!$K$666*EFEITO!$Y$666</f>
        <v>5352.5040605310351</v>
      </c>
      <c r="N666" s="79">
        <f>$K$666-EFEITO!$M$666*EFEITO!$Z$666</f>
        <v>0</v>
      </c>
      <c r="O666" s="79">
        <f>$L$666-EFEITO!$O$666*EFEITO!$AA$666</f>
        <v>0</v>
      </c>
      <c r="P666" s="18"/>
      <c r="Q666" s="18"/>
      <c r="R666" s="18"/>
      <c r="S666" s="18"/>
      <c r="T666" s="18"/>
      <c r="U666" s="18"/>
      <c r="V666" s="18"/>
      <c r="W666" s="18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70" t="s">
        <v>27</v>
      </c>
      <c r="B667" s="70" t="s">
        <v>35</v>
      </c>
      <c r="C667" s="70" t="s">
        <v>39</v>
      </c>
      <c r="D667" s="70" t="s">
        <v>42</v>
      </c>
      <c r="E667" s="70" t="s">
        <v>25</v>
      </c>
      <c r="F667" s="70" t="s">
        <v>25</v>
      </c>
      <c r="G667" s="70" t="s">
        <v>25</v>
      </c>
      <c r="H667" s="70" t="s">
        <v>25</v>
      </c>
      <c r="I667" s="78">
        <v>44562</v>
      </c>
      <c r="J667" s="79">
        <f ca="1">EFEITO!$J$667*EFEITO!$Y$501</f>
        <v>-8861.963368312021</v>
      </c>
      <c r="K667" s="79">
        <f>EFEITO!$L$667*EFEITO!$Z$501</f>
        <v>0</v>
      </c>
      <c r="L667" s="79">
        <f>EFEITO!$N$667*EFEITO!$AA$501</f>
        <v>0</v>
      </c>
      <c r="M667" s="79">
        <f ca="1">$J$667-EFEITO!$K$667*EFEITO!$Y$667</f>
        <v>-177.2392673662398</v>
      </c>
      <c r="N667" s="79">
        <f>$K$667-EFEITO!$M$667*EFEITO!$Z$667</f>
        <v>0</v>
      </c>
      <c r="O667" s="79">
        <f>$L$667-EFEITO!$O$667*EFEITO!$AA$667</f>
        <v>0</v>
      </c>
      <c r="P667" s="18"/>
      <c r="Q667" s="18"/>
      <c r="R667" s="18"/>
      <c r="S667" s="18"/>
      <c r="T667" s="18"/>
      <c r="U667" s="18"/>
      <c r="V667" s="18"/>
      <c r="W667" s="18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70" t="s">
        <v>28</v>
      </c>
      <c r="B668" s="70" t="s">
        <v>35</v>
      </c>
      <c r="C668" s="70" t="s">
        <v>39</v>
      </c>
      <c r="D668" s="70" t="s">
        <v>42</v>
      </c>
      <c r="E668" s="70" t="s">
        <v>25</v>
      </c>
      <c r="F668" s="70" t="s">
        <v>25</v>
      </c>
      <c r="G668" s="70" t="s">
        <v>25</v>
      </c>
      <c r="H668" s="70" t="s">
        <v>25</v>
      </c>
      <c r="I668" s="78">
        <v>44562</v>
      </c>
      <c r="J668" s="79">
        <f ca="1">EFEITO!$J$668*EFEITO!$Y$501</f>
        <v>34016.539802077416</v>
      </c>
      <c r="K668" s="79">
        <f>EFEITO!$L$668*EFEITO!$Z$501</f>
        <v>0</v>
      </c>
      <c r="L668" s="79">
        <f>EFEITO!$N$668*EFEITO!$AA$501</f>
        <v>0</v>
      </c>
      <c r="M668" s="79">
        <f ca="1">$J$668-EFEITO!$K$668*EFEITO!$Y$668</f>
        <v>680.33079604154773</v>
      </c>
      <c r="N668" s="79">
        <f>$K$668-EFEITO!$M$668*EFEITO!$Z$668</f>
        <v>0</v>
      </c>
      <c r="O668" s="79">
        <f>$L$668-EFEITO!$O$668*EFEITO!$AA$668</f>
        <v>0</v>
      </c>
      <c r="P668" s="18"/>
      <c r="Q668" s="18"/>
      <c r="R668" s="18"/>
      <c r="S668" s="18"/>
      <c r="T668" s="18"/>
      <c r="U668" s="18"/>
      <c r="V668" s="18"/>
      <c r="W668" s="18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70" t="s">
        <v>21</v>
      </c>
      <c r="B669" s="70" t="s">
        <v>35</v>
      </c>
      <c r="C669" s="70" t="s">
        <v>39</v>
      </c>
      <c r="D669" s="70" t="s">
        <v>42</v>
      </c>
      <c r="E669" s="70" t="s">
        <v>25</v>
      </c>
      <c r="F669" s="70" t="s">
        <v>25</v>
      </c>
      <c r="G669" s="70" t="s">
        <v>25</v>
      </c>
      <c r="H669" s="70" t="s">
        <v>25</v>
      </c>
      <c r="I669" s="78">
        <v>44593</v>
      </c>
      <c r="J669" s="79">
        <f ca="1">EFEITO!$J$669*EFEITO!$Y$501</f>
        <v>332612.93439417146</v>
      </c>
      <c r="K669" s="79">
        <f>EFEITO!$L$669*EFEITO!$Z$501</f>
        <v>0</v>
      </c>
      <c r="L669" s="79">
        <f>EFEITO!$N$669*EFEITO!$AA$501</f>
        <v>0</v>
      </c>
      <c r="M669" s="79">
        <f ca="1">$J$669-EFEITO!$K$669*EFEITO!$Y$669</f>
        <v>6652.2586878834409</v>
      </c>
      <c r="N669" s="79">
        <f>$K$669-EFEITO!$M$669*EFEITO!$Z$669</f>
        <v>0</v>
      </c>
      <c r="O669" s="79">
        <f>$L$669-EFEITO!$O$669*EFEITO!$AA$669</f>
        <v>0</v>
      </c>
      <c r="P669" s="18"/>
      <c r="Q669" s="18"/>
      <c r="R669" s="18"/>
      <c r="S669" s="18"/>
      <c r="T669" s="18"/>
      <c r="U669" s="18"/>
      <c r="V669" s="18"/>
      <c r="W669" s="18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70" t="s">
        <v>27</v>
      </c>
      <c r="B670" s="70" t="s">
        <v>35</v>
      </c>
      <c r="C670" s="70" t="s">
        <v>39</v>
      </c>
      <c r="D670" s="70" t="s">
        <v>42</v>
      </c>
      <c r="E670" s="70" t="s">
        <v>25</v>
      </c>
      <c r="F670" s="70" t="s">
        <v>25</v>
      </c>
      <c r="G670" s="70" t="s">
        <v>25</v>
      </c>
      <c r="H670" s="70" t="s">
        <v>25</v>
      </c>
      <c r="I670" s="78">
        <v>44593</v>
      </c>
      <c r="J670" s="79">
        <f ca="1">EFEITO!$J$670*EFEITO!$Y$501</f>
        <v>-10354.184004213359</v>
      </c>
      <c r="K670" s="79">
        <f>EFEITO!$L$670*EFEITO!$Z$501</f>
        <v>0</v>
      </c>
      <c r="L670" s="79">
        <f>EFEITO!$N$670*EFEITO!$AA$501</f>
        <v>0</v>
      </c>
      <c r="M670" s="79">
        <f ca="1">$J$670-EFEITO!$K$670*EFEITO!$Y$670</f>
        <v>-207.08368008426805</v>
      </c>
      <c r="N670" s="79">
        <f>$K$670-EFEITO!$M$670*EFEITO!$Z$670</f>
        <v>0</v>
      </c>
      <c r="O670" s="79">
        <f>$L$670-EFEITO!$O$670*EFEITO!$AA$670</f>
        <v>0</v>
      </c>
      <c r="P670" s="18"/>
      <c r="Q670" s="18"/>
      <c r="R670" s="18"/>
      <c r="S670" s="18"/>
      <c r="T670" s="18"/>
      <c r="U670" s="18"/>
      <c r="V670" s="18"/>
      <c r="W670" s="18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70" t="s">
        <v>28</v>
      </c>
      <c r="B671" s="70" t="s">
        <v>35</v>
      </c>
      <c r="C671" s="70" t="s">
        <v>39</v>
      </c>
      <c r="D671" s="70" t="s">
        <v>42</v>
      </c>
      <c r="E671" s="70" t="s">
        <v>25</v>
      </c>
      <c r="F671" s="70" t="s">
        <v>25</v>
      </c>
      <c r="G671" s="70" t="s">
        <v>25</v>
      </c>
      <c r="H671" s="70" t="s">
        <v>25</v>
      </c>
      <c r="I671" s="78">
        <v>44593</v>
      </c>
      <c r="J671" s="79">
        <f ca="1">EFEITO!$J$671*EFEITO!$Y$501</f>
        <v>47781.513831208118</v>
      </c>
      <c r="K671" s="79">
        <f>EFEITO!$L$671*EFEITO!$Z$501</f>
        <v>0</v>
      </c>
      <c r="L671" s="79">
        <f>EFEITO!$N$671*EFEITO!$AA$501</f>
        <v>0</v>
      </c>
      <c r="M671" s="79">
        <f ca="1">$J$671-EFEITO!$K$671*EFEITO!$Y$671</f>
        <v>955.63027662416425</v>
      </c>
      <c r="N671" s="79">
        <f>$K$671-EFEITO!$M$671*EFEITO!$Z$671</f>
        <v>0</v>
      </c>
      <c r="O671" s="79">
        <f>$L$671-EFEITO!$O$671*EFEITO!$AA$671</f>
        <v>0</v>
      </c>
      <c r="P671" s="18"/>
      <c r="Q671" s="18"/>
      <c r="R671" s="18"/>
      <c r="S671" s="18"/>
      <c r="T671" s="18"/>
      <c r="U671" s="18"/>
      <c r="V671" s="18"/>
      <c r="W671" s="18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70" t="s">
        <v>21</v>
      </c>
      <c r="B672" s="70" t="s">
        <v>35</v>
      </c>
      <c r="C672" s="70" t="s">
        <v>39</v>
      </c>
      <c r="D672" s="70" t="s">
        <v>42</v>
      </c>
      <c r="E672" s="70" t="s">
        <v>25</v>
      </c>
      <c r="F672" s="70" t="s">
        <v>25</v>
      </c>
      <c r="G672" s="70" t="s">
        <v>25</v>
      </c>
      <c r="H672" s="70" t="s">
        <v>25</v>
      </c>
      <c r="I672" s="78">
        <v>44621</v>
      </c>
      <c r="J672" s="79">
        <f ca="1">EFEITO!$J$672*EFEITO!$Y$501</f>
        <v>314310.39149260608</v>
      </c>
      <c r="K672" s="79">
        <f>EFEITO!$L$672*EFEITO!$Z$501</f>
        <v>0</v>
      </c>
      <c r="L672" s="79">
        <f>EFEITO!$N$672*EFEITO!$AA$501</f>
        <v>0</v>
      </c>
      <c r="M672" s="79">
        <f ca="1">$J$672-EFEITO!$K$672*EFEITO!$Y$672</f>
        <v>6286.2078298521228</v>
      </c>
      <c r="N672" s="79">
        <f>$K$672-EFEITO!$M$672*EFEITO!$Z$672</f>
        <v>0</v>
      </c>
      <c r="O672" s="79">
        <f>$L$672-EFEITO!$O$672*EFEITO!$AA$672</f>
        <v>0</v>
      </c>
      <c r="P672" s="18"/>
      <c r="Q672" s="18"/>
      <c r="R672" s="18"/>
      <c r="S672" s="18"/>
      <c r="T672" s="18"/>
      <c r="U672" s="18"/>
      <c r="V672" s="18"/>
      <c r="W672" s="18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70" t="s">
        <v>27</v>
      </c>
      <c r="B673" s="70" t="s">
        <v>35</v>
      </c>
      <c r="C673" s="70" t="s">
        <v>39</v>
      </c>
      <c r="D673" s="70" t="s">
        <v>42</v>
      </c>
      <c r="E673" s="70" t="s">
        <v>25</v>
      </c>
      <c r="F673" s="70" t="s">
        <v>25</v>
      </c>
      <c r="G673" s="70" t="s">
        <v>25</v>
      </c>
      <c r="H673" s="70" t="s">
        <v>25</v>
      </c>
      <c r="I673" s="78">
        <v>44621</v>
      </c>
      <c r="J673" s="79">
        <f ca="1">EFEITO!$J$673*EFEITO!$Y$501</f>
        <v>-9988.7422158293575</v>
      </c>
      <c r="K673" s="79">
        <f>EFEITO!$L$673*EFEITO!$Z$501</f>
        <v>0</v>
      </c>
      <c r="L673" s="79">
        <f>EFEITO!$N$673*EFEITO!$AA$501</f>
        <v>0</v>
      </c>
      <c r="M673" s="79">
        <f ca="1">$J$673-EFEITO!$K$673*EFEITO!$Y$673</f>
        <v>-199.77484431658741</v>
      </c>
      <c r="N673" s="79">
        <f>$K$673-EFEITO!$M$673*EFEITO!$Z$673</f>
        <v>0</v>
      </c>
      <c r="O673" s="79">
        <f>$L$673-EFEITO!$O$673*EFEITO!$AA$673</f>
        <v>0</v>
      </c>
      <c r="P673" s="18"/>
      <c r="Q673" s="18"/>
      <c r="R673" s="18"/>
      <c r="S673" s="18"/>
      <c r="T673" s="18"/>
      <c r="U673" s="18"/>
      <c r="V673" s="18"/>
      <c r="W673" s="18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70" t="s">
        <v>28</v>
      </c>
      <c r="B674" s="70" t="s">
        <v>35</v>
      </c>
      <c r="C674" s="70" t="s">
        <v>39</v>
      </c>
      <c r="D674" s="70" t="s">
        <v>42</v>
      </c>
      <c r="E674" s="70" t="s">
        <v>25</v>
      </c>
      <c r="F674" s="70" t="s">
        <v>25</v>
      </c>
      <c r="G674" s="70" t="s">
        <v>25</v>
      </c>
      <c r="H674" s="70" t="s">
        <v>25</v>
      </c>
      <c r="I674" s="78">
        <v>44621</v>
      </c>
      <c r="J674" s="79">
        <f ca="1">EFEITO!$J$674*EFEITO!$Y$501</f>
        <v>57952.976941229477</v>
      </c>
      <c r="K674" s="79">
        <f>EFEITO!$L$674*EFEITO!$Z$501</f>
        <v>0</v>
      </c>
      <c r="L674" s="79">
        <f>EFEITO!$N$674*EFEITO!$AA$501</f>
        <v>0</v>
      </c>
      <c r="M674" s="79">
        <f ca="1">$J$674-EFEITO!$K$674*EFEITO!$Y$674</f>
        <v>1159.0595388245929</v>
      </c>
      <c r="N674" s="79">
        <f>$K$674-EFEITO!$M$674*EFEITO!$Z$674</f>
        <v>0</v>
      </c>
      <c r="O674" s="79">
        <f>$L$674-EFEITO!$O$674*EFEITO!$AA$674</f>
        <v>0</v>
      </c>
      <c r="P674" s="18"/>
      <c r="Q674" s="18"/>
      <c r="R674" s="18"/>
      <c r="S674" s="18"/>
      <c r="T674" s="18"/>
      <c r="U674" s="18"/>
      <c r="V674" s="18"/>
      <c r="W674" s="18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70" t="s">
        <v>21</v>
      </c>
      <c r="B675" s="70" t="s">
        <v>35</v>
      </c>
      <c r="C675" s="70" t="s">
        <v>39</v>
      </c>
      <c r="D675" s="70" t="s">
        <v>42</v>
      </c>
      <c r="E675" s="70" t="s">
        <v>25</v>
      </c>
      <c r="F675" s="70" t="s">
        <v>25</v>
      </c>
      <c r="G675" s="70" t="s">
        <v>25</v>
      </c>
      <c r="H675" s="70" t="s">
        <v>25</v>
      </c>
      <c r="I675" s="78">
        <v>44652</v>
      </c>
      <c r="J675" s="79">
        <f ca="1">EFEITO!$J$675*EFEITO!$Y$501</f>
        <v>308067.42760771274</v>
      </c>
      <c r="K675" s="79">
        <f>EFEITO!$L$675*EFEITO!$Z$501</f>
        <v>0</v>
      </c>
      <c r="L675" s="79">
        <f>EFEITO!$N$675*EFEITO!$AA$501</f>
        <v>0</v>
      </c>
      <c r="M675" s="79">
        <f ca="1">$J$675-EFEITO!$K$675*EFEITO!$Y$675</f>
        <v>6161.3485521542607</v>
      </c>
      <c r="N675" s="79">
        <f>$K$675-EFEITO!$M$675*EFEITO!$Z$675</f>
        <v>0</v>
      </c>
      <c r="O675" s="79">
        <f>$L$675-EFEITO!$O$675*EFEITO!$AA$675</f>
        <v>0</v>
      </c>
      <c r="P675" s="18"/>
      <c r="Q675" s="18"/>
      <c r="R675" s="18"/>
      <c r="S675" s="18"/>
      <c r="T675" s="18"/>
      <c r="U675" s="18"/>
      <c r="V675" s="18"/>
      <c r="W675" s="18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70" t="s">
        <v>28</v>
      </c>
      <c r="B676" s="70" t="s">
        <v>35</v>
      </c>
      <c r="C676" s="70" t="s">
        <v>39</v>
      </c>
      <c r="D676" s="70" t="s">
        <v>42</v>
      </c>
      <c r="E676" s="70" t="s">
        <v>25</v>
      </c>
      <c r="F676" s="70" t="s">
        <v>25</v>
      </c>
      <c r="G676" s="70" t="s">
        <v>25</v>
      </c>
      <c r="H676" s="70" t="s">
        <v>25</v>
      </c>
      <c r="I676" s="78">
        <v>44652</v>
      </c>
      <c r="J676" s="79">
        <f ca="1">EFEITO!$J$676*EFEITO!$Y$501</f>
        <v>60571.97642464815</v>
      </c>
      <c r="K676" s="79">
        <f>EFEITO!$L$676*EFEITO!$Z$501</f>
        <v>0</v>
      </c>
      <c r="L676" s="79">
        <f>EFEITO!$N$676*EFEITO!$AA$501</f>
        <v>0</v>
      </c>
      <c r="M676" s="79">
        <f ca="1">$J$676-EFEITO!$K$676*EFEITO!$Y$676</f>
        <v>1211.4395284929633</v>
      </c>
      <c r="N676" s="79">
        <f>$K$676-EFEITO!$M$676*EFEITO!$Z$676</f>
        <v>0</v>
      </c>
      <c r="O676" s="79">
        <f>$L$676-EFEITO!$O$676*EFEITO!$AA$676</f>
        <v>0</v>
      </c>
      <c r="P676" s="18"/>
      <c r="Q676" s="18"/>
      <c r="R676" s="18"/>
      <c r="S676" s="18"/>
      <c r="T676" s="18"/>
      <c r="U676" s="18"/>
      <c r="V676" s="18"/>
      <c r="W676" s="18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70" t="s">
        <v>21</v>
      </c>
      <c r="B677" s="70" t="s">
        <v>35</v>
      </c>
      <c r="C677" s="70" t="s">
        <v>39</v>
      </c>
      <c r="D677" s="70" t="s">
        <v>42</v>
      </c>
      <c r="E677" s="70" t="s">
        <v>25</v>
      </c>
      <c r="F677" s="70" t="s">
        <v>25</v>
      </c>
      <c r="G677" s="70" t="s">
        <v>25</v>
      </c>
      <c r="H677" s="70" t="s">
        <v>25</v>
      </c>
      <c r="I677" s="78">
        <v>44682</v>
      </c>
      <c r="J677" s="79">
        <f ca="1">EFEITO!$J$677*EFEITO!$Y$501</f>
        <v>353717.19767334755</v>
      </c>
      <c r="K677" s="79">
        <f>EFEITO!$L$677*EFEITO!$Z$501</f>
        <v>0</v>
      </c>
      <c r="L677" s="79">
        <f>EFEITO!$N$677*EFEITO!$AA$501</f>
        <v>0</v>
      </c>
      <c r="M677" s="79">
        <f ca="1">$J$677-EFEITO!$K$677*EFEITO!$Y$677</f>
        <v>7074.3439534669742</v>
      </c>
      <c r="N677" s="79">
        <f>$K$677-EFEITO!$M$677*EFEITO!$Z$677</f>
        <v>0</v>
      </c>
      <c r="O677" s="79">
        <f>$L$677-EFEITO!$O$677*EFEITO!$AA$677</f>
        <v>0</v>
      </c>
      <c r="P677" s="18"/>
      <c r="Q677" s="18"/>
      <c r="R677" s="18"/>
      <c r="S677" s="18"/>
      <c r="T677" s="18"/>
      <c r="U677" s="18"/>
      <c r="V677" s="18"/>
      <c r="W677" s="18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70" t="s">
        <v>27</v>
      </c>
      <c r="B678" s="70" t="s">
        <v>35</v>
      </c>
      <c r="C678" s="70" t="s">
        <v>39</v>
      </c>
      <c r="D678" s="70" t="s">
        <v>42</v>
      </c>
      <c r="E678" s="70" t="s">
        <v>25</v>
      </c>
      <c r="F678" s="70" t="s">
        <v>25</v>
      </c>
      <c r="G678" s="70" t="s">
        <v>25</v>
      </c>
      <c r="H678" s="70" t="s">
        <v>25</v>
      </c>
      <c r="I678" s="78">
        <v>44682</v>
      </c>
      <c r="J678" s="79">
        <f ca="1">EFEITO!$J$678*EFEITO!$Y$501</f>
        <v>-9257.8586390613564</v>
      </c>
      <c r="K678" s="79">
        <f>EFEITO!$L$678*EFEITO!$Z$501</f>
        <v>0</v>
      </c>
      <c r="L678" s="79">
        <f>EFEITO!$N$678*EFEITO!$AA$501</f>
        <v>0</v>
      </c>
      <c r="M678" s="79">
        <f ca="1">$J$678-EFEITO!$K$678*EFEITO!$Y$678</f>
        <v>-185.15717278122793</v>
      </c>
      <c r="N678" s="79">
        <f>$K$678-EFEITO!$M$678*EFEITO!$Z$678</f>
        <v>0</v>
      </c>
      <c r="O678" s="79">
        <f>$L$678-EFEITO!$O$678*EFEITO!$AA$678</f>
        <v>0</v>
      </c>
      <c r="P678" s="18"/>
      <c r="Q678" s="18"/>
      <c r="R678" s="18"/>
      <c r="S678" s="18"/>
      <c r="T678" s="18"/>
      <c r="U678" s="18"/>
      <c r="V678" s="18"/>
      <c r="W678" s="18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70" t="s">
        <v>28</v>
      </c>
      <c r="B679" s="70" t="s">
        <v>35</v>
      </c>
      <c r="C679" s="70" t="s">
        <v>39</v>
      </c>
      <c r="D679" s="70" t="s">
        <v>42</v>
      </c>
      <c r="E679" s="70" t="s">
        <v>25</v>
      </c>
      <c r="F679" s="70" t="s">
        <v>25</v>
      </c>
      <c r="G679" s="70" t="s">
        <v>25</v>
      </c>
      <c r="H679" s="70" t="s">
        <v>25</v>
      </c>
      <c r="I679" s="78">
        <v>44682</v>
      </c>
      <c r="J679" s="79">
        <f ca="1">EFEITO!$J$679*EFEITO!$Y$501</f>
        <v>72722.915888416173</v>
      </c>
      <c r="K679" s="79">
        <f>EFEITO!$L$679*EFEITO!$Z$501</f>
        <v>0</v>
      </c>
      <c r="L679" s="79">
        <f>EFEITO!$N$679*EFEITO!$AA$501</f>
        <v>0</v>
      </c>
      <c r="M679" s="79">
        <f ca="1">$J$679-EFEITO!$K$679*EFEITO!$Y$679</f>
        <v>1454.4583177683235</v>
      </c>
      <c r="N679" s="79">
        <f>$K$679-EFEITO!$M$679*EFEITO!$Z$679</f>
        <v>0</v>
      </c>
      <c r="O679" s="79">
        <f>$L$679-EFEITO!$O$679*EFEITO!$AA$679</f>
        <v>0</v>
      </c>
      <c r="P679" s="18"/>
      <c r="Q679" s="18"/>
      <c r="R679" s="18"/>
      <c r="S679" s="18"/>
      <c r="T679" s="18"/>
      <c r="U679" s="18"/>
      <c r="V679" s="18"/>
      <c r="W679" s="18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70" t="s">
        <v>28</v>
      </c>
      <c r="B680" s="70" t="s">
        <v>35</v>
      </c>
      <c r="C680" s="70" t="s">
        <v>39</v>
      </c>
      <c r="D680" s="70" t="s">
        <v>42</v>
      </c>
      <c r="E680" s="70" t="s">
        <v>25</v>
      </c>
      <c r="F680" s="70" t="s">
        <v>25</v>
      </c>
      <c r="G680" s="70" t="s">
        <v>25</v>
      </c>
      <c r="H680" s="70" t="s">
        <v>25</v>
      </c>
      <c r="I680" s="78">
        <v>44682</v>
      </c>
      <c r="J680" s="79">
        <f ca="1">EFEITO!$J$680*EFEITO!$Y$501</f>
        <v>-8100.6263091786859</v>
      </c>
      <c r="K680" s="79">
        <f>EFEITO!$L$680*EFEITO!$Z$501</f>
        <v>0</v>
      </c>
      <c r="L680" s="79">
        <f>EFEITO!$N$680*EFEITO!$AA$501</f>
        <v>0</v>
      </c>
      <c r="M680" s="79">
        <f ca="1">$J$680-EFEITO!$K$680*EFEITO!$Y$680</f>
        <v>-162.01252618357375</v>
      </c>
      <c r="N680" s="79">
        <f>$K$680-EFEITO!$M$680*EFEITO!$Z$680</f>
        <v>0</v>
      </c>
      <c r="O680" s="79">
        <f>$L$680-EFEITO!$O$680*EFEITO!$AA$680</f>
        <v>0</v>
      </c>
      <c r="P680" s="18"/>
      <c r="Q680" s="18"/>
      <c r="R680" s="18"/>
      <c r="S680" s="18"/>
      <c r="T680" s="18"/>
      <c r="U680" s="18"/>
      <c r="V680" s="18"/>
      <c r="W680" s="18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70" t="s">
        <v>21</v>
      </c>
      <c r="B681" s="70" t="s">
        <v>35</v>
      </c>
      <c r="C681" s="70" t="s">
        <v>39</v>
      </c>
      <c r="D681" s="70" t="s">
        <v>42</v>
      </c>
      <c r="E681" s="70" t="s">
        <v>25</v>
      </c>
      <c r="F681" s="70" t="s">
        <v>25</v>
      </c>
      <c r="G681" s="70" t="s">
        <v>25</v>
      </c>
      <c r="H681" s="70" t="s">
        <v>25</v>
      </c>
      <c r="I681" s="78">
        <v>44713</v>
      </c>
      <c r="J681" s="79">
        <f ca="1">EFEITO!$J$681*EFEITO!$Y$501</f>
        <v>339312.70051454485</v>
      </c>
      <c r="K681" s="79">
        <f>EFEITO!$L$681*EFEITO!$Z$501</f>
        <v>0</v>
      </c>
      <c r="L681" s="79">
        <f>EFEITO!$N$681*EFEITO!$AA$501</f>
        <v>0</v>
      </c>
      <c r="M681" s="79">
        <f ca="1">$J$681-EFEITO!$K$681*EFEITO!$Y$681</f>
        <v>6786.2540102909552</v>
      </c>
      <c r="N681" s="79">
        <f>$K$681-EFEITO!$M$681*EFEITO!$Z$681</f>
        <v>0</v>
      </c>
      <c r="O681" s="79">
        <f>$L$681-EFEITO!$O$681*EFEITO!$AA$681</f>
        <v>0</v>
      </c>
      <c r="P681" s="18"/>
      <c r="Q681" s="18"/>
      <c r="R681" s="18"/>
      <c r="S681" s="18"/>
      <c r="T681" s="18"/>
      <c r="U681" s="18"/>
      <c r="V681" s="18"/>
      <c r="W681" s="18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70" t="s">
        <v>27</v>
      </c>
      <c r="B682" s="70" t="s">
        <v>35</v>
      </c>
      <c r="C682" s="70" t="s">
        <v>39</v>
      </c>
      <c r="D682" s="70" t="s">
        <v>42</v>
      </c>
      <c r="E682" s="70" t="s">
        <v>25</v>
      </c>
      <c r="F682" s="70" t="s">
        <v>25</v>
      </c>
      <c r="G682" s="70" t="s">
        <v>25</v>
      </c>
      <c r="H682" s="70" t="s">
        <v>25</v>
      </c>
      <c r="I682" s="78">
        <v>44713</v>
      </c>
      <c r="J682" s="79">
        <f ca="1">EFEITO!$J$682*EFEITO!$Y$501</f>
        <v>-2771.26689524534</v>
      </c>
      <c r="K682" s="79">
        <f>EFEITO!$L$682*EFEITO!$Z$501</f>
        <v>0</v>
      </c>
      <c r="L682" s="79">
        <f>EFEITO!$N$682*EFEITO!$AA$501</f>
        <v>0</v>
      </c>
      <c r="M682" s="79">
        <f ca="1">$J$682-EFEITO!$K$682*EFEITO!$Y$682</f>
        <v>-55.425337904906883</v>
      </c>
      <c r="N682" s="79">
        <f>$K$682-EFEITO!$M$682*EFEITO!$Z$682</f>
        <v>0</v>
      </c>
      <c r="O682" s="79">
        <f>$L$682-EFEITO!$O$682*EFEITO!$AA$682</f>
        <v>0</v>
      </c>
      <c r="P682" s="18"/>
      <c r="Q682" s="18"/>
      <c r="R682" s="18"/>
      <c r="S682" s="18"/>
      <c r="T682" s="18"/>
      <c r="U682" s="18"/>
      <c r="V682" s="18"/>
      <c r="W682" s="18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70" t="s">
        <v>28</v>
      </c>
      <c r="B683" s="70" t="s">
        <v>35</v>
      </c>
      <c r="C683" s="70" t="s">
        <v>39</v>
      </c>
      <c r="D683" s="70" t="s">
        <v>42</v>
      </c>
      <c r="E683" s="70" t="s">
        <v>25</v>
      </c>
      <c r="F683" s="70" t="s">
        <v>25</v>
      </c>
      <c r="G683" s="70" t="s">
        <v>25</v>
      </c>
      <c r="H683" s="70" t="s">
        <v>25</v>
      </c>
      <c r="I683" s="78">
        <v>44713</v>
      </c>
      <c r="J683" s="79">
        <f ca="1">EFEITO!$J$683*EFEITO!$Y$501</f>
        <v>77077.763866658861</v>
      </c>
      <c r="K683" s="79">
        <f>EFEITO!$L$683*EFEITO!$Z$501</f>
        <v>0</v>
      </c>
      <c r="L683" s="79">
        <f>EFEITO!$N$683*EFEITO!$AA$501</f>
        <v>0</v>
      </c>
      <c r="M683" s="79">
        <f ca="1">$J$683-EFEITO!$K$683*EFEITO!$Y$683</f>
        <v>1541.5552773331874</v>
      </c>
      <c r="N683" s="79">
        <f>$K$683-EFEITO!$M$683*EFEITO!$Z$683</f>
        <v>0</v>
      </c>
      <c r="O683" s="79">
        <f>$L$683-EFEITO!$O$683*EFEITO!$AA$683</f>
        <v>0</v>
      </c>
      <c r="P683" s="18"/>
      <c r="Q683" s="18"/>
      <c r="R683" s="18"/>
      <c r="S683" s="18"/>
      <c r="T683" s="18"/>
      <c r="U683" s="18"/>
      <c r="V683" s="18"/>
      <c r="W683" s="18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70" t="s">
        <v>21</v>
      </c>
      <c r="B684" s="70" t="s">
        <v>35</v>
      </c>
      <c r="C684" s="70" t="s">
        <v>39</v>
      </c>
      <c r="D684" s="70" t="s">
        <v>42</v>
      </c>
      <c r="E684" s="70" t="s">
        <v>25</v>
      </c>
      <c r="F684" s="70" t="s">
        <v>25</v>
      </c>
      <c r="G684" s="70" t="s">
        <v>25</v>
      </c>
      <c r="H684" s="70" t="s">
        <v>37</v>
      </c>
      <c r="I684" s="78">
        <v>44378</v>
      </c>
      <c r="J684" s="79">
        <f>EFEITO!$J$684*EFEITO!$Y$516</f>
        <v>0</v>
      </c>
      <c r="K684" s="79">
        <f ca="1">EFEITO!$L$684*EFEITO!$Z$516</f>
        <v>190284.78685462731</v>
      </c>
      <c r="L684" s="79">
        <f>EFEITO!$N$684*EFEITO!$AA$516</f>
        <v>28955.769846715251</v>
      </c>
      <c r="M684" s="79">
        <f>$J$684-EFEITO!$K$684*EFEITO!$Y$684</f>
        <v>0</v>
      </c>
      <c r="N684" s="79">
        <f ca="1">$K$684-EFEITO!$M$684*EFEITO!$Z$684</f>
        <v>3805.695737092552</v>
      </c>
      <c r="O684" s="79">
        <f>$L$684-EFEITO!$O$684*EFEITO!$AA$684</f>
        <v>579.11539693430677</v>
      </c>
      <c r="P684" s="18"/>
      <c r="Q684" s="18"/>
      <c r="R684" s="18"/>
      <c r="S684" s="18"/>
      <c r="T684" s="18"/>
      <c r="U684" s="18"/>
      <c r="V684" s="18"/>
      <c r="W684" s="18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70" t="s">
        <v>21</v>
      </c>
      <c r="B685" s="70" t="s">
        <v>35</v>
      </c>
      <c r="C685" s="70" t="s">
        <v>39</v>
      </c>
      <c r="D685" s="70" t="s">
        <v>42</v>
      </c>
      <c r="E685" s="70" t="s">
        <v>25</v>
      </c>
      <c r="F685" s="70" t="s">
        <v>25</v>
      </c>
      <c r="G685" s="70" t="s">
        <v>25</v>
      </c>
      <c r="H685" s="70" t="s">
        <v>37</v>
      </c>
      <c r="I685" s="78">
        <v>44409</v>
      </c>
      <c r="J685" s="79">
        <f>EFEITO!$J$685*EFEITO!$Y$516</f>
        <v>0</v>
      </c>
      <c r="K685" s="79">
        <f ca="1">EFEITO!$L$685*EFEITO!$Z$516</f>
        <v>202200.1332441431</v>
      </c>
      <c r="L685" s="79">
        <f>EFEITO!$N$685*EFEITO!$AA$516</f>
        <v>30768.936487106184</v>
      </c>
      <c r="M685" s="79">
        <f>$J$685-EFEITO!$K$685*EFEITO!$Y$685</f>
        <v>0</v>
      </c>
      <c r="N685" s="79">
        <f ca="1">$K$685-EFEITO!$M$685*EFEITO!$Z$685</f>
        <v>4044.0026648828643</v>
      </c>
      <c r="O685" s="79">
        <f>$L$685-EFEITO!$O$685*EFEITO!$AA$685</f>
        <v>615.37872974212587</v>
      </c>
      <c r="P685" s="18"/>
      <c r="Q685" s="18"/>
      <c r="R685" s="18"/>
      <c r="S685" s="18"/>
      <c r="T685" s="18"/>
      <c r="U685" s="18"/>
      <c r="V685" s="18"/>
      <c r="W685" s="18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70" t="s">
        <v>28</v>
      </c>
      <c r="B686" s="70" t="s">
        <v>35</v>
      </c>
      <c r="C686" s="70" t="s">
        <v>39</v>
      </c>
      <c r="D686" s="70" t="s">
        <v>42</v>
      </c>
      <c r="E686" s="70" t="s">
        <v>25</v>
      </c>
      <c r="F686" s="70" t="s">
        <v>25</v>
      </c>
      <c r="G686" s="70" t="s">
        <v>25</v>
      </c>
      <c r="H686" s="70" t="s">
        <v>37</v>
      </c>
      <c r="I686" s="78">
        <v>44409</v>
      </c>
      <c r="J686" s="79">
        <f>EFEITO!$J$686*EFEITO!$Y$516</f>
        <v>0</v>
      </c>
      <c r="K686" s="79">
        <f ca="1">EFEITO!$L$686*EFEITO!$Z$516</f>
        <v>4645.5394656686922</v>
      </c>
      <c r="L686" s="79">
        <f>EFEITO!$N$686*EFEITO!$AA$516</f>
        <v>706.91500779040916</v>
      </c>
      <c r="M686" s="79">
        <f>$J$686-EFEITO!$K$686*EFEITO!$Y$686</f>
        <v>0</v>
      </c>
      <c r="N686" s="79">
        <f ca="1">$K$686-EFEITO!$M$686*EFEITO!$Z$686</f>
        <v>92.910789313374153</v>
      </c>
      <c r="O686" s="79">
        <f>$L$686-EFEITO!$O$686*EFEITO!$AA$686</f>
        <v>14.138300155808224</v>
      </c>
      <c r="P686" s="18"/>
      <c r="Q686" s="18"/>
      <c r="R686" s="18"/>
      <c r="S686" s="18"/>
      <c r="T686" s="18"/>
      <c r="U686" s="18"/>
      <c r="V686" s="18"/>
      <c r="W686" s="18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70" t="s">
        <v>28</v>
      </c>
      <c r="B687" s="70" t="s">
        <v>35</v>
      </c>
      <c r="C687" s="70" t="s">
        <v>39</v>
      </c>
      <c r="D687" s="70" t="s">
        <v>42</v>
      </c>
      <c r="E687" s="70" t="s">
        <v>25</v>
      </c>
      <c r="F687" s="70" t="s">
        <v>25</v>
      </c>
      <c r="G687" s="70" t="s">
        <v>25</v>
      </c>
      <c r="H687" s="70" t="s">
        <v>37</v>
      </c>
      <c r="I687" s="78">
        <v>44409</v>
      </c>
      <c r="J687" s="79">
        <f>EFEITO!$J$687*EFEITO!$Y$516</f>
        <v>0</v>
      </c>
      <c r="K687" s="79">
        <f ca="1">EFEITO!$L$687*EFEITO!$Z$516</f>
        <v>-875.18994138754169</v>
      </c>
      <c r="L687" s="79">
        <f>EFEITO!$N$687*EFEITO!$AA$516</f>
        <v>-133.17826891930332</v>
      </c>
      <c r="M687" s="79">
        <f>$J$687-EFEITO!$K$687*EFEITO!$Y$687</f>
        <v>0</v>
      </c>
      <c r="N687" s="79">
        <f ca="1">$K$687-EFEITO!$M$687*EFEITO!$Z$687</f>
        <v>-17.50379882775087</v>
      </c>
      <c r="O687" s="79">
        <f>$L$687-EFEITO!$O$687*EFEITO!$AA$687</f>
        <v>-2.6635653783860676</v>
      </c>
      <c r="P687" s="18"/>
      <c r="Q687" s="18"/>
      <c r="R687" s="18"/>
      <c r="S687" s="18"/>
      <c r="T687" s="18"/>
      <c r="U687" s="18"/>
      <c r="V687" s="18"/>
      <c r="W687" s="18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70" t="s">
        <v>21</v>
      </c>
      <c r="B688" s="70" t="s">
        <v>35</v>
      </c>
      <c r="C688" s="70" t="s">
        <v>39</v>
      </c>
      <c r="D688" s="70" t="s">
        <v>42</v>
      </c>
      <c r="E688" s="70" t="s">
        <v>25</v>
      </c>
      <c r="F688" s="70" t="s">
        <v>25</v>
      </c>
      <c r="G688" s="70" t="s">
        <v>25</v>
      </c>
      <c r="H688" s="70" t="s">
        <v>37</v>
      </c>
      <c r="I688" s="78">
        <v>44440</v>
      </c>
      <c r="J688" s="79">
        <f>EFEITO!$J$688*EFEITO!$Y$516</f>
        <v>0</v>
      </c>
      <c r="K688" s="79">
        <f ca="1">EFEITO!$L$688*EFEITO!$Z$516</f>
        <v>177254.61518262976</v>
      </c>
      <c r="L688" s="79">
        <f>EFEITO!$N$688*EFEITO!$AA$516</f>
        <v>26972.959459010446</v>
      </c>
      <c r="M688" s="79">
        <f>$J$688-EFEITO!$K$688*EFEITO!$Y$688</f>
        <v>0</v>
      </c>
      <c r="N688" s="79">
        <f ca="1">$K$688-EFEITO!$M$688*EFEITO!$Z$688</f>
        <v>3545.0923036526074</v>
      </c>
      <c r="O688" s="79">
        <f>$L$688-EFEITO!$O$688*EFEITO!$AA$688</f>
        <v>539.45918918021198</v>
      </c>
      <c r="P688" s="18"/>
      <c r="Q688" s="18"/>
      <c r="R688" s="18"/>
      <c r="S688" s="18"/>
      <c r="T688" s="18"/>
      <c r="U688" s="18"/>
      <c r="V688" s="18"/>
      <c r="W688" s="18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70" t="s">
        <v>28</v>
      </c>
      <c r="B689" s="70" t="s">
        <v>35</v>
      </c>
      <c r="C689" s="70" t="s">
        <v>39</v>
      </c>
      <c r="D689" s="70" t="s">
        <v>42</v>
      </c>
      <c r="E689" s="70" t="s">
        <v>25</v>
      </c>
      <c r="F689" s="70" t="s">
        <v>25</v>
      </c>
      <c r="G689" s="70" t="s">
        <v>25</v>
      </c>
      <c r="H689" s="70" t="s">
        <v>37</v>
      </c>
      <c r="I689" s="78">
        <v>44440</v>
      </c>
      <c r="J689" s="79">
        <f>EFEITO!$J$689*EFEITO!$Y$516</f>
        <v>0</v>
      </c>
      <c r="K689" s="79">
        <f ca="1">EFEITO!$L$689*EFEITO!$Z$516</f>
        <v>2995.4417636775979</v>
      </c>
      <c r="L689" s="79">
        <f>EFEITO!$N$689*EFEITO!$AA$516</f>
        <v>455.81847993213927</v>
      </c>
      <c r="M689" s="79">
        <f>$J$689-EFEITO!$K$689*EFEITO!$Y$689</f>
        <v>0</v>
      </c>
      <c r="N689" s="79">
        <f ca="1">$K$689-EFEITO!$M$689*EFEITO!$Z$689</f>
        <v>59.908835273552086</v>
      </c>
      <c r="O689" s="79">
        <f>$L$689-EFEITO!$O$689*EFEITO!$AA$689</f>
        <v>9.1163695986427911</v>
      </c>
      <c r="P689" s="18"/>
      <c r="Q689" s="18"/>
      <c r="R689" s="18"/>
      <c r="S689" s="18"/>
      <c r="T689" s="18"/>
      <c r="U689" s="18"/>
      <c r="V689" s="18"/>
      <c r="W689" s="18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70" t="s">
        <v>21</v>
      </c>
      <c r="B690" s="70" t="s">
        <v>35</v>
      </c>
      <c r="C690" s="70" t="s">
        <v>39</v>
      </c>
      <c r="D690" s="70" t="s">
        <v>42</v>
      </c>
      <c r="E690" s="70" t="s">
        <v>25</v>
      </c>
      <c r="F690" s="70" t="s">
        <v>25</v>
      </c>
      <c r="G690" s="70" t="s">
        <v>25</v>
      </c>
      <c r="H690" s="70" t="s">
        <v>37</v>
      </c>
      <c r="I690" s="78">
        <v>44470</v>
      </c>
      <c r="J690" s="79">
        <f>EFEITO!$J$690*EFEITO!$Y$516</f>
        <v>0</v>
      </c>
      <c r="K690" s="79">
        <f ca="1">EFEITO!$L$690*EFEITO!$Z$516</f>
        <v>157584.98172314159</v>
      </c>
      <c r="L690" s="79">
        <f>EFEITO!$N$690*EFEITO!$AA$516</f>
        <v>23979.817501438662</v>
      </c>
      <c r="M690" s="79">
        <f>$J$690-EFEITO!$K$690*EFEITO!$Y$690</f>
        <v>0</v>
      </c>
      <c r="N690" s="79">
        <f ca="1">$K$690-EFEITO!$M$690*EFEITO!$Z$690</f>
        <v>3151.6996344628278</v>
      </c>
      <c r="O690" s="79">
        <f>$L$690-EFEITO!$O$690*EFEITO!$AA$690</f>
        <v>479.59635002877621</v>
      </c>
      <c r="P690" s="18"/>
      <c r="Q690" s="18"/>
      <c r="R690" s="18"/>
      <c r="S690" s="18"/>
      <c r="T690" s="18"/>
      <c r="U690" s="18"/>
      <c r="V690" s="18"/>
      <c r="W690" s="18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70" t="s">
        <v>28</v>
      </c>
      <c r="B691" s="70" t="s">
        <v>35</v>
      </c>
      <c r="C691" s="70" t="s">
        <v>39</v>
      </c>
      <c r="D691" s="70" t="s">
        <v>42</v>
      </c>
      <c r="E691" s="70" t="s">
        <v>25</v>
      </c>
      <c r="F691" s="70" t="s">
        <v>25</v>
      </c>
      <c r="G691" s="70" t="s">
        <v>25</v>
      </c>
      <c r="H691" s="70" t="s">
        <v>37</v>
      </c>
      <c r="I691" s="78">
        <v>44470</v>
      </c>
      <c r="J691" s="79">
        <f>EFEITO!$J$691*EFEITO!$Y$516</f>
        <v>0</v>
      </c>
      <c r="K691" s="79">
        <f ca="1">EFEITO!$L$691*EFEITO!$Z$516</f>
        <v>3099.6310424142098</v>
      </c>
      <c r="L691" s="79">
        <f>EFEITO!$N$691*EFEITO!$AA$516</f>
        <v>471.6730357558659</v>
      </c>
      <c r="M691" s="79">
        <f>$J$691-EFEITO!$K$691*EFEITO!$Y$691</f>
        <v>0</v>
      </c>
      <c r="N691" s="79">
        <f ca="1">$K$691-EFEITO!$M$691*EFEITO!$Z$691</f>
        <v>61.992620848284332</v>
      </c>
      <c r="O691" s="79">
        <f>$L$691-EFEITO!$O$691*EFEITO!$AA$691</f>
        <v>9.4334607151173486</v>
      </c>
      <c r="P691" s="18"/>
      <c r="Q691" s="18"/>
      <c r="R691" s="18"/>
      <c r="S691" s="18"/>
      <c r="T691" s="18"/>
      <c r="U691" s="18"/>
      <c r="V691" s="18"/>
      <c r="W691" s="18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70" t="s">
        <v>21</v>
      </c>
      <c r="B692" s="70" t="s">
        <v>35</v>
      </c>
      <c r="C692" s="70" t="s">
        <v>39</v>
      </c>
      <c r="D692" s="70" t="s">
        <v>42</v>
      </c>
      <c r="E692" s="70" t="s">
        <v>25</v>
      </c>
      <c r="F692" s="70" t="s">
        <v>25</v>
      </c>
      <c r="G692" s="70" t="s">
        <v>25</v>
      </c>
      <c r="H692" s="70" t="s">
        <v>37</v>
      </c>
      <c r="I692" s="78">
        <v>44501</v>
      </c>
      <c r="J692" s="79">
        <f>EFEITO!$J$692*EFEITO!$Y$516</f>
        <v>0</v>
      </c>
      <c r="K692" s="79">
        <f ca="1">EFEITO!$L$692*EFEITO!$Z$516</f>
        <v>173165.18599221771</v>
      </c>
      <c r="L692" s="79">
        <f>EFEITO!$N$692*EFEITO!$AA$516</f>
        <v>26350.668142929175</v>
      </c>
      <c r="M692" s="79">
        <f>$J$692-EFEITO!$K$692*EFEITO!$Y$692</f>
        <v>0</v>
      </c>
      <c r="N692" s="79">
        <f ca="1">$K$692-EFEITO!$M$692*EFEITO!$Z$692</f>
        <v>3463.303719844349</v>
      </c>
      <c r="O692" s="79">
        <f>$L$692-EFEITO!$O$692*EFEITO!$AA$692</f>
        <v>527.01336285858633</v>
      </c>
      <c r="P692" s="18"/>
      <c r="Q692" s="18"/>
      <c r="R692" s="18"/>
      <c r="S692" s="18"/>
      <c r="T692" s="18"/>
      <c r="U692" s="18"/>
      <c r="V692" s="18"/>
      <c r="W692" s="18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70" t="s">
        <v>28</v>
      </c>
      <c r="B693" s="70" t="s">
        <v>35</v>
      </c>
      <c r="C693" s="70" t="s">
        <v>39</v>
      </c>
      <c r="D693" s="70" t="s">
        <v>42</v>
      </c>
      <c r="E693" s="70" t="s">
        <v>25</v>
      </c>
      <c r="F693" s="70" t="s">
        <v>25</v>
      </c>
      <c r="G693" s="70" t="s">
        <v>25</v>
      </c>
      <c r="H693" s="70" t="s">
        <v>37</v>
      </c>
      <c r="I693" s="78">
        <v>44501</v>
      </c>
      <c r="J693" s="79">
        <f>EFEITO!$J$693*EFEITO!$Y$516</f>
        <v>0</v>
      </c>
      <c r="K693" s="79">
        <f ca="1">EFEITO!$L$693*EFEITO!$Z$516</f>
        <v>2305.1877920475426</v>
      </c>
      <c r="L693" s="79">
        <f>EFEITO!$N$693*EFEITO!$AA$516</f>
        <v>350.78204759995066</v>
      </c>
      <c r="M693" s="79">
        <f>$J$693-EFEITO!$K$693*EFEITO!$Y$693</f>
        <v>0</v>
      </c>
      <c r="N693" s="79">
        <f ca="1">$K$693-EFEITO!$M$693*EFEITO!$Z$693</f>
        <v>46.103755840950726</v>
      </c>
      <c r="O693" s="79">
        <f>$L$693-EFEITO!$O$693*EFEITO!$AA$693</f>
        <v>7.0156409519989893</v>
      </c>
      <c r="P693" s="18"/>
      <c r="Q693" s="18"/>
      <c r="R693" s="18"/>
      <c r="S693" s="18"/>
      <c r="T693" s="18"/>
      <c r="U693" s="18"/>
      <c r="V693" s="18"/>
      <c r="W693" s="18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70" t="s">
        <v>21</v>
      </c>
      <c r="B694" s="70" t="s">
        <v>35</v>
      </c>
      <c r="C694" s="70" t="s">
        <v>39</v>
      </c>
      <c r="D694" s="70" t="s">
        <v>42</v>
      </c>
      <c r="E694" s="70" t="s">
        <v>25</v>
      </c>
      <c r="F694" s="70" t="s">
        <v>25</v>
      </c>
      <c r="G694" s="70" t="s">
        <v>25</v>
      </c>
      <c r="H694" s="70" t="s">
        <v>37</v>
      </c>
      <c r="I694" s="78">
        <v>44531</v>
      </c>
      <c r="J694" s="79">
        <f>EFEITO!$J$694*EFEITO!$Y$516</f>
        <v>0</v>
      </c>
      <c r="K694" s="79">
        <f ca="1">EFEITO!$L$694*EFEITO!$Z$516</f>
        <v>234653.79120461358</v>
      </c>
      <c r="L694" s="79">
        <f>EFEITO!$N$694*EFEITO!$AA$516</f>
        <v>35707.432444249222</v>
      </c>
      <c r="M694" s="79">
        <f>$J$694-EFEITO!$K$694*EFEITO!$Y$694</f>
        <v>0</v>
      </c>
      <c r="N694" s="79">
        <f ca="1">$K$694-EFEITO!$M$694*EFEITO!$Z$694</f>
        <v>4693.0758240922587</v>
      </c>
      <c r="O694" s="79">
        <f>$L$694-EFEITO!$O$694*EFEITO!$AA$694</f>
        <v>714.14864888499142</v>
      </c>
      <c r="P694" s="18"/>
      <c r="Q694" s="18"/>
      <c r="R694" s="18"/>
      <c r="S694" s="18"/>
      <c r="T694" s="18"/>
      <c r="U694" s="18"/>
      <c r="V694" s="18"/>
      <c r="W694" s="18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70" t="s">
        <v>21</v>
      </c>
      <c r="B695" s="70" t="s">
        <v>35</v>
      </c>
      <c r="C695" s="70" t="s">
        <v>39</v>
      </c>
      <c r="D695" s="70" t="s">
        <v>42</v>
      </c>
      <c r="E695" s="70" t="s">
        <v>25</v>
      </c>
      <c r="F695" s="70" t="s">
        <v>25</v>
      </c>
      <c r="G695" s="70" t="s">
        <v>25</v>
      </c>
      <c r="H695" s="70" t="s">
        <v>37</v>
      </c>
      <c r="I695" s="78">
        <v>44562</v>
      </c>
      <c r="J695" s="79">
        <f>EFEITO!$J$695*EFEITO!$Y$516</f>
        <v>0</v>
      </c>
      <c r="K695" s="79">
        <f ca="1">EFEITO!$L$695*EFEITO!$Z$516</f>
        <v>198612.11495765104</v>
      </c>
      <c r="L695" s="79">
        <f>EFEITO!$N$695*EFEITO!$AA$516</f>
        <v>30222.945220926598</v>
      </c>
      <c r="M695" s="79">
        <f>$J$695-EFEITO!$K$695*EFEITO!$Y$695</f>
        <v>0</v>
      </c>
      <c r="N695" s="79">
        <f ca="1">$K$695-EFEITO!$M$695*EFEITO!$Z$695</f>
        <v>3972.2422991530329</v>
      </c>
      <c r="O695" s="79">
        <f>$L$695-EFEITO!$O$695*EFEITO!$AA$695</f>
        <v>604.45890441853408</v>
      </c>
      <c r="P695" s="18"/>
      <c r="Q695" s="18"/>
      <c r="R695" s="18"/>
      <c r="S695" s="18"/>
      <c r="T695" s="18"/>
      <c r="U695" s="18"/>
      <c r="V695" s="18"/>
      <c r="W695" s="18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70" t="s">
        <v>27</v>
      </c>
      <c r="B696" s="70" t="s">
        <v>35</v>
      </c>
      <c r="C696" s="70" t="s">
        <v>39</v>
      </c>
      <c r="D696" s="70" t="s">
        <v>42</v>
      </c>
      <c r="E696" s="70" t="s">
        <v>25</v>
      </c>
      <c r="F696" s="70" t="s">
        <v>25</v>
      </c>
      <c r="G696" s="70" t="s">
        <v>25</v>
      </c>
      <c r="H696" s="70" t="s">
        <v>37</v>
      </c>
      <c r="I696" s="78">
        <v>44562</v>
      </c>
      <c r="J696" s="79">
        <f>EFEITO!$J$696*EFEITO!$Y$516</f>
        <v>0</v>
      </c>
      <c r="K696" s="79">
        <f ca="1">EFEITO!$L$696*EFEITO!$Z$516</f>
        <v>-8344.2588608184215</v>
      </c>
      <c r="L696" s="79">
        <f>EFEITO!$N$696*EFEITO!$AA$516</f>
        <v>-1269.7517395327029</v>
      </c>
      <c r="M696" s="79">
        <f>$J$696-EFEITO!$K$696*EFEITO!$Y$696</f>
        <v>0</v>
      </c>
      <c r="N696" s="79">
        <f ca="1">$K$696-EFEITO!$M$696*EFEITO!$Z$696</f>
        <v>-166.88517721636799</v>
      </c>
      <c r="O696" s="79">
        <f>$L$696-EFEITO!$O$696*EFEITO!$AA$696</f>
        <v>-25.395034790654108</v>
      </c>
      <c r="P696" s="18"/>
      <c r="Q696" s="18"/>
      <c r="R696" s="18"/>
      <c r="S696" s="18"/>
      <c r="T696" s="18"/>
      <c r="U696" s="18"/>
      <c r="V696" s="18"/>
      <c r="W696" s="18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70" t="s">
        <v>28</v>
      </c>
      <c r="B697" s="70" t="s">
        <v>35</v>
      </c>
      <c r="C697" s="70" t="s">
        <v>39</v>
      </c>
      <c r="D697" s="70" t="s">
        <v>42</v>
      </c>
      <c r="E697" s="70" t="s">
        <v>25</v>
      </c>
      <c r="F697" s="70" t="s">
        <v>25</v>
      </c>
      <c r="G697" s="70" t="s">
        <v>25</v>
      </c>
      <c r="H697" s="70" t="s">
        <v>37</v>
      </c>
      <c r="I697" s="78">
        <v>44562</v>
      </c>
      <c r="J697" s="79">
        <f>EFEITO!$J$697*EFEITO!$Y$516</f>
        <v>0</v>
      </c>
      <c r="K697" s="79">
        <f ca="1">EFEITO!$L$697*EFEITO!$Z$516</f>
        <v>1640.9811401016407</v>
      </c>
      <c r="L697" s="79">
        <f>EFEITO!$N$697*EFEITO!$AA$516</f>
        <v>249.7092542236937</v>
      </c>
      <c r="M697" s="79">
        <f>$J$697-EFEITO!$K$697*EFEITO!$Y$697</f>
        <v>0</v>
      </c>
      <c r="N697" s="79">
        <f ca="1">$K$697-EFEITO!$M$697*EFEITO!$Z$697</f>
        <v>32.819622802032882</v>
      </c>
      <c r="O697" s="79">
        <f>$L$697-EFEITO!$O$697*EFEITO!$AA$697</f>
        <v>4.9941850844738838</v>
      </c>
      <c r="P697" s="18"/>
      <c r="Q697" s="18"/>
      <c r="R697" s="18"/>
      <c r="S697" s="18"/>
      <c r="T697" s="18"/>
      <c r="U697" s="18"/>
      <c r="V697" s="18"/>
      <c r="W697" s="18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70" t="s">
        <v>21</v>
      </c>
      <c r="B698" s="70" t="s">
        <v>35</v>
      </c>
      <c r="C698" s="70" t="s">
        <v>39</v>
      </c>
      <c r="D698" s="70" t="s">
        <v>42</v>
      </c>
      <c r="E698" s="70" t="s">
        <v>25</v>
      </c>
      <c r="F698" s="70" t="s">
        <v>25</v>
      </c>
      <c r="G698" s="70" t="s">
        <v>25</v>
      </c>
      <c r="H698" s="70" t="s">
        <v>37</v>
      </c>
      <c r="I698" s="78">
        <v>44593</v>
      </c>
      <c r="J698" s="79">
        <f>EFEITO!$J$698*EFEITO!$Y$516</f>
        <v>0</v>
      </c>
      <c r="K698" s="79">
        <f ca="1">EFEITO!$L$698*EFEITO!$Z$516</f>
        <v>288272.1987744426</v>
      </c>
      <c r="L698" s="79">
        <f>EFEITO!$N$698*EFEITO!$AA$516</f>
        <v>43866.583235034508</v>
      </c>
      <c r="M698" s="79">
        <f>$J$698-EFEITO!$K$698*EFEITO!$Y$698</f>
        <v>0</v>
      </c>
      <c r="N698" s="79">
        <f ca="1">$K$698-EFEITO!$M$698*EFEITO!$Z$698</f>
        <v>5765.4439754888881</v>
      </c>
      <c r="O698" s="79">
        <f>$L$698-EFEITO!$O$698*EFEITO!$AA$698</f>
        <v>877.33166470068682</v>
      </c>
      <c r="P698" s="18"/>
      <c r="Q698" s="18"/>
      <c r="R698" s="18"/>
      <c r="S698" s="18"/>
      <c r="T698" s="18"/>
      <c r="U698" s="18"/>
      <c r="V698" s="18"/>
      <c r="W698" s="18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70" t="s">
        <v>27</v>
      </c>
      <c r="B699" s="70" t="s">
        <v>35</v>
      </c>
      <c r="C699" s="70" t="s">
        <v>39</v>
      </c>
      <c r="D699" s="70" t="s">
        <v>42</v>
      </c>
      <c r="E699" s="70" t="s">
        <v>25</v>
      </c>
      <c r="F699" s="70" t="s">
        <v>25</v>
      </c>
      <c r="G699" s="70" t="s">
        <v>25</v>
      </c>
      <c r="H699" s="70" t="s">
        <v>37</v>
      </c>
      <c r="I699" s="78">
        <v>44593</v>
      </c>
      <c r="J699" s="79">
        <f>EFEITO!$J$699*EFEITO!$Y$516</f>
        <v>0</v>
      </c>
      <c r="K699" s="79">
        <f ca="1">EFEITO!$L$699*EFEITO!$Z$516</f>
        <v>-14698.502497767553</v>
      </c>
      <c r="L699" s="79">
        <f>EFEITO!$N$699*EFEITO!$AA$516</f>
        <v>-2236.6814628322277</v>
      </c>
      <c r="M699" s="79">
        <f>$J$699-EFEITO!$K$699*EFEITO!$Y$699</f>
        <v>0</v>
      </c>
      <c r="N699" s="79">
        <f ca="1">$K$699-EFEITO!$M$699*EFEITO!$Z$699</f>
        <v>-293.97004995535281</v>
      </c>
      <c r="O699" s="79">
        <f>$L$699-EFEITO!$O$699*EFEITO!$AA$699</f>
        <v>-44.73362925664469</v>
      </c>
      <c r="P699" s="18"/>
      <c r="Q699" s="18"/>
      <c r="R699" s="18"/>
      <c r="S699" s="18"/>
      <c r="T699" s="18"/>
      <c r="U699" s="18"/>
      <c r="V699" s="18"/>
      <c r="W699" s="18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70" t="s">
        <v>28</v>
      </c>
      <c r="B700" s="70" t="s">
        <v>35</v>
      </c>
      <c r="C700" s="70" t="s">
        <v>39</v>
      </c>
      <c r="D700" s="70" t="s">
        <v>42</v>
      </c>
      <c r="E700" s="70" t="s">
        <v>25</v>
      </c>
      <c r="F700" s="70" t="s">
        <v>25</v>
      </c>
      <c r="G700" s="70" t="s">
        <v>25</v>
      </c>
      <c r="H700" s="70" t="s">
        <v>37</v>
      </c>
      <c r="I700" s="78">
        <v>44593</v>
      </c>
      <c r="J700" s="79">
        <f>EFEITO!$J$700*EFEITO!$Y$516</f>
        <v>0</v>
      </c>
      <c r="K700" s="79">
        <f ca="1">EFEITO!$L$700*EFEITO!$Z$516</f>
        <v>4790.1020899157411</v>
      </c>
      <c r="L700" s="79">
        <f>EFEITO!$N$700*EFEITO!$AA$516</f>
        <v>728.91320399582969</v>
      </c>
      <c r="M700" s="79">
        <f>$J$700-EFEITO!$K$700*EFEITO!$Y$700</f>
        <v>0</v>
      </c>
      <c r="N700" s="79">
        <f ca="1">$K$700-EFEITO!$M$700*EFEITO!$Z$700</f>
        <v>95.802041798314349</v>
      </c>
      <c r="O700" s="79">
        <f>$L$700-EFEITO!$O$700*EFEITO!$AA$700</f>
        <v>14.578264079916607</v>
      </c>
      <c r="P700" s="18"/>
      <c r="Q700" s="18"/>
      <c r="R700" s="18"/>
      <c r="S700" s="18"/>
      <c r="T700" s="18"/>
      <c r="U700" s="18"/>
      <c r="V700" s="18"/>
      <c r="W700" s="18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70" t="s">
        <v>21</v>
      </c>
      <c r="B701" s="70" t="s">
        <v>35</v>
      </c>
      <c r="C701" s="70" t="s">
        <v>39</v>
      </c>
      <c r="D701" s="70" t="s">
        <v>42</v>
      </c>
      <c r="E701" s="70" t="s">
        <v>25</v>
      </c>
      <c r="F701" s="70" t="s">
        <v>25</v>
      </c>
      <c r="G701" s="70" t="s">
        <v>25</v>
      </c>
      <c r="H701" s="70" t="s">
        <v>37</v>
      </c>
      <c r="I701" s="78">
        <v>44621</v>
      </c>
      <c r="J701" s="79">
        <f>EFEITO!$J$701*EFEITO!$Y$516</f>
        <v>0</v>
      </c>
      <c r="K701" s="79">
        <f ca="1">EFEITO!$L$701*EFEITO!$Z$516</f>
        <v>229181.24933897305</v>
      </c>
      <c r="L701" s="79">
        <f>EFEITO!$N$701*EFEITO!$AA$516</f>
        <v>34874.67189960798</v>
      </c>
      <c r="M701" s="79">
        <f>$J$701-EFEITO!$K$701*EFEITO!$Y$701</f>
        <v>0</v>
      </c>
      <c r="N701" s="79">
        <f ca="1">$K$701-EFEITO!$M$701*EFEITO!$Z$701</f>
        <v>4583.6249867794686</v>
      </c>
      <c r="O701" s="79">
        <f>$L$701-EFEITO!$O$701*EFEITO!$AA$701</f>
        <v>697.49343799216149</v>
      </c>
      <c r="P701" s="18"/>
      <c r="Q701" s="18"/>
      <c r="R701" s="18"/>
      <c r="S701" s="18"/>
      <c r="T701" s="18"/>
      <c r="U701" s="18"/>
      <c r="V701" s="18"/>
      <c r="W701" s="18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70" t="s">
        <v>27</v>
      </c>
      <c r="B702" s="70" t="s">
        <v>35</v>
      </c>
      <c r="C702" s="70" t="s">
        <v>39</v>
      </c>
      <c r="D702" s="70" t="s">
        <v>42</v>
      </c>
      <c r="E702" s="70" t="s">
        <v>25</v>
      </c>
      <c r="F702" s="70" t="s">
        <v>25</v>
      </c>
      <c r="G702" s="70" t="s">
        <v>25</v>
      </c>
      <c r="H702" s="70" t="s">
        <v>37</v>
      </c>
      <c r="I702" s="78">
        <v>44621</v>
      </c>
      <c r="J702" s="79">
        <f>EFEITO!$J$702*EFEITO!$Y$516</f>
        <v>0</v>
      </c>
      <c r="K702" s="79">
        <f ca="1">EFEITO!$L$702*EFEITO!$Z$516</f>
        <v>-6924.6799380320826</v>
      </c>
      <c r="L702" s="79">
        <f>EFEITO!$N$702*EFEITO!$AA$516</f>
        <v>-1053.7334164344281</v>
      </c>
      <c r="M702" s="79">
        <f>$J$702-EFEITO!$K$702*EFEITO!$Y$702</f>
        <v>0</v>
      </c>
      <c r="N702" s="79">
        <f ca="1">$K$702-EFEITO!$M$702*EFEITO!$Z$702</f>
        <v>-138.49359876064227</v>
      </c>
      <c r="O702" s="79">
        <f>$L$702-EFEITO!$O$702*EFEITO!$AA$702</f>
        <v>-21.074668328688631</v>
      </c>
      <c r="P702" s="18"/>
      <c r="Q702" s="18"/>
      <c r="R702" s="18"/>
      <c r="S702" s="18"/>
      <c r="T702" s="18"/>
      <c r="U702" s="18"/>
      <c r="V702" s="18"/>
      <c r="W702" s="18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70" t="s">
        <v>28</v>
      </c>
      <c r="B703" s="70" t="s">
        <v>35</v>
      </c>
      <c r="C703" s="70" t="s">
        <v>39</v>
      </c>
      <c r="D703" s="70" t="s">
        <v>42</v>
      </c>
      <c r="E703" s="70" t="s">
        <v>25</v>
      </c>
      <c r="F703" s="70" t="s">
        <v>25</v>
      </c>
      <c r="G703" s="70" t="s">
        <v>25</v>
      </c>
      <c r="H703" s="70" t="s">
        <v>37</v>
      </c>
      <c r="I703" s="78">
        <v>44621</v>
      </c>
      <c r="J703" s="79">
        <f>EFEITO!$J$703*EFEITO!$Y$516</f>
        <v>0</v>
      </c>
      <c r="K703" s="79">
        <f ca="1">EFEITO!$L$703*EFEITO!$Z$516</f>
        <v>17192.533357525204</v>
      </c>
      <c r="L703" s="79">
        <f>EFEITO!$N$703*EFEITO!$AA$516</f>
        <v>2616.1998928626831</v>
      </c>
      <c r="M703" s="79">
        <f>$J$703-EFEITO!$K$703*EFEITO!$Y$703</f>
        <v>0</v>
      </c>
      <c r="N703" s="79">
        <f ca="1">$K$703-EFEITO!$M$703*EFEITO!$Z$703</f>
        <v>343.85066715050198</v>
      </c>
      <c r="O703" s="79">
        <f>$L$703-EFEITO!$O$703*EFEITO!$AA$703</f>
        <v>52.323997857253744</v>
      </c>
      <c r="P703" s="18"/>
      <c r="Q703" s="18"/>
      <c r="R703" s="18"/>
      <c r="S703" s="18"/>
      <c r="T703" s="18"/>
      <c r="U703" s="18"/>
      <c r="V703" s="18"/>
      <c r="W703" s="18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70" t="s">
        <v>21</v>
      </c>
      <c r="B704" s="70" t="s">
        <v>35</v>
      </c>
      <c r="C704" s="70" t="s">
        <v>39</v>
      </c>
      <c r="D704" s="70" t="s">
        <v>42</v>
      </c>
      <c r="E704" s="70" t="s">
        <v>25</v>
      </c>
      <c r="F704" s="70" t="s">
        <v>25</v>
      </c>
      <c r="G704" s="70" t="s">
        <v>25</v>
      </c>
      <c r="H704" s="70" t="s">
        <v>37</v>
      </c>
      <c r="I704" s="78">
        <v>44652</v>
      </c>
      <c r="J704" s="79">
        <f>EFEITO!$J$704*EFEITO!$Y$516</f>
        <v>0</v>
      </c>
      <c r="K704" s="79">
        <f ca="1">EFEITO!$L$704*EFEITO!$Z$516</f>
        <v>230003.04227500808</v>
      </c>
      <c r="L704" s="79">
        <f>EFEITO!$N$704*EFEITO!$AA$516</f>
        <v>34999.724708667622</v>
      </c>
      <c r="M704" s="79">
        <f>$J$704-EFEITO!$K$704*EFEITO!$Y$704</f>
        <v>0</v>
      </c>
      <c r="N704" s="79">
        <f ca="1">$K$704-EFEITO!$M$704*EFEITO!$Z$704</f>
        <v>4600.0608455001784</v>
      </c>
      <c r="O704" s="79">
        <f>$L$704-EFEITO!$O$704*EFEITO!$AA$704</f>
        <v>699.99449417334836</v>
      </c>
      <c r="P704" s="18"/>
      <c r="Q704" s="18"/>
      <c r="R704" s="18"/>
      <c r="S704" s="18"/>
      <c r="T704" s="18"/>
      <c r="U704" s="18"/>
      <c r="V704" s="18"/>
      <c r="W704" s="18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70" t="s">
        <v>28</v>
      </c>
      <c r="B705" s="70" t="s">
        <v>35</v>
      </c>
      <c r="C705" s="70" t="s">
        <v>39</v>
      </c>
      <c r="D705" s="70" t="s">
        <v>42</v>
      </c>
      <c r="E705" s="70" t="s">
        <v>25</v>
      </c>
      <c r="F705" s="70" t="s">
        <v>25</v>
      </c>
      <c r="G705" s="70" t="s">
        <v>25</v>
      </c>
      <c r="H705" s="70" t="s">
        <v>37</v>
      </c>
      <c r="I705" s="78">
        <v>44652</v>
      </c>
      <c r="J705" s="79">
        <f>EFEITO!$J$705*EFEITO!$Y$516</f>
        <v>0</v>
      </c>
      <c r="K705" s="79">
        <f ca="1">EFEITO!$L$705*EFEITO!$Z$516</f>
        <v>14415.889079194494</v>
      </c>
      <c r="L705" s="79">
        <f>EFEITO!$N$705*EFEITO!$AA$516</f>
        <v>2193.6759801603698</v>
      </c>
      <c r="M705" s="79">
        <f>$J$705-EFEITO!$K$705*EFEITO!$Y$705</f>
        <v>0</v>
      </c>
      <c r="N705" s="79">
        <f ca="1">$K$705-EFEITO!$M$705*EFEITO!$Z$705</f>
        <v>288.3177815838917</v>
      </c>
      <c r="O705" s="79">
        <f>$L$705-EFEITO!$O$705*EFEITO!$AA$705</f>
        <v>43.873519603207569</v>
      </c>
      <c r="P705" s="18"/>
      <c r="Q705" s="18"/>
      <c r="R705" s="18"/>
      <c r="S705" s="18"/>
      <c r="T705" s="18"/>
      <c r="U705" s="18"/>
      <c r="V705" s="18"/>
      <c r="W705" s="18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70" t="s">
        <v>21</v>
      </c>
      <c r="B706" s="70" t="s">
        <v>35</v>
      </c>
      <c r="C706" s="70" t="s">
        <v>39</v>
      </c>
      <c r="D706" s="70" t="s">
        <v>42</v>
      </c>
      <c r="E706" s="70" t="s">
        <v>25</v>
      </c>
      <c r="F706" s="70" t="s">
        <v>25</v>
      </c>
      <c r="G706" s="70" t="s">
        <v>25</v>
      </c>
      <c r="H706" s="70" t="s">
        <v>37</v>
      </c>
      <c r="I706" s="78">
        <v>44682</v>
      </c>
      <c r="J706" s="79">
        <f>EFEITO!$J$706*EFEITO!$Y$516</f>
        <v>0</v>
      </c>
      <c r="K706" s="79">
        <f ca="1">EFEITO!$L$706*EFEITO!$Z$516</f>
        <v>218974.60712073767</v>
      </c>
      <c r="L706" s="79">
        <f>EFEITO!$N$706*EFEITO!$AA$516</f>
        <v>33321.519974726165</v>
      </c>
      <c r="M706" s="79">
        <f>$J$706-EFEITO!$K$706*EFEITO!$Y$706</f>
        <v>0</v>
      </c>
      <c r="N706" s="79">
        <f ca="1">$K$706-EFEITO!$M$706*EFEITO!$Z$706</f>
        <v>4379.4921424147615</v>
      </c>
      <c r="O706" s="79">
        <f>$L$706-EFEITO!$O$706*EFEITO!$AA$706</f>
        <v>666.43039949452941</v>
      </c>
      <c r="P706" s="18"/>
      <c r="Q706" s="18"/>
      <c r="R706" s="18"/>
      <c r="S706" s="18"/>
      <c r="T706" s="18"/>
      <c r="U706" s="18"/>
      <c r="V706" s="18"/>
      <c r="W706" s="18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70" t="s">
        <v>27</v>
      </c>
      <c r="B707" s="70" t="s">
        <v>35</v>
      </c>
      <c r="C707" s="70" t="s">
        <v>39</v>
      </c>
      <c r="D707" s="70" t="s">
        <v>42</v>
      </c>
      <c r="E707" s="70" t="s">
        <v>25</v>
      </c>
      <c r="F707" s="70" t="s">
        <v>25</v>
      </c>
      <c r="G707" s="70" t="s">
        <v>25</v>
      </c>
      <c r="H707" s="70" t="s">
        <v>37</v>
      </c>
      <c r="I707" s="78">
        <v>44682</v>
      </c>
      <c r="J707" s="79">
        <f>EFEITO!$J$707*EFEITO!$Y$516</f>
        <v>0</v>
      </c>
      <c r="K707" s="79">
        <f ca="1">EFEITO!$L$707*EFEITO!$Z$516</f>
        <v>-4889.0819047155228</v>
      </c>
      <c r="L707" s="79">
        <f>EFEITO!$N$707*EFEITO!$AA$516</f>
        <v>-743.97503202836992</v>
      </c>
      <c r="M707" s="79">
        <f>$J$707-EFEITO!$K$707*EFEITO!$Y$707</f>
        <v>0</v>
      </c>
      <c r="N707" s="79">
        <f ca="1">$K$707-EFEITO!$M$707*EFEITO!$Z$707</f>
        <v>-97.781638094310438</v>
      </c>
      <c r="O707" s="79">
        <f>$L$707-EFEITO!$O$707*EFEITO!$AA$707</f>
        <v>-14.879500640567358</v>
      </c>
      <c r="P707" s="18"/>
      <c r="Q707" s="18"/>
      <c r="R707" s="18"/>
      <c r="S707" s="18"/>
      <c r="T707" s="18"/>
      <c r="U707" s="18"/>
      <c r="V707" s="18"/>
      <c r="W707" s="18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1.25" customHeight="1" x14ac:dyDescent="0.2">
      <c r="A708" s="70" t="s">
        <v>28</v>
      </c>
      <c r="B708" s="70" t="s">
        <v>35</v>
      </c>
      <c r="C708" s="70" t="s">
        <v>39</v>
      </c>
      <c r="D708" s="70" t="s">
        <v>42</v>
      </c>
      <c r="E708" s="70" t="s">
        <v>25</v>
      </c>
      <c r="F708" s="70" t="s">
        <v>25</v>
      </c>
      <c r="G708" s="70" t="s">
        <v>25</v>
      </c>
      <c r="H708" s="70" t="s">
        <v>37</v>
      </c>
      <c r="I708" s="78">
        <v>44682</v>
      </c>
      <c r="J708" s="79">
        <f>EFEITO!$J$708*EFEITO!$Y$516</f>
        <v>0</v>
      </c>
      <c r="K708" s="79">
        <f ca="1">EFEITO!$L$708*EFEITO!$Z$516</f>
        <v>19160.408359662964</v>
      </c>
      <c r="L708" s="79">
        <f>EFEITO!$N$708*EFEITO!$AA$516</f>
        <v>2915.6528159833188</v>
      </c>
      <c r="M708" s="79">
        <f>$J$708-EFEITO!$K$708*EFEITO!$Y$708</f>
        <v>0</v>
      </c>
      <c r="N708" s="79">
        <f ca="1">$K$708-EFEITO!$M$708*EFEITO!$Z$708</f>
        <v>383.2081671932574</v>
      </c>
      <c r="O708" s="79">
        <f>$L$708-EFEITO!$O$708*EFEITO!$AA$708</f>
        <v>58.31305631966643</v>
      </c>
      <c r="P708" s="18"/>
      <c r="Q708" s="18"/>
      <c r="R708" s="18"/>
      <c r="S708" s="18"/>
      <c r="T708" s="18"/>
      <c r="U708" s="18"/>
      <c r="V708" s="18"/>
      <c r="W708" s="18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1.25" customHeight="1" x14ac:dyDescent="0.2">
      <c r="A709" s="70" t="s">
        <v>28</v>
      </c>
      <c r="B709" s="70" t="s">
        <v>35</v>
      </c>
      <c r="C709" s="70" t="s">
        <v>39</v>
      </c>
      <c r="D709" s="70" t="s">
        <v>42</v>
      </c>
      <c r="E709" s="70" t="s">
        <v>25</v>
      </c>
      <c r="F709" s="70" t="s">
        <v>25</v>
      </c>
      <c r="G709" s="70" t="s">
        <v>25</v>
      </c>
      <c r="H709" s="70" t="s">
        <v>37</v>
      </c>
      <c r="I709" s="78">
        <v>44682</v>
      </c>
      <c r="J709" s="79">
        <f>EFEITO!$J$709*EFEITO!$Y$516</f>
        <v>0</v>
      </c>
      <c r="K709" s="79">
        <f ca="1">EFEITO!$L$709*EFEITO!$Z$516</f>
        <v>-2174.9511936267777</v>
      </c>
      <c r="L709" s="79">
        <f>EFEITO!$N$709*EFEITO!$AA$516</f>
        <v>-330.96385282029246</v>
      </c>
      <c r="M709" s="79">
        <f>$J$709-EFEITO!$K$709*EFEITO!$Y$709</f>
        <v>0</v>
      </c>
      <c r="N709" s="79">
        <f ca="1">$K$709-EFEITO!$M$709*EFEITO!$Z$709</f>
        <v>-43.499023872535872</v>
      </c>
      <c r="O709" s="79">
        <f>$L$709-EFEITO!$O$709*EFEITO!$AA$709</f>
        <v>-6.619277056405906</v>
      </c>
      <c r="P709" s="18"/>
      <c r="Q709" s="18"/>
      <c r="R709" s="18"/>
      <c r="S709" s="18"/>
      <c r="T709" s="18"/>
      <c r="U709" s="18"/>
      <c r="V709" s="18"/>
      <c r="W709" s="18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1.25" customHeight="1" x14ac:dyDescent="0.2">
      <c r="A710" s="70" t="s">
        <v>21</v>
      </c>
      <c r="B710" s="70" t="s">
        <v>35</v>
      </c>
      <c r="C710" s="70" t="s">
        <v>39</v>
      </c>
      <c r="D710" s="70" t="s">
        <v>42</v>
      </c>
      <c r="E710" s="70" t="s">
        <v>25</v>
      </c>
      <c r="F710" s="70" t="s">
        <v>25</v>
      </c>
      <c r="G710" s="70" t="s">
        <v>25</v>
      </c>
      <c r="H710" s="70" t="s">
        <v>37</v>
      </c>
      <c r="I710" s="78">
        <v>44713</v>
      </c>
      <c r="J710" s="79">
        <f>EFEITO!$J$710*EFEITO!$Y$516</f>
        <v>0</v>
      </c>
      <c r="K710" s="79">
        <f ca="1">EFEITO!$L$710*EFEITO!$Z$516</f>
        <v>230677.66785482762</v>
      </c>
      <c r="L710" s="79">
        <f>EFEITO!$N$710*EFEITO!$AA$516</f>
        <v>35102.382957626251</v>
      </c>
      <c r="M710" s="79">
        <f>$J$710-EFEITO!$K$710*EFEITO!$Y$710</f>
        <v>0</v>
      </c>
      <c r="N710" s="79">
        <f ca="1">$K$710-EFEITO!$M$710*EFEITO!$Z$710</f>
        <v>4613.5533570965636</v>
      </c>
      <c r="O710" s="79">
        <f>$L$710-EFEITO!$O$710*EFEITO!$AA$710</f>
        <v>702.0476591525221</v>
      </c>
      <c r="P710" s="18"/>
      <c r="Q710" s="18"/>
      <c r="R710" s="18"/>
      <c r="S710" s="18"/>
      <c r="T710" s="18"/>
      <c r="U710" s="18"/>
      <c r="V710" s="18"/>
      <c r="W710" s="18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1.25" customHeight="1" x14ac:dyDescent="0.2">
      <c r="A711" s="70" t="s">
        <v>27</v>
      </c>
      <c r="B711" s="70" t="s">
        <v>35</v>
      </c>
      <c r="C711" s="70" t="s">
        <v>39</v>
      </c>
      <c r="D711" s="70" t="s">
        <v>42</v>
      </c>
      <c r="E711" s="70" t="s">
        <v>25</v>
      </c>
      <c r="F711" s="70" t="s">
        <v>25</v>
      </c>
      <c r="G711" s="70" t="s">
        <v>25</v>
      </c>
      <c r="H711" s="70" t="s">
        <v>37</v>
      </c>
      <c r="I711" s="78">
        <v>44713</v>
      </c>
      <c r="J711" s="79">
        <f>EFEITO!$J$711*EFEITO!$Y$516</f>
        <v>0</v>
      </c>
      <c r="K711" s="79">
        <f ca="1">EFEITO!$L$711*EFEITO!$Z$516</f>
        <v>-2355.9800654316409</v>
      </c>
      <c r="L711" s="79">
        <f>EFEITO!$N$711*EFEITO!$AA$516</f>
        <v>-358.5111435640174</v>
      </c>
      <c r="M711" s="79">
        <f>$J$711-EFEITO!$K$711*EFEITO!$Y$711</f>
        <v>0</v>
      </c>
      <c r="N711" s="79">
        <f ca="1">$K$711-EFEITO!$M$711*EFEITO!$Z$711</f>
        <v>-47.119601308632809</v>
      </c>
      <c r="O711" s="79">
        <f>$L$711-EFEITO!$O$711*EFEITO!$AA$711</f>
        <v>-7.1702228712803731</v>
      </c>
      <c r="P711" s="18"/>
      <c r="Q711" s="18"/>
      <c r="R711" s="18"/>
      <c r="S711" s="18"/>
      <c r="T711" s="18"/>
      <c r="U711" s="18"/>
      <c r="V711" s="18"/>
      <c r="W711" s="18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1.25" customHeight="1" x14ac:dyDescent="0.2">
      <c r="A712" s="70" t="s">
        <v>28</v>
      </c>
      <c r="B712" s="70" t="s">
        <v>35</v>
      </c>
      <c r="C712" s="70" t="s">
        <v>39</v>
      </c>
      <c r="D712" s="70" t="s">
        <v>42</v>
      </c>
      <c r="E712" s="70" t="s">
        <v>25</v>
      </c>
      <c r="F712" s="70" t="s">
        <v>25</v>
      </c>
      <c r="G712" s="70" t="s">
        <v>25</v>
      </c>
      <c r="H712" s="70" t="s">
        <v>37</v>
      </c>
      <c r="I712" s="78">
        <v>44713</v>
      </c>
      <c r="J712" s="79">
        <f>EFEITO!$J$712*EFEITO!$Y$516</f>
        <v>0</v>
      </c>
      <c r="K712" s="79">
        <f ca="1">EFEITO!$L$712*EFEITO!$Z$516</f>
        <v>33625.787346257348</v>
      </c>
      <c r="L712" s="79">
        <f>EFEITO!$N$712*EFEITO!$AA$516</f>
        <v>5116.859710159958</v>
      </c>
      <c r="M712" s="79">
        <f>$J$712-EFEITO!$K$712*EFEITO!$Y$712</f>
        <v>0</v>
      </c>
      <c r="N712" s="79">
        <f ca="1">$K$712-EFEITO!$M$712*EFEITO!$Z$712</f>
        <v>672.51574692514987</v>
      </c>
      <c r="O712" s="79">
        <f>$L$712-EFEITO!$O$712*EFEITO!$AA$712</f>
        <v>102.33719420319903</v>
      </c>
      <c r="P712" s="18"/>
      <c r="Q712" s="18"/>
      <c r="R712" s="18"/>
      <c r="S712" s="18"/>
      <c r="T712" s="18"/>
      <c r="U712" s="18"/>
      <c r="V712" s="18"/>
      <c r="W712" s="18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1.25" customHeight="1" x14ac:dyDescent="0.2">
      <c r="A713" s="70" t="s">
        <v>21</v>
      </c>
      <c r="B713" s="70" t="s">
        <v>35</v>
      </c>
      <c r="C713" s="70" t="s">
        <v>39</v>
      </c>
      <c r="D713" s="70" t="s">
        <v>47</v>
      </c>
      <c r="E713" s="70" t="s">
        <v>48</v>
      </c>
      <c r="F713" s="70" t="s">
        <v>25</v>
      </c>
      <c r="G713" s="70" t="s">
        <v>25</v>
      </c>
      <c r="H713" s="70" t="s">
        <v>38</v>
      </c>
      <c r="I713" s="78">
        <v>44378</v>
      </c>
      <c r="J713" s="79">
        <f>EFEITO!$J$713*EFEITO!$Y$486</f>
        <v>0</v>
      </c>
      <c r="K713" s="79">
        <f ca="1">EFEITO!$L$713*EFEITO!$Z$486</f>
        <v>7474.757331562666</v>
      </c>
      <c r="L713" s="79">
        <f>EFEITO!$N$713*EFEITO!$AA$486</f>
        <v>16013.894109755038</v>
      </c>
      <c r="M713" s="79">
        <f>$J$713-EFEITO!$K$713*EFEITO!$Y$713</f>
        <v>0</v>
      </c>
      <c r="N713" s="79">
        <f ca="1">$K$713-EFEITO!$M$713*EFEITO!$Z$713</f>
        <v>224.24271994687933</v>
      </c>
      <c r="O713" s="79">
        <f>$L$713-EFEITO!$O$713*EFEITO!$AA$713</f>
        <v>480.41682329265132</v>
      </c>
      <c r="P713" s="18"/>
      <c r="Q713" s="18"/>
      <c r="R713" s="18"/>
      <c r="S713" s="18"/>
      <c r="T713" s="18"/>
      <c r="U713" s="18"/>
      <c r="V713" s="18"/>
      <c r="W713" s="18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1.25" customHeight="1" x14ac:dyDescent="0.2">
      <c r="A714" s="70" t="s">
        <v>27</v>
      </c>
      <c r="B714" s="70" t="s">
        <v>35</v>
      </c>
      <c r="C714" s="70" t="s">
        <v>39</v>
      </c>
      <c r="D714" s="70" t="s">
        <v>47</v>
      </c>
      <c r="E714" s="70" t="s">
        <v>48</v>
      </c>
      <c r="F714" s="70" t="s">
        <v>25</v>
      </c>
      <c r="G714" s="70" t="s">
        <v>25</v>
      </c>
      <c r="H714" s="70" t="s">
        <v>38</v>
      </c>
      <c r="I714" s="78">
        <v>44378</v>
      </c>
      <c r="J714" s="79">
        <f>EFEITO!$J$714*EFEITO!$Y$486</f>
        <v>0</v>
      </c>
      <c r="K714" s="79">
        <f ca="1">EFEITO!$L$714*EFEITO!$Z$486</f>
        <v>-2609.1902046192831</v>
      </c>
      <c r="L714" s="79">
        <f>EFEITO!$N$714*EFEITO!$AA$486</f>
        <v>-5589.9200195504009</v>
      </c>
      <c r="M714" s="79">
        <f>$J$714-EFEITO!$K$714*EFEITO!$Y$714</f>
        <v>0</v>
      </c>
      <c r="N714" s="79">
        <f ca="1">$K$714-EFEITO!$M$714*EFEITO!$Z$714</f>
        <v>-78.275706138578244</v>
      </c>
      <c r="O714" s="79">
        <f>$L$714-EFEITO!$O$714*EFEITO!$AA$714</f>
        <v>-167.69760058651264</v>
      </c>
      <c r="P714" s="18"/>
      <c r="Q714" s="18"/>
      <c r="R714" s="18"/>
      <c r="S714" s="18"/>
      <c r="T714" s="18"/>
      <c r="U714" s="18"/>
      <c r="V714" s="18"/>
      <c r="W714" s="18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1.25" customHeight="1" x14ac:dyDescent="0.2">
      <c r="A715" s="70" t="s">
        <v>21</v>
      </c>
      <c r="B715" s="70" t="s">
        <v>35</v>
      </c>
      <c r="C715" s="70" t="s">
        <v>39</v>
      </c>
      <c r="D715" s="70" t="s">
        <v>47</v>
      </c>
      <c r="E715" s="70" t="s">
        <v>48</v>
      </c>
      <c r="F715" s="70" t="s">
        <v>25</v>
      </c>
      <c r="G715" s="70" t="s">
        <v>25</v>
      </c>
      <c r="H715" s="70" t="s">
        <v>38</v>
      </c>
      <c r="I715" s="78">
        <v>44409</v>
      </c>
      <c r="J715" s="79">
        <f>EFEITO!$J$715*EFEITO!$Y$486</f>
        <v>0</v>
      </c>
      <c r="K715" s="79">
        <f ca="1">EFEITO!$L$715*EFEITO!$Z$486</f>
        <v>5494.0446937796378</v>
      </c>
      <c r="L715" s="79">
        <f>EFEITO!$N$715*EFEITO!$AA$486</f>
        <v>11770.422243534616</v>
      </c>
      <c r="M715" s="79">
        <f>$J$715-EFEITO!$K$715*EFEITO!$Y$715</f>
        <v>0</v>
      </c>
      <c r="N715" s="79">
        <f ca="1">$K$715-EFEITO!$M$715*EFEITO!$Z$715</f>
        <v>164.82134081338882</v>
      </c>
      <c r="O715" s="79">
        <f>$L$715-EFEITO!$O$715*EFEITO!$AA$715</f>
        <v>353.11266730603893</v>
      </c>
      <c r="P715" s="18"/>
      <c r="Q715" s="18"/>
      <c r="R715" s="18"/>
      <c r="S715" s="18"/>
      <c r="T715" s="18"/>
      <c r="U715" s="18"/>
      <c r="V715" s="18"/>
      <c r="W715" s="18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1.25" customHeight="1" x14ac:dyDescent="0.2">
      <c r="A716" s="70" t="s">
        <v>21</v>
      </c>
      <c r="B716" s="70" t="s">
        <v>35</v>
      </c>
      <c r="C716" s="70" t="s">
        <v>39</v>
      </c>
      <c r="D716" s="70" t="s">
        <v>47</v>
      </c>
      <c r="E716" s="70" t="s">
        <v>48</v>
      </c>
      <c r="F716" s="70" t="s">
        <v>25</v>
      </c>
      <c r="G716" s="70" t="s">
        <v>25</v>
      </c>
      <c r="H716" s="70" t="s">
        <v>38</v>
      </c>
      <c r="I716" s="78">
        <v>44440</v>
      </c>
      <c r="J716" s="79">
        <f>EFEITO!$J$716*EFEITO!$Y$486</f>
        <v>0</v>
      </c>
      <c r="K716" s="79">
        <f ca="1">EFEITO!$L$716*EFEITO!$Z$486</f>
        <v>6139.6356474078721</v>
      </c>
      <c r="L716" s="79">
        <f>EFEITO!$N$716*EFEITO!$AA$486</f>
        <v>13153.534057206964</v>
      </c>
      <c r="M716" s="79">
        <f>$J$716-EFEITO!$K$716*EFEITO!$Y$716</f>
        <v>0</v>
      </c>
      <c r="N716" s="79">
        <f ca="1">$K$716-EFEITO!$M$716*EFEITO!$Z$716</f>
        <v>184.18906942223657</v>
      </c>
      <c r="O716" s="79">
        <f>$L$716-EFEITO!$O$716*EFEITO!$AA$716</f>
        <v>394.60602171620849</v>
      </c>
      <c r="P716" s="18"/>
      <c r="Q716" s="18"/>
      <c r="R716" s="18"/>
      <c r="S716" s="18"/>
      <c r="T716" s="18"/>
      <c r="U716" s="18"/>
      <c r="V716" s="18"/>
      <c r="W716" s="18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1.25" customHeight="1" x14ac:dyDescent="0.2">
      <c r="A717" s="70" t="s">
        <v>21</v>
      </c>
      <c r="B717" s="70" t="s">
        <v>35</v>
      </c>
      <c r="C717" s="70" t="s">
        <v>39</v>
      </c>
      <c r="D717" s="70" t="s">
        <v>47</v>
      </c>
      <c r="E717" s="70" t="s">
        <v>48</v>
      </c>
      <c r="F717" s="70" t="s">
        <v>25</v>
      </c>
      <c r="G717" s="70" t="s">
        <v>25</v>
      </c>
      <c r="H717" s="70" t="s">
        <v>38</v>
      </c>
      <c r="I717" s="78">
        <v>44470</v>
      </c>
      <c r="J717" s="79">
        <f>EFEITO!$J$717*EFEITO!$Y$486</f>
        <v>0</v>
      </c>
      <c r="K717" s="79">
        <f ca="1">EFEITO!$L$717*EFEITO!$Z$486</f>
        <v>6182.8353859584358</v>
      </c>
      <c r="L717" s="79">
        <f>EFEITO!$N$717*EFEITO!$AA$486</f>
        <v>13246.085026827966</v>
      </c>
      <c r="M717" s="79">
        <f>$J$717-EFEITO!$K$717*EFEITO!$Y$717</f>
        <v>0</v>
      </c>
      <c r="N717" s="79">
        <f ca="1">$K$717-EFEITO!$M$717*EFEITO!$Z$717</f>
        <v>185.48506157875363</v>
      </c>
      <c r="O717" s="79">
        <f>$L$717-EFEITO!$O$717*EFEITO!$AA$717</f>
        <v>397.38255080483941</v>
      </c>
      <c r="P717" s="18"/>
      <c r="Q717" s="18"/>
      <c r="R717" s="18"/>
      <c r="S717" s="18"/>
      <c r="T717" s="18"/>
      <c r="U717" s="18"/>
      <c r="V717" s="18"/>
      <c r="W717" s="18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1.25" customHeight="1" x14ac:dyDescent="0.2">
      <c r="A718" s="70" t="s">
        <v>21</v>
      </c>
      <c r="B718" s="70" t="s">
        <v>35</v>
      </c>
      <c r="C718" s="70" t="s">
        <v>39</v>
      </c>
      <c r="D718" s="70" t="s">
        <v>47</v>
      </c>
      <c r="E718" s="70" t="s">
        <v>48</v>
      </c>
      <c r="F718" s="70" t="s">
        <v>25</v>
      </c>
      <c r="G718" s="70" t="s">
        <v>25</v>
      </c>
      <c r="H718" s="70" t="s">
        <v>38</v>
      </c>
      <c r="I718" s="78">
        <v>44501</v>
      </c>
      <c r="J718" s="79">
        <f>EFEITO!$J$718*EFEITO!$Y$486</f>
        <v>0</v>
      </c>
      <c r="K718" s="79">
        <f ca="1">EFEITO!$L$718*EFEITO!$Z$486</f>
        <v>6532.0409813082833</v>
      </c>
      <c r="L718" s="79">
        <f>EFEITO!$N$718*EFEITO!$AA$486</f>
        <v>13994.221879760067</v>
      </c>
      <c r="M718" s="79">
        <f>$J$718-EFEITO!$K$718*EFEITO!$Y$718</f>
        <v>0</v>
      </c>
      <c r="N718" s="79">
        <f ca="1">$K$718-EFEITO!$M$718*EFEITO!$Z$718</f>
        <v>195.9612294392482</v>
      </c>
      <c r="O718" s="79">
        <f>$L$718-EFEITO!$O$718*EFEITO!$AA$718</f>
        <v>419.82665639280276</v>
      </c>
      <c r="P718" s="18"/>
      <c r="Q718" s="18"/>
      <c r="R718" s="18"/>
      <c r="S718" s="18"/>
      <c r="T718" s="18"/>
      <c r="U718" s="18"/>
      <c r="V718" s="18"/>
      <c r="W718" s="18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1.25" customHeight="1" x14ac:dyDescent="0.2">
      <c r="A719" s="70" t="s">
        <v>21</v>
      </c>
      <c r="B719" s="70" t="s">
        <v>35</v>
      </c>
      <c r="C719" s="70" t="s">
        <v>39</v>
      </c>
      <c r="D719" s="70" t="s">
        <v>47</v>
      </c>
      <c r="E719" s="70" t="s">
        <v>48</v>
      </c>
      <c r="F719" s="70" t="s">
        <v>25</v>
      </c>
      <c r="G719" s="70" t="s">
        <v>25</v>
      </c>
      <c r="H719" s="70" t="s">
        <v>38</v>
      </c>
      <c r="I719" s="78">
        <v>44531</v>
      </c>
      <c r="J719" s="79">
        <f>EFEITO!$J$719*EFEITO!$Y$486</f>
        <v>0</v>
      </c>
      <c r="K719" s="79">
        <f ca="1">EFEITO!$L$719*EFEITO!$Z$486</f>
        <v>6004.9486681153221</v>
      </c>
      <c r="L719" s="79">
        <f>EFEITO!$N$719*EFEITO!$AA$486</f>
        <v>12864.981141215141</v>
      </c>
      <c r="M719" s="79">
        <f>$J$719-EFEITO!$K$719*EFEITO!$Y$719</f>
        <v>0</v>
      </c>
      <c r="N719" s="79">
        <f ca="1">$K$719-EFEITO!$M$719*EFEITO!$Z$719</f>
        <v>180.14846004345964</v>
      </c>
      <c r="O719" s="79">
        <f>$L$719-EFEITO!$O$719*EFEITO!$AA$719</f>
        <v>385.94943423645418</v>
      </c>
      <c r="P719" s="18"/>
      <c r="Q719" s="18"/>
      <c r="R719" s="18"/>
      <c r="S719" s="18"/>
      <c r="T719" s="18"/>
      <c r="U719" s="18"/>
      <c r="V719" s="18"/>
      <c r="W719" s="18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1.25" customHeight="1" x14ac:dyDescent="0.2">
      <c r="A720" s="70" t="s">
        <v>21</v>
      </c>
      <c r="B720" s="70" t="s">
        <v>35</v>
      </c>
      <c r="C720" s="70" t="s">
        <v>39</v>
      </c>
      <c r="D720" s="70" t="s">
        <v>47</v>
      </c>
      <c r="E720" s="70" t="s">
        <v>48</v>
      </c>
      <c r="F720" s="70" t="s">
        <v>25</v>
      </c>
      <c r="G720" s="70" t="s">
        <v>25</v>
      </c>
      <c r="H720" s="70" t="s">
        <v>38</v>
      </c>
      <c r="I720" s="78">
        <v>44562</v>
      </c>
      <c r="J720" s="79">
        <f>EFEITO!$J$720*EFEITO!$Y$486</f>
        <v>0</v>
      </c>
      <c r="K720" s="79">
        <f ca="1">EFEITO!$L$720*EFEITO!$Z$486</f>
        <v>6751.4623514194982</v>
      </c>
      <c r="L720" s="79">
        <f>EFEITO!$N$720*EFEITO!$AA$486</f>
        <v>14464.30945993356</v>
      </c>
      <c r="M720" s="79">
        <f>$J$720-EFEITO!$K$720*EFEITO!$Y$720</f>
        <v>0</v>
      </c>
      <c r="N720" s="79">
        <f ca="1">$K$720-EFEITO!$M$720*EFEITO!$Z$720</f>
        <v>202.54387054258405</v>
      </c>
      <c r="O720" s="79">
        <f>$L$720-EFEITO!$O$720*EFEITO!$AA$720</f>
        <v>433.92928379800651</v>
      </c>
      <c r="P720" s="18"/>
      <c r="Q720" s="18"/>
      <c r="R720" s="18"/>
      <c r="S720" s="18"/>
      <c r="T720" s="18"/>
      <c r="U720" s="18"/>
      <c r="V720" s="18"/>
      <c r="W720" s="18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1.25" customHeight="1" x14ac:dyDescent="0.2">
      <c r="A721" s="70" t="s">
        <v>21</v>
      </c>
      <c r="B721" s="70" t="s">
        <v>35</v>
      </c>
      <c r="C721" s="70" t="s">
        <v>39</v>
      </c>
      <c r="D721" s="70" t="s">
        <v>47</v>
      </c>
      <c r="E721" s="70" t="s">
        <v>48</v>
      </c>
      <c r="F721" s="70" t="s">
        <v>25</v>
      </c>
      <c r="G721" s="70" t="s">
        <v>25</v>
      </c>
      <c r="H721" s="70" t="s">
        <v>38</v>
      </c>
      <c r="I721" s="78">
        <v>44593</v>
      </c>
      <c r="J721" s="79">
        <f>EFEITO!$J$721*EFEITO!$Y$486</f>
        <v>0</v>
      </c>
      <c r="K721" s="79">
        <f ca="1">EFEITO!$L$721*EFEITO!$Z$486</f>
        <v>5969.5193322162504</v>
      </c>
      <c r="L721" s="79">
        <f>EFEITO!$N$721*EFEITO!$AA$486</f>
        <v>12789.077455209048</v>
      </c>
      <c r="M721" s="79">
        <f>$J$721-EFEITO!$K$721*EFEITO!$Y$721</f>
        <v>0</v>
      </c>
      <c r="N721" s="79">
        <f ca="1">$K$721-EFEITO!$M$721*EFEITO!$Z$721</f>
        <v>179.08557996648688</v>
      </c>
      <c r="O721" s="79">
        <f>$L$721-EFEITO!$O$721*EFEITO!$AA$721</f>
        <v>383.67232365627024</v>
      </c>
      <c r="P721" s="18"/>
      <c r="Q721" s="18"/>
      <c r="R721" s="18"/>
      <c r="S721" s="18"/>
      <c r="T721" s="18"/>
      <c r="U721" s="18"/>
      <c r="V721" s="18"/>
      <c r="W721" s="18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1.25" customHeight="1" x14ac:dyDescent="0.2">
      <c r="A722" s="70" t="s">
        <v>21</v>
      </c>
      <c r="B722" s="70" t="s">
        <v>35</v>
      </c>
      <c r="C722" s="70" t="s">
        <v>39</v>
      </c>
      <c r="D722" s="70" t="s">
        <v>47</v>
      </c>
      <c r="E722" s="70" t="s">
        <v>48</v>
      </c>
      <c r="F722" s="70" t="s">
        <v>25</v>
      </c>
      <c r="G722" s="70" t="s">
        <v>25</v>
      </c>
      <c r="H722" s="70" t="s">
        <v>38</v>
      </c>
      <c r="I722" s="78">
        <v>44621</v>
      </c>
      <c r="J722" s="79">
        <f>EFEITO!$J$722*EFEITO!$Y$486</f>
        <v>0</v>
      </c>
      <c r="K722" s="79">
        <f ca="1">EFEITO!$L$722*EFEITO!$Z$486</f>
        <v>5048.4491036338859</v>
      </c>
      <c r="L722" s="79">
        <f>EFEITO!$N$722*EFEITO!$AA$486</f>
        <v>10815.77980099848</v>
      </c>
      <c r="M722" s="79">
        <f>$J$722-EFEITO!$K$722*EFEITO!$Y$722</f>
        <v>0</v>
      </c>
      <c r="N722" s="79">
        <f ca="1">$K$722-EFEITO!$M$722*EFEITO!$Z$722</f>
        <v>151.45347310901616</v>
      </c>
      <c r="O722" s="79">
        <f>$L$722-EFEITO!$O$722*EFEITO!$AA$722</f>
        <v>324.47339402995385</v>
      </c>
      <c r="P722" s="18"/>
      <c r="Q722" s="18"/>
      <c r="R722" s="18"/>
      <c r="S722" s="18"/>
      <c r="T722" s="18"/>
      <c r="U722" s="18"/>
      <c r="V722" s="18"/>
      <c r="W722" s="18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1.25" customHeight="1" x14ac:dyDescent="0.2">
      <c r="A723" s="70" t="s">
        <v>21</v>
      </c>
      <c r="B723" s="70" t="s">
        <v>35</v>
      </c>
      <c r="C723" s="70" t="s">
        <v>39</v>
      </c>
      <c r="D723" s="70" t="s">
        <v>47</v>
      </c>
      <c r="E723" s="70" t="s">
        <v>48</v>
      </c>
      <c r="F723" s="70" t="s">
        <v>25</v>
      </c>
      <c r="G723" s="70" t="s">
        <v>25</v>
      </c>
      <c r="H723" s="70" t="s">
        <v>38</v>
      </c>
      <c r="I723" s="78">
        <v>44652</v>
      </c>
      <c r="J723" s="79">
        <f>EFEITO!$J$723*EFEITO!$Y$486</f>
        <v>0</v>
      </c>
      <c r="K723" s="79">
        <f ca="1">EFEITO!$L$723*EFEITO!$Z$486</f>
        <v>5758.9784222781709</v>
      </c>
      <c r="L723" s="79">
        <f>EFEITO!$N$723*EFEITO!$AA$486</f>
        <v>12338.015342024028</v>
      </c>
      <c r="M723" s="79">
        <f>$J$723-EFEITO!$K$723*EFEITO!$Y$723</f>
        <v>0</v>
      </c>
      <c r="N723" s="79">
        <f ca="1">$K$723-EFEITO!$M$723*EFEITO!$Z$723</f>
        <v>172.76935266834516</v>
      </c>
      <c r="O723" s="79">
        <f>$L$723-EFEITO!$O$723*EFEITO!$AA$723</f>
        <v>370.14046026071992</v>
      </c>
      <c r="P723" s="18"/>
      <c r="Q723" s="18"/>
      <c r="R723" s="18"/>
      <c r="S723" s="18"/>
      <c r="T723" s="18"/>
      <c r="U723" s="18"/>
      <c r="V723" s="18"/>
      <c r="W723" s="18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1.25" customHeight="1" x14ac:dyDescent="0.2">
      <c r="A724" s="70" t="s">
        <v>21</v>
      </c>
      <c r="B724" s="70" t="s">
        <v>35</v>
      </c>
      <c r="C724" s="70" t="s">
        <v>39</v>
      </c>
      <c r="D724" s="70" t="s">
        <v>47</v>
      </c>
      <c r="E724" s="70" t="s">
        <v>48</v>
      </c>
      <c r="F724" s="70" t="s">
        <v>25</v>
      </c>
      <c r="G724" s="70" t="s">
        <v>25</v>
      </c>
      <c r="H724" s="70" t="s">
        <v>38</v>
      </c>
      <c r="I724" s="78">
        <v>44682</v>
      </c>
      <c r="J724" s="79">
        <f>EFEITO!$J$724*EFEITO!$Y$486</f>
        <v>0</v>
      </c>
      <c r="K724" s="79">
        <f ca="1">EFEITO!$L$724*EFEITO!$Z$486</f>
        <v>5283.9663078089088</v>
      </c>
      <c r="L724" s="79">
        <f>EFEITO!$N$724*EFEITO!$AA$486</f>
        <v>11320.351040088579</v>
      </c>
      <c r="M724" s="79">
        <f>$J$724-EFEITO!$K$724*EFEITO!$Y$724</f>
        <v>0</v>
      </c>
      <c r="N724" s="79">
        <f ca="1">$K$724-EFEITO!$M$724*EFEITO!$Z$724</f>
        <v>158.51898923426688</v>
      </c>
      <c r="O724" s="79">
        <f>$L$724-EFEITO!$O$724*EFEITO!$AA$724</f>
        <v>339.61053120265751</v>
      </c>
      <c r="P724" s="18"/>
      <c r="Q724" s="18"/>
      <c r="R724" s="18"/>
      <c r="S724" s="18"/>
      <c r="T724" s="18"/>
      <c r="U724" s="18"/>
      <c r="V724" s="18"/>
      <c r="W724" s="18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1.25" customHeight="1" x14ac:dyDescent="0.2">
      <c r="A725" s="70" t="s">
        <v>21</v>
      </c>
      <c r="B725" s="70" t="s">
        <v>35</v>
      </c>
      <c r="C725" s="70" t="s">
        <v>39</v>
      </c>
      <c r="D725" s="70" t="s">
        <v>47</v>
      </c>
      <c r="E725" s="70" t="s">
        <v>48</v>
      </c>
      <c r="F725" s="70" t="s">
        <v>25</v>
      </c>
      <c r="G725" s="70" t="s">
        <v>25</v>
      </c>
      <c r="H725" s="70" t="s">
        <v>38</v>
      </c>
      <c r="I725" s="78">
        <v>44713</v>
      </c>
      <c r="J725" s="79">
        <f>EFEITO!$J$725*EFEITO!$Y$486</f>
        <v>0</v>
      </c>
      <c r="K725" s="79">
        <f ca="1">EFEITO!$L$725*EFEITO!$Z$486</f>
        <v>5800.6055793397427</v>
      </c>
      <c r="L725" s="79">
        <f>EFEITO!$N$725*EFEITO!$AA$486</f>
        <v>12427.19721853249</v>
      </c>
      <c r="M725" s="79">
        <f>$J$725-EFEITO!$K$725*EFEITO!$Y$725</f>
        <v>0</v>
      </c>
      <c r="N725" s="79">
        <f ca="1">$K$725-EFEITO!$M$725*EFEITO!$Z$725</f>
        <v>174.01816738019261</v>
      </c>
      <c r="O725" s="79">
        <f>$L$725-EFEITO!$O$725*EFEITO!$AA$725</f>
        <v>372.81591655597367</v>
      </c>
      <c r="P725" s="18"/>
      <c r="Q725" s="18"/>
      <c r="R725" s="18"/>
      <c r="S725" s="18"/>
      <c r="T725" s="18"/>
      <c r="U725" s="18"/>
      <c r="V725" s="18"/>
      <c r="W725" s="18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1.25" customHeight="1" x14ac:dyDescent="0.2">
      <c r="A726" s="70" t="s">
        <v>21</v>
      </c>
      <c r="B726" s="70" t="s">
        <v>35</v>
      </c>
      <c r="C726" s="70" t="s">
        <v>39</v>
      </c>
      <c r="D726" s="70" t="s">
        <v>47</v>
      </c>
      <c r="E726" s="70" t="s">
        <v>48</v>
      </c>
      <c r="F726" s="70" t="s">
        <v>25</v>
      </c>
      <c r="G726" s="70" t="s">
        <v>25</v>
      </c>
      <c r="H726" s="70" t="s">
        <v>25</v>
      </c>
      <c r="I726" s="78">
        <v>44378</v>
      </c>
      <c r="J726" s="79">
        <f ca="1">EFEITO!$J$726*EFEITO!$Y$501</f>
        <v>15044.020288474703</v>
      </c>
      <c r="K726" s="79">
        <f>EFEITO!$L$726*EFEITO!$Z$501</f>
        <v>0</v>
      </c>
      <c r="L726" s="79">
        <f>EFEITO!$N$726*EFEITO!$AA$501</f>
        <v>0</v>
      </c>
      <c r="M726" s="79">
        <f ca="1">$J$726-EFEITO!$K$726*EFEITO!$Y$726</f>
        <v>451.32060865424137</v>
      </c>
      <c r="N726" s="79">
        <f>$K$726-EFEITO!$M$726*EFEITO!$Z$726</f>
        <v>0</v>
      </c>
      <c r="O726" s="79">
        <f>$L$726-EFEITO!$O$726*EFEITO!$AA$726</f>
        <v>0</v>
      </c>
      <c r="P726" s="18"/>
      <c r="Q726" s="18"/>
      <c r="R726" s="18"/>
      <c r="S726" s="18"/>
      <c r="T726" s="18"/>
      <c r="U726" s="18"/>
      <c r="V726" s="18"/>
      <c r="W726" s="18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1.25" customHeight="1" x14ac:dyDescent="0.2">
      <c r="A727" s="70" t="s">
        <v>27</v>
      </c>
      <c r="B727" s="70" t="s">
        <v>35</v>
      </c>
      <c r="C727" s="70" t="s">
        <v>39</v>
      </c>
      <c r="D727" s="70" t="s">
        <v>47</v>
      </c>
      <c r="E727" s="70" t="s">
        <v>48</v>
      </c>
      <c r="F727" s="70" t="s">
        <v>25</v>
      </c>
      <c r="G727" s="70" t="s">
        <v>25</v>
      </c>
      <c r="H727" s="70" t="s">
        <v>25</v>
      </c>
      <c r="I727" s="78">
        <v>44378</v>
      </c>
      <c r="J727" s="79">
        <f ca="1">EFEITO!$J$727*EFEITO!$Y$501</f>
        <v>-5786.1616494133477</v>
      </c>
      <c r="K727" s="79">
        <f>EFEITO!$L$727*EFEITO!$Z$501</f>
        <v>0</v>
      </c>
      <c r="L727" s="79">
        <f>EFEITO!$N$727*EFEITO!$AA$501</f>
        <v>0</v>
      </c>
      <c r="M727" s="79">
        <f ca="1">$J$727-EFEITO!$K$727*EFEITO!$Y$727</f>
        <v>-173.5848494824013</v>
      </c>
      <c r="N727" s="79">
        <f>$K$727-EFEITO!$M$727*EFEITO!$Z$727</f>
        <v>0</v>
      </c>
      <c r="O727" s="79">
        <f>$L$727-EFEITO!$O$727*EFEITO!$AA$727</f>
        <v>0</v>
      </c>
      <c r="P727" s="18"/>
      <c r="Q727" s="18"/>
      <c r="R727" s="18"/>
      <c r="S727" s="18"/>
      <c r="T727" s="18"/>
      <c r="U727" s="18"/>
      <c r="V727" s="18"/>
      <c r="W727" s="18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1.25" customHeight="1" x14ac:dyDescent="0.2">
      <c r="A728" s="70" t="s">
        <v>21</v>
      </c>
      <c r="B728" s="70" t="s">
        <v>35</v>
      </c>
      <c r="C728" s="70" t="s">
        <v>39</v>
      </c>
      <c r="D728" s="70" t="s">
        <v>47</v>
      </c>
      <c r="E728" s="70" t="s">
        <v>48</v>
      </c>
      <c r="F728" s="70" t="s">
        <v>25</v>
      </c>
      <c r="G728" s="70" t="s">
        <v>25</v>
      </c>
      <c r="H728" s="70" t="s">
        <v>25</v>
      </c>
      <c r="I728" s="78">
        <v>44409</v>
      </c>
      <c r="J728" s="79">
        <f ca="1">EFEITO!$J$728*EFEITO!$Y$501</f>
        <v>9349.2190861573563</v>
      </c>
      <c r="K728" s="79">
        <f>EFEITO!$L$728*EFEITO!$Z$501</f>
        <v>0</v>
      </c>
      <c r="L728" s="79">
        <f>EFEITO!$N$728*EFEITO!$AA$501</f>
        <v>0</v>
      </c>
      <c r="M728" s="79">
        <f ca="1">$J$728-EFEITO!$K$728*EFEITO!$Y$728</f>
        <v>280.476572584721</v>
      </c>
      <c r="N728" s="79">
        <f>$K$728-EFEITO!$M$728*EFEITO!$Z$728</f>
        <v>0</v>
      </c>
      <c r="O728" s="79">
        <f>$L$728-EFEITO!$O$728*EFEITO!$AA$728</f>
        <v>0</v>
      </c>
      <c r="P728" s="18"/>
      <c r="Q728" s="18"/>
      <c r="R728" s="18"/>
      <c r="S728" s="18"/>
      <c r="T728" s="18"/>
      <c r="U728" s="18"/>
      <c r="V728" s="18"/>
      <c r="W728" s="18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1.25" customHeight="1" x14ac:dyDescent="0.2">
      <c r="A729" s="70" t="s">
        <v>21</v>
      </c>
      <c r="B729" s="70" t="s">
        <v>35</v>
      </c>
      <c r="C729" s="70" t="s">
        <v>39</v>
      </c>
      <c r="D729" s="70" t="s">
        <v>47</v>
      </c>
      <c r="E729" s="70" t="s">
        <v>48</v>
      </c>
      <c r="F729" s="70" t="s">
        <v>25</v>
      </c>
      <c r="G729" s="70" t="s">
        <v>25</v>
      </c>
      <c r="H729" s="70" t="s">
        <v>25</v>
      </c>
      <c r="I729" s="78">
        <v>44440</v>
      </c>
      <c r="J729" s="79">
        <f ca="1">EFEITO!$J$729*EFEITO!$Y$501</f>
        <v>9745.1143569066899</v>
      </c>
      <c r="K729" s="79">
        <f>EFEITO!$L$729*EFEITO!$Z$501</f>
        <v>0</v>
      </c>
      <c r="L729" s="79">
        <f>EFEITO!$N$729*EFEITO!$AA$501</f>
        <v>0</v>
      </c>
      <c r="M729" s="79">
        <f ca="1">$J$729-EFEITO!$K$729*EFEITO!$Y$729</f>
        <v>292.35343070720046</v>
      </c>
      <c r="N729" s="79">
        <f>$K$729-EFEITO!$M$729*EFEITO!$Z$729</f>
        <v>0</v>
      </c>
      <c r="O729" s="79">
        <f>$L$729-EFEITO!$O$729*EFEITO!$AA$729</f>
        <v>0</v>
      </c>
      <c r="P729" s="18"/>
      <c r="Q729" s="18"/>
      <c r="R729" s="18"/>
      <c r="S729" s="18"/>
      <c r="T729" s="18"/>
      <c r="U729" s="18"/>
      <c r="V729" s="18"/>
      <c r="W729" s="18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1.25" customHeight="1" x14ac:dyDescent="0.2">
      <c r="A730" s="70" t="s">
        <v>21</v>
      </c>
      <c r="B730" s="70" t="s">
        <v>35</v>
      </c>
      <c r="C730" s="70" t="s">
        <v>39</v>
      </c>
      <c r="D730" s="70" t="s">
        <v>47</v>
      </c>
      <c r="E730" s="70" t="s">
        <v>48</v>
      </c>
      <c r="F730" s="70" t="s">
        <v>25</v>
      </c>
      <c r="G730" s="70" t="s">
        <v>25</v>
      </c>
      <c r="H730" s="70" t="s">
        <v>25</v>
      </c>
      <c r="I730" s="78">
        <v>44470</v>
      </c>
      <c r="J730" s="79">
        <f ca="1">EFEITO!$J$730*EFEITO!$Y$501</f>
        <v>9623.300427445356</v>
      </c>
      <c r="K730" s="79">
        <f>EFEITO!$L$730*EFEITO!$Z$501</f>
        <v>0</v>
      </c>
      <c r="L730" s="79">
        <f>EFEITO!$N$730*EFEITO!$AA$501</f>
        <v>0</v>
      </c>
      <c r="M730" s="79">
        <f ca="1">$J$730-EFEITO!$K$730*EFEITO!$Y$730</f>
        <v>288.69901282336104</v>
      </c>
      <c r="N730" s="79">
        <f>$K$730-EFEITO!$M$730*EFEITO!$Z$730</f>
        <v>0</v>
      </c>
      <c r="O730" s="79">
        <f>$L$730-EFEITO!$O$730*EFEITO!$AA$730</f>
        <v>0</v>
      </c>
      <c r="P730" s="18"/>
      <c r="Q730" s="18"/>
      <c r="R730" s="18"/>
      <c r="S730" s="18"/>
      <c r="T730" s="18"/>
      <c r="U730" s="18"/>
      <c r="V730" s="18"/>
      <c r="W730" s="18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1.25" customHeight="1" x14ac:dyDescent="0.2">
      <c r="A731" s="70" t="s">
        <v>21</v>
      </c>
      <c r="B731" s="70" t="s">
        <v>35</v>
      </c>
      <c r="C731" s="70" t="s">
        <v>39</v>
      </c>
      <c r="D731" s="70" t="s">
        <v>47</v>
      </c>
      <c r="E731" s="70" t="s">
        <v>48</v>
      </c>
      <c r="F731" s="70" t="s">
        <v>25</v>
      </c>
      <c r="G731" s="70" t="s">
        <v>25</v>
      </c>
      <c r="H731" s="70" t="s">
        <v>25</v>
      </c>
      <c r="I731" s="78">
        <v>44501</v>
      </c>
      <c r="J731" s="79">
        <f ca="1">EFEITO!$J$731*EFEITO!$Y$501</f>
        <v>9714.6608745413578</v>
      </c>
      <c r="K731" s="79">
        <f>EFEITO!$L$731*EFEITO!$Z$501</f>
        <v>0</v>
      </c>
      <c r="L731" s="79">
        <f>EFEITO!$N$731*EFEITO!$AA$501</f>
        <v>0</v>
      </c>
      <c r="M731" s="79">
        <f ca="1">$J$731-EFEITO!$K$731*EFEITO!$Y$731</f>
        <v>291.43982623624106</v>
      </c>
      <c r="N731" s="79">
        <f>$K$731-EFEITO!$M$731*EFEITO!$Z$731</f>
        <v>0</v>
      </c>
      <c r="O731" s="79">
        <f>$L$731-EFEITO!$O$731*EFEITO!$AA$731</f>
        <v>0</v>
      </c>
      <c r="P731" s="18"/>
      <c r="Q731" s="18"/>
      <c r="R731" s="18"/>
      <c r="S731" s="18"/>
      <c r="T731" s="18"/>
      <c r="U731" s="18"/>
      <c r="V731" s="18"/>
      <c r="W731" s="18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1.25" customHeight="1" x14ac:dyDescent="0.2">
      <c r="A732" s="70" t="s">
        <v>21</v>
      </c>
      <c r="B732" s="70" t="s">
        <v>35</v>
      </c>
      <c r="C732" s="70" t="s">
        <v>39</v>
      </c>
      <c r="D732" s="70" t="s">
        <v>47</v>
      </c>
      <c r="E732" s="70" t="s">
        <v>48</v>
      </c>
      <c r="F732" s="70" t="s">
        <v>25</v>
      </c>
      <c r="G732" s="70" t="s">
        <v>25</v>
      </c>
      <c r="H732" s="70" t="s">
        <v>25</v>
      </c>
      <c r="I732" s="78">
        <v>44531</v>
      </c>
      <c r="J732" s="79">
        <f ca="1">EFEITO!$J$732*EFEITO!$Y$501</f>
        <v>9501.4864979840222</v>
      </c>
      <c r="K732" s="79">
        <f>EFEITO!$L$732*EFEITO!$Z$501</f>
        <v>0</v>
      </c>
      <c r="L732" s="79">
        <f>EFEITO!$N$732*EFEITO!$AA$501</f>
        <v>0</v>
      </c>
      <c r="M732" s="79">
        <f ca="1">$J$732-EFEITO!$K$732*EFEITO!$Y$732</f>
        <v>285.04459493951981</v>
      </c>
      <c r="N732" s="79">
        <f>$K$732-EFEITO!$M$732*EFEITO!$Z$732</f>
        <v>0</v>
      </c>
      <c r="O732" s="79">
        <f>$L$732-EFEITO!$O$732*EFEITO!$AA$732</f>
        <v>0</v>
      </c>
      <c r="P732" s="18"/>
      <c r="Q732" s="18"/>
      <c r="R732" s="18"/>
      <c r="S732" s="18"/>
      <c r="T732" s="18"/>
      <c r="U732" s="18"/>
      <c r="V732" s="18"/>
      <c r="W732" s="18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1.25" customHeight="1" x14ac:dyDescent="0.2">
      <c r="A733" s="70" t="s">
        <v>21</v>
      </c>
      <c r="B733" s="70" t="s">
        <v>35</v>
      </c>
      <c r="C733" s="70" t="s">
        <v>39</v>
      </c>
      <c r="D733" s="70" t="s">
        <v>47</v>
      </c>
      <c r="E733" s="70" t="s">
        <v>48</v>
      </c>
      <c r="F733" s="70" t="s">
        <v>25</v>
      </c>
      <c r="G733" s="70" t="s">
        <v>25</v>
      </c>
      <c r="H733" s="70" t="s">
        <v>25</v>
      </c>
      <c r="I733" s="78">
        <v>44562</v>
      </c>
      <c r="J733" s="79">
        <f ca="1">EFEITO!$J$733*EFEITO!$Y$501</f>
        <v>9288.3121214266885</v>
      </c>
      <c r="K733" s="79">
        <f>EFEITO!$L$733*EFEITO!$Z$501</f>
        <v>0</v>
      </c>
      <c r="L733" s="79">
        <f>EFEITO!$N$733*EFEITO!$AA$501</f>
        <v>0</v>
      </c>
      <c r="M733" s="79">
        <f ca="1">$J$733-EFEITO!$K$733*EFEITO!$Y$733</f>
        <v>278.64936364280038</v>
      </c>
      <c r="N733" s="79">
        <f>$K$733-EFEITO!$M$733*EFEITO!$Z$733</f>
        <v>0</v>
      </c>
      <c r="O733" s="79">
        <f>$L$733-EFEITO!$O$733*EFEITO!$AA$733</f>
        <v>0</v>
      </c>
      <c r="P733" s="18"/>
      <c r="Q733" s="18"/>
      <c r="R733" s="18"/>
      <c r="S733" s="18"/>
      <c r="T733" s="18"/>
      <c r="U733" s="18"/>
      <c r="V733" s="18"/>
      <c r="W733" s="18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1.25" customHeight="1" x14ac:dyDescent="0.2">
      <c r="A734" s="70" t="s">
        <v>21</v>
      </c>
      <c r="B734" s="70" t="s">
        <v>35</v>
      </c>
      <c r="C734" s="70" t="s">
        <v>39</v>
      </c>
      <c r="D734" s="70" t="s">
        <v>47</v>
      </c>
      <c r="E734" s="70" t="s">
        <v>48</v>
      </c>
      <c r="F734" s="70" t="s">
        <v>25</v>
      </c>
      <c r="G734" s="70" t="s">
        <v>25</v>
      </c>
      <c r="H734" s="70" t="s">
        <v>25</v>
      </c>
      <c r="I734" s="78">
        <v>44593</v>
      </c>
      <c r="J734" s="79">
        <f ca="1">EFEITO!$J$734*EFEITO!$Y$501</f>
        <v>9562.39346271469</v>
      </c>
      <c r="K734" s="79">
        <f>EFEITO!$L$734*EFEITO!$Z$501</f>
        <v>0</v>
      </c>
      <c r="L734" s="79">
        <f>EFEITO!$N$734*EFEITO!$AA$501</f>
        <v>0</v>
      </c>
      <c r="M734" s="79">
        <f ca="1">$J$734-EFEITO!$K$734*EFEITO!$Y$734</f>
        <v>286.87180388144043</v>
      </c>
      <c r="N734" s="79">
        <f>$K$734-EFEITO!$M$734*EFEITO!$Z$734</f>
        <v>0</v>
      </c>
      <c r="O734" s="79">
        <f>$L$734-EFEITO!$O$734*EFEITO!$AA$734</f>
        <v>0</v>
      </c>
      <c r="P734" s="18"/>
      <c r="Q734" s="18"/>
      <c r="R734" s="18"/>
      <c r="S734" s="18"/>
      <c r="T734" s="18"/>
      <c r="U734" s="18"/>
      <c r="V734" s="18"/>
      <c r="W734" s="18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1.25" customHeight="1" x14ac:dyDescent="0.2">
      <c r="A735" s="70" t="s">
        <v>21</v>
      </c>
      <c r="B735" s="70" t="s">
        <v>35</v>
      </c>
      <c r="C735" s="70" t="s">
        <v>39</v>
      </c>
      <c r="D735" s="70" t="s">
        <v>47</v>
      </c>
      <c r="E735" s="70" t="s">
        <v>48</v>
      </c>
      <c r="F735" s="70" t="s">
        <v>25</v>
      </c>
      <c r="G735" s="70" t="s">
        <v>25</v>
      </c>
      <c r="H735" s="70" t="s">
        <v>25</v>
      </c>
      <c r="I735" s="78">
        <v>44621</v>
      </c>
      <c r="J735" s="79">
        <f ca="1">EFEITO!$J$735*EFEITO!$Y$501</f>
        <v>9471.0330156186901</v>
      </c>
      <c r="K735" s="79">
        <f>EFEITO!$L$735*EFEITO!$Z$501</f>
        <v>0</v>
      </c>
      <c r="L735" s="79">
        <f>EFEITO!$N$735*EFEITO!$AA$501</f>
        <v>0</v>
      </c>
      <c r="M735" s="79">
        <f ca="1">$J$735-EFEITO!$K$735*EFEITO!$Y$735</f>
        <v>284.13099046856223</v>
      </c>
      <c r="N735" s="79">
        <f>$K$735-EFEITO!$M$735*EFEITO!$Z$735</f>
        <v>0</v>
      </c>
      <c r="O735" s="79">
        <f>$L$735-EFEITO!$O$735*EFEITO!$AA$735</f>
        <v>0</v>
      </c>
      <c r="P735" s="18"/>
      <c r="Q735" s="18"/>
      <c r="R735" s="18"/>
      <c r="S735" s="18"/>
      <c r="T735" s="18"/>
      <c r="U735" s="18"/>
      <c r="V735" s="18"/>
      <c r="W735" s="18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1.25" customHeight="1" x14ac:dyDescent="0.2">
      <c r="A736" s="70" t="s">
        <v>21</v>
      </c>
      <c r="B736" s="70" t="s">
        <v>35</v>
      </c>
      <c r="C736" s="70" t="s">
        <v>39</v>
      </c>
      <c r="D736" s="70" t="s">
        <v>47</v>
      </c>
      <c r="E736" s="70" t="s">
        <v>48</v>
      </c>
      <c r="F736" s="70" t="s">
        <v>25</v>
      </c>
      <c r="G736" s="70" t="s">
        <v>25</v>
      </c>
      <c r="H736" s="70" t="s">
        <v>25</v>
      </c>
      <c r="I736" s="78">
        <v>44652</v>
      </c>
      <c r="J736" s="79">
        <f ca="1">EFEITO!$J$736*EFEITO!$Y$501</f>
        <v>9592.8469450800239</v>
      </c>
      <c r="K736" s="79">
        <f>EFEITO!$L$736*EFEITO!$Z$501</f>
        <v>0</v>
      </c>
      <c r="L736" s="79">
        <f>EFEITO!$N$736*EFEITO!$AA$501</f>
        <v>0</v>
      </c>
      <c r="M736" s="79">
        <f ca="1">$J$736-EFEITO!$K$736*EFEITO!$Y$736</f>
        <v>287.78540835240165</v>
      </c>
      <c r="N736" s="79">
        <f>$K$736-EFEITO!$M$736*EFEITO!$Z$736</f>
        <v>0</v>
      </c>
      <c r="O736" s="79">
        <f>$L$736-EFEITO!$O$736*EFEITO!$AA$736</f>
        <v>0</v>
      </c>
      <c r="P736" s="18"/>
      <c r="Q736" s="18"/>
      <c r="R736" s="18"/>
      <c r="S736" s="18"/>
      <c r="T736" s="18"/>
      <c r="U736" s="18"/>
      <c r="V736" s="18"/>
      <c r="W736" s="18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1.25" customHeight="1" x14ac:dyDescent="0.2">
      <c r="A737" s="70" t="s">
        <v>21</v>
      </c>
      <c r="B737" s="70" t="s">
        <v>35</v>
      </c>
      <c r="C737" s="70" t="s">
        <v>39</v>
      </c>
      <c r="D737" s="70" t="s">
        <v>47</v>
      </c>
      <c r="E737" s="70" t="s">
        <v>48</v>
      </c>
      <c r="F737" s="70" t="s">
        <v>25</v>
      </c>
      <c r="G737" s="70" t="s">
        <v>25</v>
      </c>
      <c r="H737" s="70" t="s">
        <v>25</v>
      </c>
      <c r="I737" s="78">
        <v>44682</v>
      </c>
      <c r="J737" s="79">
        <f ca="1">EFEITO!$J$737*EFEITO!$Y$501</f>
        <v>9714.6608745413578</v>
      </c>
      <c r="K737" s="79">
        <f>EFEITO!$L$737*EFEITO!$Z$501</f>
        <v>0</v>
      </c>
      <c r="L737" s="79">
        <f>EFEITO!$N$737*EFEITO!$AA$501</f>
        <v>0</v>
      </c>
      <c r="M737" s="79">
        <f ca="1">$J$737-EFEITO!$K$737*EFEITO!$Y$737</f>
        <v>291.43982623624106</v>
      </c>
      <c r="N737" s="79">
        <f>$K$737-EFEITO!$M$737*EFEITO!$Z$737</f>
        <v>0</v>
      </c>
      <c r="O737" s="79">
        <f>$L$737-EFEITO!$O$737*EFEITO!$AA$737</f>
        <v>0</v>
      </c>
      <c r="P737" s="18"/>
      <c r="Q737" s="18"/>
      <c r="R737" s="18"/>
      <c r="S737" s="18"/>
      <c r="T737" s="18"/>
      <c r="U737" s="18"/>
      <c r="V737" s="18"/>
      <c r="W737" s="18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1.25" customHeight="1" x14ac:dyDescent="0.2">
      <c r="A738" s="70" t="s">
        <v>21</v>
      </c>
      <c r="B738" s="70" t="s">
        <v>35</v>
      </c>
      <c r="C738" s="70" t="s">
        <v>39</v>
      </c>
      <c r="D738" s="70" t="s">
        <v>47</v>
      </c>
      <c r="E738" s="70" t="s">
        <v>48</v>
      </c>
      <c r="F738" s="70" t="s">
        <v>25</v>
      </c>
      <c r="G738" s="70" t="s">
        <v>25</v>
      </c>
      <c r="H738" s="70" t="s">
        <v>25</v>
      </c>
      <c r="I738" s="78">
        <v>44713</v>
      </c>
      <c r="J738" s="79">
        <f ca="1">EFEITO!$J$738*EFEITO!$Y$501</f>
        <v>9440.5795332533562</v>
      </c>
      <c r="K738" s="79">
        <f>EFEITO!$L$738*EFEITO!$Z$501</f>
        <v>0</v>
      </c>
      <c r="L738" s="79">
        <f>EFEITO!$N$738*EFEITO!$AA$501</f>
        <v>0</v>
      </c>
      <c r="M738" s="79">
        <f ca="1">$J$738-EFEITO!$K$738*EFEITO!$Y$738</f>
        <v>283.21738599760101</v>
      </c>
      <c r="N738" s="79">
        <f>$K$738-EFEITO!$M$738*EFEITO!$Z$738</f>
        <v>0</v>
      </c>
      <c r="O738" s="79">
        <f>$L$738-EFEITO!$O$738*EFEITO!$AA$738</f>
        <v>0</v>
      </c>
      <c r="P738" s="18"/>
      <c r="Q738" s="18"/>
      <c r="R738" s="18"/>
      <c r="S738" s="18"/>
      <c r="T738" s="18"/>
      <c r="U738" s="18"/>
      <c r="V738" s="18"/>
      <c r="W738" s="18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1.25" customHeight="1" x14ac:dyDescent="0.2">
      <c r="A739" s="70" t="s">
        <v>21</v>
      </c>
      <c r="B739" s="70" t="s">
        <v>35</v>
      </c>
      <c r="C739" s="70" t="s">
        <v>39</v>
      </c>
      <c r="D739" s="70" t="s">
        <v>47</v>
      </c>
      <c r="E739" s="70" t="s">
        <v>48</v>
      </c>
      <c r="F739" s="70" t="s">
        <v>25</v>
      </c>
      <c r="G739" s="70" t="s">
        <v>25</v>
      </c>
      <c r="H739" s="70" t="s">
        <v>37</v>
      </c>
      <c r="I739" s="78">
        <v>44378</v>
      </c>
      <c r="J739" s="79">
        <f>EFEITO!$J$739*EFEITO!$Y$516</f>
        <v>0</v>
      </c>
      <c r="K739" s="79">
        <f ca="1">EFEITO!$L$739*EFEITO!$Z$516</f>
        <v>2590.4059425890187</v>
      </c>
      <c r="L739" s="79">
        <f>EFEITO!$N$739*EFEITO!$AA$516</f>
        <v>394.18389416740223</v>
      </c>
      <c r="M739" s="79">
        <f>$J$739-EFEITO!$K$739*EFEITO!$Y$739</f>
        <v>0</v>
      </c>
      <c r="N739" s="79">
        <f ca="1">$K$739-EFEITO!$M$739*EFEITO!$Z$739</f>
        <v>77.712178277670773</v>
      </c>
      <c r="O739" s="79">
        <f>$L$739-EFEITO!$O$739*EFEITO!$AA$739</f>
        <v>11.825516825022078</v>
      </c>
      <c r="P739" s="18"/>
      <c r="Q739" s="18"/>
      <c r="R739" s="18"/>
      <c r="S739" s="18"/>
      <c r="T739" s="18"/>
      <c r="U739" s="18"/>
      <c r="V739" s="18"/>
      <c r="W739" s="18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1.25" customHeight="1" x14ac:dyDescent="0.2">
      <c r="A740" s="70" t="s">
        <v>27</v>
      </c>
      <c r="B740" s="70" t="s">
        <v>35</v>
      </c>
      <c r="C740" s="70" t="s">
        <v>39</v>
      </c>
      <c r="D740" s="70" t="s">
        <v>47</v>
      </c>
      <c r="E740" s="70" t="s">
        <v>48</v>
      </c>
      <c r="F740" s="70" t="s">
        <v>25</v>
      </c>
      <c r="G740" s="70" t="s">
        <v>25</v>
      </c>
      <c r="H740" s="70" t="s">
        <v>37</v>
      </c>
      <c r="I740" s="78">
        <v>44378</v>
      </c>
      <c r="J740" s="79">
        <f>EFEITO!$J$740*EFEITO!$Y$516</f>
        <v>0</v>
      </c>
      <c r="K740" s="79">
        <f ca="1">EFEITO!$L$740*EFEITO!$Z$516</f>
        <v>-1936.6182185167777</v>
      </c>
      <c r="L740" s="79">
        <f>EFEITO!$N$740*EFEITO!$AA$516</f>
        <v>-294.69655637351792</v>
      </c>
      <c r="M740" s="79">
        <f>$J$740-EFEITO!$K$740*EFEITO!$Y$740</f>
        <v>0</v>
      </c>
      <c r="N740" s="79">
        <f ca="1">$K$740-EFEITO!$M$740*EFEITO!$Z$740</f>
        <v>-58.098546555503617</v>
      </c>
      <c r="O740" s="79">
        <f>$L$740-EFEITO!$O$740*EFEITO!$AA$740</f>
        <v>-8.8408966912055575</v>
      </c>
      <c r="P740" s="18"/>
      <c r="Q740" s="18"/>
      <c r="R740" s="18"/>
      <c r="S740" s="18"/>
      <c r="T740" s="18"/>
      <c r="U740" s="18"/>
      <c r="V740" s="18"/>
      <c r="W740" s="18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1.25" customHeight="1" x14ac:dyDescent="0.2">
      <c r="A741" s="70" t="s">
        <v>21</v>
      </c>
      <c r="B741" s="70" t="s">
        <v>35</v>
      </c>
      <c r="C741" s="70" t="s">
        <v>39</v>
      </c>
      <c r="D741" s="70" t="s">
        <v>47</v>
      </c>
      <c r="E741" s="70" t="s">
        <v>48</v>
      </c>
      <c r="F741" s="70" t="s">
        <v>25</v>
      </c>
      <c r="G741" s="70" t="s">
        <v>25</v>
      </c>
      <c r="H741" s="70" t="s">
        <v>37</v>
      </c>
      <c r="I741" s="78">
        <v>44409</v>
      </c>
      <c r="J741" s="79">
        <f>EFEITO!$J$741*EFEITO!$Y$516</f>
        <v>0</v>
      </c>
      <c r="K741" s="79">
        <f ca="1">EFEITO!$L$741*EFEITO!$Z$516</f>
        <v>1034.0785914608753</v>
      </c>
      <c r="L741" s="79">
        <f>EFEITO!$N$741*EFEITO!$AA$516</f>
        <v>157.35646655048635</v>
      </c>
      <c r="M741" s="79">
        <f>$J$741-EFEITO!$K$741*EFEITO!$Y$741</f>
        <v>0</v>
      </c>
      <c r="N741" s="79">
        <f ca="1">$K$741-EFEITO!$M$741*EFEITO!$Z$741</f>
        <v>31.022357743826433</v>
      </c>
      <c r="O741" s="79">
        <f>$L$741-EFEITO!$O$741*EFEITO!$AA$741</f>
        <v>4.7206939965145693</v>
      </c>
      <c r="P741" s="18"/>
      <c r="Q741" s="18"/>
      <c r="R741" s="18"/>
      <c r="S741" s="18"/>
      <c r="T741" s="18"/>
      <c r="U741" s="18"/>
      <c r="V741" s="18"/>
      <c r="W741" s="18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1.25" customHeight="1" x14ac:dyDescent="0.2">
      <c r="A742" s="70" t="s">
        <v>21</v>
      </c>
      <c r="B742" s="70" t="s">
        <v>35</v>
      </c>
      <c r="C742" s="70" t="s">
        <v>39</v>
      </c>
      <c r="D742" s="70" t="s">
        <v>47</v>
      </c>
      <c r="E742" s="70" t="s">
        <v>48</v>
      </c>
      <c r="F742" s="70" t="s">
        <v>25</v>
      </c>
      <c r="G742" s="70" t="s">
        <v>25</v>
      </c>
      <c r="H742" s="70" t="s">
        <v>37</v>
      </c>
      <c r="I742" s="78">
        <v>44440</v>
      </c>
      <c r="J742" s="79">
        <f>EFEITO!$J$742*EFEITO!$Y$516</f>
        <v>0</v>
      </c>
      <c r="K742" s="79">
        <f ca="1">EFEITO!$L$742*EFEITO!$Z$516</f>
        <v>3168.6564395772152</v>
      </c>
      <c r="L742" s="79">
        <f>EFEITO!$N$742*EFEITO!$AA$516</f>
        <v>482.17667898908473</v>
      </c>
      <c r="M742" s="79">
        <f>$J$742-EFEITO!$K$742*EFEITO!$Y$742</f>
        <v>0</v>
      </c>
      <c r="N742" s="79">
        <f ca="1">$K$742-EFEITO!$M$742*EFEITO!$Z$742</f>
        <v>95.059693187316498</v>
      </c>
      <c r="O742" s="79">
        <f>$L$742-EFEITO!$O$742*EFEITO!$AA$742</f>
        <v>14.465300369672548</v>
      </c>
      <c r="P742" s="18"/>
      <c r="Q742" s="18"/>
      <c r="R742" s="18"/>
      <c r="S742" s="18"/>
      <c r="T742" s="18"/>
      <c r="U742" s="18"/>
      <c r="V742" s="18"/>
      <c r="W742" s="18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1.25" customHeight="1" x14ac:dyDescent="0.2">
      <c r="A743" s="70" t="s">
        <v>21</v>
      </c>
      <c r="B743" s="70" t="s">
        <v>35</v>
      </c>
      <c r="C743" s="70" t="s">
        <v>39</v>
      </c>
      <c r="D743" s="70" t="s">
        <v>47</v>
      </c>
      <c r="E743" s="70" t="s">
        <v>48</v>
      </c>
      <c r="F743" s="70" t="s">
        <v>25</v>
      </c>
      <c r="G743" s="70" t="s">
        <v>25</v>
      </c>
      <c r="H743" s="70" t="s">
        <v>37</v>
      </c>
      <c r="I743" s="78">
        <v>44470</v>
      </c>
      <c r="J743" s="79">
        <f>EFEITO!$J$743*EFEITO!$Y$516</f>
        <v>0</v>
      </c>
      <c r="K743" s="79">
        <f ca="1">EFEITO!$L$743*EFEITO!$Z$516</f>
        <v>6388.1051525385301</v>
      </c>
      <c r="L743" s="79">
        <f>EFEITO!$N$743*EFEITO!$AA$516</f>
        <v>972.08245394223627</v>
      </c>
      <c r="M743" s="79">
        <f>$J$743-EFEITO!$K$743*EFEITO!$Y$743</f>
        <v>0</v>
      </c>
      <c r="N743" s="79">
        <f ca="1">$K$743-EFEITO!$M$743*EFEITO!$Z$743</f>
        <v>191.64315457615612</v>
      </c>
      <c r="O743" s="79">
        <f>$L$743-EFEITO!$O$743*EFEITO!$AA$743</f>
        <v>29.162473618267086</v>
      </c>
      <c r="P743" s="18"/>
      <c r="Q743" s="18"/>
      <c r="R743" s="18"/>
      <c r="S743" s="18"/>
      <c r="T743" s="18"/>
      <c r="U743" s="18"/>
      <c r="V743" s="18"/>
      <c r="W743" s="18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1.25" customHeight="1" x14ac:dyDescent="0.2">
      <c r="A744" s="70" t="s">
        <v>21</v>
      </c>
      <c r="B744" s="70" t="s">
        <v>35</v>
      </c>
      <c r="C744" s="70" t="s">
        <v>39</v>
      </c>
      <c r="D744" s="70" t="s">
        <v>47</v>
      </c>
      <c r="E744" s="70" t="s">
        <v>48</v>
      </c>
      <c r="F744" s="70" t="s">
        <v>25</v>
      </c>
      <c r="G744" s="70" t="s">
        <v>25</v>
      </c>
      <c r="H744" s="70" t="s">
        <v>37</v>
      </c>
      <c r="I744" s="78">
        <v>44501</v>
      </c>
      <c r="J744" s="79">
        <f>EFEITO!$J$744*EFEITO!$Y$516</f>
        <v>0</v>
      </c>
      <c r="K744" s="79">
        <f ca="1">EFEITO!$L$744*EFEITO!$Z$516</f>
        <v>6618.6239317432837</v>
      </c>
      <c r="L744" s="79">
        <f>EFEITO!$N$744*EFEITO!$AA$516</f>
        <v>1007.1606587022312</v>
      </c>
      <c r="M744" s="79">
        <f>$J$744-EFEITO!$K$744*EFEITO!$Y$744</f>
        <v>0</v>
      </c>
      <c r="N744" s="79">
        <f ca="1">$K$744-EFEITO!$M$744*EFEITO!$Z$744</f>
        <v>198.55871795229905</v>
      </c>
      <c r="O744" s="79">
        <f>$L$744-EFEITO!$O$744*EFEITO!$AA$744</f>
        <v>30.214819761066906</v>
      </c>
      <c r="P744" s="18"/>
      <c r="Q744" s="18"/>
      <c r="R744" s="18"/>
      <c r="S744" s="18"/>
      <c r="T744" s="18"/>
      <c r="U744" s="18"/>
      <c r="V744" s="18"/>
      <c r="W744" s="18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1.25" customHeight="1" x14ac:dyDescent="0.2">
      <c r="A745" s="70" t="s">
        <v>21</v>
      </c>
      <c r="B745" s="70" t="s">
        <v>35</v>
      </c>
      <c r="C745" s="70" t="s">
        <v>39</v>
      </c>
      <c r="D745" s="70" t="s">
        <v>47</v>
      </c>
      <c r="E745" s="70" t="s">
        <v>48</v>
      </c>
      <c r="F745" s="70" t="s">
        <v>25</v>
      </c>
      <c r="G745" s="70" t="s">
        <v>25</v>
      </c>
      <c r="H745" s="70" t="s">
        <v>37</v>
      </c>
      <c r="I745" s="78">
        <v>44531</v>
      </c>
      <c r="J745" s="79">
        <f>EFEITO!$J$745*EFEITO!$Y$516</f>
        <v>0</v>
      </c>
      <c r="K745" s="79">
        <f ca="1">EFEITO!$L$745*EFEITO!$Z$516</f>
        <v>6963.7509175583118</v>
      </c>
      <c r="L745" s="79">
        <f>EFEITO!$N$745*EFEITO!$AA$516</f>
        <v>1059.6788748683257</v>
      </c>
      <c r="M745" s="79">
        <f>$J$745-EFEITO!$K$745*EFEITO!$Y$745</f>
        <v>0</v>
      </c>
      <c r="N745" s="79">
        <f ca="1">$K$745-EFEITO!$M$745*EFEITO!$Z$745</f>
        <v>208.91252752674973</v>
      </c>
      <c r="O745" s="79">
        <f>$L$745-EFEITO!$O$745*EFEITO!$AA$745</f>
        <v>31.790366246049871</v>
      </c>
      <c r="P745" s="18"/>
      <c r="Q745" s="18"/>
      <c r="R745" s="18"/>
      <c r="S745" s="18"/>
      <c r="T745" s="18"/>
      <c r="U745" s="18"/>
      <c r="V745" s="18"/>
      <c r="W745" s="18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1.25" customHeight="1" x14ac:dyDescent="0.2">
      <c r="A746" s="70" t="s">
        <v>21</v>
      </c>
      <c r="B746" s="70" t="s">
        <v>35</v>
      </c>
      <c r="C746" s="70" t="s">
        <v>39</v>
      </c>
      <c r="D746" s="70" t="s">
        <v>47</v>
      </c>
      <c r="E746" s="70" t="s">
        <v>48</v>
      </c>
      <c r="F746" s="70" t="s">
        <v>25</v>
      </c>
      <c r="G746" s="70" t="s">
        <v>25</v>
      </c>
      <c r="H746" s="70" t="s">
        <v>37</v>
      </c>
      <c r="I746" s="78">
        <v>44562</v>
      </c>
      <c r="J746" s="79">
        <f>EFEITO!$J$746*EFEITO!$Y$516</f>
        <v>0</v>
      </c>
      <c r="K746" s="79">
        <f ca="1">EFEITO!$L$746*EFEITO!$Z$516</f>
        <v>7036.6834126739395</v>
      </c>
      <c r="L746" s="79">
        <f>EFEITO!$N$746*EFEITO!$AA$516</f>
        <v>1070.7770639449341</v>
      </c>
      <c r="M746" s="79">
        <f>$J$746-EFEITO!$K$746*EFEITO!$Y$746</f>
        <v>0</v>
      </c>
      <c r="N746" s="79">
        <f ca="1">$K$746-EFEITO!$M$746*EFEITO!$Z$746</f>
        <v>211.10050238021904</v>
      </c>
      <c r="O746" s="79">
        <f>$L$746-EFEITO!$O$746*EFEITO!$AA$746</f>
        <v>32.123311918348008</v>
      </c>
      <c r="P746" s="18"/>
      <c r="Q746" s="18"/>
      <c r="R746" s="18"/>
      <c r="S746" s="18"/>
      <c r="T746" s="18"/>
      <c r="U746" s="18"/>
      <c r="V746" s="18"/>
      <c r="W746" s="18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1.25" customHeight="1" x14ac:dyDescent="0.2">
      <c r="A747" s="70" t="s">
        <v>21</v>
      </c>
      <c r="B747" s="70" t="s">
        <v>35</v>
      </c>
      <c r="C747" s="70" t="s">
        <v>39</v>
      </c>
      <c r="D747" s="70" t="s">
        <v>47</v>
      </c>
      <c r="E747" s="70" t="s">
        <v>48</v>
      </c>
      <c r="F747" s="70" t="s">
        <v>25</v>
      </c>
      <c r="G747" s="70" t="s">
        <v>25</v>
      </c>
      <c r="H747" s="70" t="s">
        <v>37</v>
      </c>
      <c r="I747" s="78">
        <v>44593</v>
      </c>
      <c r="J747" s="79">
        <f>EFEITO!$J$747*EFEITO!$Y$516</f>
        <v>0</v>
      </c>
      <c r="K747" s="79">
        <f ca="1">EFEITO!$L$747*EFEITO!$Z$516</f>
        <v>2513.5663495207668</v>
      </c>
      <c r="L747" s="79">
        <f>EFEITO!$N$747*EFEITO!$AA$516</f>
        <v>382.49115924740386</v>
      </c>
      <c r="M747" s="79">
        <f>$J$747-EFEITO!$K$747*EFEITO!$Y$747</f>
        <v>0</v>
      </c>
      <c r="N747" s="79">
        <f ca="1">$K$747-EFEITO!$M$747*EFEITO!$Z$747</f>
        <v>75.406990485623282</v>
      </c>
      <c r="O747" s="79">
        <f>$L$747-EFEITO!$O$747*EFEITO!$AA$747</f>
        <v>11.474734777422157</v>
      </c>
      <c r="P747" s="18"/>
      <c r="Q747" s="18"/>
      <c r="R747" s="18"/>
      <c r="S747" s="18"/>
      <c r="T747" s="18"/>
      <c r="U747" s="18"/>
      <c r="V747" s="18"/>
      <c r="W747" s="18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1.25" customHeight="1" x14ac:dyDescent="0.2">
      <c r="A748" s="70" t="s">
        <v>21</v>
      </c>
      <c r="B748" s="70" t="s">
        <v>35</v>
      </c>
      <c r="C748" s="70" t="s">
        <v>39</v>
      </c>
      <c r="D748" s="70" t="s">
        <v>47</v>
      </c>
      <c r="E748" s="70" t="s">
        <v>48</v>
      </c>
      <c r="F748" s="70" t="s">
        <v>25</v>
      </c>
      <c r="G748" s="70" t="s">
        <v>25</v>
      </c>
      <c r="H748" s="70" t="s">
        <v>37</v>
      </c>
      <c r="I748" s="78">
        <v>44621</v>
      </c>
      <c r="J748" s="79">
        <f>EFEITO!$J$748*EFEITO!$Y$516</f>
        <v>0</v>
      </c>
      <c r="K748" s="79">
        <f ca="1">EFEITO!$L$748*EFEITO!$Z$516</f>
        <v>3568.4827967289648</v>
      </c>
      <c r="L748" s="79">
        <f>EFEITO!$N$748*EFEITO!$AA$516</f>
        <v>543.01853696263561</v>
      </c>
      <c r="M748" s="79">
        <f>$J$748-EFEITO!$K$748*EFEITO!$Y$748</f>
        <v>0</v>
      </c>
      <c r="N748" s="79">
        <f ca="1">$K$748-EFEITO!$M$748*EFEITO!$Z$748</f>
        <v>107.05448390186893</v>
      </c>
      <c r="O748" s="79">
        <f>$L$748-EFEITO!$O$748*EFEITO!$AA$748</f>
        <v>16.290556108879173</v>
      </c>
      <c r="P748" s="18"/>
      <c r="Q748" s="18"/>
      <c r="R748" s="18"/>
      <c r="S748" s="18"/>
      <c r="T748" s="18"/>
      <c r="U748" s="18"/>
      <c r="V748" s="18"/>
      <c r="W748" s="18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1.25" customHeight="1" x14ac:dyDescent="0.2">
      <c r="A749" s="70" t="s">
        <v>21</v>
      </c>
      <c r="B749" s="70" t="s">
        <v>35</v>
      </c>
      <c r="C749" s="70" t="s">
        <v>39</v>
      </c>
      <c r="D749" s="70" t="s">
        <v>47</v>
      </c>
      <c r="E749" s="70" t="s">
        <v>48</v>
      </c>
      <c r="F749" s="70" t="s">
        <v>25</v>
      </c>
      <c r="G749" s="70" t="s">
        <v>25</v>
      </c>
      <c r="H749" s="70" t="s">
        <v>37</v>
      </c>
      <c r="I749" s="78">
        <v>44652</v>
      </c>
      <c r="J749" s="79">
        <f>EFEITO!$J$749*EFEITO!$Y$516</f>
        <v>0</v>
      </c>
      <c r="K749" s="79">
        <f ca="1">EFEITO!$L$749*EFEITO!$Z$516</f>
        <v>2030.3885693797283</v>
      </c>
      <c r="L749" s="79">
        <f>EFEITO!$N$749*EFEITO!$AA$516</f>
        <v>308.96565661487182</v>
      </c>
      <c r="M749" s="79">
        <f>$J$749-EFEITO!$K$749*EFEITO!$Y$749</f>
        <v>0</v>
      </c>
      <c r="N749" s="79">
        <f ca="1">$K$749-EFEITO!$M$749*EFEITO!$Z$749</f>
        <v>60.911657081391922</v>
      </c>
      <c r="O749" s="79">
        <f>$L$749-EFEITO!$O$749*EFEITO!$AA$749</f>
        <v>9.2689696984461989</v>
      </c>
      <c r="P749" s="18"/>
      <c r="Q749" s="18"/>
      <c r="R749" s="18"/>
      <c r="S749" s="18"/>
      <c r="T749" s="18"/>
      <c r="U749" s="18"/>
      <c r="V749" s="18"/>
      <c r="W749" s="18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1.25" customHeight="1" x14ac:dyDescent="0.2">
      <c r="A750" s="70" t="s">
        <v>21</v>
      </c>
      <c r="B750" s="70" t="s">
        <v>35</v>
      </c>
      <c r="C750" s="70" t="s">
        <v>39</v>
      </c>
      <c r="D750" s="70" t="s">
        <v>47</v>
      </c>
      <c r="E750" s="70" t="s">
        <v>48</v>
      </c>
      <c r="F750" s="70" t="s">
        <v>25</v>
      </c>
      <c r="G750" s="70" t="s">
        <v>25</v>
      </c>
      <c r="H750" s="70" t="s">
        <v>37</v>
      </c>
      <c r="I750" s="78">
        <v>44682</v>
      </c>
      <c r="J750" s="79">
        <f>EFEITO!$J$750*EFEITO!$Y$516</f>
        <v>0</v>
      </c>
      <c r="K750" s="79">
        <f ca="1">EFEITO!$L$750*EFEITO!$Z$516</f>
        <v>1665.7260938015859</v>
      </c>
      <c r="L750" s="79">
        <f>EFEITO!$N$750*EFEITO!$AA$516</f>
        <v>253.47471123182876</v>
      </c>
      <c r="M750" s="79">
        <f>$J$750-EFEITO!$K$750*EFEITO!$Y$750</f>
        <v>0</v>
      </c>
      <c r="N750" s="79">
        <f ca="1">$K$750-EFEITO!$M$750*EFEITO!$Z$750</f>
        <v>49.971782814047629</v>
      </c>
      <c r="O750" s="79">
        <f>$L$750-EFEITO!$O$750*EFEITO!$AA$750</f>
        <v>7.6042413369548854</v>
      </c>
      <c r="P750" s="18"/>
      <c r="Q750" s="18"/>
      <c r="R750" s="18"/>
      <c r="S750" s="18"/>
      <c r="T750" s="18"/>
      <c r="U750" s="18"/>
      <c r="V750" s="18"/>
      <c r="W750" s="18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1.25" customHeight="1" x14ac:dyDescent="0.2">
      <c r="A751" s="70" t="s">
        <v>21</v>
      </c>
      <c r="B751" s="70" t="s">
        <v>35</v>
      </c>
      <c r="C751" s="70" t="s">
        <v>39</v>
      </c>
      <c r="D751" s="70" t="s">
        <v>47</v>
      </c>
      <c r="E751" s="70" t="s">
        <v>48</v>
      </c>
      <c r="F751" s="70" t="s">
        <v>25</v>
      </c>
      <c r="G751" s="70" t="s">
        <v>25</v>
      </c>
      <c r="H751" s="70" t="s">
        <v>37</v>
      </c>
      <c r="I751" s="78">
        <v>44713</v>
      </c>
      <c r="J751" s="79">
        <f>EFEITO!$J$751*EFEITO!$Y$516</f>
        <v>0</v>
      </c>
      <c r="K751" s="79">
        <f ca="1">EFEITO!$L$751*EFEITO!$Z$516</f>
        <v>2445.8433183419688</v>
      </c>
      <c r="L751" s="79">
        <f>EFEITO!$N$751*EFEITO!$AA$516</f>
        <v>372.18569796198153</v>
      </c>
      <c r="M751" s="79">
        <f>$J$751-EFEITO!$K$751*EFEITO!$Y$751</f>
        <v>0</v>
      </c>
      <c r="N751" s="79">
        <f ca="1">$K$751-EFEITO!$M$751*EFEITO!$Z$751</f>
        <v>73.375299550259115</v>
      </c>
      <c r="O751" s="79">
        <f>$L$751-EFEITO!$O$751*EFEITO!$AA$751</f>
        <v>11.165570938859446</v>
      </c>
      <c r="P751" s="18"/>
      <c r="Q751" s="18"/>
      <c r="R751" s="18"/>
      <c r="S751" s="18"/>
      <c r="T751" s="18"/>
      <c r="U751" s="18"/>
      <c r="V751" s="18"/>
      <c r="W751" s="18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1.25" customHeight="1" x14ac:dyDescent="0.2">
      <c r="A752" s="70" t="s">
        <v>21</v>
      </c>
      <c r="B752" s="70" t="s">
        <v>22</v>
      </c>
      <c r="C752" s="70" t="s">
        <v>23</v>
      </c>
      <c r="D752" s="70" t="s">
        <v>24</v>
      </c>
      <c r="E752" s="70" t="s">
        <v>24</v>
      </c>
      <c r="F752" s="70" t="s">
        <v>25</v>
      </c>
      <c r="G752" s="70" t="s">
        <v>25</v>
      </c>
      <c r="H752" s="70" t="s">
        <v>25</v>
      </c>
      <c r="I752" s="78">
        <v>44378</v>
      </c>
      <c r="J752" s="79">
        <f>EFEITO!$J$752*EFEITO!$Y$752</f>
        <v>0</v>
      </c>
      <c r="K752" s="79">
        <f ca="1">EFEITO!$L$752*EFEITO!$Z$752</f>
        <v>568497.38489288744</v>
      </c>
      <c r="L752" s="79">
        <f>EFEITO!$N$752*EFEITO!$AA$752</f>
        <v>385622.23584064207</v>
      </c>
      <c r="M752" s="79">
        <f>$J$752-EFEITO!$K$752*EFEITO!$Y$752</f>
        <v>0</v>
      </c>
      <c r="N752" s="79">
        <f ca="1">$K$752-EFEITO!$M$752*EFEITO!$Z$752</f>
        <v>0</v>
      </c>
      <c r="O752" s="79">
        <f>$L$752-EFEITO!$O$752*EFEITO!$AA$752</f>
        <v>0</v>
      </c>
      <c r="P752" s="18"/>
      <c r="Q752" s="18"/>
      <c r="R752" s="18"/>
      <c r="S752" s="18"/>
      <c r="T752" s="18"/>
      <c r="U752" s="18"/>
      <c r="V752" s="18"/>
      <c r="W752" s="18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1.25" customHeight="1" x14ac:dyDescent="0.2">
      <c r="A753" s="70" t="s">
        <v>27</v>
      </c>
      <c r="B753" s="70" t="s">
        <v>22</v>
      </c>
      <c r="C753" s="70" t="s">
        <v>23</v>
      </c>
      <c r="D753" s="70" t="s">
        <v>24</v>
      </c>
      <c r="E753" s="70" t="s">
        <v>24</v>
      </c>
      <c r="F753" s="70" t="s">
        <v>25</v>
      </c>
      <c r="G753" s="70" t="s">
        <v>25</v>
      </c>
      <c r="H753" s="70" t="s">
        <v>25</v>
      </c>
      <c r="I753" s="78">
        <v>44378</v>
      </c>
      <c r="J753" s="79">
        <f>EFEITO!$J$753*EFEITO!$Y$753</f>
        <v>0</v>
      </c>
      <c r="K753" s="79">
        <f ca="1">EFEITO!$L$753*EFEITO!$Z$753</f>
        <v>-5875.7615291100774</v>
      </c>
      <c r="L753" s="79">
        <f>EFEITO!$N$753*EFEITO!$AA$753</f>
        <v>-3985.637152137067</v>
      </c>
      <c r="M753" s="79">
        <f>$J$753-EFEITO!$K$753*EFEITO!$Y$753</f>
        <v>0</v>
      </c>
      <c r="N753" s="79">
        <f ca="1">$K$753-EFEITO!$M$753*EFEITO!$Z$753</f>
        <v>0</v>
      </c>
      <c r="O753" s="79">
        <f>$L$753-EFEITO!$O$753*EFEITO!$AA$753</f>
        <v>0</v>
      </c>
      <c r="P753" s="18"/>
      <c r="Q753" s="18"/>
      <c r="R753" s="18"/>
      <c r="S753" s="18"/>
      <c r="T753" s="18"/>
      <c r="U753" s="18"/>
      <c r="V753" s="18"/>
      <c r="W753" s="18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1.25" customHeight="1" x14ac:dyDescent="0.2">
      <c r="A754" s="70" t="s">
        <v>28</v>
      </c>
      <c r="B754" s="70" t="s">
        <v>22</v>
      </c>
      <c r="C754" s="70" t="s">
        <v>23</v>
      </c>
      <c r="D754" s="70" t="s">
        <v>24</v>
      </c>
      <c r="E754" s="70" t="s">
        <v>24</v>
      </c>
      <c r="F754" s="70" t="s">
        <v>25</v>
      </c>
      <c r="G754" s="70" t="s">
        <v>25</v>
      </c>
      <c r="H754" s="70" t="s">
        <v>25</v>
      </c>
      <c r="I754" s="78">
        <v>44378</v>
      </c>
      <c r="J754" s="79">
        <f>EFEITO!$J$754*EFEITO!$Y$754</f>
        <v>0</v>
      </c>
      <c r="K754" s="79">
        <f ca="1">EFEITO!$L$754*EFEITO!$Z$754</f>
        <v>11828.070694868102</v>
      </c>
      <c r="L754" s="79">
        <f>EFEITO!$N$754*EFEITO!$AA$754</f>
        <v>8023.1979745968383</v>
      </c>
      <c r="M754" s="79">
        <f>$J$754-EFEITO!$K$754*EFEITO!$Y$754</f>
        <v>0</v>
      </c>
      <c r="N754" s="79">
        <f ca="1">$K$754-EFEITO!$M$754*EFEITO!$Z$754</f>
        <v>0</v>
      </c>
      <c r="O754" s="79">
        <f>$L$754-EFEITO!$O$754*EFEITO!$AA$754</f>
        <v>0</v>
      </c>
      <c r="P754" s="18"/>
      <c r="Q754" s="18"/>
      <c r="R754" s="18"/>
      <c r="S754" s="18"/>
      <c r="T754" s="18"/>
      <c r="U754" s="18"/>
      <c r="V754" s="18"/>
      <c r="W754" s="18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spans="1:36" ht="11.25" customHeight="1" x14ac:dyDescent="0.2">
      <c r="A755" s="70" t="s">
        <v>28</v>
      </c>
      <c r="B755" s="70" t="s">
        <v>22</v>
      </c>
      <c r="C755" s="70" t="s">
        <v>23</v>
      </c>
      <c r="D755" s="70" t="s">
        <v>24</v>
      </c>
      <c r="E755" s="70" t="s">
        <v>24</v>
      </c>
      <c r="F755" s="70" t="s">
        <v>25</v>
      </c>
      <c r="G755" s="70" t="s">
        <v>25</v>
      </c>
      <c r="H755" s="70" t="s">
        <v>25</v>
      </c>
      <c r="I755" s="78">
        <v>44378</v>
      </c>
      <c r="J755" s="79">
        <f>EFEITO!$J$755*EFEITO!$Y$755</f>
        <v>0</v>
      </c>
      <c r="K755" s="79">
        <f ca="1">EFEITO!$L$755*EFEITO!$Z$755</f>
        <v>-540.21595481699239</v>
      </c>
      <c r="L755" s="79">
        <f>EFEITO!$N$755*EFEITO!$AA$755</f>
        <v>-366.43842147588066</v>
      </c>
      <c r="M755" s="79">
        <f>$J$755-EFEITO!$K$755*EFEITO!$Y$755</f>
        <v>0</v>
      </c>
      <c r="N755" s="79">
        <f ca="1">$K$755-EFEITO!$M$755*EFEITO!$Z$755</f>
        <v>0</v>
      </c>
      <c r="O755" s="79">
        <f>$L$755-EFEITO!$O$755*EFEITO!$AA$755</f>
        <v>0</v>
      </c>
      <c r="P755" s="18"/>
      <c r="Q755" s="18"/>
      <c r="R755" s="18"/>
      <c r="S755" s="18"/>
      <c r="T755" s="18"/>
      <c r="U755" s="18"/>
      <c r="V755" s="18"/>
      <c r="W755" s="18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 ht="11.25" customHeight="1" x14ac:dyDescent="0.2">
      <c r="A756" s="70" t="s">
        <v>21</v>
      </c>
      <c r="B756" s="70" t="s">
        <v>22</v>
      </c>
      <c r="C756" s="70" t="s">
        <v>23</v>
      </c>
      <c r="D756" s="70" t="s">
        <v>24</v>
      </c>
      <c r="E756" s="70" t="s">
        <v>24</v>
      </c>
      <c r="F756" s="70" t="s">
        <v>25</v>
      </c>
      <c r="G756" s="70" t="s">
        <v>25</v>
      </c>
      <c r="H756" s="70" t="s">
        <v>25</v>
      </c>
      <c r="I756" s="78">
        <v>44409</v>
      </c>
      <c r="J756" s="79">
        <f>EFEITO!$J$756*EFEITO!$Y$756</f>
        <v>0</v>
      </c>
      <c r="K756" s="79">
        <f ca="1">EFEITO!$L$756*EFEITO!$Z$756</f>
        <v>586694.68642334803</v>
      </c>
      <c r="L756" s="79">
        <f>EFEITO!$N$756*EFEITO!$AA$756</f>
        <v>397965.80027720443</v>
      </c>
      <c r="M756" s="79">
        <f>$J$756-EFEITO!$K$756*EFEITO!$Y$756</f>
        <v>0</v>
      </c>
      <c r="N756" s="79">
        <f ca="1">$K$756-EFEITO!$M$756*EFEITO!$Z$756</f>
        <v>0</v>
      </c>
      <c r="O756" s="79">
        <f>$L$756-EFEITO!$O$756*EFEITO!$AA$756</f>
        <v>0</v>
      </c>
      <c r="P756" s="18"/>
      <c r="Q756" s="18"/>
      <c r="R756" s="18"/>
      <c r="S756" s="18"/>
      <c r="T756" s="18"/>
      <c r="U756" s="18"/>
      <c r="V756" s="18"/>
      <c r="W756" s="18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spans="1:36" ht="11.25" customHeight="1" x14ac:dyDescent="0.2">
      <c r="A757" s="70" t="s">
        <v>27</v>
      </c>
      <c r="B757" s="70" t="s">
        <v>22</v>
      </c>
      <c r="C757" s="70" t="s">
        <v>23</v>
      </c>
      <c r="D757" s="70" t="s">
        <v>24</v>
      </c>
      <c r="E757" s="70" t="s">
        <v>24</v>
      </c>
      <c r="F757" s="70" t="s">
        <v>25</v>
      </c>
      <c r="G757" s="70" t="s">
        <v>25</v>
      </c>
      <c r="H757" s="70" t="s">
        <v>25</v>
      </c>
      <c r="I757" s="78">
        <v>44409</v>
      </c>
      <c r="J757" s="79">
        <f>EFEITO!$J$757*EFEITO!$Y$757</f>
        <v>0</v>
      </c>
      <c r="K757" s="79">
        <f ca="1">EFEITO!$L$757*EFEITO!$Z$757</f>
        <v>-796.7381875532385</v>
      </c>
      <c r="L757" s="79">
        <f>EFEITO!$N$757*EFEITO!$AA$757</f>
        <v>-540.44217164127997</v>
      </c>
      <c r="M757" s="79">
        <f>$J$757-EFEITO!$K$757*EFEITO!$Y$757</f>
        <v>0</v>
      </c>
      <c r="N757" s="79">
        <f ca="1">$K$757-EFEITO!$M$757*EFEITO!$Z$757</f>
        <v>0</v>
      </c>
      <c r="O757" s="79">
        <f>$L$757-EFEITO!$O$757*EFEITO!$AA$757</f>
        <v>0</v>
      </c>
      <c r="P757" s="18"/>
      <c r="Q757" s="18"/>
      <c r="R757" s="18"/>
      <c r="S757" s="18"/>
      <c r="T757" s="18"/>
      <c r="U757" s="18"/>
      <c r="V757" s="18"/>
      <c r="W757" s="18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spans="1:36" ht="11.25" customHeight="1" x14ac:dyDescent="0.2">
      <c r="A758" s="70" t="s">
        <v>28</v>
      </c>
      <c r="B758" s="70" t="s">
        <v>22</v>
      </c>
      <c r="C758" s="70" t="s">
        <v>23</v>
      </c>
      <c r="D758" s="70" t="s">
        <v>24</v>
      </c>
      <c r="E758" s="70" t="s">
        <v>24</v>
      </c>
      <c r="F758" s="70" t="s">
        <v>25</v>
      </c>
      <c r="G758" s="70" t="s">
        <v>25</v>
      </c>
      <c r="H758" s="70" t="s">
        <v>25</v>
      </c>
      <c r="I758" s="78">
        <v>44409</v>
      </c>
      <c r="J758" s="79">
        <f>EFEITO!$J$758*EFEITO!$Y$758</f>
        <v>0</v>
      </c>
      <c r="K758" s="79">
        <f ca="1">EFEITO!$L$758*EFEITO!$Z$758</f>
        <v>9494.5364433141167</v>
      </c>
      <c r="L758" s="79">
        <f>EFEITO!$N$758*EFEITO!$AA$758</f>
        <v>6440.3187575455349</v>
      </c>
      <c r="M758" s="79">
        <f>$J$758-EFEITO!$K$758*EFEITO!$Y$758</f>
        <v>0</v>
      </c>
      <c r="N758" s="79">
        <f ca="1">$K$758-EFEITO!$M$758*EFEITO!$Z$758</f>
        <v>0</v>
      </c>
      <c r="O758" s="79">
        <f>$L$758-EFEITO!$O$758*EFEITO!$AA$758</f>
        <v>0</v>
      </c>
      <c r="P758" s="18"/>
      <c r="Q758" s="18"/>
      <c r="R758" s="18"/>
      <c r="S758" s="18"/>
      <c r="T758" s="18"/>
      <c r="U758" s="18"/>
      <c r="V758" s="18"/>
      <c r="W758" s="18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spans="1:36" ht="11.25" customHeight="1" x14ac:dyDescent="0.2">
      <c r="A759" s="70" t="s">
        <v>28</v>
      </c>
      <c r="B759" s="70" t="s">
        <v>22</v>
      </c>
      <c r="C759" s="70" t="s">
        <v>23</v>
      </c>
      <c r="D759" s="70" t="s">
        <v>24</v>
      </c>
      <c r="E759" s="70" t="s">
        <v>24</v>
      </c>
      <c r="F759" s="70" t="s">
        <v>25</v>
      </c>
      <c r="G759" s="70" t="s">
        <v>25</v>
      </c>
      <c r="H759" s="70" t="s">
        <v>25</v>
      </c>
      <c r="I759" s="78">
        <v>44409</v>
      </c>
      <c r="J759" s="79">
        <f>EFEITO!$J$759*EFEITO!$Y$759</f>
        <v>0</v>
      </c>
      <c r="K759" s="79">
        <f ca="1">EFEITO!$L$759*EFEITO!$Z$759</f>
        <v>-159.23077088981117</v>
      </c>
      <c r="L759" s="79">
        <f>EFEITO!$N$759*EFEITO!$AA$759</f>
        <v>-108.00916154913736</v>
      </c>
      <c r="M759" s="79">
        <f>$J$759-EFEITO!$K$759*EFEITO!$Y$759</f>
        <v>0</v>
      </c>
      <c r="N759" s="79">
        <f ca="1">$K$759-EFEITO!$M$759*EFEITO!$Z$759</f>
        <v>0</v>
      </c>
      <c r="O759" s="79">
        <f>$L$759-EFEITO!$O$759*EFEITO!$AA$759</f>
        <v>0</v>
      </c>
      <c r="P759" s="18"/>
      <c r="Q759" s="18"/>
      <c r="R759" s="18"/>
      <c r="S759" s="18"/>
      <c r="T759" s="18"/>
      <c r="U759" s="18"/>
      <c r="V759" s="18"/>
      <c r="W759" s="18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spans="1:36" ht="11.25" customHeight="1" x14ac:dyDescent="0.2">
      <c r="A760" s="70" t="s">
        <v>21</v>
      </c>
      <c r="B760" s="70" t="s">
        <v>22</v>
      </c>
      <c r="C760" s="70" t="s">
        <v>23</v>
      </c>
      <c r="D760" s="70" t="s">
        <v>24</v>
      </c>
      <c r="E760" s="70" t="s">
        <v>24</v>
      </c>
      <c r="F760" s="70" t="s">
        <v>25</v>
      </c>
      <c r="G760" s="70" t="s">
        <v>25</v>
      </c>
      <c r="H760" s="70" t="s">
        <v>25</v>
      </c>
      <c r="I760" s="78">
        <v>44440</v>
      </c>
      <c r="J760" s="79">
        <f>EFEITO!$J$760*EFEITO!$Y$760</f>
        <v>0</v>
      </c>
      <c r="K760" s="79">
        <f ca="1">EFEITO!$L$760*EFEITO!$Z$760</f>
        <v>569405.43853678752</v>
      </c>
      <c r="L760" s="79">
        <f>EFEITO!$N$760*EFEITO!$AA$760</f>
        <v>386238.18533439381</v>
      </c>
      <c r="M760" s="79">
        <f>$J$760-EFEITO!$K$760*EFEITO!$Y$760</f>
        <v>0</v>
      </c>
      <c r="N760" s="79">
        <f ca="1">$K$760-EFEITO!$M$760*EFEITO!$Z$760</f>
        <v>0</v>
      </c>
      <c r="O760" s="79">
        <f>$L$760-EFEITO!$O$760*EFEITO!$AA$760</f>
        <v>0</v>
      </c>
      <c r="P760" s="18"/>
      <c r="Q760" s="18"/>
      <c r="R760" s="18"/>
      <c r="S760" s="18"/>
      <c r="T760" s="18"/>
      <c r="U760" s="18"/>
      <c r="V760" s="18"/>
      <c r="W760" s="18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11.25" customHeight="1" x14ac:dyDescent="0.2">
      <c r="A761" s="70" t="s">
        <v>27</v>
      </c>
      <c r="B761" s="70" t="s">
        <v>22</v>
      </c>
      <c r="C761" s="70" t="s">
        <v>23</v>
      </c>
      <c r="D761" s="70" t="s">
        <v>24</v>
      </c>
      <c r="E761" s="70" t="s">
        <v>24</v>
      </c>
      <c r="F761" s="70" t="s">
        <v>25</v>
      </c>
      <c r="G761" s="70" t="s">
        <v>25</v>
      </c>
      <c r="H761" s="70" t="s">
        <v>25</v>
      </c>
      <c r="I761" s="78">
        <v>44440</v>
      </c>
      <c r="J761" s="79">
        <f>EFEITO!$J$761*EFEITO!$Y$761</f>
        <v>0</v>
      </c>
      <c r="K761" s="79">
        <f ca="1">EFEITO!$L$761*EFEITO!$Z$761</f>
        <v>-968.23995363088841</v>
      </c>
      <c r="L761" s="79">
        <f>EFEITO!$N$761*EFEITO!$AA$761</f>
        <v>-656.77497499787376</v>
      </c>
      <c r="M761" s="79">
        <f>$J$761-EFEITO!$K$761*EFEITO!$Y$761</f>
        <v>0</v>
      </c>
      <c r="N761" s="79">
        <f ca="1">$K$761-EFEITO!$M$761*EFEITO!$Z$761</f>
        <v>0</v>
      </c>
      <c r="O761" s="79">
        <f>$L$761-EFEITO!$O$761*EFEITO!$AA$761</f>
        <v>0</v>
      </c>
      <c r="P761" s="18"/>
      <c r="Q761" s="18"/>
      <c r="R761" s="18"/>
      <c r="S761" s="18"/>
      <c r="T761" s="18"/>
      <c r="U761" s="18"/>
      <c r="V761" s="18"/>
      <c r="W761" s="18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spans="1:36" ht="11.25" customHeight="1" x14ac:dyDescent="0.2">
      <c r="A762" s="70" t="s">
        <v>28</v>
      </c>
      <c r="B762" s="70" t="s">
        <v>22</v>
      </c>
      <c r="C762" s="70" t="s">
        <v>23</v>
      </c>
      <c r="D762" s="70" t="s">
        <v>24</v>
      </c>
      <c r="E762" s="70" t="s">
        <v>24</v>
      </c>
      <c r="F762" s="70" t="s">
        <v>25</v>
      </c>
      <c r="G762" s="70" t="s">
        <v>25</v>
      </c>
      <c r="H762" s="70" t="s">
        <v>25</v>
      </c>
      <c r="I762" s="78">
        <v>44440</v>
      </c>
      <c r="J762" s="79">
        <f>EFEITO!$J$762*EFEITO!$Y$762</f>
        <v>0</v>
      </c>
      <c r="K762" s="79">
        <f ca="1">EFEITO!$L$762*EFEITO!$Z$762</f>
        <v>8109.9591529529871</v>
      </c>
      <c r="L762" s="79">
        <f>EFEITO!$N$762*EFEITO!$AA$762</f>
        <v>5501.1345069375311</v>
      </c>
      <c r="M762" s="79">
        <f>$J$762-EFEITO!$K$762*EFEITO!$Y$762</f>
        <v>0</v>
      </c>
      <c r="N762" s="79">
        <f ca="1">$K$762-EFEITO!$M$762*EFEITO!$Z$762</f>
        <v>0</v>
      </c>
      <c r="O762" s="79">
        <f>$L$762-EFEITO!$O$762*EFEITO!$AA$762</f>
        <v>0</v>
      </c>
      <c r="P762" s="18"/>
      <c r="Q762" s="18"/>
      <c r="R762" s="18"/>
      <c r="S762" s="18"/>
      <c r="T762" s="18"/>
      <c r="U762" s="18"/>
      <c r="V762" s="18"/>
      <c r="W762" s="18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spans="1:36" ht="11.25" customHeight="1" x14ac:dyDescent="0.2">
      <c r="A763" s="70" t="s">
        <v>28</v>
      </c>
      <c r="B763" s="70" t="s">
        <v>22</v>
      </c>
      <c r="C763" s="70" t="s">
        <v>23</v>
      </c>
      <c r="D763" s="70" t="s">
        <v>24</v>
      </c>
      <c r="E763" s="70" t="s">
        <v>24</v>
      </c>
      <c r="F763" s="70" t="s">
        <v>25</v>
      </c>
      <c r="G763" s="70" t="s">
        <v>25</v>
      </c>
      <c r="H763" s="70" t="s">
        <v>25</v>
      </c>
      <c r="I763" s="78">
        <v>44440</v>
      </c>
      <c r="J763" s="79">
        <f>EFEITO!$J$763*EFEITO!$Y$763</f>
        <v>0</v>
      </c>
      <c r="K763" s="79">
        <f ca="1">EFEITO!$L$763*EFEITO!$Z$763</f>
        <v>-1980.3048900754861</v>
      </c>
      <c r="L763" s="79">
        <f>EFEITO!$N$763*EFEITO!$AA$763</f>
        <v>-1343.2772421652348</v>
      </c>
      <c r="M763" s="79">
        <f>$J$763-EFEITO!$K$763*EFEITO!$Y$763</f>
        <v>0</v>
      </c>
      <c r="N763" s="79">
        <f ca="1">$K$763-EFEITO!$M$763*EFEITO!$Z$763</f>
        <v>0</v>
      </c>
      <c r="O763" s="79">
        <f>$L$763-EFEITO!$O$763*EFEITO!$AA$763</f>
        <v>0</v>
      </c>
      <c r="P763" s="18"/>
      <c r="Q763" s="18"/>
      <c r="R763" s="18"/>
      <c r="S763" s="18"/>
      <c r="T763" s="18"/>
      <c r="U763" s="18"/>
      <c r="V763" s="18"/>
      <c r="W763" s="18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11.25" customHeight="1" x14ac:dyDescent="0.2">
      <c r="A764" s="70" t="s">
        <v>21</v>
      </c>
      <c r="B764" s="70" t="s">
        <v>22</v>
      </c>
      <c r="C764" s="70" t="s">
        <v>23</v>
      </c>
      <c r="D764" s="70" t="s">
        <v>24</v>
      </c>
      <c r="E764" s="70" t="s">
        <v>24</v>
      </c>
      <c r="F764" s="70" t="s">
        <v>25</v>
      </c>
      <c r="G764" s="70" t="s">
        <v>25</v>
      </c>
      <c r="H764" s="70" t="s">
        <v>25</v>
      </c>
      <c r="I764" s="78">
        <v>44470</v>
      </c>
      <c r="J764" s="79">
        <f>EFEITO!$J$764*EFEITO!$Y$764</f>
        <v>0</v>
      </c>
      <c r="K764" s="79">
        <f ca="1">EFEITO!$L$764*EFEITO!$Z$764</f>
        <v>546194.55897243856</v>
      </c>
      <c r="L764" s="79">
        <f>EFEITO!$N$764*EFEITO!$AA$764</f>
        <v>370493.81867364212</v>
      </c>
      <c r="M764" s="79">
        <f>$J$764-EFEITO!$K$764*EFEITO!$Y$764</f>
        <v>0</v>
      </c>
      <c r="N764" s="79">
        <f ca="1">$K$764-EFEITO!$M$764*EFEITO!$Z$764</f>
        <v>0</v>
      </c>
      <c r="O764" s="79">
        <f>$L$764-EFEITO!$O$764*EFEITO!$AA$764</f>
        <v>0</v>
      </c>
      <c r="P764" s="18"/>
      <c r="Q764" s="18"/>
      <c r="R764" s="18"/>
      <c r="S764" s="18"/>
      <c r="T764" s="18"/>
      <c r="U764" s="18"/>
      <c r="V764" s="18"/>
      <c r="W764" s="18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spans="1:36" ht="11.25" customHeight="1" x14ac:dyDescent="0.2">
      <c r="A765" s="70" t="s">
        <v>27</v>
      </c>
      <c r="B765" s="70" t="s">
        <v>22</v>
      </c>
      <c r="C765" s="70" t="s">
        <v>23</v>
      </c>
      <c r="D765" s="70" t="s">
        <v>24</v>
      </c>
      <c r="E765" s="70" t="s">
        <v>24</v>
      </c>
      <c r="F765" s="70" t="s">
        <v>25</v>
      </c>
      <c r="G765" s="70" t="s">
        <v>25</v>
      </c>
      <c r="H765" s="70" t="s">
        <v>25</v>
      </c>
      <c r="I765" s="78">
        <v>44470</v>
      </c>
      <c r="J765" s="79">
        <f>EFEITO!$J$765*EFEITO!$Y$765</f>
        <v>0</v>
      </c>
      <c r="K765" s="79">
        <f ca="1">EFEITO!$L$765*EFEITO!$Z$765</f>
        <v>-1700.9936662761111</v>
      </c>
      <c r="L765" s="79">
        <f>EFEITO!$N$765*EFEITO!$AA$765</f>
        <v>-1153.8153000717023</v>
      </c>
      <c r="M765" s="79">
        <f>$J$765-EFEITO!$K$765*EFEITO!$Y$765</f>
        <v>0</v>
      </c>
      <c r="N765" s="79">
        <f ca="1">$K$765-EFEITO!$M$765*EFEITO!$Z$765</f>
        <v>0</v>
      </c>
      <c r="O765" s="79">
        <f>$L$765-EFEITO!$O$765*EFEITO!$AA$765</f>
        <v>0</v>
      </c>
      <c r="P765" s="18"/>
      <c r="Q765" s="18"/>
      <c r="R765" s="18"/>
      <c r="S765" s="18"/>
      <c r="T765" s="18"/>
      <c r="U765" s="18"/>
      <c r="V765" s="18"/>
      <c r="W765" s="18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11.25" customHeight="1" x14ac:dyDescent="0.2">
      <c r="A766" s="70" t="s">
        <v>28</v>
      </c>
      <c r="B766" s="70" t="s">
        <v>22</v>
      </c>
      <c r="C766" s="70" t="s">
        <v>23</v>
      </c>
      <c r="D766" s="70" t="s">
        <v>24</v>
      </c>
      <c r="E766" s="70" t="s">
        <v>24</v>
      </c>
      <c r="F766" s="70" t="s">
        <v>25</v>
      </c>
      <c r="G766" s="70" t="s">
        <v>25</v>
      </c>
      <c r="H766" s="70" t="s">
        <v>25</v>
      </c>
      <c r="I766" s="78">
        <v>44470</v>
      </c>
      <c r="J766" s="79">
        <f>EFEITO!$J$766*EFEITO!$Y$766</f>
        <v>0</v>
      </c>
      <c r="K766" s="79">
        <f ca="1">EFEITO!$L$766*EFEITO!$Z$766</f>
        <v>7789.1602787566344</v>
      </c>
      <c r="L766" s="79">
        <f>EFEITO!$N$766*EFEITO!$AA$766</f>
        <v>5283.5307282568847</v>
      </c>
      <c r="M766" s="79">
        <f>$J$766-EFEITO!$K$766*EFEITO!$Y$766</f>
        <v>0</v>
      </c>
      <c r="N766" s="79">
        <f ca="1">$K$766-EFEITO!$M$766*EFEITO!$Z$766</f>
        <v>0</v>
      </c>
      <c r="O766" s="79">
        <f>$L$766-EFEITO!$O$766*EFEITO!$AA$766</f>
        <v>0</v>
      </c>
      <c r="P766" s="18"/>
      <c r="Q766" s="18"/>
      <c r="R766" s="18"/>
      <c r="S766" s="18"/>
      <c r="T766" s="18"/>
      <c r="U766" s="18"/>
      <c r="V766" s="18"/>
      <c r="W766" s="18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spans="1:36" ht="11.25" customHeight="1" x14ac:dyDescent="0.2">
      <c r="A767" s="70" t="s">
        <v>28</v>
      </c>
      <c r="B767" s="70" t="s">
        <v>22</v>
      </c>
      <c r="C767" s="70" t="s">
        <v>23</v>
      </c>
      <c r="D767" s="70" t="s">
        <v>24</v>
      </c>
      <c r="E767" s="70" t="s">
        <v>24</v>
      </c>
      <c r="F767" s="70" t="s">
        <v>25</v>
      </c>
      <c r="G767" s="70" t="s">
        <v>25</v>
      </c>
      <c r="H767" s="70" t="s">
        <v>25</v>
      </c>
      <c r="I767" s="78">
        <v>44470</v>
      </c>
      <c r="J767" s="79">
        <f>EFEITO!$J$767*EFEITO!$Y$767</f>
        <v>0</v>
      </c>
      <c r="K767" s="79">
        <f ca="1">EFEITO!$L$767*EFEITO!$Z$767</f>
        <v>-433.57516330363256</v>
      </c>
      <c r="L767" s="79">
        <f>EFEITO!$N$767*EFEITO!$AA$767</f>
        <v>-294.10201053012815</v>
      </c>
      <c r="M767" s="79">
        <f>$J$767-EFEITO!$K$767*EFEITO!$Y$767</f>
        <v>0</v>
      </c>
      <c r="N767" s="79">
        <f ca="1">$K$767-EFEITO!$M$767*EFEITO!$Z$767</f>
        <v>0</v>
      </c>
      <c r="O767" s="79">
        <f>$L$767-EFEITO!$O$767*EFEITO!$AA$767</f>
        <v>0</v>
      </c>
      <c r="P767" s="18"/>
      <c r="Q767" s="18"/>
      <c r="R767" s="18"/>
      <c r="S767" s="18"/>
      <c r="T767" s="18"/>
      <c r="U767" s="18"/>
      <c r="V767" s="18"/>
      <c r="W767" s="18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spans="1:36" ht="11.25" customHeight="1" x14ac:dyDescent="0.2">
      <c r="A768" s="70" t="s">
        <v>21</v>
      </c>
      <c r="B768" s="70" t="s">
        <v>22</v>
      </c>
      <c r="C768" s="70" t="s">
        <v>23</v>
      </c>
      <c r="D768" s="70" t="s">
        <v>24</v>
      </c>
      <c r="E768" s="70" t="s">
        <v>24</v>
      </c>
      <c r="F768" s="70" t="s">
        <v>25</v>
      </c>
      <c r="G768" s="70" t="s">
        <v>25</v>
      </c>
      <c r="H768" s="70" t="s">
        <v>25</v>
      </c>
      <c r="I768" s="78">
        <v>44501</v>
      </c>
      <c r="J768" s="79">
        <f>EFEITO!$J$768*EFEITO!$Y$768</f>
        <v>0</v>
      </c>
      <c r="K768" s="79">
        <f ca="1">EFEITO!$L$768*EFEITO!$Z$768</f>
        <v>591854.05556672998</v>
      </c>
      <c r="L768" s="79">
        <f>EFEITO!$N$768*EFEITO!$AA$768</f>
        <v>401465.49529334425</v>
      </c>
      <c r="M768" s="79">
        <f>$J$768-EFEITO!$K$768*EFEITO!$Y$768</f>
        <v>0</v>
      </c>
      <c r="N768" s="79">
        <f ca="1">$K$768-EFEITO!$M$768*EFEITO!$Z$768</f>
        <v>0</v>
      </c>
      <c r="O768" s="79">
        <f>$L$768-EFEITO!$O$768*EFEITO!$AA$768</f>
        <v>0</v>
      </c>
      <c r="P768" s="18"/>
      <c r="Q768" s="18"/>
      <c r="R768" s="18"/>
      <c r="S768" s="18"/>
      <c r="T768" s="18"/>
      <c r="U768" s="18"/>
      <c r="V768" s="18"/>
      <c r="W768" s="18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11.25" customHeight="1" x14ac:dyDescent="0.2">
      <c r="A769" s="70" t="s">
        <v>27</v>
      </c>
      <c r="B769" s="70" t="s">
        <v>22</v>
      </c>
      <c r="C769" s="70" t="s">
        <v>23</v>
      </c>
      <c r="D769" s="70" t="s">
        <v>24</v>
      </c>
      <c r="E769" s="70" t="s">
        <v>24</v>
      </c>
      <c r="F769" s="70" t="s">
        <v>25</v>
      </c>
      <c r="G769" s="70" t="s">
        <v>25</v>
      </c>
      <c r="H769" s="70" t="s">
        <v>25</v>
      </c>
      <c r="I769" s="78">
        <v>44501</v>
      </c>
      <c r="J769" s="79">
        <f>EFEITO!$J$769*EFEITO!$Y$769</f>
        <v>0</v>
      </c>
      <c r="K769" s="79">
        <f ca="1">EFEITO!$L$769*EFEITO!$Z$769</f>
        <v>-1831.8842816130566</v>
      </c>
      <c r="L769" s="79">
        <f>EFEITO!$N$769*EFEITO!$AA$769</f>
        <v>-1242.6008126845709</v>
      </c>
      <c r="M769" s="79">
        <f>$J$769-EFEITO!$K$769*EFEITO!$Y$769</f>
        <v>0</v>
      </c>
      <c r="N769" s="79">
        <f ca="1">$K$769-EFEITO!$M$769*EFEITO!$Z$769</f>
        <v>0</v>
      </c>
      <c r="O769" s="79">
        <f>$L$769-EFEITO!$O$769*EFEITO!$AA$769</f>
        <v>0</v>
      </c>
      <c r="P769" s="18"/>
      <c r="Q769" s="18"/>
      <c r="R769" s="18"/>
      <c r="S769" s="18"/>
      <c r="T769" s="18"/>
      <c r="U769" s="18"/>
      <c r="V769" s="18"/>
      <c r="W769" s="18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11.25" customHeight="1" x14ac:dyDescent="0.2">
      <c r="A770" s="70" t="s">
        <v>28</v>
      </c>
      <c r="B770" s="70" t="s">
        <v>22</v>
      </c>
      <c r="C770" s="70" t="s">
        <v>23</v>
      </c>
      <c r="D770" s="70" t="s">
        <v>24</v>
      </c>
      <c r="E770" s="70" t="s">
        <v>24</v>
      </c>
      <c r="F770" s="70" t="s">
        <v>25</v>
      </c>
      <c r="G770" s="70" t="s">
        <v>25</v>
      </c>
      <c r="H770" s="70" t="s">
        <v>25</v>
      </c>
      <c r="I770" s="78">
        <v>44501</v>
      </c>
      <c r="J770" s="79">
        <f>EFEITO!$J$770*EFEITO!$Y$770</f>
        <v>0</v>
      </c>
      <c r="K770" s="79">
        <f ca="1">EFEITO!$L$770*EFEITO!$Z$770</f>
        <v>6218.1807281611946</v>
      </c>
      <c r="L770" s="79">
        <f>EFEITO!$N$770*EFEITO!$AA$770</f>
        <v>4217.9063949546617</v>
      </c>
      <c r="M770" s="79">
        <f>$J$770-EFEITO!$K$770*EFEITO!$Y$770</f>
        <v>0</v>
      </c>
      <c r="N770" s="79">
        <f ca="1">$K$770-EFEITO!$M$770*EFEITO!$Z$770</f>
        <v>0</v>
      </c>
      <c r="O770" s="79">
        <f>$L$770-EFEITO!$O$770*EFEITO!$AA$770</f>
        <v>0</v>
      </c>
      <c r="P770" s="18"/>
      <c r="Q770" s="18"/>
      <c r="R770" s="18"/>
      <c r="S770" s="18"/>
      <c r="T770" s="18"/>
      <c r="U770" s="18"/>
      <c r="V770" s="18"/>
      <c r="W770" s="18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spans="1:36" ht="11.25" customHeight="1" x14ac:dyDescent="0.2">
      <c r="A771" s="70" t="s">
        <v>21</v>
      </c>
      <c r="B771" s="70" t="s">
        <v>22</v>
      </c>
      <c r="C771" s="70" t="s">
        <v>23</v>
      </c>
      <c r="D771" s="70" t="s">
        <v>24</v>
      </c>
      <c r="E771" s="70" t="s">
        <v>24</v>
      </c>
      <c r="F771" s="70" t="s">
        <v>25</v>
      </c>
      <c r="G771" s="70" t="s">
        <v>25</v>
      </c>
      <c r="H771" s="70" t="s">
        <v>25</v>
      </c>
      <c r="I771" s="78">
        <v>44531</v>
      </c>
      <c r="J771" s="79">
        <f>EFEITO!$J$771*EFEITO!$Y$771</f>
        <v>0</v>
      </c>
      <c r="K771" s="79">
        <f ca="1">EFEITO!$L$771*EFEITO!$Z$771</f>
        <v>546977.56533204357</v>
      </c>
      <c r="L771" s="79">
        <f>EFEITO!$N$771*EFEITO!$AA$771</f>
        <v>371024.94629373698</v>
      </c>
      <c r="M771" s="79">
        <f>$J$771-EFEITO!$K$771*EFEITO!$Y$771</f>
        <v>0</v>
      </c>
      <c r="N771" s="79">
        <f ca="1">$K$771-EFEITO!$M$771*EFEITO!$Z$771</f>
        <v>0</v>
      </c>
      <c r="O771" s="79">
        <f>$L$771-EFEITO!$O$771*EFEITO!$AA$771</f>
        <v>0</v>
      </c>
      <c r="P771" s="18"/>
      <c r="Q771" s="18"/>
      <c r="R771" s="18"/>
      <c r="S771" s="18"/>
      <c r="T771" s="18"/>
      <c r="U771" s="18"/>
      <c r="V771" s="18"/>
      <c r="W771" s="18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11.25" customHeight="1" x14ac:dyDescent="0.2">
      <c r="A772" s="70" t="s">
        <v>27</v>
      </c>
      <c r="B772" s="70" t="s">
        <v>22</v>
      </c>
      <c r="C772" s="70" t="s">
        <v>23</v>
      </c>
      <c r="D772" s="70" t="s">
        <v>24</v>
      </c>
      <c r="E772" s="70" t="s">
        <v>24</v>
      </c>
      <c r="F772" s="70" t="s">
        <v>25</v>
      </c>
      <c r="G772" s="70" t="s">
        <v>25</v>
      </c>
      <c r="H772" s="70" t="s">
        <v>25</v>
      </c>
      <c r="I772" s="78">
        <v>44531</v>
      </c>
      <c r="J772" s="79">
        <f>EFEITO!$J$772*EFEITO!$Y$772</f>
        <v>0</v>
      </c>
      <c r="K772" s="79">
        <f ca="1">EFEITO!$L$772*EFEITO!$Z$772</f>
        <v>-3412.7974949796039</v>
      </c>
      <c r="L772" s="79">
        <f>EFEITO!$N$772*EFEITO!$AA$772</f>
        <v>-2314.963332211878</v>
      </c>
      <c r="M772" s="79">
        <f>$J$772-EFEITO!$K$772*EFEITO!$Y$772</f>
        <v>0</v>
      </c>
      <c r="N772" s="79">
        <f ca="1">$K$772-EFEITO!$M$772*EFEITO!$Z$772</f>
        <v>0</v>
      </c>
      <c r="O772" s="79">
        <f>$L$772-EFEITO!$O$772*EFEITO!$AA$772</f>
        <v>0</v>
      </c>
      <c r="P772" s="18"/>
      <c r="Q772" s="18"/>
      <c r="R772" s="18"/>
      <c r="S772" s="18"/>
      <c r="T772" s="18"/>
      <c r="U772" s="18"/>
      <c r="V772" s="18"/>
      <c r="W772" s="18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 ht="11.25" customHeight="1" x14ac:dyDescent="0.2">
      <c r="A773" s="70" t="s">
        <v>21</v>
      </c>
      <c r="B773" s="70" t="s">
        <v>22</v>
      </c>
      <c r="C773" s="70" t="s">
        <v>23</v>
      </c>
      <c r="D773" s="70" t="s">
        <v>24</v>
      </c>
      <c r="E773" s="70" t="s">
        <v>24</v>
      </c>
      <c r="F773" s="70" t="s">
        <v>25</v>
      </c>
      <c r="G773" s="70" t="s">
        <v>25</v>
      </c>
      <c r="H773" s="70" t="s">
        <v>25</v>
      </c>
      <c r="I773" s="78">
        <v>44562</v>
      </c>
      <c r="J773" s="79">
        <f>EFEITO!$J$773*EFEITO!$Y$773</f>
        <v>0</v>
      </c>
      <c r="K773" s="79">
        <f ca="1">EFEITO!$L$773*EFEITO!$Z$773</f>
        <v>733044.71053110575</v>
      </c>
      <c r="L773" s="79">
        <f>EFEITO!$N$773*EFEITO!$AA$773</f>
        <v>497237.71429383382</v>
      </c>
      <c r="M773" s="79">
        <f>$J$773-EFEITO!$K$773*EFEITO!$Y$773</f>
        <v>0</v>
      </c>
      <c r="N773" s="79">
        <f ca="1">$K$773-EFEITO!$M$773*EFEITO!$Z$773</f>
        <v>0</v>
      </c>
      <c r="O773" s="79">
        <f>$L$773-EFEITO!$O$773*EFEITO!$AA$773</f>
        <v>0</v>
      </c>
      <c r="P773" s="18"/>
      <c r="Q773" s="18"/>
      <c r="R773" s="18"/>
      <c r="S773" s="18"/>
      <c r="T773" s="18"/>
      <c r="U773" s="18"/>
      <c r="V773" s="18"/>
      <c r="W773" s="18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 ht="11.25" customHeight="1" x14ac:dyDescent="0.2">
      <c r="A774" s="70" t="s">
        <v>27</v>
      </c>
      <c r="B774" s="70" t="s">
        <v>22</v>
      </c>
      <c r="C774" s="70" t="s">
        <v>23</v>
      </c>
      <c r="D774" s="70" t="s">
        <v>24</v>
      </c>
      <c r="E774" s="70" t="s">
        <v>24</v>
      </c>
      <c r="F774" s="70" t="s">
        <v>25</v>
      </c>
      <c r="G774" s="70" t="s">
        <v>25</v>
      </c>
      <c r="H774" s="70" t="s">
        <v>25</v>
      </c>
      <c r="I774" s="78">
        <v>44562</v>
      </c>
      <c r="J774" s="79">
        <f>EFEITO!$J$774*EFEITO!$Y$774</f>
        <v>0</v>
      </c>
      <c r="K774" s="79">
        <f ca="1">EFEITO!$L$774*EFEITO!$Z$774</f>
        <v>-1915.7360820632878</v>
      </c>
      <c r="L774" s="79">
        <f>EFEITO!$N$774*EFEITO!$AA$774</f>
        <v>-1299.4790317021902</v>
      </c>
      <c r="M774" s="79">
        <f>$J$774-EFEITO!$K$774*EFEITO!$Y$774</f>
        <v>0</v>
      </c>
      <c r="N774" s="79">
        <f ca="1">$K$774-EFEITO!$M$774*EFEITO!$Z$774</f>
        <v>0</v>
      </c>
      <c r="O774" s="79">
        <f>$L$774-EFEITO!$O$774*EFEITO!$AA$774</f>
        <v>0</v>
      </c>
      <c r="P774" s="18"/>
      <c r="Q774" s="18"/>
      <c r="R774" s="18"/>
      <c r="S774" s="18"/>
      <c r="T774" s="18"/>
      <c r="U774" s="18"/>
      <c r="V774" s="18"/>
      <c r="W774" s="18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spans="1:36" ht="11.25" customHeight="1" x14ac:dyDescent="0.2">
      <c r="A775" s="70" t="s">
        <v>28</v>
      </c>
      <c r="B775" s="70" t="s">
        <v>22</v>
      </c>
      <c r="C775" s="70" t="s">
        <v>23</v>
      </c>
      <c r="D775" s="70" t="s">
        <v>24</v>
      </c>
      <c r="E775" s="70" t="s">
        <v>24</v>
      </c>
      <c r="F775" s="70" t="s">
        <v>25</v>
      </c>
      <c r="G775" s="70" t="s">
        <v>25</v>
      </c>
      <c r="H775" s="70" t="s">
        <v>25</v>
      </c>
      <c r="I775" s="78">
        <v>44562</v>
      </c>
      <c r="J775" s="79">
        <f>EFEITO!$J$775*EFEITO!$Y$775</f>
        <v>0</v>
      </c>
      <c r="K775" s="79">
        <f ca="1">EFEITO!$L$775*EFEITO!$Z$775</f>
        <v>11678.773586749398</v>
      </c>
      <c r="L775" s="79">
        <f>EFEITO!$N$775*EFEITO!$AA$775</f>
        <v>7921.9269992727841</v>
      </c>
      <c r="M775" s="79">
        <f>$J$775-EFEITO!$K$775*EFEITO!$Y$775</f>
        <v>0</v>
      </c>
      <c r="N775" s="79">
        <f ca="1">$K$775-EFEITO!$M$775*EFEITO!$Z$775</f>
        <v>0</v>
      </c>
      <c r="O775" s="79">
        <f>$L$775-EFEITO!$O$775*EFEITO!$AA$775</f>
        <v>0</v>
      </c>
      <c r="P775" s="18"/>
      <c r="Q775" s="18"/>
      <c r="R775" s="18"/>
      <c r="S775" s="18"/>
      <c r="T775" s="18"/>
      <c r="U775" s="18"/>
      <c r="V775" s="18"/>
      <c r="W775" s="18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spans="1:36" ht="11.25" customHeight="1" x14ac:dyDescent="0.2">
      <c r="A776" s="70" t="s">
        <v>28</v>
      </c>
      <c r="B776" s="70" t="s">
        <v>22</v>
      </c>
      <c r="C776" s="70" t="s">
        <v>23</v>
      </c>
      <c r="D776" s="70" t="s">
        <v>24</v>
      </c>
      <c r="E776" s="70" t="s">
        <v>24</v>
      </c>
      <c r="F776" s="70" t="s">
        <v>25</v>
      </c>
      <c r="G776" s="70" t="s">
        <v>25</v>
      </c>
      <c r="H776" s="70" t="s">
        <v>25</v>
      </c>
      <c r="I776" s="78">
        <v>44562</v>
      </c>
      <c r="J776" s="79">
        <f>EFEITO!$J$776*EFEITO!$Y$776</f>
        <v>0</v>
      </c>
      <c r="K776" s="79">
        <f ca="1">EFEITO!$L$776*EFEITO!$Z$776</f>
        <v>-889.06281801412001</v>
      </c>
      <c r="L776" s="79">
        <f>EFEITO!$N$776*EFEITO!$AA$776</f>
        <v>-603.06766714499997</v>
      </c>
      <c r="M776" s="79">
        <f>$J$776-EFEITO!$K$776*EFEITO!$Y$776</f>
        <v>0</v>
      </c>
      <c r="N776" s="79">
        <f ca="1">$K$776-EFEITO!$M$776*EFEITO!$Z$776</f>
        <v>0</v>
      </c>
      <c r="O776" s="79">
        <f>$L$776-EFEITO!$O$776*EFEITO!$AA$776</f>
        <v>0</v>
      </c>
      <c r="P776" s="18"/>
      <c r="Q776" s="18"/>
      <c r="R776" s="18"/>
      <c r="S776" s="18"/>
      <c r="T776" s="18"/>
      <c r="U776" s="18"/>
      <c r="V776" s="18"/>
      <c r="W776" s="18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spans="1:36" ht="11.25" customHeight="1" x14ac:dyDescent="0.2">
      <c r="A777" s="70" t="s">
        <v>21</v>
      </c>
      <c r="B777" s="70" t="s">
        <v>22</v>
      </c>
      <c r="C777" s="70" t="s">
        <v>23</v>
      </c>
      <c r="D777" s="70" t="s">
        <v>24</v>
      </c>
      <c r="E777" s="70" t="s">
        <v>24</v>
      </c>
      <c r="F777" s="70" t="s">
        <v>25</v>
      </c>
      <c r="G777" s="70" t="s">
        <v>25</v>
      </c>
      <c r="H777" s="70" t="s">
        <v>25</v>
      </c>
      <c r="I777" s="78">
        <v>44593</v>
      </c>
      <c r="J777" s="79">
        <f>EFEITO!$J$777*EFEITO!$Y$777</f>
        <v>0</v>
      </c>
      <c r="K777" s="79">
        <f ca="1">EFEITO!$L$777*EFEITO!$Z$777</f>
        <v>708016.2628461963</v>
      </c>
      <c r="L777" s="79">
        <f>EFEITO!$N$777*EFEITO!$AA$777</f>
        <v>480260.45773583965</v>
      </c>
      <c r="M777" s="79">
        <f>$J$777-EFEITO!$K$777*EFEITO!$Y$777</f>
        <v>0</v>
      </c>
      <c r="N777" s="79">
        <f ca="1">$K$777-EFEITO!$M$777*EFEITO!$Z$777</f>
        <v>0</v>
      </c>
      <c r="O777" s="79">
        <f>$L$777-EFEITO!$O$777*EFEITO!$AA$777</f>
        <v>0</v>
      </c>
      <c r="P777" s="18"/>
      <c r="Q777" s="18"/>
      <c r="R777" s="18"/>
      <c r="S777" s="18"/>
      <c r="T777" s="18"/>
      <c r="U777" s="18"/>
      <c r="V777" s="18"/>
      <c r="W777" s="18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spans="1:36" ht="11.25" customHeight="1" x14ac:dyDescent="0.2">
      <c r="A778" s="70" t="s">
        <v>27</v>
      </c>
      <c r="B778" s="70" t="s">
        <v>22</v>
      </c>
      <c r="C778" s="70" t="s">
        <v>23</v>
      </c>
      <c r="D778" s="70" t="s">
        <v>24</v>
      </c>
      <c r="E778" s="70" t="s">
        <v>24</v>
      </c>
      <c r="F778" s="70" t="s">
        <v>25</v>
      </c>
      <c r="G778" s="70" t="s">
        <v>25</v>
      </c>
      <c r="H778" s="70" t="s">
        <v>25</v>
      </c>
      <c r="I778" s="78">
        <v>44593</v>
      </c>
      <c r="J778" s="79">
        <f>EFEITO!$J$778*EFEITO!$Y$778</f>
        <v>0</v>
      </c>
      <c r="K778" s="79">
        <f ca="1">EFEITO!$L$778*EFEITO!$Z$778</f>
        <v>-551.02611724437395</v>
      </c>
      <c r="L778" s="79">
        <f>EFEITO!$N$778*EFEITO!$AA$778</f>
        <v>-373.77115354435421</v>
      </c>
      <c r="M778" s="79">
        <f>$J$778-EFEITO!$K$778*EFEITO!$Y$778</f>
        <v>0</v>
      </c>
      <c r="N778" s="79">
        <f ca="1">$K$778-EFEITO!$M$778*EFEITO!$Z$778</f>
        <v>0</v>
      </c>
      <c r="O778" s="79">
        <f>$L$778-EFEITO!$O$778*EFEITO!$AA$778</f>
        <v>0</v>
      </c>
      <c r="P778" s="18"/>
      <c r="Q778" s="18"/>
      <c r="R778" s="18"/>
      <c r="S778" s="18"/>
      <c r="T778" s="18"/>
      <c r="U778" s="18"/>
      <c r="V778" s="18"/>
      <c r="W778" s="18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spans="1:36" ht="11.25" customHeight="1" x14ac:dyDescent="0.2">
      <c r="A779" s="70" t="s">
        <v>28</v>
      </c>
      <c r="B779" s="70" t="s">
        <v>22</v>
      </c>
      <c r="C779" s="70" t="s">
        <v>23</v>
      </c>
      <c r="D779" s="70" t="s">
        <v>24</v>
      </c>
      <c r="E779" s="70" t="s">
        <v>24</v>
      </c>
      <c r="F779" s="70" t="s">
        <v>25</v>
      </c>
      <c r="G779" s="70" t="s">
        <v>25</v>
      </c>
      <c r="H779" s="70" t="s">
        <v>25</v>
      </c>
      <c r="I779" s="78">
        <v>44593</v>
      </c>
      <c r="J779" s="79">
        <f>EFEITO!$J$779*EFEITO!$Y$779</f>
        <v>0</v>
      </c>
      <c r="K779" s="79">
        <f ca="1">EFEITO!$L$779*EFEITO!$Z$779</f>
        <v>13870.314893986962</v>
      </c>
      <c r="L779" s="79">
        <f>EFEITO!$N$779*EFEITO!$AA$779</f>
        <v>9408.4897896949478</v>
      </c>
      <c r="M779" s="79">
        <f>$J$779-EFEITO!$K$779*EFEITO!$Y$779</f>
        <v>0</v>
      </c>
      <c r="N779" s="79">
        <f ca="1">$K$779-EFEITO!$M$779*EFEITO!$Z$779</f>
        <v>0</v>
      </c>
      <c r="O779" s="79">
        <f>$L$779-EFEITO!$O$779*EFEITO!$AA$779</f>
        <v>0</v>
      </c>
      <c r="P779" s="18"/>
      <c r="Q779" s="18"/>
      <c r="R779" s="18"/>
      <c r="S779" s="18"/>
      <c r="T779" s="18"/>
      <c r="U779" s="18"/>
      <c r="V779" s="18"/>
      <c r="W779" s="18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spans="1:36" ht="11.25" customHeight="1" x14ac:dyDescent="0.2">
      <c r="A780" s="70" t="s">
        <v>21</v>
      </c>
      <c r="B780" s="70" t="s">
        <v>22</v>
      </c>
      <c r="C780" s="70" t="s">
        <v>23</v>
      </c>
      <c r="D780" s="70" t="s">
        <v>24</v>
      </c>
      <c r="E780" s="70" t="s">
        <v>24</v>
      </c>
      <c r="F780" s="70" t="s">
        <v>25</v>
      </c>
      <c r="G780" s="70" t="s">
        <v>25</v>
      </c>
      <c r="H780" s="70" t="s">
        <v>25</v>
      </c>
      <c r="I780" s="78">
        <v>44621</v>
      </c>
      <c r="J780" s="79">
        <f>EFEITO!$J$780*EFEITO!$Y$780</f>
        <v>0</v>
      </c>
      <c r="K780" s="79">
        <f ca="1">EFEITO!$L$780*EFEITO!$Z$780</f>
        <v>630991.81038523722</v>
      </c>
      <c r="L780" s="79">
        <f>EFEITO!$N$780*EFEITO!$AA$780</f>
        <v>428013.35447433102</v>
      </c>
      <c r="M780" s="79">
        <f>$J$780-EFEITO!$K$780*EFEITO!$Y$780</f>
        <v>0</v>
      </c>
      <c r="N780" s="79">
        <f ca="1">$K$780-EFEITO!$M$780*EFEITO!$Z$780</f>
        <v>0</v>
      </c>
      <c r="O780" s="79">
        <f>$L$780-EFEITO!$O$780*EFEITO!$AA$780</f>
        <v>0</v>
      </c>
      <c r="P780" s="18"/>
      <c r="Q780" s="18"/>
      <c r="R780" s="18"/>
      <c r="S780" s="18"/>
      <c r="T780" s="18"/>
      <c r="U780" s="18"/>
      <c r="V780" s="18"/>
      <c r="W780" s="18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spans="1:36" ht="11.25" customHeight="1" x14ac:dyDescent="0.2">
      <c r="A781" s="70" t="s">
        <v>27</v>
      </c>
      <c r="B781" s="70" t="s">
        <v>22</v>
      </c>
      <c r="C781" s="70" t="s">
        <v>23</v>
      </c>
      <c r="D781" s="70" t="s">
        <v>24</v>
      </c>
      <c r="E781" s="70" t="s">
        <v>24</v>
      </c>
      <c r="F781" s="70" t="s">
        <v>25</v>
      </c>
      <c r="G781" s="70" t="s">
        <v>25</v>
      </c>
      <c r="H781" s="70" t="s">
        <v>25</v>
      </c>
      <c r="I781" s="78">
        <v>44621</v>
      </c>
      <c r="J781" s="79">
        <f>EFEITO!$J$781*EFEITO!$Y$781</f>
        <v>0</v>
      </c>
      <c r="K781" s="79">
        <f ca="1">EFEITO!$L$781*EFEITO!$Z$781</f>
        <v>-703.82922398817436</v>
      </c>
      <c r="L781" s="79">
        <f>EFEITO!$N$781*EFEITO!$AA$781</f>
        <v>-477.42031224196671</v>
      </c>
      <c r="M781" s="79">
        <f>$J$781-EFEITO!$K$781*EFEITO!$Y$781</f>
        <v>0</v>
      </c>
      <c r="N781" s="79">
        <f ca="1">$K$781-EFEITO!$M$781*EFEITO!$Z$781</f>
        <v>0</v>
      </c>
      <c r="O781" s="79">
        <f>$L$781-EFEITO!$O$781*EFEITO!$AA$781</f>
        <v>0</v>
      </c>
      <c r="P781" s="18"/>
      <c r="Q781" s="18"/>
      <c r="R781" s="18"/>
      <c r="S781" s="18"/>
      <c r="T781" s="18"/>
      <c r="U781" s="18"/>
      <c r="V781" s="18"/>
      <c r="W781" s="18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spans="1:36" ht="11.25" customHeight="1" x14ac:dyDescent="0.2">
      <c r="A782" s="70" t="s">
        <v>28</v>
      </c>
      <c r="B782" s="70" t="s">
        <v>22</v>
      </c>
      <c r="C782" s="70" t="s">
        <v>23</v>
      </c>
      <c r="D782" s="70" t="s">
        <v>24</v>
      </c>
      <c r="E782" s="70" t="s">
        <v>24</v>
      </c>
      <c r="F782" s="70" t="s">
        <v>25</v>
      </c>
      <c r="G782" s="70" t="s">
        <v>25</v>
      </c>
      <c r="H782" s="70" t="s">
        <v>25</v>
      </c>
      <c r="I782" s="78">
        <v>44621</v>
      </c>
      <c r="J782" s="79">
        <f>EFEITO!$J$782*EFEITO!$Y$782</f>
        <v>0</v>
      </c>
      <c r="K782" s="79">
        <f ca="1">EFEITO!$L$782*EFEITO!$Z$782</f>
        <v>14240.782082038853</v>
      </c>
      <c r="L782" s="79">
        <f>EFEITO!$N$782*EFEITO!$AA$782</f>
        <v>9659.7844995010146</v>
      </c>
      <c r="M782" s="79">
        <f>$J$782-EFEITO!$K$782*EFEITO!$Y$782</f>
        <v>0</v>
      </c>
      <c r="N782" s="79">
        <f ca="1">$K$782-EFEITO!$M$782*EFEITO!$Z$782</f>
        <v>0</v>
      </c>
      <c r="O782" s="79">
        <f>$L$782-EFEITO!$O$782*EFEITO!$AA$782</f>
        <v>0</v>
      </c>
      <c r="P782" s="18"/>
      <c r="Q782" s="18"/>
      <c r="R782" s="18"/>
      <c r="S782" s="18"/>
      <c r="T782" s="18"/>
      <c r="U782" s="18"/>
      <c r="V782" s="18"/>
      <c r="W782" s="18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spans="1:36" ht="11.25" customHeight="1" x14ac:dyDescent="0.2">
      <c r="A783" s="70" t="s">
        <v>28</v>
      </c>
      <c r="B783" s="70" t="s">
        <v>22</v>
      </c>
      <c r="C783" s="70" t="s">
        <v>23</v>
      </c>
      <c r="D783" s="70" t="s">
        <v>24</v>
      </c>
      <c r="E783" s="70" t="s">
        <v>24</v>
      </c>
      <c r="F783" s="70" t="s">
        <v>25</v>
      </c>
      <c r="G783" s="70" t="s">
        <v>25</v>
      </c>
      <c r="H783" s="70" t="s">
        <v>25</v>
      </c>
      <c r="I783" s="78">
        <v>44621</v>
      </c>
      <c r="J783" s="79">
        <f>EFEITO!$J$783*EFEITO!$Y$783</f>
        <v>0</v>
      </c>
      <c r="K783" s="79">
        <f ca="1">EFEITO!$L$783*EFEITO!$Z$783</f>
        <v>-570.30910968240619</v>
      </c>
      <c r="L783" s="79">
        <f>EFEITO!$N$783*EFEITO!$AA$783</f>
        <v>-386.85116209892868</v>
      </c>
      <c r="M783" s="79">
        <f>$J$783-EFEITO!$K$783*EFEITO!$Y$783</f>
        <v>0</v>
      </c>
      <c r="N783" s="79">
        <f ca="1">$K$783-EFEITO!$M$783*EFEITO!$Z$783</f>
        <v>0</v>
      </c>
      <c r="O783" s="79">
        <f>$L$783-EFEITO!$O$783*EFEITO!$AA$783</f>
        <v>0</v>
      </c>
      <c r="P783" s="18"/>
      <c r="Q783" s="18"/>
      <c r="R783" s="18"/>
      <c r="S783" s="18"/>
      <c r="T783" s="18"/>
      <c r="U783" s="18"/>
      <c r="V783" s="18"/>
      <c r="W783" s="18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spans="1:36" ht="11.25" customHeight="1" x14ac:dyDescent="0.2">
      <c r="A784" s="70" t="s">
        <v>21</v>
      </c>
      <c r="B784" s="70" t="s">
        <v>22</v>
      </c>
      <c r="C784" s="70" t="s">
        <v>23</v>
      </c>
      <c r="D784" s="70" t="s">
        <v>24</v>
      </c>
      <c r="E784" s="70" t="s">
        <v>24</v>
      </c>
      <c r="F784" s="70" t="s">
        <v>25</v>
      </c>
      <c r="G784" s="70" t="s">
        <v>25</v>
      </c>
      <c r="H784" s="70" t="s">
        <v>25</v>
      </c>
      <c r="I784" s="78">
        <v>44652</v>
      </c>
      <c r="J784" s="79">
        <f>EFEITO!$J$784*EFEITO!$Y$784</f>
        <v>0</v>
      </c>
      <c r="K784" s="79">
        <f ca="1">EFEITO!$L$784*EFEITO!$Z$784</f>
        <v>546065.71352296625</v>
      </c>
      <c r="L784" s="79">
        <f>EFEITO!$N$784*EFEITO!$AA$784</f>
        <v>370406.42043466383</v>
      </c>
      <c r="M784" s="79">
        <f>$J$784-EFEITO!$K$784*EFEITO!$Y$784</f>
        <v>0</v>
      </c>
      <c r="N784" s="79">
        <f ca="1">$K$784-EFEITO!$M$784*EFEITO!$Z$784</f>
        <v>0</v>
      </c>
      <c r="O784" s="79">
        <f>$L$784-EFEITO!$O$784*EFEITO!$AA$784</f>
        <v>0</v>
      </c>
      <c r="P784" s="18"/>
      <c r="Q784" s="18"/>
      <c r="R784" s="18"/>
      <c r="S784" s="18"/>
      <c r="T784" s="18"/>
      <c r="U784" s="18"/>
      <c r="V784" s="18"/>
      <c r="W784" s="18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spans="1:36" ht="11.25" customHeight="1" x14ac:dyDescent="0.2">
      <c r="A785" s="70" t="s">
        <v>27</v>
      </c>
      <c r="B785" s="70" t="s">
        <v>22</v>
      </c>
      <c r="C785" s="70" t="s">
        <v>23</v>
      </c>
      <c r="D785" s="70" t="s">
        <v>24</v>
      </c>
      <c r="E785" s="70" t="s">
        <v>24</v>
      </c>
      <c r="F785" s="70" t="s">
        <v>25</v>
      </c>
      <c r="G785" s="70" t="s">
        <v>25</v>
      </c>
      <c r="H785" s="70" t="s">
        <v>25</v>
      </c>
      <c r="I785" s="78">
        <v>44652</v>
      </c>
      <c r="J785" s="79">
        <f>EFEITO!$J$785*EFEITO!$Y$785</f>
        <v>0</v>
      </c>
      <c r="K785" s="79">
        <f ca="1">EFEITO!$L$785*EFEITO!$Z$785</f>
        <v>-1519.2660708752626</v>
      </c>
      <c r="L785" s="79">
        <f>EFEITO!$N$785*EFEITO!$AA$785</f>
        <v>-1030.546128542228</v>
      </c>
      <c r="M785" s="79">
        <f>$J$785-EFEITO!$K$785*EFEITO!$Y$785</f>
        <v>0</v>
      </c>
      <c r="N785" s="79">
        <f ca="1">$K$785-EFEITO!$M$785*EFEITO!$Z$785</f>
        <v>0</v>
      </c>
      <c r="O785" s="79">
        <f>$L$785-EFEITO!$O$785*EFEITO!$AA$785</f>
        <v>0</v>
      </c>
      <c r="P785" s="18"/>
      <c r="Q785" s="18"/>
      <c r="R785" s="18"/>
      <c r="S785" s="18"/>
      <c r="T785" s="18"/>
      <c r="U785" s="18"/>
      <c r="V785" s="18"/>
      <c r="W785" s="18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spans="1:36" ht="11.25" customHeight="1" x14ac:dyDescent="0.2">
      <c r="A786" s="70" t="s">
        <v>28</v>
      </c>
      <c r="B786" s="70" t="s">
        <v>22</v>
      </c>
      <c r="C786" s="70" t="s">
        <v>23</v>
      </c>
      <c r="D786" s="70" t="s">
        <v>24</v>
      </c>
      <c r="E786" s="70" t="s">
        <v>24</v>
      </c>
      <c r="F786" s="70" t="s">
        <v>25</v>
      </c>
      <c r="G786" s="70" t="s">
        <v>25</v>
      </c>
      <c r="H786" s="70" t="s">
        <v>25</v>
      </c>
      <c r="I786" s="78">
        <v>44652</v>
      </c>
      <c r="J786" s="79">
        <f>EFEITO!$J$786*EFEITO!$Y$786</f>
        <v>0</v>
      </c>
      <c r="K786" s="79">
        <f ca="1">EFEITO!$L$786*EFEITO!$Z$786</f>
        <v>21753.844969069116</v>
      </c>
      <c r="L786" s="79">
        <f>EFEITO!$N$786*EFEITO!$AA$786</f>
        <v>14756.033287090127</v>
      </c>
      <c r="M786" s="79">
        <f>$J$786-EFEITO!$K$786*EFEITO!$Y$786</f>
        <v>0</v>
      </c>
      <c r="N786" s="79">
        <f ca="1">$K$786-EFEITO!$M$786*EFEITO!$Z$786</f>
        <v>0</v>
      </c>
      <c r="O786" s="79">
        <f>$L$786-EFEITO!$O$786*EFEITO!$AA$786</f>
        <v>0</v>
      </c>
      <c r="P786" s="18"/>
      <c r="Q786" s="18"/>
      <c r="R786" s="18"/>
      <c r="S786" s="18"/>
      <c r="T786" s="18"/>
      <c r="U786" s="18"/>
      <c r="V786" s="18"/>
      <c r="W786" s="18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spans="1:36" ht="11.25" customHeight="1" x14ac:dyDescent="0.2">
      <c r="A787" s="70" t="s">
        <v>28</v>
      </c>
      <c r="B787" s="70" t="s">
        <v>22</v>
      </c>
      <c r="C787" s="70" t="s">
        <v>23</v>
      </c>
      <c r="D787" s="70" t="s">
        <v>24</v>
      </c>
      <c r="E787" s="70" t="s">
        <v>24</v>
      </c>
      <c r="F787" s="70" t="s">
        <v>25</v>
      </c>
      <c r="G787" s="70" t="s">
        <v>25</v>
      </c>
      <c r="H787" s="70" t="s">
        <v>25</v>
      </c>
      <c r="I787" s="78">
        <v>44652</v>
      </c>
      <c r="J787" s="79">
        <f>EFEITO!$J$787*EFEITO!$Y$787</f>
        <v>0</v>
      </c>
      <c r="K787" s="79">
        <f ca="1">EFEITO!$L$787*EFEITO!$Z$787</f>
        <v>-991.32111124610867</v>
      </c>
      <c r="L787" s="79">
        <f>EFEITO!$N$787*EFEITO!$AA$787</f>
        <v>-672.4313488738037</v>
      </c>
      <c r="M787" s="79">
        <f>$J$787-EFEITO!$K$787*EFEITO!$Y$787</f>
        <v>0</v>
      </c>
      <c r="N787" s="79">
        <f ca="1">$K$787-EFEITO!$M$787*EFEITO!$Z$787</f>
        <v>0</v>
      </c>
      <c r="O787" s="79">
        <f>$L$787-EFEITO!$O$787*EFEITO!$AA$787</f>
        <v>0</v>
      </c>
      <c r="P787" s="18"/>
      <c r="Q787" s="18"/>
      <c r="R787" s="18"/>
      <c r="S787" s="18"/>
      <c r="T787" s="18"/>
      <c r="U787" s="18"/>
      <c r="V787" s="18"/>
      <c r="W787" s="18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spans="1:36" ht="11.25" customHeight="1" x14ac:dyDescent="0.2">
      <c r="A788" s="70" t="s">
        <v>21</v>
      </c>
      <c r="B788" s="70" t="s">
        <v>22</v>
      </c>
      <c r="C788" s="70" t="s">
        <v>23</v>
      </c>
      <c r="D788" s="70" t="s">
        <v>24</v>
      </c>
      <c r="E788" s="70" t="s">
        <v>24</v>
      </c>
      <c r="F788" s="70" t="s">
        <v>25</v>
      </c>
      <c r="G788" s="70" t="s">
        <v>25</v>
      </c>
      <c r="H788" s="70" t="s">
        <v>25</v>
      </c>
      <c r="I788" s="78">
        <v>44682</v>
      </c>
      <c r="J788" s="79">
        <f>EFEITO!$J$788*EFEITO!$Y$788</f>
        <v>0</v>
      </c>
      <c r="K788" s="79">
        <f ca="1">EFEITO!$L$788*EFEITO!$Z$788</f>
        <v>496457.29381060763</v>
      </c>
      <c r="L788" s="79">
        <f>EFEITO!$N$788*EFEITO!$AA$788</f>
        <v>336756.11660854321</v>
      </c>
      <c r="M788" s="79">
        <f>$J$788-EFEITO!$K$788*EFEITO!$Y$788</f>
        <v>0</v>
      </c>
      <c r="N788" s="79">
        <f ca="1">$K$788-EFEITO!$M$788*EFEITO!$Z$788</f>
        <v>0</v>
      </c>
      <c r="O788" s="79">
        <f>$L$788-EFEITO!$O$788*EFEITO!$AA$788</f>
        <v>0</v>
      </c>
      <c r="P788" s="18"/>
      <c r="Q788" s="18"/>
      <c r="R788" s="18"/>
      <c r="S788" s="18"/>
      <c r="T788" s="18"/>
      <c r="U788" s="18"/>
      <c r="V788" s="18"/>
      <c r="W788" s="18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spans="1:36" ht="11.25" customHeight="1" x14ac:dyDescent="0.2">
      <c r="A789" s="70" t="s">
        <v>27</v>
      </c>
      <c r="B789" s="70" t="s">
        <v>22</v>
      </c>
      <c r="C789" s="70" t="s">
        <v>23</v>
      </c>
      <c r="D789" s="70" t="s">
        <v>24</v>
      </c>
      <c r="E789" s="70" t="s">
        <v>24</v>
      </c>
      <c r="F789" s="70" t="s">
        <v>25</v>
      </c>
      <c r="G789" s="70" t="s">
        <v>25</v>
      </c>
      <c r="H789" s="70" t="s">
        <v>25</v>
      </c>
      <c r="I789" s="78">
        <v>44682</v>
      </c>
      <c r="J789" s="79">
        <f>EFEITO!$J$789*EFEITO!$Y$789</f>
        <v>0</v>
      </c>
      <c r="K789" s="79">
        <f ca="1">EFEITO!$L$789*EFEITO!$Z$789</f>
        <v>-1658.6295162228585</v>
      </c>
      <c r="L789" s="79">
        <f>EFEITO!$N$789*EFEITO!$AA$789</f>
        <v>-1125.0789176411977</v>
      </c>
      <c r="M789" s="79">
        <f>$J$789-EFEITO!$K$789*EFEITO!$Y$789</f>
        <v>0</v>
      </c>
      <c r="N789" s="79">
        <f ca="1">$K$789-EFEITO!$M$789*EFEITO!$Z$789</f>
        <v>0</v>
      </c>
      <c r="O789" s="79">
        <f>$L$789-EFEITO!$O$789*EFEITO!$AA$789</f>
        <v>0</v>
      </c>
      <c r="P789" s="18"/>
      <c r="Q789" s="18"/>
      <c r="R789" s="18"/>
      <c r="S789" s="18"/>
      <c r="T789" s="18"/>
      <c r="U789" s="18"/>
      <c r="V789" s="18"/>
      <c r="W789" s="18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spans="1:36" ht="11.25" customHeight="1" x14ac:dyDescent="0.2">
      <c r="A790" s="70" t="s">
        <v>28</v>
      </c>
      <c r="B790" s="70" t="s">
        <v>22</v>
      </c>
      <c r="C790" s="70" t="s">
        <v>23</v>
      </c>
      <c r="D790" s="70" t="s">
        <v>24</v>
      </c>
      <c r="E790" s="70" t="s">
        <v>24</v>
      </c>
      <c r="F790" s="70" t="s">
        <v>25</v>
      </c>
      <c r="G790" s="70" t="s">
        <v>25</v>
      </c>
      <c r="H790" s="70" t="s">
        <v>25</v>
      </c>
      <c r="I790" s="78">
        <v>44682</v>
      </c>
      <c r="J790" s="79">
        <f>EFEITO!$J$790*EFEITO!$Y$790</f>
        <v>0</v>
      </c>
      <c r="K790" s="79">
        <f ca="1">EFEITO!$L$790*EFEITO!$Z$790</f>
        <v>15657.789859682127</v>
      </c>
      <c r="L790" s="79">
        <f>EFEITO!$N$790*EFEITO!$AA$790</f>
        <v>10620.966946314438</v>
      </c>
      <c r="M790" s="79">
        <f>$J$790-EFEITO!$K$790*EFEITO!$Y$790</f>
        <v>0</v>
      </c>
      <c r="N790" s="79">
        <f ca="1">$K$790-EFEITO!$M$790*EFEITO!$Z$790</f>
        <v>0</v>
      </c>
      <c r="O790" s="79">
        <f>$L$790-EFEITO!$O$790*EFEITO!$AA$790</f>
        <v>0</v>
      </c>
      <c r="P790" s="18"/>
      <c r="Q790" s="18"/>
      <c r="R790" s="18"/>
      <c r="S790" s="18"/>
      <c r="T790" s="18"/>
      <c r="U790" s="18"/>
      <c r="V790" s="18"/>
      <c r="W790" s="18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spans="1:36" ht="11.25" customHeight="1" x14ac:dyDescent="0.2">
      <c r="A791" s="70" t="s">
        <v>28</v>
      </c>
      <c r="B791" s="70" t="s">
        <v>22</v>
      </c>
      <c r="C791" s="70" t="s">
        <v>23</v>
      </c>
      <c r="D791" s="70" t="s">
        <v>24</v>
      </c>
      <c r="E791" s="70" t="s">
        <v>24</v>
      </c>
      <c r="F791" s="70" t="s">
        <v>25</v>
      </c>
      <c r="G791" s="70" t="s">
        <v>25</v>
      </c>
      <c r="H791" s="70" t="s">
        <v>25</v>
      </c>
      <c r="I791" s="78">
        <v>44682</v>
      </c>
      <c r="J791" s="79">
        <f>EFEITO!$J$791*EFEITO!$Y$791</f>
        <v>0</v>
      </c>
      <c r="K791" s="79">
        <f ca="1">EFEITO!$L$791*EFEITO!$Z$791</f>
        <v>-10474.46305902866</v>
      </c>
      <c r="L791" s="79">
        <f>EFEITO!$N$791*EFEITO!$AA$791</f>
        <v>-7105.0210104552725</v>
      </c>
      <c r="M791" s="79">
        <f>$J$791-EFEITO!$K$791*EFEITO!$Y$791</f>
        <v>0</v>
      </c>
      <c r="N791" s="79">
        <f ca="1">$K$791-EFEITO!$M$791*EFEITO!$Z$791</f>
        <v>0</v>
      </c>
      <c r="O791" s="79">
        <f>$L$791-EFEITO!$O$791*EFEITO!$AA$791</f>
        <v>0</v>
      </c>
      <c r="P791" s="18"/>
      <c r="Q791" s="18"/>
      <c r="R791" s="18"/>
      <c r="S791" s="18"/>
      <c r="T791" s="18"/>
      <c r="U791" s="18"/>
      <c r="V791" s="18"/>
      <c r="W791" s="18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pans="1:36" ht="11.25" customHeight="1" x14ac:dyDescent="0.2">
      <c r="A792" s="70" t="s">
        <v>21</v>
      </c>
      <c r="B792" s="70" t="s">
        <v>22</v>
      </c>
      <c r="C792" s="70" t="s">
        <v>23</v>
      </c>
      <c r="D792" s="70" t="s">
        <v>24</v>
      </c>
      <c r="E792" s="70" t="s">
        <v>24</v>
      </c>
      <c r="F792" s="70" t="s">
        <v>25</v>
      </c>
      <c r="G792" s="70" t="s">
        <v>25</v>
      </c>
      <c r="H792" s="70" t="s">
        <v>25</v>
      </c>
      <c r="I792" s="78">
        <v>44713</v>
      </c>
      <c r="J792" s="79">
        <f>EFEITO!$J$792*EFEITO!$Y$792</f>
        <v>0</v>
      </c>
      <c r="K792" s="79">
        <f ca="1">EFEITO!$L$792*EFEITO!$Z$792</f>
        <v>552647.34944192914</v>
      </c>
      <c r="L792" s="79">
        <f>EFEITO!$N$792*EFEITO!$AA$792</f>
        <v>374870.86517267744</v>
      </c>
      <c r="M792" s="79">
        <f>$J$792-EFEITO!$K$792*EFEITO!$Y$792</f>
        <v>0</v>
      </c>
      <c r="N792" s="79">
        <f ca="1">$K$792-EFEITO!$M$792*EFEITO!$Z$792</f>
        <v>0</v>
      </c>
      <c r="O792" s="79">
        <f>$L$792-EFEITO!$O$792*EFEITO!$AA$792</f>
        <v>0</v>
      </c>
      <c r="P792" s="18"/>
      <c r="Q792" s="18"/>
      <c r="R792" s="18"/>
      <c r="S792" s="18"/>
      <c r="T792" s="18"/>
      <c r="U792" s="18"/>
      <c r="V792" s="18"/>
      <c r="W792" s="18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spans="1:36" ht="11.25" customHeight="1" x14ac:dyDescent="0.2">
      <c r="A793" s="70" t="s">
        <v>27</v>
      </c>
      <c r="B793" s="70" t="s">
        <v>22</v>
      </c>
      <c r="C793" s="70" t="s">
        <v>23</v>
      </c>
      <c r="D793" s="70" t="s">
        <v>24</v>
      </c>
      <c r="E793" s="70" t="s">
        <v>24</v>
      </c>
      <c r="F793" s="70" t="s">
        <v>25</v>
      </c>
      <c r="G793" s="70" t="s">
        <v>25</v>
      </c>
      <c r="H793" s="70" t="s">
        <v>25</v>
      </c>
      <c r="I793" s="78">
        <v>44713</v>
      </c>
      <c r="J793" s="79">
        <f>EFEITO!$J$793*EFEITO!$Y$793</f>
        <v>0</v>
      </c>
      <c r="K793" s="79">
        <f ca="1">EFEITO!$L$793*EFEITO!$Z$793</f>
        <v>-3184.6154177962235</v>
      </c>
      <c r="L793" s="79">
        <f>EFEITO!$N$793*EFEITO!$AA$793</f>
        <v>-2160.1832309827473</v>
      </c>
      <c r="M793" s="79">
        <f>$J$793-EFEITO!$K$793*EFEITO!$Y$793</f>
        <v>0</v>
      </c>
      <c r="N793" s="79">
        <f ca="1">$K$793-EFEITO!$M$793*EFEITO!$Z$793</f>
        <v>0</v>
      </c>
      <c r="O793" s="79">
        <f>$L$793-EFEITO!$O$793*EFEITO!$AA$793</f>
        <v>0</v>
      </c>
      <c r="P793" s="18"/>
      <c r="Q793" s="18"/>
      <c r="R793" s="18"/>
      <c r="S793" s="18"/>
      <c r="T793" s="18"/>
      <c r="U793" s="18"/>
      <c r="V793" s="18"/>
      <c r="W793" s="18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spans="1:36" ht="11.25" customHeight="1" x14ac:dyDescent="0.2">
      <c r="A794" s="70" t="s">
        <v>28</v>
      </c>
      <c r="B794" s="70" t="s">
        <v>22</v>
      </c>
      <c r="C794" s="70" t="s">
        <v>23</v>
      </c>
      <c r="D794" s="70" t="s">
        <v>24</v>
      </c>
      <c r="E794" s="70" t="s">
        <v>24</v>
      </c>
      <c r="F794" s="70" t="s">
        <v>25</v>
      </c>
      <c r="G794" s="70" t="s">
        <v>25</v>
      </c>
      <c r="H794" s="70" t="s">
        <v>25</v>
      </c>
      <c r="I794" s="78">
        <v>44713</v>
      </c>
      <c r="J794" s="79">
        <f>EFEITO!$J$794*EFEITO!$Y$794</f>
        <v>0</v>
      </c>
      <c r="K794" s="79">
        <f ca="1">EFEITO!$L$794*EFEITO!$Z$794</f>
        <v>22615.44413118665</v>
      </c>
      <c r="L794" s="79">
        <f>EFEITO!$N$794*EFEITO!$AA$794</f>
        <v>15340.471851142251</v>
      </c>
      <c r="M794" s="79">
        <f>$J$794-EFEITO!$K$794*EFEITO!$Y$794</f>
        <v>0</v>
      </c>
      <c r="N794" s="79">
        <f ca="1">$K$794-EFEITO!$M$794*EFEITO!$Z$794</f>
        <v>0</v>
      </c>
      <c r="O794" s="79">
        <f>$L$794-EFEITO!$O$794*EFEITO!$AA$794</f>
        <v>0</v>
      </c>
      <c r="P794" s="18"/>
      <c r="Q794" s="18"/>
      <c r="R794" s="18"/>
      <c r="S794" s="18"/>
      <c r="T794" s="18"/>
      <c r="U794" s="18"/>
      <c r="V794" s="18"/>
      <c r="W794" s="18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spans="1:36" ht="11.25" customHeight="1" x14ac:dyDescent="0.2">
      <c r="A795" s="70" t="s">
        <v>28</v>
      </c>
      <c r="B795" s="70" t="s">
        <v>22</v>
      </c>
      <c r="C795" s="70" t="s">
        <v>23</v>
      </c>
      <c r="D795" s="70" t="s">
        <v>24</v>
      </c>
      <c r="E795" s="70" t="s">
        <v>24</v>
      </c>
      <c r="F795" s="70" t="s">
        <v>25</v>
      </c>
      <c r="G795" s="70" t="s">
        <v>25</v>
      </c>
      <c r="H795" s="70" t="s">
        <v>25</v>
      </c>
      <c r="I795" s="78">
        <v>44713</v>
      </c>
      <c r="J795" s="79">
        <f>EFEITO!$J$795*EFEITO!$Y$795</f>
        <v>0</v>
      </c>
      <c r="K795" s="79">
        <f ca="1">EFEITO!$L$795*EFEITO!$Z$795</f>
        <v>-523.27029479569137</v>
      </c>
      <c r="L795" s="79">
        <f>EFEITO!$N$795*EFEITO!$AA$795</f>
        <v>-354.94386850367891</v>
      </c>
      <c r="M795" s="79">
        <f>$J$795-EFEITO!$K$795*EFEITO!$Y$795</f>
        <v>0</v>
      </c>
      <c r="N795" s="79">
        <f ca="1">$K$795-EFEITO!$M$795*EFEITO!$Z$795</f>
        <v>0</v>
      </c>
      <c r="O795" s="79">
        <f>$L$795-EFEITO!$O$795*EFEITO!$AA$795</f>
        <v>0</v>
      </c>
      <c r="P795" s="18"/>
      <c r="Q795" s="18"/>
      <c r="R795" s="18"/>
      <c r="S795" s="18"/>
      <c r="T795" s="18"/>
      <c r="U795" s="18"/>
      <c r="V795" s="18"/>
      <c r="W795" s="18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spans="1:36" ht="11.25" customHeight="1" x14ac:dyDescent="0.2">
      <c r="A796" s="70" t="s">
        <v>21</v>
      </c>
      <c r="B796" s="70" t="s">
        <v>22</v>
      </c>
      <c r="C796" s="70" t="s">
        <v>23</v>
      </c>
      <c r="D796" s="70" t="s">
        <v>24</v>
      </c>
      <c r="E796" s="70" t="s">
        <v>29</v>
      </c>
      <c r="F796" s="70" t="s">
        <v>25</v>
      </c>
      <c r="G796" s="70" t="s">
        <v>25</v>
      </c>
      <c r="H796" s="70" t="s">
        <v>25</v>
      </c>
      <c r="I796" s="78">
        <v>44378</v>
      </c>
      <c r="J796" s="79">
        <f>EFEITO!$J$796*EFEITO!$Y$752</f>
        <v>0</v>
      </c>
      <c r="K796" s="79">
        <f ca="1">EFEITO!$L$796*EFEITO!$Z$845</f>
        <v>1391.7130454944788</v>
      </c>
      <c r="L796" s="79">
        <f>EFEITO!$N$796*EFEITO!$AA$845</f>
        <v>1415.0191072675975</v>
      </c>
      <c r="M796" s="79">
        <f>$J$796-EFEITO!$K$796*EFEITO!$Y$796</f>
        <v>0</v>
      </c>
      <c r="N796" s="79">
        <f ca="1">$K$796-EFEITO!$M$796*EFEITO!$Z$796</f>
        <v>904.61347957141129</v>
      </c>
      <c r="O796" s="79">
        <f>$L$796-EFEITO!$O$796*EFEITO!$AA$796</f>
        <v>919.76241972393836</v>
      </c>
      <c r="P796" s="18"/>
      <c r="Q796" s="18"/>
      <c r="R796" s="18"/>
      <c r="S796" s="18"/>
      <c r="T796" s="18"/>
      <c r="U796" s="18"/>
      <c r="V796" s="18"/>
      <c r="W796" s="18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spans="1:36" ht="11.25" customHeight="1" x14ac:dyDescent="0.2">
      <c r="A797" s="70" t="s">
        <v>21</v>
      </c>
      <c r="B797" s="70" t="s">
        <v>22</v>
      </c>
      <c r="C797" s="70" t="s">
        <v>23</v>
      </c>
      <c r="D797" s="70" t="s">
        <v>24</v>
      </c>
      <c r="E797" s="70" t="s">
        <v>29</v>
      </c>
      <c r="F797" s="70" t="s">
        <v>25</v>
      </c>
      <c r="G797" s="70" t="s">
        <v>25</v>
      </c>
      <c r="H797" s="70" t="s">
        <v>25</v>
      </c>
      <c r="I797" s="78">
        <v>44409</v>
      </c>
      <c r="J797" s="79">
        <f>EFEITO!$J$797*EFEITO!$Y$752</f>
        <v>0</v>
      </c>
      <c r="K797" s="79">
        <f ca="1">EFEITO!$L$797*EFEITO!$Z$845</f>
        <v>1403.4081131036762</v>
      </c>
      <c r="L797" s="79">
        <f>EFEITO!$N$797*EFEITO!$AA$845</f>
        <v>1426.9100241353926</v>
      </c>
      <c r="M797" s="79">
        <f>$J$797-EFEITO!$K$797*EFEITO!$Y$797</f>
        <v>0</v>
      </c>
      <c r="N797" s="79">
        <f ca="1">$K$797-EFEITO!$M$797*EFEITO!$Z$797</f>
        <v>912.21527351738951</v>
      </c>
      <c r="O797" s="79">
        <f>$L$797-EFEITO!$O$797*EFEITO!$AA$797</f>
        <v>927.49151568800528</v>
      </c>
      <c r="P797" s="18"/>
      <c r="Q797" s="18"/>
      <c r="R797" s="18"/>
      <c r="S797" s="18"/>
      <c r="T797" s="18"/>
      <c r="U797" s="18"/>
      <c r="V797" s="18"/>
      <c r="W797" s="18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spans="1:36" ht="11.25" customHeight="1" x14ac:dyDescent="0.2">
      <c r="A798" s="70" t="s">
        <v>21</v>
      </c>
      <c r="B798" s="70" t="s">
        <v>22</v>
      </c>
      <c r="C798" s="70" t="s">
        <v>23</v>
      </c>
      <c r="D798" s="70" t="s">
        <v>24</v>
      </c>
      <c r="E798" s="70" t="s">
        <v>29</v>
      </c>
      <c r="F798" s="70" t="s">
        <v>25</v>
      </c>
      <c r="G798" s="70" t="s">
        <v>25</v>
      </c>
      <c r="H798" s="70" t="s">
        <v>25</v>
      </c>
      <c r="I798" s="78">
        <v>44440</v>
      </c>
      <c r="J798" s="79">
        <f>EFEITO!$J$798*EFEITO!$Y$752</f>
        <v>0</v>
      </c>
      <c r="K798" s="79">
        <f ca="1">EFEITO!$L$798*EFEITO!$Z$845</f>
        <v>1420.9507145174721</v>
      </c>
      <c r="L798" s="79">
        <f>EFEITO!$N$798*EFEITO!$AA$845</f>
        <v>1444.7463994370851</v>
      </c>
      <c r="M798" s="79">
        <f>$J$798-EFEITO!$K$798*EFEITO!$Y$798</f>
        <v>0</v>
      </c>
      <c r="N798" s="79">
        <f ca="1">$K$798-EFEITO!$M$798*EFEITO!$Z$798</f>
        <v>923.61796443635694</v>
      </c>
      <c r="O798" s="79">
        <f>$L$798-EFEITO!$O$798*EFEITO!$AA$798</f>
        <v>939.08515963410537</v>
      </c>
      <c r="P798" s="18"/>
      <c r="Q798" s="18"/>
      <c r="R798" s="18"/>
      <c r="S798" s="18"/>
      <c r="T798" s="18"/>
      <c r="U798" s="18"/>
      <c r="V798" s="18"/>
      <c r="W798" s="18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spans="1:36" ht="11.25" customHeight="1" x14ac:dyDescent="0.2">
      <c r="A799" s="70" t="s">
        <v>21</v>
      </c>
      <c r="B799" s="70" t="s">
        <v>22</v>
      </c>
      <c r="C799" s="70" t="s">
        <v>23</v>
      </c>
      <c r="D799" s="70" t="s">
        <v>24</v>
      </c>
      <c r="E799" s="70" t="s">
        <v>29</v>
      </c>
      <c r="F799" s="70" t="s">
        <v>25</v>
      </c>
      <c r="G799" s="70" t="s">
        <v>25</v>
      </c>
      <c r="H799" s="70" t="s">
        <v>25</v>
      </c>
      <c r="I799" s="78">
        <v>44470</v>
      </c>
      <c r="J799" s="79">
        <f>EFEITO!$J$799*EFEITO!$Y$752</f>
        <v>0</v>
      </c>
      <c r="K799" s="79">
        <f ca="1">EFEITO!$L$799*EFEITO!$Z$845</f>
        <v>1438.4933159312679</v>
      </c>
      <c r="L799" s="79">
        <f>EFEITO!$N$799*EFEITO!$AA$845</f>
        <v>1462.5827747387775</v>
      </c>
      <c r="M799" s="79">
        <f>$J$799-EFEITO!$K$799*EFEITO!$Y$799</f>
        <v>0</v>
      </c>
      <c r="N799" s="79">
        <f ca="1">$K$799-EFEITO!$M$799*EFEITO!$Z$799</f>
        <v>935.02065535532415</v>
      </c>
      <c r="O799" s="79">
        <f>$L$799-EFEITO!$O$799*EFEITO!$AA$799</f>
        <v>950.67880358020557</v>
      </c>
      <c r="P799" s="18"/>
      <c r="Q799" s="18"/>
      <c r="R799" s="18"/>
      <c r="S799" s="18"/>
      <c r="T799" s="18"/>
      <c r="U799" s="18"/>
      <c r="V799" s="18"/>
      <c r="W799" s="18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spans="1:36" ht="11.25" customHeight="1" x14ac:dyDescent="0.2">
      <c r="A800" s="70" t="s">
        <v>21</v>
      </c>
      <c r="B800" s="70" t="s">
        <v>22</v>
      </c>
      <c r="C800" s="70" t="s">
        <v>23</v>
      </c>
      <c r="D800" s="70" t="s">
        <v>24</v>
      </c>
      <c r="E800" s="70" t="s">
        <v>29</v>
      </c>
      <c r="F800" s="70" t="s">
        <v>25</v>
      </c>
      <c r="G800" s="70" t="s">
        <v>25</v>
      </c>
      <c r="H800" s="70" t="s">
        <v>25</v>
      </c>
      <c r="I800" s="78">
        <v>44501</v>
      </c>
      <c r="J800" s="79">
        <f>EFEITO!$J$800*EFEITO!$Y$752</f>
        <v>0</v>
      </c>
      <c r="K800" s="79">
        <f ca="1">EFEITO!$L$800*EFEITO!$Z$845</f>
        <v>1555.4439920232412</v>
      </c>
      <c r="L800" s="79">
        <f>EFEITO!$N$800*EFEITO!$AA$845</f>
        <v>1581.4919434167268</v>
      </c>
      <c r="M800" s="79">
        <f>$J$800-EFEITO!$K$800*EFEITO!$Y$800</f>
        <v>0</v>
      </c>
      <c r="N800" s="79">
        <f ca="1">$K$800-EFEITO!$M$800*EFEITO!$Z$800</f>
        <v>1011.0385948151069</v>
      </c>
      <c r="O800" s="79">
        <f>$L$800-EFEITO!$O$800*EFEITO!$AA$800</f>
        <v>1027.9697632208724</v>
      </c>
      <c r="P800" s="18"/>
      <c r="Q800" s="18"/>
      <c r="R800" s="18"/>
      <c r="S800" s="18"/>
      <c r="T800" s="18"/>
      <c r="U800" s="18"/>
      <c r="V800" s="18"/>
      <c r="W800" s="18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spans="1:36" ht="11.25" customHeight="1" x14ac:dyDescent="0.2">
      <c r="A801" s="70" t="s">
        <v>27</v>
      </c>
      <c r="B801" s="70" t="s">
        <v>22</v>
      </c>
      <c r="C801" s="70" t="s">
        <v>23</v>
      </c>
      <c r="D801" s="70" t="s">
        <v>24</v>
      </c>
      <c r="E801" s="70" t="s">
        <v>29</v>
      </c>
      <c r="F801" s="70" t="s">
        <v>25</v>
      </c>
      <c r="G801" s="70" t="s">
        <v>25</v>
      </c>
      <c r="H801" s="70" t="s">
        <v>25</v>
      </c>
      <c r="I801" s="78">
        <v>44501</v>
      </c>
      <c r="J801" s="79">
        <f>EFEITO!$J$801*EFEITO!$Y$752</f>
        <v>0</v>
      </c>
      <c r="K801" s="79">
        <f ca="1">EFEITO!$L$801*EFEITO!$Z$845</f>
        <v>-40.932736632190554</v>
      </c>
      <c r="L801" s="79">
        <f>EFEITO!$N$801*EFEITO!$AA$845</f>
        <v>-41.618209037282284</v>
      </c>
      <c r="M801" s="79">
        <f>$J$801-EFEITO!$K$801*EFEITO!$Y$801</f>
        <v>0</v>
      </c>
      <c r="N801" s="79">
        <f ca="1">$K$801-EFEITO!$M$801*EFEITO!$Z$801</f>
        <v>-26.606278810923861</v>
      </c>
      <c r="O801" s="79">
        <f>$L$801-EFEITO!$O$801*EFEITO!$AA$801</f>
        <v>-27.05183587423349</v>
      </c>
      <c r="P801" s="18"/>
      <c r="Q801" s="18"/>
      <c r="R801" s="18"/>
      <c r="S801" s="18"/>
      <c r="T801" s="18"/>
      <c r="U801" s="18"/>
      <c r="V801" s="18"/>
      <c r="W801" s="18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spans="1:36" ht="11.25" customHeight="1" x14ac:dyDescent="0.2">
      <c r="A802" s="70" t="s">
        <v>21</v>
      </c>
      <c r="B802" s="70" t="s">
        <v>22</v>
      </c>
      <c r="C802" s="70" t="s">
        <v>23</v>
      </c>
      <c r="D802" s="70" t="s">
        <v>24</v>
      </c>
      <c r="E802" s="70" t="s">
        <v>29</v>
      </c>
      <c r="F802" s="70" t="s">
        <v>25</v>
      </c>
      <c r="G802" s="70" t="s">
        <v>25</v>
      </c>
      <c r="H802" s="70" t="s">
        <v>25</v>
      </c>
      <c r="I802" s="78">
        <v>44531</v>
      </c>
      <c r="J802" s="79">
        <f>EFEITO!$J$802*EFEITO!$Y$752</f>
        <v>0</v>
      </c>
      <c r="K802" s="79">
        <f ca="1">EFEITO!$L$802*EFEITO!$Z$845</f>
        <v>1526.2063230002479</v>
      </c>
      <c r="L802" s="79">
        <f>EFEITO!$N$802*EFEITO!$AA$845</f>
        <v>1551.7646512472395</v>
      </c>
      <c r="M802" s="79">
        <f>$J$802-EFEITO!$K$802*EFEITO!$Y$802</f>
        <v>0</v>
      </c>
      <c r="N802" s="79">
        <f ca="1">$K$802-EFEITO!$M$802*EFEITO!$Z$802</f>
        <v>992.03410995016122</v>
      </c>
      <c r="O802" s="79">
        <f>$L$802-EFEITO!$O$802*EFEITO!$AA$802</f>
        <v>1008.6470233107058</v>
      </c>
      <c r="P802" s="18"/>
      <c r="Q802" s="18"/>
      <c r="R802" s="18"/>
      <c r="S802" s="18"/>
      <c r="T802" s="18"/>
      <c r="U802" s="18"/>
      <c r="V802" s="18"/>
      <c r="W802" s="18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spans="1:36" ht="11.25" customHeight="1" x14ac:dyDescent="0.2">
      <c r="A803" s="70" t="s">
        <v>21</v>
      </c>
      <c r="B803" s="70" t="s">
        <v>22</v>
      </c>
      <c r="C803" s="70" t="s">
        <v>23</v>
      </c>
      <c r="D803" s="70" t="s">
        <v>24</v>
      </c>
      <c r="E803" s="70" t="s">
        <v>29</v>
      </c>
      <c r="F803" s="70" t="s">
        <v>25</v>
      </c>
      <c r="G803" s="70" t="s">
        <v>25</v>
      </c>
      <c r="H803" s="70" t="s">
        <v>25</v>
      </c>
      <c r="I803" s="78">
        <v>44562</v>
      </c>
      <c r="J803" s="79">
        <f>EFEITO!$J$803*EFEITO!$Y$752</f>
        <v>0</v>
      </c>
      <c r="K803" s="79">
        <f ca="1">EFEITO!$L$803*EFEITO!$Z$845</f>
        <v>1549.5964582186425</v>
      </c>
      <c r="L803" s="79">
        <f>EFEITO!$N$803*EFEITO!$AA$845</f>
        <v>1575.5464849828293</v>
      </c>
      <c r="M803" s="79">
        <f>$J$803-EFEITO!$K$803*EFEITO!$Y$803</f>
        <v>0</v>
      </c>
      <c r="N803" s="79">
        <f ca="1">$K$803-EFEITO!$M$803*EFEITO!$Z$803</f>
        <v>1007.2376978421177</v>
      </c>
      <c r="O803" s="79">
        <f>$L$803-EFEITO!$O$803*EFEITO!$AA$803</f>
        <v>1024.105215238839</v>
      </c>
      <c r="P803" s="18"/>
      <c r="Q803" s="18"/>
      <c r="R803" s="18"/>
      <c r="S803" s="18"/>
      <c r="T803" s="18"/>
      <c r="U803" s="18"/>
      <c r="V803" s="18"/>
      <c r="W803" s="18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pans="1:36" ht="11.25" customHeight="1" x14ac:dyDescent="0.2">
      <c r="A804" s="70" t="s">
        <v>21</v>
      </c>
      <c r="B804" s="70" t="s">
        <v>22</v>
      </c>
      <c r="C804" s="70" t="s">
        <v>23</v>
      </c>
      <c r="D804" s="70" t="s">
        <v>24</v>
      </c>
      <c r="E804" s="70" t="s">
        <v>29</v>
      </c>
      <c r="F804" s="70" t="s">
        <v>25</v>
      </c>
      <c r="G804" s="70" t="s">
        <v>25</v>
      </c>
      <c r="H804" s="70" t="s">
        <v>25</v>
      </c>
      <c r="I804" s="78">
        <v>44593</v>
      </c>
      <c r="J804" s="79">
        <f>EFEITO!$J$804*EFEITO!$Y$752</f>
        <v>0</v>
      </c>
      <c r="K804" s="79">
        <f ca="1">EFEITO!$L$804*EFEITO!$Z$845</f>
        <v>2713.2556853337737</v>
      </c>
      <c r="L804" s="79">
        <f>EFEITO!$N$804*EFEITO!$AA$845</f>
        <v>2758.6927133284257</v>
      </c>
      <c r="M804" s="79">
        <f>$J$804-EFEITO!$K$804*EFEITO!$Y$804</f>
        <v>0</v>
      </c>
      <c r="N804" s="79">
        <f ca="1">$K$804-EFEITO!$M$804*EFEITO!$Z$804</f>
        <v>1763.6161954669528</v>
      </c>
      <c r="O804" s="79">
        <f>$L$804-EFEITO!$O$804*EFEITO!$AA$804</f>
        <v>1793.1502636634768</v>
      </c>
      <c r="P804" s="18"/>
      <c r="Q804" s="18"/>
      <c r="R804" s="18"/>
      <c r="S804" s="18"/>
      <c r="T804" s="18"/>
      <c r="U804" s="18"/>
      <c r="V804" s="18"/>
      <c r="W804" s="18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spans="1:36" ht="11.25" customHeight="1" x14ac:dyDescent="0.2">
      <c r="A805" s="70" t="s">
        <v>21</v>
      </c>
      <c r="B805" s="70" t="s">
        <v>22</v>
      </c>
      <c r="C805" s="70" t="s">
        <v>23</v>
      </c>
      <c r="D805" s="70" t="s">
        <v>24</v>
      </c>
      <c r="E805" s="70" t="s">
        <v>29</v>
      </c>
      <c r="F805" s="70" t="s">
        <v>25</v>
      </c>
      <c r="G805" s="70" t="s">
        <v>25</v>
      </c>
      <c r="H805" s="70" t="s">
        <v>25</v>
      </c>
      <c r="I805" s="78">
        <v>44621</v>
      </c>
      <c r="J805" s="79">
        <f>EFEITO!$J$805*EFEITO!$Y$752</f>
        <v>0</v>
      </c>
      <c r="K805" s="79">
        <f ca="1">EFEITO!$L$805*EFEITO!$Z$845</f>
        <v>3386.3068262430788</v>
      </c>
      <c r="L805" s="79">
        <f>EFEITO!$N$805*EFEITO!$AA$845</f>
        <v>3443.0149790700248</v>
      </c>
      <c r="M805" s="79">
        <f>$J$805-EFEITO!$K$805*EFEITO!$Y$805</f>
        <v>0</v>
      </c>
      <c r="N805" s="79">
        <f ca="1">$K$805-EFEITO!$M$805*EFEITO!$Z$805</f>
        <v>2201.0994370580011</v>
      </c>
      <c r="O805" s="79">
        <f>$L$805-EFEITO!$O$805*EFEITO!$AA$805</f>
        <v>2237.9597363955163</v>
      </c>
      <c r="P805" s="18"/>
      <c r="Q805" s="18"/>
      <c r="R805" s="18"/>
      <c r="S805" s="18"/>
      <c r="T805" s="18"/>
      <c r="U805" s="18"/>
      <c r="V805" s="18"/>
      <c r="W805" s="18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spans="1:36" ht="11.25" customHeight="1" x14ac:dyDescent="0.2">
      <c r="A806" s="70" t="s">
        <v>27</v>
      </c>
      <c r="B806" s="70" t="s">
        <v>22</v>
      </c>
      <c r="C806" s="70" t="s">
        <v>23</v>
      </c>
      <c r="D806" s="70" t="s">
        <v>24</v>
      </c>
      <c r="E806" s="70" t="s">
        <v>29</v>
      </c>
      <c r="F806" s="70" t="s">
        <v>25</v>
      </c>
      <c r="G806" s="70" t="s">
        <v>25</v>
      </c>
      <c r="H806" s="70" t="s">
        <v>25</v>
      </c>
      <c r="I806" s="78">
        <v>44621</v>
      </c>
      <c r="J806" s="79">
        <f>EFEITO!$J$806*EFEITO!$Y$752</f>
        <v>0</v>
      </c>
      <c r="K806" s="79">
        <f ca="1">EFEITO!$L$806*EFEITO!$Z$845</f>
        <v>-5.8475338045986502</v>
      </c>
      <c r="L806" s="79">
        <f>EFEITO!$N$806*EFEITO!$AA$845</f>
        <v>-5.9454584338974694</v>
      </c>
      <c r="M806" s="79">
        <f>$J$806-EFEITO!$K$806*EFEITO!$Y$806</f>
        <v>0</v>
      </c>
      <c r="N806" s="79">
        <f ca="1">$K$806-EFEITO!$M$806*EFEITO!$Z$806</f>
        <v>-3.8008969729891229</v>
      </c>
      <c r="O806" s="79">
        <f>$L$806-EFEITO!$O$806*EFEITO!$AA$806</f>
        <v>-3.8645479820333555</v>
      </c>
      <c r="P806" s="18"/>
      <c r="Q806" s="18"/>
      <c r="R806" s="18"/>
      <c r="S806" s="18"/>
      <c r="T806" s="18"/>
      <c r="U806" s="18"/>
      <c r="V806" s="18"/>
      <c r="W806" s="18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spans="1:36" ht="11.25" customHeight="1" x14ac:dyDescent="0.2">
      <c r="A807" s="70" t="s">
        <v>21</v>
      </c>
      <c r="B807" s="70" t="s">
        <v>22</v>
      </c>
      <c r="C807" s="70" t="s">
        <v>23</v>
      </c>
      <c r="D807" s="70" t="s">
        <v>24</v>
      </c>
      <c r="E807" s="70" t="s">
        <v>29</v>
      </c>
      <c r="F807" s="70" t="s">
        <v>25</v>
      </c>
      <c r="G807" s="70" t="s">
        <v>25</v>
      </c>
      <c r="H807" s="70" t="s">
        <v>25</v>
      </c>
      <c r="I807" s="78">
        <v>44652</v>
      </c>
      <c r="J807" s="79">
        <f>EFEITO!$J$807*EFEITO!$Y$752</f>
        <v>0</v>
      </c>
      <c r="K807" s="79">
        <f ca="1">EFEITO!$L$807*EFEITO!$Z$845</f>
        <v>5678.1502420587767</v>
      </c>
      <c r="L807" s="79">
        <f>EFEITO!$N$807*EFEITO!$AA$845</f>
        <v>5773.238321262239</v>
      </c>
      <c r="M807" s="79">
        <f>$J$807-EFEITO!$K$807*EFEITO!$Y$807</f>
        <v>0</v>
      </c>
      <c r="N807" s="79">
        <f ca="1">$K$807-EFEITO!$M$807*EFEITO!$Z$807</f>
        <v>3690.7976573382048</v>
      </c>
      <c r="O807" s="79">
        <f>$L$807-EFEITO!$O$807*EFEITO!$AA$807</f>
        <v>3752.6049088204554</v>
      </c>
      <c r="P807" s="18"/>
      <c r="Q807" s="18"/>
      <c r="R807" s="18"/>
      <c r="S807" s="18"/>
      <c r="T807" s="18"/>
      <c r="U807" s="18"/>
      <c r="V807" s="18"/>
      <c r="W807" s="18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spans="1:36" ht="11.25" customHeight="1" x14ac:dyDescent="0.2">
      <c r="A808" s="70" t="s">
        <v>21</v>
      </c>
      <c r="B808" s="70" t="s">
        <v>22</v>
      </c>
      <c r="C808" s="70" t="s">
        <v>23</v>
      </c>
      <c r="D808" s="70" t="s">
        <v>24</v>
      </c>
      <c r="E808" s="70" t="s">
        <v>29</v>
      </c>
      <c r="F808" s="70" t="s">
        <v>25</v>
      </c>
      <c r="G808" s="70" t="s">
        <v>25</v>
      </c>
      <c r="H808" s="70" t="s">
        <v>25</v>
      </c>
      <c r="I808" s="78">
        <v>44682</v>
      </c>
      <c r="J808" s="79">
        <f>EFEITO!$J$808*EFEITO!$Y$752</f>
        <v>0</v>
      </c>
      <c r="K808" s="79">
        <f ca="1">EFEITO!$L$808*EFEITO!$Z$845</f>
        <v>6119.0542909255146</v>
      </c>
      <c r="L808" s="79">
        <f>EFEITO!$N$808*EFEITO!$AA$845</f>
        <v>6221.5258871781089</v>
      </c>
      <c r="M808" s="79">
        <f>$J$808-EFEITO!$K$808*EFEITO!$Y$808</f>
        <v>0</v>
      </c>
      <c r="N808" s="79">
        <f ca="1">$K$808-EFEITO!$M$808*EFEITO!$Z$808</f>
        <v>3977.3852891015845</v>
      </c>
      <c r="O808" s="79">
        <f>$L$808-EFEITO!$O$808*EFEITO!$AA$808</f>
        <v>4043.991826665771</v>
      </c>
      <c r="P808" s="18"/>
      <c r="Q808" s="18"/>
      <c r="R808" s="18"/>
      <c r="S808" s="18"/>
      <c r="T808" s="18"/>
      <c r="U808" s="18"/>
      <c r="V808" s="18"/>
      <c r="W808" s="18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spans="1:36" ht="11.25" customHeight="1" x14ac:dyDescent="0.2">
      <c r="A809" s="70" t="s">
        <v>21</v>
      </c>
      <c r="B809" s="70" t="s">
        <v>22</v>
      </c>
      <c r="C809" s="70" t="s">
        <v>23</v>
      </c>
      <c r="D809" s="70" t="s">
        <v>24</v>
      </c>
      <c r="E809" s="70" t="s">
        <v>29</v>
      </c>
      <c r="F809" s="70" t="s">
        <v>25</v>
      </c>
      <c r="G809" s="70" t="s">
        <v>25</v>
      </c>
      <c r="H809" s="70" t="s">
        <v>25</v>
      </c>
      <c r="I809" s="78">
        <v>44713</v>
      </c>
      <c r="J809" s="79">
        <f>EFEITO!$J$809*EFEITO!$Y$752</f>
        <v>0</v>
      </c>
      <c r="K809" s="79">
        <f ca="1">EFEITO!$L$809*EFEITO!$Z$845</f>
        <v>6130.1646051542521</v>
      </c>
      <c r="L809" s="79">
        <f>EFEITO!$N$809*EFEITO!$AA$845</f>
        <v>6232.8222582025137</v>
      </c>
      <c r="M809" s="79">
        <f>$J$809-EFEITO!$K$809*EFEITO!$Y$809</f>
        <v>0</v>
      </c>
      <c r="N809" s="79">
        <f ca="1">$K$809-EFEITO!$M$809*EFEITO!$Z$809</f>
        <v>3984.606993350264</v>
      </c>
      <c r="O809" s="79">
        <f>$L$809-EFEITO!$O$809*EFEITO!$AA$809</f>
        <v>4051.3344678316344</v>
      </c>
      <c r="P809" s="18"/>
      <c r="Q809" s="18"/>
      <c r="R809" s="18"/>
      <c r="S809" s="18"/>
      <c r="T809" s="18"/>
      <c r="U809" s="18"/>
      <c r="V809" s="18"/>
      <c r="W809" s="18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spans="1:36" ht="11.25" customHeight="1" x14ac:dyDescent="0.2">
      <c r="A810" s="70" t="s">
        <v>27</v>
      </c>
      <c r="B810" s="70" t="s">
        <v>22</v>
      </c>
      <c r="C810" s="70" t="s">
        <v>23</v>
      </c>
      <c r="D810" s="70" t="s">
        <v>24</v>
      </c>
      <c r="E810" s="70" t="s">
        <v>29</v>
      </c>
      <c r="F810" s="70" t="s">
        <v>25</v>
      </c>
      <c r="G810" s="70" t="s">
        <v>25</v>
      </c>
      <c r="H810" s="70" t="s">
        <v>25</v>
      </c>
      <c r="I810" s="78">
        <v>44713</v>
      </c>
      <c r="J810" s="79">
        <f>EFEITO!$J$810*EFEITO!$Y$752</f>
        <v>0</v>
      </c>
      <c r="K810" s="79">
        <f ca="1">EFEITO!$L$810*EFEITO!$Z$845</f>
        <v>-11.6950676091973</v>
      </c>
      <c r="L810" s="79">
        <f>EFEITO!$N$810*EFEITO!$AA$845</f>
        <v>-11.890916867794939</v>
      </c>
      <c r="M810" s="79">
        <f>$J$810-EFEITO!$K$810*EFEITO!$Y$810</f>
        <v>0</v>
      </c>
      <c r="N810" s="79">
        <f ca="1">$K$810-EFEITO!$M$810*EFEITO!$Z$810</f>
        <v>-7.6017939459782458</v>
      </c>
      <c r="O810" s="79">
        <f>$L$810-EFEITO!$O$810*EFEITO!$AA$810</f>
        <v>-7.729095964066711</v>
      </c>
      <c r="P810" s="18"/>
      <c r="Q810" s="18"/>
      <c r="R810" s="18"/>
      <c r="S810" s="18"/>
      <c r="T810" s="18"/>
      <c r="U810" s="18"/>
      <c r="V810" s="18"/>
      <c r="W810" s="18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spans="1:36" ht="11.25" customHeight="1" x14ac:dyDescent="0.2">
      <c r="A811" s="70" t="s">
        <v>21</v>
      </c>
      <c r="B811" s="70" t="s">
        <v>22</v>
      </c>
      <c r="C811" s="70" t="s">
        <v>23</v>
      </c>
      <c r="D811" s="70" t="s">
        <v>24</v>
      </c>
      <c r="E811" s="70" t="s">
        <v>30</v>
      </c>
      <c r="F811" s="70" t="s">
        <v>25</v>
      </c>
      <c r="G811" s="70" t="s">
        <v>25</v>
      </c>
      <c r="H811" s="70" t="s">
        <v>25</v>
      </c>
      <c r="I811" s="78">
        <v>44378</v>
      </c>
      <c r="J811" s="79">
        <f>EFEITO!$J$811*EFEITO!$Y$752</f>
        <v>0</v>
      </c>
      <c r="K811" s="79">
        <f ca="1">EFEITO!$L$811*EFEITO!$Z$845</f>
        <v>354.16563076519162</v>
      </c>
      <c r="L811" s="79">
        <f>EFEITO!$N$811*EFEITO!$AA$845</f>
        <v>360.09659914639002</v>
      </c>
      <c r="M811" s="79">
        <f>$J$811-EFEITO!$K$811*EFEITO!$Y$811</f>
        <v>0</v>
      </c>
      <c r="N811" s="79">
        <f ca="1">$K$811-EFEITO!$M$811*EFEITO!$Z$811</f>
        <v>141.66625230607667</v>
      </c>
      <c r="O811" s="79">
        <f>$L$811-EFEITO!$O$811*EFEITO!$AA$811</f>
        <v>144.03863965855601</v>
      </c>
      <c r="P811" s="18"/>
      <c r="Q811" s="18"/>
      <c r="R811" s="18"/>
      <c r="S811" s="18"/>
      <c r="T811" s="18"/>
      <c r="U811" s="18"/>
      <c r="V811" s="18"/>
      <c r="W811" s="18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pans="1:36" ht="11.25" customHeight="1" x14ac:dyDescent="0.2">
      <c r="A812" s="70" t="s">
        <v>21</v>
      </c>
      <c r="B812" s="70" t="s">
        <v>22</v>
      </c>
      <c r="C812" s="70" t="s">
        <v>23</v>
      </c>
      <c r="D812" s="70" t="s">
        <v>24</v>
      </c>
      <c r="E812" s="70" t="s">
        <v>30</v>
      </c>
      <c r="F812" s="70" t="s">
        <v>25</v>
      </c>
      <c r="G812" s="70" t="s">
        <v>25</v>
      </c>
      <c r="H812" s="70" t="s">
        <v>25</v>
      </c>
      <c r="I812" s="78">
        <v>44409</v>
      </c>
      <c r="J812" s="79">
        <f>EFEITO!$J$812*EFEITO!$Y$752</f>
        <v>0</v>
      </c>
      <c r="K812" s="79">
        <f ca="1">EFEITO!$L$812*EFEITO!$Z$845</f>
        <v>379.11510833147918</v>
      </c>
      <c r="L812" s="79">
        <f>EFEITO!$N$812*EFEITO!$AA$845</f>
        <v>385.46388846435258</v>
      </c>
      <c r="M812" s="79">
        <f>$J$812-EFEITO!$K$812*EFEITO!$Y$812</f>
        <v>0</v>
      </c>
      <c r="N812" s="79">
        <f ca="1">$K$812-EFEITO!$M$812*EFEITO!$Z$812</f>
        <v>151.64604333259166</v>
      </c>
      <c r="O812" s="79">
        <f>$L$812-EFEITO!$O$812*EFEITO!$AA$812</f>
        <v>154.18555538574103</v>
      </c>
      <c r="P812" s="18"/>
      <c r="Q812" s="18"/>
      <c r="R812" s="18"/>
      <c r="S812" s="18"/>
      <c r="T812" s="18"/>
      <c r="U812" s="18"/>
      <c r="V812" s="18"/>
      <c r="W812" s="18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spans="1:36" ht="11.25" customHeight="1" x14ac:dyDescent="0.2">
      <c r="A813" s="70" t="s">
        <v>21</v>
      </c>
      <c r="B813" s="70" t="s">
        <v>22</v>
      </c>
      <c r="C813" s="70" t="s">
        <v>23</v>
      </c>
      <c r="D813" s="70" t="s">
        <v>24</v>
      </c>
      <c r="E813" s="70" t="s">
        <v>30</v>
      </c>
      <c r="F813" s="70" t="s">
        <v>25</v>
      </c>
      <c r="G813" s="70" t="s">
        <v>25</v>
      </c>
      <c r="H813" s="70" t="s">
        <v>25</v>
      </c>
      <c r="I813" s="78">
        <v>44440</v>
      </c>
      <c r="J813" s="79">
        <f>EFEITO!$J$813*EFEITO!$Y$752</f>
        <v>0</v>
      </c>
      <c r="K813" s="79">
        <f ca="1">EFEITO!$L$813*EFEITO!$Z$845</f>
        <v>331.94500230771678</v>
      </c>
      <c r="L813" s="79">
        <f>EFEITO!$N$813*EFEITO!$AA$845</f>
        <v>337.50385709757967</v>
      </c>
      <c r="M813" s="79">
        <f>$J$813-EFEITO!$K$813*EFEITO!$Y$813</f>
        <v>0</v>
      </c>
      <c r="N813" s="79">
        <f ca="1">$K$813-EFEITO!$M$813*EFEITO!$Z$813</f>
        <v>132.77800092308672</v>
      </c>
      <c r="O813" s="79">
        <f>$L$813-EFEITO!$O$813*EFEITO!$AA$813</f>
        <v>135.00154283903186</v>
      </c>
      <c r="P813" s="18"/>
      <c r="Q813" s="18"/>
      <c r="R813" s="18"/>
      <c r="S813" s="18"/>
      <c r="T813" s="18"/>
      <c r="U813" s="18"/>
      <c r="V813" s="18"/>
      <c r="W813" s="18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spans="1:36" ht="11.25" customHeight="1" x14ac:dyDescent="0.2">
      <c r="A814" s="70" t="s">
        <v>21</v>
      </c>
      <c r="B814" s="70" t="s">
        <v>22</v>
      </c>
      <c r="C814" s="70" t="s">
        <v>23</v>
      </c>
      <c r="D814" s="70" t="s">
        <v>24</v>
      </c>
      <c r="E814" s="70" t="s">
        <v>30</v>
      </c>
      <c r="F814" s="70" t="s">
        <v>25</v>
      </c>
      <c r="G814" s="70" t="s">
        <v>25</v>
      </c>
      <c r="H814" s="70" t="s">
        <v>25</v>
      </c>
      <c r="I814" s="78">
        <v>44470</v>
      </c>
      <c r="J814" s="79">
        <f>EFEITO!$J$814*EFEITO!$Y$752</f>
        <v>0</v>
      </c>
      <c r="K814" s="79">
        <f ca="1">EFEITO!$L$814*EFEITO!$Z$845</f>
        <v>361.76742471116989</v>
      </c>
      <c r="L814" s="79">
        <f>EFEITO!$N$814*EFEITO!$AA$845</f>
        <v>367.82569511045676</v>
      </c>
      <c r="M814" s="79">
        <f>$J$814-EFEITO!$K$814*EFEITO!$Y$814</f>
        <v>0</v>
      </c>
      <c r="N814" s="79">
        <f ca="1">$K$814-EFEITO!$M$814*EFEITO!$Z$814</f>
        <v>144.70696988446798</v>
      </c>
      <c r="O814" s="79">
        <f>$L$814-EFEITO!$O$814*EFEITO!$AA$814</f>
        <v>147.13027804418269</v>
      </c>
      <c r="P814" s="18"/>
      <c r="Q814" s="18"/>
      <c r="R814" s="18"/>
      <c r="S814" s="18"/>
      <c r="T814" s="18"/>
      <c r="U814" s="18"/>
      <c r="V814" s="18"/>
      <c r="W814" s="18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spans="1:36" ht="11.25" customHeight="1" x14ac:dyDescent="0.2">
      <c r="A815" s="70" t="s">
        <v>21</v>
      </c>
      <c r="B815" s="70" t="s">
        <v>22</v>
      </c>
      <c r="C815" s="70" t="s">
        <v>23</v>
      </c>
      <c r="D815" s="70" t="s">
        <v>24</v>
      </c>
      <c r="E815" s="70" t="s">
        <v>30</v>
      </c>
      <c r="F815" s="70" t="s">
        <v>25</v>
      </c>
      <c r="G815" s="70" t="s">
        <v>25</v>
      </c>
      <c r="H815" s="70" t="s">
        <v>25</v>
      </c>
      <c r="I815" s="78">
        <v>44501</v>
      </c>
      <c r="J815" s="79">
        <f>EFEITO!$J$815*EFEITO!$Y$752</f>
        <v>0</v>
      </c>
      <c r="K815" s="79">
        <f ca="1">EFEITO!$L$815*EFEITO!$Z$845</f>
        <v>339.54679625369499</v>
      </c>
      <c r="L815" s="79">
        <f>EFEITO!$N$815*EFEITO!$AA$845</f>
        <v>345.23295306164636</v>
      </c>
      <c r="M815" s="79">
        <f>$J$815-EFEITO!$K$815*EFEITO!$Y$815</f>
        <v>0</v>
      </c>
      <c r="N815" s="79">
        <f ca="1">$K$815-EFEITO!$M$815*EFEITO!$Z$815</f>
        <v>135.818718501478</v>
      </c>
      <c r="O815" s="79">
        <f>$L$815-EFEITO!$O$815*EFEITO!$AA$815</f>
        <v>138.09318122465854</v>
      </c>
      <c r="P815" s="18"/>
      <c r="Q815" s="18"/>
      <c r="R815" s="18"/>
      <c r="S815" s="18"/>
      <c r="T815" s="18"/>
      <c r="U815" s="18"/>
      <c r="V815" s="18"/>
      <c r="W815" s="18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spans="1:36" ht="11.25" customHeight="1" x14ac:dyDescent="0.2">
      <c r="A816" s="70" t="s">
        <v>27</v>
      </c>
      <c r="B816" s="70" t="s">
        <v>22</v>
      </c>
      <c r="C816" s="70" t="s">
        <v>23</v>
      </c>
      <c r="D816" s="70" t="s">
        <v>24</v>
      </c>
      <c r="E816" s="70" t="s">
        <v>30</v>
      </c>
      <c r="F816" s="70" t="s">
        <v>25</v>
      </c>
      <c r="G816" s="70" t="s">
        <v>25</v>
      </c>
      <c r="H816" s="70" t="s">
        <v>25</v>
      </c>
      <c r="I816" s="78">
        <v>44501</v>
      </c>
      <c r="J816" s="79">
        <f>EFEITO!$J$816*EFEITO!$Y$752</f>
        <v>0</v>
      </c>
      <c r="K816" s="79">
        <f ca="1">EFEITO!$L$816*EFEITO!$Z$845</f>
        <v>-32.356353718779204</v>
      </c>
      <c r="L816" s="79">
        <f>EFEITO!$N$816*EFEITO!$AA$845</f>
        <v>-32.898203334232662</v>
      </c>
      <c r="M816" s="79">
        <f>$J$816-EFEITO!$K$816*EFEITO!$Y$816</f>
        <v>0</v>
      </c>
      <c r="N816" s="79">
        <f ca="1">$K$816-EFEITO!$M$816*EFEITO!$Z$816</f>
        <v>-12.942541487511683</v>
      </c>
      <c r="O816" s="79">
        <f>$L$816-EFEITO!$O$816*EFEITO!$AA$816</f>
        <v>-13.159281333693063</v>
      </c>
      <c r="P816" s="18"/>
      <c r="Q816" s="18"/>
      <c r="R816" s="18"/>
      <c r="S816" s="18"/>
      <c r="T816" s="18"/>
      <c r="U816" s="18"/>
      <c r="V816" s="18"/>
      <c r="W816" s="18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spans="1:36" ht="11.25" customHeight="1" x14ac:dyDescent="0.2">
      <c r="A817" s="70" t="s">
        <v>21</v>
      </c>
      <c r="B817" s="70" t="s">
        <v>22</v>
      </c>
      <c r="C817" s="70" t="s">
        <v>23</v>
      </c>
      <c r="D817" s="70" t="s">
        <v>24</v>
      </c>
      <c r="E817" s="70" t="s">
        <v>30</v>
      </c>
      <c r="F817" s="70" t="s">
        <v>25</v>
      </c>
      <c r="G817" s="70" t="s">
        <v>25</v>
      </c>
      <c r="H817" s="70" t="s">
        <v>25</v>
      </c>
      <c r="I817" s="78">
        <v>44531</v>
      </c>
      <c r="J817" s="79">
        <f>EFEITO!$J$817*EFEITO!$Y$752</f>
        <v>0</v>
      </c>
      <c r="K817" s="79">
        <f ca="1">EFEITO!$L$817*EFEITO!$Z$845</f>
        <v>397.63229871270823</v>
      </c>
      <c r="L817" s="79">
        <f>EFEITO!$N$817*EFEITO!$AA$845</f>
        <v>404.29117350502793</v>
      </c>
      <c r="M817" s="79">
        <f>$J$817-EFEITO!$K$817*EFEITO!$Y$817</f>
        <v>0</v>
      </c>
      <c r="N817" s="79">
        <f ca="1">$K$817-EFEITO!$M$817*EFEITO!$Z$817</f>
        <v>159.05291948508329</v>
      </c>
      <c r="O817" s="79">
        <f>$L$817-EFEITO!$O$817*EFEITO!$AA$817</f>
        <v>161.7164694020112</v>
      </c>
      <c r="P817" s="18"/>
      <c r="Q817" s="18"/>
      <c r="R817" s="18"/>
      <c r="S817" s="18"/>
      <c r="T817" s="18"/>
      <c r="U817" s="18"/>
      <c r="V817" s="18"/>
      <c r="W817" s="18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spans="1:36" ht="11.25" customHeight="1" x14ac:dyDescent="0.2">
      <c r="A818" s="70" t="s">
        <v>21</v>
      </c>
      <c r="B818" s="70" t="s">
        <v>22</v>
      </c>
      <c r="C818" s="70" t="s">
        <v>23</v>
      </c>
      <c r="D818" s="70" t="s">
        <v>24</v>
      </c>
      <c r="E818" s="70" t="s">
        <v>30</v>
      </c>
      <c r="F818" s="70" t="s">
        <v>25</v>
      </c>
      <c r="G818" s="70" t="s">
        <v>25</v>
      </c>
      <c r="H818" s="70" t="s">
        <v>25</v>
      </c>
      <c r="I818" s="78">
        <v>44562</v>
      </c>
      <c r="J818" s="79">
        <f>EFEITO!$J$818*EFEITO!$Y$752</f>
        <v>0</v>
      </c>
      <c r="K818" s="79">
        <f ca="1">EFEITO!$L$818*EFEITO!$Z$845</f>
        <v>2196.5286148007399</v>
      </c>
      <c r="L818" s="79">
        <f>EFEITO!$N$818*EFEITO!$AA$845</f>
        <v>2233.3123697196861</v>
      </c>
      <c r="M818" s="79">
        <f>$J$818-EFEITO!$K$818*EFEITO!$Y$818</f>
        <v>0</v>
      </c>
      <c r="N818" s="79">
        <f ca="1">$K$818-EFEITO!$M$818*EFEITO!$Z$818</f>
        <v>878.61144592029609</v>
      </c>
      <c r="O818" s="79">
        <f>$L$818-EFEITO!$O$818*EFEITO!$AA$818</f>
        <v>893.32494788787449</v>
      </c>
      <c r="P818" s="18"/>
      <c r="Q818" s="18"/>
      <c r="R818" s="18"/>
      <c r="S818" s="18"/>
      <c r="T818" s="18"/>
      <c r="U818" s="18"/>
      <c r="V818" s="18"/>
      <c r="W818" s="18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spans="1:36" ht="11.25" customHeight="1" x14ac:dyDescent="0.2">
      <c r="A819" s="70" t="s">
        <v>21</v>
      </c>
      <c r="B819" s="70" t="s">
        <v>22</v>
      </c>
      <c r="C819" s="70" t="s">
        <v>23</v>
      </c>
      <c r="D819" s="70" t="s">
        <v>24</v>
      </c>
      <c r="E819" s="70" t="s">
        <v>30</v>
      </c>
      <c r="F819" s="70" t="s">
        <v>25</v>
      </c>
      <c r="G819" s="70" t="s">
        <v>25</v>
      </c>
      <c r="H819" s="70" t="s">
        <v>25</v>
      </c>
      <c r="I819" s="78">
        <v>44593</v>
      </c>
      <c r="J819" s="79">
        <f>EFEITO!$J$819*EFEITO!$Y$752</f>
        <v>0</v>
      </c>
      <c r="K819" s="79">
        <f ca="1">EFEITO!$L$819*EFEITO!$Z$845</f>
        <v>590.01616088400385</v>
      </c>
      <c r="L819" s="79">
        <f>EFEITO!$N$819*EFEITO!$AA$845</f>
        <v>599.89675598025462</v>
      </c>
      <c r="M819" s="79">
        <f>$J$819-EFEITO!$K$819*EFEITO!$Y$819</f>
        <v>0</v>
      </c>
      <c r="N819" s="79">
        <f ca="1">$K$819-EFEITO!$M$819*EFEITO!$Z$819</f>
        <v>236.00646435360153</v>
      </c>
      <c r="O819" s="79">
        <f>$L$819-EFEITO!$O$819*EFEITO!$AA$819</f>
        <v>239.95870239210183</v>
      </c>
      <c r="P819" s="18"/>
      <c r="Q819" s="18"/>
      <c r="R819" s="18"/>
      <c r="S819" s="18"/>
      <c r="T819" s="18"/>
      <c r="U819" s="18"/>
      <c r="V819" s="18"/>
      <c r="W819" s="18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spans="1:36" ht="11.25" customHeight="1" x14ac:dyDescent="0.2">
      <c r="A820" s="70" t="s">
        <v>21</v>
      </c>
      <c r="B820" s="70" t="s">
        <v>22</v>
      </c>
      <c r="C820" s="70" t="s">
        <v>23</v>
      </c>
      <c r="D820" s="70" t="s">
        <v>24</v>
      </c>
      <c r="E820" s="70" t="s">
        <v>30</v>
      </c>
      <c r="F820" s="70" t="s">
        <v>25</v>
      </c>
      <c r="G820" s="70" t="s">
        <v>25</v>
      </c>
      <c r="H820" s="70" t="s">
        <v>25</v>
      </c>
      <c r="I820" s="78">
        <v>44621</v>
      </c>
      <c r="J820" s="79">
        <f>EFEITO!$J$820*EFEITO!$Y$752</f>
        <v>0</v>
      </c>
      <c r="K820" s="79">
        <f ca="1">EFEITO!$L$820*EFEITO!$Z$845</f>
        <v>921.37640981126083</v>
      </c>
      <c r="L820" s="79">
        <f>EFEITO!$N$820*EFEITO!$AA$845</f>
        <v>936.80606723444464</v>
      </c>
      <c r="M820" s="79">
        <f>$J$820-EFEITO!$K$820*EFEITO!$Y$820</f>
        <v>0</v>
      </c>
      <c r="N820" s="79">
        <f ca="1">$K$820-EFEITO!$M$820*EFEITO!$Z$820</f>
        <v>368.55056392450433</v>
      </c>
      <c r="O820" s="79">
        <f>$L$820-EFEITO!$O$820*EFEITO!$AA$820</f>
        <v>374.72242689377788</v>
      </c>
      <c r="P820" s="18"/>
      <c r="Q820" s="18"/>
      <c r="R820" s="18"/>
      <c r="S820" s="18"/>
      <c r="T820" s="18"/>
      <c r="U820" s="18"/>
      <c r="V820" s="18"/>
      <c r="W820" s="18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spans="1:36" ht="11.25" customHeight="1" x14ac:dyDescent="0.2">
      <c r="A821" s="70" t="s">
        <v>28</v>
      </c>
      <c r="B821" s="70" t="s">
        <v>22</v>
      </c>
      <c r="C821" s="70" t="s">
        <v>23</v>
      </c>
      <c r="D821" s="70" t="s">
        <v>24</v>
      </c>
      <c r="E821" s="70" t="s">
        <v>30</v>
      </c>
      <c r="F821" s="70" t="s">
        <v>25</v>
      </c>
      <c r="G821" s="70" t="s">
        <v>25</v>
      </c>
      <c r="H821" s="70" t="s">
        <v>25</v>
      </c>
      <c r="I821" s="78">
        <v>44621</v>
      </c>
      <c r="J821" s="79">
        <f>EFEITO!$J$821*EFEITO!$Y$752</f>
        <v>0</v>
      </c>
      <c r="K821" s="79">
        <f ca="1">EFEITO!$L$821*EFEITO!$Z$845</f>
        <v>5.8475338045986502</v>
      </c>
      <c r="L821" s="79">
        <f>EFEITO!$N$821*EFEITO!$AA$845</f>
        <v>5.9454584338974694</v>
      </c>
      <c r="M821" s="79">
        <f>$J$821-EFEITO!$K$821*EFEITO!$Y$821</f>
        <v>0</v>
      </c>
      <c r="N821" s="79">
        <f ca="1">$K$821-EFEITO!$M$821*EFEITO!$Z$821</f>
        <v>2.3390135218394601</v>
      </c>
      <c r="O821" s="79">
        <f>$L$821-EFEITO!$O$821*EFEITO!$AA$821</f>
        <v>2.3781833735589881</v>
      </c>
      <c r="P821" s="18"/>
      <c r="Q821" s="18"/>
      <c r="R821" s="18"/>
      <c r="S821" s="18"/>
      <c r="T821" s="18"/>
      <c r="U821" s="18"/>
      <c r="V821" s="18"/>
      <c r="W821" s="18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pans="1:36" ht="11.25" customHeight="1" x14ac:dyDescent="0.2">
      <c r="A822" s="70" t="s">
        <v>21</v>
      </c>
      <c r="B822" s="70" t="s">
        <v>22</v>
      </c>
      <c r="C822" s="70" t="s">
        <v>23</v>
      </c>
      <c r="D822" s="70" t="s">
        <v>24</v>
      </c>
      <c r="E822" s="70" t="s">
        <v>30</v>
      </c>
      <c r="F822" s="70" t="s">
        <v>25</v>
      </c>
      <c r="G822" s="70" t="s">
        <v>25</v>
      </c>
      <c r="H822" s="70" t="s">
        <v>25</v>
      </c>
      <c r="I822" s="78">
        <v>44652</v>
      </c>
      <c r="J822" s="79">
        <f>EFEITO!$J$822*EFEITO!$Y$752</f>
        <v>0</v>
      </c>
      <c r="K822" s="79">
        <f ca="1">EFEITO!$L$822*EFEITO!$Z$845</f>
        <v>1823.6508758608325</v>
      </c>
      <c r="L822" s="79">
        <f>EFEITO!$N$822*EFEITO!$AA$845</f>
        <v>1854.1903035848241</v>
      </c>
      <c r="M822" s="79">
        <f>$J$822-EFEITO!$K$822*EFEITO!$Y$822</f>
        <v>0</v>
      </c>
      <c r="N822" s="79">
        <f ca="1">$K$822-EFEITO!$M$822*EFEITO!$Z$822</f>
        <v>729.46035034433294</v>
      </c>
      <c r="O822" s="79">
        <f>$L$822-EFEITO!$O$822*EFEITO!$AA$822</f>
        <v>741.67612143392967</v>
      </c>
      <c r="P822" s="18"/>
      <c r="Q822" s="18"/>
      <c r="R822" s="18"/>
      <c r="S822" s="18"/>
      <c r="T822" s="18"/>
      <c r="U822" s="18"/>
      <c r="V822" s="18"/>
      <c r="W822" s="18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spans="1:36" ht="11.25" customHeight="1" x14ac:dyDescent="0.2">
      <c r="A823" s="70" t="s">
        <v>21</v>
      </c>
      <c r="B823" s="70" t="s">
        <v>22</v>
      </c>
      <c r="C823" s="70" t="s">
        <v>23</v>
      </c>
      <c r="D823" s="70" t="s">
        <v>24</v>
      </c>
      <c r="E823" s="70" t="s">
        <v>30</v>
      </c>
      <c r="F823" s="70" t="s">
        <v>25</v>
      </c>
      <c r="G823" s="70" t="s">
        <v>25</v>
      </c>
      <c r="H823" s="70" t="s">
        <v>25</v>
      </c>
      <c r="I823" s="78">
        <v>44682</v>
      </c>
      <c r="J823" s="79">
        <f>EFEITO!$J$823*EFEITO!$Y$752</f>
        <v>0</v>
      </c>
      <c r="K823" s="79">
        <f ca="1">EFEITO!$L$823*EFEITO!$Z$845</f>
        <v>2131.6209895696948</v>
      </c>
      <c r="L823" s="79">
        <f>EFEITO!$N$823*EFEITO!$AA$845</f>
        <v>2167.3177811034243</v>
      </c>
      <c r="M823" s="79">
        <f>$J$823-EFEITO!$K$823*EFEITO!$Y$823</f>
        <v>0</v>
      </c>
      <c r="N823" s="79">
        <f ca="1">$K$823-EFEITO!$M$823*EFEITO!$Z$823</f>
        <v>852.64839582787795</v>
      </c>
      <c r="O823" s="79">
        <f>$L$823-EFEITO!$O$823*EFEITO!$AA$823</f>
        <v>866.9271124413699</v>
      </c>
      <c r="P823" s="18"/>
      <c r="Q823" s="18"/>
      <c r="R823" s="18"/>
      <c r="S823" s="18"/>
      <c r="T823" s="18"/>
      <c r="U823" s="18"/>
      <c r="V823" s="18"/>
      <c r="W823" s="18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spans="1:36" ht="11.25" customHeight="1" x14ac:dyDescent="0.2">
      <c r="A824" s="70" t="s">
        <v>21</v>
      </c>
      <c r="B824" s="70" t="s">
        <v>22</v>
      </c>
      <c r="C824" s="70" t="s">
        <v>23</v>
      </c>
      <c r="D824" s="70" t="s">
        <v>24</v>
      </c>
      <c r="E824" s="70" t="s">
        <v>30</v>
      </c>
      <c r="F824" s="70" t="s">
        <v>25</v>
      </c>
      <c r="G824" s="70" t="s">
        <v>25</v>
      </c>
      <c r="H824" s="70" t="s">
        <v>25</v>
      </c>
      <c r="I824" s="78">
        <v>44713</v>
      </c>
      <c r="J824" s="79">
        <f>EFEITO!$J$824*EFEITO!$Y$752</f>
        <v>0</v>
      </c>
      <c r="K824" s="79">
        <f ca="1">EFEITO!$L$824*EFEITO!$Z$845</f>
        <v>1918.1860057018439</v>
      </c>
      <c r="L824" s="79">
        <f>EFEITO!$N$824*EFEITO!$AA$845</f>
        <v>1950.3085482661663</v>
      </c>
      <c r="M824" s="79">
        <f>$J$824-EFEITO!$K$824*EFEITO!$Y$824</f>
        <v>0</v>
      </c>
      <c r="N824" s="79">
        <f ca="1">$K$824-EFEITO!$M$824*EFEITO!$Z$824</f>
        <v>767.2744022807376</v>
      </c>
      <c r="O824" s="79">
        <f>$L$824-EFEITO!$O$824*EFEITO!$AA$824</f>
        <v>780.12341930646653</v>
      </c>
      <c r="P824" s="18"/>
      <c r="Q824" s="18"/>
      <c r="R824" s="18"/>
      <c r="S824" s="18"/>
      <c r="T824" s="18"/>
      <c r="U824" s="18"/>
      <c r="V824" s="18"/>
      <c r="W824" s="18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spans="1:36" ht="11.25" customHeight="1" x14ac:dyDescent="0.2">
      <c r="A825" s="70" t="s">
        <v>21</v>
      </c>
      <c r="B825" s="70" t="s">
        <v>22</v>
      </c>
      <c r="C825" s="70" t="s">
        <v>23</v>
      </c>
      <c r="D825" s="70" t="s">
        <v>24</v>
      </c>
      <c r="E825" s="70" t="s">
        <v>31</v>
      </c>
      <c r="F825" s="70" t="s">
        <v>25</v>
      </c>
      <c r="G825" s="70" t="s">
        <v>25</v>
      </c>
      <c r="H825" s="70" t="s">
        <v>25</v>
      </c>
      <c r="I825" s="78">
        <v>44378</v>
      </c>
      <c r="J825" s="79">
        <f>EFEITO!$J$825*EFEITO!$Y$752</f>
        <v>0</v>
      </c>
      <c r="K825" s="79">
        <f ca="1">EFEITO!$L$825*EFEITO!$Z$845</f>
        <v>3921.3561693638549</v>
      </c>
      <c r="L825" s="79">
        <f>EFEITO!$N$825*EFEITO!$AA$845</f>
        <v>3987.0244257716427</v>
      </c>
      <c r="M825" s="79">
        <f>$J$825-EFEITO!$K$825*EFEITO!$Y$825</f>
        <v>0</v>
      </c>
      <c r="N825" s="79">
        <f ca="1">$K$825-EFEITO!$M$825*EFEITO!$Z$825</f>
        <v>392.1356169363853</v>
      </c>
      <c r="O825" s="79">
        <f>$L$825-EFEITO!$O$825*EFEITO!$AA$825</f>
        <v>398.70244257716422</v>
      </c>
      <c r="P825" s="18"/>
      <c r="Q825" s="18"/>
      <c r="R825" s="18"/>
      <c r="S825" s="18"/>
      <c r="T825" s="18"/>
      <c r="U825" s="18"/>
      <c r="V825" s="18"/>
      <c r="W825" s="18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spans="1:36" ht="11.25" customHeight="1" x14ac:dyDescent="0.2">
      <c r="A826" s="70" t="s">
        <v>21</v>
      </c>
      <c r="B826" s="70" t="s">
        <v>22</v>
      </c>
      <c r="C826" s="70" t="s">
        <v>23</v>
      </c>
      <c r="D826" s="70" t="s">
        <v>24</v>
      </c>
      <c r="E826" s="70" t="s">
        <v>31</v>
      </c>
      <c r="F826" s="70" t="s">
        <v>25</v>
      </c>
      <c r="G826" s="70" t="s">
        <v>25</v>
      </c>
      <c r="H826" s="70" t="s">
        <v>25</v>
      </c>
      <c r="I826" s="78">
        <v>44409</v>
      </c>
      <c r="J826" s="79">
        <f>EFEITO!$J$826*EFEITO!$Y$752</f>
        <v>0</v>
      </c>
      <c r="K826" s="79">
        <f ca="1">EFEITO!$L$826*EFEITO!$Z$845</f>
        <v>4150.3845767106359</v>
      </c>
      <c r="L826" s="79">
        <f>EFEITO!$N$826*EFEITO!$AA$845</f>
        <v>4219.8882144326271</v>
      </c>
      <c r="M826" s="79">
        <f>$J$826-EFEITO!$K$826*EFEITO!$Y$826</f>
        <v>0</v>
      </c>
      <c r="N826" s="79">
        <f ca="1">$K$826-EFEITO!$M$826*EFEITO!$Z$826</f>
        <v>415.03845767106395</v>
      </c>
      <c r="O826" s="79">
        <f>$L$826-EFEITO!$O$826*EFEITO!$AA$826</f>
        <v>421.98882144326308</v>
      </c>
      <c r="P826" s="18"/>
      <c r="Q826" s="18"/>
      <c r="R826" s="18"/>
      <c r="S826" s="18"/>
      <c r="T826" s="18"/>
      <c r="U826" s="18"/>
      <c r="V826" s="18"/>
      <c r="W826" s="18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spans="1:36" ht="11.25" customHeight="1" x14ac:dyDescent="0.2">
      <c r="A827" s="70" t="s">
        <v>21</v>
      </c>
      <c r="B827" s="70" t="s">
        <v>22</v>
      </c>
      <c r="C827" s="70" t="s">
        <v>23</v>
      </c>
      <c r="D827" s="70" t="s">
        <v>24</v>
      </c>
      <c r="E827" s="70" t="s">
        <v>31</v>
      </c>
      <c r="F827" s="70" t="s">
        <v>25</v>
      </c>
      <c r="G827" s="70" t="s">
        <v>25</v>
      </c>
      <c r="H827" s="70" t="s">
        <v>25</v>
      </c>
      <c r="I827" s="78">
        <v>44440</v>
      </c>
      <c r="J827" s="79">
        <f>EFEITO!$J$827*EFEITO!$Y$752</f>
        <v>0</v>
      </c>
      <c r="K827" s="79">
        <f ca="1">EFEITO!$L$827*EFEITO!$Z$845</f>
        <v>4387.7944491773405</v>
      </c>
      <c r="L827" s="79">
        <f>EFEITO!$N$827*EFEITO!$AA$845</f>
        <v>4461.2738268488638</v>
      </c>
      <c r="M827" s="79">
        <f>$J$827-EFEITO!$K$827*EFEITO!$Y$827</f>
        <v>0</v>
      </c>
      <c r="N827" s="79">
        <f ca="1">$K$827-EFEITO!$M$827*EFEITO!$Z$827</f>
        <v>438.7794449177336</v>
      </c>
      <c r="O827" s="79">
        <f>$L$827-EFEITO!$O$827*EFEITO!$AA$827</f>
        <v>446.12738268488602</v>
      </c>
      <c r="P827" s="18"/>
      <c r="Q827" s="18"/>
      <c r="R827" s="18"/>
      <c r="S827" s="18"/>
      <c r="T827" s="18"/>
      <c r="U827" s="18"/>
      <c r="V827" s="18"/>
      <c r="W827" s="18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spans="1:36" ht="11.25" customHeight="1" x14ac:dyDescent="0.2">
      <c r="A828" s="70" t="s">
        <v>21</v>
      </c>
      <c r="B828" s="70" t="s">
        <v>22</v>
      </c>
      <c r="C828" s="70" t="s">
        <v>23</v>
      </c>
      <c r="D828" s="70" t="s">
        <v>24</v>
      </c>
      <c r="E828" s="70" t="s">
        <v>31</v>
      </c>
      <c r="F828" s="70" t="s">
        <v>25</v>
      </c>
      <c r="G828" s="70" t="s">
        <v>25</v>
      </c>
      <c r="H828" s="70" t="s">
        <v>25</v>
      </c>
      <c r="I828" s="78">
        <v>44470</v>
      </c>
      <c r="J828" s="79">
        <f>EFEITO!$J$828*EFEITO!$Y$752</f>
        <v>0</v>
      </c>
      <c r="K828" s="79">
        <f ca="1">EFEITO!$L$828*EFEITO!$Z$845</f>
        <v>4313.3358520654519</v>
      </c>
      <c r="L828" s="79">
        <f>EFEITO!$N$828*EFEITO!$AA$845</f>
        <v>4385.5683227905702</v>
      </c>
      <c r="M828" s="79">
        <f>$J$828-EFEITO!$K$828*EFEITO!$Y$828</f>
        <v>0</v>
      </c>
      <c r="N828" s="79">
        <f ca="1">$K$828-EFEITO!$M$828*EFEITO!$Z$828</f>
        <v>431.33358520654519</v>
      </c>
      <c r="O828" s="79">
        <f>$L$828-EFEITO!$O$828*EFEITO!$AA$828</f>
        <v>438.55683227905683</v>
      </c>
      <c r="P828" s="18"/>
      <c r="Q828" s="18"/>
      <c r="R828" s="18"/>
      <c r="S828" s="18"/>
      <c r="T828" s="18"/>
      <c r="U828" s="18"/>
      <c r="V828" s="18"/>
      <c r="W828" s="18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spans="1:36" ht="11.25" customHeight="1" x14ac:dyDescent="0.2">
      <c r="A829" s="70" t="s">
        <v>21</v>
      </c>
      <c r="B829" s="70" t="s">
        <v>22</v>
      </c>
      <c r="C829" s="70" t="s">
        <v>23</v>
      </c>
      <c r="D829" s="70" t="s">
        <v>24</v>
      </c>
      <c r="E829" s="70" t="s">
        <v>31</v>
      </c>
      <c r="F829" s="70" t="s">
        <v>25</v>
      </c>
      <c r="G829" s="70" t="s">
        <v>25</v>
      </c>
      <c r="H829" s="70" t="s">
        <v>25</v>
      </c>
      <c r="I829" s="78">
        <v>44501</v>
      </c>
      <c r="J829" s="79">
        <f>EFEITO!$J$829*EFEITO!$Y$752</f>
        <v>0</v>
      </c>
      <c r="K829" s="79">
        <f ca="1">EFEITO!$L$829*EFEITO!$Z$845</f>
        <v>4515.2706861175911</v>
      </c>
      <c r="L829" s="79">
        <f>EFEITO!$N$829*EFEITO!$AA$845</f>
        <v>4590.884820707829</v>
      </c>
      <c r="M829" s="79">
        <f>$J$829-EFEITO!$K$829*EFEITO!$Y$829</f>
        <v>0</v>
      </c>
      <c r="N829" s="79">
        <f ca="1">$K$829-EFEITO!$M$829*EFEITO!$Z$829</f>
        <v>451.52706861175875</v>
      </c>
      <c r="O829" s="79">
        <f>$L$829-EFEITO!$O$829*EFEITO!$AA$829</f>
        <v>459.08848207078245</v>
      </c>
      <c r="P829" s="18"/>
      <c r="Q829" s="18"/>
      <c r="R829" s="18"/>
      <c r="S829" s="18"/>
      <c r="T829" s="18"/>
      <c r="U829" s="18"/>
      <c r="V829" s="18"/>
      <c r="W829" s="18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spans="1:36" ht="11.25" customHeight="1" x14ac:dyDescent="0.2">
      <c r="A830" s="70" t="s">
        <v>27</v>
      </c>
      <c r="B830" s="70" t="s">
        <v>22</v>
      </c>
      <c r="C830" s="70" t="s">
        <v>23</v>
      </c>
      <c r="D830" s="70" t="s">
        <v>24</v>
      </c>
      <c r="E830" s="70" t="s">
        <v>31</v>
      </c>
      <c r="F830" s="70" t="s">
        <v>25</v>
      </c>
      <c r="G830" s="70" t="s">
        <v>25</v>
      </c>
      <c r="H830" s="70" t="s">
        <v>25</v>
      </c>
      <c r="I830" s="78">
        <v>44501</v>
      </c>
      <c r="J830" s="79">
        <f>EFEITO!$J$830*EFEITO!$Y$752</f>
        <v>0</v>
      </c>
      <c r="K830" s="79">
        <f ca="1">EFEITO!$L$830*EFEITO!$Z$845</f>
        <v>-133.9085241253091</v>
      </c>
      <c r="L830" s="79">
        <f>EFEITO!$N$830*EFEITO!$AA$845</f>
        <v>-136.15099813625204</v>
      </c>
      <c r="M830" s="79">
        <f>$J$830-EFEITO!$K$830*EFEITO!$Y$830</f>
        <v>0</v>
      </c>
      <c r="N830" s="79">
        <f ca="1">$K$830-EFEITO!$M$830*EFEITO!$Z$830</f>
        <v>-13.39085241253089</v>
      </c>
      <c r="O830" s="79">
        <f>$L$830-EFEITO!$O$830*EFEITO!$AA$830</f>
        <v>-13.615099813625193</v>
      </c>
      <c r="P830" s="18"/>
      <c r="Q830" s="18"/>
      <c r="R830" s="18"/>
      <c r="S830" s="18"/>
      <c r="T830" s="18"/>
      <c r="U830" s="18"/>
      <c r="V830" s="18"/>
      <c r="W830" s="18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spans="1:36" ht="11.25" customHeight="1" x14ac:dyDescent="0.2">
      <c r="A831" s="70" t="s">
        <v>28</v>
      </c>
      <c r="B831" s="70" t="s">
        <v>22</v>
      </c>
      <c r="C831" s="70" t="s">
        <v>23</v>
      </c>
      <c r="D831" s="70" t="s">
        <v>24</v>
      </c>
      <c r="E831" s="70" t="s">
        <v>31</v>
      </c>
      <c r="F831" s="70" t="s">
        <v>25</v>
      </c>
      <c r="G831" s="70" t="s">
        <v>25</v>
      </c>
      <c r="H831" s="70" t="s">
        <v>25</v>
      </c>
      <c r="I831" s="78">
        <v>44501</v>
      </c>
      <c r="J831" s="79">
        <f>EFEITO!$J$831*EFEITO!$Y$752</f>
        <v>0</v>
      </c>
      <c r="K831" s="79">
        <f ca="1">EFEITO!$L$831*EFEITO!$Z$845</f>
        <v>5.8475338045986502</v>
      </c>
      <c r="L831" s="79">
        <f>EFEITO!$N$831*EFEITO!$AA$845</f>
        <v>5.9454584338974694</v>
      </c>
      <c r="M831" s="79">
        <f>$J$831-EFEITO!$K$831*EFEITO!$Y$831</f>
        <v>0</v>
      </c>
      <c r="N831" s="79">
        <f ca="1">$K$831-EFEITO!$M$831*EFEITO!$Z$831</f>
        <v>0.58475338045986458</v>
      </c>
      <c r="O831" s="79">
        <f>$L$831-EFEITO!$O$831*EFEITO!$AA$831</f>
        <v>0.59454584338974747</v>
      </c>
      <c r="P831" s="18"/>
      <c r="Q831" s="18"/>
      <c r="R831" s="18"/>
      <c r="S831" s="18"/>
      <c r="T831" s="18"/>
      <c r="U831" s="18"/>
      <c r="V831" s="18"/>
      <c r="W831" s="18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spans="1:36" ht="11.25" customHeight="1" x14ac:dyDescent="0.2">
      <c r="A832" s="70" t="s">
        <v>21</v>
      </c>
      <c r="B832" s="70" t="s">
        <v>22</v>
      </c>
      <c r="C832" s="70" t="s">
        <v>23</v>
      </c>
      <c r="D832" s="70" t="s">
        <v>24</v>
      </c>
      <c r="E832" s="70" t="s">
        <v>31</v>
      </c>
      <c r="F832" s="70" t="s">
        <v>25</v>
      </c>
      <c r="G832" s="70" t="s">
        <v>25</v>
      </c>
      <c r="H832" s="70" t="s">
        <v>25</v>
      </c>
      <c r="I832" s="78">
        <v>44531</v>
      </c>
      <c r="J832" s="79">
        <f>EFEITO!$J$832*EFEITO!$Y$752</f>
        <v>0</v>
      </c>
      <c r="K832" s="79">
        <f ca="1">EFEITO!$L$832*EFEITO!$Z$845</f>
        <v>4461.668292908771</v>
      </c>
      <c r="L832" s="79">
        <f>EFEITO!$N$832*EFEITO!$AA$845</f>
        <v>4536.3847850637694</v>
      </c>
      <c r="M832" s="79">
        <f>$J$832-EFEITO!$K$832*EFEITO!$Y$832</f>
        <v>0</v>
      </c>
      <c r="N832" s="79">
        <f ca="1">$K$832-EFEITO!$M$832*EFEITO!$Z$832</f>
        <v>446.16682929087756</v>
      </c>
      <c r="O832" s="79">
        <f>$L$832-EFEITO!$O$832*EFEITO!$AA$832</f>
        <v>453.63847850637694</v>
      </c>
      <c r="P832" s="18"/>
      <c r="Q832" s="18"/>
      <c r="R832" s="18"/>
      <c r="S832" s="18"/>
      <c r="T832" s="18"/>
      <c r="U832" s="18"/>
      <c r="V832" s="18"/>
      <c r="W832" s="18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spans="1:36" ht="11.25" customHeight="1" x14ac:dyDescent="0.2">
      <c r="A833" s="70" t="s">
        <v>21</v>
      </c>
      <c r="B833" s="70" t="s">
        <v>22</v>
      </c>
      <c r="C833" s="70" t="s">
        <v>23</v>
      </c>
      <c r="D833" s="70" t="s">
        <v>24</v>
      </c>
      <c r="E833" s="70" t="s">
        <v>31</v>
      </c>
      <c r="F833" s="70" t="s">
        <v>25</v>
      </c>
      <c r="G833" s="70" t="s">
        <v>25</v>
      </c>
      <c r="H833" s="70" t="s">
        <v>25</v>
      </c>
      <c r="I833" s="78">
        <v>44562</v>
      </c>
      <c r="J833" s="79">
        <f>EFEITO!$J$833*EFEITO!$Y$752</f>
        <v>0</v>
      </c>
      <c r="K833" s="79">
        <f ca="1">EFEITO!$L$833*EFEITO!$Z$845</f>
        <v>4138.4945913079519</v>
      </c>
      <c r="L833" s="79">
        <f>EFEITO!$N$833*EFEITO!$AA$845</f>
        <v>4207.7991156170356</v>
      </c>
      <c r="M833" s="79">
        <f>$J$833-EFEITO!$K$833*EFEITO!$Y$833</f>
        <v>0</v>
      </c>
      <c r="N833" s="79">
        <f ca="1">$K$833-EFEITO!$M$833*EFEITO!$Z$833</f>
        <v>413.84945913079537</v>
      </c>
      <c r="O833" s="79">
        <f>$L$833-EFEITO!$O$833*EFEITO!$AA$833</f>
        <v>420.77991156170356</v>
      </c>
      <c r="P833" s="18"/>
      <c r="Q833" s="18"/>
      <c r="R833" s="18"/>
      <c r="S833" s="18"/>
      <c r="T833" s="18"/>
      <c r="U833" s="18"/>
      <c r="V833" s="18"/>
      <c r="W833" s="18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spans="1:36" ht="11.25" customHeight="1" x14ac:dyDescent="0.2">
      <c r="A834" s="70" t="s">
        <v>28</v>
      </c>
      <c r="B834" s="70" t="s">
        <v>22</v>
      </c>
      <c r="C834" s="70" t="s">
        <v>23</v>
      </c>
      <c r="D834" s="70" t="s">
        <v>24</v>
      </c>
      <c r="E834" s="70" t="s">
        <v>31</v>
      </c>
      <c r="F834" s="70" t="s">
        <v>25</v>
      </c>
      <c r="G834" s="70" t="s">
        <v>25</v>
      </c>
      <c r="H834" s="70" t="s">
        <v>25</v>
      </c>
      <c r="I834" s="78">
        <v>44562</v>
      </c>
      <c r="J834" s="79">
        <f>EFEITO!$J$834*EFEITO!$Y$752</f>
        <v>0</v>
      </c>
      <c r="K834" s="79">
        <f ca="1">EFEITO!$L$834*EFEITO!$Z$845</f>
        <v>5.8475338045986502</v>
      </c>
      <c r="L834" s="79">
        <f>EFEITO!$N$834*EFEITO!$AA$845</f>
        <v>5.9454584338974694</v>
      </c>
      <c r="M834" s="79">
        <f>$J$834-EFEITO!$K$834*EFEITO!$Y$834</f>
        <v>0</v>
      </c>
      <c r="N834" s="79">
        <f ca="1">$K$834-EFEITO!$M$834*EFEITO!$Z$834</f>
        <v>0.58475338045986458</v>
      </c>
      <c r="O834" s="79">
        <f>$L$834-EFEITO!$O$834*EFEITO!$AA$834</f>
        <v>0.59454584338974747</v>
      </c>
      <c r="P834" s="18"/>
      <c r="Q834" s="18"/>
      <c r="R834" s="18"/>
      <c r="S834" s="18"/>
      <c r="T834" s="18"/>
      <c r="U834" s="18"/>
      <c r="V834" s="18"/>
      <c r="W834" s="18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spans="1:36" ht="11.25" customHeight="1" x14ac:dyDescent="0.2">
      <c r="A835" s="70" t="s">
        <v>21</v>
      </c>
      <c r="B835" s="70" t="s">
        <v>22</v>
      </c>
      <c r="C835" s="70" t="s">
        <v>23</v>
      </c>
      <c r="D835" s="70" t="s">
        <v>24</v>
      </c>
      <c r="E835" s="70" t="s">
        <v>31</v>
      </c>
      <c r="F835" s="70" t="s">
        <v>25</v>
      </c>
      <c r="G835" s="70" t="s">
        <v>25</v>
      </c>
      <c r="H835" s="70" t="s">
        <v>25</v>
      </c>
      <c r="I835" s="78">
        <v>44593</v>
      </c>
      <c r="J835" s="79">
        <f>EFEITO!$J$835*EFEITO!$Y$752</f>
        <v>0</v>
      </c>
      <c r="K835" s="79">
        <f ca="1">EFEITO!$L$835*EFEITO!$Z$845</f>
        <v>7267.5099301486889</v>
      </c>
      <c r="L835" s="79">
        <f>EFEITO!$N$835*EFEITO!$AA$845</f>
        <v>7389.213923595571</v>
      </c>
      <c r="M835" s="79">
        <f>$J$835-EFEITO!$K$835*EFEITO!$Y$835</f>
        <v>0</v>
      </c>
      <c r="N835" s="79">
        <f ca="1">$K$835-EFEITO!$M$835*EFEITO!$Z$835</f>
        <v>726.75099301486898</v>
      </c>
      <c r="O835" s="79">
        <f>$L$835-EFEITO!$O$835*EFEITO!$AA$835</f>
        <v>738.9213923595571</v>
      </c>
      <c r="P835" s="18"/>
      <c r="Q835" s="18"/>
      <c r="R835" s="18"/>
      <c r="S835" s="18"/>
      <c r="T835" s="18"/>
      <c r="U835" s="18"/>
      <c r="V835" s="18"/>
      <c r="W835" s="18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spans="1:36" ht="11.25" customHeight="1" x14ac:dyDescent="0.2">
      <c r="A836" s="70" t="s">
        <v>28</v>
      </c>
      <c r="B836" s="70" t="s">
        <v>22</v>
      </c>
      <c r="C836" s="70" t="s">
        <v>23</v>
      </c>
      <c r="D836" s="70" t="s">
        <v>24</v>
      </c>
      <c r="E836" s="70" t="s">
        <v>31</v>
      </c>
      <c r="F836" s="70" t="s">
        <v>25</v>
      </c>
      <c r="G836" s="70" t="s">
        <v>25</v>
      </c>
      <c r="H836" s="70" t="s">
        <v>25</v>
      </c>
      <c r="I836" s="78">
        <v>44593</v>
      </c>
      <c r="J836" s="79">
        <f>EFEITO!$J$836*EFEITO!$Y$752</f>
        <v>0</v>
      </c>
      <c r="K836" s="79">
        <f ca="1">EFEITO!$L$836*EFEITO!$Z$845</f>
        <v>5.8475338045986502</v>
      </c>
      <c r="L836" s="79">
        <f>EFEITO!$N$836*EFEITO!$AA$845</f>
        <v>5.9454584338974694</v>
      </c>
      <c r="M836" s="79">
        <f>$J$836-EFEITO!$K$836*EFEITO!$Y$836</f>
        <v>0</v>
      </c>
      <c r="N836" s="79">
        <f ca="1">$K$836-EFEITO!$M$836*EFEITO!$Z$836</f>
        <v>0.58475338045986458</v>
      </c>
      <c r="O836" s="79">
        <f>$L$836-EFEITO!$O$836*EFEITO!$AA$836</f>
        <v>0.59454584338974747</v>
      </c>
      <c r="P836" s="18"/>
      <c r="Q836" s="18"/>
      <c r="R836" s="18"/>
      <c r="S836" s="18"/>
      <c r="T836" s="18"/>
      <c r="U836" s="18"/>
      <c r="V836" s="18"/>
      <c r="W836" s="18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spans="1:36" ht="11.25" customHeight="1" x14ac:dyDescent="0.2">
      <c r="A837" s="70" t="s">
        <v>21</v>
      </c>
      <c r="B837" s="70" t="s">
        <v>22</v>
      </c>
      <c r="C837" s="70" t="s">
        <v>23</v>
      </c>
      <c r="D837" s="70" t="s">
        <v>24</v>
      </c>
      <c r="E837" s="70" t="s">
        <v>31</v>
      </c>
      <c r="F837" s="70" t="s">
        <v>25</v>
      </c>
      <c r="G837" s="70" t="s">
        <v>25</v>
      </c>
      <c r="H837" s="70" t="s">
        <v>25</v>
      </c>
      <c r="I837" s="78">
        <v>44621</v>
      </c>
      <c r="J837" s="79">
        <f>EFEITO!$J$837*EFEITO!$Y$752</f>
        <v>0</v>
      </c>
      <c r="K837" s="79">
        <f ca="1">EFEITO!$L$837*EFEITO!$Z$845</f>
        <v>8994.0917448531854</v>
      </c>
      <c r="L837" s="79">
        <f>EFEITO!$N$837*EFEITO!$AA$845</f>
        <v>9144.7096171776975</v>
      </c>
      <c r="M837" s="79">
        <f>$J$837-EFEITO!$K$837*EFEITO!$Y$837</f>
        <v>0</v>
      </c>
      <c r="N837" s="79">
        <f ca="1">$K$837-EFEITO!$M$837*EFEITO!$Z$837</f>
        <v>899.40917448531854</v>
      </c>
      <c r="O837" s="79">
        <f>$L$837-EFEITO!$O$837*EFEITO!$AA$837</f>
        <v>914.47096171777048</v>
      </c>
      <c r="P837" s="18"/>
      <c r="Q837" s="18"/>
      <c r="R837" s="18"/>
      <c r="S837" s="18"/>
      <c r="T837" s="18"/>
      <c r="U837" s="18"/>
      <c r="V837" s="18"/>
      <c r="W837" s="18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spans="1:36" ht="11.25" customHeight="1" x14ac:dyDescent="0.2">
      <c r="A838" s="70" t="s">
        <v>27</v>
      </c>
      <c r="B838" s="70" t="s">
        <v>22</v>
      </c>
      <c r="C838" s="70" t="s">
        <v>23</v>
      </c>
      <c r="D838" s="70" t="s">
        <v>24</v>
      </c>
      <c r="E838" s="70" t="s">
        <v>31</v>
      </c>
      <c r="F838" s="70" t="s">
        <v>25</v>
      </c>
      <c r="G838" s="70" t="s">
        <v>25</v>
      </c>
      <c r="H838" s="70" t="s">
        <v>25</v>
      </c>
      <c r="I838" s="78">
        <v>44621</v>
      </c>
      <c r="J838" s="79">
        <f>EFEITO!$J$838*EFEITO!$Y$752</f>
        <v>0</v>
      </c>
      <c r="K838" s="79">
        <f ca="1">EFEITO!$L$838*EFEITO!$Z$845</f>
        <v>-15.788341272416357</v>
      </c>
      <c r="L838" s="79">
        <f>EFEITO!$N$838*EFEITO!$AA$845</f>
        <v>-16.052737771523166</v>
      </c>
      <c r="M838" s="79">
        <f>$J$838-EFEITO!$K$838*EFEITO!$Y$838</f>
        <v>0</v>
      </c>
      <c r="N838" s="79">
        <f ca="1">$K$838-EFEITO!$M$838*EFEITO!$Z$838</f>
        <v>-1.5788341272416346</v>
      </c>
      <c r="O838" s="79">
        <f>$L$838-EFEITO!$O$838*EFEITO!$AA$838</f>
        <v>-1.6052737771523145</v>
      </c>
      <c r="P838" s="18"/>
      <c r="Q838" s="18"/>
      <c r="R838" s="18"/>
      <c r="S838" s="18"/>
      <c r="T838" s="18"/>
      <c r="U838" s="18"/>
      <c r="V838" s="18"/>
      <c r="W838" s="18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spans="1:36" ht="11.25" customHeight="1" x14ac:dyDescent="0.2">
      <c r="A839" s="70" t="s">
        <v>21</v>
      </c>
      <c r="B839" s="70" t="s">
        <v>22</v>
      </c>
      <c r="C839" s="70" t="s">
        <v>23</v>
      </c>
      <c r="D839" s="70" t="s">
        <v>24</v>
      </c>
      <c r="E839" s="70" t="s">
        <v>31</v>
      </c>
      <c r="F839" s="70" t="s">
        <v>25</v>
      </c>
      <c r="G839" s="70" t="s">
        <v>25</v>
      </c>
      <c r="H839" s="70" t="s">
        <v>25</v>
      </c>
      <c r="I839" s="78">
        <v>44652</v>
      </c>
      <c r="J839" s="79">
        <f>EFEITO!$J$839*EFEITO!$Y$752</f>
        <v>0</v>
      </c>
      <c r="K839" s="79">
        <f ca="1">EFEITO!$L$839*EFEITO!$Z$845</f>
        <v>14553.731968472095</v>
      </c>
      <c r="L839" s="79">
        <f>EFEITO!$N$839*EFEITO!$AA$845</f>
        <v>14797.453314179615</v>
      </c>
      <c r="M839" s="79">
        <f>$J$839-EFEITO!$K$839*EFEITO!$Y$839</f>
        <v>0</v>
      </c>
      <c r="N839" s="79">
        <f ca="1">$K$839-EFEITO!$M$839*EFEITO!$Z$839</f>
        <v>1455.3731968472093</v>
      </c>
      <c r="O839" s="79">
        <f>$L$839-EFEITO!$O$839*EFEITO!$AA$839</f>
        <v>1479.745331417962</v>
      </c>
      <c r="P839" s="18"/>
      <c r="Q839" s="18"/>
      <c r="R839" s="18"/>
      <c r="S839" s="18"/>
      <c r="T839" s="18"/>
      <c r="U839" s="18"/>
      <c r="V839" s="18"/>
      <c r="W839" s="18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spans="1:36" ht="11.25" customHeight="1" x14ac:dyDescent="0.2">
      <c r="A840" s="70" t="s">
        <v>28</v>
      </c>
      <c r="B840" s="70" t="s">
        <v>22</v>
      </c>
      <c r="C840" s="70" t="s">
        <v>23</v>
      </c>
      <c r="D840" s="70" t="s">
        <v>24</v>
      </c>
      <c r="E840" s="70" t="s">
        <v>31</v>
      </c>
      <c r="F840" s="70" t="s">
        <v>25</v>
      </c>
      <c r="G840" s="70" t="s">
        <v>25</v>
      </c>
      <c r="H840" s="70" t="s">
        <v>25</v>
      </c>
      <c r="I840" s="78">
        <v>44652</v>
      </c>
      <c r="J840" s="79">
        <f>EFEITO!$J$840*EFEITO!$Y$752</f>
        <v>0</v>
      </c>
      <c r="K840" s="79">
        <f ca="1">EFEITO!$L$840*EFEITO!$Z$845</f>
        <v>5.8475338045986502</v>
      </c>
      <c r="L840" s="79">
        <f>EFEITO!$N$840*EFEITO!$AA$845</f>
        <v>5.9454584338974694</v>
      </c>
      <c r="M840" s="79">
        <f>$J$840-EFEITO!$K$840*EFEITO!$Y$840</f>
        <v>0</v>
      </c>
      <c r="N840" s="79">
        <f ca="1">$K$840-EFEITO!$M$840*EFEITO!$Z$840</f>
        <v>0.58475338045986458</v>
      </c>
      <c r="O840" s="79">
        <f>$L$840-EFEITO!$O$840*EFEITO!$AA$840</f>
        <v>0.59454584338974747</v>
      </c>
      <c r="P840" s="18"/>
      <c r="Q840" s="18"/>
      <c r="R840" s="18"/>
      <c r="S840" s="18"/>
      <c r="T840" s="18"/>
      <c r="U840" s="18"/>
      <c r="V840" s="18"/>
      <c r="W840" s="18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spans="1:36" ht="11.25" customHeight="1" x14ac:dyDescent="0.2">
      <c r="A841" s="70" t="s">
        <v>21</v>
      </c>
      <c r="B841" s="70" t="s">
        <v>22</v>
      </c>
      <c r="C841" s="70" t="s">
        <v>23</v>
      </c>
      <c r="D841" s="70" t="s">
        <v>24</v>
      </c>
      <c r="E841" s="70" t="s">
        <v>31</v>
      </c>
      <c r="F841" s="70" t="s">
        <v>25</v>
      </c>
      <c r="G841" s="70" t="s">
        <v>25</v>
      </c>
      <c r="H841" s="70" t="s">
        <v>25</v>
      </c>
      <c r="I841" s="78">
        <v>44682</v>
      </c>
      <c r="J841" s="79">
        <f>EFEITO!$J$841*EFEITO!$Y$752</f>
        <v>0</v>
      </c>
      <c r="K841" s="79">
        <f ca="1">EFEITO!$L$841*EFEITO!$Z$845</f>
        <v>14876.320916692453</v>
      </c>
      <c r="L841" s="79">
        <f>EFEITO!$N$841*EFEITO!$AA$845</f>
        <v>15125.444437782959</v>
      </c>
      <c r="M841" s="79">
        <f>$J$841-EFEITO!$K$841*EFEITO!$Y$841</f>
        <v>0</v>
      </c>
      <c r="N841" s="79">
        <f ca="1">$K$841-EFEITO!$M$841*EFEITO!$Z$841</f>
        <v>1487.6320916692439</v>
      </c>
      <c r="O841" s="79">
        <f>$L$841-EFEITO!$O$841*EFEITO!$AA$841</f>
        <v>1512.5444437782971</v>
      </c>
      <c r="P841" s="18"/>
      <c r="Q841" s="18"/>
      <c r="R841" s="18"/>
      <c r="S841" s="18"/>
      <c r="T841" s="18"/>
      <c r="U841" s="18"/>
      <c r="V841" s="18"/>
      <c r="W841" s="18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spans="1:36" ht="11.25" customHeight="1" x14ac:dyDescent="0.2">
      <c r="A842" s="70" t="s">
        <v>28</v>
      </c>
      <c r="B842" s="70" t="s">
        <v>22</v>
      </c>
      <c r="C842" s="70" t="s">
        <v>23</v>
      </c>
      <c r="D842" s="70" t="s">
        <v>24</v>
      </c>
      <c r="E842" s="70" t="s">
        <v>31</v>
      </c>
      <c r="F842" s="70" t="s">
        <v>25</v>
      </c>
      <c r="G842" s="70" t="s">
        <v>25</v>
      </c>
      <c r="H842" s="70" t="s">
        <v>25</v>
      </c>
      <c r="I842" s="78">
        <v>44682</v>
      </c>
      <c r="J842" s="79">
        <f>EFEITO!$J$842*EFEITO!$Y$752</f>
        <v>0</v>
      </c>
      <c r="K842" s="79">
        <f ca="1">EFEITO!$L$842*EFEITO!$Z$845</f>
        <v>5.8475338045986502</v>
      </c>
      <c r="L842" s="79">
        <f>EFEITO!$N$842*EFEITO!$AA$845</f>
        <v>5.9454584338974694</v>
      </c>
      <c r="M842" s="79">
        <f>$J$842-EFEITO!$K$842*EFEITO!$Y$842</f>
        <v>0</v>
      </c>
      <c r="N842" s="79">
        <f ca="1">$K$842-EFEITO!$M$842*EFEITO!$Z$842</f>
        <v>0.58475338045986458</v>
      </c>
      <c r="O842" s="79">
        <f>$L$842-EFEITO!$O$842*EFEITO!$AA$842</f>
        <v>0.59454584338974747</v>
      </c>
      <c r="P842" s="18"/>
      <c r="Q842" s="18"/>
      <c r="R842" s="18"/>
      <c r="S842" s="18"/>
      <c r="T842" s="18"/>
      <c r="U842" s="18"/>
      <c r="V842" s="18"/>
      <c r="W842" s="18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spans="1:36" ht="11.25" customHeight="1" x14ac:dyDescent="0.2">
      <c r="A843" s="70" t="s">
        <v>21</v>
      </c>
      <c r="B843" s="70" t="s">
        <v>22</v>
      </c>
      <c r="C843" s="70" t="s">
        <v>23</v>
      </c>
      <c r="D843" s="70" t="s">
        <v>24</v>
      </c>
      <c r="E843" s="70" t="s">
        <v>31</v>
      </c>
      <c r="F843" s="70" t="s">
        <v>25</v>
      </c>
      <c r="G843" s="70" t="s">
        <v>25</v>
      </c>
      <c r="H843" s="70" t="s">
        <v>25</v>
      </c>
      <c r="I843" s="78">
        <v>44713</v>
      </c>
      <c r="J843" s="79">
        <f>EFEITO!$J$843*EFEITO!$Y$752</f>
        <v>0</v>
      </c>
      <c r="K843" s="79">
        <f ca="1">EFEITO!$L$843*EFEITO!$Z$845</f>
        <v>14865.990273637663</v>
      </c>
      <c r="L843" s="79">
        <f>EFEITO!$N$843*EFEITO!$AA$845</f>
        <v>15114.940794549739</v>
      </c>
      <c r="M843" s="79">
        <f>$J$843-EFEITO!$K$843*EFEITO!$Y$843</f>
        <v>0</v>
      </c>
      <c r="N843" s="79">
        <f ca="1">$K$843-EFEITO!$M$843*EFEITO!$Z$843</f>
        <v>1486.5990273637653</v>
      </c>
      <c r="O843" s="79">
        <f>$L$843-EFEITO!$O$843*EFEITO!$AA$843</f>
        <v>1511.494079454973</v>
      </c>
      <c r="P843" s="18"/>
      <c r="Q843" s="18"/>
      <c r="R843" s="18"/>
      <c r="S843" s="18"/>
      <c r="T843" s="18"/>
      <c r="U843" s="18"/>
      <c r="V843" s="18"/>
      <c r="W843" s="18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spans="1:36" ht="11.25" customHeight="1" x14ac:dyDescent="0.2">
      <c r="A844" s="70" t="s">
        <v>28</v>
      </c>
      <c r="B844" s="70" t="s">
        <v>22</v>
      </c>
      <c r="C844" s="70" t="s">
        <v>23</v>
      </c>
      <c r="D844" s="70" t="s">
        <v>24</v>
      </c>
      <c r="E844" s="70" t="s">
        <v>31</v>
      </c>
      <c r="F844" s="70" t="s">
        <v>25</v>
      </c>
      <c r="G844" s="70" t="s">
        <v>25</v>
      </c>
      <c r="H844" s="70" t="s">
        <v>25</v>
      </c>
      <c r="I844" s="78">
        <v>44713</v>
      </c>
      <c r="J844" s="79">
        <f>EFEITO!$J$844*EFEITO!$Y$752</f>
        <v>0</v>
      </c>
      <c r="K844" s="79">
        <f ca="1">EFEITO!$L$844*EFEITO!$Z$845</f>
        <v>5.8475338045986502</v>
      </c>
      <c r="L844" s="79">
        <f>EFEITO!$N$844*EFEITO!$AA$845</f>
        <v>5.9454584338974694</v>
      </c>
      <c r="M844" s="79">
        <f>$J$844-EFEITO!$K$844*EFEITO!$Y$844</f>
        <v>0</v>
      </c>
      <c r="N844" s="79">
        <f ca="1">$K$844-EFEITO!$M$844*EFEITO!$Z$844</f>
        <v>0.58475338045986458</v>
      </c>
      <c r="O844" s="79">
        <f>$L$844-EFEITO!$O$844*EFEITO!$AA$844</f>
        <v>0.59454584338974747</v>
      </c>
      <c r="P844" s="18"/>
      <c r="Q844" s="18"/>
      <c r="R844" s="18"/>
      <c r="S844" s="18"/>
      <c r="T844" s="18"/>
      <c r="U844" s="18"/>
      <c r="V844" s="18"/>
      <c r="W844" s="18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spans="1:36" ht="11.25" customHeight="1" x14ac:dyDescent="0.2">
      <c r="A845" s="70" t="s">
        <v>21</v>
      </c>
      <c r="B845" s="70" t="s">
        <v>22</v>
      </c>
      <c r="C845" s="70" t="s">
        <v>23</v>
      </c>
      <c r="D845" s="70" t="s">
        <v>24</v>
      </c>
      <c r="E845" s="70" t="s">
        <v>32</v>
      </c>
      <c r="F845" s="70" t="s">
        <v>25</v>
      </c>
      <c r="G845" s="70" t="s">
        <v>25</v>
      </c>
      <c r="H845" s="70" t="s">
        <v>25</v>
      </c>
      <c r="I845" s="78">
        <v>44378</v>
      </c>
      <c r="J845" s="79">
        <f>EFEITO!$J$845*EFEITO!$Y$752</f>
        <v>0</v>
      </c>
      <c r="K845" s="79">
        <f ca="1">EFEITO!$L$845*EFEITO!$Z$845</f>
        <v>2170.9943838539925</v>
      </c>
      <c r="L845" s="79">
        <f>EFEITO!$N$845*EFEITO!$AA$845</f>
        <v>2207.3505345583335</v>
      </c>
      <c r="M845" s="79">
        <f>$J$845-EFEITO!$K$845*EFEITO!$Y$845</f>
        <v>0</v>
      </c>
      <c r="N845" s="79">
        <f ca="1">$K$845-EFEITO!$M$845*EFEITO!$Z$845</f>
        <v>0</v>
      </c>
      <c r="O845" s="79">
        <f>$L$845-EFEITO!$O$845*EFEITO!$AA$845</f>
        <v>0</v>
      </c>
      <c r="P845" s="18"/>
      <c r="Q845" s="18"/>
      <c r="R845" s="18"/>
      <c r="S845" s="18"/>
      <c r="T845" s="18"/>
      <c r="U845" s="18"/>
      <c r="V845" s="18"/>
      <c r="W845" s="18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spans="1:36" ht="11.25" customHeight="1" x14ac:dyDescent="0.2">
      <c r="A846" s="70" t="s">
        <v>28</v>
      </c>
      <c r="B846" s="70" t="s">
        <v>22</v>
      </c>
      <c r="C846" s="70" t="s">
        <v>23</v>
      </c>
      <c r="D846" s="70" t="s">
        <v>24</v>
      </c>
      <c r="E846" s="70" t="s">
        <v>32</v>
      </c>
      <c r="F846" s="70" t="s">
        <v>25</v>
      </c>
      <c r="G846" s="70" t="s">
        <v>25</v>
      </c>
      <c r="H846" s="70" t="s">
        <v>25</v>
      </c>
      <c r="I846" s="78">
        <v>44378</v>
      </c>
      <c r="J846" s="79">
        <f>EFEITO!$J$846*EFEITO!$Y$752</f>
        <v>0</v>
      </c>
      <c r="K846" s="79">
        <f ca="1">EFEITO!$L$846*EFEITO!$Z$845</f>
        <v>68.41614551380421</v>
      </c>
      <c r="L846" s="79">
        <f>EFEITO!$N$846*EFEITO!$AA$845</f>
        <v>69.561863676600382</v>
      </c>
      <c r="M846" s="79">
        <f>$J$846-EFEITO!$K$846*EFEITO!$Y$846</f>
        <v>0</v>
      </c>
      <c r="N846" s="79">
        <f ca="1">$K$846-EFEITO!$M$846*EFEITO!$Z$846</f>
        <v>0</v>
      </c>
      <c r="O846" s="79">
        <f>$L$846-EFEITO!$O$846*EFEITO!$AA$846</f>
        <v>0</v>
      </c>
      <c r="P846" s="18"/>
      <c r="Q846" s="18"/>
      <c r="R846" s="18"/>
      <c r="S846" s="18"/>
      <c r="T846" s="18"/>
      <c r="U846" s="18"/>
      <c r="V846" s="18"/>
      <c r="W846" s="18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spans="1:36" ht="11.25" customHeight="1" x14ac:dyDescent="0.2">
      <c r="A847" s="70" t="s">
        <v>21</v>
      </c>
      <c r="B847" s="70" t="s">
        <v>22</v>
      </c>
      <c r="C847" s="70" t="s">
        <v>23</v>
      </c>
      <c r="D847" s="70" t="s">
        <v>24</v>
      </c>
      <c r="E847" s="70" t="s">
        <v>32</v>
      </c>
      <c r="F847" s="70" t="s">
        <v>25</v>
      </c>
      <c r="G847" s="70" t="s">
        <v>25</v>
      </c>
      <c r="H847" s="70" t="s">
        <v>25</v>
      </c>
      <c r="I847" s="78">
        <v>44409</v>
      </c>
      <c r="J847" s="79">
        <f>EFEITO!$J$847*EFEITO!$Y$752</f>
        <v>0</v>
      </c>
      <c r="K847" s="79">
        <f ca="1">EFEITO!$L$847*EFEITO!$Z$845</f>
        <v>2329.2676321651293</v>
      </c>
      <c r="L847" s="79">
        <f>EFEITO!$N$847*EFEITO!$AA$845</f>
        <v>2368.2742761691584</v>
      </c>
      <c r="M847" s="79">
        <f>$J$847-EFEITO!$K$847*EFEITO!$Y$847</f>
        <v>0</v>
      </c>
      <c r="N847" s="79">
        <f ca="1">$K$847-EFEITO!$M$847*EFEITO!$Z$847</f>
        <v>0</v>
      </c>
      <c r="O847" s="79">
        <f>$L$847-EFEITO!$O$847*EFEITO!$AA$847</f>
        <v>0</v>
      </c>
      <c r="P847" s="18"/>
      <c r="Q847" s="18"/>
      <c r="R847" s="18"/>
      <c r="S847" s="18"/>
      <c r="T847" s="18"/>
      <c r="U847" s="18"/>
      <c r="V847" s="18"/>
      <c r="W847" s="18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spans="1:36" ht="11.25" customHeight="1" x14ac:dyDescent="0.2">
      <c r="A848" s="70" t="s">
        <v>28</v>
      </c>
      <c r="B848" s="70" t="s">
        <v>22</v>
      </c>
      <c r="C848" s="70" t="s">
        <v>23</v>
      </c>
      <c r="D848" s="70" t="s">
        <v>24</v>
      </c>
      <c r="E848" s="70" t="s">
        <v>32</v>
      </c>
      <c r="F848" s="70" t="s">
        <v>25</v>
      </c>
      <c r="G848" s="70" t="s">
        <v>25</v>
      </c>
      <c r="H848" s="70" t="s">
        <v>25</v>
      </c>
      <c r="I848" s="78">
        <v>44409</v>
      </c>
      <c r="J848" s="79">
        <f>EFEITO!$J$848*EFEITO!$Y$752</f>
        <v>0</v>
      </c>
      <c r="K848" s="79">
        <f ca="1">EFEITO!$L$848*EFEITO!$Z$845</f>
        <v>23.390135218394601</v>
      </c>
      <c r="L848" s="79">
        <f>EFEITO!$N$848*EFEITO!$AA$845</f>
        <v>23.781833735589878</v>
      </c>
      <c r="M848" s="79">
        <f>$J$848-EFEITO!$K$848*EFEITO!$Y$848</f>
        <v>0</v>
      </c>
      <c r="N848" s="79">
        <f ca="1">$K$848-EFEITO!$M$848*EFEITO!$Z$848</f>
        <v>0</v>
      </c>
      <c r="O848" s="79">
        <f>$L$848-EFEITO!$O$848*EFEITO!$AA$848</f>
        <v>0</v>
      </c>
      <c r="P848" s="18"/>
      <c r="Q848" s="18"/>
      <c r="R848" s="18"/>
      <c r="S848" s="18"/>
      <c r="T848" s="18"/>
      <c r="U848" s="18"/>
      <c r="V848" s="18"/>
      <c r="W848" s="18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spans="1:36" ht="11.25" customHeight="1" x14ac:dyDescent="0.2">
      <c r="A849" s="70" t="s">
        <v>21</v>
      </c>
      <c r="B849" s="70" t="s">
        <v>22</v>
      </c>
      <c r="C849" s="70" t="s">
        <v>23</v>
      </c>
      <c r="D849" s="70" t="s">
        <v>24</v>
      </c>
      <c r="E849" s="70" t="s">
        <v>32</v>
      </c>
      <c r="F849" s="70" t="s">
        <v>25</v>
      </c>
      <c r="G849" s="70" t="s">
        <v>25</v>
      </c>
      <c r="H849" s="70" t="s">
        <v>25</v>
      </c>
      <c r="I849" s="78">
        <v>44440</v>
      </c>
      <c r="J849" s="79">
        <f>EFEITO!$J$849*EFEITO!$Y$752</f>
        <v>0</v>
      </c>
      <c r="K849" s="79">
        <f ca="1">EFEITO!$L$849*EFEITO!$Z$845</f>
        <v>2499.43086587895</v>
      </c>
      <c r="L849" s="79">
        <f>EFEITO!$N$849*EFEITO!$AA$845</f>
        <v>2541.2871165955748</v>
      </c>
      <c r="M849" s="79">
        <f>$J$849-EFEITO!$K$849*EFEITO!$Y$849</f>
        <v>0</v>
      </c>
      <c r="N849" s="79">
        <f ca="1">$K$849-EFEITO!$M$849*EFEITO!$Z$849</f>
        <v>0</v>
      </c>
      <c r="O849" s="79">
        <f>$L$849-EFEITO!$O$849*EFEITO!$AA$849</f>
        <v>0</v>
      </c>
      <c r="P849" s="18"/>
      <c r="Q849" s="18"/>
      <c r="R849" s="18"/>
      <c r="S849" s="18"/>
      <c r="T849" s="18"/>
      <c r="U849" s="18"/>
      <c r="V849" s="18"/>
      <c r="W849" s="18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spans="1:36" ht="11.25" customHeight="1" x14ac:dyDescent="0.2">
      <c r="A850" s="70" t="s">
        <v>28</v>
      </c>
      <c r="B850" s="70" t="s">
        <v>22</v>
      </c>
      <c r="C850" s="70" t="s">
        <v>23</v>
      </c>
      <c r="D850" s="70" t="s">
        <v>24</v>
      </c>
      <c r="E850" s="70" t="s">
        <v>32</v>
      </c>
      <c r="F850" s="70" t="s">
        <v>25</v>
      </c>
      <c r="G850" s="70" t="s">
        <v>25</v>
      </c>
      <c r="H850" s="70" t="s">
        <v>25</v>
      </c>
      <c r="I850" s="78">
        <v>44440</v>
      </c>
      <c r="J850" s="79">
        <f>EFEITO!$J$850*EFEITO!$Y$752</f>
        <v>0</v>
      </c>
      <c r="K850" s="79">
        <f ca="1">EFEITO!$L$850*EFEITO!$Z$845</f>
        <v>13.839163337550138</v>
      </c>
      <c r="L850" s="79">
        <f>EFEITO!$N$850*EFEITO!$AA$845</f>
        <v>14.070918293557343</v>
      </c>
      <c r="M850" s="79">
        <f>$J$850-EFEITO!$K$850*EFEITO!$Y$850</f>
        <v>0</v>
      </c>
      <c r="N850" s="79">
        <f ca="1">$K$850-EFEITO!$M$850*EFEITO!$Z$850</f>
        <v>0</v>
      </c>
      <c r="O850" s="79">
        <f>$L$850-EFEITO!$O$850*EFEITO!$AA$850</f>
        <v>0</v>
      </c>
      <c r="P850" s="18"/>
      <c r="Q850" s="18"/>
      <c r="R850" s="18"/>
      <c r="S850" s="18"/>
      <c r="T850" s="18"/>
      <c r="U850" s="18"/>
      <c r="V850" s="18"/>
      <c r="W850" s="18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spans="1:36" ht="11.25" customHeight="1" x14ac:dyDescent="0.2">
      <c r="A851" s="70" t="s">
        <v>21</v>
      </c>
      <c r="B851" s="70" t="s">
        <v>22</v>
      </c>
      <c r="C851" s="70" t="s">
        <v>23</v>
      </c>
      <c r="D851" s="70" t="s">
        <v>24</v>
      </c>
      <c r="E851" s="70" t="s">
        <v>32</v>
      </c>
      <c r="F851" s="70" t="s">
        <v>25</v>
      </c>
      <c r="G851" s="70" t="s">
        <v>25</v>
      </c>
      <c r="H851" s="70" t="s">
        <v>25</v>
      </c>
      <c r="I851" s="78">
        <v>44470</v>
      </c>
      <c r="J851" s="79">
        <f>EFEITO!$J$851*EFEITO!$Y$752</f>
        <v>0</v>
      </c>
      <c r="K851" s="79">
        <f ca="1">EFEITO!$L$851*EFEITO!$Z$845</f>
        <v>2215.6305585624291</v>
      </c>
      <c r="L851" s="79">
        <f>EFEITO!$N$851*EFEITO!$AA$845</f>
        <v>2252.7342006037511</v>
      </c>
      <c r="M851" s="79">
        <f>$J$851-EFEITO!$K$851*EFEITO!$Y$851</f>
        <v>0</v>
      </c>
      <c r="N851" s="79">
        <f ca="1">$K$851-EFEITO!$M$851*EFEITO!$Z$851</f>
        <v>0</v>
      </c>
      <c r="O851" s="79">
        <f>$L$851-EFEITO!$O$851*EFEITO!$AA$851</f>
        <v>0</v>
      </c>
      <c r="P851" s="18"/>
      <c r="Q851" s="18"/>
      <c r="R851" s="18"/>
      <c r="S851" s="18"/>
      <c r="T851" s="18"/>
      <c r="U851" s="18"/>
      <c r="V851" s="18"/>
      <c r="W851" s="18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spans="1:36" ht="11.25" customHeight="1" x14ac:dyDescent="0.2">
      <c r="A852" s="70" t="s">
        <v>28</v>
      </c>
      <c r="B852" s="70" t="s">
        <v>22</v>
      </c>
      <c r="C852" s="70" t="s">
        <v>23</v>
      </c>
      <c r="D852" s="70" t="s">
        <v>24</v>
      </c>
      <c r="E852" s="70" t="s">
        <v>32</v>
      </c>
      <c r="F852" s="70" t="s">
        <v>25</v>
      </c>
      <c r="G852" s="70" t="s">
        <v>25</v>
      </c>
      <c r="H852" s="70" t="s">
        <v>25</v>
      </c>
      <c r="I852" s="78">
        <v>44470</v>
      </c>
      <c r="J852" s="79">
        <f>EFEITO!$J$852*EFEITO!$Y$752</f>
        <v>0</v>
      </c>
      <c r="K852" s="79">
        <f ca="1">EFEITO!$L$852*EFEITO!$Z$845</f>
        <v>5.8475338045986502</v>
      </c>
      <c r="L852" s="79">
        <f>EFEITO!$N$852*EFEITO!$AA$845</f>
        <v>5.9454584338974694</v>
      </c>
      <c r="M852" s="79">
        <f>$J$852-EFEITO!$K$852*EFEITO!$Y$852</f>
        <v>0</v>
      </c>
      <c r="N852" s="79">
        <f ca="1">$K$852-EFEITO!$M$852*EFEITO!$Z$852</f>
        <v>0</v>
      </c>
      <c r="O852" s="79">
        <f>$L$852-EFEITO!$O$852*EFEITO!$AA$852</f>
        <v>0</v>
      </c>
      <c r="P852" s="18"/>
      <c r="Q852" s="18"/>
      <c r="R852" s="18"/>
      <c r="S852" s="18"/>
      <c r="T852" s="18"/>
      <c r="U852" s="18"/>
      <c r="V852" s="18"/>
      <c r="W852" s="18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spans="1:36" ht="11.25" customHeight="1" x14ac:dyDescent="0.2">
      <c r="A853" s="70" t="s">
        <v>21</v>
      </c>
      <c r="B853" s="70" t="s">
        <v>22</v>
      </c>
      <c r="C853" s="70" t="s">
        <v>23</v>
      </c>
      <c r="D853" s="70" t="s">
        <v>24</v>
      </c>
      <c r="E853" s="70" t="s">
        <v>32</v>
      </c>
      <c r="F853" s="70" t="s">
        <v>25</v>
      </c>
      <c r="G853" s="70" t="s">
        <v>25</v>
      </c>
      <c r="H853" s="70" t="s">
        <v>25</v>
      </c>
      <c r="I853" s="78">
        <v>44501</v>
      </c>
      <c r="J853" s="79">
        <f>EFEITO!$J$853*EFEITO!$Y$752</f>
        <v>0</v>
      </c>
      <c r="K853" s="79">
        <f ca="1">EFEITO!$L$853*EFEITO!$Z$845</f>
        <v>3137.0069683736897</v>
      </c>
      <c r="L853" s="79">
        <f>EFEITO!$N$853*EFEITO!$AA$845</f>
        <v>3189.5402678381961</v>
      </c>
      <c r="M853" s="79">
        <f>$J$853-EFEITO!$K$853*EFEITO!$Y$853</f>
        <v>0</v>
      </c>
      <c r="N853" s="79">
        <f ca="1">$K$853-EFEITO!$M$853*EFEITO!$Z$853</f>
        <v>0</v>
      </c>
      <c r="O853" s="79">
        <f>$L$853-EFEITO!$O$853*EFEITO!$AA$853</f>
        <v>0</v>
      </c>
      <c r="P853" s="18"/>
      <c r="Q853" s="18"/>
      <c r="R853" s="18"/>
      <c r="S853" s="18"/>
      <c r="T853" s="18"/>
      <c r="U853" s="18"/>
      <c r="V853" s="18"/>
      <c r="W853" s="18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spans="1:36" ht="11.25" customHeight="1" x14ac:dyDescent="0.2">
      <c r="A854" s="70" t="s">
        <v>27</v>
      </c>
      <c r="B854" s="70" t="s">
        <v>22</v>
      </c>
      <c r="C854" s="70" t="s">
        <v>23</v>
      </c>
      <c r="D854" s="70" t="s">
        <v>24</v>
      </c>
      <c r="E854" s="70" t="s">
        <v>32</v>
      </c>
      <c r="F854" s="70" t="s">
        <v>25</v>
      </c>
      <c r="G854" s="70" t="s">
        <v>25</v>
      </c>
      <c r="H854" s="70" t="s">
        <v>25</v>
      </c>
      <c r="I854" s="78">
        <v>44501</v>
      </c>
      <c r="J854" s="79">
        <f>EFEITO!$J$854*EFEITO!$Y$752</f>
        <v>0</v>
      </c>
      <c r="K854" s="79">
        <f ca="1">EFEITO!$L$854*EFEITO!$Z$845</f>
        <v>-251.83378918471524</v>
      </c>
      <c r="L854" s="79">
        <f>EFEITO!$N$854*EFEITO!$AA$845</f>
        <v>-256.05107655318437</v>
      </c>
      <c r="M854" s="79">
        <f>$J$854-EFEITO!$K$854*EFEITO!$Y$854</f>
        <v>0</v>
      </c>
      <c r="N854" s="79">
        <f ca="1">$K$854-EFEITO!$M$854*EFEITO!$Z$854</f>
        <v>0</v>
      </c>
      <c r="O854" s="79">
        <f>$L$854-EFEITO!$O$854*EFEITO!$AA$854</f>
        <v>0</v>
      </c>
      <c r="P854" s="18"/>
      <c r="Q854" s="18"/>
      <c r="R854" s="18"/>
      <c r="S854" s="18"/>
      <c r="T854" s="18"/>
      <c r="U854" s="18"/>
      <c r="V854" s="18"/>
      <c r="W854" s="18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spans="1:36" ht="11.25" customHeight="1" x14ac:dyDescent="0.2">
      <c r="A855" s="70" t="s">
        <v>21</v>
      </c>
      <c r="B855" s="70" t="s">
        <v>22</v>
      </c>
      <c r="C855" s="70" t="s">
        <v>23</v>
      </c>
      <c r="D855" s="70" t="s">
        <v>24</v>
      </c>
      <c r="E855" s="70" t="s">
        <v>32</v>
      </c>
      <c r="F855" s="70" t="s">
        <v>25</v>
      </c>
      <c r="G855" s="70" t="s">
        <v>25</v>
      </c>
      <c r="H855" s="70" t="s">
        <v>25</v>
      </c>
      <c r="I855" s="78">
        <v>44531</v>
      </c>
      <c r="J855" s="79">
        <f>EFEITO!$J$855*EFEITO!$Y$752</f>
        <v>0</v>
      </c>
      <c r="K855" s="79">
        <f ca="1">EFEITO!$L$855*EFEITO!$Z$845</f>
        <v>2538.999177956734</v>
      </c>
      <c r="L855" s="79">
        <f>EFEITO!$N$855*EFEITO!$AA$845</f>
        <v>2581.518051998281</v>
      </c>
      <c r="M855" s="79">
        <f>$J$855-EFEITO!$K$855*EFEITO!$Y$855</f>
        <v>0</v>
      </c>
      <c r="N855" s="79">
        <f ca="1">$K$855-EFEITO!$M$855*EFEITO!$Z$855</f>
        <v>0</v>
      </c>
      <c r="O855" s="79">
        <f>$L$855-EFEITO!$O$855*EFEITO!$AA$855</f>
        <v>0</v>
      </c>
      <c r="P855" s="18"/>
      <c r="Q855" s="18"/>
      <c r="R855" s="18"/>
      <c r="S855" s="18"/>
      <c r="T855" s="18"/>
      <c r="U855" s="18"/>
      <c r="V855" s="18"/>
      <c r="W855" s="18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spans="1:36" ht="11.25" customHeight="1" x14ac:dyDescent="0.2">
      <c r="A856" s="70" t="s">
        <v>21</v>
      </c>
      <c r="B856" s="70" t="s">
        <v>22</v>
      </c>
      <c r="C856" s="70" t="s">
        <v>23</v>
      </c>
      <c r="D856" s="70" t="s">
        <v>24</v>
      </c>
      <c r="E856" s="70" t="s">
        <v>32</v>
      </c>
      <c r="F856" s="70" t="s">
        <v>25</v>
      </c>
      <c r="G856" s="70" t="s">
        <v>25</v>
      </c>
      <c r="H856" s="70" t="s">
        <v>25</v>
      </c>
      <c r="I856" s="78">
        <v>44562</v>
      </c>
      <c r="J856" s="79">
        <f>EFEITO!$J$856*EFEITO!$Y$752</f>
        <v>0</v>
      </c>
      <c r="K856" s="79">
        <f ca="1">EFEITO!$L$856*EFEITO!$Z$845</f>
        <v>3086.7181776541411</v>
      </c>
      <c r="L856" s="79">
        <f>EFEITO!$N$856*EFEITO!$AA$845</f>
        <v>3138.4093253066776</v>
      </c>
      <c r="M856" s="79">
        <f>$J$856-EFEITO!$K$856*EFEITO!$Y$856</f>
        <v>0</v>
      </c>
      <c r="N856" s="79">
        <f ca="1">$K$856-EFEITO!$M$856*EFEITO!$Z$856</f>
        <v>0</v>
      </c>
      <c r="O856" s="79">
        <f>$L$856-EFEITO!$O$856*EFEITO!$AA$856</f>
        <v>0</v>
      </c>
      <c r="P856" s="18"/>
      <c r="Q856" s="18"/>
      <c r="R856" s="18"/>
      <c r="S856" s="18"/>
      <c r="T856" s="18"/>
      <c r="U856" s="18"/>
      <c r="V856" s="18"/>
      <c r="W856" s="18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spans="1:36" ht="11.25" customHeight="1" x14ac:dyDescent="0.2">
      <c r="A857" s="70" t="s">
        <v>21</v>
      </c>
      <c r="B857" s="70" t="s">
        <v>22</v>
      </c>
      <c r="C857" s="70" t="s">
        <v>23</v>
      </c>
      <c r="D857" s="70" t="s">
        <v>24</v>
      </c>
      <c r="E857" s="70" t="s">
        <v>32</v>
      </c>
      <c r="F857" s="70" t="s">
        <v>25</v>
      </c>
      <c r="G857" s="70" t="s">
        <v>25</v>
      </c>
      <c r="H857" s="70" t="s">
        <v>25</v>
      </c>
      <c r="I857" s="78">
        <v>44593</v>
      </c>
      <c r="J857" s="79">
        <f>EFEITO!$J$857*EFEITO!$Y$752</f>
        <v>0</v>
      </c>
      <c r="K857" s="79">
        <f ca="1">EFEITO!$L$857*EFEITO!$Z$845</f>
        <v>7614.2686847613895</v>
      </c>
      <c r="L857" s="79">
        <f>EFEITO!$N$857*EFEITO!$AA$845</f>
        <v>7741.7796087256911</v>
      </c>
      <c r="M857" s="79">
        <f>$J$857-EFEITO!$K$857*EFEITO!$Y$857</f>
        <v>0</v>
      </c>
      <c r="N857" s="79">
        <f ca="1">$K$857-EFEITO!$M$857*EFEITO!$Z$857</f>
        <v>0</v>
      </c>
      <c r="O857" s="79">
        <f>$L$857-EFEITO!$O$857*EFEITO!$AA$857</f>
        <v>0</v>
      </c>
      <c r="P857" s="18"/>
      <c r="Q857" s="18"/>
      <c r="R857" s="18"/>
      <c r="S857" s="18"/>
      <c r="T857" s="18"/>
      <c r="U857" s="18"/>
      <c r="V857" s="18"/>
      <c r="W857" s="18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spans="1:36" ht="11.25" customHeight="1" x14ac:dyDescent="0.2">
      <c r="A858" s="70" t="s">
        <v>21</v>
      </c>
      <c r="B858" s="70" t="s">
        <v>22</v>
      </c>
      <c r="C858" s="70" t="s">
        <v>23</v>
      </c>
      <c r="D858" s="70" t="s">
        <v>24</v>
      </c>
      <c r="E858" s="70" t="s">
        <v>32</v>
      </c>
      <c r="F858" s="70" t="s">
        <v>25</v>
      </c>
      <c r="G858" s="70" t="s">
        <v>25</v>
      </c>
      <c r="H858" s="70" t="s">
        <v>25</v>
      </c>
      <c r="I858" s="78">
        <v>44621</v>
      </c>
      <c r="J858" s="79">
        <f>EFEITO!$J$858*EFEITO!$Y$752</f>
        <v>0</v>
      </c>
      <c r="K858" s="79">
        <f ca="1">EFEITO!$L$858*EFEITO!$Z$845</f>
        <v>6918.0223264271763</v>
      </c>
      <c r="L858" s="79">
        <f>EFEITO!$N$858*EFEITO!$AA$845</f>
        <v>7033.8736911962988</v>
      </c>
      <c r="M858" s="79">
        <f>$J$858-EFEITO!$K$858*EFEITO!$Y$858</f>
        <v>0</v>
      </c>
      <c r="N858" s="79">
        <f ca="1">$K$858-EFEITO!$M$858*EFEITO!$Z$858</f>
        <v>0</v>
      </c>
      <c r="O858" s="79">
        <f>$L$858-EFEITO!$O$858*EFEITO!$AA$858</f>
        <v>0</v>
      </c>
      <c r="P858" s="18"/>
      <c r="Q858" s="18"/>
      <c r="R858" s="18"/>
      <c r="S858" s="18"/>
      <c r="T858" s="18"/>
      <c r="U858" s="18"/>
      <c r="V858" s="18"/>
      <c r="W858" s="18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spans="1:36" ht="11.25" customHeight="1" x14ac:dyDescent="0.2">
      <c r="A859" s="70" t="s">
        <v>21</v>
      </c>
      <c r="B859" s="70" t="s">
        <v>22</v>
      </c>
      <c r="C859" s="70" t="s">
        <v>23</v>
      </c>
      <c r="D859" s="70" t="s">
        <v>24</v>
      </c>
      <c r="E859" s="70" t="s">
        <v>32</v>
      </c>
      <c r="F859" s="70" t="s">
        <v>25</v>
      </c>
      <c r="G859" s="70" t="s">
        <v>25</v>
      </c>
      <c r="H859" s="70" t="s">
        <v>25</v>
      </c>
      <c r="I859" s="78">
        <v>44652</v>
      </c>
      <c r="J859" s="79">
        <f>EFEITO!$J$859*EFEITO!$Y$752</f>
        <v>0</v>
      </c>
      <c r="K859" s="79">
        <f ca="1">EFEITO!$L$859*EFEITO!$Z$845</f>
        <v>8920.0229833282683</v>
      </c>
      <c r="L859" s="79">
        <f>EFEITO!$N$859*EFEITO!$AA$845</f>
        <v>9069.400477014995</v>
      </c>
      <c r="M859" s="79">
        <f>$J$859-EFEITO!$K$859*EFEITO!$Y$859</f>
        <v>0</v>
      </c>
      <c r="N859" s="79">
        <f ca="1">$K$859-EFEITO!$M$859*EFEITO!$Z$859</f>
        <v>0</v>
      </c>
      <c r="O859" s="79">
        <f>$L$859-EFEITO!$O$859*EFEITO!$AA$859</f>
        <v>0</v>
      </c>
      <c r="P859" s="18"/>
      <c r="Q859" s="18"/>
      <c r="R859" s="18"/>
      <c r="S859" s="18"/>
      <c r="T859" s="18"/>
      <c r="U859" s="18"/>
      <c r="V859" s="18"/>
      <c r="W859" s="18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spans="1:36" ht="11.25" customHeight="1" x14ac:dyDescent="0.2">
      <c r="A860" s="70" t="s">
        <v>21</v>
      </c>
      <c r="B860" s="70" t="s">
        <v>22</v>
      </c>
      <c r="C860" s="70" t="s">
        <v>23</v>
      </c>
      <c r="D860" s="70" t="s">
        <v>24</v>
      </c>
      <c r="E860" s="70" t="s">
        <v>32</v>
      </c>
      <c r="F860" s="70" t="s">
        <v>25</v>
      </c>
      <c r="G860" s="70" t="s">
        <v>25</v>
      </c>
      <c r="H860" s="70" t="s">
        <v>25</v>
      </c>
      <c r="I860" s="78">
        <v>44682</v>
      </c>
      <c r="J860" s="79">
        <f>EFEITO!$J$860*EFEITO!$Y$752</f>
        <v>0</v>
      </c>
      <c r="K860" s="79">
        <f ca="1">EFEITO!$L$860*EFEITO!$Z$845</f>
        <v>8335.854356248863</v>
      </c>
      <c r="L860" s="79">
        <f>EFEITO!$N$860*EFEITO!$AA$845</f>
        <v>8475.4491794686382</v>
      </c>
      <c r="M860" s="79">
        <f>$J$860-EFEITO!$K$860*EFEITO!$Y$860</f>
        <v>0</v>
      </c>
      <c r="N860" s="79">
        <f ca="1">$K$860-EFEITO!$M$860*EFEITO!$Z$860</f>
        <v>0</v>
      </c>
      <c r="O860" s="79">
        <f>$L$860-EFEITO!$O$860*EFEITO!$AA$860</f>
        <v>0</v>
      </c>
      <c r="P860" s="18"/>
      <c r="Q860" s="18"/>
      <c r="R860" s="18"/>
      <c r="S860" s="18"/>
      <c r="T860" s="18"/>
      <c r="U860" s="18"/>
      <c r="V860" s="18"/>
      <c r="W860" s="18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spans="1:36" ht="11.25" customHeight="1" x14ac:dyDescent="0.2">
      <c r="A861" s="70" t="s">
        <v>28</v>
      </c>
      <c r="B861" s="70" t="s">
        <v>22</v>
      </c>
      <c r="C861" s="70" t="s">
        <v>23</v>
      </c>
      <c r="D861" s="70" t="s">
        <v>24</v>
      </c>
      <c r="E861" s="70" t="s">
        <v>32</v>
      </c>
      <c r="F861" s="70" t="s">
        <v>25</v>
      </c>
      <c r="G861" s="70" t="s">
        <v>25</v>
      </c>
      <c r="H861" s="70" t="s">
        <v>25</v>
      </c>
      <c r="I861" s="78">
        <v>44682</v>
      </c>
      <c r="J861" s="79">
        <f>EFEITO!$J$861*EFEITO!$Y$752</f>
        <v>0</v>
      </c>
      <c r="K861" s="79">
        <f ca="1">EFEITO!$L$861*EFEITO!$Z$845</f>
        <v>9.7458896743310852</v>
      </c>
      <c r="L861" s="79">
        <f>EFEITO!$N$861*EFEITO!$AA$845</f>
        <v>9.9090973898291157</v>
      </c>
      <c r="M861" s="79">
        <f>$J$861-EFEITO!$K$861*EFEITO!$Y$861</f>
        <v>0</v>
      </c>
      <c r="N861" s="79">
        <f ca="1">$K$861-EFEITO!$M$861*EFEITO!$Z$861</f>
        <v>0</v>
      </c>
      <c r="O861" s="79">
        <f>$L$861-EFEITO!$O$861*EFEITO!$AA$861</f>
        <v>0</v>
      </c>
      <c r="P861" s="18"/>
      <c r="Q861" s="18"/>
      <c r="R861" s="18"/>
      <c r="S861" s="18"/>
      <c r="T861" s="18"/>
      <c r="U861" s="18"/>
      <c r="V861" s="18"/>
      <c r="W861" s="18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spans="1:36" ht="11.25" customHeight="1" x14ac:dyDescent="0.2">
      <c r="A862" s="70" t="s">
        <v>21</v>
      </c>
      <c r="B862" s="70" t="s">
        <v>22</v>
      </c>
      <c r="C862" s="70" t="s">
        <v>23</v>
      </c>
      <c r="D862" s="70" t="s">
        <v>24</v>
      </c>
      <c r="E862" s="70" t="s">
        <v>32</v>
      </c>
      <c r="F862" s="70" t="s">
        <v>25</v>
      </c>
      <c r="G862" s="70" t="s">
        <v>25</v>
      </c>
      <c r="H862" s="70" t="s">
        <v>25</v>
      </c>
      <c r="I862" s="78">
        <v>44713</v>
      </c>
      <c r="J862" s="79">
        <f>EFEITO!$J$862*EFEITO!$Y$752</f>
        <v>0</v>
      </c>
      <c r="K862" s="79">
        <f ca="1">EFEITO!$L$862*EFEITO!$Z$845</f>
        <v>9539.6666488222381</v>
      </c>
      <c r="L862" s="79">
        <f>EFEITO!$N$862*EFEITO!$AA$845</f>
        <v>9699.4208890603313</v>
      </c>
      <c r="M862" s="79">
        <f>$J$862-EFEITO!$K$862*EFEITO!$Y$862</f>
        <v>0</v>
      </c>
      <c r="N862" s="79">
        <f ca="1">$K$862-EFEITO!$M$862*EFEITO!$Z$862</f>
        <v>0</v>
      </c>
      <c r="O862" s="79">
        <f>$L$862-EFEITO!$O$862*EFEITO!$AA$862</f>
        <v>0</v>
      </c>
      <c r="P862" s="18"/>
      <c r="Q862" s="18"/>
      <c r="R862" s="18"/>
      <c r="S862" s="18"/>
      <c r="T862" s="18"/>
      <c r="U862" s="18"/>
      <c r="V862" s="18"/>
      <c r="W862" s="18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spans="1:36" ht="11.25" customHeight="1" x14ac:dyDescent="0.2">
      <c r="A863" s="70" t="s">
        <v>28</v>
      </c>
      <c r="B863" s="70" t="s">
        <v>22</v>
      </c>
      <c r="C863" s="70" t="s">
        <v>23</v>
      </c>
      <c r="D863" s="70" t="s">
        <v>24</v>
      </c>
      <c r="E863" s="70" t="s">
        <v>32</v>
      </c>
      <c r="F863" s="70" t="s">
        <v>25</v>
      </c>
      <c r="G863" s="70" t="s">
        <v>25</v>
      </c>
      <c r="H863" s="70" t="s">
        <v>25</v>
      </c>
      <c r="I863" s="78">
        <v>44713</v>
      </c>
      <c r="J863" s="79">
        <f>EFEITO!$J$863*EFEITO!$Y$752</f>
        <v>0</v>
      </c>
      <c r="K863" s="79">
        <f ca="1">EFEITO!$L$863*EFEITO!$Z$845</f>
        <v>9.7458896743310852</v>
      </c>
      <c r="L863" s="79">
        <f>EFEITO!$N$863*EFEITO!$AA$845</f>
        <v>9.9090973898291157</v>
      </c>
      <c r="M863" s="79">
        <f>$J$863-EFEITO!$K$863*EFEITO!$Y$863</f>
        <v>0</v>
      </c>
      <c r="N863" s="79">
        <f ca="1">$K$863-EFEITO!$M$863*EFEITO!$Z$863</f>
        <v>0</v>
      </c>
      <c r="O863" s="79">
        <f>$L$863-EFEITO!$O$863*EFEITO!$AA$863</f>
        <v>0</v>
      </c>
      <c r="P863" s="18"/>
      <c r="Q863" s="18"/>
      <c r="R863" s="18"/>
      <c r="S863" s="18"/>
      <c r="T863" s="18"/>
      <c r="U863" s="18"/>
      <c r="V863" s="18"/>
      <c r="W863" s="18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spans="1:36" ht="11.25" customHeight="1" x14ac:dyDescent="0.2">
      <c r="A864" s="70" t="s">
        <v>21</v>
      </c>
      <c r="B864" s="70" t="s">
        <v>41</v>
      </c>
      <c r="C864" s="70" t="s">
        <v>23</v>
      </c>
      <c r="D864" s="70" t="s">
        <v>42</v>
      </c>
      <c r="E864" s="70" t="s">
        <v>50</v>
      </c>
      <c r="F864" s="70" t="s">
        <v>51</v>
      </c>
      <c r="G864" s="70" t="s">
        <v>25</v>
      </c>
      <c r="H864" s="70" t="s">
        <v>25</v>
      </c>
      <c r="I864" s="78">
        <v>44378</v>
      </c>
      <c r="J864" s="79">
        <f>EFEITO!$J$864*EFEITO!$Y$752</f>
        <v>0</v>
      </c>
      <c r="K864" s="79">
        <f ca="1">EFEITO!$L$864*EFEITO!$Z$752</f>
        <v>18796.535128799998</v>
      </c>
      <c r="L864" s="79">
        <f>EFEITO!$N$864*EFEITO!$AA$752</f>
        <v>12750.035611493122</v>
      </c>
      <c r="M864" s="79">
        <f>$J$864-EFEITO!$K$864*EFEITO!$Y$864</f>
        <v>0</v>
      </c>
      <c r="N864" s="79">
        <f ca="1">$K$864-EFEITO!$M$864*EFEITO!$Z$864</f>
        <v>11729.037920371198</v>
      </c>
      <c r="O864" s="79">
        <f>$L$864-EFEITO!$O$864*EFEITO!$AA$864</f>
        <v>7956.0222215717076</v>
      </c>
      <c r="P864" s="18"/>
      <c r="Q864" s="18"/>
      <c r="R864" s="18"/>
      <c r="S864" s="18"/>
      <c r="T864" s="18"/>
      <c r="U864" s="18"/>
      <c r="V864" s="18"/>
      <c r="W864" s="18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spans="1:36" ht="11.25" customHeight="1" x14ac:dyDescent="0.2">
      <c r="A865" s="70" t="s">
        <v>27</v>
      </c>
      <c r="B865" s="70" t="s">
        <v>41</v>
      </c>
      <c r="C865" s="70" t="s">
        <v>23</v>
      </c>
      <c r="D865" s="70" t="s">
        <v>42</v>
      </c>
      <c r="E865" s="70" t="s">
        <v>50</v>
      </c>
      <c r="F865" s="70" t="s">
        <v>51</v>
      </c>
      <c r="G865" s="70" t="s">
        <v>25</v>
      </c>
      <c r="H865" s="70" t="s">
        <v>25</v>
      </c>
      <c r="I865" s="78">
        <v>44378</v>
      </c>
      <c r="J865" s="79">
        <f>EFEITO!$J$865*EFEITO!$Y$752</f>
        <v>0</v>
      </c>
      <c r="K865" s="79">
        <f ca="1">EFEITO!$L$865*EFEITO!$Z$752</f>
        <v>-325.47353902981587</v>
      </c>
      <c r="L865" s="79">
        <f>EFEITO!$N$865*EFEITO!$AA$752</f>
        <v>-220.77468984539271</v>
      </c>
      <c r="M865" s="79">
        <f>$J$865-EFEITO!$K$865*EFEITO!$Y$865</f>
        <v>0</v>
      </c>
      <c r="N865" s="79">
        <f ca="1">$K$865-EFEITO!$M$865*EFEITO!$Z$865</f>
        <v>-203.09548835460512</v>
      </c>
      <c r="O865" s="79">
        <f>$L$865-EFEITO!$O$865*EFEITO!$AA$865</f>
        <v>-137.76340646352509</v>
      </c>
      <c r="P865" s="18"/>
      <c r="Q865" s="18"/>
      <c r="R865" s="18"/>
      <c r="S865" s="18"/>
      <c r="T865" s="18"/>
      <c r="U865" s="18"/>
      <c r="V865" s="18"/>
      <c r="W865" s="18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spans="1:36" ht="11.25" customHeight="1" x14ac:dyDescent="0.2">
      <c r="A866" s="70" t="s">
        <v>28</v>
      </c>
      <c r="B866" s="70" t="s">
        <v>41</v>
      </c>
      <c r="C866" s="70" t="s">
        <v>23</v>
      </c>
      <c r="D866" s="70" t="s">
        <v>42</v>
      </c>
      <c r="E866" s="70" t="s">
        <v>50</v>
      </c>
      <c r="F866" s="70" t="s">
        <v>51</v>
      </c>
      <c r="G866" s="70" t="s">
        <v>25</v>
      </c>
      <c r="H866" s="70" t="s">
        <v>25</v>
      </c>
      <c r="I866" s="78">
        <v>44378</v>
      </c>
      <c r="J866" s="79">
        <f>EFEITO!$J$866*EFEITO!$Y$752</f>
        <v>0</v>
      </c>
      <c r="K866" s="79">
        <f ca="1">EFEITO!$L$866*EFEITO!$Z$752</f>
        <v>127.67678326394032</v>
      </c>
      <c r="L866" s="79">
        <f>EFEITO!$N$866*EFEITO!$AA$752</f>
        <v>86.605511187106472</v>
      </c>
      <c r="M866" s="79">
        <f>$J$866-EFEITO!$K$866*EFEITO!$Y$866</f>
        <v>0</v>
      </c>
      <c r="N866" s="79">
        <f ca="1">$K$866-EFEITO!$M$866*EFEITO!$Z$866</f>
        <v>79.670312756698763</v>
      </c>
      <c r="O866" s="79">
        <f>$L$866-EFEITO!$O$866*EFEITO!$AA$866</f>
        <v>54.041838980754441</v>
      </c>
      <c r="P866" s="18"/>
      <c r="Q866" s="18"/>
      <c r="R866" s="18"/>
      <c r="S866" s="18"/>
      <c r="T866" s="18"/>
      <c r="U866" s="18"/>
      <c r="V866" s="18"/>
      <c r="W866" s="18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spans="1:36" ht="11.25" customHeight="1" x14ac:dyDescent="0.2">
      <c r="A867" s="70" t="s">
        <v>21</v>
      </c>
      <c r="B867" s="70" t="s">
        <v>41</v>
      </c>
      <c r="C867" s="70" t="s">
        <v>23</v>
      </c>
      <c r="D867" s="70" t="s">
        <v>42</v>
      </c>
      <c r="E867" s="70" t="s">
        <v>50</v>
      </c>
      <c r="F867" s="70" t="s">
        <v>51</v>
      </c>
      <c r="G867" s="70" t="s">
        <v>25</v>
      </c>
      <c r="H867" s="70" t="s">
        <v>25</v>
      </c>
      <c r="I867" s="78">
        <v>44409</v>
      </c>
      <c r="J867" s="79">
        <f>EFEITO!$J$867*EFEITO!$Y$752</f>
        <v>0</v>
      </c>
      <c r="K867" s="79">
        <f ca="1">EFEITO!$L$867*EFEITO!$Z$752</f>
        <v>26245.90570747434</v>
      </c>
      <c r="L867" s="79">
        <f>EFEITO!$N$867*EFEITO!$AA$752</f>
        <v>17803.080734462579</v>
      </c>
      <c r="M867" s="79">
        <f>$J$867-EFEITO!$K$867*EFEITO!$Y$867</f>
        <v>0</v>
      </c>
      <c r="N867" s="79">
        <f ca="1">$K$867-EFEITO!$M$867*EFEITO!$Z$867</f>
        <v>16377.445161463987</v>
      </c>
      <c r="O867" s="79">
        <f>$L$867-EFEITO!$O$867*EFEITO!$AA$867</f>
        <v>11109.122378304648</v>
      </c>
      <c r="P867" s="18"/>
      <c r="Q867" s="18"/>
      <c r="R867" s="18"/>
      <c r="S867" s="18"/>
      <c r="T867" s="18"/>
      <c r="U867" s="18"/>
      <c r="V867" s="18"/>
      <c r="W867" s="18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spans="1:36" ht="11.25" customHeight="1" x14ac:dyDescent="0.2">
      <c r="A868" s="70" t="s">
        <v>27</v>
      </c>
      <c r="B868" s="70" t="s">
        <v>41</v>
      </c>
      <c r="C868" s="70" t="s">
        <v>23</v>
      </c>
      <c r="D868" s="70" t="s">
        <v>42</v>
      </c>
      <c r="E868" s="70" t="s">
        <v>50</v>
      </c>
      <c r="F868" s="70" t="s">
        <v>51</v>
      </c>
      <c r="G868" s="70" t="s">
        <v>25</v>
      </c>
      <c r="H868" s="70" t="s">
        <v>25</v>
      </c>
      <c r="I868" s="78">
        <v>44409</v>
      </c>
      <c r="J868" s="79">
        <f>EFEITO!$J$868*EFEITO!$Y$752</f>
        <v>0</v>
      </c>
      <c r="K868" s="79">
        <f ca="1">EFEITO!$L$868*EFEITO!$Z$752</f>
        <v>-26.879322792408487</v>
      </c>
      <c r="L868" s="79">
        <f>EFEITO!$N$868*EFEITO!$AA$752</f>
        <v>-18.232739197285571</v>
      </c>
      <c r="M868" s="79">
        <f>$J$868-EFEITO!$K$868*EFEITO!$Y$868</f>
        <v>0</v>
      </c>
      <c r="N868" s="79">
        <f ca="1">$K$868-EFEITO!$M$868*EFEITO!$Z$868</f>
        <v>-16.772697422462898</v>
      </c>
      <c r="O868" s="79">
        <f>$L$868-EFEITO!$O$868*EFEITO!$AA$868</f>
        <v>-11.377229259106198</v>
      </c>
      <c r="P868" s="18"/>
      <c r="Q868" s="18"/>
      <c r="R868" s="18"/>
      <c r="S868" s="18"/>
      <c r="T868" s="18"/>
      <c r="U868" s="18"/>
      <c r="V868" s="18"/>
      <c r="W868" s="18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spans="1:36" ht="11.25" customHeight="1" x14ac:dyDescent="0.2">
      <c r="A869" s="70" t="s">
        <v>28</v>
      </c>
      <c r="B869" s="70" t="s">
        <v>41</v>
      </c>
      <c r="C869" s="70" t="s">
        <v>23</v>
      </c>
      <c r="D869" s="70" t="s">
        <v>42</v>
      </c>
      <c r="E869" s="70" t="s">
        <v>50</v>
      </c>
      <c r="F869" s="70" t="s">
        <v>51</v>
      </c>
      <c r="G869" s="70" t="s">
        <v>25</v>
      </c>
      <c r="H869" s="70" t="s">
        <v>25</v>
      </c>
      <c r="I869" s="78">
        <v>44409</v>
      </c>
      <c r="J869" s="79">
        <f>EFEITO!$J$869*EFEITO!$Y$752</f>
        <v>0</v>
      </c>
      <c r="K869" s="79">
        <f ca="1">EFEITO!$L$869*EFEITO!$Z$752</f>
        <v>152.21877363961764</v>
      </c>
      <c r="L869" s="79">
        <f>EFEITO!$N$869*EFEITO!$AA$752</f>
        <v>103.25279480201938</v>
      </c>
      <c r="M869" s="79">
        <f>$J$869-EFEITO!$K$869*EFEITO!$Y$869</f>
        <v>0</v>
      </c>
      <c r="N869" s="79">
        <f ca="1">$K$869-EFEITO!$M$869*EFEITO!$Z$869</f>
        <v>94.984514751121409</v>
      </c>
      <c r="O869" s="79">
        <f>$L$869-EFEITO!$O$869*EFEITO!$AA$869</f>
        <v>64.429743956460101</v>
      </c>
      <c r="P869" s="18"/>
      <c r="Q869" s="18"/>
      <c r="R869" s="18"/>
      <c r="S869" s="18"/>
      <c r="T869" s="18"/>
      <c r="U869" s="18"/>
      <c r="V869" s="18"/>
      <c r="W869" s="18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spans="1:36" ht="11.25" customHeight="1" x14ac:dyDescent="0.2">
      <c r="A870" s="70" t="s">
        <v>21</v>
      </c>
      <c r="B870" s="70" t="s">
        <v>41</v>
      </c>
      <c r="C870" s="70" t="s">
        <v>23</v>
      </c>
      <c r="D870" s="70" t="s">
        <v>42</v>
      </c>
      <c r="E870" s="70" t="s">
        <v>50</v>
      </c>
      <c r="F870" s="70" t="s">
        <v>51</v>
      </c>
      <c r="G870" s="70" t="s">
        <v>25</v>
      </c>
      <c r="H870" s="70" t="s">
        <v>25</v>
      </c>
      <c r="I870" s="78">
        <v>44440</v>
      </c>
      <c r="J870" s="79">
        <f>EFEITO!$J$870*EFEITO!$Y$752</f>
        <v>0</v>
      </c>
      <c r="K870" s="79">
        <f ca="1">EFEITO!$L$870*EFEITO!$Z$752</f>
        <v>37058.405467272751</v>
      </c>
      <c r="L870" s="79">
        <f>EFEITO!$N$870*EFEITO!$AA$752</f>
        <v>25137.3982585185</v>
      </c>
      <c r="M870" s="79">
        <f>$J$870-EFEITO!$K$870*EFEITO!$Y$870</f>
        <v>0</v>
      </c>
      <c r="N870" s="79">
        <f ca="1">$K$870-EFEITO!$M$870*EFEITO!$Z$870</f>
        <v>23124.445011578202</v>
      </c>
      <c r="O870" s="79">
        <f>$L$870-EFEITO!$O$870*EFEITO!$AA$870</f>
        <v>15685.736513315545</v>
      </c>
      <c r="P870" s="18"/>
      <c r="Q870" s="18"/>
      <c r="R870" s="18"/>
      <c r="S870" s="18"/>
      <c r="T870" s="18"/>
      <c r="U870" s="18"/>
      <c r="V870" s="18"/>
      <c r="W870" s="18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spans="1:36" ht="11.25" customHeight="1" x14ac:dyDescent="0.2">
      <c r="A871" s="70" t="s">
        <v>27</v>
      </c>
      <c r="B871" s="70" t="s">
        <v>41</v>
      </c>
      <c r="C871" s="70" t="s">
        <v>23</v>
      </c>
      <c r="D871" s="70" t="s">
        <v>42</v>
      </c>
      <c r="E871" s="70" t="s">
        <v>50</v>
      </c>
      <c r="F871" s="70" t="s">
        <v>51</v>
      </c>
      <c r="G871" s="70" t="s">
        <v>25</v>
      </c>
      <c r="H871" s="70" t="s">
        <v>25</v>
      </c>
      <c r="I871" s="78">
        <v>44440</v>
      </c>
      <c r="J871" s="79">
        <f>EFEITO!$J$871*EFEITO!$Y$752</f>
        <v>0</v>
      </c>
      <c r="K871" s="79">
        <f ca="1">EFEITO!$L$871*EFEITO!$Z$752</f>
        <v>-639.84474908015864</v>
      </c>
      <c r="L871" s="79">
        <f>EFEITO!$N$871*EFEITO!$AA$752</f>
        <v>-434.01846567451526</v>
      </c>
      <c r="M871" s="79">
        <f>$J$871-EFEITO!$K$871*EFEITO!$Y$871</f>
        <v>0</v>
      </c>
      <c r="N871" s="79">
        <f ca="1">$K$871-EFEITO!$M$871*EFEITO!$Z$871</f>
        <v>-399.26312342601904</v>
      </c>
      <c r="O871" s="79">
        <f>$L$871-EFEITO!$O$871*EFEITO!$AA$871</f>
        <v>-270.82752258089749</v>
      </c>
      <c r="P871" s="18"/>
      <c r="Q871" s="18"/>
      <c r="R871" s="18"/>
      <c r="S871" s="18"/>
      <c r="T871" s="18"/>
      <c r="U871" s="18"/>
      <c r="V871" s="18"/>
      <c r="W871" s="18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spans="1:36" ht="11.25" customHeight="1" x14ac:dyDescent="0.2">
      <c r="A872" s="70" t="s">
        <v>28</v>
      </c>
      <c r="B872" s="70" t="s">
        <v>41</v>
      </c>
      <c r="C872" s="70" t="s">
        <v>23</v>
      </c>
      <c r="D872" s="70" t="s">
        <v>42</v>
      </c>
      <c r="E872" s="70" t="s">
        <v>50</v>
      </c>
      <c r="F872" s="70" t="s">
        <v>51</v>
      </c>
      <c r="G872" s="70" t="s">
        <v>25</v>
      </c>
      <c r="H872" s="70" t="s">
        <v>25</v>
      </c>
      <c r="I872" s="78">
        <v>44440</v>
      </c>
      <c r="J872" s="79">
        <f>EFEITO!$J$872*EFEITO!$Y$752</f>
        <v>0</v>
      </c>
      <c r="K872" s="79">
        <f ca="1">EFEITO!$L$872*EFEITO!$Z$752</f>
        <v>493.46930648236889</v>
      </c>
      <c r="L872" s="79">
        <f>EFEITO!$N$872*EFEITO!$AA$752</f>
        <v>334.72930982842752</v>
      </c>
      <c r="M872" s="79">
        <f>$J$872-EFEITO!$K$872*EFEITO!$Y$872</f>
        <v>0</v>
      </c>
      <c r="N872" s="79">
        <f ca="1">$K$872-EFEITO!$M$872*EFEITO!$Z$872</f>
        <v>307.9248472449982</v>
      </c>
      <c r="O872" s="79">
        <f>$L$872-EFEITO!$O$872*EFEITO!$AA$872</f>
        <v>208.87108933293877</v>
      </c>
      <c r="P872" s="18"/>
      <c r="Q872" s="18"/>
      <c r="R872" s="18"/>
      <c r="S872" s="18"/>
      <c r="T872" s="18"/>
      <c r="U872" s="18"/>
      <c r="V872" s="18"/>
      <c r="W872" s="18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spans="1:36" ht="11.25" customHeight="1" x14ac:dyDescent="0.2">
      <c r="A873" s="70" t="s">
        <v>21</v>
      </c>
      <c r="B873" s="70" t="s">
        <v>41</v>
      </c>
      <c r="C873" s="70" t="s">
        <v>23</v>
      </c>
      <c r="D873" s="70" t="s">
        <v>42</v>
      </c>
      <c r="E873" s="70" t="s">
        <v>50</v>
      </c>
      <c r="F873" s="70" t="s">
        <v>51</v>
      </c>
      <c r="G873" s="70" t="s">
        <v>25</v>
      </c>
      <c r="H873" s="70" t="s">
        <v>25</v>
      </c>
      <c r="I873" s="78">
        <v>44470</v>
      </c>
      <c r="J873" s="79">
        <f>EFEITO!$J$873*EFEITO!$Y$752</f>
        <v>0</v>
      </c>
      <c r="K873" s="79">
        <f ca="1">EFEITO!$L$873*EFEITO!$Z$752</f>
        <v>24732.775134193002</v>
      </c>
      <c r="L873" s="79">
        <f>EFEITO!$N$873*EFEITO!$AA$752</f>
        <v>16776.696426824084</v>
      </c>
      <c r="M873" s="79">
        <f>$J$873-EFEITO!$K$873*EFEITO!$Y$873</f>
        <v>0</v>
      </c>
      <c r="N873" s="79">
        <f ca="1">$K$873-EFEITO!$M$873*EFEITO!$Z$873</f>
        <v>15433.251683736436</v>
      </c>
      <c r="O873" s="79">
        <f>$L$873-EFEITO!$O$873*EFEITO!$AA$873</f>
        <v>10468.65857033823</v>
      </c>
      <c r="P873" s="18"/>
      <c r="Q873" s="18"/>
      <c r="R873" s="18"/>
      <c r="S873" s="18"/>
      <c r="T873" s="18"/>
      <c r="U873" s="18"/>
      <c r="V873" s="18"/>
      <c r="W873" s="18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spans="1:36" ht="11.25" customHeight="1" x14ac:dyDescent="0.2">
      <c r="A874" s="70" t="s">
        <v>27</v>
      </c>
      <c r="B874" s="70" t="s">
        <v>41</v>
      </c>
      <c r="C874" s="70" t="s">
        <v>23</v>
      </c>
      <c r="D874" s="70" t="s">
        <v>42</v>
      </c>
      <c r="E874" s="70" t="s">
        <v>50</v>
      </c>
      <c r="F874" s="70" t="s">
        <v>51</v>
      </c>
      <c r="G874" s="70" t="s">
        <v>25</v>
      </c>
      <c r="H874" s="70" t="s">
        <v>25</v>
      </c>
      <c r="I874" s="78">
        <v>44470</v>
      </c>
      <c r="J874" s="79">
        <f>EFEITO!$J$874*EFEITO!$Y$752</f>
        <v>0</v>
      </c>
      <c r="K874" s="79">
        <f ca="1">EFEITO!$L$874*EFEITO!$Z$752</f>
        <v>-1751.2463132358314</v>
      </c>
      <c r="L874" s="79">
        <f>EFEITO!$N$874*EFEITO!$AA$752</f>
        <v>-1187.9025950927144</v>
      </c>
      <c r="M874" s="79">
        <f>$J$874-EFEITO!$K$874*EFEITO!$Y$874</f>
        <v>0</v>
      </c>
      <c r="N874" s="79">
        <f ca="1">$K$874-EFEITO!$M$874*EFEITO!$Z$874</f>
        <v>-1092.7776994591588</v>
      </c>
      <c r="O874" s="79">
        <f>$L$874-EFEITO!$O$874*EFEITO!$AA$874</f>
        <v>-741.25121933785374</v>
      </c>
      <c r="P874" s="18"/>
      <c r="Q874" s="18"/>
      <c r="R874" s="18"/>
      <c r="S874" s="18"/>
      <c r="T874" s="18"/>
      <c r="U874" s="18"/>
      <c r="V874" s="18"/>
      <c r="W874" s="18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spans="1:36" ht="11.25" customHeight="1" x14ac:dyDescent="0.2">
      <c r="A875" s="70" t="s">
        <v>28</v>
      </c>
      <c r="B875" s="70" t="s">
        <v>41</v>
      </c>
      <c r="C875" s="70" t="s">
        <v>23</v>
      </c>
      <c r="D875" s="70" t="s">
        <v>42</v>
      </c>
      <c r="E875" s="70" t="s">
        <v>50</v>
      </c>
      <c r="F875" s="70" t="s">
        <v>51</v>
      </c>
      <c r="G875" s="70" t="s">
        <v>25</v>
      </c>
      <c r="H875" s="70" t="s">
        <v>25</v>
      </c>
      <c r="I875" s="78">
        <v>44470</v>
      </c>
      <c r="J875" s="79">
        <f>EFEITO!$J$875*EFEITO!$Y$752</f>
        <v>0</v>
      </c>
      <c r="K875" s="79">
        <f ca="1">EFEITO!$L$875*EFEITO!$Z$752</f>
        <v>1315.3338175154674</v>
      </c>
      <c r="L875" s="79">
        <f>EFEITO!$N$875*EFEITO!$AA$752</f>
        <v>892.21512898021354</v>
      </c>
      <c r="M875" s="79">
        <f>$J$875-EFEITO!$K$875*EFEITO!$Y$875</f>
        <v>0</v>
      </c>
      <c r="N875" s="79">
        <f ca="1">$K$875-EFEITO!$M$875*EFEITO!$Z$875</f>
        <v>820.76830212965172</v>
      </c>
      <c r="O875" s="79">
        <f>$L$875-EFEITO!$O$875*EFEITO!$AA$875</f>
        <v>556.74224048365318</v>
      </c>
      <c r="P875" s="18"/>
      <c r="Q875" s="18"/>
      <c r="R875" s="18"/>
      <c r="S875" s="18"/>
      <c r="T875" s="18"/>
      <c r="U875" s="18"/>
      <c r="V875" s="18"/>
      <c r="W875" s="18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spans="1:36" ht="11.25" customHeight="1" x14ac:dyDescent="0.2">
      <c r="A876" s="70" t="s">
        <v>21</v>
      </c>
      <c r="B876" s="70" t="s">
        <v>41</v>
      </c>
      <c r="C876" s="70" t="s">
        <v>23</v>
      </c>
      <c r="D876" s="70" t="s">
        <v>42</v>
      </c>
      <c r="E876" s="70" t="s">
        <v>50</v>
      </c>
      <c r="F876" s="70" t="s">
        <v>51</v>
      </c>
      <c r="G876" s="70" t="s">
        <v>25</v>
      </c>
      <c r="H876" s="70" t="s">
        <v>25</v>
      </c>
      <c r="I876" s="78">
        <v>44501</v>
      </c>
      <c r="J876" s="79">
        <f>EFEITO!$J$876*EFEITO!$Y$752</f>
        <v>0</v>
      </c>
      <c r="K876" s="79">
        <f ca="1">EFEITO!$L$876*EFEITO!$Z$752</f>
        <v>53718.618767180458</v>
      </c>
      <c r="L876" s="79">
        <f>EFEITO!$N$876*EFEITO!$AA$752</f>
        <v>36438.327467723015</v>
      </c>
      <c r="M876" s="79">
        <f>$J$876-EFEITO!$K$876*EFEITO!$Y$876</f>
        <v>0</v>
      </c>
      <c r="N876" s="79">
        <f ca="1">$K$876-EFEITO!$M$876*EFEITO!$Z$876</f>
        <v>33520.41811072061</v>
      </c>
      <c r="O876" s="79">
        <f>$L$876-EFEITO!$O$876*EFEITO!$AA$876</f>
        <v>22737.516339859161</v>
      </c>
      <c r="P876" s="18"/>
      <c r="Q876" s="18"/>
      <c r="R876" s="18"/>
      <c r="S876" s="18"/>
      <c r="T876" s="18"/>
      <c r="U876" s="18"/>
      <c r="V876" s="18"/>
      <c r="W876" s="18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spans="1:36" ht="11.25" customHeight="1" x14ac:dyDescent="0.2">
      <c r="A877" s="70" t="s">
        <v>28</v>
      </c>
      <c r="B877" s="70" t="s">
        <v>41</v>
      </c>
      <c r="C877" s="70" t="s">
        <v>23</v>
      </c>
      <c r="D877" s="70" t="s">
        <v>42</v>
      </c>
      <c r="E877" s="70" t="s">
        <v>50</v>
      </c>
      <c r="F877" s="70" t="s">
        <v>51</v>
      </c>
      <c r="G877" s="70" t="s">
        <v>25</v>
      </c>
      <c r="H877" s="70" t="s">
        <v>25</v>
      </c>
      <c r="I877" s="78">
        <v>44501</v>
      </c>
      <c r="J877" s="79">
        <f>EFEITO!$J$877*EFEITO!$Y$752</f>
        <v>0</v>
      </c>
      <c r="K877" s="79">
        <f ca="1">EFEITO!$L$877*EFEITO!$Z$752</f>
        <v>1447.1009325086875</v>
      </c>
      <c r="L877" s="79">
        <f>EFEITO!$N$877*EFEITO!$AA$752</f>
        <v>981.5951874364722</v>
      </c>
      <c r="M877" s="79">
        <f>$J$877-EFEITO!$K$877*EFEITO!$Y$877</f>
        <v>0</v>
      </c>
      <c r="N877" s="79">
        <f ca="1">$K$877-EFEITO!$M$877*EFEITO!$Z$877</f>
        <v>902.99098188542109</v>
      </c>
      <c r="O877" s="79">
        <f>$L$877-EFEITO!$O$877*EFEITO!$AA$877</f>
        <v>612.51539696035866</v>
      </c>
      <c r="P877" s="18"/>
      <c r="Q877" s="18"/>
      <c r="R877" s="18"/>
      <c r="S877" s="18"/>
      <c r="T877" s="18"/>
      <c r="U877" s="18"/>
      <c r="V877" s="18"/>
      <c r="W877" s="18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spans="1:36" ht="11.25" customHeight="1" x14ac:dyDescent="0.2">
      <c r="A878" s="70" t="s">
        <v>21</v>
      </c>
      <c r="B878" s="70" t="s">
        <v>41</v>
      </c>
      <c r="C878" s="70" t="s">
        <v>23</v>
      </c>
      <c r="D878" s="70" t="s">
        <v>42</v>
      </c>
      <c r="E878" s="70" t="s">
        <v>50</v>
      </c>
      <c r="F878" s="70" t="s">
        <v>51</v>
      </c>
      <c r="G878" s="70" t="s">
        <v>25</v>
      </c>
      <c r="H878" s="70" t="s">
        <v>25</v>
      </c>
      <c r="I878" s="78">
        <v>44531</v>
      </c>
      <c r="J878" s="79">
        <f>EFEITO!$J$878*EFEITO!$Y$752</f>
        <v>0</v>
      </c>
      <c r="K878" s="79">
        <f ca="1">EFEITO!$L$878*EFEITO!$Z$752</f>
        <v>279622.38117735251</v>
      </c>
      <c r="L878" s="79">
        <f>EFEITO!$N$878*EFEITO!$AA$752</f>
        <v>189673.00586793607</v>
      </c>
      <c r="M878" s="79">
        <f>$J$878-EFEITO!$K$878*EFEITO!$Y$878</f>
        <v>0</v>
      </c>
      <c r="N878" s="79">
        <f ca="1">$K$878-EFEITO!$M$878*EFEITO!$Z$878</f>
        <v>174484.36585466797</v>
      </c>
      <c r="O878" s="79">
        <f>$L$878-EFEITO!$O$878*EFEITO!$AA$878</f>
        <v>118355.95566159212</v>
      </c>
      <c r="P878" s="18"/>
      <c r="Q878" s="18"/>
      <c r="R878" s="18"/>
      <c r="S878" s="18"/>
      <c r="T878" s="18"/>
      <c r="U878" s="18"/>
      <c r="V878" s="18"/>
      <c r="W878" s="18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spans="1:36" ht="11.25" customHeight="1" x14ac:dyDescent="0.2">
      <c r="A879" s="70" t="s">
        <v>27</v>
      </c>
      <c r="B879" s="70" t="s">
        <v>41</v>
      </c>
      <c r="C879" s="70" t="s">
        <v>23</v>
      </c>
      <c r="D879" s="70" t="s">
        <v>42</v>
      </c>
      <c r="E879" s="70" t="s">
        <v>50</v>
      </c>
      <c r="F879" s="70" t="s">
        <v>51</v>
      </c>
      <c r="G879" s="70" t="s">
        <v>25</v>
      </c>
      <c r="H879" s="70" t="s">
        <v>25</v>
      </c>
      <c r="I879" s="78">
        <v>44531</v>
      </c>
      <c r="J879" s="79">
        <f>EFEITO!$J$879*EFEITO!$Y$752</f>
        <v>0</v>
      </c>
      <c r="K879" s="79">
        <f ca="1">EFEITO!$L$879*EFEITO!$Z$752</f>
        <v>-22088.083504661678</v>
      </c>
      <c r="L879" s="79">
        <f>EFEITO!$N$879*EFEITO!$AA$752</f>
        <v>-14982.753435369419</v>
      </c>
      <c r="M879" s="79">
        <f>$J$879-EFEITO!$K$879*EFEITO!$Y$879</f>
        <v>0</v>
      </c>
      <c r="N879" s="79">
        <f ca="1">$K$879-EFEITO!$M$879*EFEITO!$Z$879</f>
        <v>-13782.964106908888</v>
      </c>
      <c r="O879" s="79">
        <f>$L$879-EFEITO!$O$879*EFEITO!$AA$879</f>
        <v>-9349.2381436705182</v>
      </c>
      <c r="P879" s="18"/>
      <c r="Q879" s="18"/>
      <c r="R879" s="18"/>
      <c r="S879" s="18"/>
      <c r="T879" s="18"/>
      <c r="U879" s="18"/>
      <c r="V879" s="18"/>
      <c r="W879" s="18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spans="1:36" ht="11.25" customHeight="1" x14ac:dyDescent="0.2">
      <c r="A880" s="70" t="s">
        <v>21</v>
      </c>
      <c r="B880" s="70" t="s">
        <v>41</v>
      </c>
      <c r="C880" s="70" t="s">
        <v>23</v>
      </c>
      <c r="D880" s="70" t="s">
        <v>42</v>
      </c>
      <c r="E880" s="70" t="s">
        <v>50</v>
      </c>
      <c r="F880" s="70" t="s">
        <v>51</v>
      </c>
      <c r="G880" s="70" t="s">
        <v>25</v>
      </c>
      <c r="H880" s="70" t="s">
        <v>25</v>
      </c>
      <c r="I880" s="78">
        <v>44562</v>
      </c>
      <c r="J880" s="79">
        <f>EFEITO!$J$880*EFEITO!$Y$752</f>
        <v>0</v>
      </c>
      <c r="K880" s="79">
        <f ca="1">EFEITO!$L$880*EFEITO!$Z$752</f>
        <v>325449.87353909644</v>
      </c>
      <c r="L880" s="79">
        <f>EFEITO!$N$880*EFEITO!$AA$752</f>
        <v>220758.63710762118</v>
      </c>
      <c r="M880" s="79">
        <f>$J$880-EFEITO!$K$880*EFEITO!$Y$880</f>
        <v>0</v>
      </c>
      <c r="N880" s="79">
        <f ca="1">$K$880-EFEITO!$M$880*EFEITO!$Z$880</f>
        <v>203080.72108839618</v>
      </c>
      <c r="O880" s="79">
        <f>$L$880-EFEITO!$O$880*EFEITO!$AA$880</f>
        <v>137753.38955515562</v>
      </c>
      <c r="P880" s="18"/>
      <c r="Q880" s="18"/>
      <c r="R880" s="18"/>
      <c r="S880" s="18"/>
      <c r="T880" s="18"/>
      <c r="U880" s="18"/>
      <c r="V880" s="18"/>
      <c r="W880" s="18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spans="1:36" ht="11.25" customHeight="1" x14ac:dyDescent="0.2">
      <c r="A881" s="70" t="s">
        <v>27</v>
      </c>
      <c r="B881" s="70" t="s">
        <v>41</v>
      </c>
      <c r="C881" s="70" t="s">
        <v>23</v>
      </c>
      <c r="D881" s="70" t="s">
        <v>42</v>
      </c>
      <c r="E881" s="70" t="s">
        <v>50</v>
      </c>
      <c r="F881" s="70" t="s">
        <v>51</v>
      </c>
      <c r="G881" s="70" t="s">
        <v>25</v>
      </c>
      <c r="H881" s="70" t="s">
        <v>25</v>
      </c>
      <c r="I881" s="78">
        <v>44562</v>
      </c>
      <c r="J881" s="79">
        <f>EFEITO!$J$881*EFEITO!$Y$752</f>
        <v>0</v>
      </c>
      <c r="K881" s="79">
        <f ca="1">EFEITO!$L$881*EFEITO!$Z$752</f>
        <v>-2454.1990375677319</v>
      </c>
      <c r="L881" s="79">
        <f>EFEITO!$N$881*EFEITO!$AA$752</f>
        <v>-1664.7283614912915</v>
      </c>
      <c r="M881" s="79">
        <f>$J$881-EFEITO!$K$881*EFEITO!$Y$881</f>
        <v>0</v>
      </c>
      <c r="N881" s="79">
        <f ca="1">$K$881-EFEITO!$M$881*EFEITO!$Z$881</f>
        <v>-1531.4201994422649</v>
      </c>
      <c r="O881" s="79">
        <f>$L$881-EFEITO!$O$881*EFEITO!$AA$881</f>
        <v>-1038.790497570566</v>
      </c>
      <c r="P881" s="18"/>
      <c r="Q881" s="18"/>
      <c r="R881" s="18"/>
      <c r="S881" s="18"/>
      <c r="T881" s="18"/>
      <c r="U881" s="18"/>
      <c r="V881" s="18"/>
      <c r="W881" s="18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spans="1:36" ht="11.25" customHeight="1" x14ac:dyDescent="0.2">
      <c r="A882" s="70" t="s">
        <v>28</v>
      </c>
      <c r="B882" s="70" t="s">
        <v>41</v>
      </c>
      <c r="C882" s="70" t="s">
        <v>23</v>
      </c>
      <c r="D882" s="70" t="s">
        <v>42</v>
      </c>
      <c r="E882" s="70" t="s">
        <v>50</v>
      </c>
      <c r="F882" s="70" t="s">
        <v>51</v>
      </c>
      <c r="G882" s="70" t="s">
        <v>25</v>
      </c>
      <c r="H882" s="70" t="s">
        <v>25</v>
      </c>
      <c r="I882" s="78">
        <v>44562</v>
      </c>
      <c r="J882" s="79">
        <f>EFEITO!$J$882*EFEITO!$Y$752</f>
        <v>0</v>
      </c>
      <c r="K882" s="79">
        <f ca="1">EFEITO!$L$882*EFEITO!$Z$752</f>
        <v>17446.725658137751</v>
      </c>
      <c r="L882" s="79">
        <f>EFEITO!$N$882*EFEITO!$AA$752</f>
        <v>11834.435012672913</v>
      </c>
      <c r="M882" s="79">
        <f>$J$882-EFEITO!$K$882*EFEITO!$Y$882</f>
        <v>0</v>
      </c>
      <c r="N882" s="79">
        <f ca="1">$K$882-EFEITO!$M$882*EFEITO!$Z$882</f>
        <v>10886.756810677958</v>
      </c>
      <c r="O882" s="79">
        <f>$L$882-EFEITO!$O$882*EFEITO!$AA$882</f>
        <v>7384.6874479078988</v>
      </c>
      <c r="P882" s="18"/>
      <c r="Q882" s="18"/>
      <c r="R882" s="18"/>
      <c r="S882" s="18"/>
      <c r="T882" s="18"/>
      <c r="U882" s="18"/>
      <c r="V882" s="18"/>
      <c r="W882" s="18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spans="1:36" ht="11.25" customHeight="1" x14ac:dyDescent="0.2">
      <c r="A883" s="70" t="s">
        <v>21</v>
      </c>
      <c r="B883" s="70" t="s">
        <v>41</v>
      </c>
      <c r="C883" s="70" t="s">
        <v>23</v>
      </c>
      <c r="D883" s="70" t="s">
        <v>42</v>
      </c>
      <c r="E883" s="70" t="s">
        <v>50</v>
      </c>
      <c r="F883" s="70" t="s">
        <v>51</v>
      </c>
      <c r="G883" s="70" t="s">
        <v>25</v>
      </c>
      <c r="H883" s="70" t="s">
        <v>25</v>
      </c>
      <c r="I883" s="78">
        <v>44593</v>
      </c>
      <c r="J883" s="79">
        <f>EFEITO!$J$883*EFEITO!$Y$752</f>
        <v>0</v>
      </c>
      <c r="K883" s="79">
        <f ca="1">EFEITO!$L$883*EFEITO!$Z$752</f>
        <v>232992.89163011769</v>
      </c>
      <c r="L883" s="79">
        <f>EFEITO!$N$883*EFEITO!$AA$752</f>
        <v>158043.36518154931</v>
      </c>
      <c r="M883" s="79">
        <f>$J$883-EFEITO!$K$883*EFEITO!$Y$883</f>
        <v>0</v>
      </c>
      <c r="N883" s="79">
        <f ca="1">$K$883-EFEITO!$M$883*EFEITO!$Z$883</f>
        <v>145387.56437719346</v>
      </c>
      <c r="O883" s="79">
        <f>$L$883-EFEITO!$O$883*EFEITO!$AA$883</f>
        <v>98619.059873286766</v>
      </c>
      <c r="P883" s="18"/>
      <c r="Q883" s="18"/>
      <c r="R883" s="18"/>
      <c r="S883" s="18"/>
      <c r="T883" s="18"/>
      <c r="U883" s="18"/>
      <c r="V883" s="18"/>
      <c r="W883" s="18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spans="1:36" ht="11.25" customHeight="1" x14ac:dyDescent="0.2">
      <c r="A884" s="70" t="s">
        <v>27</v>
      </c>
      <c r="B884" s="70" t="s">
        <v>41</v>
      </c>
      <c r="C884" s="70" t="s">
        <v>23</v>
      </c>
      <c r="D884" s="70" t="s">
        <v>42</v>
      </c>
      <c r="E884" s="70" t="s">
        <v>50</v>
      </c>
      <c r="F884" s="70" t="s">
        <v>51</v>
      </c>
      <c r="G884" s="70" t="s">
        <v>25</v>
      </c>
      <c r="H884" s="70" t="s">
        <v>25</v>
      </c>
      <c r="I884" s="78">
        <v>44593</v>
      </c>
      <c r="J884" s="79">
        <f>EFEITO!$J$884*EFEITO!$Y$752</f>
        <v>0</v>
      </c>
      <c r="K884" s="79">
        <f ca="1">EFEITO!$L$884*EFEITO!$Z$752</f>
        <v>-4920.0847372191192</v>
      </c>
      <c r="L884" s="79">
        <f>EFEITO!$N$884*EFEITO!$AA$752</f>
        <v>-3337.3840008944462</v>
      </c>
      <c r="M884" s="79">
        <f>$J$884-EFEITO!$K$884*EFEITO!$Y$884</f>
        <v>0</v>
      </c>
      <c r="N884" s="79">
        <f ca="1">$K$884-EFEITO!$M$884*EFEITO!$Z$884</f>
        <v>-3070.1328760247306</v>
      </c>
      <c r="O884" s="79">
        <f>$L$884-EFEITO!$O$884*EFEITO!$AA$884</f>
        <v>-2082.5276165581345</v>
      </c>
      <c r="P884" s="18"/>
      <c r="Q884" s="18"/>
      <c r="R884" s="18"/>
      <c r="S884" s="18"/>
      <c r="T884" s="18"/>
      <c r="U884" s="18"/>
      <c r="V884" s="18"/>
      <c r="W884" s="18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spans="1:36" ht="11.25" customHeight="1" x14ac:dyDescent="0.2">
      <c r="A885" s="70" t="s">
        <v>28</v>
      </c>
      <c r="B885" s="70" t="s">
        <v>41</v>
      </c>
      <c r="C885" s="70" t="s">
        <v>23</v>
      </c>
      <c r="D885" s="70" t="s">
        <v>42</v>
      </c>
      <c r="E885" s="70" t="s">
        <v>50</v>
      </c>
      <c r="F885" s="70" t="s">
        <v>51</v>
      </c>
      <c r="G885" s="70" t="s">
        <v>25</v>
      </c>
      <c r="H885" s="70" t="s">
        <v>25</v>
      </c>
      <c r="I885" s="78">
        <v>44593</v>
      </c>
      <c r="J885" s="79">
        <f>EFEITO!$J$885*EFEITO!$Y$752</f>
        <v>0</v>
      </c>
      <c r="K885" s="79">
        <f ca="1">EFEITO!$L$885*EFEITO!$Z$752</f>
        <v>11844.72418833731</v>
      </c>
      <c r="L885" s="79">
        <f>EFEITO!$N$885*EFEITO!$AA$752</f>
        <v>8034.4943456212422</v>
      </c>
      <c r="M885" s="79">
        <f>$J$885-EFEITO!$K$885*EFEITO!$Y$885</f>
        <v>0</v>
      </c>
      <c r="N885" s="79">
        <f ca="1">$K$885-EFEITO!$M$885*EFEITO!$Z$885</f>
        <v>7391.1078935224814</v>
      </c>
      <c r="O885" s="79">
        <f>$L$885-EFEITO!$O$885*EFEITO!$AA$885</f>
        <v>5013.5244716676552</v>
      </c>
      <c r="P885" s="18"/>
      <c r="Q885" s="18"/>
      <c r="R885" s="18"/>
      <c r="S885" s="18"/>
      <c r="T885" s="18"/>
      <c r="U885" s="18"/>
      <c r="V885" s="18"/>
      <c r="W885" s="18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spans="1:36" ht="11.25" customHeight="1" x14ac:dyDescent="0.2">
      <c r="A886" s="70" t="s">
        <v>21</v>
      </c>
      <c r="B886" s="70" t="s">
        <v>41</v>
      </c>
      <c r="C886" s="70" t="s">
        <v>23</v>
      </c>
      <c r="D886" s="70" t="s">
        <v>42</v>
      </c>
      <c r="E886" s="70" t="s">
        <v>50</v>
      </c>
      <c r="F886" s="70" t="s">
        <v>51</v>
      </c>
      <c r="G886" s="70" t="s">
        <v>25</v>
      </c>
      <c r="H886" s="70" t="s">
        <v>25</v>
      </c>
      <c r="I886" s="78">
        <v>44621</v>
      </c>
      <c r="J886" s="79">
        <f>EFEITO!$J$886*EFEITO!$Y$752</f>
        <v>0</v>
      </c>
      <c r="K886" s="79">
        <f ca="1">EFEITO!$L$886*EFEITO!$Z$752</f>
        <v>163021.92406974913</v>
      </c>
      <c r="L886" s="79">
        <f>EFEITO!$N$886*EFEITO!$AA$752</f>
        <v>110580.77050374581</v>
      </c>
      <c r="M886" s="79">
        <f>$J$886-EFEITO!$K$886*EFEITO!$Y$886</f>
        <v>0</v>
      </c>
      <c r="N886" s="79">
        <f ca="1">$K$886-EFEITO!$M$886*EFEITO!$Z$886</f>
        <v>101725.68061952347</v>
      </c>
      <c r="O886" s="79">
        <f>$L$886-EFEITO!$O$886*EFEITO!$AA$886</f>
        <v>69002.400794337387</v>
      </c>
      <c r="P886" s="18"/>
      <c r="Q886" s="18"/>
      <c r="R886" s="18"/>
      <c r="S886" s="18"/>
      <c r="T886" s="18"/>
      <c r="U886" s="18"/>
      <c r="V886" s="18"/>
      <c r="W886" s="18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spans="1:36" ht="11.25" customHeight="1" x14ac:dyDescent="0.2">
      <c r="A887" s="70" t="s">
        <v>27</v>
      </c>
      <c r="B887" s="70" t="s">
        <v>41</v>
      </c>
      <c r="C887" s="70" t="s">
        <v>23</v>
      </c>
      <c r="D887" s="70" t="s">
        <v>42</v>
      </c>
      <c r="E887" s="70" t="s">
        <v>50</v>
      </c>
      <c r="F887" s="70" t="s">
        <v>51</v>
      </c>
      <c r="G887" s="70" t="s">
        <v>25</v>
      </c>
      <c r="H887" s="70" t="s">
        <v>25</v>
      </c>
      <c r="I887" s="78">
        <v>44621</v>
      </c>
      <c r="J887" s="79">
        <f>EFEITO!$J$887*EFEITO!$Y$752</f>
        <v>0</v>
      </c>
      <c r="K887" s="79">
        <f ca="1">EFEITO!$L$887*EFEITO!$Z$752</f>
        <v>-2442.8045420361673</v>
      </c>
      <c r="L887" s="79">
        <f>EFEITO!$N$887*EFEITO!$AA$752</f>
        <v>-1656.9992655272249</v>
      </c>
      <c r="M887" s="79">
        <f>$J$887-EFEITO!$K$887*EFEITO!$Y$887</f>
        <v>0</v>
      </c>
      <c r="N887" s="79">
        <f ca="1">$K$887-EFEITO!$M$887*EFEITO!$Z$887</f>
        <v>-1524.3100342305686</v>
      </c>
      <c r="O887" s="79">
        <f>$L$887-EFEITO!$O$887*EFEITO!$AA$887</f>
        <v>-1033.9675416889886</v>
      </c>
      <c r="P887" s="18"/>
      <c r="Q887" s="18"/>
      <c r="R887" s="18"/>
      <c r="S887" s="18"/>
      <c r="T887" s="18"/>
      <c r="U887" s="18"/>
      <c r="V887" s="18"/>
      <c r="W887" s="18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 spans="1:36" ht="11.25" customHeight="1" x14ac:dyDescent="0.2">
      <c r="A888" s="70" t="s">
        <v>28</v>
      </c>
      <c r="B888" s="70" t="s">
        <v>41</v>
      </c>
      <c r="C888" s="70" t="s">
        <v>23</v>
      </c>
      <c r="D888" s="70" t="s">
        <v>42</v>
      </c>
      <c r="E888" s="70" t="s">
        <v>50</v>
      </c>
      <c r="F888" s="70" t="s">
        <v>51</v>
      </c>
      <c r="G888" s="70" t="s">
        <v>25</v>
      </c>
      <c r="H888" s="70" t="s">
        <v>25</v>
      </c>
      <c r="I888" s="78">
        <v>44621</v>
      </c>
      <c r="J888" s="79">
        <f>EFEITO!$J$888*EFEITO!$Y$752</f>
        <v>0</v>
      </c>
      <c r="K888" s="79">
        <f ca="1">EFEITO!$L$888*EFEITO!$Z$752</f>
        <v>11231.174428945378</v>
      </c>
      <c r="L888" s="79">
        <f>EFEITO!$N$888*EFEITO!$AA$752</f>
        <v>7618.312255248421</v>
      </c>
      <c r="M888" s="79">
        <f>$J$888-EFEITO!$K$888*EFEITO!$Y$888</f>
        <v>0</v>
      </c>
      <c r="N888" s="79">
        <f ca="1">$K$888-EFEITO!$M$888*EFEITO!$Z$888</f>
        <v>7008.2528436619168</v>
      </c>
      <c r="O888" s="79">
        <f>$L$888-EFEITO!$O$888*EFEITO!$AA$888</f>
        <v>4753.8268472750151</v>
      </c>
      <c r="P888" s="18"/>
      <c r="Q888" s="18"/>
      <c r="R888" s="18"/>
      <c r="S888" s="18"/>
      <c r="T888" s="18"/>
      <c r="U888" s="18"/>
      <c r="V888" s="18"/>
      <c r="W888" s="18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spans="1:36" ht="11.25" customHeight="1" x14ac:dyDescent="0.2">
      <c r="A889" s="70" t="s">
        <v>28</v>
      </c>
      <c r="B889" s="70" t="s">
        <v>41</v>
      </c>
      <c r="C889" s="70" t="s">
        <v>23</v>
      </c>
      <c r="D889" s="70" t="s">
        <v>42</v>
      </c>
      <c r="E889" s="70" t="s">
        <v>50</v>
      </c>
      <c r="F889" s="70" t="s">
        <v>51</v>
      </c>
      <c r="G889" s="70" t="s">
        <v>25</v>
      </c>
      <c r="H889" s="70" t="s">
        <v>25</v>
      </c>
      <c r="I889" s="78">
        <v>44621</v>
      </c>
      <c r="J889" s="79">
        <f>EFEITO!$J$889*EFEITO!$Y$752</f>
        <v>0</v>
      </c>
      <c r="K889" s="79">
        <f ca="1">EFEITO!$L$889*EFEITO!$Z$752</f>
        <v>-5210.7904565500594</v>
      </c>
      <c r="L889" s="79">
        <f>EFEITO!$N$889*EFEITO!$AA$752</f>
        <v>-3534.5750389520458</v>
      </c>
      <c r="M889" s="79">
        <f>$J$889-EFEITO!$K$889*EFEITO!$Y$889</f>
        <v>0</v>
      </c>
      <c r="N889" s="79">
        <f ca="1">$K$889-EFEITO!$M$889*EFEITO!$Z$889</f>
        <v>-3251.5332448872373</v>
      </c>
      <c r="O889" s="79">
        <f>$L$889-EFEITO!$O$889*EFEITO!$AA$889</f>
        <v>-2205.5748243060766</v>
      </c>
      <c r="P889" s="18"/>
      <c r="Q889" s="18"/>
      <c r="R889" s="18"/>
      <c r="S889" s="18"/>
      <c r="T889" s="18"/>
      <c r="U889" s="18"/>
      <c r="V889" s="18"/>
      <c r="W889" s="18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spans="1:36" ht="11.25" customHeight="1" x14ac:dyDescent="0.2">
      <c r="A890" s="70" t="s">
        <v>21</v>
      </c>
      <c r="B890" s="70" t="s">
        <v>41</v>
      </c>
      <c r="C890" s="70" t="s">
        <v>23</v>
      </c>
      <c r="D890" s="70" t="s">
        <v>42</v>
      </c>
      <c r="E890" s="70" t="s">
        <v>50</v>
      </c>
      <c r="F890" s="70" t="s">
        <v>51</v>
      </c>
      <c r="G890" s="70" t="s">
        <v>25</v>
      </c>
      <c r="H890" s="70" t="s">
        <v>25</v>
      </c>
      <c r="I890" s="78">
        <v>44652</v>
      </c>
      <c r="J890" s="79">
        <f>EFEITO!$J$890*EFEITO!$Y$752</f>
        <v>0</v>
      </c>
      <c r="K890" s="79">
        <f ca="1">EFEITO!$L$890*EFEITO!$Z$752</f>
        <v>61265.572974253322</v>
      </c>
      <c r="L890" s="79">
        <f>EFEITO!$N$890*EFEITO!$AA$752</f>
        <v>41557.565361256529</v>
      </c>
      <c r="M890" s="79">
        <f>$J$890-EFEITO!$K$890*EFEITO!$Y$890</f>
        <v>0</v>
      </c>
      <c r="N890" s="79">
        <f ca="1">$K$890-EFEITO!$M$890*EFEITO!$Z$890</f>
        <v>38229.717535934076</v>
      </c>
      <c r="O890" s="79">
        <f>$L$890-EFEITO!$O$890*EFEITO!$AA$890</f>
        <v>25931.920785424074</v>
      </c>
      <c r="P890" s="18"/>
      <c r="Q890" s="18"/>
      <c r="R890" s="18"/>
      <c r="S890" s="18"/>
      <c r="T890" s="18"/>
      <c r="U890" s="18"/>
      <c r="V890" s="18"/>
      <c r="W890" s="18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 spans="1:36" ht="11.25" customHeight="1" x14ac:dyDescent="0.2">
      <c r="A891" s="70" t="s">
        <v>28</v>
      </c>
      <c r="B891" s="70" t="s">
        <v>41</v>
      </c>
      <c r="C891" s="70" t="s">
        <v>23</v>
      </c>
      <c r="D891" s="70" t="s">
        <v>42</v>
      </c>
      <c r="E891" s="70" t="s">
        <v>50</v>
      </c>
      <c r="F891" s="70" t="s">
        <v>51</v>
      </c>
      <c r="G891" s="70" t="s">
        <v>25</v>
      </c>
      <c r="H891" s="70" t="s">
        <v>25</v>
      </c>
      <c r="I891" s="78">
        <v>44652</v>
      </c>
      <c r="J891" s="79">
        <f>EFEITO!$J$891*EFEITO!$Y$752</f>
        <v>0</v>
      </c>
      <c r="K891" s="79">
        <f ca="1">EFEITO!$L$891*EFEITO!$Z$752</f>
        <v>4391.8476110378742</v>
      </c>
      <c r="L891" s="79">
        <f>EFEITO!$N$891*EFEITO!$AA$752</f>
        <v>2979.0710392782253</v>
      </c>
      <c r="M891" s="79">
        <f>$J$891-EFEITO!$K$891*EFEITO!$Y$891</f>
        <v>0</v>
      </c>
      <c r="N891" s="79">
        <f ca="1">$K$891-EFEITO!$M$891*EFEITO!$Z$891</f>
        <v>2740.5129092876336</v>
      </c>
      <c r="O891" s="79">
        <f>$L$891-EFEITO!$O$891*EFEITO!$AA$891</f>
        <v>1858.9403285096125</v>
      </c>
      <c r="P891" s="18"/>
      <c r="Q891" s="18"/>
      <c r="R891" s="18"/>
      <c r="S891" s="18"/>
      <c r="T891" s="18"/>
      <c r="U891" s="18"/>
      <c r="V891" s="18"/>
      <c r="W891" s="18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pans="1:36" ht="11.25" customHeight="1" x14ac:dyDescent="0.2">
      <c r="A892" s="70" t="s">
        <v>21</v>
      </c>
      <c r="B892" s="70" t="s">
        <v>41</v>
      </c>
      <c r="C892" s="70" t="s">
        <v>23</v>
      </c>
      <c r="D892" s="70" t="s">
        <v>42</v>
      </c>
      <c r="E892" s="70" t="s">
        <v>50</v>
      </c>
      <c r="F892" s="70" t="s">
        <v>51</v>
      </c>
      <c r="G892" s="70" t="s">
        <v>25</v>
      </c>
      <c r="H892" s="70" t="s">
        <v>25</v>
      </c>
      <c r="I892" s="78">
        <v>44682</v>
      </c>
      <c r="J892" s="79">
        <f>EFEITO!$J$892*EFEITO!$Y$752</f>
        <v>0</v>
      </c>
      <c r="K892" s="79">
        <f ca="1">EFEITO!$L$892*EFEITO!$Z$752</f>
        <v>44215.317327303601</v>
      </c>
      <c r="L892" s="79">
        <f>EFEITO!$N$892*EFEITO!$AA$752</f>
        <v>29992.063251743584</v>
      </c>
      <c r="M892" s="79">
        <f>$J$892-EFEITO!$K$892*EFEITO!$Y$892</f>
        <v>0</v>
      </c>
      <c r="N892" s="79">
        <f ca="1">$K$892-EFEITO!$M$892*EFEITO!$Z$892</f>
        <v>27590.358012237451</v>
      </c>
      <c r="O892" s="79">
        <f>$L$892-EFEITO!$O$892*EFEITO!$AA$892</f>
        <v>18715.047469088</v>
      </c>
      <c r="P892" s="18"/>
      <c r="Q892" s="18"/>
      <c r="R892" s="18"/>
      <c r="S892" s="18"/>
      <c r="T892" s="18"/>
      <c r="U892" s="18"/>
      <c r="V892" s="18"/>
      <c r="W892" s="18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spans="1:36" ht="11.25" customHeight="1" x14ac:dyDescent="0.2">
      <c r="A893" s="70" t="s">
        <v>27</v>
      </c>
      <c r="B893" s="70" t="s">
        <v>41</v>
      </c>
      <c r="C893" s="70" t="s">
        <v>23</v>
      </c>
      <c r="D893" s="70" t="s">
        <v>42</v>
      </c>
      <c r="E893" s="70" t="s">
        <v>50</v>
      </c>
      <c r="F893" s="70" t="s">
        <v>51</v>
      </c>
      <c r="G893" s="70" t="s">
        <v>25</v>
      </c>
      <c r="H893" s="70" t="s">
        <v>25</v>
      </c>
      <c r="I893" s="78">
        <v>44682</v>
      </c>
      <c r="J893" s="79">
        <f>EFEITO!$J$893*EFEITO!$Y$752</f>
        <v>0</v>
      </c>
      <c r="K893" s="79">
        <f ca="1">EFEITO!$L$893*EFEITO!$Z$752</f>
        <v>-7430.3797527883989</v>
      </c>
      <c r="L893" s="79">
        <f>EFEITO!$N$893*EFEITO!$AA$752</f>
        <v>-5040.1632963626807</v>
      </c>
      <c r="M893" s="79">
        <f>$J$893-EFEITO!$K$893*EFEITO!$Y$893</f>
        <v>0</v>
      </c>
      <c r="N893" s="79">
        <f ca="1">$K$893-EFEITO!$M$893*EFEITO!$Z$893</f>
        <v>-4636.556965739961</v>
      </c>
      <c r="O893" s="79">
        <f>$L$893-EFEITO!$O$893*EFEITO!$AA$893</f>
        <v>-3145.0618969303123</v>
      </c>
      <c r="P893" s="18"/>
      <c r="Q893" s="18"/>
      <c r="R893" s="18"/>
      <c r="S893" s="18"/>
      <c r="T893" s="18"/>
      <c r="U893" s="18"/>
      <c r="V893" s="18"/>
      <c r="W893" s="18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spans="1:36" ht="11.25" customHeight="1" x14ac:dyDescent="0.2">
      <c r="A894" s="70" t="s">
        <v>28</v>
      </c>
      <c r="B894" s="70" t="s">
        <v>41</v>
      </c>
      <c r="C894" s="70" t="s">
        <v>23</v>
      </c>
      <c r="D894" s="70" t="s">
        <v>42</v>
      </c>
      <c r="E894" s="70" t="s">
        <v>50</v>
      </c>
      <c r="F894" s="70" t="s">
        <v>51</v>
      </c>
      <c r="G894" s="70" t="s">
        <v>25</v>
      </c>
      <c r="H894" s="70" t="s">
        <v>25</v>
      </c>
      <c r="I894" s="78">
        <v>44682</v>
      </c>
      <c r="J894" s="79">
        <f>EFEITO!$J$894*EFEITO!$Y$752</f>
        <v>0</v>
      </c>
      <c r="K894" s="79">
        <f ca="1">EFEITO!$L$894*EFEITO!$Z$752</f>
        <v>1553.1573909178644</v>
      </c>
      <c r="L894" s="79">
        <f>EFEITO!$N$894*EFEITO!$AA$752</f>
        <v>1053.5352344866315</v>
      </c>
      <c r="M894" s="79">
        <f>$J$894-EFEITO!$K$894*EFEITO!$Y$894</f>
        <v>0</v>
      </c>
      <c r="N894" s="79">
        <f ca="1">$K$894-EFEITO!$M$894*EFEITO!$Z$894</f>
        <v>969.17021193274752</v>
      </c>
      <c r="O894" s="79">
        <f>$L$894-EFEITO!$O$894*EFEITO!$AA$894</f>
        <v>657.40598631965804</v>
      </c>
      <c r="P894" s="18"/>
      <c r="Q894" s="18"/>
      <c r="R894" s="18"/>
      <c r="S894" s="18"/>
      <c r="T894" s="18"/>
      <c r="U894" s="18"/>
      <c r="V894" s="18"/>
      <c r="W894" s="18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 spans="1:36" ht="11.25" customHeight="1" x14ac:dyDescent="0.2">
      <c r="A895" s="70" t="s">
        <v>21</v>
      </c>
      <c r="B895" s="70" t="s">
        <v>41</v>
      </c>
      <c r="C895" s="70" t="s">
        <v>23</v>
      </c>
      <c r="D895" s="70" t="s">
        <v>42</v>
      </c>
      <c r="E895" s="70" t="s">
        <v>50</v>
      </c>
      <c r="F895" s="70" t="s">
        <v>51</v>
      </c>
      <c r="G895" s="70" t="s">
        <v>25</v>
      </c>
      <c r="H895" s="70" t="s">
        <v>25</v>
      </c>
      <c r="I895" s="78">
        <v>44713</v>
      </c>
      <c r="J895" s="79">
        <f>EFEITO!$J$895*EFEITO!$Y$752</f>
        <v>0</v>
      </c>
      <c r="K895" s="79">
        <f ca="1">EFEITO!$L$895*EFEITO!$Z$752</f>
        <v>41362.603112683202</v>
      </c>
      <c r="L895" s="79">
        <f>EFEITO!$N$895*EFEITO!$AA$752</f>
        <v>28057.014713457749</v>
      </c>
      <c r="M895" s="79">
        <f>$J$895-EFEITO!$K$895*EFEITO!$Y$895</f>
        <v>0</v>
      </c>
      <c r="N895" s="79">
        <f ca="1">$K$895-EFEITO!$M$895*EFEITO!$Z$895</f>
        <v>25810.26434231432</v>
      </c>
      <c r="O895" s="79">
        <f>$L$895-EFEITO!$O$895*EFEITO!$AA$895</f>
        <v>17507.577181197637</v>
      </c>
      <c r="P895" s="18"/>
      <c r="Q895" s="18"/>
      <c r="R895" s="18"/>
      <c r="S895" s="18"/>
      <c r="T895" s="18"/>
      <c r="U895" s="18"/>
      <c r="V895" s="18"/>
      <c r="W895" s="18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 spans="1:36" ht="11.25" customHeight="1" x14ac:dyDescent="0.2">
      <c r="A896" s="70" t="s">
        <v>27</v>
      </c>
      <c r="B896" s="70" t="s">
        <v>41</v>
      </c>
      <c r="C896" s="70" t="s">
        <v>23</v>
      </c>
      <c r="D896" s="70" t="s">
        <v>42</v>
      </c>
      <c r="E896" s="70" t="s">
        <v>50</v>
      </c>
      <c r="F896" s="70" t="s">
        <v>51</v>
      </c>
      <c r="G896" s="70" t="s">
        <v>25</v>
      </c>
      <c r="H896" s="70" t="s">
        <v>25</v>
      </c>
      <c r="I896" s="78">
        <v>44713</v>
      </c>
      <c r="J896" s="79">
        <f>EFEITO!$J$896*EFEITO!$Y$752</f>
        <v>0</v>
      </c>
      <c r="K896" s="79">
        <f ca="1">EFEITO!$L$896*EFEITO!$Z$752</f>
        <v>-151.92660708752626</v>
      </c>
      <c r="L896" s="79">
        <f>EFEITO!$N$896*EFEITO!$AA$752</f>
        <v>-103.0546128542228</v>
      </c>
      <c r="M896" s="79">
        <f>$J$896-EFEITO!$K$896*EFEITO!$Y$896</f>
        <v>0</v>
      </c>
      <c r="N896" s="79">
        <f ca="1">$K$896-EFEITO!$M$896*EFEITO!$Z$896</f>
        <v>-94.802202822616408</v>
      </c>
      <c r="O896" s="79">
        <f>$L$896-EFEITO!$O$896*EFEITO!$AA$896</f>
        <v>-64.306078421035025</v>
      </c>
      <c r="P896" s="18"/>
      <c r="Q896" s="18"/>
      <c r="R896" s="18"/>
      <c r="S896" s="18"/>
      <c r="T896" s="18"/>
      <c r="U896" s="18"/>
      <c r="V896" s="18"/>
      <c r="W896" s="18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spans="1:36" ht="11.25" customHeight="1" x14ac:dyDescent="0.2">
      <c r="A897" s="70" t="s">
        <v>28</v>
      </c>
      <c r="B897" s="70" t="s">
        <v>41</v>
      </c>
      <c r="C897" s="70" t="s">
        <v>23</v>
      </c>
      <c r="D897" s="70" t="s">
        <v>42</v>
      </c>
      <c r="E897" s="70" t="s">
        <v>50</v>
      </c>
      <c r="F897" s="70" t="s">
        <v>51</v>
      </c>
      <c r="G897" s="70" t="s">
        <v>25</v>
      </c>
      <c r="H897" s="70" t="s">
        <v>25</v>
      </c>
      <c r="I897" s="78">
        <v>44713</v>
      </c>
      <c r="J897" s="79">
        <f>EFEITO!$J$897*EFEITO!$Y$752</f>
        <v>0</v>
      </c>
      <c r="K897" s="79">
        <f ca="1">EFEITO!$L$897*EFEITO!$Z$752</f>
        <v>315.24770970661694</v>
      </c>
      <c r="L897" s="79">
        <f>EFEITO!$N$897*EFEITO!$AA$752</f>
        <v>213.83832167251231</v>
      </c>
      <c r="M897" s="79">
        <f>$J$897-EFEITO!$K$897*EFEITO!$Y$897</f>
        <v>0</v>
      </c>
      <c r="N897" s="79">
        <f ca="1">$K$897-EFEITO!$M$897*EFEITO!$Z$897</f>
        <v>196.71457085692899</v>
      </c>
      <c r="O897" s="79">
        <f>$L$897-EFEITO!$O$897*EFEITO!$AA$897</f>
        <v>133.43511272364771</v>
      </c>
      <c r="P897" s="18"/>
      <c r="Q897" s="18"/>
      <c r="R897" s="18"/>
      <c r="S897" s="18"/>
      <c r="T897" s="18"/>
      <c r="U897" s="18"/>
      <c r="V897" s="18"/>
      <c r="W897" s="18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 spans="1:36" ht="11.25" customHeight="1" x14ac:dyDescent="0.2">
      <c r="A898" s="70" t="s">
        <v>21</v>
      </c>
      <c r="B898" s="70" t="s">
        <v>41</v>
      </c>
      <c r="C898" s="70" t="s">
        <v>23</v>
      </c>
      <c r="D898" s="70" t="s">
        <v>42</v>
      </c>
      <c r="E898" s="70" t="s">
        <v>50</v>
      </c>
      <c r="F898" s="70" t="s">
        <v>52</v>
      </c>
      <c r="G898" s="70" t="s">
        <v>25</v>
      </c>
      <c r="H898" s="70" t="s">
        <v>25</v>
      </c>
      <c r="I898" s="78">
        <v>44378</v>
      </c>
      <c r="J898" s="79">
        <f>EFEITO!$J$898*EFEITO!$Y$752</f>
        <v>0</v>
      </c>
      <c r="K898" s="79">
        <f ca="1">EFEITO!$L$898*EFEITO!$Z$752</f>
        <v>11454.097508191113</v>
      </c>
      <c r="L898" s="79">
        <f>EFEITO!$N$898*EFEITO!$AA$752</f>
        <v>7769.5250814172132</v>
      </c>
      <c r="M898" s="79">
        <f>$J$898-EFEITO!$K$898*EFEITO!$Y$898</f>
        <v>0</v>
      </c>
      <c r="N898" s="79">
        <f ca="1">$K$898-EFEITO!$M$898*EFEITO!$Z$898</f>
        <v>7147.3568451112551</v>
      </c>
      <c r="O898" s="79">
        <f>$L$898-EFEITO!$O$898*EFEITO!$AA$898</f>
        <v>4848.1836508043416</v>
      </c>
      <c r="P898" s="18"/>
      <c r="Q898" s="18"/>
      <c r="R898" s="18"/>
      <c r="S898" s="18"/>
      <c r="T898" s="18"/>
      <c r="U898" s="18"/>
      <c r="V898" s="18"/>
      <c r="W898" s="18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spans="1:36" ht="11.25" customHeight="1" x14ac:dyDescent="0.2">
      <c r="A899" s="70" t="s">
        <v>27</v>
      </c>
      <c r="B899" s="70" t="s">
        <v>41</v>
      </c>
      <c r="C899" s="70" t="s">
        <v>23</v>
      </c>
      <c r="D899" s="70" t="s">
        <v>42</v>
      </c>
      <c r="E899" s="70" t="s">
        <v>50</v>
      </c>
      <c r="F899" s="70" t="s">
        <v>52</v>
      </c>
      <c r="G899" s="70" t="s">
        <v>25</v>
      </c>
      <c r="H899" s="70" t="s">
        <v>25</v>
      </c>
      <c r="I899" s="78">
        <v>44378</v>
      </c>
      <c r="J899" s="79">
        <f>EFEITO!$J$899*EFEITO!$Y$752</f>
        <v>0</v>
      </c>
      <c r="K899" s="79">
        <f ca="1">EFEITO!$L$899*EFEITO!$Z$752</f>
        <v>-146.37544259778971</v>
      </c>
      <c r="L899" s="79">
        <f>EFEITO!$N$899*EFEITO!$AA$752</f>
        <v>-99.289155846087738</v>
      </c>
      <c r="M899" s="79">
        <f>$J$899-EFEITO!$K$899*EFEITO!$Y$899</f>
        <v>0</v>
      </c>
      <c r="N899" s="79">
        <f ca="1">$K$899-EFEITO!$M$899*EFEITO!$Z$899</f>
        <v>-91.338276181020788</v>
      </c>
      <c r="O899" s="79">
        <f>$L$899-EFEITO!$O$899*EFEITO!$AA$899</f>
        <v>-61.956433247958749</v>
      </c>
      <c r="P899" s="18"/>
      <c r="Q899" s="18"/>
      <c r="R899" s="18"/>
      <c r="S899" s="18"/>
      <c r="T899" s="18"/>
      <c r="U899" s="18"/>
      <c r="V899" s="18"/>
      <c r="W899" s="18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spans="1:36" ht="11.25" customHeight="1" x14ac:dyDescent="0.2">
      <c r="A900" s="70" t="s">
        <v>21</v>
      </c>
      <c r="B900" s="70" t="s">
        <v>41</v>
      </c>
      <c r="C900" s="70" t="s">
        <v>23</v>
      </c>
      <c r="D900" s="70" t="s">
        <v>42</v>
      </c>
      <c r="E900" s="70" t="s">
        <v>50</v>
      </c>
      <c r="F900" s="70" t="s">
        <v>52</v>
      </c>
      <c r="G900" s="70" t="s">
        <v>25</v>
      </c>
      <c r="H900" s="70" t="s">
        <v>25</v>
      </c>
      <c r="I900" s="78">
        <v>44409</v>
      </c>
      <c r="J900" s="79">
        <f>EFEITO!$J$900*EFEITO!$Y$752</f>
        <v>0</v>
      </c>
      <c r="K900" s="79">
        <f ca="1">EFEITO!$L$900*EFEITO!$Z$752</f>
        <v>18389.254955184595</v>
      </c>
      <c r="L900" s="79">
        <f>EFEITO!$N$900*EFEITO!$AA$752</f>
        <v>12473.769976264688</v>
      </c>
      <c r="M900" s="79">
        <f>$J$900-EFEITO!$K$900*EFEITO!$Y$900</f>
        <v>0</v>
      </c>
      <c r="N900" s="79">
        <f ca="1">$K$900-EFEITO!$M$900*EFEITO!$Z$900</f>
        <v>11474.895092035189</v>
      </c>
      <c r="O900" s="79">
        <f>$L$900-EFEITO!$O$900*EFEITO!$AA$900</f>
        <v>7783.6324651891655</v>
      </c>
      <c r="P900" s="18"/>
      <c r="Q900" s="18"/>
      <c r="R900" s="18"/>
      <c r="S900" s="18"/>
      <c r="T900" s="18"/>
      <c r="U900" s="18"/>
      <c r="V900" s="18"/>
      <c r="W900" s="18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 spans="1:36" ht="11.25" customHeight="1" x14ac:dyDescent="0.2">
      <c r="A901" s="70" t="s">
        <v>27</v>
      </c>
      <c r="B901" s="70" t="s">
        <v>41</v>
      </c>
      <c r="C901" s="70" t="s">
        <v>23</v>
      </c>
      <c r="D901" s="70" t="s">
        <v>42</v>
      </c>
      <c r="E901" s="70" t="s">
        <v>50</v>
      </c>
      <c r="F901" s="70" t="s">
        <v>52</v>
      </c>
      <c r="G901" s="70" t="s">
        <v>25</v>
      </c>
      <c r="H901" s="70" t="s">
        <v>25</v>
      </c>
      <c r="I901" s="78">
        <v>44409</v>
      </c>
      <c r="J901" s="79">
        <f>EFEITO!$J$901*EFEITO!$Y$752</f>
        <v>0</v>
      </c>
      <c r="K901" s="79">
        <f ca="1">EFEITO!$L$901*EFEITO!$Z$752</f>
        <v>-2.3373324167311731</v>
      </c>
      <c r="L901" s="79">
        <f>EFEITO!$N$901*EFEITO!$AA$752</f>
        <v>-1.5854555823726584</v>
      </c>
      <c r="M901" s="79">
        <f>$J$901-EFEITO!$K$901*EFEITO!$Y$901</f>
        <v>0</v>
      </c>
      <c r="N901" s="79">
        <f ca="1">$K$901-EFEITO!$M$901*EFEITO!$Z$901</f>
        <v>-1.4584954280402522</v>
      </c>
      <c r="O901" s="79">
        <f>$L$901-EFEITO!$O$901*EFEITO!$AA$901</f>
        <v>-0.9893242834005388</v>
      </c>
      <c r="P901" s="18"/>
      <c r="Q901" s="18"/>
      <c r="R901" s="18"/>
      <c r="S901" s="18"/>
      <c r="T901" s="18"/>
      <c r="U901" s="18"/>
      <c r="V901" s="18"/>
      <c r="W901" s="18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 spans="1:36" ht="11.25" customHeight="1" x14ac:dyDescent="0.2">
      <c r="A902" s="70" t="s">
        <v>21</v>
      </c>
      <c r="B902" s="70" t="s">
        <v>41</v>
      </c>
      <c r="C902" s="70" t="s">
        <v>23</v>
      </c>
      <c r="D902" s="70" t="s">
        <v>42</v>
      </c>
      <c r="E902" s="70" t="s">
        <v>50</v>
      </c>
      <c r="F902" s="70" t="s">
        <v>52</v>
      </c>
      <c r="G902" s="70" t="s">
        <v>25</v>
      </c>
      <c r="H902" s="70" t="s">
        <v>25</v>
      </c>
      <c r="I902" s="78">
        <v>44440</v>
      </c>
      <c r="J902" s="79">
        <f>EFEITO!$J$902*EFEITO!$Y$752</f>
        <v>0</v>
      </c>
      <c r="K902" s="79">
        <f ca="1">EFEITO!$L$902*EFEITO!$Z$752</f>
        <v>29604.360223764947</v>
      </c>
      <c r="L902" s="79">
        <f>EFEITO!$N$902*EFEITO!$AA$752</f>
        <v>20081.182224384294</v>
      </c>
      <c r="M902" s="79">
        <f>$J$902-EFEITO!$K$902*EFEITO!$Y$902</f>
        <v>0</v>
      </c>
      <c r="N902" s="79">
        <f ca="1">$K$902-EFEITO!$M$902*EFEITO!$Z$902</f>
        <v>18473.120779629327</v>
      </c>
      <c r="O902" s="79">
        <f>$L$902-EFEITO!$O$902*EFEITO!$AA$902</f>
        <v>12530.657708015799</v>
      </c>
      <c r="P902" s="18"/>
      <c r="Q902" s="18"/>
      <c r="R902" s="18"/>
      <c r="S902" s="18"/>
      <c r="T902" s="18"/>
      <c r="U902" s="18"/>
      <c r="V902" s="18"/>
      <c r="W902" s="18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spans="1:36" ht="11.25" customHeight="1" x14ac:dyDescent="0.2">
      <c r="A903" s="70" t="s">
        <v>27</v>
      </c>
      <c r="B903" s="70" t="s">
        <v>41</v>
      </c>
      <c r="C903" s="70" t="s">
        <v>23</v>
      </c>
      <c r="D903" s="70" t="s">
        <v>42</v>
      </c>
      <c r="E903" s="70" t="s">
        <v>50</v>
      </c>
      <c r="F903" s="70" t="s">
        <v>52</v>
      </c>
      <c r="G903" s="70" t="s">
        <v>25</v>
      </c>
      <c r="H903" s="70" t="s">
        <v>25</v>
      </c>
      <c r="I903" s="78">
        <v>44440</v>
      </c>
      <c r="J903" s="79">
        <f>EFEITO!$J$903*EFEITO!$Y$752</f>
        <v>0</v>
      </c>
      <c r="K903" s="79">
        <f ca="1">EFEITO!$L$903*EFEITO!$Z$752</f>
        <v>-201.59492094306364</v>
      </c>
      <c r="L903" s="79">
        <f>EFEITO!$N$903*EFEITO!$AA$752</f>
        <v>-136.74554397964178</v>
      </c>
      <c r="M903" s="79">
        <f>$J$903-EFEITO!$K$903*EFEITO!$Y$903</f>
        <v>0</v>
      </c>
      <c r="N903" s="79">
        <f ca="1">$K$903-EFEITO!$M$903*EFEITO!$Z$903</f>
        <v>-125.7952306684717</v>
      </c>
      <c r="O903" s="79">
        <f>$L$903-EFEITO!$O$903*EFEITO!$AA$903</f>
        <v>-85.329219443296466</v>
      </c>
      <c r="P903" s="18"/>
      <c r="Q903" s="18"/>
      <c r="R903" s="18"/>
      <c r="S903" s="18"/>
      <c r="T903" s="18"/>
      <c r="U903" s="18"/>
      <c r="V903" s="18"/>
      <c r="W903" s="18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spans="1:36" ht="11.25" customHeight="1" x14ac:dyDescent="0.2">
      <c r="A904" s="70" t="s">
        <v>28</v>
      </c>
      <c r="B904" s="70" t="s">
        <v>41</v>
      </c>
      <c r="C904" s="70" t="s">
        <v>23</v>
      </c>
      <c r="D904" s="70" t="s">
        <v>42</v>
      </c>
      <c r="E904" s="70" t="s">
        <v>50</v>
      </c>
      <c r="F904" s="70" t="s">
        <v>52</v>
      </c>
      <c r="G904" s="70" t="s">
        <v>25</v>
      </c>
      <c r="H904" s="70" t="s">
        <v>25</v>
      </c>
      <c r="I904" s="78">
        <v>44440</v>
      </c>
      <c r="J904" s="79">
        <f>EFEITO!$J$904*EFEITO!$Y$752</f>
        <v>0</v>
      </c>
      <c r="K904" s="79">
        <f ca="1">EFEITO!$L$904*EFEITO!$Z$752</f>
        <v>29.216655209139663</v>
      </c>
      <c r="L904" s="79">
        <f>EFEITO!$N$904*EFEITO!$AA$752</f>
        <v>19.818194779658231</v>
      </c>
      <c r="M904" s="79">
        <f>$J$904-EFEITO!$K$904*EFEITO!$Y$904</f>
        <v>0</v>
      </c>
      <c r="N904" s="79">
        <f ca="1">$K$904-EFEITO!$M$904*EFEITO!$Z$904</f>
        <v>18.231192850503149</v>
      </c>
      <c r="O904" s="79">
        <f>$L$904-EFEITO!$O$904*EFEITO!$AA$904</f>
        <v>12.366553542506736</v>
      </c>
      <c r="P904" s="18"/>
      <c r="Q904" s="18"/>
      <c r="R904" s="18"/>
      <c r="S904" s="18"/>
      <c r="T904" s="18"/>
      <c r="U904" s="18"/>
      <c r="V904" s="18"/>
      <c r="W904" s="18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spans="1:36" ht="11.25" customHeight="1" x14ac:dyDescent="0.2">
      <c r="A905" s="70" t="s">
        <v>21</v>
      </c>
      <c r="B905" s="70" t="s">
        <v>41</v>
      </c>
      <c r="C905" s="70" t="s">
        <v>23</v>
      </c>
      <c r="D905" s="70" t="s">
        <v>42</v>
      </c>
      <c r="E905" s="70" t="s">
        <v>50</v>
      </c>
      <c r="F905" s="70" t="s">
        <v>52</v>
      </c>
      <c r="G905" s="70" t="s">
        <v>25</v>
      </c>
      <c r="H905" s="70" t="s">
        <v>25</v>
      </c>
      <c r="I905" s="78">
        <v>44470</v>
      </c>
      <c r="J905" s="79">
        <f>EFEITO!$J$905*EFEITO!$Y$752</f>
        <v>0</v>
      </c>
      <c r="K905" s="79">
        <f ca="1">EFEITO!$L$905*EFEITO!$Z$752</f>
        <v>14456.985330586487</v>
      </c>
      <c r="L905" s="79">
        <f>EFEITO!$N$905*EFEITO!$AA$752</f>
        <v>9806.4391408704851</v>
      </c>
      <c r="M905" s="79">
        <f>$J$905-EFEITO!$K$905*EFEITO!$Y$905</f>
        <v>0</v>
      </c>
      <c r="N905" s="79">
        <f ca="1">$K$905-EFEITO!$M$905*EFEITO!$Z$905</f>
        <v>9021.158846285969</v>
      </c>
      <c r="O905" s="79">
        <f>$L$905-EFEITO!$O$905*EFEITO!$AA$905</f>
        <v>6119.2180239031823</v>
      </c>
      <c r="P905" s="18"/>
      <c r="Q905" s="18"/>
      <c r="R905" s="18"/>
      <c r="S905" s="18"/>
      <c r="T905" s="18"/>
      <c r="U905" s="18"/>
      <c r="V905" s="18"/>
      <c r="W905" s="18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 spans="1:36" ht="11.25" customHeight="1" x14ac:dyDescent="0.2">
      <c r="A906" s="70" t="s">
        <v>27</v>
      </c>
      <c r="B906" s="70" t="s">
        <v>41</v>
      </c>
      <c r="C906" s="70" t="s">
        <v>23</v>
      </c>
      <c r="D906" s="70" t="s">
        <v>42</v>
      </c>
      <c r="E906" s="70" t="s">
        <v>50</v>
      </c>
      <c r="F906" s="70" t="s">
        <v>52</v>
      </c>
      <c r="G906" s="70" t="s">
        <v>25</v>
      </c>
      <c r="H906" s="70" t="s">
        <v>25</v>
      </c>
      <c r="I906" s="78">
        <v>44470</v>
      </c>
      <c r="J906" s="79">
        <f>EFEITO!$J$906*EFEITO!$Y$752</f>
        <v>0</v>
      </c>
      <c r="K906" s="79">
        <f ca="1">EFEITO!$L$906*EFEITO!$Z$752</f>
        <v>-448.18349090820243</v>
      </c>
      <c r="L906" s="79">
        <f>EFEITO!$N$906*EFEITO!$AA$752</f>
        <v>-304.01110791995728</v>
      </c>
      <c r="M906" s="79">
        <f>$J$906-EFEITO!$K$906*EFEITO!$Y$906</f>
        <v>0</v>
      </c>
      <c r="N906" s="79">
        <f ca="1">$K$906-EFEITO!$M$906*EFEITO!$Z$906</f>
        <v>-279.66649832671834</v>
      </c>
      <c r="O906" s="79">
        <f>$L$906-EFEITO!$O$906*EFEITO!$AA$906</f>
        <v>-189.70293134205335</v>
      </c>
      <c r="P906" s="18"/>
      <c r="Q906" s="18"/>
      <c r="R906" s="18"/>
      <c r="S906" s="18"/>
      <c r="T906" s="18"/>
      <c r="U906" s="18"/>
      <c r="V906" s="18"/>
      <c r="W906" s="18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 spans="1:36" ht="11.25" customHeight="1" x14ac:dyDescent="0.2">
      <c r="A907" s="70" t="s">
        <v>21</v>
      </c>
      <c r="B907" s="70" t="s">
        <v>41</v>
      </c>
      <c r="C907" s="70" t="s">
        <v>23</v>
      </c>
      <c r="D907" s="70" t="s">
        <v>42</v>
      </c>
      <c r="E907" s="70" t="s">
        <v>50</v>
      </c>
      <c r="F907" s="70" t="s">
        <v>52</v>
      </c>
      <c r="G907" s="70" t="s">
        <v>25</v>
      </c>
      <c r="H907" s="70" t="s">
        <v>25</v>
      </c>
      <c r="I907" s="78">
        <v>44501</v>
      </c>
      <c r="J907" s="79">
        <f>EFEITO!$J$907*EFEITO!$Y$752</f>
        <v>0</v>
      </c>
      <c r="K907" s="79">
        <f ca="1">EFEITO!$L$907*EFEITO!$Z$752</f>
        <v>38385.718113423965</v>
      </c>
      <c r="L907" s="79">
        <f>EFEITO!$N$907*EFEITO!$AA$752</f>
        <v>26037.738847358374</v>
      </c>
      <c r="M907" s="79">
        <f>$J$907-EFEITO!$K$907*EFEITO!$Y$907</f>
        <v>0</v>
      </c>
      <c r="N907" s="79">
        <f ca="1">$K$907-EFEITO!$M$907*EFEITO!$Z$907</f>
        <v>23952.688102776556</v>
      </c>
      <c r="O907" s="79">
        <f>$L$907-EFEITO!$O$907*EFEITO!$AA$907</f>
        <v>16247.549040751626</v>
      </c>
      <c r="P907" s="18"/>
      <c r="Q907" s="18"/>
      <c r="R907" s="18"/>
      <c r="S907" s="18"/>
      <c r="T907" s="18"/>
      <c r="U907" s="18"/>
      <c r="V907" s="18"/>
      <c r="W907" s="18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spans="1:36" ht="11.25" customHeight="1" x14ac:dyDescent="0.2">
      <c r="A908" s="70" t="s">
        <v>21</v>
      </c>
      <c r="B908" s="70" t="s">
        <v>41</v>
      </c>
      <c r="C908" s="70" t="s">
        <v>23</v>
      </c>
      <c r="D908" s="70" t="s">
        <v>42</v>
      </c>
      <c r="E908" s="70" t="s">
        <v>50</v>
      </c>
      <c r="F908" s="70" t="s">
        <v>52</v>
      </c>
      <c r="G908" s="70" t="s">
        <v>25</v>
      </c>
      <c r="H908" s="70" t="s">
        <v>25</v>
      </c>
      <c r="I908" s="78">
        <v>44531</v>
      </c>
      <c r="J908" s="79">
        <f>EFEITO!$J$908*EFEITO!$Y$752</f>
        <v>0</v>
      </c>
      <c r="K908" s="79">
        <f ca="1">EFEITO!$L$908*EFEITO!$Z$752</f>
        <v>237405.77523290616</v>
      </c>
      <c r="L908" s="79">
        <f>EFEITO!$N$908*EFEITO!$AA$752</f>
        <v>161036.7053210689</v>
      </c>
      <c r="M908" s="79">
        <f>$J$908-EFEITO!$K$908*EFEITO!$Y$908</f>
        <v>0</v>
      </c>
      <c r="N908" s="79">
        <f ca="1">$K$908-EFEITO!$M$908*EFEITO!$Z$908</f>
        <v>148141.20374533345</v>
      </c>
      <c r="O908" s="79">
        <f>$L$908-EFEITO!$O$908*EFEITO!$AA$908</f>
        <v>100486.904120347</v>
      </c>
      <c r="P908" s="18"/>
      <c r="Q908" s="18"/>
      <c r="R908" s="18"/>
      <c r="S908" s="18"/>
      <c r="T908" s="18"/>
      <c r="U908" s="18"/>
      <c r="V908" s="18"/>
      <c r="W908" s="18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 spans="1:36" ht="11.25" customHeight="1" x14ac:dyDescent="0.2">
      <c r="A909" s="70" t="s">
        <v>27</v>
      </c>
      <c r="B909" s="70" t="s">
        <v>41</v>
      </c>
      <c r="C909" s="70" t="s">
        <v>23</v>
      </c>
      <c r="D909" s="70" t="s">
        <v>42</v>
      </c>
      <c r="E909" s="70" t="s">
        <v>50</v>
      </c>
      <c r="F909" s="70" t="s">
        <v>52</v>
      </c>
      <c r="G909" s="70" t="s">
        <v>25</v>
      </c>
      <c r="H909" s="70" t="s">
        <v>25</v>
      </c>
      <c r="I909" s="78">
        <v>44531</v>
      </c>
      <c r="J909" s="79">
        <f>EFEITO!$J$909*EFEITO!$Y$752</f>
        <v>0</v>
      </c>
      <c r="K909" s="79">
        <f ca="1">EFEITO!$L$909*EFEITO!$Z$752</f>
        <v>-12897.692442074705</v>
      </c>
      <c r="L909" s="79">
        <f>EFEITO!$N$909*EFEITO!$AA$752</f>
        <v>-8748.7420854801258</v>
      </c>
      <c r="M909" s="79">
        <f>$J$909-EFEITO!$K$909*EFEITO!$Y$909</f>
        <v>0</v>
      </c>
      <c r="N909" s="79">
        <f ca="1">$K$909-EFEITO!$M$909*EFEITO!$Z$909</f>
        <v>-8048.1600838546174</v>
      </c>
      <c r="O909" s="79">
        <f>$L$909-EFEITO!$O$909*EFEITO!$AA$909</f>
        <v>-5459.2150613395988</v>
      </c>
      <c r="P909" s="18"/>
      <c r="Q909" s="18"/>
      <c r="R909" s="18"/>
      <c r="S909" s="18"/>
      <c r="T909" s="18"/>
      <c r="U909" s="18"/>
      <c r="V909" s="18"/>
      <c r="W909" s="18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spans="1:36" ht="11.25" customHeight="1" x14ac:dyDescent="0.2">
      <c r="A910" s="70" t="s">
        <v>21</v>
      </c>
      <c r="B910" s="70" t="s">
        <v>41</v>
      </c>
      <c r="C910" s="70" t="s">
        <v>23</v>
      </c>
      <c r="D910" s="70" t="s">
        <v>42</v>
      </c>
      <c r="E910" s="70" t="s">
        <v>50</v>
      </c>
      <c r="F910" s="70" t="s">
        <v>52</v>
      </c>
      <c r="G910" s="70" t="s">
        <v>25</v>
      </c>
      <c r="H910" s="70" t="s">
        <v>25</v>
      </c>
      <c r="I910" s="78">
        <v>44562</v>
      </c>
      <c r="J910" s="79">
        <f>EFEITO!$J$910*EFEITO!$Y$752</f>
        <v>0</v>
      </c>
      <c r="K910" s="79">
        <f ca="1">EFEITO!$L$910*EFEITO!$Z$752</f>
        <v>300380.23037034209</v>
      </c>
      <c r="L910" s="79">
        <f>EFEITO!$N$910*EFEITO!$AA$752</f>
        <v>203753.43689498762</v>
      </c>
      <c r="M910" s="79">
        <f>$J$910-EFEITO!$K$910*EFEITO!$Y$910</f>
        <v>0</v>
      </c>
      <c r="N910" s="79">
        <f ca="1">$K$910-EFEITO!$M$910*EFEITO!$Z$910</f>
        <v>187437.26375109347</v>
      </c>
      <c r="O910" s="79">
        <f>$L$910-EFEITO!$O$910*EFEITO!$AA$910</f>
        <v>127142.14462247227</v>
      </c>
      <c r="P910" s="18"/>
      <c r="Q910" s="18"/>
      <c r="R910" s="18"/>
      <c r="S910" s="18"/>
      <c r="T910" s="18"/>
      <c r="U910" s="18"/>
      <c r="V910" s="18"/>
      <c r="W910" s="18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 spans="1:36" ht="11.25" customHeight="1" x14ac:dyDescent="0.2">
      <c r="A911" s="70" t="s">
        <v>28</v>
      </c>
      <c r="B911" s="70" t="s">
        <v>41</v>
      </c>
      <c r="C911" s="70" t="s">
        <v>23</v>
      </c>
      <c r="D911" s="70" t="s">
        <v>42</v>
      </c>
      <c r="E911" s="70" t="s">
        <v>50</v>
      </c>
      <c r="F911" s="70" t="s">
        <v>52</v>
      </c>
      <c r="G911" s="70" t="s">
        <v>25</v>
      </c>
      <c r="H911" s="70" t="s">
        <v>25</v>
      </c>
      <c r="I911" s="78">
        <v>44562</v>
      </c>
      <c r="J911" s="79">
        <f>EFEITO!$J$911*EFEITO!$Y$752</f>
        <v>0</v>
      </c>
      <c r="K911" s="79">
        <f ca="1">EFEITO!$L$911*EFEITO!$Z$752</f>
        <v>5034.0296925347639</v>
      </c>
      <c r="L911" s="79">
        <f>EFEITO!$N$911*EFEITO!$AA$752</f>
        <v>3414.6749605351133</v>
      </c>
      <c r="M911" s="79">
        <f>$J$911-EFEITO!$K$911*EFEITO!$Y$911</f>
        <v>0</v>
      </c>
      <c r="N911" s="79">
        <f ca="1">$K$911-EFEITO!$M$911*EFEITO!$Z$911</f>
        <v>3141.2345281416929</v>
      </c>
      <c r="O911" s="79">
        <f>$L$911-EFEITO!$O$911*EFEITO!$AA$911</f>
        <v>2130.7571753739107</v>
      </c>
      <c r="P911" s="18"/>
      <c r="Q911" s="18"/>
      <c r="R911" s="18"/>
      <c r="S911" s="18"/>
      <c r="T911" s="18"/>
      <c r="U911" s="18"/>
      <c r="V911" s="18"/>
      <c r="W911" s="18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spans="1:36" ht="11.25" customHeight="1" x14ac:dyDescent="0.2">
      <c r="A912" s="70" t="s">
        <v>21</v>
      </c>
      <c r="B912" s="70" t="s">
        <v>41</v>
      </c>
      <c r="C912" s="70" t="s">
        <v>23</v>
      </c>
      <c r="D912" s="70" t="s">
        <v>42</v>
      </c>
      <c r="E912" s="70" t="s">
        <v>50</v>
      </c>
      <c r="F912" s="70" t="s">
        <v>52</v>
      </c>
      <c r="G912" s="70" t="s">
        <v>25</v>
      </c>
      <c r="H912" s="70" t="s">
        <v>25</v>
      </c>
      <c r="I912" s="78">
        <v>44593</v>
      </c>
      <c r="J912" s="79">
        <f>EFEITO!$J$912*EFEITO!$Y$752</f>
        <v>0</v>
      </c>
      <c r="K912" s="79">
        <f ca="1">EFEITO!$L$912*EFEITO!$Z$752</f>
        <v>217036.21538764608</v>
      </c>
      <c r="L912" s="79">
        <f>EFEITO!$N$912*EFEITO!$AA$752</f>
        <v>147219.65810263896</v>
      </c>
      <c r="M912" s="79">
        <f>$J$912-EFEITO!$K$912*EFEITO!$Y$912</f>
        <v>0</v>
      </c>
      <c r="N912" s="79">
        <f ca="1">$K$912-EFEITO!$M$912*EFEITO!$Z$912</f>
        <v>135430.59840189118</v>
      </c>
      <c r="O912" s="79">
        <f>$L$912-EFEITO!$O$912*EFEITO!$AA$912</f>
        <v>91865.066656046722</v>
      </c>
      <c r="P912" s="18"/>
      <c r="Q912" s="18"/>
      <c r="R912" s="18"/>
      <c r="S912" s="18"/>
      <c r="T912" s="18"/>
      <c r="U912" s="18"/>
      <c r="V912" s="18"/>
      <c r="W912" s="18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spans="1:36" ht="11.25" customHeight="1" x14ac:dyDescent="0.2">
      <c r="A913" s="70" t="s">
        <v>27</v>
      </c>
      <c r="B913" s="70" t="s">
        <v>41</v>
      </c>
      <c r="C913" s="70" t="s">
        <v>23</v>
      </c>
      <c r="D913" s="70" t="s">
        <v>42</v>
      </c>
      <c r="E913" s="70" t="s">
        <v>50</v>
      </c>
      <c r="F913" s="70" t="s">
        <v>52</v>
      </c>
      <c r="G913" s="70" t="s">
        <v>25</v>
      </c>
      <c r="H913" s="70" t="s">
        <v>25</v>
      </c>
      <c r="I913" s="78">
        <v>44593</v>
      </c>
      <c r="J913" s="79">
        <f>EFEITO!$J$913*EFEITO!$Y$752</f>
        <v>0</v>
      </c>
      <c r="K913" s="79">
        <f ca="1">EFEITO!$L$913*EFEITO!$Z$752</f>
        <v>-7572.9570302090015</v>
      </c>
      <c r="L913" s="79">
        <f>EFEITO!$N$913*EFEITO!$AA$752</f>
        <v>-5136.8760868874133</v>
      </c>
      <c r="M913" s="79">
        <f>$J$913-EFEITO!$K$913*EFEITO!$Y$913</f>
        <v>0</v>
      </c>
      <c r="N913" s="79">
        <f ca="1">$K$913-EFEITO!$M$913*EFEITO!$Z$913</f>
        <v>-4725.5251868504174</v>
      </c>
      <c r="O913" s="79">
        <f>$L$913-EFEITO!$O$913*EFEITO!$AA$913</f>
        <v>-3205.410678217746</v>
      </c>
      <c r="P913" s="18"/>
      <c r="Q913" s="18"/>
      <c r="R913" s="18"/>
      <c r="S913" s="18"/>
      <c r="T913" s="18"/>
      <c r="U913" s="18"/>
      <c r="V913" s="18"/>
      <c r="W913" s="18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spans="1:36" ht="11.25" customHeight="1" x14ac:dyDescent="0.2">
      <c r="A914" s="70" t="s">
        <v>28</v>
      </c>
      <c r="B914" s="70" t="s">
        <v>41</v>
      </c>
      <c r="C914" s="70" t="s">
        <v>23</v>
      </c>
      <c r="D914" s="70" t="s">
        <v>42</v>
      </c>
      <c r="E914" s="70" t="s">
        <v>50</v>
      </c>
      <c r="F914" s="70" t="s">
        <v>52</v>
      </c>
      <c r="G914" s="70" t="s">
        <v>25</v>
      </c>
      <c r="H914" s="70" t="s">
        <v>25</v>
      </c>
      <c r="I914" s="78">
        <v>44593</v>
      </c>
      <c r="J914" s="79">
        <f>EFEITO!$J$914*EFEITO!$Y$752</f>
        <v>0</v>
      </c>
      <c r="K914" s="79">
        <f ca="1">EFEITO!$L$914*EFEITO!$Z$752</f>
        <v>4842.9527674669907</v>
      </c>
      <c r="L914" s="79">
        <f>EFEITO!$N$914*EFEITO!$AA$752</f>
        <v>3285.0639666761485</v>
      </c>
      <c r="M914" s="79">
        <f>$J$914-EFEITO!$K$914*EFEITO!$Y$914</f>
        <v>0</v>
      </c>
      <c r="N914" s="79">
        <f ca="1">$K$914-EFEITO!$M$914*EFEITO!$Z$914</f>
        <v>3022.0025268994023</v>
      </c>
      <c r="O914" s="79">
        <f>$L$914-EFEITO!$O$914*EFEITO!$AA$914</f>
        <v>2049.8799152059169</v>
      </c>
      <c r="P914" s="18"/>
      <c r="Q914" s="18"/>
      <c r="R914" s="18"/>
      <c r="S914" s="18"/>
      <c r="T914" s="18"/>
      <c r="U914" s="18"/>
      <c r="V914" s="18"/>
      <c r="W914" s="18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 spans="1:36" ht="11.25" customHeight="1" x14ac:dyDescent="0.2">
      <c r="A915" s="70" t="s">
        <v>21</v>
      </c>
      <c r="B915" s="70" t="s">
        <v>41</v>
      </c>
      <c r="C915" s="70" t="s">
        <v>23</v>
      </c>
      <c r="D915" s="70" t="s">
        <v>42</v>
      </c>
      <c r="E915" s="70" t="s">
        <v>50</v>
      </c>
      <c r="F915" s="70" t="s">
        <v>52</v>
      </c>
      <c r="G915" s="70" t="s">
        <v>25</v>
      </c>
      <c r="H915" s="70" t="s">
        <v>25</v>
      </c>
      <c r="I915" s="78">
        <v>44621</v>
      </c>
      <c r="J915" s="79">
        <f>EFEITO!$J$915*EFEITO!$Y$752</f>
        <v>0</v>
      </c>
      <c r="K915" s="79">
        <f ca="1">EFEITO!$L$915*EFEITO!$Z$752</f>
        <v>169588.95166110745</v>
      </c>
      <c r="L915" s="79">
        <f>EFEITO!$N$915*EFEITO!$AA$752</f>
        <v>115035.30614436959</v>
      </c>
      <c r="M915" s="79">
        <f>$J$915-EFEITO!$K$915*EFEITO!$Y$915</f>
        <v>0</v>
      </c>
      <c r="N915" s="79">
        <f ca="1">$K$915-EFEITO!$M$915*EFEITO!$Z$915</f>
        <v>105823.50583653105</v>
      </c>
      <c r="O915" s="79">
        <f>$L$915-EFEITO!$O$915*EFEITO!$AA$915</f>
        <v>71782.031034086627</v>
      </c>
      <c r="P915" s="18"/>
      <c r="Q915" s="18"/>
      <c r="R915" s="18"/>
      <c r="S915" s="18"/>
      <c r="T915" s="18"/>
      <c r="U915" s="18"/>
      <c r="V915" s="18"/>
      <c r="W915" s="18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spans="1:36" ht="11.25" customHeight="1" x14ac:dyDescent="0.2">
      <c r="A916" s="70" t="s">
        <v>27</v>
      </c>
      <c r="B916" s="70" t="s">
        <v>41</v>
      </c>
      <c r="C916" s="70" t="s">
        <v>23</v>
      </c>
      <c r="D916" s="70" t="s">
        <v>42</v>
      </c>
      <c r="E916" s="70" t="s">
        <v>50</v>
      </c>
      <c r="F916" s="70" t="s">
        <v>52</v>
      </c>
      <c r="G916" s="70" t="s">
        <v>25</v>
      </c>
      <c r="H916" s="70" t="s">
        <v>25</v>
      </c>
      <c r="I916" s="78">
        <v>44621</v>
      </c>
      <c r="J916" s="79">
        <f>EFEITO!$J$916*EFEITO!$Y$752</f>
        <v>0</v>
      </c>
      <c r="K916" s="79">
        <f ca="1">EFEITO!$L$916*EFEITO!$Z$752</f>
        <v>-3065.4114645429336</v>
      </c>
      <c r="L916" s="79">
        <f>EFEITO!$N$916*EFEITO!$AA$752</f>
        <v>-2079.3249962817417</v>
      </c>
      <c r="M916" s="79">
        <f>$J$916-EFEITO!$K$916*EFEITO!$Y$916</f>
        <v>0</v>
      </c>
      <c r="N916" s="79">
        <f ca="1">$K$916-EFEITO!$M$916*EFEITO!$Z$916</f>
        <v>-1912.8167538747909</v>
      </c>
      <c r="O916" s="79">
        <f>$L$916-EFEITO!$O$916*EFEITO!$AA$916</f>
        <v>-1297.498797679807</v>
      </c>
      <c r="P916" s="18"/>
      <c r="Q916" s="18"/>
      <c r="R916" s="18"/>
      <c r="S916" s="18"/>
      <c r="T916" s="18"/>
      <c r="U916" s="18"/>
      <c r="V916" s="18"/>
      <c r="W916" s="18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 spans="1:36" ht="11.25" customHeight="1" x14ac:dyDescent="0.2">
      <c r="A917" s="70" t="s">
        <v>28</v>
      </c>
      <c r="B917" s="70" t="s">
        <v>41</v>
      </c>
      <c r="C917" s="70" t="s">
        <v>23</v>
      </c>
      <c r="D917" s="70" t="s">
        <v>42</v>
      </c>
      <c r="E917" s="70" t="s">
        <v>50</v>
      </c>
      <c r="F917" s="70" t="s">
        <v>52</v>
      </c>
      <c r="G917" s="70" t="s">
        <v>25</v>
      </c>
      <c r="H917" s="70" t="s">
        <v>25</v>
      </c>
      <c r="I917" s="78">
        <v>44621</v>
      </c>
      <c r="J917" s="79">
        <f>EFEITO!$J$917*EFEITO!$Y$752</f>
        <v>0</v>
      </c>
      <c r="K917" s="79">
        <f ca="1">EFEITO!$L$917*EFEITO!$Z$752</f>
        <v>562.12844622384705</v>
      </c>
      <c r="L917" s="79">
        <f>EFEITO!$N$917*EFEITO!$AA$752</f>
        <v>381.30206756062432</v>
      </c>
      <c r="M917" s="79">
        <f>$J$917-EFEITO!$K$917*EFEITO!$Y$917</f>
        <v>0</v>
      </c>
      <c r="N917" s="79">
        <f ca="1">$K$917-EFEITO!$M$917*EFEITO!$Z$917</f>
        <v>350.76815044368061</v>
      </c>
      <c r="O917" s="79">
        <f>$L$917-EFEITO!$O$917*EFEITO!$AA$917</f>
        <v>237.93249015782956</v>
      </c>
      <c r="P917" s="18"/>
      <c r="Q917" s="18"/>
      <c r="R917" s="18"/>
      <c r="S917" s="18"/>
      <c r="T917" s="18"/>
      <c r="U917" s="18"/>
      <c r="V917" s="18"/>
      <c r="W917" s="18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 spans="1:36" ht="11.25" customHeight="1" x14ac:dyDescent="0.2">
      <c r="A918" s="70" t="s">
        <v>21</v>
      </c>
      <c r="B918" s="70" t="s">
        <v>41</v>
      </c>
      <c r="C918" s="70" t="s">
        <v>23</v>
      </c>
      <c r="D918" s="70" t="s">
        <v>42</v>
      </c>
      <c r="E918" s="70" t="s">
        <v>50</v>
      </c>
      <c r="F918" s="70" t="s">
        <v>52</v>
      </c>
      <c r="G918" s="70" t="s">
        <v>25</v>
      </c>
      <c r="H918" s="70" t="s">
        <v>25</v>
      </c>
      <c r="I918" s="78">
        <v>44652</v>
      </c>
      <c r="J918" s="79">
        <f>EFEITO!$J$918*EFEITO!$Y$752</f>
        <v>0</v>
      </c>
      <c r="K918" s="79">
        <f ca="1">EFEITO!$L$918*EFEITO!$Z$752</f>
        <v>51026.011823106142</v>
      </c>
      <c r="L918" s="79">
        <f>EFEITO!$N$918*EFEITO!$AA$752</f>
        <v>34611.882636829709</v>
      </c>
      <c r="M918" s="79">
        <f>$J$918-EFEITO!$K$918*EFEITO!$Y$918</f>
        <v>0</v>
      </c>
      <c r="N918" s="79">
        <f ca="1">$K$918-EFEITO!$M$918*EFEITO!$Z$918</f>
        <v>31840.231377618235</v>
      </c>
      <c r="O918" s="79">
        <f>$L$918-EFEITO!$O$918*EFEITO!$AA$918</f>
        <v>21597.814765381736</v>
      </c>
      <c r="P918" s="18"/>
      <c r="Q918" s="18"/>
      <c r="R918" s="18"/>
      <c r="S918" s="18"/>
      <c r="T918" s="18"/>
      <c r="U918" s="18"/>
      <c r="V918" s="18"/>
      <c r="W918" s="18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spans="1:36" ht="11.25" customHeight="1" x14ac:dyDescent="0.2">
      <c r="A919" s="70" t="s">
        <v>28</v>
      </c>
      <c r="B919" s="70" t="s">
        <v>41</v>
      </c>
      <c r="C919" s="70" t="s">
        <v>23</v>
      </c>
      <c r="D919" s="70" t="s">
        <v>42</v>
      </c>
      <c r="E919" s="70" t="s">
        <v>50</v>
      </c>
      <c r="F919" s="70" t="s">
        <v>52</v>
      </c>
      <c r="G919" s="70" t="s">
        <v>25</v>
      </c>
      <c r="H919" s="70" t="s">
        <v>25</v>
      </c>
      <c r="I919" s="78">
        <v>44652</v>
      </c>
      <c r="J919" s="79">
        <f>EFEITO!$J$919*EFEITO!$Y$752</f>
        <v>0</v>
      </c>
      <c r="K919" s="79">
        <f ca="1">EFEITO!$L$919*EFEITO!$Z$752</f>
        <v>469.21948265878302</v>
      </c>
      <c r="L919" s="79">
        <f>EFEITO!$N$919*EFEITO!$AA$752</f>
        <v>318.28020816131118</v>
      </c>
      <c r="M919" s="79">
        <f>$J$919-EFEITO!$K$919*EFEITO!$Y$919</f>
        <v>0</v>
      </c>
      <c r="N919" s="79">
        <f ca="1">$K$919-EFEITO!$M$919*EFEITO!$Z$919</f>
        <v>292.79295717908064</v>
      </c>
      <c r="O919" s="79">
        <f>$L$919-EFEITO!$O$919*EFEITO!$AA$919</f>
        <v>198.60684989265818</v>
      </c>
      <c r="P919" s="18"/>
      <c r="Q919" s="18"/>
      <c r="R919" s="18"/>
      <c r="S919" s="18"/>
      <c r="T919" s="18"/>
      <c r="U919" s="18"/>
      <c r="V919" s="18"/>
      <c r="W919" s="18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spans="1:36" ht="11.25" customHeight="1" x14ac:dyDescent="0.2">
      <c r="A920" s="70" t="s">
        <v>21</v>
      </c>
      <c r="B920" s="70" t="s">
        <v>41</v>
      </c>
      <c r="C920" s="70" t="s">
        <v>23</v>
      </c>
      <c r="D920" s="70" t="s">
        <v>42</v>
      </c>
      <c r="E920" s="70" t="s">
        <v>50</v>
      </c>
      <c r="F920" s="70" t="s">
        <v>52</v>
      </c>
      <c r="G920" s="70" t="s">
        <v>25</v>
      </c>
      <c r="H920" s="70" t="s">
        <v>25</v>
      </c>
      <c r="I920" s="78">
        <v>44682</v>
      </c>
      <c r="J920" s="79">
        <f>EFEITO!$J$920*EFEITO!$Y$752</f>
        <v>0</v>
      </c>
      <c r="K920" s="79">
        <f ca="1">EFEITO!$L$920*EFEITO!$Z$752</f>
        <v>27239.856317689271</v>
      </c>
      <c r="L920" s="79">
        <f>EFEITO!$N$920*EFEITO!$AA$752</f>
        <v>18477.295720866554</v>
      </c>
      <c r="M920" s="79">
        <f>$J$920-EFEITO!$K$920*EFEITO!$Y$920</f>
        <v>0</v>
      </c>
      <c r="N920" s="79">
        <f ca="1">$K$920-EFEITO!$M$920*EFEITO!$Z$920</f>
        <v>16997.670342238107</v>
      </c>
      <c r="O920" s="79">
        <f>$L$920-EFEITO!$O$920*EFEITO!$AA$920</f>
        <v>11529.832529820731</v>
      </c>
      <c r="P920" s="18"/>
      <c r="Q920" s="18"/>
      <c r="R920" s="18"/>
      <c r="S920" s="18"/>
      <c r="T920" s="18"/>
      <c r="U920" s="18"/>
      <c r="V920" s="18"/>
      <c r="W920" s="18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spans="1:36" ht="11.25" customHeight="1" x14ac:dyDescent="0.2">
      <c r="A921" s="70" t="s">
        <v>27</v>
      </c>
      <c r="B921" s="70" t="s">
        <v>41</v>
      </c>
      <c r="C921" s="70" t="s">
        <v>23</v>
      </c>
      <c r="D921" s="70" t="s">
        <v>42</v>
      </c>
      <c r="E921" s="70" t="s">
        <v>50</v>
      </c>
      <c r="F921" s="70" t="s">
        <v>52</v>
      </c>
      <c r="G921" s="70" t="s">
        <v>25</v>
      </c>
      <c r="H921" s="70" t="s">
        <v>25</v>
      </c>
      <c r="I921" s="78">
        <v>44682</v>
      </c>
      <c r="J921" s="79">
        <f>EFEITO!$J$921*EFEITO!$Y$752</f>
        <v>0</v>
      </c>
      <c r="K921" s="79">
        <f ca="1">EFEITO!$L$921*EFEITO!$Z$752</f>
        <v>-22.204657958946143</v>
      </c>
      <c r="L921" s="79">
        <f>EFEITO!$N$921*EFEITO!$AA$752</f>
        <v>-15.061828032540255</v>
      </c>
      <c r="M921" s="79">
        <f>$J$921-EFEITO!$K$921*EFEITO!$Y$921</f>
        <v>0</v>
      </c>
      <c r="N921" s="79">
        <f ca="1">$K$921-EFEITO!$M$921*EFEITO!$Z$921</f>
        <v>-13.855706566382395</v>
      </c>
      <c r="O921" s="79">
        <f>$L$921-EFEITO!$O$921*EFEITO!$AA$921</f>
        <v>-9.3985806923051189</v>
      </c>
      <c r="P921" s="18"/>
      <c r="Q921" s="18"/>
      <c r="R921" s="18"/>
      <c r="S921" s="18"/>
      <c r="T921" s="18"/>
      <c r="U921" s="18"/>
      <c r="V921" s="18"/>
      <c r="W921" s="18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 spans="1:36" ht="11.25" customHeight="1" x14ac:dyDescent="0.2">
      <c r="A922" s="70" t="s">
        <v>21</v>
      </c>
      <c r="B922" s="70" t="s">
        <v>41</v>
      </c>
      <c r="C922" s="70" t="s">
        <v>23</v>
      </c>
      <c r="D922" s="70" t="s">
        <v>42</v>
      </c>
      <c r="E922" s="70" t="s">
        <v>50</v>
      </c>
      <c r="F922" s="70" t="s">
        <v>52</v>
      </c>
      <c r="G922" s="70" t="s">
        <v>25</v>
      </c>
      <c r="H922" s="70" t="s">
        <v>25</v>
      </c>
      <c r="I922" s="78">
        <v>44713</v>
      </c>
      <c r="J922" s="79">
        <f>EFEITO!$J$922*EFEITO!$Y$752</f>
        <v>0</v>
      </c>
      <c r="K922" s="79">
        <f ca="1">EFEITO!$L$922*EFEITO!$Z$752</f>
        <v>22682.642438167666</v>
      </c>
      <c r="L922" s="79">
        <f>EFEITO!$N$922*EFEITO!$AA$752</f>
        <v>15386.053699135464</v>
      </c>
      <c r="M922" s="79">
        <f>$J$922-EFEITO!$K$922*EFEITO!$Y$922</f>
        <v>0</v>
      </c>
      <c r="N922" s="79">
        <f ca="1">$K$922-EFEITO!$M$922*EFEITO!$Z$922</f>
        <v>14153.968881416624</v>
      </c>
      <c r="O922" s="79">
        <f>$L$922-EFEITO!$O$922*EFEITO!$AA$922</f>
        <v>9600.8975082605284</v>
      </c>
      <c r="P922" s="18"/>
      <c r="Q922" s="18"/>
      <c r="R922" s="18"/>
      <c r="S922" s="18"/>
      <c r="T922" s="18"/>
      <c r="U922" s="18"/>
      <c r="V922" s="18"/>
      <c r="W922" s="18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 spans="1:36" ht="11.25" customHeight="1" x14ac:dyDescent="0.2">
      <c r="A923" s="70" t="s">
        <v>27</v>
      </c>
      <c r="B923" s="70" t="s">
        <v>41</v>
      </c>
      <c r="C923" s="70" t="s">
        <v>23</v>
      </c>
      <c r="D923" s="70" t="s">
        <v>42</v>
      </c>
      <c r="E923" s="70" t="s">
        <v>50</v>
      </c>
      <c r="F923" s="70" t="s">
        <v>52</v>
      </c>
      <c r="G923" s="70" t="s">
        <v>25</v>
      </c>
      <c r="H923" s="70" t="s">
        <v>25</v>
      </c>
      <c r="I923" s="78">
        <v>44713</v>
      </c>
      <c r="J923" s="79">
        <f>EFEITO!$J$923*EFEITO!$Y$752</f>
        <v>0</v>
      </c>
      <c r="K923" s="79">
        <f ca="1">EFEITO!$L$923*EFEITO!$Z$752</f>
        <v>-64.860974564290046</v>
      </c>
      <c r="L923" s="79">
        <f>EFEITO!$N$923*EFEITO!$AA$752</f>
        <v>-43.996392410841274</v>
      </c>
      <c r="M923" s="79">
        <f>$J$923-EFEITO!$K$923*EFEITO!$Y$923</f>
        <v>0</v>
      </c>
      <c r="N923" s="79">
        <f ca="1">$K$923-EFEITO!$M$923*EFEITO!$Z$923</f>
        <v>-40.473248128116992</v>
      </c>
      <c r="O923" s="79">
        <f>$L$923-EFEITO!$O$923*EFEITO!$AA$923</f>
        <v>-27.453748864364954</v>
      </c>
      <c r="P923" s="18"/>
      <c r="Q923" s="18"/>
      <c r="R923" s="18"/>
      <c r="S923" s="18"/>
      <c r="T923" s="18"/>
      <c r="U923" s="18"/>
      <c r="V923" s="18"/>
      <c r="W923" s="18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 spans="1:36" ht="11.25" customHeight="1" x14ac:dyDescent="0.2">
      <c r="A924" s="70" t="s">
        <v>28</v>
      </c>
      <c r="B924" s="70" t="s">
        <v>41</v>
      </c>
      <c r="C924" s="70" t="s">
        <v>23</v>
      </c>
      <c r="D924" s="70" t="s">
        <v>42</v>
      </c>
      <c r="E924" s="70" t="s">
        <v>50</v>
      </c>
      <c r="F924" s="70" t="s">
        <v>52</v>
      </c>
      <c r="G924" s="70" t="s">
        <v>25</v>
      </c>
      <c r="H924" s="70" t="s">
        <v>25</v>
      </c>
      <c r="I924" s="78">
        <v>44713</v>
      </c>
      <c r="J924" s="79">
        <f>EFEITO!$J$924*EFEITO!$Y$752</f>
        <v>0</v>
      </c>
      <c r="K924" s="79">
        <f ca="1">EFEITO!$L$924*EFEITO!$Z$752</f>
        <v>30.969654521688042</v>
      </c>
      <c r="L924" s="79">
        <f>EFEITO!$N$924*EFEITO!$AA$752</f>
        <v>21.007286466437723</v>
      </c>
      <c r="M924" s="79">
        <f>$J$924-EFEITO!$K$924*EFEITO!$Y$924</f>
        <v>0</v>
      </c>
      <c r="N924" s="79">
        <f ca="1">$K$924-EFEITO!$M$924*EFEITO!$Z$924</f>
        <v>19.325064421533341</v>
      </c>
      <c r="O924" s="79">
        <f>$L$924-EFEITO!$O$924*EFEITO!$AA$924</f>
        <v>13.108546755057137</v>
      </c>
      <c r="P924" s="18"/>
      <c r="Q924" s="18"/>
      <c r="R924" s="18"/>
      <c r="S924" s="18"/>
      <c r="T924" s="18"/>
      <c r="U924" s="18"/>
      <c r="V924" s="18"/>
      <c r="W924" s="18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 spans="1:36" ht="11.25" customHeight="1" x14ac:dyDescent="0.2">
      <c r="A925" s="70" t="s">
        <v>21</v>
      </c>
      <c r="B925" s="70" t="s">
        <v>41</v>
      </c>
      <c r="C925" s="70" t="s">
        <v>23</v>
      </c>
      <c r="D925" s="70" t="s">
        <v>42</v>
      </c>
      <c r="E925" s="70" t="s">
        <v>25</v>
      </c>
      <c r="F925" s="70" t="s">
        <v>25</v>
      </c>
      <c r="G925" s="70" t="s">
        <v>25</v>
      </c>
      <c r="H925" s="70" t="s">
        <v>25</v>
      </c>
      <c r="I925" s="78">
        <v>44378</v>
      </c>
      <c r="J925" s="79">
        <f>EFEITO!$J$925*EFEITO!$Y$752</f>
        <v>0</v>
      </c>
      <c r="K925" s="79">
        <f ca="1">EFEITO!$L$925*EFEITO!$Z$752</f>
        <v>3872374.0205866108</v>
      </c>
      <c r="L925" s="79">
        <f>EFEITO!$N$925*EFEITO!$AA$752</f>
        <v>2626702.5451861629</v>
      </c>
      <c r="M925" s="79">
        <f>$J$925-EFEITO!$K$925*EFEITO!$Y$925</f>
        <v>0</v>
      </c>
      <c r="N925" s="79">
        <f ca="1">$K$925-EFEITO!$M$925*EFEITO!$Z$925</f>
        <v>232342.44123519724</v>
      </c>
      <c r="O925" s="79">
        <f>$L$925-EFEITO!$O$925*EFEITO!$AA$925</f>
        <v>157602.15271116979</v>
      </c>
      <c r="P925" s="18"/>
      <c r="Q925" s="18"/>
      <c r="R925" s="18"/>
      <c r="S925" s="18"/>
      <c r="T925" s="18"/>
      <c r="U925" s="18"/>
      <c r="V925" s="18"/>
      <c r="W925" s="18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 spans="1:36" ht="11.25" customHeight="1" x14ac:dyDescent="0.2">
      <c r="A926" s="70" t="s">
        <v>27</v>
      </c>
      <c r="B926" s="70" t="s">
        <v>41</v>
      </c>
      <c r="C926" s="70" t="s">
        <v>23</v>
      </c>
      <c r="D926" s="70" t="s">
        <v>42</v>
      </c>
      <c r="E926" s="70" t="s">
        <v>25</v>
      </c>
      <c r="F926" s="70" t="s">
        <v>25</v>
      </c>
      <c r="G926" s="70" t="s">
        <v>25</v>
      </c>
      <c r="H926" s="70" t="s">
        <v>25</v>
      </c>
      <c r="I926" s="78">
        <v>44378</v>
      </c>
      <c r="J926" s="79">
        <f>EFEITO!$J$926*EFEITO!$Y$752</f>
        <v>0</v>
      </c>
      <c r="K926" s="79">
        <f ca="1">EFEITO!$L$926*EFEITO!$Z$752</f>
        <v>-14905.753154598873</v>
      </c>
      <c r="L926" s="79">
        <f>EFEITO!$N$926*EFEITO!$AA$752</f>
        <v>-10110.846612686037</v>
      </c>
      <c r="M926" s="79">
        <f>$J$926-EFEITO!$K$926*EFEITO!$Y$926</f>
        <v>0</v>
      </c>
      <c r="N926" s="79">
        <f ca="1">$K$926-EFEITO!$M$926*EFEITO!$Z$926</f>
        <v>-894.34518927593308</v>
      </c>
      <c r="O926" s="79">
        <f>$L$926-EFEITO!$O$926*EFEITO!$AA$926</f>
        <v>-606.65079676116329</v>
      </c>
      <c r="P926" s="18"/>
      <c r="Q926" s="18"/>
      <c r="R926" s="18"/>
      <c r="S926" s="18"/>
      <c r="T926" s="18"/>
      <c r="U926" s="18"/>
      <c r="V926" s="18"/>
      <c r="W926" s="18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 spans="1:36" ht="11.25" customHeight="1" x14ac:dyDescent="0.2">
      <c r="A927" s="70" t="s">
        <v>28</v>
      </c>
      <c r="B927" s="70" t="s">
        <v>41</v>
      </c>
      <c r="C927" s="70" t="s">
        <v>23</v>
      </c>
      <c r="D927" s="70" t="s">
        <v>42</v>
      </c>
      <c r="E927" s="70" t="s">
        <v>25</v>
      </c>
      <c r="F927" s="70" t="s">
        <v>25</v>
      </c>
      <c r="G927" s="70" t="s">
        <v>25</v>
      </c>
      <c r="H927" s="70" t="s">
        <v>25</v>
      </c>
      <c r="I927" s="78">
        <v>44378</v>
      </c>
      <c r="J927" s="79">
        <f>EFEITO!$J$927*EFEITO!$Y$752</f>
        <v>0</v>
      </c>
      <c r="K927" s="79">
        <f ca="1">EFEITO!$L$927*EFEITO!$Z$752</f>
        <v>85893.168149693432</v>
      </c>
      <c r="L927" s="79">
        <f>EFEITO!$N$927*EFEITO!$AA$752</f>
        <v>58262.916286873849</v>
      </c>
      <c r="M927" s="79">
        <f>$J$927-EFEITO!$K$927*EFEITO!$Y$927</f>
        <v>0</v>
      </c>
      <c r="N927" s="79">
        <f ca="1">$K$927-EFEITO!$M$927*EFEITO!$Z$927</f>
        <v>5153.5900889816257</v>
      </c>
      <c r="O927" s="79">
        <f>$L$927-EFEITO!$O$927*EFEITO!$AA$927</f>
        <v>3495.7749772124371</v>
      </c>
      <c r="P927" s="18"/>
      <c r="Q927" s="18"/>
      <c r="R927" s="18"/>
      <c r="S927" s="18"/>
      <c r="T927" s="18"/>
      <c r="U927" s="18"/>
      <c r="V927" s="18"/>
      <c r="W927" s="18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 spans="1:36" ht="11.25" customHeight="1" x14ac:dyDescent="0.2">
      <c r="A928" s="70" t="s">
        <v>28</v>
      </c>
      <c r="B928" s="70" t="s">
        <v>41</v>
      </c>
      <c r="C928" s="70" t="s">
        <v>23</v>
      </c>
      <c r="D928" s="70" t="s">
        <v>42</v>
      </c>
      <c r="E928" s="70" t="s">
        <v>25</v>
      </c>
      <c r="F928" s="70" t="s">
        <v>25</v>
      </c>
      <c r="G928" s="70" t="s">
        <v>25</v>
      </c>
      <c r="H928" s="70" t="s">
        <v>25</v>
      </c>
      <c r="I928" s="78">
        <v>44378</v>
      </c>
      <c r="J928" s="79">
        <f>EFEITO!$J$928*EFEITO!$Y$752</f>
        <v>0</v>
      </c>
      <c r="K928" s="79">
        <f ca="1">EFEITO!$L$928*EFEITO!$Z$752</f>
        <v>-68707.639389125383</v>
      </c>
      <c r="L928" s="79">
        <f>EFEITO!$N$928*EFEITO!$AA$752</f>
        <v>-46605.655935531075</v>
      </c>
      <c r="M928" s="79">
        <f>$J$928-EFEITO!$K$928*EFEITO!$Y$928</f>
        <v>0</v>
      </c>
      <c r="N928" s="79">
        <f ca="1">$K$928-EFEITO!$M$928*EFEITO!$Z$928</f>
        <v>-4122.458363347534</v>
      </c>
      <c r="O928" s="79">
        <f>$L$928-EFEITO!$O$928*EFEITO!$AA$928</f>
        <v>-2796.3393561318662</v>
      </c>
      <c r="P928" s="18"/>
      <c r="Q928" s="18"/>
      <c r="R928" s="18"/>
      <c r="S928" s="18"/>
      <c r="T928" s="18"/>
      <c r="U928" s="18"/>
      <c r="V928" s="18"/>
      <c r="W928" s="18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 spans="1:36" ht="11.25" customHeight="1" x14ac:dyDescent="0.2">
      <c r="A929" s="70" t="s">
        <v>21</v>
      </c>
      <c r="B929" s="70" t="s">
        <v>41</v>
      </c>
      <c r="C929" s="70" t="s">
        <v>23</v>
      </c>
      <c r="D929" s="70" t="s">
        <v>42</v>
      </c>
      <c r="E929" s="70" t="s">
        <v>25</v>
      </c>
      <c r="F929" s="70" t="s">
        <v>25</v>
      </c>
      <c r="G929" s="70" t="s">
        <v>25</v>
      </c>
      <c r="H929" s="70" t="s">
        <v>25</v>
      </c>
      <c r="I929" s="78">
        <v>44409</v>
      </c>
      <c r="J929" s="79">
        <f>EFEITO!$J$929*EFEITO!$Y$752</f>
        <v>0</v>
      </c>
      <c r="K929" s="79">
        <f ca="1">EFEITO!$L$929*EFEITO!$Z$752</f>
        <v>4333757.8884848543</v>
      </c>
      <c r="L929" s="79">
        <f>EFEITO!$N$929*EFEITO!$AA$752</f>
        <v>2939667.7116895174</v>
      </c>
      <c r="M929" s="79">
        <f>$J$929-EFEITO!$K$929*EFEITO!$Y$929</f>
        <v>0</v>
      </c>
      <c r="N929" s="79">
        <f ca="1">$K$929-EFEITO!$M$929*EFEITO!$Z$929</f>
        <v>260025.47330909176</v>
      </c>
      <c r="O929" s="79">
        <f>$L$929-EFEITO!$O$929*EFEITO!$AA$929</f>
        <v>176380.06270137103</v>
      </c>
      <c r="P929" s="18"/>
      <c r="Q929" s="18"/>
      <c r="R929" s="18"/>
      <c r="S929" s="18"/>
      <c r="T929" s="18"/>
      <c r="U929" s="18"/>
      <c r="V929" s="18"/>
      <c r="W929" s="18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spans="1:36" ht="11.25" customHeight="1" x14ac:dyDescent="0.2">
      <c r="A930" s="70" t="s">
        <v>27</v>
      </c>
      <c r="B930" s="70" t="s">
        <v>41</v>
      </c>
      <c r="C930" s="70" t="s">
        <v>23</v>
      </c>
      <c r="D930" s="70" t="s">
        <v>42</v>
      </c>
      <c r="E930" s="70" t="s">
        <v>25</v>
      </c>
      <c r="F930" s="70" t="s">
        <v>25</v>
      </c>
      <c r="G930" s="70" t="s">
        <v>25</v>
      </c>
      <c r="H930" s="70" t="s">
        <v>25</v>
      </c>
      <c r="I930" s="78">
        <v>44409</v>
      </c>
      <c r="J930" s="79">
        <f>EFEITO!$J$930*EFEITO!$Y$752</f>
        <v>0</v>
      </c>
      <c r="K930" s="79">
        <f ca="1">EFEITO!$L$930*EFEITO!$Z$752</f>
        <v>-282799.98459789855</v>
      </c>
      <c r="L930" s="79">
        <f>EFEITO!$N$930*EFEITO!$AA$752</f>
        <v>-191828.43273217167</v>
      </c>
      <c r="M930" s="79">
        <f>$J$930-EFEITO!$K$930*EFEITO!$Y$930</f>
        <v>0</v>
      </c>
      <c r="N930" s="79">
        <f ca="1">$K$930-EFEITO!$M$930*EFEITO!$Z$930</f>
        <v>-16967.99907587393</v>
      </c>
      <c r="O930" s="79">
        <f>$L$930-EFEITO!$O$930*EFEITO!$AA$930</f>
        <v>-11509.70596393029</v>
      </c>
      <c r="P930" s="18"/>
      <c r="Q930" s="18"/>
      <c r="R930" s="18"/>
      <c r="S930" s="18"/>
      <c r="T930" s="18"/>
      <c r="U930" s="18"/>
      <c r="V930" s="18"/>
      <c r="W930" s="18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 spans="1:36" ht="11.25" customHeight="1" x14ac:dyDescent="0.2">
      <c r="A931" s="70" t="s">
        <v>28</v>
      </c>
      <c r="B931" s="70" t="s">
        <v>41</v>
      </c>
      <c r="C931" s="70" t="s">
        <v>23</v>
      </c>
      <c r="D931" s="70" t="s">
        <v>42</v>
      </c>
      <c r="E931" s="70" t="s">
        <v>25</v>
      </c>
      <c r="F931" s="70" t="s">
        <v>25</v>
      </c>
      <c r="G931" s="70" t="s">
        <v>25</v>
      </c>
      <c r="H931" s="70" t="s">
        <v>25</v>
      </c>
      <c r="I931" s="78">
        <v>44409</v>
      </c>
      <c r="J931" s="79">
        <f>EFEITO!$J$931*EFEITO!$Y$752</f>
        <v>0</v>
      </c>
      <c r="K931" s="79">
        <f ca="1">EFEITO!$L$931*EFEITO!$Z$752</f>
        <v>66633.549035828561</v>
      </c>
      <c r="L931" s="79">
        <f>EFEITO!$N$931*EFEITO!$AA$752</f>
        <v>45198.762288123136</v>
      </c>
      <c r="M931" s="79">
        <f>$J$931-EFEITO!$K$931*EFEITO!$Y$931</f>
        <v>0</v>
      </c>
      <c r="N931" s="79">
        <f ca="1">$K$931-EFEITO!$M$931*EFEITO!$Z$931</f>
        <v>3998.0129421497259</v>
      </c>
      <c r="O931" s="79">
        <f>$L$931-EFEITO!$O$931*EFEITO!$AA$931</f>
        <v>2711.9257372873908</v>
      </c>
      <c r="P931" s="18"/>
      <c r="Q931" s="18"/>
      <c r="R931" s="18"/>
      <c r="S931" s="18"/>
      <c r="T931" s="18"/>
      <c r="U931" s="18"/>
      <c r="V931" s="18"/>
      <c r="W931" s="18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 spans="1:36" ht="11.25" customHeight="1" x14ac:dyDescent="0.2">
      <c r="A932" s="70" t="s">
        <v>28</v>
      </c>
      <c r="B932" s="70" t="s">
        <v>41</v>
      </c>
      <c r="C932" s="70" t="s">
        <v>23</v>
      </c>
      <c r="D932" s="70" t="s">
        <v>42</v>
      </c>
      <c r="E932" s="70" t="s">
        <v>25</v>
      </c>
      <c r="F932" s="70" t="s">
        <v>25</v>
      </c>
      <c r="G932" s="70" t="s">
        <v>25</v>
      </c>
      <c r="H932" s="70" t="s">
        <v>25</v>
      </c>
      <c r="I932" s="78">
        <v>44409</v>
      </c>
      <c r="J932" s="79">
        <f>EFEITO!$J$932*EFEITO!$Y$752</f>
        <v>0</v>
      </c>
      <c r="K932" s="79">
        <f ca="1">EFEITO!$L$932*EFEITO!$Z$752</f>
        <v>-732.16937954103992</v>
      </c>
      <c r="L932" s="79">
        <f>EFEITO!$N$932*EFEITO!$AA$752</f>
        <v>-496.6439611782352</v>
      </c>
      <c r="M932" s="79">
        <f>$J$932-EFEITO!$K$932*EFEITO!$Y$932</f>
        <v>0</v>
      </c>
      <c r="N932" s="79">
        <f ca="1">$K$932-EFEITO!$M$932*EFEITO!$Z$932</f>
        <v>-43.930162772462495</v>
      </c>
      <c r="O932" s="79">
        <f>$L$932-EFEITO!$O$932*EFEITO!$AA$932</f>
        <v>-29.79863767069412</v>
      </c>
      <c r="P932" s="18"/>
      <c r="Q932" s="18"/>
      <c r="R932" s="18"/>
      <c r="S932" s="18"/>
      <c r="T932" s="18"/>
      <c r="U932" s="18"/>
      <c r="V932" s="18"/>
      <c r="W932" s="18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 spans="1:36" ht="11.25" customHeight="1" x14ac:dyDescent="0.2">
      <c r="A933" s="70" t="s">
        <v>21</v>
      </c>
      <c r="B933" s="70" t="s">
        <v>41</v>
      </c>
      <c r="C933" s="70" t="s">
        <v>23</v>
      </c>
      <c r="D933" s="70" t="s">
        <v>42</v>
      </c>
      <c r="E933" s="70" t="s">
        <v>25</v>
      </c>
      <c r="F933" s="70" t="s">
        <v>25</v>
      </c>
      <c r="G933" s="70" t="s">
        <v>25</v>
      </c>
      <c r="H933" s="70" t="s">
        <v>25</v>
      </c>
      <c r="I933" s="78">
        <v>44440</v>
      </c>
      <c r="J933" s="79">
        <f>EFEITO!$J$933*EFEITO!$Y$752</f>
        <v>0</v>
      </c>
      <c r="K933" s="79">
        <f ca="1">EFEITO!$L$933*EFEITO!$Z$752</f>
        <v>4110880.6793877971</v>
      </c>
      <c r="L933" s="79">
        <f>EFEITO!$N$933*EFEITO!$AA$752</f>
        <v>2788486.0000865296</v>
      </c>
      <c r="M933" s="79">
        <f>$J$933-EFEITO!$K$933*EFEITO!$Y$933</f>
        <v>0</v>
      </c>
      <c r="N933" s="79">
        <f ca="1">$K$933-EFEITO!$M$933*EFEITO!$Z$933</f>
        <v>246652.84076326806</v>
      </c>
      <c r="O933" s="79">
        <f>$L$933-EFEITO!$O$933*EFEITO!$AA$933</f>
        <v>167309.16000519227</v>
      </c>
      <c r="P933" s="18"/>
      <c r="Q933" s="18"/>
      <c r="R933" s="18"/>
      <c r="S933" s="18"/>
      <c r="T933" s="18"/>
      <c r="U933" s="18"/>
      <c r="V933" s="18"/>
      <c r="W933" s="18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spans="1:36" ht="11.25" customHeight="1" x14ac:dyDescent="0.2">
      <c r="A934" s="70" t="s">
        <v>27</v>
      </c>
      <c r="B934" s="70" t="s">
        <v>41</v>
      </c>
      <c r="C934" s="70" t="s">
        <v>23</v>
      </c>
      <c r="D934" s="70" t="s">
        <v>42</v>
      </c>
      <c r="E934" s="70" t="s">
        <v>25</v>
      </c>
      <c r="F934" s="70" t="s">
        <v>25</v>
      </c>
      <c r="G934" s="70" t="s">
        <v>25</v>
      </c>
      <c r="H934" s="70" t="s">
        <v>25</v>
      </c>
      <c r="I934" s="78">
        <v>44440</v>
      </c>
      <c r="J934" s="79">
        <f>EFEITO!$J$934*EFEITO!$Y$752</f>
        <v>0</v>
      </c>
      <c r="K934" s="79">
        <f ca="1">EFEITO!$L$934*EFEITO!$Z$752</f>
        <v>-17159.818103983998</v>
      </c>
      <c r="L934" s="79">
        <f>EFEITO!$N$934*EFEITO!$AA$752</f>
        <v>-11639.820339936668</v>
      </c>
      <c r="M934" s="79">
        <f>$J$934-EFEITO!$K$934*EFEITO!$Y$934</f>
        <v>0</v>
      </c>
      <c r="N934" s="79">
        <f ca="1">$K$934-EFEITO!$M$934*EFEITO!$Z$934</f>
        <v>-1029.5890862390424</v>
      </c>
      <c r="O934" s="79">
        <f>$L$934-EFEITO!$O$934*EFEITO!$AA$934</f>
        <v>-698.38922039620047</v>
      </c>
      <c r="P934" s="18"/>
      <c r="Q934" s="18"/>
      <c r="R934" s="18"/>
      <c r="S934" s="18"/>
      <c r="T934" s="18"/>
      <c r="U934" s="18"/>
      <c r="V934" s="18"/>
      <c r="W934" s="18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</row>
    <row r="935" spans="1:36" ht="11.25" customHeight="1" x14ac:dyDescent="0.2">
      <c r="A935" s="70" t="s">
        <v>28</v>
      </c>
      <c r="B935" s="70" t="s">
        <v>41</v>
      </c>
      <c r="C935" s="70" t="s">
        <v>23</v>
      </c>
      <c r="D935" s="70" t="s">
        <v>42</v>
      </c>
      <c r="E935" s="70" t="s">
        <v>25</v>
      </c>
      <c r="F935" s="70" t="s">
        <v>25</v>
      </c>
      <c r="G935" s="70" t="s">
        <v>25</v>
      </c>
      <c r="H935" s="70" t="s">
        <v>25</v>
      </c>
      <c r="I935" s="78">
        <v>44440</v>
      </c>
      <c r="J935" s="79">
        <f>EFEITO!$J$935*EFEITO!$Y$752</f>
        <v>0</v>
      </c>
      <c r="K935" s="79">
        <f ca="1">EFEITO!$L$935*EFEITO!$Z$752</f>
        <v>75549.303539449626</v>
      </c>
      <c r="L935" s="79">
        <f>EFEITO!$N$935*EFEITO!$AA$752</f>
        <v>51246.48260708365</v>
      </c>
      <c r="M935" s="79">
        <f>$J$935-EFEITO!$K$935*EFEITO!$Y$935</f>
        <v>0</v>
      </c>
      <c r="N935" s="79">
        <f ca="1">$K$935-EFEITO!$M$935*EFEITO!$Z$935</f>
        <v>4532.9582123669825</v>
      </c>
      <c r="O935" s="79">
        <f>$L$935-EFEITO!$O$935*EFEITO!$AA$935</f>
        <v>3074.7889564250218</v>
      </c>
      <c r="P935" s="18"/>
      <c r="Q935" s="18"/>
      <c r="R935" s="18"/>
      <c r="S935" s="18"/>
      <c r="T935" s="18"/>
      <c r="U935" s="18"/>
      <c r="V935" s="18"/>
      <c r="W935" s="18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 spans="1:36" ht="11.25" customHeight="1" x14ac:dyDescent="0.2">
      <c r="A936" s="70" t="s">
        <v>21</v>
      </c>
      <c r="B936" s="70" t="s">
        <v>41</v>
      </c>
      <c r="C936" s="70" t="s">
        <v>23</v>
      </c>
      <c r="D936" s="70" t="s">
        <v>42</v>
      </c>
      <c r="E936" s="70" t="s">
        <v>25</v>
      </c>
      <c r="F936" s="70" t="s">
        <v>25</v>
      </c>
      <c r="G936" s="70" t="s">
        <v>25</v>
      </c>
      <c r="H936" s="70" t="s">
        <v>25</v>
      </c>
      <c r="I936" s="78">
        <v>44470</v>
      </c>
      <c r="J936" s="79">
        <f>EFEITO!$J$936*EFEITO!$Y$752</f>
        <v>0</v>
      </c>
      <c r="K936" s="79">
        <f ca="1">EFEITO!$L$936*EFEITO!$Z$752</f>
        <v>4022634.6939941114</v>
      </c>
      <c r="L936" s="79">
        <f>EFEITO!$N$936*EFEITO!$AA$752</f>
        <v>2728627.1245740494</v>
      </c>
      <c r="M936" s="79">
        <f>$J$936-EFEITO!$K$936*EFEITO!$Y$936</f>
        <v>0</v>
      </c>
      <c r="N936" s="79">
        <f ca="1">$K$936-EFEITO!$M$936*EFEITO!$Z$936</f>
        <v>241358.08163964702</v>
      </c>
      <c r="O936" s="79">
        <f>$L$936-EFEITO!$O$936*EFEITO!$AA$936</f>
        <v>163717.62747444306</v>
      </c>
      <c r="P936" s="18"/>
      <c r="Q936" s="18"/>
      <c r="R936" s="18"/>
      <c r="S936" s="18"/>
      <c r="T936" s="18"/>
      <c r="U936" s="18"/>
      <c r="V936" s="18"/>
      <c r="W936" s="18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</row>
    <row r="937" spans="1:36" ht="11.25" customHeight="1" x14ac:dyDescent="0.2">
      <c r="A937" s="70" t="s">
        <v>27</v>
      </c>
      <c r="B937" s="70" t="s">
        <v>41</v>
      </c>
      <c r="C937" s="70" t="s">
        <v>23</v>
      </c>
      <c r="D937" s="70" t="s">
        <v>42</v>
      </c>
      <c r="E937" s="70" t="s">
        <v>25</v>
      </c>
      <c r="F937" s="70" t="s">
        <v>25</v>
      </c>
      <c r="G937" s="70" t="s">
        <v>25</v>
      </c>
      <c r="H937" s="70" t="s">
        <v>25</v>
      </c>
      <c r="I937" s="78">
        <v>44470</v>
      </c>
      <c r="J937" s="79">
        <f>EFEITO!$J$937*EFEITO!$Y$752</f>
        <v>0</v>
      </c>
      <c r="K937" s="79">
        <f ca="1">EFEITO!$L$937*EFEITO!$Z$752</f>
        <v>-19055.394693952981</v>
      </c>
      <c r="L937" s="79">
        <f>EFEITO!$N$937*EFEITO!$AA$752</f>
        <v>-12925.624817240896</v>
      </c>
      <c r="M937" s="79">
        <f>$J$937-EFEITO!$K$937*EFEITO!$Y$937</f>
        <v>0</v>
      </c>
      <c r="N937" s="79">
        <f ca="1">$K$937-EFEITO!$M$937*EFEITO!$Z$937</f>
        <v>-1143.3236816371827</v>
      </c>
      <c r="O937" s="79">
        <f>$L$937-EFEITO!$O$937*EFEITO!$AA$937</f>
        <v>-775.53748903445376</v>
      </c>
      <c r="P937" s="18"/>
      <c r="Q937" s="18"/>
      <c r="R937" s="18"/>
      <c r="S937" s="18"/>
      <c r="T937" s="18"/>
      <c r="U937" s="18"/>
      <c r="V937" s="18"/>
      <c r="W937" s="18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 spans="1:36" ht="11.25" customHeight="1" x14ac:dyDescent="0.2">
      <c r="A938" s="70" t="s">
        <v>28</v>
      </c>
      <c r="B938" s="70" t="s">
        <v>41</v>
      </c>
      <c r="C938" s="70" t="s">
        <v>23</v>
      </c>
      <c r="D938" s="70" t="s">
        <v>42</v>
      </c>
      <c r="E938" s="70" t="s">
        <v>25</v>
      </c>
      <c r="F938" s="70" t="s">
        <v>25</v>
      </c>
      <c r="G938" s="70" t="s">
        <v>25</v>
      </c>
      <c r="H938" s="70" t="s">
        <v>25</v>
      </c>
      <c r="I938" s="78">
        <v>44470</v>
      </c>
      <c r="J938" s="79">
        <f>EFEITO!$J$938*EFEITO!$Y$752</f>
        <v>0</v>
      </c>
      <c r="K938" s="79">
        <f ca="1">EFEITO!$L$938*EFEITO!$Z$752</f>
        <v>80075.839931001625</v>
      </c>
      <c r="L938" s="79">
        <f>EFEITO!$N$938*EFEITO!$AA$752</f>
        <v>54316.915524296099</v>
      </c>
      <c r="M938" s="79">
        <f>$J$938-EFEITO!$K$938*EFEITO!$Y$938</f>
        <v>0</v>
      </c>
      <c r="N938" s="79">
        <f ca="1">$K$938-EFEITO!$M$938*EFEITO!$Z$938</f>
        <v>4804.5503958601039</v>
      </c>
      <c r="O938" s="79">
        <f>$L$938-EFEITO!$O$938*EFEITO!$AA$938</f>
        <v>3259.014931457772</v>
      </c>
      <c r="P938" s="18"/>
      <c r="Q938" s="18"/>
      <c r="R938" s="18"/>
      <c r="S938" s="18"/>
      <c r="T938" s="18"/>
      <c r="U938" s="18"/>
      <c r="V938" s="18"/>
      <c r="W938" s="18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 spans="1:36" ht="11.25" customHeight="1" x14ac:dyDescent="0.2">
      <c r="A939" s="70" t="s">
        <v>28</v>
      </c>
      <c r="B939" s="70" t="s">
        <v>41</v>
      </c>
      <c r="C939" s="70" t="s">
        <v>23</v>
      </c>
      <c r="D939" s="70" t="s">
        <v>42</v>
      </c>
      <c r="E939" s="70" t="s">
        <v>25</v>
      </c>
      <c r="F939" s="70" t="s">
        <v>25</v>
      </c>
      <c r="G939" s="70" t="s">
        <v>25</v>
      </c>
      <c r="H939" s="70" t="s">
        <v>25</v>
      </c>
      <c r="I939" s="78">
        <v>44470</v>
      </c>
      <c r="J939" s="79">
        <f>EFEITO!$J$939*EFEITO!$Y$752</f>
        <v>0</v>
      </c>
      <c r="K939" s="79">
        <f ca="1">EFEITO!$L$939*EFEITO!$Z$752</f>
        <v>-379.81651771881565</v>
      </c>
      <c r="L939" s="79">
        <f>EFEITO!$N$939*EFEITO!$AA$752</f>
        <v>-257.63653213555699</v>
      </c>
      <c r="M939" s="79">
        <f>$J$939-EFEITO!$K$939*EFEITO!$Y$939</f>
        <v>0</v>
      </c>
      <c r="N939" s="79">
        <f ca="1">$K$939-EFEITO!$M$939*EFEITO!$Z$939</f>
        <v>-22.788991063129004</v>
      </c>
      <c r="O939" s="79">
        <f>$L$939-EFEITO!$O$939*EFEITO!$AA$939</f>
        <v>-15.458191928133402</v>
      </c>
      <c r="P939" s="18"/>
      <c r="Q939" s="18"/>
      <c r="R939" s="18"/>
      <c r="S939" s="18"/>
      <c r="T939" s="18"/>
      <c r="U939" s="18"/>
      <c r="V939" s="18"/>
      <c r="W939" s="18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</row>
    <row r="940" spans="1:36" ht="11.25" customHeight="1" x14ac:dyDescent="0.2">
      <c r="A940" s="70" t="s">
        <v>21</v>
      </c>
      <c r="B940" s="70" t="s">
        <v>41</v>
      </c>
      <c r="C940" s="70" t="s">
        <v>23</v>
      </c>
      <c r="D940" s="70" t="s">
        <v>42</v>
      </c>
      <c r="E940" s="70" t="s">
        <v>25</v>
      </c>
      <c r="F940" s="70" t="s">
        <v>25</v>
      </c>
      <c r="G940" s="70" t="s">
        <v>25</v>
      </c>
      <c r="H940" s="70" t="s">
        <v>25</v>
      </c>
      <c r="I940" s="78">
        <v>44501</v>
      </c>
      <c r="J940" s="79">
        <f>EFEITO!$J$940*EFEITO!$Y$752</f>
        <v>0</v>
      </c>
      <c r="K940" s="79">
        <f ca="1">EFEITO!$L$940*EFEITO!$Z$752</f>
        <v>4201213.0261299666</v>
      </c>
      <c r="L940" s="79">
        <f>EFEITO!$N$940*EFEITO!$AA$752</f>
        <v>2849760.0928882244</v>
      </c>
      <c r="M940" s="79">
        <f>$J$940-EFEITO!$K$940*EFEITO!$Y$940</f>
        <v>0</v>
      </c>
      <c r="N940" s="79">
        <f ca="1">$K$940-EFEITO!$M$940*EFEITO!$Z$940</f>
        <v>252072.781567798</v>
      </c>
      <c r="O940" s="79">
        <f>$L$940-EFEITO!$O$940*EFEITO!$AA$940</f>
        <v>170985.60557329375</v>
      </c>
      <c r="P940" s="18"/>
      <c r="Q940" s="18"/>
      <c r="R940" s="18"/>
      <c r="S940" s="18"/>
      <c r="T940" s="18"/>
      <c r="U940" s="18"/>
      <c r="V940" s="18"/>
      <c r="W940" s="18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</row>
    <row r="941" spans="1:36" ht="11.25" customHeight="1" x14ac:dyDescent="0.2">
      <c r="A941" s="70" t="s">
        <v>27</v>
      </c>
      <c r="B941" s="70" t="s">
        <v>41</v>
      </c>
      <c r="C941" s="70" t="s">
        <v>23</v>
      </c>
      <c r="D941" s="70" t="s">
        <v>42</v>
      </c>
      <c r="E941" s="70" t="s">
        <v>25</v>
      </c>
      <c r="F941" s="70" t="s">
        <v>25</v>
      </c>
      <c r="G941" s="70" t="s">
        <v>25</v>
      </c>
      <c r="H941" s="70" t="s">
        <v>25</v>
      </c>
      <c r="I941" s="78">
        <v>44501</v>
      </c>
      <c r="J941" s="79">
        <f>EFEITO!$J$941*EFEITO!$Y$752</f>
        <v>0</v>
      </c>
      <c r="K941" s="79">
        <f ca="1">EFEITO!$L$941*EFEITO!$Z$752</f>
        <v>-25526.007323121139</v>
      </c>
      <c r="L941" s="79">
        <f>EFEITO!$N$941*EFEITO!$AA$752</f>
        <v>-17314.760415091801</v>
      </c>
      <c r="M941" s="79">
        <f>$J$941-EFEITO!$K$941*EFEITO!$Y$941</f>
        <v>0</v>
      </c>
      <c r="N941" s="79">
        <f ca="1">$K$941-EFEITO!$M$941*EFEITO!$Z$941</f>
        <v>-1531.5604393872709</v>
      </c>
      <c r="O941" s="79">
        <f>$L$941-EFEITO!$O$941*EFEITO!$AA$941</f>
        <v>-1038.8856249055079</v>
      </c>
      <c r="P941" s="18"/>
      <c r="Q941" s="18"/>
      <c r="R941" s="18"/>
      <c r="S941" s="18"/>
      <c r="T941" s="18"/>
      <c r="U941" s="18"/>
      <c r="V941" s="18"/>
      <c r="W941" s="18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</row>
    <row r="942" spans="1:36" ht="11.25" customHeight="1" x14ac:dyDescent="0.2">
      <c r="A942" s="70" t="s">
        <v>28</v>
      </c>
      <c r="B942" s="70" t="s">
        <v>41</v>
      </c>
      <c r="C942" s="70" t="s">
        <v>23</v>
      </c>
      <c r="D942" s="70" t="s">
        <v>42</v>
      </c>
      <c r="E942" s="70" t="s">
        <v>25</v>
      </c>
      <c r="F942" s="70" t="s">
        <v>25</v>
      </c>
      <c r="G942" s="70" t="s">
        <v>25</v>
      </c>
      <c r="H942" s="70" t="s">
        <v>25</v>
      </c>
      <c r="I942" s="78">
        <v>44501</v>
      </c>
      <c r="J942" s="79">
        <f>EFEITO!$J$942*EFEITO!$Y$752</f>
        <v>0</v>
      </c>
      <c r="K942" s="79">
        <f ca="1">EFEITO!$L$942*EFEITO!$Z$752</f>
        <v>76750.108068545247</v>
      </c>
      <c r="L942" s="79">
        <f>EFEITO!$N$942*EFEITO!$AA$752</f>
        <v>52061.01041252759</v>
      </c>
      <c r="M942" s="79">
        <f>$J$942-EFEITO!$K$942*EFEITO!$Y$942</f>
        <v>0</v>
      </c>
      <c r="N942" s="79">
        <f ca="1">$K$942-EFEITO!$M$942*EFEITO!$Z$942</f>
        <v>4605.0064841127169</v>
      </c>
      <c r="O942" s="79">
        <f>$L$942-EFEITO!$O$942*EFEITO!$AA$942</f>
        <v>3123.6606247516538</v>
      </c>
      <c r="P942" s="18"/>
      <c r="Q942" s="18"/>
      <c r="R942" s="18"/>
      <c r="S942" s="18"/>
      <c r="T942" s="18"/>
      <c r="U942" s="18"/>
      <c r="V942" s="18"/>
      <c r="W942" s="18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</row>
    <row r="943" spans="1:36" ht="11.25" customHeight="1" x14ac:dyDescent="0.2">
      <c r="A943" s="70" t="s">
        <v>28</v>
      </c>
      <c r="B943" s="70" t="s">
        <v>41</v>
      </c>
      <c r="C943" s="70" t="s">
        <v>23</v>
      </c>
      <c r="D943" s="70" t="s">
        <v>42</v>
      </c>
      <c r="E943" s="70" t="s">
        <v>25</v>
      </c>
      <c r="F943" s="70" t="s">
        <v>25</v>
      </c>
      <c r="G943" s="70" t="s">
        <v>25</v>
      </c>
      <c r="H943" s="70" t="s">
        <v>25</v>
      </c>
      <c r="I943" s="78">
        <v>44501</v>
      </c>
      <c r="J943" s="79">
        <f>EFEITO!$J$943*EFEITO!$Y$752</f>
        <v>0</v>
      </c>
      <c r="K943" s="79">
        <f ca="1">EFEITO!$L$943*EFEITO!$Z$752</f>
        <v>-212.11291681835394</v>
      </c>
      <c r="L943" s="79">
        <f>EFEITO!$N$943*EFEITO!$AA$752</f>
        <v>-143.88009410031876</v>
      </c>
      <c r="M943" s="79">
        <f>$J$943-EFEITO!$K$943*EFEITO!$Y$943</f>
        <v>0</v>
      </c>
      <c r="N943" s="79">
        <f ca="1">$K$943-EFEITO!$M$943*EFEITO!$Z$943</f>
        <v>-12.72677500910126</v>
      </c>
      <c r="O943" s="79">
        <f>$L$943-EFEITO!$O$943*EFEITO!$AA$943</f>
        <v>-8.6328056460191362</v>
      </c>
      <c r="P943" s="18"/>
      <c r="Q943" s="18"/>
      <c r="R943" s="18"/>
      <c r="S943" s="18"/>
      <c r="T943" s="18"/>
      <c r="U943" s="18"/>
      <c r="V943" s="18"/>
      <c r="W943" s="18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</row>
    <row r="944" spans="1:36" ht="11.25" customHeight="1" x14ac:dyDescent="0.2">
      <c r="A944" s="70" t="s">
        <v>21</v>
      </c>
      <c r="B944" s="70" t="s">
        <v>41</v>
      </c>
      <c r="C944" s="70" t="s">
        <v>23</v>
      </c>
      <c r="D944" s="70" t="s">
        <v>42</v>
      </c>
      <c r="E944" s="70" t="s">
        <v>25</v>
      </c>
      <c r="F944" s="70" t="s">
        <v>25</v>
      </c>
      <c r="G944" s="70" t="s">
        <v>25</v>
      </c>
      <c r="H944" s="70" t="s">
        <v>25</v>
      </c>
      <c r="I944" s="78">
        <v>44531</v>
      </c>
      <c r="J944" s="79">
        <f>EFEITO!$J$944*EFEITO!$Y$752</f>
        <v>0</v>
      </c>
      <c r="K944" s="79">
        <f ca="1">EFEITO!$L$944*EFEITO!$Z$752</f>
        <v>4498693.7956373543</v>
      </c>
      <c r="L944" s="79">
        <f>EFEITO!$N$944*EFEITO!$AA$752</f>
        <v>3051546.7721332787</v>
      </c>
      <c r="M944" s="79">
        <f>$J$944-EFEITO!$K$944*EFEITO!$Y$944</f>
        <v>0</v>
      </c>
      <c r="N944" s="79">
        <f ca="1">$K$944-EFEITO!$M$944*EFEITO!$Z$944</f>
        <v>269921.62773824204</v>
      </c>
      <c r="O944" s="79">
        <f>$L$944-EFEITO!$O$944*EFEITO!$AA$944</f>
        <v>183092.80632799678</v>
      </c>
      <c r="P944" s="18"/>
      <c r="Q944" s="18"/>
      <c r="R944" s="18"/>
      <c r="S944" s="18"/>
      <c r="T944" s="18"/>
      <c r="U944" s="18"/>
      <c r="V944" s="18"/>
      <c r="W944" s="18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</row>
    <row r="945" spans="1:36" ht="11.25" customHeight="1" x14ac:dyDescent="0.2">
      <c r="A945" s="70" t="s">
        <v>27</v>
      </c>
      <c r="B945" s="70" t="s">
        <v>41</v>
      </c>
      <c r="C945" s="70" t="s">
        <v>23</v>
      </c>
      <c r="D945" s="70" t="s">
        <v>42</v>
      </c>
      <c r="E945" s="70" t="s">
        <v>25</v>
      </c>
      <c r="F945" s="70" t="s">
        <v>25</v>
      </c>
      <c r="G945" s="70" t="s">
        <v>25</v>
      </c>
      <c r="H945" s="70" t="s">
        <v>25</v>
      </c>
      <c r="I945" s="78">
        <v>44531</v>
      </c>
      <c r="J945" s="79">
        <f>EFEITO!$J$945*EFEITO!$Y$752</f>
        <v>0</v>
      </c>
      <c r="K945" s="79">
        <f ca="1">EFEITO!$L$945*EFEITO!$Z$752</f>
        <v>-300132.18096761644</v>
      </c>
      <c r="L945" s="79">
        <f>EFEITO!$N$945*EFEITO!$AA$752</f>
        <v>-203585.18042130829</v>
      </c>
      <c r="M945" s="79">
        <f>$J$945-EFEITO!$K$945*EFEITO!$Y$945</f>
        <v>0</v>
      </c>
      <c r="N945" s="79">
        <f ca="1">$K$945-EFEITO!$M$945*EFEITO!$Z$945</f>
        <v>-18007.930858057051</v>
      </c>
      <c r="O945" s="79">
        <f>$L$945-EFEITO!$O$945*EFEITO!$AA$945</f>
        <v>-12215.110825278476</v>
      </c>
      <c r="P945" s="18"/>
      <c r="Q945" s="18"/>
      <c r="R945" s="18"/>
      <c r="S945" s="18"/>
      <c r="T945" s="18"/>
      <c r="U945" s="18"/>
      <c r="V945" s="18"/>
      <c r="W945" s="18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spans="1:36" ht="11.25" customHeight="1" x14ac:dyDescent="0.2">
      <c r="A946" s="70" t="s">
        <v>28</v>
      </c>
      <c r="B946" s="70" t="s">
        <v>41</v>
      </c>
      <c r="C946" s="70" t="s">
        <v>23</v>
      </c>
      <c r="D946" s="70" t="s">
        <v>42</v>
      </c>
      <c r="E946" s="70" t="s">
        <v>25</v>
      </c>
      <c r="F946" s="70" t="s">
        <v>25</v>
      </c>
      <c r="G946" s="70" t="s">
        <v>25</v>
      </c>
      <c r="H946" s="70" t="s">
        <v>25</v>
      </c>
      <c r="I946" s="78">
        <v>44531</v>
      </c>
      <c r="J946" s="79">
        <f>EFEITO!$J$946*EFEITO!$Y$752</f>
        <v>0</v>
      </c>
      <c r="K946" s="79">
        <f ca="1">EFEITO!$L$946*EFEITO!$Z$752</f>
        <v>-90.279464596241553</v>
      </c>
      <c r="L946" s="79">
        <f>EFEITO!$N$946*EFEITO!$AA$752</f>
        <v>-61.238221869143935</v>
      </c>
      <c r="M946" s="79">
        <f>$J$946-EFEITO!$K$946*EFEITO!$Y$946</f>
        <v>0</v>
      </c>
      <c r="N946" s="79">
        <f ca="1">$K$946-EFEITO!$M$946*EFEITO!$Z$946</f>
        <v>-5.4167678757744966</v>
      </c>
      <c r="O946" s="79">
        <f>$L$946-EFEITO!$O$946*EFEITO!$AA$946</f>
        <v>-3.6742933121486416</v>
      </c>
      <c r="P946" s="18"/>
      <c r="Q946" s="18"/>
      <c r="R946" s="18"/>
      <c r="S946" s="18"/>
      <c r="T946" s="18"/>
      <c r="U946" s="18"/>
      <c r="V946" s="18"/>
      <c r="W946" s="18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</row>
    <row r="947" spans="1:36" ht="11.25" customHeight="1" x14ac:dyDescent="0.2">
      <c r="A947" s="70" t="s">
        <v>21</v>
      </c>
      <c r="B947" s="70" t="s">
        <v>41</v>
      </c>
      <c r="C947" s="70" t="s">
        <v>23</v>
      </c>
      <c r="D947" s="70" t="s">
        <v>42</v>
      </c>
      <c r="E947" s="70" t="s">
        <v>25</v>
      </c>
      <c r="F947" s="70" t="s">
        <v>25</v>
      </c>
      <c r="G947" s="70" t="s">
        <v>25</v>
      </c>
      <c r="H947" s="70" t="s">
        <v>25</v>
      </c>
      <c r="I947" s="78">
        <v>44562</v>
      </c>
      <c r="J947" s="79">
        <f>EFEITO!$J$947*EFEITO!$Y$752</f>
        <v>0</v>
      </c>
      <c r="K947" s="79">
        <f ca="1">EFEITO!$L$947*EFEITO!$Z$752</f>
        <v>5039177.6671826141</v>
      </c>
      <c r="L947" s="79">
        <f>EFEITO!$N$947*EFEITO!$AA$752</f>
        <v>3418166.9264552887</v>
      </c>
      <c r="M947" s="79">
        <f>$J$947-EFEITO!$K$947*EFEITO!$Y$947</f>
        <v>0</v>
      </c>
      <c r="N947" s="79">
        <f ca="1">$K$947-EFEITO!$M$947*EFEITO!$Z$947</f>
        <v>302350.66003095731</v>
      </c>
      <c r="O947" s="79">
        <f>$L$947-EFEITO!$O$947*EFEITO!$AA$947</f>
        <v>205090.01558731729</v>
      </c>
      <c r="P947" s="18"/>
      <c r="Q947" s="18"/>
      <c r="R947" s="18"/>
      <c r="S947" s="18"/>
      <c r="T947" s="18"/>
      <c r="U947" s="18"/>
      <c r="V947" s="18"/>
      <c r="W947" s="18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 spans="1:36" ht="11.25" customHeight="1" x14ac:dyDescent="0.2">
      <c r="A948" s="70" t="s">
        <v>27</v>
      </c>
      <c r="B948" s="70" t="s">
        <v>41</v>
      </c>
      <c r="C948" s="70" t="s">
        <v>23</v>
      </c>
      <c r="D948" s="70" t="s">
        <v>42</v>
      </c>
      <c r="E948" s="70" t="s">
        <v>25</v>
      </c>
      <c r="F948" s="70" t="s">
        <v>25</v>
      </c>
      <c r="G948" s="70" t="s">
        <v>25</v>
      </c>
      <c r="H948" s="70" t="s">
        <v>25</v>
      </c>
      <c r="I948" s="78">
        <v>44562</v>
      </c>
      <c r="J948" s="79">
        <f>EFEITO!$J$948*EFEITO!$Y$752</f>
        <v>0</v>
      </c>
      <c r="K948" s="79">
        <f ca="1">EFEITO!$L$948*EFEITO!$Z$752</f>
        <v>-8573.9196376741256</v>
      </c>
      <c r="L948" s="79">
        <f>EFEITO!$N$948*EFEITO!$AA$752</f>
        <v>-5815.8474400385048</v>
      </c>
      <c r="M948" s="79">
        <f>$J$948-EFEITO!$K$948*EFEITO!$Y$948</f>
        <v>0</v>
      </c>
      <c r="N948" s="79">
        <f ca="1">$K$948-EFEITO!$M$948*EFEITO!$Z$948</f>
        <v>-514.43517826044899</v>
      </c>
      <c r="O948" s="79">
        <f>$L$948-EFEITO!$O$948*EFEITO!$AA$948</f>
        <v>-348.95084640231107</v>
      </c>
      <c r="P948" s="18"/>
      <c r="Q948" s="18"/>
      <c r="R948" s="18"/>
      <c r="S948" s="18"/>
      <c r="T948" s="18"/>
      <c r="U948" s="18"/>
      <c r="V948" s="18"/>
      <c r="W948" s="18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 spans="1:36" ht="11.25" customHeight="1" x14ac:dyDescent="0.2">
      <c r="A949" s="70" t="s">
        <v>28</v>
      </c>
      <c r="B949" s="70" t="s">
        <v>41</v>
      </c>
      <c r="C949" s="70" t="s">
        <v>23</v>
      </c>
      <c r="D949" s="70" t="s">
        <v>42</v>
      </c>
      <c r="E949" s="70" t="s">
        <v>25</v>
      </c>
      <c r="F949" s="70" t="s">
        <v>25</v>
      </c>
      <c r="G949" s="70" t="s">
        <v>25</v>
      </c>
      <c r="H949" s="70" t="s">
        <v>25</v>
      </c>
      <c r="I949" s="78">
        <v>44562</v>
      </c>
      <c r="J949" s="79">
        <f>EFEITO!$J$949*EFEITO!$Y$752</f>
        <v>0</v>
      </c>
      <c r="K949" s="79">
        <f ca="1">EFEITO!$L$949*EFEITO!$Z$752</f>
        <v>94760.71517221941</v>
      </c>
      <c r="L949" s="79">
        <f>EFEITO!$N$949*EFEITO!$AA$752</f>
        <v>64277.936584447918</v>
      </c>
      <c r="M949" s="79">
        <f>$J$949-EFEITO!$K$949*EFEITO!$Y$949</f>
        <v>0</v>
      </c>
      <c r="N949" s="79">
        <f ca="1">$K$949-EFEITO!$M$949*EFEITO!$Z$949</f>
        <v>5685.6429103331757</v>
      </c>
      <c r="O949" s="79">
        <f>$L$949-EFEITO!$O$949*EFEITO!$AA$949</f>
        <v>3856.6761950668806</v>
      </c>
      <c r="P949" s="18"/>
      <c r="Q949" s="18"/>
      <c r="R949" s="18"/>
      <c r="S949" s="18"/>
      <c r="T949" s="18"/>
      <c r="U949" s="18"/>
      <c r="V949" s="18"/>
      <c r="W949" s="18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</row>
    <row r="950" spans="1:36" ht="11.25" customHeight="1" x14ac:dyDescent="0.2">
      <c r="A950" s="70" t="s">
        <v>28</v>
      </c>
      <c r="B950" s="70" t="s">
        <v>41</v>
      </c>
      <c r="C950" s="70" t="s">
        <v>23</v>
      </c>
      <c r="D950" s="70" t="s">
        <v>42</v>
      </c>
      <c r="E950" s="70" t="s">
        <v>25</v>
      </c>
      <c r="F950" s="70" t="s">
        <v>25</v>
      </c>
      <c r="G950" s="70" t="s">
        <v>25</v>
      </c>
      <c r="H950" s="70" t="s">
        <v>25</v>
      </c>
      <c r="I950" s="78">
        <v>44562</v>
      </c>
      <c r="J950" s="79">
        <f>EFEITO!$J$950*EFEITO!$Y$752</f>
        <v>0</v>
      </c>
      <c r="K950" s="79">
        <f ca="1">EFEITO!$L$950*EFEITO!$Z$752</f>
        <v>-139.65561189968759</v>
      </c>
      <c r="L950" s="79">
        <f>EFEITO!$N$950*EFEITO!$AA$752</f>
        <v>-94.730971046766342</v>
      </c>
      <c r="M950" s="79">
        <f>$J$950-EFEITO!$K$950*EFEITO!$Y$950</f>
        <v>0</v>
      </c>
      <c r="N950" s="79">
        <f ca="1">$K$950-EFEITO!$M$950*EFEITO!$Z$950</f>
        <v>-8.3793367139812744</v>
      </c>
      <c r="O950" s="79">
        <f>$L$950-EFEITO!$O$950*EFEITO!$AA$950</f>
        <v>-5.6838582628059839</v>
      </c>
      <c r="P950" s="18"/>
      <c r="Q950" s="18"/>
      <c r="R950" s="18"/>
      <c r="S950" s="18"/>
      <c r="T950" s="18"/>
      <c r="U950" s="18"/>
      <c r="V950" s="18"/>
      <c r="W950" s="18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</row>
    <row r="951" spans="1:36" ht="11.25" customHeight="1" x14ac:dyDescent="0.2">
      <c r="A951" s="70" t="s">
        <v>21</v>
      </c>
      <c r="B951" s="70" t="s">
        <v>41</v>
      </c>
      <c r="C951" s="70" t="s">
        <v>23</v>
      </c>
      <c r="D951" s="70" t="s">
        <v>42</v>
      </c>
      <c r="E951" s="70" t="s">
        <v>25</v>
      </c>
      <c r="F951" s="70" t="s">
        <v>25</v>
      </c>
      <c r="G951" s="70" t="s">
        <v>25</v>
      </c>
      <c r="H951" s="70" t="s">
        <v>25</v>
      </c>
      <c r="I951" s="78">
        <v>44593</v>
      </c>
      <c r="J951" s="79">
        <f>EFEITO!$J$951*EFEITO!$Y$752</f>
        <v>0</v>
      </c>
      <c r="K951" s="79">
        <f ca="1">EFEITO!$L$951*EFEITO!$Z$752</f>
        <v>5015764.6083642179</v>
      </c>
      <c r="L951" s="79">
        <f>EFEITO!$N$951*EFEITO!$AA$752</f>
        <v>3402285.4178866623</v>
      </c>
      <c r="M951" s="79">
        <f>$J$951-EFEITO!$K$951*EFEITO!$Y$951</f>
        <v>0</v>
      </c>
      <c r="N951" s="79">
        <f ca="1">$K$951-EFEITO!$M$951*EFEITO!$Z$951</f>
        <v>300945.87650185358</v>
      </c>
      <c r="O951" s="79">
        <f>$L$951-EFEITO!$O$951*EFEITO!$AA$951</f>
        <v>204137.12507320009</v>
      </c>
      <c r="P951" s="18"/>
      <c r="Q951" s="18"/>
      <c r="R951" s="18"/>
      <c r="S951" s="18"/>
      <c r="T951" s="18"/>
      <c r="U951" s="18"/>
      <c r="V951" s="18"/>
      <c r="W951" s="18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</row>
    <row r="952" spans="1:36" ht="11.25" customHeight="1" x14ac:dyDescent="0.2">
      <c r="A952" s="70" t="s">
        <v>27</v>
      </c>
      <c r="B952" s="70" t="s">
        <v>41</v>
      </c>
      <c r="C952" s="70" t="s">
        <v>23</v>
      </c>
      <c r="D952" s="70" t="s">
        <v>42</v>
      </c>
      <c r="E952" s="70" t="s">
        <v>25</v>
      </c>
      <c r="F952" s="70" t="s">
        <v>25</v>
      </c>
      <c r="G952" s="70" t="s">
        <v>25</v>
      </c>
      <c r="H952" s="70" t="s">
        <v>25</v>
      </c>
      <c r="I952" s="78">
        <v>44593</v>
      </c>
      <c r="J952" s="79">
        <f>EFEITO!$J$952*EFEITO!$Y$752</f>
        <v>0</v>
      </c>
      <c r="K952" s="79">
        <f ca="1">EFEITO!$L$952*EFEITO!$Z$752</f>
        <v>-68224.103745414119</v>
      </c>
      <c r="L952" s="79">
        <f>EFEITO!$N$952*EFEITO!$AA$752</f>
        <v>-46277.664811927731</v>
      </c>
      <c r="M952" s="79">
        <f>$J$952-EFEITO!$K$952*EFEITO!$Y$952</f>
        <v>0</v>
      </c>
      <c r="N952" s="79">
        <f ca="1">$K$952-EFEITO!$M$952*EFEITO!$Z$952</f>
        <v>-4093.4462247248593</v>
      </c>
      <c r="O952" s="79">
        <f>$L$952-EFEITO!$O$952*EFEITO!$AA$952</f>
        <v>-2776.6598887156651</v>
      </c>
      <c r="P952" s="18"/>
      <c r="Q952" s="18"/>
      <c r="R952" s="18"/>
      <c r="S952" s="18"/>
      <c r="T952" s="18"/>
      <c r="U952" s="18"/>
      <c r="V952" s="18"/>
      <c r="W952" s="18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</row>
    <row r="953" spans="1:36" ht="11.25" customHeight="1" x14ac:dyDescent="0.2">
      <c r="A953" s="70" t="s">
        <v>28</v>
      </c>
      <c r="B953" s="70" t="s">
        <v>41</v>
      </c>
      <c r="C953" s="70" t="s">
        <v>23</v>
      </c>
      <c r="D953" s="70" t="s">
        <v>42</v>
      </c>
      <c r="E953" s="70" t="s">
        <v>25</v>
      </c>
      <c r="F953" s="70" t="s">
        <v>25</v>
      </c>
      <c r="G953" s="70" t="s">
        <v>25</v>
      </c>
      <c r="H953" s="70" t="s">
        <v>25</v>
      </c>
      <c r="I953" s="78">
        <v>44593</v>
      </c>
      <c r="J953" s="79">
        <f>EFEITO!$J$953*EFEITO!$Y$752</f>
        <v>0</v>
      </c>
      <c r="K953" s="79">
        <f ca="1">EFEITO!$L$953*EFEITO!$Z$752</f>
        <v>110568.67863967651</v>
      </c>
      <c r="L953" s="79">
        <f>EFEITO!$N$953*EFEITO!$AA$752</f>
        <v>75000.769051929805</v>
      </c>
      <c r="M953" s="79">
        <f>$J$953-EFEITO!$K$953*EFEITO!$Y$953</f>
        <v>0</v>
      </c>
      <c r="N953" s="79">
        <f ca="1">$K$953-EFEITO!$M$953*EFEITO!$Z$953</f>
        <v>6634.1207183805964</v>
      </c>
      <c r="O953" s="79">
        <f>$L$953-EFEITO!$O$953*EFEITO!$AA$953</f>
        <v>4500.0461431157892</v>
      </c>
      <c r="P953" s="18"/>
      <c r="Q953" s="18"/>
      <c r="R953" s="18"/>
      <c r="S953" s="18"/>
      <c r="T953" s="18"/>
      <c r="U953" s="18"/>
      <c r="V953" s="18"/>
      <c r="W953" s="18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</row>
    <row r="954" spans="1:36" ht="11.25" customHeight="1" x14ac:dyDescent="0.2">
      <c r="A954" s="70" t="s">
        <v>28</v>
      </c>
      <c r="B954" s="70" t="s">
        <v>41</v>
      </c>
      <c r="C954" s="70" t="s">
        <v>23</v>
      </c>
      <c r="D954" s="70" t="s">
        <v>42</v>
      </c>
      <c r="E954" s="70" t="s">
        <v>25</v>
      </c>
      <c r="F954" s="70" t="s">
        <v>25</v>
      </c>
      <c r="G954" s="70" t="s">
        <v>25</v>
      </c>
      <c r="H954" s="70" t="s">
        <v>25</v>
      </c>
      <c r="I954" s="78">
        <v>44593</v>
      </c>
      <c r="J954" s="79">
        <f>EFEITO!$J$954*EFEITO!$Y$752</f>
        <v>0</v>
      </c>
      <c r="K954" s="79">
        <f ca="1">EFEITO!$L$954*EFEITO!$Z$752</f>
        <v>-5822.0028835252606</v>
      </c>
      <c r="L954" s="79">
        <f>EFEITO!$N$954*EFEITO!$AA$752</f>
        <v>-3949.1716737424954</v>
      </c>
      <c r="M954" s="79">
        <f>$J$954-EFEITO!$K$954*EFEITO!$Y$954</f>
        <v>0</v>
      </c>
      <c r="N954" s="79">
        <f ca="1">$K$954-EFEITO!$M$954*EFEITO!$Z$954</f>
        <v>-349.32017301151609</v>
      </c>
      <c r="O954" s="79">
        <f>$L$954-EFEITO!$O$954*EFEITO!$AA$954</f>
        <v>-236.95030042454982</v>
      </c>
      <c r="P954" s="18"/>
      <c r="Q954" s="18"/>
      <c r="R954" s="18"/>
      <c r="S954" s="18"/>
      <c r="T954" s="18"/>
      <c r="U954" s="18"/>
      <c r="V954" s="18"/>
      <c r="W954" s="18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 spans="1:36" ht="11.25" customHeight="1" x14ac:dyDescent="0.2">
      <c r="A955" s="70" t="s">
        <v>21</v>
      </c>
      <c r="B955" s="70" t="s">
        <v>41</v>
      </c>
      <c r="C955" s="70" t="s">
        <v>23</v>
      </c>
      <c r="D955" s="70" t="s">
        <v>42</v>
      </c>
      <c r="E955" s="70" t="s">
        <v>25</v>
      </c>
      <c r="F955" s="70" t="s">
        <v>25</v>
      </c>
      <c r="G955" s="70" t="s">
        <v>25</v>
      </c>
      <c r="H955" s="70" t="s">
        <v>25</v>
      </c>
      <c r="I955" s="78">
        <v>44621</v>
      </c>
      <c r="J955" s="79">
        <f>EFEITO!$J$955*EFEITO!$Y$752</f>
        <v>0</v>
      </c>
      <c r="K955" s="79">
        <f ca="1">EFEITO!$L$955*EFEITO!$Z$752</f>
        <v>4456807.0457302192</v>
      </c>
      <c r="L955" s="79">
        <f>EFEITO!$N$955*EFEITO!$AA$752</f>
        <v>3023134.2190054739</v>
      </c>
      <c r="M955" s="79">
        <f>$J$955-EFEITO!$K$955*EFEITO!$Y$955</f>
        <v>0</v>
      </c>
      <c r="N955" s="79">
        <f ca="1">$K$955-EFEITO!$M$955*EFEITO!$Z$955</f>
        <v>267408.42274381407</v>
      </c>
      <c r="O955" s="79">
        <f>$L$955-EFEITO!$O$955*EFEITO!$AA$955</f>
        <v>181388.05314032873</v>
      </c>
      <c r="P955" s="18"/>
      <c r="Q955" s="18"/>
      <c r="R955" s="18"/>
      <c r="S955" s="18"/>
      <c r="T955" s="18"/>
      <c r="U955" s="18"/>
      <c r="V955" s="18"/>
      <c r="W955" s="18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 spans="1:36" ht="11.25" customHeight="1" x14ac:dyDescent="0.2">
      <c r="A956" s="70" t="s">
        <v>27</v>
      </c>
      <c r="B956" s="70" t="s">
        <v>41</v>
      </c>
      <c r="C956" s="70" t="s">
        <v>23</v>
      </c>
      <c r="D956" s="70" t="s">
        <v>42</v>
      </c>
      <c r="E956" s="70" t="s">
        <v>25</v>
      </c>
      <c r="F956" s="70" t="s">
        <v>25</v>
      </c>
      <c r="G956" s="70" t="s">
        <v>25</v>
      </c>
      <c r="H956" s="70" t="s">
        <v>25</v>
      </c>
      <c r="I956" s="78">
        <v>44621</v>
      </c>
      <c r="J956" s="79">
        <f>EFEITO!$J$956*EFEITO!$Y$752</f>
        <v>0</v>
      </c>
      <c r="K956" s="79">
        <f ca="1">EFEITO!$L$956*EFEITO!$Z$752</f>
        <v>-5652.2541167601594</v>
      </c>
      <c r="L956" s="79">
        <f>EFEITO!$N$956*EFEITO!$AA$752</f>
        <v>-3834.0279620726815</v>
      </c>
      <c r="M956" s="79">
        <f>$J$956-EFEITO!$K$956*EFEITO!$Y$956</f>
        <v>0</v>
      </c>
      <c r="N956" s="79">
        <f ca="1">$K$956-EFEITO!$M$956*EFEITO!$Z$956</f>
        <v>-339.13524700560993</v>
      </c>
      <c r="O956" s="79">
        <f>$L$956-EFEITO!$O$956*EFEITO!$AA$956</f>
        <v>-230.04167772436131</v>
      </c>
      <c r="P956" s="18"/>
      <c r="Q956" s="18"/>
      <c r="R956" s="18"/>
      <c r="S956" s="18"/>
      <c r="T956" s="18"/>
      <c r="U956" s="18"/>
      <c r="V956" s="18"/>
      <c r="W956" s="18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 spans="1:36" ht="11.25" customHeight="1" x14ac:dyDescent="0.2">
      <c r="A957" s="70" t="s">
        <v>28</v>
      </c>
      <c r="B957" s="70" t="s">
        <v>41</v>
      </c>
      <c r="C957" s="70" t="s">
        <v>23</v>
      </c>
      <c r="D957" s="70" t="s">
        <v>42</v>
      </c>
      <c r="E957" s="70" t="s">
        <v>25</v>
      </c>
      <c r="F957" s="70" t="s">
        <v>25</v>
      </c>
      <c r="G957" s="70" t="s">
        <v>25</v>
      </c>
      <c r="H957" s="70" t="s">
        <v>25</v>
      </c>
      <c r="I957" s="78">
        <v>44621</v>
      </c>
      <c r="J957" s="79">
        <f>EFEITO!$J$957*EFEITO!$Y$752</f>
        <v>0</v>
      </c>
      <c r="K957" s="79">
        <f ca="1">EFEITO!$L$957*EFEITO!$Z$752</f>
        <v>106117.52121856408</v>
      </c>
      <c r="L957" s="79">
        <f>EFEITO!$N$957*EFEITO!$AA$752</f>
        <v>71981.467077248861</v>
      </c>
      <c r="M957" s="79">
        <f>$J$957-EFEITO!$K$957*EFEITO!$Y$957</f>
        <v>0</v>
      </c>
      <c r="N957" s="79">
        <f ca="1">$K$957-EFEITO!$M$957*EFEITO!$Z$957</f>
        <v>6367.0512731138588</v>
      </c>
      <c r="O957" s="79">
        <f>$L$957-EFEITO!$O$957*EFEITO!$AA$957</f>
        <v>4318.888024634929</v>
      </c>
      <c r="P957" s="18"/>
      <c r="Q957" s="18"/>
      <c r="R957" s="18"/>
      <c r="S957" s="18"/>
      <c r="T957" s="18"/>
      <c r="U957" s="18"/>
      <c r="V957" s="18"/>
      <c r="W957" s="18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</row>
    <row r="958" spans="1:36" ht="11.25" customHeight="1" x14ac:dyDescent="0.2">
      <c r="A958" s="70" t="s">
        <v>28</v>
      </c>
      <c r="B958" s="70" t="s">
        <v>41</v>
      </c>
      <c r="C958" s="70" t="s">
        <v>23</v>
      </c>
      <c r="D958" s="70" t="s">
        <v>42</v>
      </c>
      <c r="E958" s="70" t="s">
        <v>25</v>
      </c>
      <c r="F958" s="70" t="s">
        <v>25</v>
      </c>
      <c r="G958" s="70" t="s">
        <v>25</v>
      </c>
      <c r="H958" s="70" t="s">
        <v>25</v>
      </c>
      <c r="I958" s="78">
        <v>44621</v>
      </c>
      <c r="J958" s="79">
        <f>EFEITO!$J$958*EFEITO!$Y$752</f>
        <v>0</v>
      </c>
      <c r="K958" s="79">
        <f ca="1">EFEITO!$L$958*EFEITO!$Z$752</f>
        <v>-867.44249315935656</v>
      </c>
      <c r="L958" s="79">
        <f>EFEITO!$N$958*EFEITO!$AA$752</f>
        <v>-588.40220300805288</v>
      </c>
      <c r="M958" s="79">
        <f>$J$958-EFEITO!$K$958*EFEITO!$Y$958</f>
        <v>0</v>
      </c>
      <c r="N958" s="79">
        <f ca="1">$K$958-EFEITO!$M$958*EFEITO!$Z$958</f>
        <v>-52.04654958956155</v>
      </c>
      <c r="O958" s="79">
        <f>$L$958-EFEITO!$O$958*EFEITO!$AA$958</f>
        <v>-35.30413218048318</v>
      </c>
      <c r="P958" s="18"/>
      <c r="Q958" s="18"/>
      <c r="R958" s="18"/>
      <c r="S958" s="18"/>
      <c r="T958" s="18"/>
      <c r="U958" s="18"/>
      <c r="V958" s="18"/>
      <c r="W958" s="18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</row>
    <row r="959" spans="1:36" ht="11.25" customHeight="1" x14ac:dyDescent="0.2">
      <c r="A959" s="70" t="s">
        <v>21</v>
      </c>
      <c r="B959" s="70" t="s">
        <v>41</v>
      </c>
      <c r="C959" s="70" t="s">
        <v>23</v>
      </c>
      <c r="D959" s="70" t="s">
        <v>42</v>
      </c>
      <c r="E959" s="70" t="s">
        <v>25</v>
      </c>
      <c r="F959" s="70" t="s">
        <v>25</v>
      </c>
      <c r="G959" s="70" t="s">
        <v>25</v>
      </c>
      <c r="H959" s="70" t="s">
        <v>25</v>
      </c>
      <c r="I959" s="78">
        <v>44652</v>
      </c>
      <c r="J959" s="79">
        <f>EFEITO!$J$959*EFEITO!$Y$752</f>
        <v>0</v>
      </c>
      <c r="K959" s="79">
        <f ca="1">EFEITO!$L$959*EFEITO!$Z$752</f>
        <v>4262448.5059493547</v>
      </c>
      <c r="L959" s="79">
        <f>EFEITO!$N$959*EFEITO!$AA$752</f>
        <v>2891297.245508858</v>
      </c>
      <c r="M959" s="79">
        <f>$J$959-EFEITO!$K$959*EFEITO!$Y$959</f>
        <v>0</v>
      </c>
      <c r="N959" s="79">
        <f ca="1">$K$959-EFEITO!$M$959*EFEITO!$Z$959</f>
        <v>255746.91035696166</v>
      </c>
      <c r="O959" s="79">
        <f>$L$959-EFEITO!$O$959*EFEITO!$AA$959</f>
        <v>173477.83473053155</v>
      </c>
      <c r="P959" s="18"/>
      <c r="Q959" s="18"/>
      <c r="R959" s="18"/>
      <c r="S959" s="18"/>
      <c r="T959" s="18"/>
      <c r="U959" s="18"/>
      <c r="V959" s="18"/>
      <c r="W959" s="18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spans="1:36" ht="11.25" customHeight="1" x14ac:dyDescent="0.2">
      <c r="A960" s="70" t="s">
        <v>27</v>
      </c>
      <c r="B960" s="70" t="s">
        <v>41</v>
      </c>
      <c r="C960" s="70" t="s">
        <v>23</v>
      </c>
      <c r="D960" s="70" t="s">
        <v>42</v>
      </c>
      <c r="E960" s="70" t="s">
        <v>25</v>
      </c>
      <c r="F960" s="70" t="s">
        <v>25</v>
      </c>
      <c r="G960" s="70" t="s">
        <v>25</v>
      </c>
      <c r="H960" s="70" t="s">
        <v>25</v>
      </c>
      <c r="I960" s="78">
        <v>44652</v>
      </c>
      <c r="J960" s="79">
        <f>EFEITO!$J$960*EFEITO!$Y$752</f>
        <v>0</v>
      </c>
      <c r="K960" s="79">
        <f ca="1">EFEITO!$L$960*EFEITO!$Z$752</f>
        <v>-33290.917778054187</v>
      </c>
      <c r="L960" s="79">
        <f>EFEITO!$N$960*EFEITO!$AA$752</f>
        <v>-22581.842041681568</v>
      </c>
      <c r="M960" s="79">
        <f>$J$960-EFEITO!$K$960*EFEITO!$Y$960</f>
        <v>0</v>
      </c>
      <c r="N960" s="79">
        <f ca="1">$K$960-EFEITO!$M$960*EFEITO!$Z$960</f>
        <v>-1997.4550666832547</v>
      </c>
      <c r="O960" s="79">
        <f>$L$960-EFEITO!$O$960*EFEITO!$AA$960</f>
        <v>-1354.9105225008934</v>
      </c>
      <c r="P960" s="18"/>
      <c r="Q960" s="18"/>
      <c r="R960" s="18"/>
      <c r="S960" s="18"/>
      <c r="T960" s="18"/>
      <c r="U960" s="18"/>
      <c r="V960" s="18"/>
      <c r="W960" s="18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</row>
    <row r="961" spans="1:36" ht="11.25" customHeight="1" x14ac:dyDescent="0.2">
      <c r="A961" s="70" t="s">
        <v>28</v>
      </c>
      <c r="B961" s="70" t="s">
        <v>41</v>
      </c>
      <c r="C961" s="70" t="s">
        <v>23</v>
      </c>
      <c r="D961" s="70" t="s">
        <v>42</v>
      </c>
      <c r="E961" s="70" t="s">
        <v>25</v>
      </c>
      <c r="F961" s="70" t="s">
        <v>25</v>
      </c>
      <c r="G961" s="70" t="s">
        <v>25</v>
      </c>
      <c r="H961" s="70" t="s">
        <v>25</v>
      </c>
      <c r="I961" s="78">
        <v>44652</v>
      </c>
      <c r="J961" s="79">
        <f>EFEITO!$J$961*EFEITO!$Y$752</f>
        <v>0</v>
      </c>
      <c r="K961" s="79">
        <f ca="1">EFEITO!$L$961*EFEITO!$Z$752</f>
        <v>121510.60818205139</v>
      </c>
      <c r="L961" s="79">
        <f>EFEITO!$N$961*EFEITO!$AA$752</f>
        <v>82422.881178859592</v>
      </c>
      <c r="M961" s="79">
        <f>$J$961-EFEITO!$K$961*EFEITO!$Y$961</f>
        <v>0</v>
      </c>
      <c r="N961" s="79">
        <f ca="1">$K$961-EFEITO!$M$961*EFEITO!$Z$961</f>
        <v>7290.6364909230906</v>
      </c>
      <c r="O961" s="79">
        <f>$L$961-EFEITO!$O$961*EFEITO!$AA$961</f>
        <v>4945.3728707315749</v>
      </c>
      <c r="P961" s="18"/>
      <c r="Q961" s="18"/>
      <c r="R961" s="18"/>
      <c r="S961" s="18"/>
      <c r="T961" s="18"/>
      <c r="U961" s="18"/>
      <c r="V961" s="18"/>
      <c r="W961" s="18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spans="1:36" ht="11.25" customHeight="1" x14ac:dyDescent="0.2">
      <c r="A962" s="70" t="s">
        <v>28</v>
      </c>
      <c r="B962" s="70" t="s">
        <v>41</v>
      </c>
      <c r="C962" s="70" t="s">
        <v>23</v>
      </c>
      <c r="D962" s="70" t="s">
        <v>42</v>
      </c>
      <c r="E962" s="70" t="s">
        <v>25</v>
      </c>
      <c r="F962" s="70" t="s">
        <v>25</v>
      </c>
      <c r="G962" s="70" t="s">
        <v>25</v>
      </c>
      <c r="H962" s="70" t="s">
        <v>25</v>
      </c>
      <c r="I962" s="78">
        <v>44652</v>
      </c>
      <c r="J962" s="79">
        <f>EFEITO!$J$962*EFEITO!$Y$752</f>
        <v>0</v>
      </c>
      <c r="K962" s="79">
        <f ca="1">EFEITO!$L$962*EFEITO!$Z$752</f>
        <v>-41355.59111543301</v>
      </c>
      <c r="L962" s="79">
        <f>EFEITO!$N$962*EFEITO!$AA$752</f>
        <v>-28052.258346710634</v>
      </c>
      <c r="M962" s="79">
        <f>$J$962-EFEITO!$K$962*EFEITO!$Y$962</f>
        <v>0</v>
      </c>
      <c r="N962" s="79">
        <f ca="1">$K$962-EFEITO!$M$962*EFEITO!$Z$962</f>
        <v>-2481.3354669259861</v>
      </c>
      <c r="O962" s="79">
        <f>$L$962-EFEITO!$O$962*EFEITO!$AA$962</f>
        <v>-1683.1355008026403</v>
      </c>
      <c r="P962" s="18"/>
      <c r="Q962" s="18"/>
      <c r="R962" s="18"/>
      <c r="S962" s="18"/>
      <c r="T962" s="18"/>
      <c r="U962" s="18"/>
      <c r="V962" s="18"/>
      <c r="W962" s="18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 spans="1:36" ht="11.25" customHeight="1" x14ac:dyDescent="0.2">
      <c r="A963" s="70" t="s">
        <v>21</v>
      </c>
      <c r="B963" s="70" t="s">
        <v>41</v>
      </c>
      <c r="C963" s="70" t="s">
        <v>23</v>
      </c>
      <c r="D963" s="70" t="s">
        <v>42</v>
      </c>
      <c r="E963" s="70" t="s">
        <v>25</v>
      </c>
      <c r="F963" s="70" t="s">
        <v>25</v>
      </c>
      <c r="G963" s="70" t="s">
        <v>25</v>
      </c>
      <c r="H963" s="70" t="s">
        <v>25</v>
      </c>
      <c r="I963" s="78">
        <v>44682</v>
      </c>
      <c r="J963" s="79">
        <f>EFEITO!$J$963*EFEITO!$Y$752</f>
        <v>0</v>
      </c>
      <c r="K963" s="79">
        <f ca="1">EFEITO!$L$963*EFEITO!$Z$752</f>
        <v>3947084.5139550059</v>
      </c>
      <c r="L963" s="79">
        <f>EFEITO!$N$963*EFEITO!$AA$752</f>
        <v>2677380.0474211224</v>
      </c>
      <c r="M963" s="79">
        <f>$J$963-EFEITO!$K$963*EFEITO!$Y$963</f>
        <v>0</v>
      </c>
      <c r="N963" s="79">
        <f ca="1">$K$963-EFEITO!$M$963*EFEITO!$Z$963</f>
        <v>236825.07083730074</v>
      </c>
      <c r="O963" s="79">
        <f>$L$963-EFEITO!$O$963*EFEITO!$AA$963</f>
        <v>160642.80284526711</v>
      </c>
      <c r="P963" s="18"/>
      <c r="Q963" s="18"/>
      <c r="R963" s="18"/>
      <c r="S963" s="18"/>
      <c r="T963" s="18"/>
      <c r="U963" s="18"/>
      <c r="V963" s="18"/>
      <c r="W963" s="18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 spans="1:36" ht="11.25" customHeight="1" x14ac:dyDescent="0.2">
      <c r="A964" s="70" t="s">
        <v>27</v>
      </c>
      <c r="B964" s="70" t="s">
        <v>41</v>
      </c>
      <c r="C964" s="70" t="s">
        <v>23</v>
      </c>
      <c r="D964" s="70" t="s">
        <v>42</v>
      </c>
      <c r="E964" s="70" t="s">
        <v>25</v>
      </c>
      <c r="F964" s="70" t="s">
        <v>25</v>
      </c>
      <c r="G964" s="70" t="s">
        <v>25</v>
      </c>
      <c r="H964" s="70" t="s">
        <v>25</v>
      </c>
      <c r="I964" s="78">
        <v>44682</v>
      </c>
      <c r="J964" s="79">
        <f>EFEITO!$J$964*EFEITO!$Y$752</f>
        <v>0</v>
      </c>
      <c r="K964" s="79">
        <f ca="1">EFEITO!$L$964*EFEITO!$Z$752</f>
        <v>-7870.3825802380416</v>
      </c>
      <c r="L964" s="79">
        <f>EFEITO!$N$964*EFEITO!$AA$752</f>
        <v>-5338.6253097443341</v>
      </c>
      <c r="M964" s="79">
        <f>$J$964-EFEITO!$K$964*EFEITO!$Y$964</f>
        <v>0</v>
      </c>
      <c r="N964" s="79">
        <f ca="1">$K$964-EFEITO!$M$964*EFEITO!$Z$964</f>
        <v>-472.22295481428318</v>
      </c>
      <c r="O964" s="79">
        <f>$L$964-EFEITO!$O$964*EFEITO!$AA$964</f>
        <v>-320.31751858466032</v>
      </c>
      <c r="P964" s="18"/>
      <c r="Q964" s="18"/>
      <c r="R964" s="18"/>
      <c r="S964" s="18"/>
      <c r="T964" s="18"/>
      <c r="U964" s="18"/>
      <c r="V964" s="18"/>
      <c r="W964" s="18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 spans="1:36" ht="11.25" customHeight="1" x14ac:dyDescent="0.2">
      <c r="A965" s="70" t="s">
        <v>28</v>
      </c>
      <c r="B965" s="70" t="s">
        <v>41</v>
      </c>
      <c r="C965" s="70" t="s">
        <v>23</v>
      </c>
      <c r="D965" s="70" t="s">
        <v>42</v>
      </c>
      <c r="E965" s="70" t="s">
        <v>25</v>
      </c>
      <c r="F965" s="70" t="s">
        <v>25</v>
      </c>
      <c r="G965" s="70" t="s">
        <v>25</v>
      </c>
      <c r="H965" s="70" t="s">
        <v>25</v>
      </c>
      <c r="I965" s="78">
        <v>44682</v>
      </c>
      <c r="J965" s="79">
        <f>EFEITO!$J$965*EFEITO!$Y$752</f>
        <v>0</v>
      </c>
      <c r="K965" s="79">
        <f ca="1">EFEITO!$L$965*EFEITO!$Z$752</f>
        <v>141461.20119161243</v>
      </c>
      <c r="L965" s="79">
        <f>EFEITO!$N$965*EFEITO!$AA$752</f>
        <v>95955.73548414922</v>
      </c>
      <c r="M965" s="79">
        <f>$J$965-EFEITO!$K$965*EFEITO!$Y$965</f>
        <v>0</v>
      </c>
      <c r="N965" s="79">
        <f ca="1">$K$965-EFEITO!$M$965*EFEITO!$Z$965</f>
        <v>8487.6720714967814</v>
      </c>
      <c r="O965" s="79">
        <f>$L$965-EFEITO!$O$965*EFEITO!$AA$965</f>
        <v>5757.3441290489573</v>
      </c>
      <c r="P965" s="18"/>
      <c r="Q965" s="18"/>
      <c r="R965" s="18"/>
      <c r="S965" s="18"/>
      <c r="T965" s="18"/>
      <c r="U965" s="18"/>
      <c r="V965" s="18"/>
      <c r="W965" s="18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</row>
    <row r="966" spans="1:36" ht="11.25" customHeight="1" x14ac:dyDescent="0.2">
      <c r="A966" s="70" t="s">
        <v>28</v>
      </c>
      <c r="B966" s="70" t="s">
        <v>41</v>
      </c>
      <c r="C966" s="70" t="s">
        <v>23</v>
      </c>
      <c r="D966" s="70" t="s">
        <v>42</v>
      </c>
      <c r="E966" s="70" t="s">
        <v>25</v>
      </c>
      <c r="F966" s="70" t="s">
        <v>25</v>
      </c>
      <c r="G966" s="70" t="s">
        <v>25</v>
      </c>
      <c r="H966" s="70" t="s">
        <v>25</v>
      </c>
      <c r="I966" s="78">
        <v>44682</v>
      </c>
      <c r="J966" s="79">
        <f>EFEITO!$J$966*EFEITO!$Y$752</f>
        <v>0</v>
      </c>
      <c r="K966" s="79">
        <f ca="1">EFEITO!$L$966*EFEITO!$Z$752</f>
        <v>-451.6894895332992</v>
      </c>
      <c r="L966" s="79">
        <f>EFEITO!$N$966*EFEITO!$AA$752</f>
        <v>-306.38929129351624</v>
      </c>
      <c r="M966" s="79">
        <f>$J$966-EFEITO!$K$966*EFEITO!$Y$966</f>
        <v>0</v>
      </c>
      <c r="N966" s="79">
        <f ca="1">$K$966-EFEITO!$M$966*EFEITO!$Z$966</f>
        <v>-27.101369371997976</v>
      </c>
      <c r="O966" s="79">
        <f>$L$966-EFEITO!$O$966*EFEITO!$AA$966</f>
        <v>-18.383357477610957</v>
      </c>
      <c r="P966" s="18"/>
      <c r="Q966" s="18"/>
      <c r="R966" s="18"/>
      <c r="S966" s="18"/>
      <c r="T966" s="18"/>
      <c r="U966" s="18"/>
      <c r="V966" s="18"/>
      <c r="W966" s="18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 spans="1:36" ht="11.25" customHeight="1" x14ac:dyDescent="0.2">
      <c r="A967" s="70" t="s">
        <v>21</v>
      </c>
      <c r="B967" s="70" t="s">
        <v>41</v>
      </c>
      <c r="C967" s="70" t="s">
        <v>23</v>
      </c>
      <c r="D967" s="70" t="s">
        <v>42</v>
      </c>
      <c r="E967" s="70" t="s">
        <v>25</v>
      </c>
      <c r="F967" s="70" t="s">
        <v>25</v>
      </c>
      <c r="G967" s="70" t="s">
        <v>25</v>
      </c>
      <c r="H967" s="70" t="s">
        <v>25</v>
      </c>
      <c r="I967" s="78">
        <v>44713</v>
      </c>
      <c r="J967" s="79">
        <f>EFEITO!$J$967*EFEITO!$Y$752</f>
        <v>0</v>
      </c>
      <c r="K967" s="79">
        <f ca="1">EFEITO!$L$967*EFEITO!$Z$752</f>
        <v>3907272.4387342711</v>
      </c>
      <c r="L967" s="79">
        <f>EFEITO!$N$967*EFEITO!$AA$752</f>
        <v>2650374.7843046212</v>
      </c>
      <c r="M967" s="79">
        <f>$J$967-EFEITO!$K$967*EFEITO!$Y$967</f>
        <v>0</v>
      </c>
      <c r="N967" s="79">
        <f ca="1">$K$967-EFEITO!$M$967*EFEITO!$Z$967</f>
        <v>234436.34632405639</v>
      </c>
      <c r="O967" s="79">
        <f>$L$967-EFEITO!$O$967*EFEITO!$AA$967</f>
        <v>159022.48705827724</v>
      </c>
      <c r="P967" s="18"/>
      <c r="Q967" s="18"/>
      <c r="R967" s="18"/>
      <c r="S967" s="18"/>
      <c r="T967" s="18"/>
      <c r="U967" s="18"/>
      <c r="V967" s="18"/>
      <c r="W967" s="18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spans="1:36" ht="11.25" customHeight="1" x14ac:dyDescent="0.2">
      <c r="A968" s="70" t="s">
        <v>27</v>
      </c>
      <c r="B968" s="70" t="s">
        <v>41</v>
      </c>
      <c r="C968" s="70" t="s">
        <v>23</v>
      </c>
      <c r="D968" s="70" t="s">
        <v>42</v>
      </c>
      <c r="E968" s="70" t="s">
        <v>25</v>
      </c>
      <c r="F968" s="70" t="s">
        <v>25</v>
      </c>
      <c r="G968" s="70" t="s">
        <v>25</v>
      </c>
      <c r="H968" s="70" t="s">
        <v>25</v>
      </c>
      <c r="I968" s="78">
        <v>44713</v>
      </c>
      <c r="J968" s="79">
        <f>EFEITO!$J$968*EFEITO!$Y$752</f>
        <v>0</v>
      </c>
      <c r="K968" s="79">
        <f ca="1">EFEITO!$L$968*EFEITO!$Z$752</f>
        <v>-12476.388273958912</v>
      </c>
      <c r="L968" s="79">
        <f>EFEITO!$N$968*EFEITO!$AA$752</f>
        <v>-8462.9637167574547</v>
      </c>
      <c r="M968" s="79">
        <f>$J$968-EFEITO!$K$968*EFEITO!$Y$968</f>
        <v>0</v>
      </c>
      <c r="N968" s="79">
        <f ca="1">$K$968-EFEITO!$M$968*EFEITO!$Z$968</f>
        <v>-748.58329643753677</v>
      </c>
      <c r="O968" s="79">
        <f>$L$968-EFEITO!$O$968*EFEITO!$AA$968</f>
        <v>-507.77782300544732</v>
      </c>
      <c r="P968" s="18"/>
      <c r="Q968" s="18"/>
      <c r="R968" s="18"/>
      <c r="S968" s="18"/>
      <c r="T968" s="18"/>
      <c r="U968" s="18"/>
      <c r="V968" s="18"/>
      <c r="W968" s="18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 spans="1:36" ht="11.25" customHeight="1" x14ac:dyDescent="0.2">
      <c r="A969" s="70" t="s">
        <v>28</v>
      </c>
      <c r="B969" s="70" t="s">
        <v>41</v>
      </c>
      <c r="C969" s="70" t="s">
        <v>23</v>
      </c>
      <c r="D969" s="70" t="s">
        <v>42</v>
      </c>
      <c r="E969" s="70" t="s">
        <v>25</v>
      </c>
      <c r="F969" s="70" t="s">
        <v>25</v>
      </c>
      <c r="G969" s="70" t="s">
        <v>25</v>
      </c>
      <c r="H969" s="70" t="s">
        <v>25</v>
      </c>
      <c r="I969" s="78">
        <v>44713</v>
      </c>
      <c r="J969" s="79">
        <f>EFEITO!$J$969*EFEITO!$Y$752</f>
        <v>0</v>
      </c>
      <c r="K969" s="79">
        <f ca="1">EFEITO!$L$969*EFEITO!$Z$752</f>
        <v>202114.97740578634</v>
      </c>
      <c r="L969" s="79">
        <f>EFEITO!$N$969*EFEITO!$AA$752</f>
        <v>137098.30784671969</v>
      </c>
      <c r="M969" s="79">
        <f>$J$969-EFEITO!$K$969*EFEITO!$Y$969</f>
        <v>0</v>
      </c>
      <c r="N969" s="79">
        <f ca="1">$K$969-EFEITO!$M$969*EFEITO!$Z$969</f>
        <v>12126.89864434718</v>
      </c>
      <c r="O969" s="79">
        <f>$L$969-EFEITO!$O$969*EFEITO!$AA$969</f>
        <v>8225.8984708031785</v>
      </c>
      <c r="P969" s="18"/>
      <c r="Q969" s="18"/>
      <c r="R969" s="18"/>
      <c r="S969" s="18"/>
      <c r="T969" s="18"/>
      <c r="U969" s="18"/>
      <c r="V969" s="18"/>
      <c r="W969" s="18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 spans="1:36" ht="11.25" customHeight="1" x14ac:dyDescent="0.2">
      <c r="A970" s="70" t="s">
        <v>28</v>
      </c>
      <c r="B970" s="70" t="s">
        <v>41</v>
      </c>
      <c r="C970" s="70" t="s">
        <v>23</v>
      </c>
      <c r="D970" s="70" t="s">
        <v>42</v>
      </c>
      <c r="E970" s="70" t="s">
        <v>25</v>
      </c>
      <c r="F970" s="70" t="s">
        <v>25</v>
      </c>
      <c r="G970" s="70" t="s">
        <v>25</v>
      </c>
      <c r="H970" s="70" t="s">
        <v>25</v>
      </c>
      <c r="I970" s="78">
        <v>44713</v>
      </c>
      <c r="J970" s="79">
        <f>EFEITO!$J$970*EFEITO!$Y$752</f>
        <v>0</v>
      </c>
      <c r="K970" s="79">
        <f ca="1">EFEITO!$L$970*EFEITO!$Z$752</f>
        <v>-12598.513892733114</v>
      </c>
      <c r="L970" s="79">
        <f>EFEITO!$N$970*EFEITO!$AA$752</f>
        <v>-8545.8037709364253</v>
      </c>
      <c r="M970" s="79">
        <f>$J$970-EFEITO!$K$970*EFEITO!$Y$970</f>
        <v>0</v>
      </c>
      <c r="N970" s="79">
        <f ca="1">$K$970-EFEITO!$M$970*EFEITO!$Z$970</f>
        <v>-755.91083356398667</v>
      </c>
      <c r="O970" s="79">
        <f>$L$970-EFEITO!$O$970*EFEITO!$AA$970</f>
        <v>-512.74822625618526</v>
      </c>
      <c r="P970" s="18"/>
      <c r="Q970" s="18"/>
      <c r="R970" s="18"/>
      <c r="S970" s="18"/>
      <c r="T970" s="18"/>
      <c r="U970" s="18"/>
      <c r="V970" s="18"/>
      <c r="W970" s="18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</row>
    <row r="971" spans="1:36" ht="11.25" customHeight="1" x14ac:dyDescent="0.2">
      <c r="A971" s="70" t="s">
        <v>21</v>
      </c>
      <c r="B971" s="70" t="s">
        <v>33</v>
      </c>
      <c r="C971" s="70" t="s">
        <v>23</v>
      </c>
      <c r="D971" s="70" t="s">
        <v>40</v>
      </c>
      <c r="E971" s="70" t="s">
        <v>25</v>
      </c>
      <c r="F971" s="70" t="s">
        <v>25</v>
      </c>
      <c r="G971" s="70" t="s">
        <v>25</v>
      </c>
      <c r="H971" s="70" t="s">
        <v>25</v>
      </c>
      <c r="I971" s="78">
        <v>44378</v>
      </c>
      <c r="J971" s="79">
        <f>EFEITO!$J$971*EFEITO!$Y$971</f>
        <v>0</v>
      </c>
      <c r="K971" s="79">
        <f ca="1">EFEITO!$L$971*EFEITO!$Z$971</f>
        <v>285706.74962465581</v>
      </c>
      <c r="L971" s="79">
        <f>EFEITO!$N$971*EFEITO!$AA$971</f>
        <v>193800.14493079987</v>
      </c>
      <c r="M971" s="79">
        <f>$J$971-EFEITO!$K$971*EFEITO!$Y$971</f>
        <v>0</v>
      </c>
      <c r="N971" s="79">
        <f ca="1">$K$971-EFEITO!$M$971*EFEITO!$Z$971</f>
        <v>0</v>
      </c>
      <c r="O971" s="79">
        <f>$L$971-EFEITO!$O$971*EFEITO!$AA$971</f>
        <v>0</v>
      </c>
      <c r="P971" s="18"/>
      <c r="Q971" s="18"/>
      <c r="R971" s="18"/>
      <c r="S971" s="18"/>
      <c r="T971" s="18"/>
      <c r="U971" s="18"/>
      <c r="V971" s="18"/>
      <c r="W971" s="18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</row>
    <row r="972" spans="1:36" ht="11.25" customHeight="1" x14ac:dyDescent="0.2">
      <c r="A972" s="70" t="s">
        <v>27</v>
      </c>
      <c r="B972" s="70" t="s">
        <v>33</v>
      </c>
      <c r="C972" s="70" t="s">
        <v>23</v>
      </c>
      <c r="D972" s="70" t="s">
        <v>40</v>
      </c>
      <c r="E972" s="70" t="s">
        <v>25</v>
      </c>
      <c r="F972" s="70" t="s">
        <v>25</v>
      </c>
      <c r="G972" s="70" t="s">
        <v>25</v>
      </c>
      <c r="H972" s="70" t="s">
        <v>25</v>
      </c>
      <c r="I972" s="78">
        <v>44378</v>
      </c>
      <c r="J972" s="79">
        <f>EFEITO!$J$972*EFEITO!$Y$972</f>
        <v>0</v>
      </c>
      <c r="K972" s="79">
        <f ca="1">EFEITO!$L$972*EFEITO!$Z$972</f>
        <v>-858.9696631487061</v>
      </c>
      <c r="L972" s="79">
        <f>EFEITO!$N$972*EFEITO!$AA$972</f>
        <v>-582.65492652195201</v>
      </c>
      <c r="M972" s="79">
        <f>$J$972-EFEITO!$K$972*EFEITO!$Y$972</f>
        <v>0</v>
      </c>
      <c r="N972" s="79">
        <f ca="1">$K$972-EFEITO!$M$972*EFEITO!$Z$972</f>
        <v>0</v>
      </c>
      <c r="O972" s="79">
        <f>$L$972-EFEITO!$O$972*EFEITO!$AA$972</f>
        <v>0</v>
      </c>
      <c r="P972" s="18"/>
      <c r="Q972" s="18"/>
      <c r="R972" s="18"/>
      <c r="S972" s="18"/>
      <c r="T972" s="18"/>
      <c r="U972" s="18"/>
      <c r="V972" s="18"/>
      <c r="W972" s="18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 spans="1:36" ht="11.25" customHeight="1" x14ac:dyDescent="0.2">
      <c r="A973" s="70" t="s">
        <v>28</v>
      </c>
      <c r="B973" s="70" t="s">
        <v>33</v>
      </c>
      <c r="C973" s="70" t="s">
        <v>23</v>
      </c>
      <c r="D973" s="70" t="s">
        <v>40</v>
      </c>
      <c r="E973" s="70" t="s">
        <v>25</v>
      </c>
      <c r="F973" s="70" t="s">
        <v>25</v>
      </c>
      <c r="G973" s="70" t="s">
        <v>25</v>
      </c>
      <c r="H973" s="70" t="s">
        <v>25</v>
      </c>
      <c r="I973" s="78">
        <v>44378</v>
      </c>
      <c r="J973" s="79">
        <f>EFEITO!$J$973*EFEITO!$Y$973</f>
        <v>0</v>
      </c>
      <c r="K973" s="79">
        <f ca="1">EFEITO!$L$973*EFEITO!$Z$973</f>
        <v>16945.952187853094</v>
      </c>
      <c r="L973" s="79">
        <f>EFEITO!$N$973*EFEITO!$AA$973</f>
        <v>11494.75115414957</v>
      </c>
      <c r="M973" s="79">
        <f>$J$973-EFEITO!$K$973*EFEITO!$Y$973</f>
        <v>0</v>
      </c>
      <c r="N973" s="79">
        <f ca="1">$K$973-EFEITO!$M$973*EFEITO!$Z$973</f>
        <v>0</v>
      </c>
      <c r="O973" s="79">
        <f>$L$973-EFEITO!$O$973*EFEITO!$AA$973</f>
        <v>0</v>
      </c>
      <c r="P973" s="18"/>
      <c r="Q973" s="18"/>
      <c r="R973" s="18"/>
      <c r="S973" s="18"/>
      <c r="T973" s="18"/>
      <c r="U973" s="18"/>
      <c r="V973" s="18"/>
      <c r="W973" s="18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 spans="1:36" ht="11.25" customHeight="1" x14ac:dyDescent="0.2">
      <c r="A974" s="70" t="s">
        <v>21</v>
      </c>
      <c r="B974" s="70" t="s">
        <v>33</v>
      </c>
      <c r="C974" s="70" t="s">
        <v>23</v>
      </c>
      <c r="D974" s="70" t="s">
        <v>40</v>
      </c>
      <c r="E974" s="70" t="s">
        <v>25</v>
      </c>
      <c r="F974" s="70" t="s">
        <v>25</v>
      </c>
      <c r="G974" s="70" t="s">
        <v>25</v>
      </c>
      <c r="H974" s="70" t="s">
        <v>25</v>
      </c>
      <c r="I974" s="78">
        <v>44409</v>
      </c>
      <c r="J974" s="79">
        <f>EFEITO!$J$974*EFEITO!$Y$974</f>
        <v>0</v>
      </c>
      <c r="K974" s="79">
        <f ca="1">EFEITO!$L$974*EFEITO!$Z$974</f>
        <v>301724.48867651453</v>
      </c>
      <c r="L974" s="79">
        <f>EFEITO!$N$974*EFEITO!$AA$974</f>
        <v>204665.2720367997</v>
      </c>
      <c r="M974" s="79">
        <f>$J$974-EFEITO!$K$974*EFEITO!$Y$974</f>
        <v>0</v>
      </c>
      <c r="N974" s="79">
        <f ca="1">$K$974-EFEITO!$M$974*EFEITO!$Z$974</f>
        <v>0</v>
      </c>
      <c r="O974" s="79">
        <f>$L$974-EFEITO!$O$974*EFEITO!$AA$974</f>
        <v>0</v>
      </c>
      <c r="P974" s="18"/>
      <c r="Q974" s="18"/>
      <c r="R974" s="18"/>
      <c r="S974" s="18"/>
      <c r="T974" s="18"/>
      <c r="U974" s="18"/>
      <c r="V974" s="18"/>
      <c r="W974" s="18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 spans="1:36" ht="11.25" customHeight="1" x14ac:dyDescent="0.2">
      <c r="A975" s="70" t="s">
        <v>27</v>
      </c>
      <c r="B975" s="70" t="s">
        <v>33</v>
      </c>
      <c r="C975" s="70" t="s">
        <v>23</v>
      </c>
      <c r="D975" s="70" t="s">
        <v>40</v>
      </c>
      <c r="E975" s="70" t="s">
        <v>25</v>
      </c>
      <c r="F975" s="70" t="s">
        <v>25</v>
      </c>
      <c r="G975" s="70" t="s">
        <v>25</v>
      </c>
      <c r="H975" s="70" t="s">
        <v>25</v>
      </c>
      <c r="I975" s="78">
        <v>44409</v>
      </c>
      <c r="J975" s="79">
        <f>EFEITO!$J$975*EFEITO!$Y$975</f>
        <v>0</v>
      </c>
      <c r="K975" s="79">
        <f ca="1">EFEITO!$L$975*EFEITO!$Z$975</f>
        <v>-58.433310418279326</v>
      </c>
      <c r="L975" s="79">
        <f>EFEITO!$N$975*EFEITO!$AA$975</f>
        <v>-39.636389559316463</v>
      </c>
      <c r="M975" s="79">
        <f>$J$975-EFEITO!$K$975*EFEITO!$Y$975</f>
        <v>0</v>
      </c>
      <c r="N975" s="79">
        <f ca="1">$K$975-EFEITO!$M$975*EFEITO!$Z$975</f>
        <v>0</v>
      </c>
      <c r="O975" s="79">
        <f>$L$975-EFEITO!$O$975*EFEITO!$AA$975</f>
        <v>0</v>
      </c>
      <c r="P975" s="18"/>
      <c r="Q975" s="18"/>
      <c r="R975" s="18"/>
      <c r="S975" s="18"/>
      <c r="T975" s="18"/>
      <c r="U975" s="18"/>
      <c r="V975" s="18"/>
      <c r="W975" s="18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</row>
    <row r="976" spans="1:36" ht="11.25" customHeight="1" x14ac:dyDescent="0.2">
      <c r="A976" s="70" t="s">
        <v>28</v>
      </c>
      <c r="B976" s="70" t="s">
        <v>33</v>
      </c>
      <c r="C976" s="70" t="s">
        <v>23</v>
      </c>
      <c r="D976" s="70" t="s">
        <v>40</v>
      </c>
      <c r="E976" s="70" t="s">
        <v>25</v>
      </c>
      <c r="F976" s="70" t="s">
        <v>25</v>
      </c>
      <c r="G976" s="70" t="s">
        <v>25</v>
      </c>
      <c r="H976" s="70" t="s">
        <v>25</v>
      </c>
      <c r="I976" s="78">
        <v>44409</v>
      </c>
      <c r="J976" s="79">
        <f>EFEITO!$J$976*EFEITO!$Y$976</f>
        <v>0</v>
      </c>
      <c r="K976" s="79">
        <f ca="1">EFEITO!$L$976*EFEITO!$Z$976</f>
        <v>16536.626848373049</v>
      </c>
      <c r="L976" s="79">
        <f>EFEITO!$N$976*EFEITO!$AA$976</f>
        <v>11217.098245286559</v>
      </c>
      <c r="M976" s="79">
        <f>$J$976-EFEITO!$K$976*EFEITO!$Y$976</f>
        <v>0</v>
      </c>
      <c r="N976" s="79">
        <f ca="1">$K$976-EFEITO!$M$976*EFEITO!$Z$976</f>
        <v>0</v>
      </c>
      <c r="O976" s="79">
        <f>$L$976-EFEITO!$O$976*EFEITO!$AA$976</f>
        <v>0</v>
      </c>
      <c r="P976" s="18"/>
      <c r="Q976" s="18"/>
      <c r="R976" s="18"/>
      <c r="S976" s="18"/>
      <c r="T976" s="18"/>
      <c r="U976" s="18"/>
      <c r="V976" s="18"/>
      <c r="W976" s="18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</row>
    <row r="977" spans="1:36" ht="11.25" customHeight="1" x14ac:dyDescent="0.2">
      <c r="A977" s="70" t="s">
        <v>21</v>
      </c>
      <c r="B977" s="70" t="s">
        <v>33</v>
      </c>
      <c r="C977" s="70" t="s">
        <v>23</v>
      </c>
      <c r="D977" s="70" t="s">
        <v>40</v>
      </c>
      <c r="E977" s="70" t="s">
        <v>25</v>
      </c>
      <c r="F977" s="70" t="s">
        <v>25</v>
      </c>
      <c r="G977" s="70" t="s">
        <v>25</v>
      </c>
      <c r="H977" s="70" t="s">
        <v>25</v>
      </c>
      <c r="I977" s="78">
        <v>44440</v>
      </c>
      <c r="J977" s="79">
        <f>EFEITO!$J$977*EFEITO!$Y$977</f>
        <v>0</v>
      </c>
      <c r="K977" s="79">
        <f ca="1">EFEITO!$L$977*EFEITO!$Z$977</f>
        <v>314746.64406978025</v>
      </c>
      <c r="L977" s="79">
        <f>EFEITO!$N$977*EFEITO!$AA$977</f>
        <v>213498.43963204118</v>
      </c>
      <c r="M977" s="79">
        <f>$J$977-EFEITO!$K$977*EFEITO!$Y$977</f>
        <v>0</v>
      </c>
      <c r="N977" s="79">
        <f ca="1">$K$977-EFEITO!$M$977*EFEITO!$Z$977</f>
        <v>0</v>
      </c>
      <c r="O977" s="79">
        <f>$L$977-EFEITO!$O$977*EFEITO!$AA$977</f>
        <v>0</v>
      </c>
      <c r="P977" s="18"/>
      <c r="Q977" s="18"/>
      <c r="R977" s="18"/>
      <c r="S977" s="18"/>
      <c r="T977" s="18"/>
      <c r="U977" s="18"/>
      <c r="V977" s="18"/>
      <c r="W977" s="18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</row>
    <row r="978" spans="1:36" ht="11.25" customHeight="1" x14ac:dyDescent="0.2">
      <c r="A978" s="70" t="s">
        <v>27</v>
      </c>
      <c r="B978" s="70" t="s">
        <v>33</v>
      </c>
      <c r="C978" s="70" t="s">
        <v>23</v>
      </c>
      <c r="D978" s="70" t="s">
        <v>40</v>
      </c>
      <c r="E978" s="70" t="s">
        <v>25</v>
      </c>
      <c r="F978" s="70" t="s">
        <v>25</v>
      </c>
      <c r="G978" s="70" t="s">
        <v>25</v>
      </c>
      <c r="H978" s="70" t="s">
        <v>25</v>
      </c>
      <c r="I978" s="78">
        <v>44440</v>
      </c>
      <c r="J978" s="79">
        <f>EFEITO!$J$978*EFEITO!$Y$978</f>
        <v>0</v>
      </c>
      <c r="K978" s="79">
        <f ca="1">EFEITO!$L$978*EFEITO!$Z$978</f>
        <v>-558.33028104665891</v>
      </c>
      <c r="L978" s="79">
        <f>EFEITO!$N$978*EFEITO!$AA$978</f>
        <v>-378.7257022392688</v>
      </c>
      <c r="M978" s="79">
        <f>$J$978-EFEITO!$K$978*EFEITO!$Y$978</f>
        <v>0</v>
      </c>
      <c r="N978" s="79">
        <f ca="1">$K$978-EFEITO!$M$978*EFEITO!$Z$978</f>
        <v>0</v>
      </c>
      <c r="O978" s="79">
        <f>$L$978-EFEITO!$O$978*EFEITO!$AA$978</f>
        <v>0</v>
      </c>
      <c r="P978" s="18"/>
      <c r="Q978" s="18"/>
      <c r="R978" s="18"/>
      <c r="S978" s="18"/>
      <c r="T978" s="18"/>
      <c r="U978" s="18"/>
      <c r="V978" s="18"/>
      <c r="W978" s="18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</row>
    <row r="979" spans="1:36" ht="11.25" customHeight="1" x14ac:dyDescent="0.2">
      <c r="A979" s="70" t="s">
        <v>28</v>
      </c>
      <c r="B979" s="70" t="s">
        <v>33</v>
      </c>
      <c r="C979" s="70" t="s">
        <v>23</v>
      </c>
      <c r="D979" s="70" t="s">
        <v>40</v>
      </c>
      <c r="E979" s="70" t="s">
        <v>25</v>
      </c>
      <c r="F979" s="70" t="s">
        <v>25</v>
      </c>
      <c r="G979" s="70" t="s">
        <v>25</v>
      </c>
      <c r="H979" s="70" t="s">
        <v>25</v>
      </c>
      <c r="I979" s="78">
        <v>44440</v>
      </c>
      <c r="J979" s="79">
        <f>EFEITO!$J$979*EFEITO!$Y$979</f>
        <v>0</v>
      </c>
      <c r="K979" s="79">
        <f ca="1">EFEITO!$L$979*EFEITO!$Z$979</f>
        <v>15500.896421209049</v>
      </c>
      <c r="L979" s="79">
        <f>EFEITO!$N$979*EFEITO!$AA$979</f>
        <v>10514.543240347673</v>
      </c>
      <c r="M979" s="79">
        <f>$J$979-EFEITO!$K$979*EFEITO!$Y$979</f>
        <v>0</v>
      </c>
      <c r="N979" s="79">
        <f ca="1">$K$979-EFEITO!$M$979*EFEITO!$Z$979</f>
        <v>0</v>
      </c>
      <c r="O979" s="79">
        <f>$L$979-EFEITO!$O$979*EFEITO!$AA$979</f>
        <v>0</v>
      </c>
      <c r="P979" s="18"/>
      <c r="Q979" s="18"/>
      <c r="R979" s="18"/>
      <c r="S979" s="18"/>
      <c r="T979" s="18"/>
      <c r="U979" s="18"/>
      <c r="V979" s="18"/>
      <c r="W979" s="18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 spans="1:36" ht="11.25" customHeight="1" x14ac:dyDescent="0.2">
      <c r="A980" s="70" t="s">
        <v>21</v>
      </c>
      <c r="B980" s="70" t="s">
        <v>33</v>
      </c>
      <c r="C980" s="70" t="s">
        <v>23</v>
      </c>
      <c r="D980" s="70" t="s">
        <v>40</v>
      </c>
      <c r="E980" s="70" t="s">
        <v>25</v>
      </c>
      <c r="F980" s="70" t="s">
        <v>25</v>
      </c>
      <c r="G980" s="70" t="s">
        <v>25</v>
      </c>
      <c r="H980" s="70" t="s">
        <v>25</v>
      </c>
      <c r="I980" s="78">
        <v>44470</v>
      </c>
      <c r="J980" s="79">
        <f>EFEITO!$J$980*EFEITO!$Y$980</f>
        <v>0</v>
      </c>
      <c r="K980" s="79">
        <f ca="1">EFEITO!$L$980*EFEITO!$Z$980</f>
        <v>293332.0044676892</v>
      </c>
      <c r="L980" s="79">
        <f>EFEITO!$N$980*EFEITO!$AA$980</f>
        <v>198972.49558634288</v>
      </c>
      <c r="M980" s="79">
        <f>$J$980-EFEITO!$K$980*EFEITO!$Y$980</f>
        <v>0</v>
      </c>
      <c r="N980" s="79">
        <f ca="1">$K$980-EFEITO!$M$980*EFEITO!$Z$980</f>
        <v>0</v>
      </c>
      <c r="O980" s="79">
        <f>$L$980-EFEITO!$O$980*EFEITO!$AA$980</f>
        <v>0</v>
      </c>
      <c r="P980" s="18"/>
      <c r="Q980" s="18"/>
      <c r="R980" s="18"/>
      <c r="S980" s="18"/>
      <c r="T980" s="18"/>
      <c r="U980" s="18"/>
      <c r="V980" s="18"/>
      <c r="W980" s="18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 spans="1:36" ht="11.25" customHeight="1" x14ac:dyDescent="0.2">
      <c r="A981" s="70" t="s">
        <v>27</v>
      </c>
      <c r="B981" s="70" t="s">
        <v>33</v>
      </c>
      <c r="C981" s="70" t="s">
        <v>23</v>
      </c>
      <c r="D981" s="70" t="s">
        <v>40</v>
      </c>
      <c r="E981" s="70" t="s">
        <v>25</v>
      </c>
      <c r="F981" s="70" t="s">
        <v>25</v>
      </c>
      <c r="G981" s="70" t="s">
        <v>25</v>
      </c>
      <c r="H981" s="70" t="s">
        <v>25</v>
      </c>
      <c r="I981" s="78">
        <v>44470</v>
      </c>
      <c r="J981" s="79">
        <f>EFEITO!$J$981*EFEITO!$Y$981</f>
        <v>0</v>
      </c>
      <c r="K981" s="79">
        <f ca="1">EFEITO!$L$981*EFEITO!$Z$981</f>
        <v>-1145.2928841982748</v>
      </c>
      <c r="L981" s="79">
        <f>EFEITO!$N$981*EFEITO!$AA$981</f>
        <v>-776.8732353626026</v>
      </c>
      <c r="M981" s="79">
        <f>$J$981-EFEITO!$K$981*EFEITO!$Y$981</f>
        <v>0</v>
      </c>
      <c r="N981" s="79">
        <f ca="1">$K$981-EFEITO!$M$981*EFEITO!$Z$981</f>
        <v>0</v>
      </c>
      <c r="O981" s="79">
        <f>$L$981-EFEITO!$O$981*EFEITO!$AA$981</f>
        <v>0</v>
      </c>
      <c r="P981" s="18"/>
      <c r="Q981" s="18"/>
      <c r="R981" s="18"/>
      <c r="S981" s="18"/>
      <c r="T981" s="18"/>
      <c r="U981" s="18"/>
      <c r="V981" s="18"/>
      <c r="W981" s="18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 spans="1:36" ht="11.25" customHeight="1" x14ac:dyDescent="0.2">
      <c r="A982" s="70" t="s">
        <v>28</v>
      </c>
      <c r="B982" s="70" t="s">
        <v>33</v>
      </c>
      <c r="C982" s="70" t="s">
        <v>23</v>
      </c>
      <c r="D982" s="70" t="s">
        <v>40</v>
      </c>
      <c r="E982" s="70" t="s">
        <v>25</v>
      </c>
      <c r="F982" s="70" t="s">
        <v>25</v>
      </c>
      <c r="G982" s="70" t="s">
        <v>25</v>
      </c>
      <c r="H982" s="70" t="s">
        <v>25</v>
      </c>
      <c r="I982" s="78">
        <v>44470</v>
      </c>
      <c r="J982" s="79">
        <f>EFEITO!$J$982*EFEITO!$Y$982</f>
        <v>0</v>
      </c>
      <c r="K982" s="79">
        <f ca="1">EFEITO!$L$982*EFEITO!$Z$982</f>
        <v>15589.422886492741</v>
      </c>
      <c r="L982" s="79">
        <f>EFEITO!$N$982*EFEITO!$AA$982</f>
        <v>10574.592370530037</v>
      </c>
      <c r="M982" s="79">
        <f>$J$982-EFEITO!$K$982*EFEITO!$Y$982</f>
        <v>0</v>
      </c>
      <c r="N982" s="79">
        <f ca="1">$K$982-EFEITO!$M$982*EFEITO!$Z$982</f>
        <v>0</v>
      </c>
      <c r="O982" s="79">
        <f>$L$982-EFEITO!$O$982*EFEITO!$AA$982</f>
        <v>0</v>
      </c>
      <c r="P982" s="18"/>
      <c r="Q982" s="18"/>
      <c r="R982" s="18"/>
      <c r="S982" s="18"/>
      <c r="T982" s="18"/>
      <c r="U982" s="18"/>
      <c r="V982" s="18"/>
      <c r="W982" s="18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 spans="1:36" ht="11.25" customHeight="1" x14ac:dyDescent="0.2">
      <c r="A983" s="70" t="s">
        <v>28</v>
      </c>
      <c r="B983" s="70" t="s">
        <v>33</v>
      </c>
      <c r="C983" s="70" t="s">
        <v>23</v>
      </c>
      <c r="D983" s="70" t="s">
        <v>40</v>
      </c>
      <c r="E983" s="70" t="s">
        <v>25</v>
      </c>
      <c r="F983" s="70" t="s">
        <v>25</v>
      </c>
      <c r="G983" s="70" t="s">
        <v>25</v>
      </c>
      <c r="H983" s="70" t="s">
        <v>25</v>
      </c>
      <c r="I983" s="78">
        <v>44470</v>
      </c>
      <c r="J983" s="79">
        <f>EFEITO!$J$983*EFEITO!$Y$983</f>
        <v>0</v>
      </c>
      <c r="K983" s="79">
        <f ca="1">EFEITO!$L$983*EFEITO!$Z$983</f>
        <v>-287.19972070584288</v>
      </c>
      <c r="L983" s="79">
        <f>EFEITO!$N$983*EFEITO!$AA$983</f>
        <v>-194.81285468404042</v>
      </c>
      <c r="M983" s="79">
        <f>$J$983-EFEITO!$K$983*EFEITO!$Y$983</f>
        <v>0</v>
      </c>
      <c r="N983" s="79">
        <f ca="1">$K$983-EFEITO!$M$983*EFEITO!$Z$983</f>
        <v>0</v>
      </c>
      <c r="O983" s="79">
        <f>$L$983-EFEITO!$O$983*EFEITO!$AA$983</f>
        <v>0</v>
      </c>
      <c r="P983" s="18"/>
      <c r="Q983" s="18"/>
      <c r="R983" s="18"/>
      <c r="S983" s="18"/>
      <c r="T983" s="18"/>
      <c r="U983" s="18"/>
      <c r="V983" s="18"/>
      <c r="W983" s="18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spans="1:36" ht="11.25" customHeight="1" x14ac:dyDescent="0.2">
      <c r="A984" s="70" t="s">
        <v>21</v>
      </c>
      <c r="B984" s="70" t="s">
        <v>33</v>
      </c>
      <c r="C984" s="70" t="s">
        <v>23</v>
      </c>
      <c r="D984" s="70" t="s">
        <v>40</v>
      </c>
      <c r="E984" s="70" t="s">
        <v>25</v>
      </c>
      <c r="F984" s="70" t="s">
        <v>25</v>
      </c>
      <c r="G984" s="70" t="s">
        <v>25</v>
      </c>
      <c r="H984" s="70" t="s">
        <v>25</v>
      </c>
      <c r="I984" s="78">
        <v>44501</v>
      </c>
      <c r="J984" s="79">
        <f>EFEITO!$J$984*EFEITO!$Y$984</f>
        <v>0</v>
      </c>
      <c r="K984" s="79">
        <f ca="1">EFEITO!$L$984*EFEITO!$Z$984</f>
        <v>311703.14509664412</v>
      </c>
      <c r="L984" s="79">
        <f>EFEITO!$N$984*EFEITO!$AA$984</f>
        <v>211433.97828184417</v>
      </c>
      <c r="M984" s="79">
        <f>$J$984-EFEITO!$K$984*EFEITO!$Y$984</f>
        <v>0</v>
      </c>
      <c r="N984" s="79">
        <f ca="1">$K$984-EFEITO!$M$984*EFEITO!$Z$984</f>
        <v>0</v>
      </c>
      <c r="O984" s="79">
        <f>$L$984-EFEITO!$O$984*EFEITO!$AA$984</f>
        <v>0</v>
      </c>
      <c r="P984" s="18"/>
      <c r="Q984" s="18"/>
      <c r="R984" s="18"/>
      <c r="S984" s="18"/>
      <c r="T984" s="18"/>
      <c r="U984" s="18"/>
      <c r="V984" s="18"/>
      <c r="W984" s="18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</row>
    <row r="985" spans="1:36" ht="11.25" customHeight="1" x14ac:dyDescent="0.2">
      <c r="A985" s="70" t="s">
        <v>27</v>
      </c>
      <c r="B985" s="70" t="s">
        <v>33</v>
      </c>
      <c r="C985" s="70" t="s">
        <v>23</v>
      </c>
      <c r="D985" s="70" t="s">
        <v>40</v>
      </c>
      <c r="E985" s="70" t="s">
        <v>25</v>
      </c>
      <c r="F985" s="70" t="s">
        <v>25</v>
      </c>
      <c r="G985" s="70" t="s">
        <v>25</v>
      </c>
      <c r="H985" s="70" t="s">
        <v>25</v>
      </c>
      <c r="I985" s="78">
        <v>44501</v>
      </c>
      <c r="J985" s="79">
        <f>EFEITO!$J$985*EFEITO!$Y$985</f>
        <v>0</v>
      </c>
      <c r="K985" s="79">
        <f ca="1">EFEITO!$L$985*EFEITO!$Z$985</f>
        <v>-1069.621747206603</v>
      </c>
      <c r="L985" s="79">
        <f>EFEITO!$N$985*EFEITO!$AA$985</f>
        <v>-725.54411088328789</v>
      </c>
      <c r="M985" s="79">
        <f>$J$985-EFEITO!$K$985*EFEITO!$Y$985</f>
        <v>0</v>
      </c>
      <c r="N985" s="79">
        <f ca="1">$K$985-EFEITO!$M$985*EFEITO!$Z$985</f>
        <v>0</v>
      </c>
      <c r="O985" s="79">
        <f>$L$985-EFEITO!$O$985*EFEITO!$AA$985</f>
        <v>0</v>
      </c>
      <c r="P985" s="18"/>
      <c r="Q985" s="18"/>
      <c r="R985" s="18"/>
      <c r="S985" s="18"/>
      <c r="T985" s="18"/>
      <c r="U985" s="18"/>
      <c r="V985" s="18"/>
      <c r="W985" s="18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 spans="1:36" ht="11.25" customHeight="1" x14ac:dyDescent="0.2">
      <c r="A986" s="70" t="s">
        <v>28</v>
      </c>
      <c r="B986" s="70" t="s">
        <v>33</v>
      </c>
      <c r="C986" s="70" t="s">
        <v>23</v>
      </c>
      <c r="D986" s="70" t="s">
        <v>40</v>
      </c>
      <c r="E986" s="70" t="s">
        <v>25</v>
      </c>
      <c r="F986" s="70" t="s">
        <v>25</v>
      </c>
      <c r="G986" s="70" t="s">
        <v>25</v>
      </c>
      <c r="H986" s="70" t="s">
        <v>25</v>
      </c>
      <c r="I986" s="78">
        <v>44501</v>
      </c>
      <c r="J986" s="79">
        <f>EFEITO!$J$986*EFEITO!$Y$986</f>
        <v>0</v>
      </c>
      <c r="K986" s="79">
        <f ca="1">EFEITO!$L$986*EFEITO!$Z$986</f>
        <v>12007.168791300128</v>
      </c>
      <c r="L986" s="79">
        <f>EFEITO!$N$986*EFEITO!$AA$986</f>
        <v>8144.6835085961429</v>
      </c>
      <c r="M986" s="79">
        <f>$J$986-EFEITO!$K$986*EFEITO!$Y$986</f>
        <v>0</v>
      </c>
      <c r="N986" s="79">
        <f ca="1">$K$986-EFEITO!$M$986*EFEITO!$Z$986</f>
        <v>0</v>
      </c>
      <c r="O986" s="79">
        <f>$L$986-EFEITO!$O$986*EFEITO!$AA$986</f>
        <v>0</v>
      </c>
      <c r="P986" s="18"/>
      <c r="Q986" s="18"/>
      <c r="R986" s="18"/>
      <c r="S986" s="18"/>
      <c r="T986" s="18"/>
      <c r="U986" s="18"/>
      <c r="V986" s="18"/>
      <c r="W986" s="18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</row>
    <row r="987" spans="1:36" ht="11.25" customHeight="1" x14ac:dyDescent="0.2">
      <c r="A987" s="70" t="s">
        <v>21</v>
      </c>
      <c r="B987" s="70" t="s">
        <v>33</v>
      </c>
      <c r="C987" s="70" t="s">
        <v>23</v>
      </c>
      <c r="D987" s="70" t="s">
        <v>40</v>
      </c>
      <c r="E987" s="70" t="s">
        <v>25</v>
      </c>
      <c r="F987" s="70" t="s">
        <v>25</v>
      </c>
      <c r="G987" s="70" t="s">
        <v>25</v>
      </c>
      <c r="H987" s="70" t="s">
        <v>25</v>
      </c>
      <c r="I987" s="78">
        <v>44531</v>
      </c>
      <c r="J987" s="79">
        <f>EFEITO!$J$987*EFEITO!$Y$987</f>
        <v>0</v>
      </c>
      <c r="K987" s="79">
        <f ca="1">EFEITO!$L$987*EFEITO!$Z$987</f>
        <v>315826.78381286212</v>
      </c>
      <c r="L987" s="79">
        <f>EFEITO!$N$987*EFEITO!$AA$987</f>
        <v>214231.11829304512</v>
      </c>
      <c r="M987" s="79">
        <f>$J$987-EFEITO!$K$987*EFEITO!$Y$987</f>
        <v>0</v>
      </c>
      <c r="N987" s="79">
        <f ca="1">$K$987-EFEITO!$M$987*EFEITO!$Z$987</f>
        <v>0</v>
      </c>
      <c r="O987" s="79">
        <f>$L$987-EFEITO!$O$987*EFEITO!$AA$987</f>
        <v>0</v>
      </c>
      <c r="P987" s="18"/>
      <c r="Q987" s="18"/>
      <c r="R987" s="18"/>
      <c r="S987" s="18"/>
      <c r="T987" s="18"/>
      <c r="U987" s="18"/>
      <c r="V987" s="18"/>
      <c r="W987" s="18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  <row r="988" spans="1:36" ht="11.25" customHeight="1" x14ac:dyDescent="0.2">
      <c r="A988" s="70" t="s">
        <v>27</v>
      </c>
      <c r="B988" s="70" t="s">
        <v>33</v>
      </c>
      <c r="C988" s="70" t="s">
        <v>23</v>
      </c>
      <c r="D988" s="70" t="s">
        <v>40</v>
      </c>
      <c r="E988" s="70" t="s">
        <v>25</v>
      </c>
      <c r="F988" s="70" t="s">
        <v>25</v>
      </c>
      <c r="G988" s="70" t="s">
        <v>25</v>
      </c>
      <c r="H988" s="70" t="s">
        <v>25</v>
      </c>
      <c r="I988" s="78">
        <v>44531</v>
      </c>
      <c r="J988" s="79">
        <f>EFEITO!$J$988*EFEITO!$Y$988</f>
        <v>0</v>
      </c>
      <c r="K988" s="79">
        <f ca="1">EFEITO!$L$988*EFEITO!$Z$988</f>
        <v>-1750.3698135795571</v>
      </c>
      <c r="L988" s="79">
        <f>EFEITO!$N$988*EFEITO!$AA$988</f>
        <v>-1187.3080492493245</v>
      </c>
      <c r="M988" s="79">
        <f>$J$988-EFEITO!$K$988*EFEITO!$Y$988</f>
        <v>0</v>
      </c>
      <c r="N988" s="79">
        <f ca="1">$K$988-EFEITO!$M$988*EFEITO!$Z$988</f>
        <v>0</v>
      </c>
      <c r="O988" s="79">
        <f>$L$988-EFEITO!$O$988*EFEITO!$AA$988</f>
        <v>0</v>
      </c>
      <c r="P988" s="18"/>
      <c r="Q988" s="18"/>
      <c r="R988" s="18"/>
      <c r="S988" s="18"/>
      <c r="T988" s="18"/>
      <c r="U988" s="18"/>
      <c r="V988" s="18"/>
      <c r="W988" s="18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</row>
    <row r="989" spans="1:36" ht="11.25" customHeight="1" x14ac:dyDescent="0.2">
      <c r="A989" s="70" t="s">
        <v>21</v>
      </c>
      <c r="B989" s="70" t="s">
        <v>33</v>
      </c>
      <c r="C989" s="70" t="s">
        <v>23</v>
      </c>
      <c r="D989" s="70" t="s">
        <v>40</v>
      </c>
      <c r="E989" s="70" t="s">
        <v>25</v>
      </c>
      <c r="F989" s="70" t="s">
        <v>25</v>
      </c>
      <c r="G989" s="70" t="s">
        <v>25</v>
      </c>
      <c r="H989" s="70" t="s">
        <v>25</v>
      </c>
      <c r="I989" s="78">
        <v>44562</v>
      </c>
      <c r="J989" s="79">
        <f>EFEITO!$J$989*EFEITO!$Y$989</f>
        <v>0</v>
      </c>
      <c r="K989" s="79">
        <f ca="1">EFEITO!$L$989*EFEITO!$Z$989</f>
        <v>378805.91361513146</v>
      </c>
      <c r="L989" s="79">
        <f>EFEITO!$N$989*EFEITO!$AA$989</f>
        <v>256951.02077812862</v>
      </c>
      <c r="M989" s="79">
        <f>$J$989-EFEITO!$K$989*EFEITO!$Y$989</f>
        <v>0</v>
      </c>
      <c r="N989" s="79">
        <f ca="1">$K$989-EFEITO!$M$989*EFEITO!$Z$989</f>
        <v>0</v>
      </c>
      <c r="O989" s="79">
        <f>$L$989-EFEITO!$O$989*EFEITO!$AA$989</f>
        <v>0</v>
      </c>
      <c r="P989" s="18"/>
      <c r="Q989" s="18"/>
      <c r="R989" s="18"/>
      <c r="S989" s="18"/>
      <c r="T989" s="18"/>
      <c r="U989" s="18"/>
      <c r="V989" s="18"/>
      <c r="W989" s="18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</row>
    <row r="990" spans="1:36" ht="11.25" customHeight="1" x14ac:dyDescent="0.2">
      <c r="A990" s="70" t="s">
        <v>27</v>
      </c>
      <c r="B990" s="70" t="s">
        <v>33</v>
      </c>
      <c r="C990" s="70" t="s">
        <v>23</v>
      </c>
      <c r="D990" s="70" t="s">
        <v>40</v>
      </c>
      <c r="E990" s="70" t="s">
        <v>25</v>
      </c>
      <c r="F990" s="70" t="s">
        <v>25</v>
      </c>
      <c r="G990" s="70" t="s">
        <v>25</v>
      </c>
      <c r="H990" s="70" t="s">
        <v>25</v>
      </c>
      <c r="I990" s="78">
        <v>44562</v>
      </c>
      <c r="J990" s="79">
        <f>EFEITO!$J$990*EFEITO!$Y$990</f>
        <v>0</v>
      </c>
      <c r="K990" s="79">
        <f ca="1">EFEITO!$L$990*EFEITO!$Z$990</f>
        <v>-202.47142059933785</v>
      </c>
      <c r="L990" s="79">
        <f>EFEITO!$N$990*EFEITO!$AA$990</f>
        <v>-137.34008982303152</v>
      </c>
      <c r="M990" s="79">
        <f>$J$990-EFEITO!$K$990*EFEITO!$Y$990</f>
        <v>0</v>
      </c>
      <c r="N990" s="79">
        <f ca="1">$K$990-EFEITO!$M$990*EFEITO!$Z$990</f>
        <v>0</v>
      </c>
      <c r="O990" s="79">
        <f>$L$990-EFEITO!$O$990*EFEITO!$AA$990</f>
        <v>0</v>
      </c>
      <c r="P990" s="18"/>
      <c r="Q990" s="18"/>
      <c r="R990" s="18"/>
      <c r="S990" s="18"/>
      <c r="T990" s="18"/>
      <c r="U990" s="18"/>
      <c r="V990" s="18"/>
      <c r="W990" s="18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</row>
    <row r="991" spans="1:36" ht="11.25" customHeight="1" x14ac:dyDescent="0.2">
      <c r="A991" s="70" t="s">
        <v>28</v>
      </c>
      <c r="B991" s="70" t="s">
        <v>33</v>
      </c>
      <c r="C991" s="70" t="s">
        <v>23</v>
      </c>
      <c r="D991" s="70" t="s">
        <v>40</v>
      </c>
      <c r="E991" s="70" t="s">
        <v>25</v>
      </c>
      <c r="F991" s="70" t="s">
        <v>25</v>
      </c>
      <c r="G991" s="70" t="s">
        <v>25</v>
      </c>
      <c r="H991" s="70" t="s">
        <v>25</v>
      </c>
      <c r="I991" s="78">
        <v>44562</v>
      </c>
      <c r="J991" s="79">
        <f>EFEITO!$J$991*EFEITO!$Y$991</f>
        <v>0</v>
      </c>
      <c r="K991" s="79">
        <f ca="1">EFEITO!$L$991*EFEITO!$Z$991</f>
        <v>17785.638858563769</v>
      </c>
      <c r="L991" s="79">
        <f>EFEITO!$N$991*EFEITO!$AA$991</f>
        <v>12064.326072116948</v>
      </c>
      <c r="M991" s="79">
        <f>$J$991-EFEITO!$K$991*EFEITO!$Y$991</f>
        <v>0</v>
      </c>
      <c r="N991" s="79">
        <f ca="1">$K$991-EFEITO!$M$991*EFEITO!$Z$991</f>
        <v>0</v>
      </c>
      <c r="O991" s="79">
        <f>$L$991-EFEITO!$O$991*EFEITO!$AA$991</f>
        <v>0</v>
      </c>
      <c r="P991" s="18"/>
      <c r="Q991" s="18"/>
      <c r="R991" s="18"/>
      <c r="S991" s="18"/>
      <c r="T991" s="18"/>
      <c r="U991" s="18"/>
      <c r="V991" s="18"/>
      <c r="W991" s="18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</row>
    <row r="992" spans="1:36" ht="11.25" customHeight="1" x14ac:dyDescent="0.2">
      <c r="A992" s="70" t="s">
        <v>21</v>
      </c>
      <c r="B992" s="70" t="s">
        <v>33</v>
      </c>
      <c r="C992" s="70" t="s">
        <v>23</v>
      </c>
      <c r="D992" s="70" t="s">
        <v>40</v>
      </c>
      <c r="E992" s="70" t="s">
        <v>25</v>
      </c>
      <c r="F992" s="70" t="s">
        <v>25</v>
      </c>
      <c r="G992" s="70" t="s">
        <v>25</v>
      </c>
      <c r="H992" s="70" t="s">
        <v>25</v>
      </c>
      <c r="I992" s="78">
        <v>44593</v>
      </c>
      <c r="J992" s="79">
        <f>EFEITO!$J$992*EFEITO!$Y$992</f>
        <v>0</v>
      </c>
      <c r="K992" s="79">
        <f ca="1">EFEITO!$L$992*EFEITO!$Z$992</f>
        <v>357388.35234751954</v>
      </c>
      <c r="L992" s="79">
        <f>EFEITO!$N$992*EFEITO!$AA$992</f>
        <v>242423.09491295234</v>
      </c>
      <c r="M992" s="79">
        <f>$J$992-EFEITO!$K$992*EFEITO!$Y$992</f>
        <v>0</v>
      </c>
      <c r="N992" s="79">
        <f ca="1">$K$992-EFEITO!$M$992*EFEITO!$Z$992</f>
        <v>0</v>
      </c>
      <c r="O992" s="79">
        <f>$L$992-EFEITO!$O$992*EFEITO!$AA$992</f>
        <v>0</v>
      </c>
      <c r="P992" s="18"/>
      <c r="Q992" s="18"/>
      <c r="R992" s="18"/>
      <c r="S992" s="18"/>
      <c r="T992" s="18"/>
      <c r="U992" s="18"/>
      <c r="V992" s="18"/>
      <c r="W992" s="18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</row>
    <row r="993" spans="1:36" ht="11.25" customHeight="1" x14ac:dyDescent="0.2">
      <c r="A993" s="70" t="s">
        <v>27</v>
      </c>
      <c r="B993" s="70" t="s">
        <v>33</v>
      </c>
      <c r="C993" s="70" t="s">
        <v>23</v>
      </c>
      <c r="D993" s="70" t="s">
        <v>40</v>
      </c>
      <c r="E993" s="70" t="s">
        <v>25</v>
      </c>
      <c r="F993" s="70" t="s">
        <v>25</v>
      </c>
      <c r="G993" s="70" t="s">
        <v>25</v>
      </c>
      <c r="H993" s="70" t="s">
        <v>25</v>
      </c>
      <c r="I993" s="78">
        <v>44593</v>
      </c>
      <c r="J993" s="79">
        <f>EFEITO!$J$993*EFEITO!$Y$993</f>
        <v>0</v>
      </c>
      <c r="K993" s="79">
        <f ca="1">EFEITO!$L$993*EFEITO!$Z$993</f>
        <v>-691.8503953524272</v>
      </c>
      <c r="L993" s="79">
        <f>EFEITO!$N$993*EFEITO!$AA$993</f>
        <v>-469.29485238230689</v>
      </c>
      <c r="M993" s="79">
        <f>$J$993-EFEITO!$K$993*EFEITO!$Y$993</f>
        <v>0</v>
      </c>
      <c r="N993" s="79">
        <f ca="1">$K$993-EFEITO!$M$993*EFEITO!$Z$993</f>
        <v>0</v>
      </c>
      <c r="O993" s="79">
        <f>$L$993-EFEITO!$O$993*EFEITO!$AA$993</f>
        <v>0</v>
      </c>
      <c r="P993" s="18"/>
      <c r="Q993" s="18"/>
      <c r="R993" s="18"/>
      <c r="S993" s="18"/>
      <c r="T993" s="18"/>
      <c r="U993" s="18"/>
      <c r="V993" s="18"/>
      <c r="W993" s="18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</row>
    <row r="994" spans="1:36" ht="11.25" customHeight="1" x14ac:dyDescent="0.2">
      <c r="A994" s="70" t="s">
        <v>28</v>
      </c>
      <c r="B994" s="70" t="s">
        <v>33</v>
      </c>
      <c r="C994" s="70" t="s">
        <v>23</v>
      </c>
      <c r="D994" s="70" t="s">
        <v>40</v>
      </c>
      <c r="E994" s="70" t="s">
        <v>25</v>
      </c>
      <c r="F994" s="70" t="s">
        <v>25</v>
      </c>
      <c r="G994" s="70" t="s">
        <v>25</v>
      </c>
      <c r="H994" s="70" t="s">
        <v>25</v>
      </c>
      <c r="I994" s="78">
        <v>44593</v>
      </c>
      <c r="J994" s="79">
        <f>EFEITO!$J$994*EFEITO!$Y$994</f>
        <v>0</v>
      </c>
      <c r="K994" s="79">
        <f ca="1">EFEITO!$L$994*EFEITO!$Z$994</f>
        <v>20200.687578151257</v>
      </c>
      <c r="L994" s="79">
        <f>EFEITO!$N$994*EFEITO!$AA$994</f>
        <v>13702.498052603498</v>
      </c>
      <c r="M994" s="79">
        <f>$J$994-EFEITO!$K$994*EFEITO!$Y$994</f>
        <v>0</v>
      </c>
      <c r="N994" s="79">
        <f ca="1">$K$994-EFEITO!$M$994*EFEITO!$Z$994</f>
        <v>0</v>
      </c>
      <c r="O994" s="79">
        <f>$L$994-EFEITO!$O$994*EFEITO!$AA$994</f>
        <v>0</v>
      </c>
      <c r="P994" s="18"/>
      <c r="Q994" s="18"/>
      <c r="R994" s="18"/>
      <c r="S994" s="18"/>
      <c r="T994" s="18"/>
      <c r="U994" s="18"/>
      <c r="V994" s="18"/>
      <c r="W994" s="18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</row>
    <row r="995" spans="1:36" ht="11.25" customHeight="1" x14ac:dyDescent="0.2">
      <c r="A995" s="70" t="s">
        <v>21</v>
      </c>
      <c r="B995" s="70" t="s">
        <v>33</v>
      </c>
      <c r="C995" s="70" t="s">
        <v>23</v>
      </c>
      <c r="D995" s="70" t="s">
        <v>40</v>
      </c>
      <c r="E995" s="70" t="s">
        <v>25</v>
      </c>
      <c r="F995" s="70" t="s">
        <v>25</v>
      </c>
      <c r="G995" s="70" t="s">
        <v>25</v>
      </c>
      <c r="H995" s="70" t="s">
        <v>25</v>
      </c>
      <c r="I995" s="78">
        <v>44621</v>
      </c>
      <c r="J995" s="79">
        <f>EFEITO!$J$995*EFEITO!$Y$995</f>
        <v>0</v>
      </c>
      <c r="K995" s="79">
        <f ca="1">EFEITO!$L$995*EFEITO!$Z$995</f>
        <v>352596.82089322066</v>
      </c>
      <c r="L995" s="79">
        <f>EFEITO!$N$995*EFEITO!$AA$995</f>
        <v>239172.91096908841</v>
      </c>
      <c r="M995" s="79">
        <f>$J$995-EFEITO!$K$995*EFEITO!$Y$995</f>
        <v>0</v>
      </c>
      <c r="N995" s="79">
        <f ca="1">$K$995-EFEITO!$M$995*EFEITO!$Z$995</f>
        <v>0</v>
      </c>
      <c r="O995" s="79">
        <f>$L$995-EFEITO!$O$995*EFEITO!$AA$995</f>
        <v>0</v>
      </c>
      <c r="P995" s="18"/>
      <c r="Q995" s="18"/>
      <c r="R995" s="18"/>
      <c r="S995" s="18"/>
      <c r="T995" s="18"/>
      <c r="U995" s="18"/>
      <c r="V995" s="18"/>
      <c r="W995" s="18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</row>
    <row r="996" spans="1:36" ht="11.25" customHeight="1" x14ac:dyDescent="0.2">
      <c r="A996" s="70" t="s">
        <v>27</v>
      </c>
      <c r="B996" s="70" t="s">
        <v>33</v>
      </c>
      <c r="C996" s="70" t="s">
        <v>23</v>
      </c>
      <c r="D996" s="70" t="s">
        <v>40</v>
      </c>
      <c r="E996" s="70" t="s">
        <v>25</v>
      </c>
      <c r="F996" s="70" t="s">
        <v>25</v>
      </c>
      <c r="G996" s="70" t="s">
        <v>25</v>
      </c>
      <c r="H996" s="70" t="s">
        <v>25</v>
      </c>
      <c r="I996" s="78">
        <v>44621</v>
      </c>
      <c r="J996" s="79">
        <f>EFEITO!$J$996*EFEITO!$Y$996</f>
        <v>0</v>
      </c>
      <c r="K996" s="79">
        <f ca="1">EFEITO!$L$996*EFEITO!$Z$996</f>
        <v>-197.79675576587553</v>
      </c>
      <c r="L996" s="79">
        <f>EFEITO!$N$996*EFEITO!$AA$996</f>
        <v>-134.16917865828623</v>
      </c>
      <c r="M996" s="79">
        <f>$J$996-EFEITO!$K$996*EFEITO!$Y$996</f>
        <v>0</v>
      </c>
      <c r="N996" s="79">
        <f ca="1">$K$996-EFEITO!$M$996*EFEITO!$Z$996</f>
        <v>0</v>
      </c>
      <c r="O996" s="79">
        <f>$L$996-EFEITO!$O$996*EFEITO!$AA$996</f>
        <v>0</v>
      </c>
      <c r="P996" s="18"/>
      <c r="Q996" s="18"/>
      <c r="R996" s="18"/>
      <c r="S996" s="18"/>
      <c r="T996" s="18"/>
      <c r="U996" s="18"/>
      <c r="V996" s="18"/>
      <c r="W996" s="18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</row>
    <row r="997" spans="1:36" ht="11.25" customHeight="1" x14ac:dyDescent="0.2">
      <c r="A997" s="70" t="s">
        <v>28</v>
      </c>
      <c r="B997" s="70" t="s">
        <v>33</v>
      </c>
      <c r="C997" s="70" t="s">
        <v>23</v>
      </c>
      <c r="D997" s="70" t="s">
        <v>40</v>
      </c>
      <c r="E997" s="70" t="s">
        <v>25</v>
      </c>
      <c r="F997" s="70" t="s">
        <v>25</v>
      </c>
      <c r="G997" s="70" t="s">
        <v>25</v>
      </c>
      <c r="H997" s="70" t="s">
        <v>25</v>
      </c>
      <c r="I997" s="78">
        <v>44621</v>
      </c>
      <c r="J997" s="79">
        <f>EFEITO!$J$997*EFEITO!$Y$997</f>
        <v>0</v>
      </c>
      <c r="K997" s="79">
        <f ca="1">EFEITO!$L$997*EFEITO!$Z$997</f>
        <v>21085.075731331912</v>
      </c>
      <c r="L997" s="79">
        <f>EFEITO!$N$997*EFEITO!$AA$997</f>
        <v>14302.394808583753</v>
      </c>
      <c r="M997" s="79">
        <f>$J$997-EFEITO!$K$997*EFEITO!$Y$997</f>
        <v>0</v>
      </c>
      <c r="N997" s="79">
        <f ca="1">$K$997-EFEITO!$M$997*EFEITO!$Z$997</f>
        <v>0</v>
      </c>
      <c r="O997" s="79">
        <f>$L$997-EFEITO!$O$997*EFEITO!$AA$997</f>
        <v>0</v>
      </c>
      <c r="P997" s="18"/>
      <c r="Q997" s="18"/>
      <c r="R997" s="18"/>
      <c r="S997" s="18"/>
      <c r="T997" s="18"/>
      <c r="U997" s="18"/>
      <c r="V997" s="18"/>
      <c r="W997" s="18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</row>
    <row r="998" spans="1:36" ht="11.25" customHeight="1" x14ac:dyDescent="0.2">
      <c r="A998" s="70" t="s">
        <v>21</v>
      </c>
      <c r="B998" s="70" t="s">
        <v>33</v>
      </c>
      <c r="C998" s="70" t="s">
        <v>23</v>
      </c>
      <c r="D998" s="70" t="s">
        <v>40</v>
      </c>
      <c r="E998" s="70" t="s">
        <v>25</v>
      </c>
      <c r="F998" s="70" t="s">
        <v>25</v>
      </c>
      <c r="G998" s="70" t="s">
        <v>25</v>
      </c>
      <c r="H998" s="70" t="s">
        <v>25</v>
      </c>
      <c r="I998" s="78">
        <v>44652</v>
      </c>
      <c r="J998" s="79">
        <f>EFEITO!$J$998*EFEITO!$Y$998</f>
        <v>0</v>
      </c>
      <c r="K998" s="79">
        <f ca="1">EFEITO!$L$998*EFEITO!$Z$998</f>
        <v>335216.70920895971</v>
      </c>
      <c r="L998" s="79">
        <f>EFEITO!$N$998*EFEITO!$AA$998</f>
        <v>227383.6614405131</v>
      </c>
      <c r="M998" s="79">
        <f>$J$998-EFEITO!$K$998*EFEITO!$Y$998</f>
        <v>0</v>
      </c>
      <c r="N998" s="79">
        <f ca="1">$K$998-EFEITO!$M$998*EFEITO!$Z$998</f>
        <v>0</v>
      </c>
      <c r="O998" s="79">
        <f>$L$998-EFEITO!$O$998*EFEITO!$AA$998</f>
        <v>0</v>
      </c>
      <c r="P998" s="18"/>
      <c r="Q998" s="18"/>
      <c r="R998" s="18"/>
      <c r="S998" s="18"/>
      <c r="T998" s="18"/>
      <c r="U998" s="18"/>
      <c r="V998" s="18"/>
      <c r="W998" s="18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</row>
    <row r="999" spans="1:36" ht="11.25" customHeight="1" x14ac:dyDescent="0.2">
      <c r="A999" s="70" t="s">
        <v>27</v>
      </c>
      <c r="B999" s="70" t="s">
        <v>33</v>
      </c>
      <c r="C999" s="70" t="s">
        <v>23</v>
      </c>
      <c r="D999" s="70" t="s">
        <v>40</v>
      </c>
      <c r="E999" s="70" t="s">
        <v>25</v>
      </c>
      <c r="F999" s="70" t="s">
        <v>25</v>
      </c>
      <c r="G999" s="70" t="s">
        <v>25</v>
      </c>
      <c r="H999" s="70" t="s">
        <v>25</v>
      </c>
      <c r="I999" s="78">
        <v>44652</v>
      </c>
      <c r="J999" s="79">
        <f>EFEITO!$J$999*EFEITO!$Y$999</f>
        <v>0</v>
      </c>
      <c r="K999" s="79">
        <f ca="1">EFEITO!$L$999*EFEITO!$Z$999</f>
        <v>-11693.674080906059</v>
      </c>
      <c r="L999" s="79">
        <f>EFEITO!$N$999*EFEITO!$AA$999</f>
        <v>-7932.0342786104102</v>
      </c>
      <c r="M999" s="79">
        <f>$J$999-EFEITO!$K$999*EFEITO!$Y$999</f>
        <v>0</v>
      </c>
      <c r="N999" s="79">
        <f ca="1">$K$999-EFEITO!$M$999*EFEITO!$Z$999</f>
        <v>0</v>
      </c>
      <c r="O999" s="79">
        <f>$L$999-EFEITO!$O$999*EFEITO!$AA$999</f>
        <v>0</v>
      </c>
      <c r="P999" s="18"/>
      <c r="Q999" s="18"/>
      <c r="R999" s="18"/>
      <c r="S999" s="18"/>
      <c r="T999" s="18"/>
      <c r="U999" s="18"/>
      <c r="V999" s="18"/>
      <c r="W999" s="18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</row>
    <row r="1000" spans="1:36" ht="11.25" customHeight="1" x14ac:dyDescent="0.2">
      <c r="A1000" s="70" t="s">
        <v>28</v>
      </c>
      <c r="B1000" s="70" t="s">
        <v>33</v>
      </c>
      <c r="C1000" s="70" t="s">
        <v>23</v>
      </c>
      <c r="D1000" s="70" t="s">
        <v>40</v>
      </c>
      <c r="E1000" s="70" t="s">
        <v>25</v>
      </c>
      <c r="F1000" s="70" t="s">
        <v>25</v>
      </c>
      <c r="G1000" s="70" t="s">
        <v>25</v>
      </c>
      <c r="H1000" s="70" t="s">
        <v>25</v>
      </c>
      <c r="I1000" s="78">
        <v>44652</v>
      </c>
      <c r="J1000" s="79">
        <f>EFEITO!$J$1000*EFEITO!$Y$1000</f>
        <v>0</v>
      </c>
      <c r="K1000" s="79">
        <f ca="1">EFEITO!$L$1000*EFEITO!$Z$1000</f>
        <v>28203.129439934608</v>
      </c>
      <c r="L1000" s="79">
        <f>EFEITO!$N$1000*EFEITO!$AA$1000</f>
        <v>19130.701602751888</v>
      </c>
      <c r="M1000" s="79">
        <f>$J$1000-EFEITO!$K$1000*EFEITO!$Y$1000</f>
        <v>0</v>
      </c>
      <c r="N1000" s="79">
        <f ca="1">$K$1000-EFEITO!$M$1000*EFEITO!$Z$1000</f>
        <v>0</v>
      </c>
      <c r="O1000" s="79">
        <f>$L$1000-EFEITO!$O$1000*EFEITO!$AA$1000</f>
        <v>0</v>
      </c>
      <c r="P1000" s="18"/>
      <c r="Q1000" s="18"/>
      <c r="R1000" s="18"/>
      <c r="S1000" s="18"/>
      <c r="T1000" s="18"/>
      <c r="U1000" s="18"/>
      <c r="V1000" s="18"/>
      <c r="W1000" s="18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</row>
    <row r="1001" spans="1:36" ht="11.25" customHeight="1" x14ac:dyDescent="0.2">
      <c r="A1001" s="70" t="s">
        <v>21</v>
      </c>
      <c r="B1001" s="70" t="s">
        <v>33</v>
      </c>
      <c r="C1001" s="70" t="s">
        <v>23</v>
      </c>
      <c r="D1001" s="70" t="s">
        <v>40</v>
      </c>
      <c r="E1001" s="70" t="s">
        <v>25</v>
      </c>
      <c r="F1001" s="70" t="s">
        <v>25</v>
      </c>
      <c r="G1001" s="70" t="s">
        <v>25</v>
      </c>
      <c r="H1001" s="70" t="s">
        <v>25</v>
      </c>
      <c r="I1001" s="78">
        <v>44682</v>
      </c>
      <c r="J1001" s="79">
        <f>EFEITO!$J$1001*EFEITO!$Y$1001</f>
        <v>0</v>
      </c>
      <c r="K1001" s="79">
        <f ca="1">EFEITO!$L$1001*EFEITO!$Z$1001</f>
        <v>330610.70351523889</v>
      </c>
      <c r="L1001" s="79">
        <f>EFEITO!$N$1001*EFEITO!$AA$1001</f>
        <v>224259.32303350003</v>
      </c>
      <c r="M1001" s="79">
        <f>$J$1001-EFEITO!$K$1001*EFEITO!$Y$1001</f>
        <v>0</v>
      </c>
      <c r="N1001" s="79">
        <f ca="1">$K$1001-EFEITO!$M$1001*EFEITO!$Z$1001</f>
        <v>0</v>
      </c>
      <c r="O1001" s="79">
        <f>$L$1001-EFEITO!$O$1001*EFEITO!$AA$1001</f>
        <v>0</v>
      </c>
      <c r="P1001" s="18"/>
      <c r="Q1001" s="18"/>
      <c r="R1001" s="18"/>
      <c r="S1001" s="18"/>
      <c r="T1001" s="18"/>
      <c r="U1001" s="18"/>
      <c r="V1001" s="18"/>
      <c r="W1001" s="18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</row>
    <row r="1002" spans="1:36" ht="11.25" customHeight="1" x14ac:dyDescent="0.2">
      <c r="A1002" s="70" t="s">
        <v>27</v>
      </c>
      <c r="B1002" s="70" t="s">
        <v>33</v>
      </c>
      <c r="C1002" s="70" t="s">
        <v>23</v>
      </c>
      <c r="D1002" s="70" t="s">
        <v>40</v>
      </c>
      <c r="E1002" s="70" t="s">
        <v>25</v>
      </c>
      <c r="F1002" s="70" t="s">
        <v>25</v>
      </c>
      <c r="G1002" s="70" t="s">
        <v>25</v>
      </c>
      <c r="H1002" s="70" t="s">
        <v>25</v>
      </c>
      <c r="I1002" s="78">
        <v>44682</v>
      </c>
      <c r="J1002" s="79">
        <f>EFEITO!$J$1002*EFEITO!$Y$1002</f>
        <v>0</v>
      </c>
      <c r="K1002" s="79">
        <f ca="1">EFEITO!$L$1002*EFEITO!$Z$1002</f>
        <v>-3506.2907916488507</v>
      </c>
      <c r="L1002" s="79">
        <f>EFEITO!$N$1002*EFEITO!$AA$1002</f>
        <v>-2378.381555506784</v>
      </c>
      <c r="M1002" s="79">
        <f>$J$1002-EFEITO!$K$1002*EFEITO!$Y$1002</f>
        <v>0</v>
      </c>
      <c r="N1002" s="79">
        <f ca="1">$K$1002-EFEITO!$M$1002*EFEITO!$Z$1002</f>
        <v>0</v>
      </c>
      <c r="O1002" s="79">
        <f>$L$1002-EFEITO!$O$1002*EFEITO!$AA$1002</f>
        <v>0</v>
      </c>
      <c r="P1002" s="18"/>
      <c r="Q1002" s="18"/>
      <c r="R1002" s="18"/>
      <c r="S1002" s="18"/>
      <c r="T1002" s="18"/>
      <c r="U1002" s="18"/>
      <c r="V1002" s="18"/>
      <c r="W1002" s="18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</row>
    <row r="1003" spans="1:36" ht="11.25" customHeight="1" x14ac:dyDescent="0.2">
      <c r="A1003" s="70" t="s">
        <v>28</v>
      </c>
      <c r="B1003" s="70" t="s">
        <v>33</v>
      </c>
      <c r="C1003" s="70" t="s">
        <v>23</v>
      </c>
      <c r="D1003" s="70" t="s">
        <v>40</v>
      </c>
      <c r="E1003" s="70" t="s">
        <v>25</v>
      </c>
      <c r="F1003" s="70" t="s">
        <v>25</v>
      </c>
      <c r="G1003" s="70" t="s">
        <v>25</v>
      </c>
      <c r="H1003" s="70" t="s">
        <v>25</v>
      </c>
      <c r="I1003" s="78">
        <v>44682</v>
      </c>
      <c r="J1003" s="79">
        <f>EFEITO!$J$1003*EFEITO!$Y$1003</f>
        <v>0</v>
      </c>
      <c r="K1003" s="79">
        <f ca="1">EFEITO!$L$1003*EFEITO!$Z$1003</f>
        <v>27323.708118139504</v>
      </c>
      <c r="L1003" s="79">
        <f>EFEITO!$N$1003*EFEITO!$AA$1003</f>
        <v>18534.173939884175</v>
      </c>
      <c r="M1003" s="79">
        <f>$J$1003-EFEITO!$K$1003*EFEITO!$Y$1003</f>
        <v>0</v>
      </c>
      <c r="N1003" s="79">
        <f ca="1">$K$1003-EFEITO!$M$1003*EFEITO!$Z$1003</f>
        <v>0</v>
      </c>
      <c r="O1003" s="79">
        <f>$L$1003-EFEITO!$O$1003*EFEITO!$AA$1003</f>
        <v>0</v>
      </c>
      <c r="P1003" s="18"/>
      <c r="Q1003" s="18"/>
      <c r="R1003" s="18"/>
      <c r="S1003" s="18"/>
      <c r="T1003" s="18"/>
      <c r="U1003" s="18"/>
      <c r="V1003" s="18"/>
      <c r="W1003" s="18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</row>
    <row r="1004" spans="1:36" ht="11.25" customHeight="1" x14ac:dyDescent="0.2">
      <c r="A1004" s="70" t="s">
        <v>21</v>
      </c>
      <c r="B1004" s="70" t="s">
        <v>33</v>
      </c>
      <c r="C1004" s="70" t="s">
        <v>23</v>
      </c>
      <c r="D1004" s="70" t="s">
        <v>40</v>
      </c>
      <c r="E1004" s="70" t="s">
        <v>25</v>
      </c>
      <c r="F1004" s="70" t="s">
        <v>25</v>
      </c>
      <c r="G1004" s="70" t="s">
        <v>25</v>
      </c>
      <c r="H1004" s="70" t="s">
        <v>25</v>
      </c>
      <c r="I1004" s="78">
        <v>44713</v>
      </c>
      <c r="J1004" s="79">
        <f>EFEITO!$J$1004*EFEITO!$Y$1004</f>
        <v>0</v>
      </c>
      <c r="K1004" s="79">
        <f ca="1">EFEITO!$L$1004*EFEITO!$Z$1004</f>
        <v>320813.48252395802</v>
      </c>
      <c r="L1004" s="79">
        <f>EFEITO!$N$1004*EFEITO!$AA$1004</f>
        <v>217613.68777803719</v>
      </c>
      <c r="M1004" s="79">
        <f>$J$1004-EFEITO!$K$1004*EFEITO!$Y$1004</f>
        <v>0</v>
      </c>
      <c r="N1004" s="79">
        <f ca="1">$K$1004-EFEITO!$M$1004*EFEITO!$Z$1004</f>
        <v>0</v>
      </c>
      <c r="O1004" s="79">
        <f>$L$1004-EFEITO!$O$1004*EFEITO!$AA$1004</f>
        <v>0</v>
      </c>
      <c r="P1004" s="18"/>
      <c r="Q1004" s="18"/>
      <c r="R1004" s="18"/>
      <c r="S1004" s="18"/>
      <c r="T1004" s="18"/>
      <c r="U1004" s="18"/>
      <c r="V1004" s="18"/>
      <c r="W1004" s="18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</row>
    <row r="1005" spans="1:36" ht="11.25" customHeight="1" x14ac:dyDescent="0.2">
      <c r="A1005" s="70" t="s">
        <v>27</v>
      </c>
      <c r="B1005" s="70" t="s">
        <v>33</v>
      </c>
      <c r="C1005" s="70" t="s">
        <v>23</v>
      </c>
      <c r="D1005" s="70" t="s">
        <v>40</v>
      </c>
      <c r="E1005" s="70" t="s">
        <v>25</v>
      </c>
      <c r="F1005" s="70" t="s">
        <v>25</v>
      </c>
      <c r="G1005" s="70" t="s">
        <v>25</v>
      </c>
      <c r="H1005" s="70" t="s">
        <v>25</v>
      </c>
      <c r="I1005" s="78">
        <v>44713</v>
      </c>
      <c r="J1005" s="79">
        <f>EFEITO!$J$1005*EFEITO!$Y$1005</f>
        <v>0</v>
      </c>
      <c r="K1005" s="79">
        <f ca="1">EFEITO!$L$1005*EFEITO!$Z$1005</f>
        <v>-758.756535781357</v>
      </c>
      <c r="L1005" s="79">
        <f>EFEITO!$N$1005*EFEITO!$AA$1005</f>
        <v>-514.67851842772427</v>
      </c>
      <c r="M1005" s="79">
        <f>$J$1005-EFEITO!$K$1005*EFEITO!$Y$1005</f>
        <v>0</v>
      </c>
      <c r="N1005" s="79">
        <f ca="1">$K$1005-EFEITO!$M$1005*EFEITO!$Z$1005</f>
        <v>0</v>
      </c>
      <c r="O1005" s="79">
        <f>$L$1005-EFEITO!$O$1005*EFEITO!$AA$1005</f>
        <v>0</v>
      </c>
      <c r="P1005" s="18"/>
      <c r="Q1005" s="18"/>
      <c r="R1005" s="18"/>
      <c r="S1005" s="18"/>
      <c r="T1005" s="18"/>
      <c r="U1005" s="18"/>
      <c r="V1005" s="18"/>
      <c r="W1005" s="18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</row>
    <row r="1006" spans="1:36" ht="11.25" customHeight="1" x14ac:dyDescent="0.2">
      <c r="A1006" s="70" t="s">
        <v>28</v>
      </c>
      <c r="B1006" s="70" t="s">
        <v>33</v>
      </c>
      <c r="C1006" s="70" t="s">
        <v>23</v>
      </c>
      <c r="D1006" s="70" t="s">
        <v>40</v>
      </c>
      <c r="E1006" s="70" t="s">
        <v>25</v>
      </c>
      <c r="F1006" s="70" t="s">
        <v>25</v>
      </c>
      <c r="G1006" s="70" t="s">
        <v>25</v>
      </c>
      <c r="H1006" s="70" t="s">
        <v>25</v>
      </c>
      <c r="I1006" s="78">
        <v>44713</v>
      </c>
      <c r="J1006" s="79">
        <f>EFEITO!$J$1006*EFEITO!$Y$1006</f>
        <v>0</v>
      </c>
      <c r="K1006" s="79">
        <f ca="1">EFEITO!$L$1006*EFEITO!$Z$1006</f>
        <v>30699.984794107684</v>
      </c>
      <c r="L1006" s="79">
        <f>EFEITO!$N$1006*EFEITO!$AA$1006</f>
        <v>20824.364528621478</v>
      </c>
      <c r="M1006" s="79">
        <f>$J$1006-EFEITO!$K$1006*EFEITO!$Y$1006</f>
        <v>0</v>
      </c>
      <c r="N1006" s="79">
        <f ca="1">$K$1006-EFEITO!$M$1006*EFEITO!$Z$1006</f>
        <v>0</v>
      </c>
      <c r="O1006" s="79">
        <f>$L$1006-EFEITO!$O$1006*EFEITO!$AA$1006</f>
        <v>0</v>
      </c>
      <c r="P1006" s="18"/>
      <c r="Q1006" s="18"/>
      <c r="R1006" s="18"/>
      <c r="S1006" s="18"/>
      <c r="T1006" s="18"/>
      <c r="U1006" s="18"/>
      <c r="V1006" s="18"/>
      <c r="W1006" s="18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</row>
    <row r="1007" spans="1:36" ht="11.25" customHeight="1" x14ac:dyDescent="0.2">
      <c r="A1007" s="70" t="s">
        <v>21</v>
      </c>
      <c r="B1007" s="70" t="s">
        <v>33</v>
      </c>
      <c r="C1007" s="70" t="s">
        <v>23</v>
      </c>
      <c r="D1007" s="70" t="s">
        <v>49</v>
      </c>
      <c r="E1007" s="70" t="s">
        <v>25</v>
      </c>
      <c r="F1007" s="70" t="s">
        <v>25</v>
      </c>
      <c r="G1007" s="70" t="s">
        <v>25</v>
      </c>
      <c r="H1007" s="70" t="s">
        <v>25</v>
      </c>
      <c r="I1007" s="78">
        <v>44378</v>
      </c>
      <c r="J1007" s="79">
        <f>EFEITO!$J$1007*EFEITO!$Y$1007</f>
        <v>0</v>
      </c>
      <c r="K1007" s="79">
        <f ca="1">EFEITO!$L$1007*EFEITO!$Z$1007</f>
        <v>4865.7417585301191</v>
      </c>
      <c r="L1007" s="79">
        <f>EFEITO!$N$1007*EFEITO!$AA$1007</f>
        <v>3300.5221586042817</v>
      </c>
      <c r="M1007" s="79">
        <f>$J$1007-EFEITO!$K$1007*EFEITO!$Y$1007</f>
        <v>0</v>
      </c>
      <c r="N1007" s="79">
        <f ca="1">$K$1007-EFEITO!$M$1007*EFEITO!$Z$1007</f>
        <v>0</v>
      </c>
      <c r="O1007" s="79">
        <f>$L$1007-EFEITO!$O$1007*EFEITO!$AA$1007</f>
        <v>0</v>
      </c>
      <c r="P1007" s="18"/>
      <c r="Q1007" s="18"/>
      <c r="R1007" s="18"/>
      <c r="S1007" s="18"/>
      <c r="T1007" s="18"/>
      <c r="U1007" s="18"/>
      <c r="V1007" s="18"/>
      <c r="W1007" s="18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</row>
    <row r="1008" spans="1:36" ht="11.25" customHeight="1" x14ac:dyDescent="0.2">
      <c r="A1008" s="70" t="s">
        <v>21</v>
      </c>
      <c r="B1008" s="70" t="s">
        <v>33</v>
      </c>
      <c r="C1008" s="70" t="s">
        <v>23</v>
      </c>
      <c r="D1008" s="70" t="s">
        <v>49</v>
      </c>
      <c r="E1008" s="70" t="s">
        <v>25</v>
      </c>
      <c r="F1008" s="70" t="s">
        <v>25</v>
      </c>
      <c r="G1008" s="70" t="s">
        <v>25</v>
      </c>
      <c r="H1008" s="70" t="s">
        <v>25</v>
      </c>
      <c r="I1008" s="78">
        <v>44409</v>
      </c>
      <c r="J1008" s="79">
        <f>EFEITO!$J$1008*EFEITO!$Y$1008</f>
        <v>0</v>
      </c>
      <c r="K1008" s="79">
        <f ca="1">EFEITO!$L$1008*EFEITO!$Z$1008</f>
        <v>5121.0953250579996</v>
      </c>
      <c r="L1008" s="79">
        <f>EFEITO!$N$1008*EFEITO!$AA$1008</f>
        <v>3473.7331809784946</v>
      </c>
      <c r="M1008" s="79">
        <f>$J$1008-EFEITO!$K$1008*EFEITO!$Y$1008</f>
        <v>0</v>
      </c>
      <c r="N1008" s="79">
        <f ca="1">$K$1008-EFEITO!$M$1008*EFEITO!$Z$1008</f>
        <v>0</v>
      </c>
      <c r="O1008" s="79">
        <f>$L$1008-EFEITO!$O$1008*EFEITO!$AA$1008</f>
        <v>0</v>
      </c>
      <c r="P1008" s="18"/>
      <c r="Q1008" s="18"/>
      <c r="R1008" s="18"/>
      <c r="S1008" s="18"/>
      <c r="T1008" s="18"/>
      <c r="U1008" s="18"/>
      <c r="V1008" s="18"/>
      <c r="W1008" s="18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</row>
    <row r="1009" spans="1:36" ht="11.25" customHeight="1" x14ac:dyDescent="0.2">
      <c r="A1009" s="70" t="s">
        <v>21</v>
      </c>
      <c r="B1009" s="70" t="s">
        <v>33</v>
      </c>
      <c r="C1009" s="70" t="s">
        <v>23</v>
      </c>
      <c r="D1009" s="70" t="s">
        <v>49</v>
      </c>
      <c r="E1009" s="70" t="s">
        <v>25</v>
      </c>
      <c r="F1009" s="70" t="s">
        <v>25</v>
      </c>
      <c r="G1009" s="70" t="s">
        <v>25</v>
      </c>
      <c r="H1009" s="70" t="s">
        <v>25</v>
      </c>
      <c r="I1009" s="78">
        <v>44440</v>
      </c>
      <c r="J1009" s="79">
        <f>EFEITO!$J$1009*EFEITO!$Y$1009</f>
        <v>0</v>
      </c>
      <c r="K1009" s="79">
        <f ca="1">EFEITO!$L$1009*EFEITO!$Z$1009</f>
        <v>5497.6980107038107</v>
      </c>
      <c r="L1009" s="79">
        <f>EFEITO!$N$1009*EFEITO!$AA$1009</f>
        <v>3729.1897116882892</v>
      </c>
      <c r="M1009" s="79">
        <f>$J$1009-EFEITO!$K$1009*EFEITO!$Y$1009</f>
        <v>0</v>
      </c>
      <c r="N1009" s="79">
        <f ca="1">$K$1009-EFEITO!$M$1009*EFEITO!$Z$1009</f>
        <v>0</v>
      </c>
      <c r="O1009" s="79">
        <f>$L$1009-EFEITO!$O$1009*EFEITO!$AA$1009</f>
        <v>0</v>
      </c>
      <c r="P1009" s="18"/>
      <c r="Q1009" s="18"/>
      <c r="R1009" s="18"/>
      <c r="S1009" s="18"/>
      <c r="T1009" s="18"/>
      <c r="U1009" s="18"/>
      <c r="V1009" s="18"/>
      <c r="W1009" s="18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</row>
    <row r="1010" spans="1:36" ht="11.25" customHeight="1" x14ac:dyDescent="0.2">
      <c r="A1010" s="70" t="s">
        <v>21</v>
      </c>
      <c r="B1010" s="70" t="s">
        <v>33</v>
      </c>
      <c r="C1010" s="70" t="s">
        <v>23</v>
      </c>
      <c r="D1010" s="70" t="s">
        <v>49</v>
      </c>
      <c r="E1010" s="70" t="s">
        <v>25</v>
      </c>
      <c r="F1010" s="70" t="s">
        <v>25</v>
      </c>
      <c r="G1010" s="70" t="s">
        <v>25</v>
      </c>
      <c r="H1010" s="70" t="s">
        <v>25</v>
      </c>
      <c r="I1010" s="78">
        <v>44470</v>
      </c>
      <c r="J1010" s="79">
        <f>EFEITO!$J$1010*EFEITO!$Y$1010</f>
        <v>0</v>
      </c>
      <c r="K1010" s="79">
        <f ca="1">EFEITO!$L$1010*EFEITO!$Z$1010</f>
        <v>5367.6838950231386</v>
      </c>
      <c r="L1010" s="79">
        <f>EFEITO!$N$1010*EFEITO!$AA$1010</f>
        <v>3640.9987449188102</v>
      </c>
      <c r="M1010" s="79">
        <f>$J$1010-EFEITO!$K$1010*EFEITO!$Y$1010</f>
        <v>0</v>
      </c>
      <c r="N1010" s="79">
        <f ca="1">$K$1010-EFEITO!$M$1010*EFEITO!$Z$1010</f>
        <v>0</v>
      </c>
      <c r="O1010" s="79">
        <f>$L$1010-EFEITO!$O$1010*EFEITO!$AA$1010</f>
        <v>0</v>
      </c>
      <c r="P1010" s="18"/>
      <c r="Q1010" s="18"/>
      <c r="R1010" s="18"/>
      <c r="S1010" s="18"/>
      <c r="T1010" s="18"/>
      <c r="U1010" s="18"/>
      <c r="V1010" s="18"/>
      <c r="W1010" s="18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</row>
    <row r="1011" spans="1:36" ht="11.25" customHeight="1" x14ac:dyDescent="0.2">
      <c r="A1011" s="70" t="s">
        <v>21</v>
      </c>
      <c r="B1011" s="70" t="s">
        <v>33</v>
      </c>
      <c r="C1011" s="70" t="s">
        <v>23</v>
      </c>
      <c r="D1011" s="70" t="s">
        <v>49</v>
      </c>
      <c r="E1011" s="70" t="s">
        <v>25</v>
      </c>
      <c r="F1011" s="70" t="s">
        <v>25</v>
      </c>
      <c r="G1011" s="70" t="s">
        <v>25</v>
      </c>
      <c r="H1011" s="70" t="s">
        <v>25</v>
      </c>
      <c r="I1011" s="78">
        <v>44501</v>
      </c>
      <c r="J1011" s="79">
        <f>EFEITO!$J$1011*EFEITO!$Y$1011</f>
        <v>0</v>
      </c>
      <c r="K1011" s="79">
        <f ca="1">EFEITO!$L$1011*EFEITO!$Z$1011</f>
        <v>5739.9040823875785</v>
      </c>
      <c r="L1011" s="79">
        <f>EFEITO!$N$1011*EFEITO!$AA$1011</f>
        <v>3893.4825464116561</v>
      </c>
      <c r="M1011" s="79">
        <f>$J$1011-EFEITO!$K$1011*EFEITO!$Y$1011</f>
        <v>0</v>
      </c>
      <c r="N1011" s="79">
        <f ca="1">$K$1011-EFEITO!$M$1011*EFEITO!$Z$1011</f>
        <v>0</v>
      </c>
      <c r="O1011" s="79">
        <f>$L$1011-EFEITO!$O$1011*EFEITO!$AA$1011</f>
        <v>0</v>
      </c>
      <c r="P1011" s="18"/>
      <c r="Q1011" s="18"/>
      <c r="R1011" s="18"/>
      <c r="S1011" s="18"/>
      <c r="T1011" s="18"/>
      <c r="U1011" s="18"/>
      <c r="V1011" s="18"/>
      <c r="W1011" s="18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</row>
    <row r="1012" spans="1:36" ht="11.25" customHeight="1" x14ac:dyDescent="0.2">
      <c r="A1012" s="70" t="s">
        <v>21</v>
      </c>
      <c r="B1012" s="70" t="s">
        <v>33</v>
      </c>
      <c r="C1012" s="70" t="s">
        <v>23</v>
      </c>
      <c r="D1012" s="70" t="s">
        <v>49</v>
      </c>
      <c r="E1012" s="70" t="s">
        <v>25</v>
      </c>
      <c r="F1012" s="70" t="s">
        <v>25</v>
      </c>
      <c r="G1012" s="70" t="s">
        <v>25</v>
      </c>
      <c r="H1012" s="70" t="s">
        <v>25</v>
      </c>
      <c r="I1012" s="78">
        <v>44531</v>
      </c>
      <c r="J1012" s="79">
        <f>EFEITO!$J$1012*EFEITO!$Y$1012</f>
        <v>0</v>
      </c>
      <c r="K1012" s="79">
        <f ca="1">EFEITO!$L$1012*EFEITO!$Z$1012</f>
        <v>5836.9033776819224</v>
      </c>
      <c r="L1012" s="79">
        <f>EFEITO!$N$1012*EFEITO!$AA$1012</f>
        <v>3959.2789530801215</v>
      </c>
      <c r="M1012" s="79">
        <f>$J$1012-EFEITO!$K$1012*EFEITO!$Y$1012</f>
        <v>0</v>
      </c>
      <c r="N1012" s="79">
        <f ca="1">$K$1012-EFEITO!$M$1012*EFEITO!$Z$1012</f>
        <v>0</v>
      </c>
      <c r="O1012" s="79">
        <f>$L$1012-EFEITO!$O$1012*EFEITO!$AA$1012</f>
        <v>0</v>
      </c>
      <c r="P1012" s="18"/>
      <c r="Q1012" s="18"/>
      <c r="R1012" s="18"/>
      <c r="S1012" s="18"/>
      <c r="T1012" s="18"/>
      <c r="U1012" s="18"/>
      <c r="V1012" s="18"/>
      <c r="W1012" s="18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</row>
    <row r="1013" spans="1:36" ht="11.25" customHeight="1" x14ac:dyDescent="0.2">
      <c r="A1013" s="70" t="s">
        <v>21</v>
      </c>
      <c r="B1013" s="70" t="s">
        <v>33</v>
      </c>
      <c r="C1013" s="70" t="s">
        <v>23</v>
      </c>
      <c r="D1013" s="70" t="s">
        <v>49</v>
      </c>
      <c r="E1013" s="70" t="s">
        <v>25</v>
      </c>
      <c r="F1013" s="70" t="s">
        <v>25</v>
      </c>
      <c r="G1013" s="70" t="s">
        <v>25</v>
      </c>
      <c r="H1013" s="70" t="s">
        <v>25</v>
      </c>
      <c r="I1013" s="78">
        <v>44562</v>
      </c>
      <c r="J1013" s="79">
        <f>EFEITO!$J$1013*EFEITO!$Y$1013</f>
        <v>0</v>
      </c>
      <c r="K1013" s="79">
        <f ca="1">EFEITO!$L$1013*EFEITO!$Z$1013</f>
        <v>7271.1489818985883</v>
      </c>
      <c r="L1013" s="79">
        <f>EFEITO!$N$1013*EFEITO!$AA$1013</f>
        <v>4932.1541348135443</v>
      </c>
      <c r="M1013" s="79">
        <f>$J$1013-EFEITO!$K$1013*EFEITO!$Y$1013</f>
        <v>0</v>
      </c>
      <c r="N1013" s="79">
        <f ca="1">$K$1013-EFEITO!$M$1013*EFEITO!$Z$1013</f>
        <v>0</v>
      </c>
      <c r="O1013" s="79">
        <f>$L$1013-EFEITO!$O$1013*EFEITO!$AA$1013</f>
        <v>0</v>
      </c>
      <c r="P1013" s="18"/>
      <c r="Q1013" s="18"/>
      <c r="R1013" s="18"/>
      <c r="S1013" s="18"/>
      <c r="T1013" s="18"/>
      <c r="U1013" s="18"/>
      <c r="V1013" s="18"/>
      <c r="W1013" s="18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</row>
    <row r="1014" spans="1:36" ht="11.25" customHeight="1" x14ac:dyDescent="0.2">
      <c r="A1014" s="70" t="s">
        <v>21</v>
      </c>
      <c r="B1014" s="70" t="s">
        <v>33</v>
      </c>
      <c r="C1014" s="70" t="s">
        <v>23</v>
      </c>
      <c r="D1014" s="70" t="s">
        <v>49</v>
      </c>
      <c r="E1014" s="70" t="s">
        <v>25</v>
      </c>
      <c r="F1014" s="70" t="s">
        <v>25</v>
      </c>
      <c r="G1014" s="70" t="s">
        <v>25</v>
      </c>
      <c r="H1014" s="70" t="s">
        <v>25</v>
      </c>
      <c r="I1014" s="78">
        <v>44593</v>
      </c>
      <c r="J1014" s="79">
        <f>EFEITO!$J$1014*EFEITO!$Y$1014</f>
        <v>0</v>
      </c>
      <c r="K1014" s="79">
        <f ca="1">EFEITO!$L$1014*EFEITO!$Z$1014</f>
        <v>7101.9845482376695</v>
      </c>
      <c r="L1014" s="79">
        <f>EFEITO!$N$1014*EFEITO!$AA$1014</f>
        <v>4817.4067870393228</v>
      </c>
      <c r="M1014" s="79">
        <f>$J$1014-EFEITO!$K$1014*EFEITO!$Y$1014</f>
        <v>0</v>
      </c>
      <c r="N1014" s="79">
        <f ca="1">$K$1014-EFEITO!$M$1014*EFEITO!$Z$1014</f>
        <v>0</v>
      </c>
      <c r="O1014" s="79">
        <f>$L$1014-EFEITO!$O$1014*EFEITO!$AA$1014</f>
        <v>0</v>
      </c>
      <c r="P1014" s="18"/>
      <c r="Q1014" s="18"/>
      <c r="R1014" s="18"/>
      <c r="S1014" s="18"/>
      <c r="T1014" s="18"/>
      <c r="U1014" s="18"/>
      <c r="V1014" s="18"/>
      <c r="W1014" s="18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</row>
    <row r="1015" spans="1:36" ht="11.25" customHeight="1" x14ac:dyDescent="0.2">
      <c r="A1015" s="70" t="s">
        <v>21</v>
      </c>
      <c r="B1015" s="70" t="s">
        <v>33</v>
      </c>
      <c r="C1015" s="70" t="s">
        <v>23</v>
      </c>
      <c r="D1015" s="70" t="s">
        <v>49</v>
      </c>
      <c r="E1015" s="70" t="s">
        <v>25</v>
      </c>
      <c r="F1015" s="70" t="s">
        <v>25</v>
      </c>
      <c r="G1015" s="70" t="s">
        <v>25</v>
      </c>
      <c r="H1015" s="70" t="s">
        <v>25</v>
      </c>
      <c r="I1015" s="78">
        <v>44621</v>
      </c>
      <c r="J1015" s="79">
        <f>EFEITO!$J$1015*EFEITO!$Y$1015</f>
        <v>0</v>
      </c>
      <c r="K1015" s="79">
        <f ca="1">EFEITO!$L$1015*EFEITO!$Z$1015</f>
        <v>5625.0826274156589</v>
      </c>
      <c r="L1015" s="79">
        <f>EFEITO!$N$1015*EFEITO!$AA$1015</f>
        <v>3815.5970409275992</v>
      </c>
      <c r="M1015" s="79">
        <f>$J$1015-EFEITO!$K$1015*EFEITO!$Y$1015</f>
        <v>0</v>
      </c>
      <c r="N1015" s="79">
        <f ca="1">$K$1015-EFEITO!$M$1015*EFEITO!$Z$1015</f>
        <v>0</v>
      </c>
      <c r="O1015" s="79">
        <f>$L$1015-EFEITO!$O$1015*EFEITO!$AA$1015</f>
        <v>0</v>
      </c>
      <c r="P1015" s="18"/>
      <c r="Q1015" s="18"/>
      <c r="R1015" s="18"/>
      <c r="S1015" s="18"/>
      <c r="T1015" s="18"/>
      <c r="U1015" s="18"/>
      <c r="V1015" s="18"/>
      <c r="W1015" s="18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</row>
    <row r="1016" spans="1:36" ht="11.25" customHeight="1" x14ac:dyDescent="0.2">
      <c r="A1016" s="70" t="s">
        <v>21</v>
      </c>
      <c r="B1016" s="70" t="s">
        <v>33</v>
      </c>
      <c r="C1016" s="70" t="s">
        <v>23</v>
      </c>
      <c r="D1016" s="70" t="s">
        <v>49</v>
      </c>
      <c r="E1016" s="70" t="s">
        <v>25</v>
      </c>
      <c r="F1016" s="70" t="s">
        <v>25</v>
      </c>
      <c r="G1016" s="70" t="s">
        <v>25</v>
      </c>
      <c r="H1016" s="70" t="s">
        <v>25</v>
      </c>
      <c r="I1016" s="78">
        <v>44652</v>
      </c>
      <c r="J1016" s="79">
        <f>EFEITO!$J$1016*EFEITO!$Y$1016</f>
        <v>0</v>
      </c>
      <c r="K1016" s="79">
        <f ca="1">EFEITO!$L$1016*EFEITO!$Z$1016</f>
        <v>5856.1863701199545</v>
      </c>
      <c r="L1016" s="79">
        <f>EFEITO!$N$1016*EFEITO!$AA$1016</f>
        <v>3972.3589616346958</v>
      </c>
      <c r="M1016" s="79">
        <f>$J$1016-EFEITO!$K$1016*EFEITO!$Y$1016</f>
        <v>0</v>
      </c>
      <c r="N1016" s="79">
        <f ca="1">$K$1016-EFEITO!$M$1016*EFEITO!$Z$1016</f>
        <v>0</v>
      </c>
      <c r="O1016" s="79">
        <f>$L$1016-EFEITO!$O$1016*EFEITO!$AA$1016</f>
        <v>0</v>
      </c>
      <c r="P1016" s="18"/>
      <c r="Q1016" s="18"/>
      <c r="R1016" s="18"/>
      <c r="S1016" s="18"/>
      <c r="T1016" s="18"/>
      <c r="U1016" s="18"/>
      <c r="V1016" s="18"/>
      <c r="W1016" s="18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</row>
    <row r="1017" spans="1:36" ht="11.25" customHeight="1" x14ac:dyDescent="0.2">
      <c r="A1017" s="70" t="s">
        <v>21</v>
      </c>
      <c r="B1017" s="70" t="s">
        <v>33</v>
      </c>
      <c r="C1017" s="70" t="s">
        <v>23</v>
      </c>
      <c r="D1017" s="70" t="s">
        <v>49</v>
      </c>
      <c r="E1017" s="70" t="s">
        <v>25</v>
      </c>
      <c r="F1017" s="70" t="s">
        <v>25</v>
      </c>
      <c r="G1017" s="70" t="s">
        <v>25</v>
      </c>
      <c r="H1017" s="70" t="s">
        <v>25</v>
      </c>
      <c r="I1017" s="78">
        <v>44682</v>
      </c>
      <c r="J1017" s="79">
        <f>EFEITO!$J$1017*EFEITO!$Y$1017</f>
        <v>0</v>
      </c>
      <c r="K1017" s="79">
        <f ca="1">EFEITO!$L$1017*EFEITO!$Z$1017</f>
        <v>5120.8031585059089</v>
      </c>
      <c r="L1017" s="79">
        <f>EFEITO!$N$1017*EFEITO!$AA$1017</f>
        <v>3473.5349990306981</v>
      </c>
      <c r="M1017" s="79">
        <f>$J$1017-EFEITO!$K$1017*EFEITO!$Y$1017</f>
        <v>0</v>
      </c>
      <c r="N1017" s="79">
        <f ca="1">$K$1017-EFEITO!$M$1017*EFEITO!$Z$1017</f>
        <v>0</v>
      </c>
      <c r="O1017" s="79">
        <f>$L$1017-EFEITO!$O$1017*EFEITO!$AA$1017</f>
        <v>0</v>
      </c>
      <c r="P1017" s="18"/>
      <c r="Q1017" s="18"/>
      <c r="R1017" s="18"/>
      <c r="S1017" s="18"/>
      <c r="T1017" s="18"/>
      <c r="U1017" s="18"/>
      <c r="V1017" s="18"/>
      <c r="W1017" s="18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</row>
    <row r="1018" spans="1:36" ht="11.25" customHeight="1" x14ac:dyDescent="0.2">
      <c r="A1018" s="70" t="s">
        <v>21</v>
      </c>
      <c r="B1018" s="70" t="s">
        <v>33</v>
      </c>
      <c r="C1018" s="70" t="s">
        <v>23</v>
      </c>
      <c r="D1018" s="70" t="s">
        <v>49</v>
      </c>
      <c r="E1018" s="70" t="s">
        <v>25</v>
      </c>
      <c r="F1018" s="70" t="s">
        <v>25</v>
      </c>
      <c r="G1018" s="70" t="s">
        <v>25</v>
      </c>
      <c r="H1018" s="70" t="s">
        <v>25</v>
      </c>
      <c r="I1018" s="78">
        <v>44713</v>
      </c>
      <c r="J1018" s="79">
        <f>EFEITO!$J$1018*EFEITO!$Y$1018</f>
        <v>0</v>
      </c>
      <c r="K1018" s="79">
        <f ca="1">EFEITO!$L$1018*EFEITO!$Z$1018</f>
        <v>5748.9612455024117</v>
      </c>
      <c r="L1018" s="79">
        <f>EFEITO!$N$1018*EFEITO!$AA$1018</f>
        <v>3899.6261867933499</v>
      </c>
      <c r="M1018" s="79">
        <f>$J$1018-EFEITO!$K$1018*EFEITO!$Y$1018</f>
        <v>0</v>
      </c>
      <c r="N1018" s="79">
        <f ca="1">$K$1018-EFEITO!$M$1018*EFEITO!$Z$1018</f>
        <v>0</v>
      </c>
      <c r="O1018" s="79">
        <f>$L$1018-EFEITO!$O$1018*EFEITO!$AA$1018</f>
        <v>0</v>
      </c>
      <c r="P1018" s="18"/>
      <c r="Q1018" s="18"/>
      <c r="R1018" s="18"/>
      <c r="S1018" s="18"/>
      <c r="T1018" s="18"/>
      <c r="U1018" s="18"/>
      <c r="V1018" s="18"/>
      <c r="W1018" s="18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</row>
    <row r="1019" spans="1:36" ht="11.25" customHeight="1" x14ac:dyDescent="0.2">
      <c r="A1019" s="70" t="s">
        <v>21</v>
      </c>
      <c r="B1019" s="70" t="s">
        <v>33</v>
      </c>
      <c r="C1019" s="70" t="s">
        <v>23</v>
      </c>
      <c r="D1019" s="70" t="s">
        <v>34</v>
      </c>
      <c r="E1019" s="70" t="s">
        <v>25</v>
      </c>
      <c r="F1019" s="70" t="s">
        <v>25</v>
      </c>
      <c r="G1019" s="70" t="s">
        <v>25</v>
      </c>
      <c r="H1019" s="70" t="s">
        <v>25</v>
      </c>
      <c r="I1019" s="78">
        <v>44378</v>
      </c>
      <c r="J1019" s="79">
        <f>EFEITO!$J$1019*EFEITO!$Y$1019</f>
        <v>0</v>
      </c>
      <c r="K1019" s="79">
        <f ca="1">EFEITO!$L$1019*EFEITO!$Z$1019</f>
        <v>96811.140034796816</v>
      </c>
      <c r="L1019" s="79">
        <f>EFEITO!$N$1019*EFEITO!$AA$1019</f>
        <v>65668.777494084323</v>
      </c>
      <c r="M1019" s="79">
        <f>$J$1019-EFEITO!$K$1019*EFEITO!$Y$1019</f>
        <v>0</v>
      </c>
      <c r="N1019" s="79">
        <f ca="1">$K$1019-EFEITO!$M$1019*EFEITO!$Z$1019</f>
        <v>0</v>
      </c>
      <c r="O1019" s="79">
        <f>$L$1019-EFEITO!$O$1019*EFEITO!$AA$1019</f>
        <v>0</v>
      </c>
      <c r="P1019" s="18"/>
      <c r="Q1019" s="18"/>
      <c r="R1019" s="18"/>
      <c r="S1019" s="18"/>
      <c r="T1019" s="18"/>
      <c r="U1019" s="18"/>
      <c r="V1019" s="18"/>
      <c r="W1019" s="18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</row>
    <row r="1020" spans="1:36" ht="11.25" customHeight="1" x14ac:dyDescent="0.2">
      <c r="A1020" s="70" t="s">
        <v>27</v>
      </c>
      <c r="B1020" s="70" t="s">
        <v>33</v>
      </c>
      <c r="C1020" s="70" t="s">
        <v>23</v>
      </c>
      <c r="D1020" s="70" t="s">
        <v>34</v>
      </c>
      <c r="E1020" s="70" t="s">
        <v>25</v>
      </c>
      <c r="F1020" s="70" t="s">
        <v>25</v>
      </c>
      <c r="G1020" s="70" t="s">
        <v>25</v>
      </c>
      <c r="H1020" s="70" t="s">
        <v>25</v>
      </c>
      <c r="I1020" s="78">
        <v>44378</v>
      </c>
      <c r="J1020" s="79">
        <f>EFEITO!$J$1020*EFEITO!$Y$1020</f>
        <v>0</v>
      </c>
      <c r="K1020" s="79">
        <f ca="1">EFEITO!$L$1020*EFEITO!$Z$1020</f>
        <v>-260.61256446552579</v>
      </c>
      <c r="L1020" s="79">
        <f>EFEITO!$N$1020*EFEITO!$AA$1020</f>
        <v>-176.77829743455143</v>
      </c>
      <c r="M1020" s="79">
        <f>$J$1020-EFEITO!$K$1020*EFEITO!$Y$1020</f>
        <v>0</v>
      </c>
      <c r="N1020" s="79">
        <f ca="1">$K$1020-EFEITO!$M$1020*EFEITO!$Z$1020</f>
        <v>0</v>
      </c>
      <c r="O1020" s="79">
        <f>$L$1020-EFEITO!$O$1020*EFEITO!$AA$1020</f>
        <v>0</v>
      </c>
      <c r="P1020" s="18"/>
      <c r="Q1020" s="18"/>
      <c r="R1020" s="18"/>
      <c r="S1020" s="18"/>
      <c r="T1020" s="18"/>
      <c r="U1020" s="18"/>
      <c r="V1020" s="18"/>
      <c r="W1020" s="18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</row>
    <row r="1021" spans="1:36" ht="11.25" customHeight="1" x14ac:dyDescent="0.2">
      <c r="A1021" s="70" t="s">
        <v>28</v>
      </c>
      <c r="B1021" s="70" t="s">
        <v>33</v>
      </c>
      <c r="C1021" s="70" t="s">
        <v>23</v>
      </c>
      <c r="D1021" s="70" t="s">
        <v>34</v>
      </c>
      <c r="E1021" s="70" t="s">
        <v>25</v>
      </c>
      <c r="F1021" s="70" t="s">
        <v>25</v>
      </c>
      <c r="G1021" s="70" t="s">
        <v>25</v>
      </c>
      <c r="H1021" s="70" t="s">
        <v>25</v>
      </c>
      <c r="I1021" s="78">
        <v>44378</v>
      </c>
      <c r="J1021" s="79">
        <f>EFEITO!$J$1021*EFEITO!$Y$1021</f>
        <v>0</v>
      </c>
      <c r="K1021" s="79">
        <f ca="1">EFEITO!$L$1021*EFEITO!$Z$1021</f>
        <v>18623.280363409802</v>
      </c>
      <c r="L1021" s="79">
        <f>EFEITO!$N$1021*EFEITO!$AA$1021</f>
        <v>12632.513716449748</v>
      </c>
      <c r="M1021" s="79">
        <f>$J$1021-EFEITO!$K$1021*EFEITO!$Y$1021</f>
        <v>0</v>
      </c>
      <c r="N1021" s="79">
        <f ca="1">$K$1021-EFEITO!$M$1021*EFEITO!$Z$1021</f>
        <v>0</v>
      </c>
      <c r="O1021" s="79">
        <f>$L$1021-EFEITO!$O$1021*EFEITO!$AA$1021</f>
        <v>0</v>
      </c>
      <c r="P1021" s="18"/>
      <c r="Q1021" s="18"/>
      <c r="R1021" s="18"/>
      <c r="S1021" s="18"/>
      <c r="T1021" s="18"/>
      <c r="U1021" s="18"/>
      <c r="V1021" s="18"/>
      <c r="W1021" s="18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</row>
    <row r="1022" spans="1:36" ht="11.25" customHeight="1" x14ac:dyDescent="0.2">
      <c r="A1022" s="70" t="s">
        <v>21</v>
      </c>
      <c r="B1022" s="70" t="s">
        <v>33</v>
      </c>
      <c r="C1022" s="70" t="s">
        <v>23</v>
      </c>
      <c r="D1022" s="70" t="s">
        <v>34</v>
      </c>
      <c r="E1022" s="70" t="s">
        <v>25</v>
      </c>
      <c r="F1022" s="70" t="s">
        <v>25</v>
      </c>
      <c r="G1022" s="70" t="s">
        <v>25</v>
      </c>
      <c r="H1022" s="70" t="s">
        <v>25</v>
      </c>
      <c r="I1022" s="78">
        <v>44409</v>
      </c>
      <c r="J1022" s="79">
        <f>EFEITO!$J$1022*EFEITO!$Y$1022</f>
        <v>0</v>
      </c>
      <c r="K1022" s="79">
        <f ca="1">EFEITO!$L$1022*EFEITO!$Z$1022</f>
        <v>109489.41539625089</v>
      </c>
      <c r="L1022" s="79">
        <f>EFEITO!$N$1022*EFEITO!$AA$1022</f>
        <v>74268.684936769219</v>
      </c>
      <c r="M1022" s="79">
        <f>$J$1022-EFEITO!$K$1022*EFEITO!$Y$1022</f>
        <v>0</v>
      </c>
      <c r="N1022" s="79">
        <f ca="1">$K$1022-EFEITO!$M$1022*EFEITO!$Z$1022</f>
        <v>0</v>
      </c>
      <c r="O1022" s="79">
        <f>$L$1022-EFEITO!$O$1022*EFEITO!$AA$1022</f>
        <v>0</v>
      </c>
      <c r="P1022" s="18"/>
      <c r="Q1022" s="18"/>
      <c r="R1022" s="18"/>
      <c r="S1022" s="18"/>
      <c r="T1022" s="18"/>
      <c r="U1022" s="18"/>
      <c r="V1022" s="18"/>
      <c r="W1022" s="18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</row>
    <row r="1023" spans="1:36" ht="11.25" customHeight="1" x14ac:dyDescent="0.2">
      <c r="A1023" s="70" t="s">
        <v>27</v>
      </c>
      <c r="B1023" s="70" t="s">
        <v>33</v>
      </c>
      <c r="C1023" s="70" t="s">
        <v>23</v>
      </c>
      <c r="D1023" s="70" t="s">
        <v>34</v>
      </c>
      <c r="E1023" s="70" t="s">
        <v>25</v>
      </c>
      <c r="F1023" s="70" t="s">
        <v>25</v>
      </c>
      <c r="G1023" s="70" t="s">
        <v>25</v>
      </c>
      <c r="H1023" s="70" t="s">
        <v>25</v>
      </c>
      <c r="I1023" s="78">
        <v>44409</v>
      </c>
      <c r="J1023" s="79">
        <f>EFEITO!$J$1023*EFEITO!$Y$1023</f>
        <v>0</v>
      </c>
      <c r="K1023" s="79">
        <f ca="1">EFEITO!$L$1023*EFEITO!$Z$1023</f>
        <v>-8.7649965627418975</v>
      </c>
      <c r="L1023" s="79">
        <f>EFEITO!$N$1023*EFEITO!$AA$1023</f>
        <v>-5.9454584338974694</v>
      </c>
      <c r="M1023" s="79">
        <f>$J$1023-EFEITO!$K$1023*EFEITO!$Y$1023</f>
        <v>0</v>
      </c>
      <c r="N1023" s="79">
        <f ca="1">$K$1023-EFEITO!$M$1023*EFEITO!$Z$1023</f>
        <v>0</v>
      </c>
      <c r="O1023" s="79">
        <f>$L$1023-EFEITO!$O$1023*EFEITO!$AA$1023</f>
        <v>0</v>
      </c>
      <c r="P1023" s="18"/>
      <c r="Q1023" s="18"/>
      <c r="R1023" s="18"/>
      <c r="S1023" s="18"/>
      <c r="T1023" s="18"/>
      <c r="U1023" s="18"/>
      <c r="V1023" s="18"/>
      <c r="W1023" s="18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</row>
    <row r="1024" spans="1:36" ht="11.25" customHeight="1" x14ac:dyDescent="0.2">
      <c r="A1024" s="70" t="s">
        <v>28</v>
      </c>
      <c r="B1024" s="70" t="s">
        <v>33</v>
      </c>
      <c r="C1024" s="70" t="s">
        <v>23</v>
      </c>
      <c r="D1024" s="70" t="s">
        <v>34</v>
      </c>
      <c r="E1024" s="70" t="s">
        <v>25</v>
      </c>
      <c r="F1024" s="70" t="s">
        <v>25</v>
      </c>
      <c r="G1024" s="70" t="s">
        <v>25</v>
      </c>
      <c r="H1024" s="70" t="s">
        <v>25</v>
      </c>
      <c r="I1024" s="78">
        <v>44409</v>
      </c>
      <c r="J1024" s="79">
        <f>EFEITO!$J$1024*EFEITO!$Y$1024</f>
        <v>0</v>
      </c>
      <c r="K1024" s="79">
        <f ca="1">EFEITO!$L$1024*EFEITO!$Z$1024</f>
        <v>17980.51394880873</v>
      </c>
      <c r="L1024" s="79">
        <f>EFEITO!$N$1024*EFEITO!$AA$1024</f>
        <v>12196.513431297268</v>
      </c>
      <c r="M1024" s="79">
        <f>$J$1024-EFEITO!$K$1024*EFEITO!$Y$1024</f>
        <v>0</v>
      </c>
      <c r="N1024" s="79">
        <f ca="1">$K$1024-EFEITO!$M$1024*EFEITO!$Z$1024</f>
        <v>0</v>
      </c>
      <c r="O1024" s="79">
        <f>$L$1024-EFEITO!$O$1024*EFEITO!$AA$1024</f>
        <v>0</v>
      </c>
      <c r="P1024" s="18"/>
      <c r="Q1024" s="18"/>
      <c r="R1024" s="18"/>
      <c r="S1024" s="18"/>
      <c r="T1024" s="18"/>
      <c r="U1024" s="18"/>
      <c r="V1024" s="18"/>
      <c r="W1024" s="18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</row>
    <row r="1025" spans="1:36" ht="11.25" customHeight="1" x14ac:dyDescent="0.2">
      <c r="A1025" s="70" t="s">
        <v>21</v>
      </c>
      <c r="B1025" s="70" t="s">
        <v>33</v>
      </c>
      <c r="C1025" s="70" t="s">
        <v>23</v>
      </c>
      <c r="D1025" s="70" t="s">
        <v>34</v>
      </c>
      <c r="E1025" s="70" t="s">
        <v>25</v>
      </c>
      <c r="F1025" s="70" t="s">
        <v>25</v>
      </c>
      <c r="G1025" s="70" t="s">
        <v>25</v>
      </c>
      <c r="H1025" s="70" t="s">
        <v>25</v>
      </c>
      <c r="I1025" s="78">
        <v>44440</v>
      </c>
      <c r="J1025" s="79">
        <f>EFEITO!$J$1025*EFEITO!$Y$1025</f>
        <v>0</v>
      </c>
      <c r="K1025" s="79">
        <f ca="1">EFEITO!$L$1025*EFEITO!$Z$1025</f>
        <v>111004.29896884477</v>
      </c>
      <c r="L1025" s="79">
        <f>EFEITO!$N$1025*EFEITO!$AA$1025</f>
        <v>75296.258336094499</v>
      </c>
      <c r="M1025" s="79">
        <f>$J$1025-EFEITO!$K$1025*EFEITO!$Y$1025</f>
        <v>0</v>
      </c>
      <c r="N1025" s="79">
        <f ca="1">$K$1025-EFEITO!$M$1025*EFEITO!$Z$1025</f>
        <v>0</v>
      </c>
      <c r="O1025" s="79">
        <f>$L$1025-EFEITO!$O$1025*EFEITO!$AA$1025</f>
        <v>0</v>
      </c>
      <c r="P1025" s="18"/>
      <c r="Q1025" s="18"/>
      <c r="R1025" s="18"/>
      <c r="S1025" s="18"/>
      <c r="T1025" s="18"/>
      <c r="U1025" s="18"/>
      <c r="V1025" s="18"/>
      <c r="W1025" s="18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</row>
    <row r="1026" spans="1:36" ht="11.25" customHeight="1" x14ac:dyDescent="0.2">
      <c r="A1026" s="70" t="s">
        <v>27</v>
      </c>
      <c r="B1026" s="70" t="s">
        <v>33</v>
      </c>
      <c r="C1026" s="70" t="s">
        <v>23</v>
      </c>
      <c r="D1026" s="70" t="s">
        <v>34</v>
      </c>
      <c r="E1026" s="70" t="s">
        <v>25</v>
      </c>
      <c r="F1026" s="70" t="s">
        <v>25</v>
      </c>
      <c r="G1026" s="70" t="s">
        <v>25</v>
      </c>
      <c r="H1026" s="70" t="s">
        <v>25</v>
      </c>
      <c r="I1026" s="78">
        <v>44440</v>
      </c>
      <c r="J1026" s="79">
        <f>EFEITO!$J$1026*EFEITO!$Y$1026</f>
        <v>0</v>
      </c>
      <c r="K1026" s="79">
        <f ca="1">EFEITO!$L$1026*EFEITO!$Z$1026</f>
        <v>-58.433310418279326</v>
      </c>
      <c r="L1026" s="79">
        <f>EFEITO!$N$1026*EFEITO!$AA$1026</f>
        <v>-39.636389559316463</v>
      </c>
      <c r="M1026" s="79">
        <f>$J$1026-EFEITO!$K$1026*EFEITO!$Y$1026</f>
        <v>0</v>
      </c>
      <c r="N1026" s="79">
        <f ca="1">$K$1026-EFEITO!$M$1026*EFEITO!$Z$1026</f>
        <v>0</v>
      </c>
      <c r="O1026" s="79">
        <f>$L$1026-EFEITO!$O$1026*EFEITO!$AA$1026</f>
        <v>0</v>
      </c>
      <c r="P1026" s="18"/>
      <c r="Q1026" s="18"/>
      <c r="R1026" s="18"/>
      <c r="S1026" s="18"/>
      <c r="T1026" s="18"/>
      <c r="U1026" s="18"/>
      <c r="V1026" s="18"/>
      <c r="W1026" s="18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</row>
    <row r="1027" spans="1:36" ht="11.25" customHeight="1" x14ac:dyDescent="0.2">
      <c r="A1027" s="70" t="s">
        <v>28</v>
      </c>
      <c r="B1027" s="70" t="s">
        <v>33</v>
      </c>
      <c r="C1027" s="70" t="s">
        <v>23</v>
      </c>
      <c r="D1027" s="70" t="s">
        <v>34</v>
      </c>
      <c r="E1027" s="70" t="s">
        <v>25</v>
      </c>
      <c r="F1027" s="70" t="s">
        <v>25</v>
      </c>
      <c r="G1027" s="70" t="s">
        <v>25</v>
      </c>
      <c r="H1027" s="70" t="s">
        <v>25</v>
      </c>
      <c r="I1027" s="78">
        <v>44440</v>
      </c>
      <c r="J1027" s="79">
        <f>EFEITO!$J$1027*EFEITO!$Y$1027</f>
        <v>0</v>
      </c>
      <c r="K1027" s="79">
        <f ca="1">EFEITO!$L$1027*EFEITO!$Z$1027</f>
        <v>18074.59157858216</v>
      </c>
      <c r="L1027" s="79">
        <f>EFEITO!$N$1027*EFEITO!$AA$1027</f>
        <v>12260.328018487768</v>
      </c>
      <c r="M1027" s="79">
        <f>$J$1027-EFEITO!$K$1027*EFEITO!$Y$1027</f>
        <v>0</v>
      </c>
      <c r="N1027" s="79">
        <f ca="1">$K$1027-EFEITO!$M$1027*EFEITO!$Z$1027</f>
        <v>0</v>
      </c>
      <c r="O1027" s="79">
        <f>$L$1027-EFEITO!$O$1027*EFEITO!$AA$1027</f>
        <v>0</v>
      </c>
      <c r="P1027" s="18"/>
      <c r="Q1027" s="18"/>
      <c r="R1027" s="18"/>
      <c r="S1027" s="18"/>
      <c r="T1027" s="18"/>
      <c r="U1027" s="18"/>
      <c r="V1027" s="18"/>
      <c r="W1027" s="18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</row>
    <row r="1028" spans="1:36" ht="11.25" customHeight="1" x14ac:dyDescent="0.2">
      <c r="A1028" s="70" t="s">
        <v>21</v>
      </c>
      <c r="B1028" s="70" t="s">
        <v>33</v>
      </c>
      <c r="C1028" s="70" t="s">
        <v>23</v>
      </c>
      <c r="D1028" s="70" t="s">
        <v>34</v>
      </c>
      <c r="E1028" s="70" t="s">
        <v>25</v>
      </c>
      <c r="F1028" s="70" t="s">
        <v>25</v>
      </c>
      <c r="G1028" s="70" t="s">
        <v>25</v>
      </c>
      <c r="H1028" s="70" t="s">
        <v>25</v>
      </c>
      <c r="I1028" s="78">
        <v>44470</v>
      </c>
      <c r="J1028" s="79">
        <f>EFEITO!$J$1028*EFEITO!$Y$1028</f>
        <v>0</v>
      </c>
      <c r="K1028" s="79">
        <f ca="1">EFEITO!$L$1028*EFEITO!$Z$1028</f>
        <v>112427.73441063406</v>
      </c>
      <c r="L1028" s="79">
        <f>EFEITO!$N$1028*EFEITO!$AA$1028</f>
        <v>76261.800785759449</v>
      </c>
      <c r="M1028" s="79">
        <f>$J$1028-EFEITO!$K$1028*EFEITO!$Y$1028</f>
        <v>0</v>
      </c>
      <c r="N1028" s="79">
        <f ca="1">$K$1028-EFEITO!$M$1028*EFEITO!$Z$1028</f>
        <v>0</v>
      </c>
      <c r="O1028" s="79">
        <f>$L$1028-EFEITO!$O$1028*EFEITO!$AA$1028</f>
        <v>0</v>
      </c>
      <c r="P1028" s="18"/>
      <c r="Q1028" s="18"/>
      <c r="R1028" s="18"/>
      <c r="S1028" s="18"/>
      <c r="T1028" s="18"/>
      <c r="U1028" s="18"/>
      <c r="V1028" s="18"/>
      <c r="W1028" s="18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</row>
    <row r="1029" spans="1:36" ht="11.25" customHeight="1" x14ac:dyDescent="0.2">
      <c r="A1029" s="70" t="s">
        <v>27</v>
      </c>
      <c r="B1029" s="70" t="s">
        <v>33</v>
      </c>
      <c r="C1029" s="70" t="s">
        <v>23</v>
      </c>
      <c r="D1029" s="70" t="s">
        <v>34</v>
      </c>
      <c r="E1029" s="70" t="s">
        <v>25</v>
      </c>
      <c r="F1029" s="70" t="s">
        <v>25</v>
      </c>
      <c r="G1029" s="70" t="s">
        <v>25</v>
      </c>
      <c r="H1029" s="70" t="s">
        <v>25</v>
      </c>
      <c r="I1029" s="78">
        <v>44470</v>
      </c>
      <c r="J1029" s="79">
        <f>EFEITO!$J$1029*EFEITO!$Y$1029</f>
        <v>0</v>
      </c>
      <c r="K1029" s="79">
        <f ca="1">EFEITO!$L$1029*EFEITO!$Z$1029</f>
        <v>-169.74876676510144</v>
      </c>
      <c r="L1029" s="79">
        <f>EFEITO!$N$1029*EFEITO!$AA$1029</f>
        <v>-115.14371166981431</v>
      </c>
      <c r="M1029" s="79">
        <f>$J$1029-EFEITO!$K$1029*EFEITO!$Y$1029</f>
        <v>0</v>
      </c>
      <c r="N1029" s="79">
        <f ca="1">$K$1029-EFEITO!$M$1029*EFEITO!$Z$1029</f>
        <v>0</v>
      </c>
      <c r="O1029" s="79">
        <f>$L$1029-EFEITO!$O$1029*EFEITO!$AA$1029</f>
        <v>0</v>
      </c>
      <c r="P1029" s="18"/>
      <c r="Q1029" s="18"/>
      <c r="R1029" s="18"/>
      <c r="S1029" s="18"/>
      <c r="T1029" s="18"/>
      <c r="U1029" s="18"/>
      <c r="V1029" s="18"/>
      <c r="W1029" s="18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</row>
    <row r="1030" spans="1:36" ht="11.25" customHeight="1" x14ac:dyDescent="0.2">
      <c r="A1030" s="70" t="s">
        <v>28</v>
      </c>
      <c r="B1030" s="70" t="s">
        <v>33</v>
      </c>
      <c r="C1030" s="70" t="s">
        <v>23</v>
      </c>
      <c r="D1030" s="70" t="s">
        <v>34</v>
      </c>
      <c r="E1030" s="70" t="s">
        <v>25</v>
      </c>
      <c r="F1030" s="70" t="s">
        <v>25</v>
      </c>
      <c r="G1030" s="70" t="s">
        <v>25</v>
      </c>
      <c r="H1030" s="70" t="s">
        <v>25</v>
      </c>
      <c r="I1030" s="78">
        <v>44470</v>
      </c>
      <c r="J1030" s="79">
        <f>EFEITO!$J$1030*EFEITO!$Y$1030</f>
        <v>0</v>
      </c>
      <c r="K1030" s="79">
        <f ca="1">EFEITO!$L$1030*EFEITO!$Z$1030</f>
        <v>18311.538652328283</v>
      </c>
      <c r="L1030" s="79">
        <f>EFEITO!$N$1030*EFEITO!$AA$1030</f>
        <v>12421.053578150795</v>
      </c>
      <c r="M1030" s="79">
        <f>$J$1030-EFEITO!$K$1030*EFEITO!$Y$1030</f>
        <v>0</v>
      </c>
      <c r="N1030" s="79">
        <f ca="1">$K$1030-EFEITO!$M$1030*EFEITO!$Z$1030</f>
        <v>0</v>
      </c>
      <c r="O1030" s="79">
        <f>$L$1030-EFEITO!$O$1030*EFEITO!$AA$1030</f>
        <v>0</v>
      </c>
      <c r="P1030" s="18"/>
      <c r="Q1030" s="18"/>
      <c r="R1030" s="18"/>
      <c r="S1030" s="18"/>
      <c r="T1030" s="18"/>
      <c r="U1030" s="18"/>
      <c r="V1030" s="18"/>
      <c r="W1030" s="18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</row>
    <row r="1031" spans="1:36" ht="11.25" customHeight="1" x14ac:dyDescent="0.2">
      <c r="A1031" s="70" t="s">
        <v>21</v>
      </c>
      <c r="B1031" s="70" t="s">
        <v>33</v>
      </c>
      <c r="C1031" s="70" t="s">
        <v>23</v>
      </c>
      <c r="D1031" s="70" t="s">
        <v>34</v>
      </c>
      <c r="E1031" s="70" t="s">
        <v>25</v>
      </c>
      <c r="F1031" s="70" t="s">
        <v>25</v>
      </c>
      <c r="G1031" s="70" t="s">
        <v>25</v>
      </c>
      <c r="H1031" s="70" t="s">
        <v>25</v>
      </c>
      <c r="I1031" s="78">
        <v>44501</v>
      </c>
      <c r="J1031" s="79">
        <f>EFEITO!$J$1031*EFEITO!$Y$1031</f>
        <v>0</v>
      </c>
      <c r="K1031" s="79">
        <f ca="1">EFEITO!$L$1031*EFEITO!$Z$1031</f>
        <v>111994.45141388252</v>
      </c>
      <c r="L1031" s="79">
        <f>EFEITO!$N$1031*EFEITO!$AA$1031</f>
        <v>75967.896957177116</v>
      </c>
      <c r="M1031" s="79">
        <f>$J$1031-EFEITO!$K$1031*EFEITO!$Y$1031</f>
        <v>0</v>
      </c>
      <c r="N1031" s="79">
        <f ca="1">$K$1031-EFEITO!$M$1031*EFEITO!$Z$1031</f>
        <v>0</v>
      </c>
      <c r="O1031" s="79">
        <f>$L$1031-EFEITO!$O$1031*EFEITO!$AA$1031</f>
        <v>0</v>
      </c>
      <c r="P1031" s="18"/>
      <c r="Q1031" s="18"/>
      <c r="R1031" s="18"/>
      <c r="S1031" s="18"/>
      <c r="T1031" s="18"/>
      <c r="U1031" s="18"/>
      <c r="V1031" s="18"/>
      <c r="W1031" s="18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</row>
    <row r="1032" spans="1:36" ht="11.25" customHeight="1" x14ac:dyDescent="0.2">
      <c r="A1032" s="70" t="s">
        <v>28</v>
      </c>
      <c r="B1032" s="70" t="s">
        <v>33</v>
      </c>
      <c r="C1032" s="70" t="s">
        <v>23</v>
      </c>
      <c r="D1032" s="70" t="s">
        <v>34</v>
      </c>
      <c r="E1032" s="70" t="s">
        <v>25</v>
      </c>
      <c r="F1032" s="70" t="s">
        <v>25</v>
      </c>
      <c r="G1032" s="70" t="s">
        <v>25</v>
      </c>
      <c r="H1032" s="70" t="s">
        <v>25</v>
      </c>
      <c r="I1032" s="78">
        <v>44501</v>
      </c>
      <c r="J1032" s="79">
        <f>EFEITO!$J$1032*EFEITO!$Y$1032</f>
        <v>0</v>
      </c>
      <c r="K1032" s="79">
        <f ca="1">EFEITO!$L$1032*EFEITO!$Z$1032</f>
        <v>12020.316286144242</v>
      </c>
      <c r="L1032" s="79">
        <f>EFEITO!$N$1032*EFEITO!$AA$1032</f>
        <v>8153.6016962469903</v>
      </c>
      <c r="M1032" s="79">
        <f>$J$1032-EFEITO!$K$1032*EFEITO!$Y$1032</f>
        <v>0</v>
      </c>
      <c r="N1032" s="79">
        <f ca="1">$K$1032-EFEITO!$M$1032*EFEITO!$Z$1032</f>
        <v>0</v>
      </c>
      <c r="O1032" s="79">
        <f>$L$1032-EFEITO!$O$1032*EFEITO!$AA$1032</f>
        <v>0</v>
      </c>
      <c r="P1032" s="18"/>
      <c r="Q1032" s="18"/>
      <c r="R1032" s="18"/>
      <c r="S1032" s="18"/>
      <c r="T1032" s="18"/>
      <c r="U1032" s="18"/>
      <c r="V1032" s="18"/>
      <c r="W1032" s="18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</row>
    <row r="1033" spans="1:36" ht="11.25" customHeight="1" x14ac:dyDescent="0.2">
      <c r="A1033" s="70" t="s">
        <v>21</v>
      </c>
      <c r="B1033" s="70" t="s">
        <v>33</v>
      </c>
      <c r="C1033" s="70" t="s">
        <v>23</v>
      </c>
      <c r="D1033" s="70" t="s">
        <v>34</v>
      </c>
      <c r="E1033" s="70" t="s">
        <v>25</v>
      </c>
      <c r="F1033" s="70" t="s">
        <v>25</v>
      </c>
      <c r="G1033" s="70" t="s">
        <v>25</v>
      </c>
      <c r="H1033" s="70" t="s">
        <v>25</v>
      </c>
      <c r="I1033" s="78">
        <v>44531</v>
      </c>
      <c r="J1033" s="79">
        <f>EFEITO!$J$1033*EFEITO!$Y$1033</f>
        <v>0</v>
      </c>
      <c r="K1033" s="79">
        <f ca="1">EFEITO!$L$1033*EFEITO!$Z$1033</f>
        <v>112310.28345669332</v>
      </c>
      <c r="L1033" s="79">
        <f>EFEITO!$N$1033*EFEITO!$AA$1033</f>
        <v>76182.131642745211</v>
      </c>
      <c r="M1033" s="79">
        <f>$J$1033-EFEITO!$K$1033*EFEITO!$Y$1033</f>
        <v>0</v>
      </c>
      <c r="N1033" s="79">
        <f ca="1">$K$1033-EFEITO!$M$1033*EFEITO!$Z$1033</f>
        <v>0</v>
      </c>
      <c r="O1033" s="79">
        <f>$L$1033-EFEITO!$O$1033*EFEITO!$AA$1033</f>
        <v>0</v>
      </c>
      <c r="P1033" s="18"/>
      <c r="Q1033" s="18"/>
      <c r="R1033" s="18"/>
      <c r="S1033" s="18"/>
      <c r="T1033" s="18"/>
      <c r="U1033" s="18"/>
      <c r="V1033" s="18"/>
      <c r="W1033" s="18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</row>
    <row r="1034" spans="1:36" ht="11.25" customHeight="1" x14ac:dyDescent="0.2">
      <c r="A1034" s="70" t="s">
        <v>27</v>
      </c>
      <c r="B1034" s="70" t="s">
        <v>33</v>
      </c>
      <c r="C1034" s="70" t="s">
        <v>23</v>
      </c>
      <c r="D1034" s="70" t="s">
        <v>34</v>
      </c>
      <c r="E1034" s="70" t="s">
        <v>25</v>
      </c>
      <c r="F1034" s="70" t="s">
        <v>25</v>
      </c>
      <c r="G1034" s="70" t="s">
        <v>25</v>
      </c>
      <c r="H1034" s="70" t="s">
        <v>25</v>
      </c>
      <c r="I1034" s="78">
        <v>44531</v>
      </c>
      <c r="J1034" s="79">
        <f>EFEITO!$J$1034*EFEITO!$Y$1034</f>
        <v>0</v>
      </c>
      <c r="K1034" s="79">
        <f ca="1">EFEITO!$L$1034*EFEITO!$Z$1034</f>
        <v>-192.82992438032178</v>
      </c>
      <c r="L1034" s="79">
        <f>EFEITO!$N$1034*EFEITO!$AA$1034</f>
        <v>-130.80008554574434</v>
      </c>
      <c r="M1034" s="79">
        <f>$J$1034-EFEITO!$K$1034*EFEITO!$Y$1034</f>
        <v>0</v>
      </c>
      <c r="N1034" s="79">
        <f ca="1">$K$1034-EFEITO!$M$1034*EFEITO!$Z$1034</f>
        <v>0</v>
      </c>
      <c r="O1034" s="79">
        <f>$L$1034-EFEITO!$O$1034*EFEITO!$AA$1034</f>
        <v>0</v>
      </c>
      <c r="P1034" s="18"/>
      <c r="Q1034" s="18"/>
      <c r="R1034" s="18"/>
      <c r="S1034" s="18"/>
      <c r="T1034" s="18"/>
      <c r="U1034" s="18"/>
      <c r="V1034" s="18"/>
      <c r="W1034" s="18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</row>
    <row r="1035" spans="1:36" ht="11.25" customHeight="1" x14ac:dyDescent="0.2">
      <c r="A1035" s="70" t="s">
        <v>21</v>
      </c>
      <c r="B1035" s="70" t="s">
        <v>33</v>
      </c>
      <c r="C1035" s="70" t="s">
        <v>23</v>
      </c>
      <c r="D1035" s="70" t="s">
        <v>34</v>
      </c>
      <c r="E1035" s="70" t="s">
        <v>25</v>
      </c>
      <c r="F1035" s="70" t="s">
        <v>25</v>
      </c>
      <c r="G1035" s="70" t="s">
        <v>25</v>
      </c>
      <c r="H1035" s="70" t="s">
        <v>25</v>
      </c>
      <c r="I1035" s="78">
        <v>44562</v>
      </c>
      <c r="J1035" s="79">
        <f>EFEITO!$J$1035*EFEITO!$Y$1035</f>
        <v>0</v>
      </c>
      <c r="K1035" s="79">
        <f ca="1">EFEITO!$L$1035*EFEITO!$Z$1035</f>
        <v>114025.59328402192</v>
      </c>
      <c r="L1035" s="79">
        <f>EFEITO!$N$1035*EFEITO!$AA$1035</f>
        <v>77345.657858258957</v>
      </c>
      <c r="M1035" s="79">
        <f>$J$1035-EFEITO!$K$1035*EFEITO!$Y$1035</f>
        <v>0</v>
      </c>
      <c r="N1035" s="79">
        <f ca="1">$K$1035-EFEITO!$M$1035*EFEITO!$Z$1035</f>
        <v>0</v>
      </c>
      <c r="O1035" s="79">
        <f>$L$1035-EFEITO!$O$1035*EFEITO!$AA$1035</f>
        <v>0</v>
      </c>
      <c r="P1035" s="18"/>
      <c r="Q1035" s="18"/>
      <c r="R1035" s="18"/>
      <c r="S1035" s="18"/>
      <c r="T1035" s="18"/>
      <c r="U1035" s="18"/>
      <c r="V1035" s="18"/>
      <c r="W1035" s="18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</row>
    <row r="1036" spans="1:36" ht="11.25" customHeight="1" x14ac:dyDescent="0.2">
      <c r="A1036" s="70" t="s">
        <v>27</v>
      </c>
      <c r="B1036" s="70" t="s">
        <v>33</v>
      </c>
      <c r="C1036" s="70" t="s">
        <v>23</v>
      </c>
      <c r="D1036" s="70" t="s">
        <v>34</v>
      </c>
      <c r="E1036" s="70" t="s">
        <v>25</v>
      </c>
      <c r="F1036" s="70" t="s">
        <v>25</v>
      </c>
      <c r="G1036" s="70" t="s">
        <v>25</v>
      </c>
      <c r="H1036" s="70" t="s">
        <v>25</v>
      </c>
      <c r="I1036" s="78">
        <v>44562</v>
      </c>
      <c r="J1036" s="79">
        <f>EFEITO!$J$1036*EFEITO!$Y$1036</f>
        <v>0</v>
      </c>
      <c r="K1036" s="79">
        <f ca="1">EFEITO!$L$1036*EFEITO!$Z$1036</f>
        <v>-144.03811018105853</v>
      </c>
      <c r="L1036" s="79">
        <f>EFEITO!$N$1036*EFEITO!$AA$1036</f>
        <v>-97.703700263715078</v>
      </c>
      <c r="M1036" s="79">
        <f>$J$1036-EFEITO!$K$1036*EFEITO!$Y$1036</f>
        <v>0</v>
      </c>
      <c r="N1036" s="79">
        <f ca="1">$K$1036-EFEITO!$M$1036*EFEITO!$Z$1036</f>
        <v>0</v>
      </c>
      <c r="O1036" s="79">
        <f>$L$1036-EFEITO!$O$1036*EFEITO!$AA$1036</f>
        <v>0</v>
      </c>
      <c r="P1036" s="18"/>
      <c r="Q1036" s="18"/>
      <c r="R1036" s="18"/>
      <c r="S1036" s="18"/>
      <c r="T1036" s="18"/>
      <c r="U1036" s="18"/>
      <c r="V1036" s="18"/>
      <c r="W1036" s="18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</row>
    <row r="1037" spans="1:36" ht="11.25" customHeight="1" x14ac:dyDescent="0.2">
      <c r="A1037" s="70" t="s">
        <v>28</v>
      </c>
      <c r="B1037" s="70" t="s">
        <v>33</v>
      </c>
      <c r="C1037" s="70" t="s">
        <v>23</v>
      </c>
      <c r="D1037" s="70" t="s">
        <v>34</v>
      </c>
      <c r="E1037" s="70" t="s">
        <v>25</v>
      </c>
      <c r="F1037" s="70" t="s">
        <v>25</v>
      </c>
      <c r="G1037" s="70" t="s">
        <v>25</v>
      </c>
      <c r="H1037" s="70" t="s">
        <v>25</v>
      </c>
      <c r="I1037" s="78">
        <v>44562</v>
      </c>
      <c r="J1037" s="79">
        <f>EFEITO!$J$1037*EFEITO!$Y$1037</f>
        <v>0</v>
      </c>
      <c r="K1037" s="79">
        <f ca="1">EFEITO!$L$1037*EFEITO!$Z$1037</f>
        <v>11582.942957663419</v>
      </c>
      <c r="L1037" s="79">
        <f>EFEITO!$N$1037*EFEITO!$AA$1037</f>
        <v>7856.9233203955064</v>
      </c>
      <c r="M1037" s="79">
        <f>$J$1037-EFEITO!$K$1037*EFEITO!$Y$1037</f>
        <v>0</v>
      </c>
      <c r="N1037" s="79">
        <f ca="1">$K$1037-EFEITO!$M$1037*EFEITO!$Z$1037</f>
        <v>0</v>
      </c>
      <c r="O1037" s="79">
        <f>$L$1037-EFEITO!$O$1037*EFEITO!$AA$1037</f>
        <v>0</v>
      </c>
      <c r="P1037" s="18"/>
      <c r="Q1037" s="18"/>
      <c r="R1037" s="18"/>
      <c r="S1037" s="18"/>
      <c r="T1037" s="18"/>
      <c r="U1037" s="18"/>
      <c r="V1037" s="18"/>
      <c r="W1037" s="18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</row>
    <row r="1038" spans="1:36" ht="11.25" customHeight="1" x14ac:dyDescent="0.2">
      <c r="A1038" s="70" t="s">
        <v>21</v>
      </c>
      <c r="B1038" s="70" t="s">
        <v>33</v>
      </c>
      <c r="C1038" s="70" t="s">
        <v>23</v>
      </c>
      <c r="D1038" s="70" t="s">
        <v>34</v>
      </c>
      <c r="E1038" s="70" t="s">
        <v>25</v>
      </c>
      <c r="F1038" s="70" t="s">
        <v>25</v>
      </c>
      <c r="G1038" s="70" t="s">
        <v>25</v>
      </c>
      <c r="H1038" s="70" t="s">
        <v>25</v>
      </c>
      <c r="I1038" s="78">
        <v>44593</v>
      </c>
      <c r="J1038" s="79">
        <f>EFEITO!$J$1038*EFEITO!$Y$1038</f>
        <v>0</v>
      </c>
      <c r="K1038" s="79">
        <f ca="1">EFEITO!$L$1038*EFEITO!$Z$1038</f>
        <v>112307.94612427658</v>
      </c>
      <c r="L1038" s="79">
        <f>EFEITO!$N$1038*EFEITO!$AA$1038</f>
        <v>76180.54618716285</v>
      </c>
      <c r="M1038" s="79">
        <f>$J$1038-EFEITO!$K$1038*EFEITO!$Y$1038</f>
        <v>0</v>
      </c>
      <c r="N1038" s="79">
        <f ca="1">$K$1038-EFEITO!$M$1038*EFEITO!$Z$1038</f>
        <v>0</v>
      </c>
      <c r="O1038" s="79">
        <f>$L$1038-EFEITO!$O$1038*EFEITO!$AA$1038</f>
        <v>0</v>
      </c>
      <c r="P1038" s="18"/>
      <c r="Q1038" s="18"/>
      <c r="R1038" s="18"/>
      <c r="S1038" s="18"/>
      <c r="T1038" s="18"/>
      <c r="U1038" s="18"/>
      <c r="V1038" s="18"/>
      <c r="W1038" s="18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</row>
    <row r="1039" spans="1:36" ht="11.25" customHeight="1" x14ac:dyDescent="0.2">
      <c r="A1039" s="70" t="s">
        <v>28</v>
      </c>
      <c r="B1039" s="70" t="s">
        <v>33</v>
      </c>
      <c r="C1039" s="70" t="s">
        <v>23</v>
      </c>
      <c r="D1039" s="70" t="s">
        <v>34</v>
      </c>
      <c r="E1039" s="70" t="s">
        <v>25</v>
      </c>
      <c r="F1039" s="70" t="s">
        <v>25</v>
      </c>
      <c r="G1039" s="70" t="s">
        <v>25</v>
      </c>
      <c r="H1039" s="70" t="s">
        <v>25</v>
      </c>
      <c r="I1039" s="78">
        <v>44593</v>
      </c>
      <c r="J1039" s="79">
        <f>EFEITO!$J$1039*EFEITO!$Y$1039</f>
        <v>0</v>
      </c>
      <c r="K1039" s="79">
        <f ca="1">EFEITO!$L$1039*EFEITO!$Z$1039</f>
        <v>13631.906987480384</v>
      </c>
      <c r="L1039" s="79">
        <f>EFEITO!$N$1039*EFEITO!$AA$1039</f>
        <v>9246.7733202929376</v>
      </c>
      <c r="M1039" s="79">
        <f>$J$1039-EFEITO!$K$1039*EFEITO!$Y$1039</f>
        <v>0</v>
      </c>
      <c r="N1039" s="79">
        <f ca="1">$K$1039-EFEITO!$M$1039*EFEITO!$Z$1039</f>
        <v>0</v>
      </c>
      <c r="O1039" s="79">
        <f>$L$1039-EFEITO!$O$1039*EFEITO!$AA$1039</f>
        <v>0</v>
      </c>
      <c r="P1039" s="18"/>
      <c r="Q1039" s="18"/>
      <c r="R1039" s="18"/>
      <c r="S1039" s="18"/>
      <c r="T1039" s="18"/>
      <c r="U1039" s="18"/>
      <c r="V1039" s="18"/>
      <c r="W1039" s="18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</row>
    <row r="1040" spans="1:36" ht="11.25" customHeight="1" x14ac:dyDescent="0.2">
      <c r="A1040" s="70" t="s">
        <v>21</v>
      </c>
      <c r="B1040" s="70" t="s">
        <v>33</v>
      </c>
      <c r="C1040" s="70" t="s">
        <v>23</v>
      </c>
      <c r="D1040" s="70" t="s">
        <v>34</v>
      </c>
      <c r="E1040" s="70" t="s">
        <v>25</v>
      </c>
      <c r="F1040" s="70" t="s">
        <v>25</v>
      </c>
      <c r="G1040" s="70" t="s">
        <v>25</v>
      </c>
      <c r="H1040" s="70" t="s">
        <v>25</v>
      </c>
      <c r="I1040" s="78">
        <v>44621</v>
      </c>
      <c r="J1040" s="79">
        <f>EFEITO!$J$1040*EFEITO!$Y$1040</f>
        <v>0</v>
      </c>
      <c r="K1040" s="79">
        <f ca="1">EFEITO!$L$1040*EFEITO!$Z$1040</f>
        <v>116043.58765931719</v>
      </c>
      <c r="L1040" s="79">
        <f>EFEITO!$N$1040*EFEITO!$AA$1040</f>
        <v>78714.500571689947</v>
      </c>
      <c r="M1040" s="79">
        <f>$J$1040-EFEITO!$K$1040*EFEITO!$Y$1040</f>
        <v>0</v>
      </c>
      <c r="N1040" s="79">
        <f ca="1">$K$1040-EFEITO!$M$1040*EFEITO!$Z$1040</f>
        <v>0</v>
      </c>
      <c r="O1040" s="79">
        <f>$L$1040-EFEITO!$O$1040*EFEITO!$AA$1040</f>
        <v>0</v>
      </c>
      <c r="P1040" s="18"/>
      <c r="Q1040" s="18"/>
      <c r="R1040" s="18"/>
      <c r="S1040" s="18"/>
      <c r="T1040" s="18"/>
      <c r="U1040" s="18"/>
      <c r="V1040" s="18"/>
      <c r="W1040" s="18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</row>
    <row r="1041" spans="1:36" ht="11.25" customHeight="1" x14ac:dyDescent="0.2">
      <c r="A1041" s="70" t="s">
        <v>28</v>
      </c>
      <c r="B1041" s="70" t="s">
        <v>33</v>
      </c>
      <c r="C1041" s="70" t="s">
        <v>23</v>
      </c>
      <c r="D1041" s="70" t="s">
        <v>34</v>
      </c>
      <c r="E1041" s="70" t="s">
        <v>25</v>
      </c>
      <c r="F1041" s="70" t="s">
        <v>25</v>
      </c>
      <c r="G1041" s="70" t="s">
        <v>25</v>
      </c>
      <c r="H1041" s="70" t="s">
        <v>25</v>
      </c>
      <c r="I1041" s="78">
        <v>44621</v>
      </c>
      <c r="J1041" s="79">
        <f>EFEITO!$J$1041*EFEITO!$Y$1041</f>
        <v>0</v>
      </c>
      <c r="K1041" s="79">
        <f ca="1">EFEITO!$L$1041*EFEITO!$Z$1041</f>
        <v>14738.926053354686</v>
      </c>
      <c r="L1041" s="79">
        <f>EFEITO!$N$1041*EFEITO!$AA$1041</f>
        <v>9997.6847204941878</v>
      </c>
      <c r="M1041" s="79">
        <f>$J$1041-EFEITO!$K$1041*EFEITO!$Y$1041</f>
        <v>0</v>
      </c>
      <c r="N1041" s="79">
        <f ca="1">$K$1041-EFEITO!$M$1041*EFEITO!$Z$1041</f>
        <v>0</v>
      </c>
      <c r="O1041" s="79">
        <f>$L$1041-EFEITO!$O$1041*EFEITO!$AA$1041</f>
        <v>0</v>
      </c>
      <c r="P1041" s="18"/>
      <c r="Q1041" s="18"/>
      <c r="R1041" s="18"/>
      <c r="S1041" s="18"/>
      <c r="T1041" s="18"/>
      <c r="U1041" s="18"/>
      <c r="V1041" s="18"/>
      <c r="W1041" s="18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</row>
    <row r="1042" spans="1:36" ht="11.25" customHeight="1" x14ac:dyDescent="0.2">
      <c r="A1042" s="70" t="s">
        <v>21</v>
      </c>
      <c r="B1042" s="70" t="s">
        <v>33</v>
      </c>
      <c r="C1042" s="70" t="s">
        <v>23</v>
      </c>
      <c r="D1042" s="70" t="s">
        <v>34</v>
      </c>
      <c r="E1042" s="70" t="s">
        <v>25</v>
      </c>
      <c r="F1042" s="70" t="s">
        <v>25</v>
      </c>
      <c r="G1042" s="70" t="s">
        <v>25</v>
      </c>
      <c r="H1042" s="70" t="s">
        <v>25</v>
      </c>
      <c r="I1042" s="78">
        <v>44652</v>
      </c>
      <c r="J1042" s="79">
        <f>EFEITO!$J$1042*EFEITO!$Y$1042</f>
        <v>0</v>
      </c>
      <c r="K1042" s="79">
        <f ca="1">EFEITO!$L$1042*EFEITO!$Z$1042</f>
        <v>123769.93212937417</v>
      </c>
      <c r="L1042" s="79">
        <f>EFEITO!$N$1042*EFEITO!$AA$1042</f>
        <v>83955.422181170565</v>
      </c>
      <c r="M1042" s="79">
        <f>$J$1042-EFEITO!$K$1042*EFEITO!$Y$1042</f>
        <v>0</v>
      </c>
      <c r="N1042" s="79">
        <f ca="1">$K$1042-EFEITO!$M$1042*EFEITO!$Z$1042</f>
        <v>0</v>
      </c>
      <c r="O1042" s="79">
        <f>$L$1042-EFEITO!$O$1042*EFEITO!$AA$1042</f>
        <v>0</v>
      </c>
      <c r="P1042" s="18"/>
      <c r="Q1042" s="18"/>
      <c r="R1042" s="18"/>
      <c r="S1042" s="18"/>
      <c r="T1042" s="18"/>
      <c r="U1042" s="18"/>
      <c r="V1042" s="18"/>
      <c r="W1042" s="18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</row>
    <row r="1043" spans="1:36" ht="11.25" customHeight="1" x14ac:dyDescent="0.2">
      <c r="A1043" s="70" t="s">
        <v>27</v>
      </c>
      <c r="B1043" s="70" t="s">
        <v>33</v>
      </c>
      <c r="C1043" s="70" t="s">
        <v>23</v>
      </c>
      <c r="D1043" s="70" t="s">
        <v>34</v>
      </c>
      <c r="E1043" s="70" t="s">
        <v>25</v>
      </c>
      <c r="F1043" s="70" t="s">
        <v>25</v>
      </c>
      <c r="G1043" s="70" t="s">
        <v>25</v>
      </c>
      <c r="H1043" s="70" t="s">
        <v>25</v>
      </c>
      <c r="I1043" s="78">
        <v>44652</v>
      </c>
      <c r="J1043" s="79">
        <f>EFEITO!$J$1043*EFEITO!$Y$1043</f>
        <v>0</v>
      </c>
      <c r="K1043" s="79">
        <f ca="1">EFEITO!$L$1043*EFEITO!$Z$1043</f>
        <v>-6558.2625947955794</v>
      </c>
      <c r="L1043" s="79">
        <f>EFEITO!$N$1043*EFEITO!$AA$1043</f>
        <v>-4448.5901821898833</v>
      </c>
      <c r="M1043" s="79">
        <f>$J$1043-EFEITO!$K$1043*EFEITO!$Y$1043</f>
        <v>0</v>
      </c>
      <c r="N1043" s="79">
        <f ca="1">$K$1043-EFEITO!$M$1043*EFEITO!$Z$1043</f>
        <v>0</v>
      </c>
      <c r="O1043" s="79">
        <f>$L$1043-EFEITO!$O$1043*EFEITO!$AA$1043</f>
        <v>0</v>
      </c>
      <c r="P1043" s="18"/>
      <c r="Q1043" s="18"/>
      <c r="R1043" s="18"/>
      <c r="S1043" s="18"/>
      <c r="T1043" s="18"/>
      <c r="U1043" s="18"/>
      <c r="V1043" s="18"/>
      <c r="W1043" s="18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</row>
    <row r="1044" spans="1:36" ht="11.25" customHeight="1" x14ac:dyDescent="0.2">
      <c r="A1044" s="70" t="s">
        <v>28</v>
      </c>
      <c r="B1044" s="70" t="s">
        <v>33</v>
      </c>
      <c r="C1044" s="70" t="s">
        <v>23</v>
      </c>
      <c r="D1044" s="70" t="s">
        <v>34</v>
      </c>
      <c r="E1044" s="70" t="s">
        <v>25</v>
      </c>
      <c r="F1044" s="70" t="s">
        <v>25</v>
      </c>
      <c r="G1044" s="70" t="s">
        <v>25</v>
      </c>
      <c r="H1044" s="70" t="s">
        <v>25</v>
      </c>
      <c r="I1044" s="78">
        <v>44652</v>
      </c>
      <c r="J1044" s="79">
        <f>EFEITO!$J$1044*EFEITO!$Y$1044</f>
        <v>0</v>
      </c>
      <c r="K1044" s="79">
        <f ca="1">EFEITO!$L$1044*EFEITO!$Z$1044</f>
        <v>42144.44080607978</v>
      </c>
      <c r="L1044" s="79">
        <f>EFEITO!$N$1044*EFEITO!$AA$1044</f>
        <v>28587.349605761403</v>
      </c>
      <c r="M1044" s="79">
        <f>$J$1044-EFEITO!$K$1044*EFEITO!$Y$1044</f>
        <v>0</v>
      </c>
      <c r="N1044" s="79">
        <f ca="1">$K$1044-EFEITO!$M$1044*EFEITO!$Z$1044</f>
        <v>0</v>
      </c>
      <c r="O1044" s="79">
        <f>$L$1044-EFEITO!$O$1044*EFEITO!$AA$1044</f>
        <v>0</v>
      </c>
      <c r="P1044" s="18"/>
      <c r="Q1044" s="18"/>
      <c r="R1044" s="18"/>
      <c r="S1044" s="18"/>
      <c r="T1044" s="18"/>
      <c r="U1044" s="18"/>
      <c r="V1044" s="18"/>
      <c r="W1044" s="18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</row>
    <row r="1045" spans="1:36" ht="11.25" customHeight="1" x14ac:dyDescent="0.2">
      <c r="A1045" s="70" t="s">
        <v>21</v>
      </c>
      <c r="B1045" s="70" t="s">
        <v>33</v>
      </c>
      <c r="C1045" s="70" t="s">
        <v>23</v>
      </c>
      <c r="D1045" s="70" t="s">
        <v>34</v>
      </c>
      <c r="E1045" s="70" t="s">
        <v>25</v>
      </c>
      <c r="F1045" s="70" t="s">
        <v>25</v>
      </c>
      <c r="G1045" s="70" t="s">
        <v>25</v>
      </c>
      <c r="H1045" s="70" t="s">
        <v>25</v>
      </c>
      <c r="I1045" s="78">
        <v>44682</v>
      </c>
      <c r="J1045" s="79">
        <f>EFEITO!$J$1045*EFEITO!$Y$1045</f>
        <v>0</v>
      </c>
      <c r="K1045" s="79">
        <f ca="1">EFEITO!$L$1045*EFEITO!$Z$1045</f>
        <v>98752.586773444142</v>
      </c>
      <c r="L1045" s="79">
        <f>EFEITO!$N$1045*EFEITO!$AA$1045</f>
        <v>66985.696537192605</v>
      </c>
      <c r="M1045" s="79">
        <f>$J$1045-EFEITO!$K$1045*EFEITO!$Y$1045</f>
        <v>0</v>
      </c>
      <c r="N1045" s="79">
        <f ca="1">$K$1045-EFEITO!$M$1045*EFEITO!$Z$1045</f>
        <v>0</v>
      </c>
      <c r="O1045" s="79">
        <f>$L$1045-EFEITO!$O$1045*EFEITO!$AA$1045</f>
        <v>0</v>
      </c>
      <c r="P1045" s="18"/>
      <c r="Q1045" s="18"/>
      <c r="R1045" s="18"/>
      <c r="S1045" s="18"/>
      <c r="T1045" s="18"/>
      <c r="U1045" s="18"/>
      <c r="V1045" s="18"/>
      <c r="W1045" s="18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</row>
    <row r="1046" spans="1:36" ht="11.25" customHeight="1" x14ac:dyDescent="0.2">
      <c r="A1046" s="70" t="s">
        <v>27</v>
      </c>
      <c r="B1046" s="70" t="s">
        <v>33</v>
      </c>
      <c r="C1046" s="70" t="s">
        <v>23</v>
      </c>
      <c r="D1046" s="70" t="s">
        <v>34</v>
      </c>
      <c r="E1046" s="70" t="s">
        <v>25</v>
      </c>
      <c r="F1046" s="70" t="s">
        <v>25</v>
      </c>
      <c r="G1046" s="70" t="s">
        <v>25</v>
      </c>
      <c r="H1046" s="70" t="s">
        <v>25</v>
      </c>
      <c r="I1046" s="78">
        <v>44682</v>
      </c>
      <c r="J1046" s="79">
        <f>EFEITO!$J$1046*EFEITO!$Y$1046</f>
        <v>0</v>
      </c>
      <c r="K1046" s="79">
        <f ca="1">EFEITO!$L$1046*EFEITO!$Z$1046</f>
        <v>-590.17643522462117</v>
      </c>
      <c r="L1046" s="79">
        <f>EFEITO!$N$1046*EFEITO!$AA$1046</f>
        <v>-400.32753454909624</v>
      </c>
      <c r="M1046" s="79">
        <f>$J$1046-EFEITO!$K$1046*EFEITO!$Y$1046</f>
        <v>0</v>
      </c>
      <c r="N1046" s="79">
        <f ca="1">$K$1046-EFEITO!$M$1046*EFEITO!$Z$1046</f>
        <v>0</v>
      </c>
      <c r="O1046" s="79">
        <f>$L$1046-EFEITO!$O$1046*EFEITO!$AA$1046</f>
        <v>0</v>
      </c>
      <c r="P1046" s="18"/>
      <c r="Q1046" s="18"/>
      <c r="R1046" s="18"/>
      <c r="S1046" s="18"/>
      <c r="T1046" s="18"/>
      <c r="U1046" s="18"/>
      <c r="V1046" s="18"/>
      <c r="W1046" s="18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</row>
    <row r="1047" spans="1:36" ht="11.25" customHeight="1" x14ac:dyDescent="0.2">
      <c r="A1047" s="70" t="s">
        <v>28</v>
      </c>
      <c r="B1047" s="70" t="s">
        <v>33</v>
      </c>
      <c r="C1047" s="70" t="s">
        <v>23</v>
      </c>
      <c r="D1047" s="70" t="s">
        <v>34</v>
      </c>
      <c r="E1047" s="70" t="s">
        <v>25</v>
      </c>
      <c r="F1047" s="70" t="s">
        <v>25</v>
      </c>
      <c r="G1047" s="70" t="s">
        <v>25</v>
      </c>
      <c r="H1047" s="70" t="s">
        <v>25</v>
      </c>
      <c r="I1047" s="78">
        <v>44682</v>
      </c>
      <c r="J1047" s="79">
        <f>EFEITO!$J$1047*EFEITO!$Y$1047</f>
        <v>0</v>
      </c>
      <c r="K1047" s="79">
        <f ca="1">EFEITO!$L$1047*EFEITO!$Z$1047</f>
        <v>19545.942334914434</v>
      </c>
      <c r="L1047" s="79">
        <f>EFEITO!$N$1047*EFEITO!$AA$1047</f>
        <v>13258.372307591357</v>
      </c>
      <c r="M1047" s="79">
        <f>$J$1047-EFEITO!$K$1047*EFEITO!$Y$1047</f>
        <v>0</v>
      </c>
      <c r="N1047" s="79">
        <f ca="1">$K$1047-EFEITO!$M$1047*EFEITO!$Z$1047</f>
        <v>0</v>
      </c>
      <c r="O1047" s="79">
        <f>$L$1047-EFEITO!$O$1047*EFEITO!$AA$1047</f>
        <v>0</v>
      </c>
      <c r="P1047" s="18"/>
      <c r="Q1047" s="18"/>
      <c r="R1047" s="18"/>
      <c r="S1047" s="18"/>
      <c r="T1047" s="18"/>
      <c r="U1047" s="18"/>
      <c r="V1047" s="18"/>
      <c r="W1047" s="18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</row>
    <row r="1048" spans="1:36" ht="11.25" customHeight="1" x14ac:dyDescent="0.2">
      <c r="A1048" s="70" t="s">
        <v>21</v>
      </c>
      <c r="B1048" s="70" t="s">
        <v>33</v>
      </c>
      <c r="C1048" s="70" t="s">
        <v>23</v>
      </c>
      <c r="D1048" s="70" t="s">
        <v>34</v>
      </c>
      <c r="E1048" s="70" t="s">
        <v>25</v>
      </c>
      <c r="F1048" s="70" t="s">
        <v>25</v>
      </c>
      <c r="G1048" s="70" t="s">
        <v>25</v>
      </c>
      <c r="H1048" s="70" t="s">
        <v>25</v>
      </c>
      <c r="I1048" s="78">
        <v>44713</v>
      </c>
      <c r="J1048" s="79">
        <f>EFEITO!$J$1048*EFEITO!$Y$1048</f>
        <v>0</v>
      </c>
      <c r="K1048" s="79">
        <f ca="1">EFEITO!$L$1048*EFEITO!$Z$1048</f>
        <v>102109.28829042221</v>
      </c>
      <c r="L1048" s="79">
        <f>EFEITO!$N$1048*EFEITO!$AA$1048</f>
        <v>69262.608935427546</v>
      </c>
      <c r="M1048" s="79">
        <f>$J$1048-EFEITO!$K$1048*EFEITO!$Y$1048</f>
        <v>0</v>
      </c>
      <c r="N1048" s="79">
        <f ca="1">$K$1048-EFEITO!$M$1048*EFEITO!$Z$1048</f>
        <v>0</v>
      </c>
      <c r="O1048" s="79">
        <f>$L$1048-EFEITO!$O$1048*EFEITO!$AA$1048</f>
        <v>0</v>
      </c>
      <c r="P1048" s="18"/>
      <c r="Q1048" s="18"/>
      <c r="R1048" s="18"/>
      <c r="S1048" s="18"/>
      <c r="T1048" s="18"/>
      <c r="U1048" s="18"/>
      <c r="V1048" s="18"/>
      <c r="W1048" s="18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</row>
    <row r="1049" spans="1:36" ht="11.25" customHeight="1" x14ac:dyDescent="0.2">
      <c r="A1049" s="70" t="s">
        <v>27</v>
      </c>
      <c r="B1049" s="70" t="s">
        <v>33</v>
      </c>
      <c r="C1049" s="70" t="s">
        <v>23</v>
      </c>
      <c r="D1049" s="70" t="s">
        <v>34</v>
      </c>
      <c r="E1049" s="70" t="s">
        <v>25</v>
      </c>
      <c r="F1049" s="70" t="s">
        <v>25</v>
      </c>
      <c r="G1049" s="70" t="s">
        <v>25</v>
      </c>
      <c r="H1049" s="70" t="s">
        <v>25</v>
      </c>
      <c r="I1049" s="78">
        <v>44713</v>
      </c>
      <c r="J1049" s="79">
        <f>EFEITO!$J$1049*EFEITO!$Y$1049</f>
        <v>0</v>
      </c>
      <c r="K1049" s="79">
        <f ca="1">EFEITO!$L$1049*EFEITO!$Z$1049</f>
        <v>-22484.845682401792</v>
      </c>
      <c r="L1049" s="79">
        <f>EFEITO!$N$1049*EFEITO!$AA$1049</f>
        <v>-15251.884520477179</v>
      </c>
      <c r="M1049" s="79">
        <f>$J$1049-EFEITO!$K$1049*EFEITO!$Y$1049</f>
        <v>0</v>
      </c>
      <c r="N1049" s="79">
        <f ca="1">$K$1049-EFEITO!$M$1049*EFEITO!$Z$1049</f>
        <v>0</v>
      </c>
      <c r="O1049" s="79">
        <f>$L$1049-EFEITO!$O$1049*EFEITO!$AA$1049</f>
        <v>0</v>
      </c>
      <c r="P1049" s="18"/>
      <c r="Q1049" s="18"/>
      <c r="R1049" s="18"/>
      <c r="S1049" s="18"/>
      <c r="T1049" s="18"/>
      <c r="U1049" s="18"/>
      <c r="V1049" s="18"/>
      <c r="W1049" s="18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</row>
    <row r="1050" spans="1:36" ht="11.25" customHeight="1" x14ac:dyDescent="0.2">
      <c r="A1050" s="70" t="s">
        <v>28</v>
      </c>
      <c r="B1050" s="70" t="s">
        <v>33</v>
      </c>
      <c r="C1050" s="70" t="s">
        <v>23</v>
      </c>
      <c r="D1050" s="70" t="s">
        <v>34</v>
      </c>
      <c r="E1050" s="70" t="s">
        <v>25</v>
      </c>
      <c r="F1050" s="70" t="s">
        <v>25</v>
      </c>
      <c r="G1050" s="70" t="s">
        <v>25</v>
      </c>
      <c r="H1050" s="70" t="s">
        <v>25</v>
      </c>
      <c r="I1050" s="78">
        <v>44713</v>
      </c>
      <c r="J1050" s="79">
        <f>EFEITO!$J$1050*EFEITO!$Y$1050</f>
        <v>0</v>
      </c>
      <c r="K1050" s="79">
        <f ca="1">EFEITO!$L$1050*EFEITO!$Z$1050</f>
        <v>25274.744088322539</v>
      </c>
      <c r="L1050" s="79">
        <f>EFEITO!$N$1050*EFEITO!$AA$1050</f>
        <v>17144.323939986742</v>
      </c>
      <c r="M1050" s="79">
        <f>$J$1050-EFEITO!$K$1050*EFEITO!$Y$1050</f>
        <v>0</v>
      </c>
      <c r="N1050" s="79">
        <f ca="1">$K$1050-EFEITO!$M$1050*EFEITO!$Z$1050</f>
        <v>0</v>
      </c>
      <c r="O1050" s="79">
        <f>$L$1050-EFEITO!$O$1050*EFEITO!$AA$1050</f>
        <v>0</v>
      </c>
      <c r="P1050" s="18"/>
      <c r="Q1050" s="18"/>
      <c r="R1050" s="18"/>
      <c r="S1050" s="18"/>
      <c r="T1050" s="18"/>
      <c r="U1050" s="18"/>
      <c r="V1050" s="18"/>
      <c r="W1050" s="18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</row>
    <row r="1051" spans="1:36" ht="11.25" customHeight="1" x14ac:dyDescent="0.2">
      <c r="A1051" s="70" t="s">
        <v>28</v>
      </c>
      <c r="B1051" s="70" t="s">
        <v>33</v>
      </c>
      <c r="C1051" s="70" t="s">
        <v>23</v>
      </c>
      <c r="D1051" s="70" t="s">
        <v>34</v>
      </c>
      <c r="E1051" s="70" t="s">
        <v>25</v>
      </c>
      <c r="F1051" s="70" t="s">
        <v>25</v>
      </c>
      <c r="G1051" s="70" t="s">
        <v>25</v>
      </c>
      <c r="H1051" s="70" t="s">
        <v>25</v>
      </c>
      <c r="I1051" s="78">
        <v>44713</v>
      </c>
      <c r="J1051" s="79">
        <f>EFEITO!$J$1051*EFEITO!$Y$1051</f>
        <v>0</v>
      </c>
      <c r="K1051" s="79">
        <f ca="1">EFEITO!$L$1051*EFEITO!$Z$1051</f>
        <v>-41379.548772704504</v>
      </c>
      <c r="L1051" s="79">
        <f>EFEITO!$N$1051*EFEITO!$AA$1051</f>
        <v>-28068.509266429952</v>
      </c>
      <c r="M1051" s="79">
        <f>$J$1051-EFEITO!$K$1051*EFEITO!$Y$1051</f>
        <v>0</v>
      </c>
      <c r="N1051" s="79">
        <f ca="1">$K$1051-EFEITO!$M$1051*EFEITO!$Z$1051</f>
        <v>0</v>
      </c>
      <c r="O1051" s="79">
        <f>$L$1051-EFEITO!$O$1051*EFEITO!$AA$1051</f>
        <v>0</v>
      </c>
      <c r="P1051" s="18"/>
      <c r="Q1051" s="18"/>
      <c r="R1051" s="18"/>
      <c r="S1051" s="18"/>
      <c r="T1051" s="18"/>
      <c r="U1051" s="18"/>
      <c r="V1051" s="18"/>
      <c r="W1051" s="18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</row>
    <row r="1052" spans="1:36" ht="11.25" customHeight="1" x14ac:dyDescent="0.2">
      <c r="A1052" s="70" t="s">
        <v>21</v>
      </c>
      <c r="B1052" s="70" t="s">
        <v>33</v>
      </c>
      <c r="C1052" s="70" t="s">
        <v>23</v>
      </c>
      <c r="D1052" s="70" t="s">
        <v>43</v>
      </c>
      <c r="E1052" s="70" t="s">
        <v>25</v>
      </c>
      <c r="F1052" s="70" t="s">
        <v>25</v>
      </c>
      <c r="G1052" s="70" t="s">
        <v>25</v>
      </c>
      <c r="H1052" s="70" t="s">
        <v>25</v>
      </c>
      <c r="I1052" s="78">
        <v>44378</v>
      </c>
      <c r="J1052" s="79">
        <f>EFEITO!$J$1052*EFEITO!$Y$1052</f>
        <v>0</v>
      </c>
      <c r="K1052" s="79">
        <f ca="1">EFEITO!$L$1052*EFEITO!$Z$1052</f>
        <v>196416.85314034787</v>
      </c>
      <c r="L1052" s="79">
        <f>EFEITO!$N$1052*EFEITO!$AA$1052</f>
        <v>133233.16531884298</v>
      </c>
      <c r="M1052" s="79">
        <f>$J$1052-EFEITO!$K$1052*EFEITO!$Y$1052</f>
        <v>0</v>
      </c>
      <c r="N1052" s="79">
        <f ca="1">$K$1052-EFEITO!$M$1052*EFEITO!$Z$1052</f>
        <v>0</v>
      </c>
      <c r="O1052" s="79">
        <f>$L$1052-EFEITO!$O$1052*EFEITO!$AA$1052</f>
        <v>0</v>
      </c>
      <c r="P1052" s="18"/>
      <c r="Q1052" s="18"/>
      <c r="R1052" s="18"/>
      <c r="S1052" s="18"/>
      <c r="T1052" s="18"/>
      <c r="U1052" s="18"/>
      <c r="V1052" s="18"/>
      <c r="W1052" s="18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</row>
    <row r="1053" spans="1:36" ht="11.25" customHeight="1" x14ac:dyDescent="0.2">
      <c r="A1053" s="70" t="s">
        <v>21</v>
      </c>
      <c r="B1053" s="70" t="s">
        <v>33</v>
      </c>
      <c r="C1053" s="70" t="s">
        <v>23</v>
      </c>
      <c r="D1053" s="70" t="s">
        <v>43</v>
      </c>
      <c r="E1053" s="70" t="s">
        <v>25</v>
      </c>
      <c r="F1053" s="70" t="s">
        <v>25</v>
      </c>
      <c r="G1053" s="70" t="s">
        <v>25</v>
      </c>
      <c r="H1053" s="70" t="s">
        <v>25</v>
      </c>
      <c r="I1053" s="78">
        <v>44409</v>
      </c>
      <c r="J1053" s="79">
        <f>EFEITO!$J$1053*EFEITO!$Y$1053</f>
        <v>0</v>
      </c>
      <c r="K1053" s="79">
        <f ca="1">EFEITO!$L$1053*EFEITO!$Z$1053</f>
        <v>202127.2484009742</v>
      </c>
      <c r="L1053" s="79">
        <f>EFEITO!$N$1053*EFEITO!$AA$1053</f>
        <v>137106.63148852717</v>
      </c>
      <c r="M1053" s="79">
        <f>$J$1053-EFEITO!$K$1053*EFEITO!$Y$1053</f>
        <v>0</v>
      </c>
      <c r="N1053" s="79">
        <f ca="1">$K$1053-EFEITO!$M$1053*EFEITO!$Z$1053</f>
        <v>0</v>
      </c>
      <c r="O1053" s="79">
        <f>$L$1053-EFEITO!$O$1053*EFEITO!$AA$1053</f>
        <v>0</v>
      </c>
      <c r="P1053" s="18"/>
      <c r="Q1053" s="18"/>
      <c r="R1053" s="18"/>
      <c r="S1053" s="18"/>
      <c r="T1053" s="18"/>
      <c r="U1053" s="18"/>
      <c r="V1053" s="18"/>
      <c r="W1053" s="18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</row>
    <row r="1054" spans="1:36" ht="11.25" customHeight="1" x14ac:dyDescent="0.2">
      <c r="A1054" s="70" t="s">
        <v>21</v>
      </c>
      <c r="B1054" s="70" t="s">
        <v>33</v>
      </c>
      <c r="C1054" s="70" t="s">
        <v>23</v>
      </c>
      <c r="D1054" s="70" t="s">
        <v>43</v>
      </c>
      <c r="E1054" s="70" t="s">
        <v>25</v>
      </c>
      <c r="F1054" s="70" t="s">
        <v>25</v>
      </c>
      <c r="G1054" s="70" t="s">
        <v>25</v>
      </c>
      <c r="H1054" s="70" t="s">
        <v>25</v>
      </c>
      <c r="I1054" s="78">
        <v>44440</v>
      </c>
      <c r="J1054" s="79">
        <f>EFEITO!$J$1054*EFEITO!$Y$1054</f>
        <v>0</v>
      </c>
      <c r="K1054" s="79">
        <f ca="1">EFEITO!$L$1054*EFEITO!$Z$1054</f>
        <v>199793.42198286811</v>
      </c>
      <c r="L1054" s="79">
        <f>EFEITO!$N$1054*EFEITO!$AA$1054</f>
        <v>135523.55408952804</v>
      </c>
      <c r="M1054" s="79">
        <f>$J$1054-EFEITO!$K$1054*EFEITO!$Y$1054</f>
        <v>0</v>
      </c>
      <c r="N1054" s="79">
        <f ca="1">$K$1054-EFEITO!$M$1054*EFEITO!$Z$1054</f>
        <v>0</v>
      </c>
      <c r="O1054" s="79">
        <f>$L$1054-EFEITO!$O$1054*EFEITO!$AA$1054</f>
        <v>0</v>
      </c>
      <c r="P1054" s="18"/>
      <c r="Q1054" s="18"/>
      <c r="R1054" s="18"/>
      <c r="S1054" s="18"/>
      <c r="T1054" s="18"/>
      <c r="U1054" s="18"/>
      <c r="V1054" s="18"/>
      <c r="W1054" s="18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</row>
    <row r="1055" spans="1:36" ht="11.25" customHeight="1" x14ac:dyDescent="0.2">
      <c r="A1055" s="70" t="s">
        <v>21</v>
      </c>
      <c r="B1055" s="70" t="s">
        <v>33</v>
      </c>
      <c r="C1055" s="70" t="s">
        <v>23</v>
      </c>
      <c r="D1055" s="70" t="s">
        <v>43</v>
      </c>
      <c r="E1055" s="70" t="s">
        <v>25</v>
      </c>
      <c r="F1055" s="70" t="s">
        <v>25</v>
      </c>
      <c r="G1055" s="70" t="s">
        <v>25</v>
      </c>
      <c r="H1055" s="70" t="s">
        <v>25</v>
      </c>
      <c r="I1055" s="78">
        <v>44470</v>
      </c>
      <c r="J1055" s="79">
        <f>EFEITO!$J$1055*EFEITO!$Y$1055</f>
        <v>0</v>
      </c>
      <c r="K1055" s="79">
        <f ca="1">EFEITO!$L$1055*EFEITO!$Z$1055</f>
        <v>185404.21929236682</v>
      </c>
      <c r="L1055" s="79">
        <f>EFEITO!$N$1055*EFEITO!$AA$1055</f>
        <v>125763.09316054637</v>
      </c>
      <c r="M1055" s="79">
        <f>$J$1055-EFEITO!$K$1055*EFEITO!$Y$1055</f>
        <v>0</v>
      </c>
      <c r="N1055" s="79">
        <f ca="1">$K$1055-EFEITO!$M$1055*EFEITO!$Z$1055</f>
        <v>0</v>
      </c>
      <c r="O1055" s="79">
        <f>$L$1055-EFEITO!$O$1055*EFEITO!$AA$1055</f>
        <v>0</v>
      </c>
      <c r="P1055" s="18"/>
      <c r="Q1055" s="18"/>
      <c r="R1055" s="18"/>
      <c r="S1055" s="18"/>
      <c r="T1055" s="18"/>
      <c r="U1055" s="18"/>
      <c r="V1055" s="18"/>
      <c r="W1055" s="18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</row>
    <row r="1056" spans="1:36" ht="11.25" customHeight="1" x14ac:dyDescent="0.2">
      <c r="A1056" s="70" t="s">
        <v>21</v>
      </c>
      <c r="B1056" s="70" t="s">
        <v>33</v>
      </c>
      <c r="C1056" s="70" t="s">
        <v>23</v>
      </c>
      <c r="D1056" s="70" t="s">
        <v>43</v>
      </c>
      <c r="E1056" s="70" t="s">
        <v>25</v>
      </c>
      <c r="F1056" s="70" t="s">
        <v>25</v>
      </c>
      <c r="G1056" s="70" t="s">
        <v>25</v>
      </c>
      <c r="H1056" s="70" t="s">
        <v>25</v>
      </c>
      <c r="I1056" s="78">
        <v>44501</v>
      </c>
      <c r="J1056" s="79">
        <f>EFEITO!$J$1056*EFEITO!$Y$1056</f>
        <v>0</v>
      </c>
      <c r="K1056" s="79">
        <f ca="1">EFEITO!$L$1056*EFEITO!$Z$1056</f>
        <v>197042.38172837553</v>
      </c>
      <c r="L1056" s="79">
        <f>EFEITO!$N$1056*EFEITO!$AA$1056</f>
        <v>133657.47286907546</v>
      </c>
      <c r="M1056" s="79">
        <f>$J$1056-EFEITO!$K$1056*EFEITO!$Y$1056</f>
        <v>0</v>
      </c>
      <c r="N1056" s="79">
        <f ca="1">$K$1056-EFEITO!$M$1056*EFEITO!$Z$1056</f>
        <v>0</v>
      </c>
      <c r="O1056" s="79">
        <f>$L$1056-EFEITO!$O$1056*EFEITO!$AA$1056</f>
        <v>0</v>
      </c>
      <c r="P1056" s="18"/>
      <c r="Q1056" s="18"/>
      <c r="R1056" s="18"/>
      <c r="S1056" s="18"/>
      <c r="T1056" s="18"/>
      <c r="U1056" s="18"/>
      <c r="V1056" s="18"/>
      <c r="W1056" s="18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</row>
    <row r="1057" spans="1:36" ht="11.25" customHeight="1" x14ac:dyDescent="0.2">
      <c r="A1057" s="70" t="s">
        <v>21</v>
      </c>
      <c r="B1057" s="70" t="s">
        <v>33</v>
      </c>
      <c r="C1057" s="70" t="s">
        <v>23</v>
      </c>
      <c r="D1057" s="70" t="s">
        <v>43</v>
      </c>
      <c r="E1057" s="70" t="s">
        <v>25</v>
      </c>
      <c r="F1057" s="70" t="s">
        <v>25</v>
      </c>
      <c r="G1057" s="70" t="s">
        <v>25</v>
      </c>
      <c r="H1057" s="70" t="s">
        <v>25</v>
      </c>
      <c r="I1057" s="78">
        <v>44531</v>
      </c>
      <c r="J1057" s="79">
        <f>EFEITO!$J$1057*EFEITO!$Y$1057</f>
        <v>0</v>
      </c>
      <c r="K1057" s="79">
        <f ca="1">EFEITO!$L$1057*EFEITO!$Z$1057</f>
        <v>199207.33587937278</v>
      </c>
      <c r="L1057" s="79">
        <f>EFEITO!$N$1057*EFEITO!$AA$1057</f>
        <v>135126.00110224812</v>
      </c>
      <c r="M1057" s="79">
        <f>$J$1057-EFEITO!$K$1057*EFEITO!$Y$1057</f>
        <v>0</v>
      </c>
      <c r="N1057" s="79">
        <f ca="1">$K$1057-EFEITO!$M$1057*EFEITO!$Z$1057</f>
        <v>0</v>
      </c>
      <c r="O1057" s="79">
        <f>$L$1057-EFEITO!$O$1057*EFEITO!$AA$1057</f>
        <v>0</v>
      </c>
      <c r="P1057" s="18"/>
      <c r="Q1057" s="18"/>
      <c r="R1057" s="18"/>
      <c r="S1057" s="18"/>
      <c r="T1057" s="18"/>
      <c r="U1057" s="18"/>
      <c r="V1057" s="18"/>
      <c r="W1057" s="18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</row>
    <row r="1058" spans="1:36" ht="11.25" customHeight="1" x14ac:dyDescent="0.2">
      <c r="A1058" s="70" t="s">
        <v>27</v>
      </c>
      <c r="B1058" s="70" t="s">
        <v>33</v>
      </c>
      <c r="C1058" s="70" t="s">
        <v>23</v>
      </c>
      <c r="D1058" s="70" t="s">
        <v>43</v>
      </c>
      <c r="E1058" s="70" t="s">
        <v>25</v>
      </c>
      <c r="F1058" s="70" t="s">
        <v>25</v>
      </c>
      <c r="G1058" s="70" t="s">
        <v>25</v>
      </c>
      <c r="H1058" s="70" t="s">
        <v>25</v>
      </c>
      <c r="I1058" s="78">
        <v>44531</v>
      </c>
      <c r="J1058" s="79">
        <f>EFEITO!$J$1058*EFEITO!$Y$1058</f>
        <v>0</v>
      </c>
      <c r="K1058" s="79">
        <f ca="1">EFEITO!$L$1058*EFEITO!$Z$1058</f>
        <v>-154.55610605634882</v>
      </c>
      <c r="L1058" s="79">
        <f>EFEITO!$N$1058*EFEITO!$AA$1058</f>
        <v>-104.83825038439204</v>
      </c>
      <c r="M1058" s="79">
        <f>$J$1058-EFEITO!$K$1058*EFEITO!$Y$1058</f>
        <v>0</v>
      </c>
      <c r="N1058" s="79">
        <f ca="1">$K$1058-EFEITO!$M$1058*EFEITO!$Z$1058</f>
        <v>0</v>
      </c>
      <c r="O1058" s="79">
        <f>$L$1058-EFEITO!$O$1058*EFEITO!$AA$1058</f>
        <v>0</v>
      </c>
      <c r="P1058" s="18"/>
      <c r="Q1058" s="18"/>
      <c r="R1058" s="18"/>
      <c r="S1058" s="18"/>
      <c r="T1058" s="18"/>
      <c r="U1058" s="18"/>
      <c r="V1058" s="18"/>
      <c r="W1058" s="18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</row>
    <row r="1059" spans="1:36" ht="11.25" customHeight="1" x14ac:dyDescent="0.2">
      <c r="A1059" s="70" t="s">
        <v>21</v>
      </c>
      <c r="B1059" s="70" t="s">
        <v>33</v>
      </c>
      <c r="C1059" s="70" t="s">
        <v>23</v>
      </c>
      <c r="D1059" s="70" t="s">
        <v>43</v>
      </c>
      <c r="E1059" s="70" t="s">
        <v>25</v>
      </c>
      <c r="F1059" s="70" t="s">
        <v>25</v>
      </c>
      <c r="G1059" s="70" t="s">
        <v>25</v>
      </c>
      <c r="H1059" s="70" t="s">
        <v>25</v>
      </c>
      <c r="I1059" s="78">
        <v>44562</v>
      </c>
      <c r="J1059" s="79">
        <f>EFEITO!$J$1059*EFEITO!$Y$1059</f>
        <v>0</v>
      </c>
      <c r="K1059" s="79">
        <f ca="1">EFEITO!$L$1059*EFEITO!$Z$1059</f>
        <v>258447.02598142435</v>
      </c>
      <c r="L1059" s="79">
        <f>EFEITO!$N$1059*EFEITO!$AA$1059</f>
        <v>175309.37283748316</v>
      </c>
      <c r="M1059" s="79">
        <f>$J$1059-EFEITO!$K$1059*EFEITO!$Y$1059</f>
        <v>0</v>
      </c>
      <c r="N1059" s="79">
        <f ca="1">$K$1059-EFEITO!$M$1059*EFEITO!$Z$1059</f>
        <v>0</v>
      </c>
      <c r="O1059" s="79">
        <f>$L$1059-EFEITO!$O$1059*EFEITO!$AA$1059</f>
        <v>0</v>
      </c>
      <c r="P1059" s="18"/>
      <c r="Q1059" s="18"/>
      <c r="R1059" s="18"/>
      <c r="S1059" s="18"/>
      <c r="T1059" s="18"/>
      <c r="U1059" s="18"/>
      <c r="V1059" s="18"/>
      <c r="W1059" s="18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</row>
    <row r="1060" spans="1:36" ht="11.25" customHeight="1" x14ac:dyDescent="0.2">
      <c r="A1060" s="70" t="s">
        <v>21</v>
      </c>
      <c r="B1060" s="70" t="s">
        <v>33</v>
      </c>
      <c r="C1060" s="70" t="s">
        <v>23</v>
      </c>
      <c r="D1060" s="70" t="s">
        <v>43</v>
      </c>
      <c r="E1060" s="70" t="s">
        <v>25</v>
      </c>
      <c r="F1060" s="70" t="s">
        <v>25</v>
      </c>
      <c r="G1060" s="70" t="s">
        <v>25</v>
      </c>
      <c r="H1060" s="70" t="s">
        <v>25</v>
      </c>
      <c r="I1060" s="78">
        <v>44593</v>
      </c>
      <c r="J1060" s="79">
        <f>EFEITO!$J$1060*EFEITO!$Y$1060</f>
        <v>0</v>
      </c>
      <c r="K1060" s="79">
        <f ca="1">EFEITO!$L$1060*EFEITO!$Z$1060</f>
        <v>223897.45469696046</v>
      </c>
      <c r="L1060" s="79">
        <f>EFEITO!$N$1060*EFEITO!$AA$1060</f>
        <v>151873.76296469392</v>
      </c>
      <c r="M1060" s="79">
        <f>$J$1060-EFEITO!$K$1060*EFEITO!$Y$1060</f>
        <v>0</v>
      </c>
      <c r="N1060" s="79">
        <f ca="1">$K$1060-EFEITO!$M$1060*EFEITO!$Z$1060</f>
        <v>0</v>
      </c>
      <c r="O1060" s="79">
        <f>$L$1060-EFEITO!$O$1060*EFEITO!$AA$1060</f>
        <v>0</v>
      </c>
      <c r="P1060" s="18"/>
      <c r="Q1060" s="18"/>
      <c r="R1060" s="18"/>
      <c r="S1060" s="18"/>
      <c r="T1060" s="18"/>
      <c r="U1060" s="18"/>
      <c r="V1060" s="18"/>
      <c r="W1060" s="18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</row>
    <row r="1061" spans="1:36" ht="11.25" customHeight="1" x14ac:dyDescent="0.2">
      <c r="A1061" s="70" t="s">
        <v>21</v>
      </c>
      <c r="B1061" s="70" t="s">
        <v>33</v>
      </c>
      <c r="C1061" s="70" t="s">
        <v>23</v>
      </c>
      <c r="D1061" s="70" t="s">
        <v>43</v>
      </c>
      <c r="E1061" s="70" t="s">
        <v>25</v>
      </c>
      <c r="F1061" s="70" t="s">
        <v>25</v>
      </c>
      <c r="G1061" s="70" t="s">
        <v>25</v>
      </c>
      <c r="H1061" s="70" t="s">
        <v>25</v>
      </c>
      <c r="I1061" s="78">
        <v>44621</v>
      </c>
      <c r="J1061" s="79">
        <f>EFEITO!$J$1061*EFEITO!$Y$1061</f>
        <v>0</v>
      </c>
      <c r="K1061" s="79">
        <f ca="1">EFEITO!$L$1061*EFEITO!$Z$1061</f>
        <v>218740.42288599518</v>
      </c>
      <c r="L1061" s="79">
        <f>EFEITO!$N$1061*EFEITO!$AA$1061</f>
        <v>148375.65340413642</v>
      </c>
      <c r="M1061" s="79">
        <f>$J$1061-EFEITO!$K$1061*EFEITO!$Y$1061</f>
        <v>0</v>
      </c>
      <c r="N1061" s="79">
        <f ca="1">$K$1061-EFEITO!$M$1061*EFEITO!$Z$1061</f>
        <v>0</v>
      </c>
      <c r="O1061" s="79">
        <f>$L$1061-EFEITO!$O$1061*EFEITO!$AA$1061</f>
        <v>0</v>
      </c>
      <c r="P1061" s="18"/>
      <c r="Q1061" s="18"/>
      <c r="R1061" s="18"/>
      <c r="S1061" s="18"/>
      <c r="T1061" s="18"/>
      <c r="U1061" s="18"/>
      <c r="V1061" s="18"/>
      <c r="W1061" s="18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</row>
    <row r="1062" spans="1:36" ht="11.25" customHeight="1" x14ac:dyDescent="0.2">
      <c r="A1062" s="70" t="s">
        <v>27</v>
      </c>
      <c r="B1062" s="70" t="s">
        <v>33</v>
      </c>
      <c r="C1062" s="70" t="s">
        <v>23</v>
      </c>
      <c r="D1062" s="70" t="s">
        <v>43</v>
      </c>
      <c r="E1062" s="70" t="s">
        <v>25</v>
      </c>
      <c r="F1062" s="70" t="s">
        <v>25</v>
      </c>
      <c r="G1062" s="70" t="s">
        <v>25</v>
      </c>
      <c r="H1062" s="70" t="s">
        <v>25</v>
      </c>
      <c r="I1062" s="78">
        <v>44621</v>
      </c>
      <c r="J1062" s="79">
        <f>EFEITO!$J$1062*EFEITO!$Y$1062</f>
        <v>0</v>
      </c>
      <c r="K1062" s="79">
        <f ca="1">EFEITO!$L$1062*EFEITO!$Z$1062</f>
        <v>-4406.7481051945351</v>
      </c>
      <c r="L1062" s="79">
        <f>EFEITO!$N$1062*EFEITO!$AA$1062</f>
        <v>-2989.1783186158509</v>
      </c>
      <c r="M1062" s="79">
        <f>$J$1062-EFEITO!$K$1062*EFEITO!$Y$1062</f>
        <v>0</v>
      </c>
      <c r="N1062" s="79">
        <f ca="1">$K$1062-EFEITO!$M$1062*EFEITO!$Z$1062</f>
        <v>0</v>
      </c>
      <c r="O1062" s="79">
        <f>$L$1062-EFEITO!$O$1062*EFEITO!$AA$1062</f>
        <v>0</v>
      </c>
      <c r="P1062" s="18"/>
      <c r="Q1062" s="18"/>
      <c r="R1062" s="18"/>
      <c r="S1062" s="18"/>
      <c r="T1062" s="18"/>
      <c r="U1062" s="18"/>
      <c r="V1062" s="18"/>
      <c r="W1062" s="18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</row>
    <row r="1063" spans="1:36" ht="11.25" customHeight="1" x14ac:dyDescent="0.2">
      <c r="A1063" s="70" t="s">
        <v>21</v>
      </c>
      <c r="B1063" s="70" t="s">
        <v>33</v>
      </c>
      <c r="C1063" s="70" t="s">
        <v>23</v>
      </c>
      <c r="D1063" s="70" t="s">
        <v>43</v>
      </c>
      <c r="E1063" s="70" t="s">
        <v>25</v>
      </c>
      <c r="F1063" s="70" t="s">
        <v>25</v>
      </c>
      <c r="G1063" s="70" t="s">
        <v>25</v>
      </c>
      <c r="H1063" s="70" t="s">
        <v>25</v>
      </c>
      <c r="I1063" s="78">
        <v>44652</v>
      </c>
      <c r="J1063" s="79">
        <f>EFEITO!$J$1063*EFEITO!$Y$1063</f>
        <v>0</v>
      </c>
      <c r="K1063" s="79">
        <f ca="1">EFEITO!$L$1063*EFEITO!$Z$1063</f>
        <v>221842.93950265372</v>
      </c>
      <c r="L1063" s="79">
        <f>EFEITO!$N$1063*EFEITO!$AA$1063</f>
        <v>150480.14750778832</v>
      </c>
      <c r="M1063" s="79">
        <f>$J$1063-EFEITO!$K$1063*EFEITO!$Y$1063</f>
        <v>0</v>
      </c>
      <c r="N1063" s="79">
        <f ca="1">$K$1063-EFEITO!$M$1063*EFEITO!$Z$1063</f>
        <v>0</v>
      </c>
      <c r="O1063" s="79">
        <f>$L$1063-EFEITO!$O$1063*EFEITO!$AA$1063</f>
        <v>0</v>
      </c>
      <c r="P1063" s="18"/>
      <c r="Q1063" s="18"/>
      <c r="R1063" s="18"/>
      <c r="S1063" s="18"/>
      <c r="T1063" s="18"/>
      <c r="U1063" s="18"/>
      <c r="V1063" s="18"/>
      <c r="W1063" s="18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</row>
    <row r="1064" spans="1:36" ht="11.25" customHeight="1" x14ac:dyDescent="0.2">
      <c r="A1064" s="70" t="s">
        <v>27</v>
      </c>
      <c r="B1064" s="70" t="s">
        <v>33</v>
      </c>
      <c r="C1064" s="70" t="s">
        <v>23</v>
      </c>
      <c r="D1064" s="70" t="s">
        <v>43</v>
      </c>
      <c r="E1064" s="70" t="s">
        <v>25</v>
      </c>
      <c r="F1064" s="70" t="s">
        <v>25</v>
      </c>
      <c r="G1064" s="70" t="s">
        <v>25</v>
      </c>
      <c r="H1064" s="70" t="s">
        <v>25</v>
      </c>
      <c r="I1064" s="78">
        <v>44652</v>
      </c>
      <c r="J1064" s="79">
        <f>EFEITO!$J$1064*EFEITO!$Y$1064</f>
        <v>0</v>
      </c>
      <c r="K1064" s="79">
        <f ca="1">EFEITO!$L$1064*EFEITO!$Z$1064</f>
        <v>-5332.9160753242622</v>
      </c>
      <c r="L1064" s="79">
        <f>EFEITO!$N$1064*EFEITO!$AA$1064</f>
        <v>-3617.4150931310169</v>
      </c>
      <c r="M1064" s="79">
        <f>$J$1064-EFEITO!$K$1064*EFEITO!$Y$1064</f>
        <v>0</v>
      </c>
      <c r="N1064" s="79">
        <f ca="1">$K$1064-EFEITO!$M$1064*EFEITO!$Z$1064</f>
        <v>0</v>
      </c>
      <c r="O1064" s="79">
        <f>$L$1064-EFEITO!$O$1064*EFEITO!$AA$1064</f>
        <v>0</v>
      </c>
      <c r="P1064" s="18"/>
      <c r="Q1064" s="18"/>
      <c r="R1064" s="18"/>
      <c r="S1064" s="18"/>
      <c r="T1064" s="18"/>
      <c r="U1064" s="18"/>
      <c r="V1064" s="18"/>
      <c r="W1064" s="18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</row>
    <row r="1065" spans="1:36" ht="11.25" customHeight="1" x14ac:dyDescent="0.2">
      <c r="A1065" s="70" t="s">
        <v>21</v>
      </c>
      <c r="B1065" s="70" t="s">
        <v>33</v>
      </c>
      <c r="C1065" s="70" t="s">
        <v>23</v>
      </c>
      <c r="D1065" s="70" t="s">
        <v>43</v>
      </c>
      <c r="E1065" s="70" t="s">
        <v>25</v>
      </c>
      <c r="F1065" s="70" t="s">
        <v>25</v>
      </c>
      <c r="G1065" s="70" t="s">
        <v>25</v>
      </c>
      <c r="H1065" s="70" t="s">
        <v>25</v>
      </c>
      <c r="I1065" s="78">
        <v>44682</v>
      </c>
      <c r="J1065" s="79">
        <f>EFEITO!$J$1065*EFEITO!$Y$1065</f>
        <v>0</v>
      </c>
      <c r="K1065" s="79">
        <f ca="1">EFEITO!$L$1065*EFEITO!$Z$1065</f>
        <v>192379.40355699684</v>
      </c>
      <c r="L1065" s="79">
        <f>EFEITO!$N$1065*EFEITO!$AA$1065</f>
        <v>130494.48898224199</v>
      </c>
      <c r="M1065" s="79">
        <f>$J$1065-EFEITO!$K$1065*EFEITO!$Y$1065</f>
        <v>0</v>
      </c>
      <c r="N1065" s="79">
        <f ca="1">$K$1065-EFEITO!$M$1065*EFEITO!$Z$1065</f>
        <v>0</v>
      </c>
      <c r="O1065" s="79">
        <f>$L$1065-EFEITO!$O$1065*EFEITO!$AA$1065</f>
        <v>0</v>
      </c>
      <c r="P1065" s="18"/>
      <c r="Q1065" s="18"/>
      <c r="R1065" s="18"/>
      <c r="S1065" s="18"/>
      <c r="T1065" s="18"/>
      <c r="U1065" s="18"/>
      <c r="V1065" s="18"/>
      <c r="W1065" s="18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</row>
    <row r="1066" spans="1:36" ht="11.25" customHeight="1" x14ac:dyDescent="0.2">
      <c r="A1066" s="70" t="s">
        <v>27</v>
      </c>
      <c r="B1066" s="70" t="s">
        <v>33</v>
      </c>
      <c r="C1066" s="70" t="s">
        <v>23</v>
      </c>
      <c r="D1066" s="70" t="s">
        <v>43</v>
      </c>
      <c r="E1066" s="70" t="s">
        <v>25</v>
      </c>
      <c r="F1066" s="70" t="s">
        <v>25</v>
      </c>
      <c r="G1066" s="70" t="s">
        <v>25</v>
      </c>
      <c r="H1066" s="70" t="s">
        <v>25</v>
      </c>
      <c r="I1066" s="78">
        <v>44682</v>
      </c>
      <c r="J1066" s="79">
        <f>EFEITO!$J$1066*EFEITO!$Y$1066</f>
        <v>0</v>
      </c>
      <c r="K1066" s="79">
        <f ca="1">EFEITO!$L$1066*EFEITO!$Z$1066</f>
        <v>-630.20325286114257</v>
      </c>
      <c r="L1066" s="79">
        <f>EFEITO!$N$1066*EFEITO!$AA$1066</f>
        <v>-427.47846139722805</v>
      </c>
      <c r="M1066" s="79">
        <f>$J$1066-EFEITO!$K$1066*EFEITO!$Y$1066</f>
        <v>0</v>
      </c>
      <c r="N1066" s="79">
        <f ca="1">$K$1066-EFEITO!$M$1066*EFEITO!$Z$1066</f>
        <v>0</v>
      </c>
      <c r="O1066" s="79">
        <f>$L$1066-EFEITO!$O$1066*EFEITO!$AA$1066</f>
        <v>0</v>
      </c>
      <c r="P1066" s="18"/>
      <c r="Q1066" s="18"/>
      <c r="R1066" s="18"/>
      <c r="S1066" s="18"/>
      <c r="T1066" s="18"/>
      <c r="U1066" s="18"/>
      <c r="V1066" s="18"/>
      <c r="W1066" s="18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</row>
    <row r="1067" spans="1:36" ht="11.25" customHeight="1" x14ac:dyDescent="0.2">
      <c r="A1067" s="70" t="s">
        <v>21</v>
      </c>
      <c r="B1067" s="70" t="s">
        <v>33</v>
      </c>
      <c r="C1067" s="70" t="s">
        <v>23</v>
      </c>
      <c r="D1067" s="70" t="s">
        <v>43</v>
      </c>
      <c r="E1067" s="70" t="s">
        <v>25</v>
      </c>
      <c r="F1067" s="70" t="s">
        <v>25</v>
      </c>
      <c r="G1067" s="70" t="s">
        <v>25</v>
      </c>
      <c r="H1067" s="70" t="s">
        <v>25</v>
      </c>
      <c r="I1067" s="78">
        <v>44713</v>
      </c>
      <c r="J1067" s="79">
        <f>EFEITO!$J$1067*EFEITO!$Y$1067</f>
        <v>0</v>
      </c>
      <c r="K1067" s="79">
        <f ca="1">EFEITO!$L$1067*EFEITO!$Z$1067</f>
        <v>223226.64029335859</v>
      </c>
      <c r="L1067" s="79">
        <f>EFEITO!$N$1067*EFEITO!$AA$1067</f>
        <v>151418.73721255295</v>
      </c>
      <c r="M1067" s="79">
        <f>$J$1067-EFEITO!$K$1067*EFEITO!$Y$1067</f>
        <v>0</v>
      </c>
      <c r="N1067" s="79">
        <f ca="1">$K$1067-EFEITO!$M$1067*EFEITO!$Z$1067</f>
        <v>0</v>
      </c>
      <c r="O1067" s="79">
        <f>$L$1067-EFEITO!$O$1067*EFEITO!$AA$1067</f>
        <v>0</v>
      </c>
      <c r="P1067" s="18"/>
      <c r="Q1067" s="18"/>
      <c r="R1067" s="18"/>
      <c r="S1067" s="18"/>
      <c r="T1067" s="18"/>
      <c r="U1067" s="18"/>
      <c r="V1067" s="18"/>
      <c r="W1067" s="18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</row>
    <row r="1068" spans="1:36" ht="11.25" customHeight="1" x14ac:dyDescent="0.2">
      <c r="A1068" s="70" t="s">
        <v>27</v>
      </c>
      <c r="B1068" s="70" t="s">
        <v>33</v>
      </c>
      <c r="C1068" s="70" t="s">
        <v>23</v>
      </c>
      <c r="D1068" s="70" t="s">
        <v>43</v>
      </c>
      <c r="E1068" s="70" t="s">
        <v>25</v>
      </c>
      <c r="F1068" s="70" t="s">
        <v>25</v>
      </c>
      <c r="G1068" s="70" t="s">
        <v>25</v>
      </c>
      <c r="H1068" s="70" t="s">
        <v>25</v>
      </c>
      <c r="I1068" s="78">
        <v>44713</v>
      </c>
      <c r="J1068" s="79">
        <f>EFEITO!$J$1068*EFEITO!$Y$1068</f>
        <v>0</v>
      </c>
      <c r="K1068" s="79">
        <f ca="1">EFEITO!$L$1068*EFEITO!$Z$1068</f>
        <v>-2999.0896572181864</v>
      </c>
      <c r="L1068" s="79">
        <f>EFEITO!$N$1068*EFEITO!$AA$1068</f>
        <v>-2034.3376941319175</v>
      </c>
      <c r="M1068" s="79">
        <f>$J$1068-EFEITO!$K$1068*EFEITO!$Y$1068</f>
        <v>0</v>
      </c>
      <c r="N1068" s="79">
        <f ca="1">$K$1068-EFEITO!$M$1068*EFEITO!$Z$1068</f>
        <v>0</v>
      </c>
      <c r="O1068" s="79">
        <f>$L$1068-EFEITO!$O$1068*EFEITO!$AA$1068</f>
        <v>0</v>
      </c>
      <c r="P1068" s="18"/>
      <c r="Q1068" s="18"/>
      <c r="R1068" s="18"/>
      <c r="S1068" s="18"/>
      <c r="T1068" s="18"/>
      <c r="U1068" s="18"/>
      <c r="V1068" s="18"/>
      <c r="W1068" s="18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</row>
    <row r="1069" spans="1:36" ht="11.25" customHeight="1" x14ac:dyDescent="0.2">
      <c r="A1069" s="70" t="s">
        <v>21</v>
      </c>
      <c r="B1069" s="70" t="s">
        <v>33</v>
      </c>
      <c r="C1069" s="70" t="s">
        <v>23</v>
      </c>
      <c r="D1069" s="70" t="s">
        <v>47</v>
      </c>
      <c r="E1069" s="70" t="s">
        <v>48</v>
      </c>
      <c r="F1069" s="70" t="s">
        <v>25</v>
      </c>
      <c r="G1069" s="70" t="s">
        <v>25</v>
      </c>
      <c r="H1069" s="70" t="s">
        <v>25</v>
      </c>
      <c r="I1069" s="78">
        <v>44378</v>
      </c>
      <c r="J1069" s="79">
        <f>EFEITO!$J$1069*EFEITO!$Y$1068</f>
        <v>0</v>
      </c>
      <c r="K1069" s="79">
        <f ca="1">EFEITO!$L$1069*EFEITO!$Z$1068</f>
        <v>19130.77366439256</v>
      </c>
      <c r="L1069" s="79">
        <f>EFEITO!$N$1069*EFEITO!$AA$1068</f>
        <v>12976.755759772414</v>
      </c>
      <c r="M1069" s="79">
        <f>$J$1069-EFEITO!$K$1069*EFEITO!$Y$1069</f>
        <v>0</v>
      </c>
      <c r="N1069" s="79">
        <f ca="1">$K$1069-EFEITO!$M$1069*EFEITO!$Z$1069</f>
        <v>573.92320993177782</v>
      </c>
      <c r="O1069" s="79">
        <f>$L$1069-EFEITO!$O$1069*EFEITO!$AA$1069</f>
        <v>389.30267279317377</v>
      </c>
      <c r="P1069" s="18"/>
      <c r="Q1069" s="18"/>
      <c r="R1069" s="18"/>
      <c r="S1069" s="18"/>
      <c r="T1069" s="18"/>
      <c r="U1069" s="18"/>
      <c r="V1069" s="18"/>
      <c r="W1069" s="18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</row>
    <row r="1070" spans="1:36" ht="11.25" customHeight="1" x14ac:dyDescent="0.2">
      <c r="A1070" s="70" t="s">
        <v>21</v>
      </c>
      <c r="B1070" s="70" t="s">
        <v>33</v>
      </c>
      <c r="C1070" s="70" t="s">
        <v>23</v>
      </c>
      <c r="D1070" s="70" t="s">
        <v>47</v>
      </c>
      <c r="E1070" s="70" t="s">
        <v>48</v>
      </c>
      <c r="F1070" s="70" t="s">
        <v>25</v>
      </c>
      <c r="G1070" s="70" t="s">
        <v>25</v>
      </c>
      <c r="H1070" s="70" t="s">
        <v>25</v>
      </c>
      <c r="I1070" s="78">
        <v>44409</v>
      </c>
      <c r="J1070" s="79">
        <f>EFEITO!$J$1070*EFEITO!$Y$1068</f>
        <v>0</v>
      </c>
      <c r="K1070" s="79">
        <f ca="1">EFEITO!$L$1070*EFEITO!$Z$1068</f>
        <v>19354.57324329457</v>
      </c>
      <c r="L1070" s="79">
        <f>EFEITO!$N$1070*EFEITO!$AA$1068</f>
        <v>13128.563131784596</v>
      </c>
      <c r="M1070" s="79">
        <f>$J$1070-EFEITO!$K$1070*EFEITO!$Y$1070</f>
        <v>0</v>
      </c>
      <c r="N1070" s="79">
        <f ca="1">$K$1070-EFEITO!$M$1070*EFEITO!$Z$1070</f>
        <v>580.63719729883451</v>
      </c>
      <c r="O1070" s="79">
        <f>$L$1070-EFEITO!$O$1070*EFEITO!$AA$1070</f>
        <v>393.85689395353802</v>
      </c>
      <c r="P1070" s="18"/>
      <c r="Q1070" s="18"/>
      <c r="R1070" s="18"/>
      <c r="S1070" s="18"/>
      <c r="T1070" s="18"/>
      <c r="U1070" s="18"/>
      <c r="V1070" s="18"/>
      <c r="W1070" s="18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</row>
    <row r="1071" spans="1:36" ht="11.25" customHeight="1" x14ac:dyDescent="0.2">
      <c r="A1071" s="70" t="s">
        <v>21</v>
      </c>
      <c r="B1071" s="70" t="s">
        <v>33</v>
      </c>
      <c r="C1071" s="70" t="s">
        <v>23</v>
      </c>
      <c r="D1071" s="70" t="s">
        <v>47</v>
      </c>
      <c r="E1071" s="70" t="s">
        <v>48</v>
      </c>
      <c r="F1071" s="70" t="s">
        <v>25</v>
      </c>
      <c r="G1071" s="70" t="s">
        <v>25</v>
      </c>
      <c r="H1071" s="70" t="s">
        <v>25</v>
      </c>
      <c r="I1071" s="78">
        <v>44440</v>
      </c>
      <c r="J1071" s="79">
        <f>EFEITO!$J$1071*EFEITO!$Y$1068</f>
        <v>0</v>
      </c>
      <c r="K1071" s="79">
        <f ca="1">EFEITO!$L$1071*EFEITO!$Z$1068</f>
        <v>19789.609239358659</v>
      </c>
      <c r="L1071" s="79">
        <f>EFEITO!$N$1071*EFEITO!$AA$1068</f>
        <v>13423.656052053704</v>
      </c>
      <c r="M1071" s="79">
        <f>$J$1071-EFEITO!$K$1071*EFEITO!$Y$1071</f>
        <v>0</v>
      </c>
      <c r="N1071" s="79">
        <f ca="1">$K$1071-EFEITO!$M$1071*EFEITO!$Z$1071</f>
        <v>593.68827718076136</v>
      </c>
      <c r="O1071" s="79">
        <f>$L$1071-EFEITO!$O$1071*EFEITO!$AA$1071</f>
        <v>402.70968156160961</v>
      </c>
      <c r="P1071" s="18"/>
      <c r="Q1071" s="18"/>
      <c r="R1071" s="18"/>
      <c r="S1071" s="18"/>
      <c r="T1071" s="18"/>
      <c r="U1071" s="18"/>
      <c r="V1071" s="18"/>
      <c r="W1071" s="18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</row>
    <row r="1072" spans="1:36" ht="11.25" customHeight="1" x14ac:dyDescent="0.2">
      <c r="A1072" s="70" t="s">
        <v>21</v>
      </c>
      <c r="B1072" s="70" t="s">
        <v>33</v>
      </c>
      <c r="C1072" s="70" t="s">
        <v>23</v>
      </c>
      <c r="D1072" s="70" t="s">
        <v>47</v>
      </c>
      <c r="E1072" s="70" t="s">
        <v>48</v>
      </c>
      <c r="F1072" s="70" t="s">
        <v>25</v>
      </c>
      <c r="G1072" s="70" t="s">
        <v>25</v>
      </c>
      <c r="H1072" s="70" t="s">
        <v>25</v>
      </c>
      <c r="I1072" s="78">
        <v>44470</v>
      </c>
      <c r="J1072" s="79">
        <f>EFEITO!$J$1072*EFEITO!$Y$1068</f>
        <v>0</v>
      </c>
      <c r="K1072" s="79">
        <f ca="1">EFEITO!$L$1072*EFEITO!$Z$1068</f>
        <v>19701.082774074966</v>
      </c>
      <c r="L1072" s="79">
        <f>EFEITO!$N$1072*EFEITO!$AA$1068</f>
        <v>13363.606921871342</v>
      </c>
      <c r="M1072" s="79">
        <f>$J$1072-EFEITO!$K$1072*EFEITO!$Y$1072</f>
        <v>0</v>
      </c>
      <c r="N1072" s="79">
        <f ca="1">$K$1072-EFEITO!$M$1072*EFEITO!$Z$1072</f>
        <v>591.03248322225045</v>
      </c>
      <c r="O1072" s="79">
        <f>$L$1072-EFEITO!$O$1072*EFEITO!$AA$1072</f>
        <v>400.9082076561408</v>
      </c>
      <c r="P1072" s="18"/>
      <c r="Q1072" s="18"/>
      <c r="R1072" s="18"/>
      <c r="S1072" s="18"/>
      <c r="T1072" s="18"/>
      <c r="U1072" s="18"/>
      <c r="V1072" s="18"/>
      <c r="W1072" s="18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</row>
    <row r="1073" spans="1:36" ht="11.25" customHeight="1" x14ac:dyDescent="0.2">
      <c r="A1073" s="70" t="s">
        <v>21</v>
      </c>
      <c r="B1073" s="70" t="s">
        <v>33</v>
      </c>
      <c r="C1073" s="70" t="s">
        <v>23</v>
      </c>
      <c r="D1073" s="70" t="s">
        <v>47</v>
      </c>
      <c r="E1073" s="70" t="s">
        <v>48</v>
      </c>
      <c r="F1073" s="70" t="s">
        <v>25</v>
      </c>
      <c r="G1073" s="70" t="s">
        <v>25</v>
      </c>
      <c r="H1073" s="70" t="s">
        <v>25</v>
      </c>
      <c r="I1073" s="78">
        <v>44501</v>
      </c>
      <c r="J1073" s="79">
        <f>EFEITO!$J$1073*EFEITO!$Y$1068</f>
        <v>0</v>
      </c>
      <c r="K1073" s="79">
        <f ca="1">EFEITO!$L$1073*EFEITO!$Z$1068</f>
        <v>20122.386942190762</v>
      </c>
      <c r="L1073" s="79">
        <f>EFEITO!$N$1073*EFEITO!$AA$1068</f>
        <v>13649.385290594015</v>
      </c>
      <c r="M1073" s="79">
        <f>$J$1073-EFEITO!$K$1073*EFEITO!$Y$1073</f>
        <v>0</v>
      </c>
      <c r="N1073" s="79">
        <f ca="1">$K$1073-EFEITO!$M$1073*EFEITO!$Z$1073</f>
        <v>603.67160826572217</v>
      </c>
      <c r="O1073" s="79">
        <f>$L$1073-EFEITO!$O$1073*EFEITO!$AA$1073</f>
        <v>409.48155871782183</v>
      </c>
      <c r="P1073" s="18"/>
      <c r="Q1073" s="18"/>
      <c r="R1073" s="18"/>
      <c r="S1073" s="18"/>
      <c r="T1073" s="18"/>
      <c r="U1073" s="18"/>
      <c r="V1073" s="18"/>
      <c r="W1073" s="18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</row>
    <row r="1074" spans="1:36" ht="11.25" customHeight="1" x14ac:dyDescent="0.2">
      <c r="A1074" s="70" t="s">
        <v>21</v>
      </c>
      <c r="B1074" s="70" t="s">
        <v>33</v>
      </c>
      <c r="C1074" s="70" t="s">
        <v>23</v>
      </c>
      <c r="D1074" s="70" t="s">
        <v>47</v>
      </c>
      <c r="E1074" s="70" t="s">
        <v>48</v>
      </c>
      <c r="F1074" s="70" t="s">
        <v>25</v>
      </c>
      <c r="G1074" s="70" t="s">
        <v>25</v>
      </c>
      <c r="H1074" s="70" t="s">
        <v>25</v>
      </c>
      <c r="I1074" s="78">
        <v>44531</v>
      </c>
      <c r="J1074" s="79">
        <f>EFEITO!$J$1074*EFEITO!$Y$1068</f>
        <v>0</v>
      </c>
      <c r="K1074" s="79">
        <f ca="1">EFEITO!$L$1074*EFEITO!$Z$1068</f>
        <v>16270.463119417787</v>
      </c>
      <c r="L1074" s="79">
        <f>EFEITO!$N$1074*EFEITO!$AA$1068</f>
        <v>11036.554490843871</v>
      </c>
      <c r="M1074" s="79">
        <f>$J$1074-EFEITO!$K$1074*EFEITO!$Y$1074</f>
        <v>0</v>
      </c>
      <c r="N1074" s="79">
        <f ca="1">$K$1074-EFEITO!$M$1074*EFEITO!$Z$1074</f>
        <v>488.11389358253291</v>
      </c>
      <c r="O1074" s="79">
        <f>$L$1074-EFEITO!$O$1074*EFEITO!$AA$1074</f>
        <v>331.09663472531611</v>
      </c>
      <c r="P1074" s="18"/>
      <c r="Q1074" s="18"/>
      <c r="R1074" s="18"/>
      <c r="S1074" s="18"/>
      <c r="T1074" s="18"/>
      <c r="U1074" s="18"/>
      <c r="V1074" s="18"/>
      <c r="W1074" s="18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</row>
    <row r="1075" spans="1:36" ht="11.25" customHeight="1" x14ac:dyDescent="0.2">
      <c r="A1075" s="70" t="s">
        <v>27</v>
      </c>
      <c r="B1075" s="70" t="s">
        <v>33</v>
      </c>
      <c r="C1075" s="70" t="s">
        <v>23</v>
      </c>
      <c r="D1075" s="70" t="s">
        <v>47</v>
      </c>
      <c r="E1075" s="70" t="s">
        <v>48</v>
      </c>
      <c r="F1075" s="70" t="s">
        <v>25</v>
      </c>
      <c r="G1075" s="70" t="s">
        <v>25</v>
      </c>
      <c r="H1075" s="70" t="s">
        <v>25</v>
      </c>
      <c r="I1075" s="78">
        <v>44531</v>
      </c>
      <c r="J1075" s="79">
        <f>EFEITO!$J$1075*EFEITO!$Y$1068</f>
        <v>0</v>
      </c>
      <c r="K1075" s="79">
        <f ca="1">EFEITO!$L$1075*EFEITO!$Z$1068</f>
        <v>-8.7649965627418975</v>
      </c>
      <c r="L1075" s="79">
        <f>EFEITO!$N$1075*EFEITO!$AA$1068</f>
        <v>-5.9454584338974694</v>
      </c>
      <c r="M1075" s="79">
        <f>$J$1075-EFEITO!$K$1075*EFEITO!$Y$1075</f>
        <v>0</v>
      </c>
      <c r="N1075" s="79">
        <f ca="1">$K$1075-EFEITO!$M$1075*EFEITO!$Z$1075</f>
        <v>-0.26294989688225634</v>
      </c>
      <c r="O1075" s="79">
        <f>$L$1075-EFEITO!$O$1075*EFEITO!$AA$1075</f>
        <v>-0.17836375301692442</v>
      </c>
      <c r="P1075" s="18"/>
      <c r="Q1075" s="18"/>
      <c r="R1075" s="18"/>
      <c r="S1075" s="18"/>
      <c r="T1075" s="18"/>
      <c r="U1075" s="18"/>
      <c r="V1075" s="18"/>
      <c r="W1075" s="18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</row>
    <row r="1076" spans="1:36" ht="11.25" customHeight="1" x14ac:dyDescent="0.2">
      <c r="A1076" s="70" t="s">
        <v>21</v>
      </c>
      <c r="B1076" s="70" t="s">
        <v>33</v>
      </c>
      <c r="C1076" s="70" t="s">
        <v>23</v>
      </c>
      <c r="D1076" s="70" t="s">
        <v>47</v>
      </c>
      <c r="E1076" s="70" t="s">
        <v>48</v>
      </c>
      <c r="F1076" s="70" t="s">
        <v>25</v>
      </c>
      <c r="G1076" s="70" t="s">
        <v>25</v>
      </c>
      <c r="H1076" s="70" t="s">
        <v>25</v>
      </c>
      <c r="I1076" s="78">
        <v>44562</v>
      </c>
      <c r="J1076" s="79">
        <f>EFEITO!$J$1076*EFEITO!$Y$1068</f>
        <v>0</v>
      </c>
      <c r="K1076" s="79">
        <f ca="1">EFEITO!$L$1076*EFEITO!$Z$1068</f>
        <v>22254.03410624959</v>
      </c>
      <c r="L1076" s="79">
        <f>EFEITO!$N$1076*EFEITO!$AA$1068</f>
        <v>15095.320781717877</v>
      </c>
      <c r="M1076" s="79">
        <f>$J$1076-EFEITO!$K$1076*EFEITO!$Y$1076</f>
        <v>0</v>
      </c>
      <c r="N1076" s="79">
        <f ca="1">$K$1076-EFEITO!$M$1076*EFEITO!$Z$1076</f>
        <v>667.62102318748657</v>
      </c>
      <c r="O1076" s="79">
        <f>$L$1076-EFEITO!$O$1076*EFEITO!$AA$1076</f>
        <v>452.85962345153712</v>
      </c>
      <c r="P1076" s="18"/>
      <c r="Q1076" s="18"/>
      <c r="R1076" s="18"/>
      <c r="S1076" s="18"/>
      <c r="T1076" s="18"/>
      <c r="U1076" s="18"/>
      <c r="V1076" s="18"/>
      <c r="W1076" s="18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</row>
    <row r="1077" spans="1:36" ht="11.25" customHeight="1" x14ac:dyDescent="0.2">
      <c r="A1077" s="70" t="s">
        <v>21</v>
      </c>
      <c r="B1077" s="70" t="s">
        <v>33</v>
      </c>
      <c r="C1077" s="70" t="s">
        <v>23</v>
      </c>
      <c r="D1077" s="70" t="s">
        <v>47</v>
      </c>
      <c r="E1077" s="70" t="s">
        <v>48</v>
      </c>
      <c r="F1077" s="70" t="s">
        <v>25</v>
      </c>
      <c r="G1077" s="70" t="s">
        <v>25</v>
      </c>
      <c r="H1077" s="70" t="s">
        <v>25</v>
      </c>
      <c r="I1077" s="78">
        <v>44593</v>
      </c>
      <c r="J1077" s="79">
        <f>EFEITO!$J$1077*EFEITO!$Y$1068</f>
        <v>0</v>
      </c>
      <c r="K1077" s="79">
        <f ca="1">EFEITO!$L$1077*EFEITO!$Z$1068</f>
        <v>19562.011495279461</v>
      </c>
      <c r="L1077" s="79">
        <f>EFEITO!$N$1077*EFEITO!$AA$1068</f>
        <v>13269.272314720169</v>
      </c>
      <c r="M1077" s="79">
        <f>$J$1077-EFEITO!$K$1077*EFEITO!$Y$1077</f>
        <v>0</v>
      </c>
      <c r="N1077" s="79">
        <f ca="1">$K$1077-EFEITO!$M$1077*EFEITO!$Z$1077</f>
        <v>586.86034485838172</v>
      </c>
      <c r="O1077" s="79">
        <f>$L$1077-EFEITO!$O$1077*EFEITO!$AA$1077</f>
        <v>398.0781694416055</v>
      </c>
      <c r="P1077" s="18"/>
      <c r="Q1077" s="18"/>
      <c r="R1077" s="18"/>
      <c r="S1077" s="18"/>
      <c r="T1077" s="18"/>
      <c r="U1077" s="18"/>
      <c r="V1077" s="18"/>
      <c r="W1077" s="18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</row>
    <row r="1078" spans="1:36" ht="11.25" customHeight="1" x14ac:dyDescent="0.2">
      <c r="A1078" s="70" t="s">
        <v>21</v>
      </c>
      <c r="B1078" s="70" t="s">
        <v>33</v>
      </c>
      <c r="C1078" s="70" t="s">
        <v>23</v>
      </c>
      <c r="D1078" s="70" t="s">
        <v>47</v>
      </c>
      <c r="E1078" s="70" t="s">
        <v>48</v>
      </c>
      <c r="F1078" s="70" t="s">
        <v>25</v>
      </c>
      <c r="G1078" s="70" t="s">
        <v>25</v>
      </c>
      <c r="H1078" s="70" t="s">
        <v>25</v>
      </c>
      <c r="I1078" s="78">
        <v>44621</v>
      </c>
      <c r="J1078" s="79">
        <f>EFEITO!$J$1078*EFEITO!$Y$1068</f>
        <v>0</v>
      </c>
      <c r="K1078" s="79">
        <f ca="1">EFEITO!$L$1078*EFEITO!$Z$1068</f>
        <v>19152.101822695233</v>
      </c>
      <c r="L1078" s="79">
        <f>EFEITO!$N$1078*EFEITO!$AA$1068</f>
        <v>12991.223041961564</v>
      </c>
      <c r="M1078" s="79">
        <f>$J$1078-EFEITO!$K$1078*EFEITO!$Y$1078</f>
        <v>0</v>
      </c>
      <c r="N1078" s="79">
        <f ca="1">$K$1078-EFEITO!$M$1078*EFEITO!$Z$1078</f>
        <v>574.56305468085702</v>
      </c>
      <c r="O1078" s="79">
        <f>$L$1078-EFEITO!$O$1078*EFEITO!$AA$1078</f>
        <v>389.73669125884589</v>
      </c>
      <c r="P1078" s="18"/>
      <c r="Q1078" s="18"/>
      <c r="R1078" s="18"/>
      <c r="S1078" s="18"/>
      <c r="T1078" s="18"/>
      <c r="U1078" s="18"/>
      <c r="V1078" s="18"/>
      <c r="W1078" s="18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</row>
    <row r="1079" spans="1:36" ht="11.25" customHeight="1" x14ac:dyDescent="0.2">
      <c r="A1079" s="70" t="s">
        <v>21</v>
      </c>
      <c r="B1079" s="70" t="s">
        <v>33</v>
      </c>
      <c r="C1079" s="70" t="s">
        <v>23</v>
      </c>
      <c r="D1079" s="70" t="s">
        <v>47</v>
      </c>
      <c r="E1079" s="70" t="s">
        <v>48</v>
      </c>
      <c r="F1079" s="70" t="s">
        <v>25</v>
      </c>
      <c r="G1079" s="70" t="s">
        <v>25</v>
      </c>
      <c r="H1079" s="70" t="s">
        <v>25</v>
      </c>
      <c r="I1079" s="78">
        <v>44652</v>
      </c>
      <c r="J1079" s="79">
        <f>EFEITO!$J$1079*EFEITO!$Y$1068</f>
        <v>0</v>
      </c>
      <c r="K1079" s="79">
        <f ca="1">EFEITO!$L$1079*EFEITO!$Z$1068</f>
        <v>20237.792730266861</v>
      </c>
      <c r="L1079" s="79">
        <f>EFEITO!$N$1079*EFEITO!$AA$1068</f>
        <v>13727.667159973664</v>
      </c>
      <c r="M1079" s="79">
        <f>$J$1079-EFEITO!$K$1079*EFEITO!$Y$1079</f>
        <v>0</v>
      </c>
      <c r="N1079" s="79">
        <f ca="1">$K$1079-EFEITO!$M$1079*EFEITO!$Z$1079</f>
        <v>607.13378190800358</v>
      </c>
      <c r="O1079" s="79">
        <f>$L$1079-EFEITO!$O$1079*EFEITO!$AA$1079</f>
        <v>411.8300147992104</v>
      </c>
      <c r="P1079" s="18"/>
      <c r="Q1079" s="18"/>
      <c r="R1079" s="18"/>
      <c r="S1079" s="18"/>
      <c r="T1079" s="18"/>
      <c r="U1079" s="18"/>
      <c r="V1079" s="18"/>
      <c r="W1079" s="18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</row>
    <row r="1080" spans="1:36" ht="11.25" customHeight="1" x14ac:dyDescent="0.2">
      <c r="A1080" s="70" t="s">
        <v>21</v>
      </c>
      <c r="B1080" s="70" t="s">
        <v>33</v>
      </c>
      <c r="C1080" s="70" t="s">
        <v>23</v>
      </c>
      <c r="D1080" s="70" t="s">
        <v>47</v>
      </c>
      <c r="E1080" s="70" t="s">
        <v>48</v>
      </c>
      <c r="F1080" s="70" t="s">
        <v>25</v>
      </c>
      <c r="G1080" s="70" t="s">
        <v>25</v>
      </c>
      <c r="H1080" s="70" t="s">
        <v>25</v>
      </c>
      <c r="I1080" s="78">
        <v>44682</v>
      </c>
      <c r="J1080" s="79">
        <f>EFEITO!$J$1080*EFEITO!$Y$1068</f>
        <v>0</v>
      </c>
      <c r="K1080" s="79">
        <f ca="1">EFEITO!$L$1080*EFEITO!$Z$1068</f>
        <v>21116.921885509873</v>
      </c>
      <c r="L1080" s="79">
        <f>EFEITO!$N$1080*EFEITO!$AA$1068</f>
        <v>14323.99664089358</v>
      </c>
      <c r="M1080" s="79">
        <f>$J$1080-EFEITO!$K$1080*EFEITO!$Y$1080</f>
        <v>0</v>
      </c>
      <c r="N1080" s="79">
        <f ca="1">$K$1080-EFEITO!$M$1080*EFEITO!$Z$1080</f>
        <v>633.5076565652962</v>
      </c>
      <c r="O1080" s="79">
        <f>$L$1080-EFEITO!$O$1080*EFEITO!$AA$1080</f>
        <v>429.71989922680768</v>
      </c>
      <c r="P1080" s="18"/>
      <c r="Q1080" s="18"/>
      <c r="R1080" s="18"/>
      <c r="S1080" s="18"/>
      <c r="T1080" s="18"/>
      <c r="U1080" s="18"/>
      <c r="V1080" s="18"/>
      <c r="W1080" s="18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</row>
    <row r="1081" spans="1:36" ht="11.25" customHeight="1" x14ac:dyDescent="0.2">
      <c r="A1081" s="70" t="s">
        <v>27</v>
      </c>
      <c r="B1081" s="70" t="s">
        <v>33</v>
      </c>
      <c r="C1081" s="70" t="s">
        <v>23</v>
      </c>
      <c r="D1081" s="70" t="s">
        <v>47</v>
      </c>
      <c r="E1081" s="70" t="s">
        <v>48</v>
      </c>
      <c r="F1081" s="70" t="s">
        <v>25</v>
      </c>
      <c r="G1081" s="70" t="s">
        <v>25</v>
      </c>
      <c r="H1081" s="70" t="s">
        <v>25</v>
      </c>
      <c r="I1081" s="78">
        <v>44682</v>
      </c>
      <c r="J1081" s="79">
        <f>EFEITO!$J$1081*EFEITO!$Y$1068</f>
        <v>0</v>
      </c>
      <c r="K1081" s="79">
        <f ca="1">EFEITO!$L$1081*EFEITO!$Z$1068</f>
        <v>-57.848977314096537</v>
      </c>
      <c r="L1081" s="79">
        <f>EFEITO!$N$1081*EFEITO!$AA$1068</f>
        <v>-39.240025663723301</v>
      </c>
      <c r="M1081" s="79">
        <f>$J$1081-EFEITO!$K$1081*EFEITO!$Y$1081</f>
        <v>0</v>
      </c>
      <c r="N1081" s="79">
        <f ca="1">$K$1081-EFEITO!$M$1081*EFEITO!$Z$1081</f>
        <v>-1.7354693194228972</v>
      </c>
      <c r="O1081" s="79">
        <f>$L$1081-EFEITO!$O$1081*EFEITO!$AA$1081</f>
        <v>-1.1772007699116998</v>
      </c>
      <c r="P1081" s="18"/>
      <c r="Q1081" s="18"/>
      <c r="R1081" s="18"/>
      <c r="S1081" s="18"/>
      <c r="T1081" s="18"/>
      <c r="U1081" s="18"/>
      <c r="V1081" s="18"/>
      <c r="W1081" s="18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</row>
    <row r="1082" spans="1:36" ht="11.25" customHeight="1" x14ac:dyDescent="0.2">
      <c r="A1082" s="70" t="s">
        <v>21</v>
      </c>
      <c r="B1082" s="70" t="s">
        <v>33</v>
      </c>
      <c r="C1082" s="70" t="s">
        <v>23</v>
      </c>
      <c r="D1082" s="70" t="s">
        <v>47</v>
      </c>
      <c r="E1082" s="70" t="s">
        <v>48</v>
      </c>
      <c r="F1082" s="70" t="s">
        <v>25</v>
      </c>
      <c r="G1082" s="70" t="s">
        <v>25</v>
      </c>
      <c r="H1082" s="70" t="s">
        <v>25</v>
      </c>
      <c r="I1082" s="78">
        <v>44713</v>
      </c>
      <c r="J1082" s="79">
        <f>EFEITO!$J$1082*EFEITO!$Y$1068</f>
        <v>0</v>
      </c>
      <c r="K1082" s="79">
        <f ca="1">EFEITO!$L$1082*EFEITO!$Z$1068</f>
        <v>20096.676285606714</v>
      </c>
      <c r="L1082" s="79">
        <f>EFEITO!$N$1082*EFEITO!$AA$1068</f>
        <v>13631.945279187914</v>
      </c>
      <c r="M1082" s="79">
        <f>$J$1082-EFEITO!$K$1082*EFEITO!$Y$1082</f>
        <v>0</v>
      </c>
      <c r="N1082" s="79">
        <f ca="1">$K$1082-EFEITO!$M$1082*EFEITO!$Z$1082</f>
        <v>602.90028856819845</v>
      </c>
      <c r="O1082" s="79">
        <f>$L$1082-EFEITO!$O$1082*EFEITO!$AA$1082</f>
        <v>408.95835837563754</v>
      </c>
      <c r="P1082" s="18"/>
      <c r="Q1082" s="18"/>
      <c r="R1082" s="18"/>
      <c r="S1082" s="18"/>
      <c r="T1082" s="18"/>
      <c r="U1082" s="18"/>
      <c r="V1082" s="18"/>
      <c r="W1082" s="18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</row>
    <row r="1083" spans="1:36" ht="11.25" customHeight="1" x14ac:dyDescent="0.2">
      <c r="A1083" s="70" t="s">
        <v>21</v>
      </c>
      <c r="B1083" s="70" t="s">
        <v>44</v>
      </c>
      <c r="C1083" s="70" t="s">
        <v>23</v>
      </c>
      <c r="D1083" s="70" t="s">
        <v>45</v>
      </c>
      <c r="E1083" s="70" t="s">
        <v>46</v>
      </c>
      <c r="F1083" s="70" t="s">
        <v>25</v>
      </c>
      <c r="G1083" s="70" t="s">
        <v>25</v>
      </c>
      <c r="H1083" s="70" t="s">
        <v>25</v>
      </c>
      <c r="I1083" s="78">
        <v>44378</v>
      </c>
      <c r="J1083" s="79">
        <f>EFEITO!$J$1083*EFEITO!$Y$1083</f>
        <v>0</v>
      </c>
      <c r="K1083" s="79">
        <f ca="1">EFEITO!$L$1083*EFEITO!$Z$1083</f>
        <v>97791.285775425466</v>
      </c>
      <c r="L1083" s="79">
        <f>EFEITO!$N$1083*EFEITO!$AA$1083</f>
        <v>66333.628383454925</v>
      </c>
      <c r="M1083" s="79">
        <f>$J$1083-EFEITO!$K$1083*EFEITO!$Y$1083</f>
        <v>0</v>
      </c>
      <c r="N1083" s="79">
        <f ca="1">$K$1083-EFEITO!$M$1083*EFEITO!$Z$1083</f>
        <v>0</v>
      </c>
      <c r="O1083" s="79">
        <f>$L$1083-EFEITO!$O$1083*EFEITO!$AA$1083</f>
        <v>0</v>
      </c>
      <c r="P1083" s="18"/>
      <c r="Q1083" s="18"/>
      <c r="R1083" s="18"/>
      <c r="S1083" s="18"/>
      <c r="T1083" s="18"/>
      <c r="U1083" s="18"/>
      <c r="V1083" s="18"/>
      <c r="W1083" s="18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</row>
    <row r="1084" spans="1:36" ht="11.25" customHeight="1" x14ac:dyDescent="0.2">
      <c r="A1084" s="70" t="s">
        <v>21</v>
      </c>
      <c r="B1084" s="70" t="s">
        <v>44</v>
      </c>
      <c r="C1084" s="70" t="s">
        <v>23</v>
      </c>
      <c r="D1084" s="70" t="s">
        <v>45</v>
      </c>
      <c r="E1084" s="70" t="s">
        <v>46</v>
      </c>
      <c r="F1084" s="70" t="s">
        <v>25</v>
      </c>
      <c r="G1084" s="70" t="s">
        <v>25</v>
      </c>
      <c r="H1084" s="70" t="s">
        <v>25</v>
      </c>
      <c r="I1084" s="78">
        <v>44409</v>
      </c>
      <c r="J1084" s="79">
        <f>EFEITO!$J$1084*EFEITO!$Y$1084</f>
        <v>0</v>
      </c>
      <c r="K1084" s="79">
        <f ca="1">EFEITO!$L$1084*EFEITO!$Z$1084</f>
        <v>32932.45863529326</v>
      </c>
      <c r="L1084" s="79">
        <f>EFEITO!$N$1084*EFEITO!$AA$1084</f>
        <v>22338.692609929949</v>
      </c>
      <c r="M1084" s="79">
        <f>$J$1084-EFEITO!$K$1084*EFEITO!$Y$1084</f>
        <v>0</v>
      </c>
      <c r="N1084" s="79">
        <f ca="1">$K$1084-EFEITO!$M$1084*EFEITO!$Z$1084</f>
        <v>0</v>
      </c>
      <c r="O1084" s="79">
        <f>$L$1084-EFEITO!$O$1084*EFEITO!$AA$1084</f>
        <v>0</v>
      </c>
      <c r="P1084" s="18"/>
      <c r="Q1084" s="18"/>
      <c r="R1084" s="18"/>
      <c r="S1084" s="18"/>
      <c r="T1084" s="18"/>
      <c r="U1084" s="18"/>
      <c r="V1084" s="18"/>
      <c r="W1084" s="18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</row>
    <row r="1085" spans="1:36" ht="11.25" customHeight="1" x14ac:dyDescent="0.2">
      <c r="A1085" s="70" t="s">
        <v>21</v>
      </c>
      <c r="B1085" s="70" t="s">
        <v>44</v>
      </c>
      <c r="C1085" s="70" t="s">
        <v>23</v>
      </c>
      <c r="D1085" s="70" t="s">
        <v>45</v>
      </c>
      <c r="E1085" s="70" t="s">
        <v>46</v>
      </c>
      <c r="F1085" s="70" t="s">
        <v>25</v>
      </c>
      <c r="G1085" s="70" t="s">
        <v>25</v>
      </c>
      <c r="H1085" s="70" t="s">
        <v>25</v>
      </c>
      <c r="I1085" s="78">
        <v>44440</v>
      </c>
      <c r="J1085" s="79">
        <f>EFEITO!$J$1085*EFEITO!$Y$1085</f>
        <v>0</v>
      </c>
      <c r="K1085" s="79">
        <f ca="1">EFEITO!$L$1085*EFEITO!$Z$1085</f>
        <v>99351.119172058621</v>
      </c>
      <c r="L1085" s="79">
        <f>EFEITO!$N$1085*EFEITO!$AA$1085</f>
        <v>67391.692075448707</v>
      </c>
      <c r="M1085" s="79">
        <f>$J$1085-EFEITO!$K$1085*EFEITO!$Y$1085</f>
        <v>0</v>
      </c>
      <c r="N1085" s="79">
        <f ca="1">$K$1085-EFEITO!$M$1085*EFEITO!$Z$1085</f>
        <v>0</v>
      </c>
      <c r="O1085" s="79">
        <f>$L$1085-EFEITO!$O$1085*EFEITO!$AA$1085</f>
        <v>0</v>
      </c>
      <c r="P1085" s="18"/>
      <c r="Q1085" s="18"/>
      <c r="R1085" s="18"/>
      <c r="S1085" s="18"/>
      <c r="T1085" s="18"/>
      <c r="U1085" s="18"/>
      <c r="V1085" s="18"/>
      <c r="W1085" s="18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</row>
    <row r="1086" spans="1:36" ht="11.25" customHeight="1" x14ac:dyDescent="0.2">
      <c r="A1086" s="70" t="s">
        <v>21</v>
      </c>
      <c r="B1086" s="70" t="s">
        <v>44</v>
      </c>
      <c r="C1086" s="70" t="s">
        <v>23</v>
      </c>
      <c r="D1086" s="70" t="s">
        <v>45</v>
      </c>
      <c r="E1086" s="70" t="s">
        <v>46</v>
      </c>
      <c r="F1086" s="70" t="s">
        <v>25</v>
      </c>
      <c r="G1086" s="70" t="s">
        <v>25</v>
      </c>
      <c r="H1086" s="70" t="s">
        <v>25</v>
      </c>
      <c r="I1086" s="78">
        <v>44470</v>
      </c>
      <c r="J1086" s="79">
        <f>EFEITO!$J$1086*EFEITO!$Y$1086</f>
        <v>0</v>
      </c>
      <c r="K1086" s="79">
        <f ca="1">EFEITO!$L$1086*EFEITO!$Z$1086</f>
        <v>96508.645395089014</v>
      </c>
      <c r="L1086" s="79">
        <f>EFEITO!$N$1086*EFEITO!$AA$1086</f>
        <v>65463.589814433137</v>
      </c>
      <c r="M1086" s="79">
        <f>$J$1086-EFEITO!$K$1086*EFEITO!$Y$1086</f>
        <v>0</v>
      </c>
      <c r="N1086" s="79">
        <f ca="1">$K$1086-EFEITO!$M$1086*EFEITO!$Z$1086</f>
        <v>0</v>
      </c>
      <c r="O1086" s="79">
        <f>$L$1086-EFEITO!$O$1086*EFEITO!$AA$1086</f>
        <v>0</v>
      </c>
      <c r="P1086" s="18"/>
      <c r="Q1086" s="18"/>
      <c r="R1086" s="18"/>
      <c r="S1086" s="18"/>
      <c r="T1086" s="18"/>
      <c r="U1086" s="18"/>
      <c r="V1086" s="18"/>
      <c r="W1086" s="18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</row>
    <row r="1087" spans="1:36" ht="11.25" customHeight="1" x14ac:dyDescent="0.2">
      <c r="A1087" s="70" t="s">
        <v>21</v>
      </c>
      <c r="B1087" s="70" t="s">
        <v>44</v>
      </c>
      <c r="C1087" s="70" t="s">
        <v>23</v>
      </c>
      <c r="D1087" s="70" t="s">
        <v>45</v>
      </c>
      <c r="E1087" s="70" t="s">
        <v>46</v>
      </c>
      <c r="F1087" s="70" t="s">
        <v>25</v>
      </c>
      <c r="G1087" s="70" t="s">
        <v>25</v>
      </c>
      <c r="H1087" s="70" t="s">
        <v>25</v>
      </c>
      <c r="I1087" s="78">
        <v>44501</v>
      </c>
      <c r="J1087" s="79">
        <f>EFEITO!$J$1087*EFEITO!$Y$1087</f>
        <v>0</v>
      </c>
      <c r="K1087" s="79">
        <f ca="1">EFEITO!$L$1087*EFEITO!$Z$1087</f>
        <v>99250.20484496624</v>
      </c>
      <c r="L1087" s="79">
        <f>EFEITO!$N$1087*EFEITO!$AA$1087</f>
        <v>67323.240030679764</v>
      </c>
      <c r="M1087" s="79">
        <f>$J$1087-EFEITO!$K$1087*EFEITO!$Y$1087</f>
        <v>0</v>
      </c>
      <c r="N1087" s="79">
        <f ca="1">$K$1087-EFEITO!$M$1087*EFEITO!$Z$1087</f>
        <v>0</v>
      </c>
      <c r="O1087" s="79">
        <f>$L$1087-EFEITO!$O$1087*EFEITO!$AA$1087</f>
        <v>0</v>
      </c>
      <c r="P1087" s="18"/>
      <c r="Q1087" s="18"/>
      <c r="R1087" s="18"/>
      <c r="S1087" s="18"/>
      <c r="T1087" s="18"/>
      <c r="U1087" s="18"/>
      <c r="V1087" s="18"/>
      <c r="W1087" s="18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</row>
    <row r="1088" spans="1:36" ht="11.25" customHeight="1" x14ac:dyDescent="0.2">
      <c r="A1088" s="70" t="s">
        <v>27</v>
      </c>
      <c r="B1088" s="70" t="s">
        <v>44</v>
      </c>
      <c r="C1088" s="70" t="s">
        <v>23</v>
      </c>
      <c r="D1088" s="70" t="s">
        <v>45</v>
      </c>
      <c r="E1088" s="70" t="s">
        <v>46</v>
      </c>
      <c r="F1088" s="70" t="s">
        <v>25</v>
      </c>
      <c r="G1088" s="70" t="s">
        <v>25</v>
      </c>
      <c r="H1088" s="70" t="s">
        <v>25</v>
      </c>
      <c r="I1088" s="78">
        <v>44501</v>
      </c>
      <c r="J1088" s="79">
        <f>EFEITO!$J$1088*EFEITO!$Y$1088</f>
        <v>0</v>
      </c>
      <c r="K1088" s="79">
        <f ca="1">EFEITO!$L$1088*EFEITO!$Z$1088</f>
        <v>-4.8207481095080453</v>
      </c>
      <c r="L1088" s="79">
        <f>EFEITO!$N$1088*EFEITO!$AA$1088</f>
        <v>-3.2700021386436084</v>
      </c>
      <c r="M1088" s="79">
        <f>$J$1088-EFEITO!$K$1088*EFEITO!$Y$1088</f>
        <v>0</v>
      </c>
      <c r="N1088" s="79">
        <f ca="1">$K$1088-EFEITO!$M$1088*EFEITO!$Z$1088</f>
        <v>0</v>
      </c>
      <c r="O1088" s="79">
        <f>$L$1088-EFEITO!$O$1088*EFEITO!$AA$1088</f>
        <v>0</v>
      </c>
      <c r="P1088" s="18"/>
      <c r="Q1088" s="18"/>
      <c r="R1088" s="18"/>
      <c r="S1088" s="18"/>
      <c r="T1088" s="18"/>
      <c r="U1088" s="18"/>
      <c r="V1088" s="18"/>
      <c r="W1088" s="18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</row>
    <row r="1089" spans="1:36" ht="11.25" customHeight="1" x14ac:dyDescent="0.2">
      <c r="A1089" s="70" t="s">
        <v>21</v>
      </c>
      <c r="B1089" s="70" t="s">
        <v>44</v>
      </c>
      <c r="C1089" s="70" t="s">
        <v>23</v>
      </c>
      <c r="D1089" s="70" t="s">
        <v>45</v>
      </c>
      <c r="E1089" s="70" t="s">
        <v>46</v>
      </c>
      <c r="F1089" s="70" t="s">
        <v>25</v>
      </c>
      <c r="G1089" s="70" t="s">
        <v>25</v>
      </c>
      <c r="H1089" s="70" t="s">
        <v>25</v>
      </c>
      <c r="I1089" s="78">
        <v>44531</v>
      </c>
      <c r="J1089" s="79">
        <f>EFEITO!$J$1089*EFEITO!$Y$1089</f>
        <v>0</v>
      </c>
      <c r="K1089" s="79">
        <f ca="1">EFEITO!$L$1089*EFEITO!$Z$1089</f>
        <v>107275.94698927889</v>
      </c>
      <c r="L1089" s="79">
        <f>EFEITO!$N$1089*EFEITO!$AA$1089</f>
        <v>72767.248591164942</v>
      </c>
      <c r="M1089" s="79">
        <f>$J$1089-EFEITO!$K$1089*EFEITO!$Y$1089</f>
        <v>0</v>
      </c>
      <c r="N1089" s="79">
        <f ca="1">$K$1089-EFEITO!$M$1089*EFEITO!$Z$1089</f>
        <v>0</v>
      </c>
      <c r="O1089" s="79">
        <f>$L$1089-EFEITO!$O$1089*EFEITO!$AA$1089</f>
        <v>0</v>
      </c>
      <c r="P1089" s="18"/>
      <c r="Q1089" s="18"/>
      <c r="R1089" s="18"/>
      <c r="S1089" s="18"/>
      <c r="T1089" s="18"/>
      <c r="U1089" s="18"/>
      <c r="V1089" s="18"/>
      <c r="W1089" s="18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</row>
    <row r="1090" spans="1:36" ht="11.25" customHeight="1" x14ac:dyDescent="0.2">
      <c r="A1090" s="70" t="s">
        <v>27</v>
      </c>
      <c r="B1090" s="70" t="s">
        <v>44</v>
      </c>
      <c r="C1090" s="70" t="s">
        <v>23</v>
      </c>
      <c r="D1090" s="70" t="s">
        <v>45</v>
      </c>
      <c r="E1090" s="70" t="s">
        <v>46</v>
      </c>
      <c r="F1090" s="70" t="s">
        <v>25</v>
      </c>
      <c r="G1090" s="70" t="s">
        <v>25</v>
      </c>
      <c r="H1090" s="70" t="s">
        <v>25</v>
      </c>
      <c r="I1090" s="78">
        <v>44531</v>
      </c>
      <c r="J1090" s="79">
        <f>EFEITO!$J$1090*EFEITO!$Y$1090</f>
        <v>0</v>
      </c>
      <c r="K1090" s="79">
        <f ca="1">EFEITO!$L$1090*EFEITO!$Z$1090</f>
        <v>-16798.378862391735</v>
      </c>
      <c r="L1090" s="79">
        <f>EFEITO!$N$1090*EFEITO!$AA$1090</f>
        <v>-11394.649452317517</v>
      </c>
      <c r="M1090" s="79">
        <f>$J$1090-EFEITO!$K$1090*EFEITO!$Y$1090</f>
        <v>0</v>
      </c>
      <c r="N1090" s="79">
        <f ca="1">$K$1090-EFEITO!$M$1090*EFEITO!$Z$1090</f>
        <v>0</v>
      </c>
      <c r="O1090" s="79">
        <f>$L$1090-EFEITO!$O$1090*EFEITO!$AA$1090</f>
        <v>0</v>
      </c>
      <c r="P1090" s="18"/>
      <c r="Q1090" s="18"/>
      <c r="R1090" s="18"/>
      <c r="S1090" s="18"/>
      <c r="T1090" s="18"/>
      <c r="U1090" s="18"/>
      <c r="V1090" s="18"/>
      <c r="W1090" s="18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</row>
    <row r="1091" spans="1:36" ht="11.25" customHeight="1" x14ac:dyDescent="0.2">
      <c r="A1091" s="70" t="s">
        <v>21</v>
      </c>
      <c r="B1091" s="70" t="s">
        <v>44</v>
      </c>
      <c r="C1091" s="70" t="s">
        <v>23</v>
      </c>
      <c r="D1091" s="70" t="s">
        <v>45</v>
      </c>
      <c r="E1091" s="70" t="s">
        <v>46</v>
      </c>
      <c r="F1091" s="70" t="s">
        <v>25</v>
      </c>
      <c r="G1091" s="70" t="s">
        <v>25</v>
      </c>
      <c r="H1091" s="70" t="s">
        <v>25</v>
      </c>
      <c r="I1091" s="78">
        <v>44562</v>
      </c>
      <c r="J1091" s="79">
        <f>EFEITO!$J$1091*EFEITO!$Y$1091</f>
        <v>0</v>
      </c>
      <c r="K1091" s="79">
        <f ca="1">EFEITO!$L$1091*EFEITO!$Z$1091</f>
        <v>94110.162519005113</v>
      </c>
      <c r="L1091" s="79">
        <f>EFEITO!$N$1091*EFEITO!$AA$1091</f>
        <v>63836.65475038666</v>
      </c>
      <c r="M1091" s="79">
        <f>$J$1091-EFEITO!$K$1091*EFEITO!$Y$1091</f>
        <v>0</v>
      </c>
      <c r="N1091" s="79">
        <f ca="1">$K$1091-EFEITO!$M$1091*EFEITO!$Z$1091</f>
        <v>0</v>
      </c>
      <c r="O1091" s="79">
        <f>$L$1091-EFEITO!$O$1091*EFEITO!$AA$1091</f>
        <v>0</v>
      </c>
      <c r="P1091" s="18"/>
      <c r="Q1091" s="18"/>
      <c r="R1091" s="18"/>
      <c r="S1091" s="18"/>
      <c r="T1091" s="18"/>
      <c r="U1091" s="18"/>
      <c r="V1091" s="18"/>
      <c r="W1091" s="18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</row>
    <row r="1092" spans="1:36" ht="11.25" customHeight="1" x14ac:dyDescent="0.2">
      <c r="A1092" s="70" t="s">
        <v>21</v>
      </c>
      <c r="B1092" s="70" t="s">
        <v>44</v>
      </c>
      <c r="C1092" s="70" t="s">
        <v>23</v>
      </c>
      <c r="D1092" s="70" t="s">
        <v>45</v>
      </c>
      <c r="E1092" s="70" t="s">
        <v>46</v>
      </c>
      <c r="F1092" s="70" t="s">
        <v>25</v>
      </c>
      <c r="G1092" s="70" t="s">
        <v>25</v>
      </c>
      <c r="H1092" s="70" t="s">
        <v>25</v>
      </c>
      <c r="I1092" s="78">
        <v>44593</v>
      </c>
      <c r="J1092" s="79">
        <f>EFEITO!$J$1092*EFEITO!$Y$1092</f>
        <v>0</v>
      </c>
      <c r="K1092" s="79">
        <f ca="1">EFEITO!$L$1092*EFEITO!$Z$1092</f>
        <v>93001.711837025563</v>
      </c>
      <c r="L1092" s="79">
        <f>EFEITO!$N$1092*EFEITO!$AA$1092</f>
        <v>63084.772258641206</v>
      </c>
      <c r="M1092" s="79">
        <f>$J$1092-EFEITO!$K$1092*EFEITO!$Y$1092</f>
        <v>0</v>
      </c>
      <c r="N1092" s="79">
        <f ca="1">$K$1092-EFEITO!$M$1092*EFEITO!$Z$1092</f>
        <v>0</v>
      </c>
      <c r="O1092" s="79">
        <f>$L$1092-EFEITO!$O$1092*EFEITO!$AA$1092</f>
        <v>0</v>
      </c>
      <c r="P1092" s="18"/>
      <c r="Q1092" s="18"/>
      <c r="R1092" s="18"/>
      <c r="S1092" s="18"/>
      <c r="T1092" s="18"/>
      <c r="U1092" s="18"/>
      <c r="V1092" s="18"/>
      <c r="W1092" s="18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</row>
    <row r="1093" spans="1:36" ht="11.25" customHeight="1" x14ac:dyDescent="0.2">
      <c r="A1093" s="70" t="s">
        <v>21</v>
      </c>
      <c r="B1093" s="70" t="s">
        <v>44</v>
      </c>
      <c r="C1093" s="70" t="s">
        <v>23</v>
      </c>
      <c r="D1093" s="70" t="s">
        <v>45</v>
      </c>
      <c r="E1093" s="70" t="s">
        <v>46</v>
      </c>
      <c r="F1093" s="70" t="s">
        <v>25</v>
      </c>
      <c r="G1093" s="70" t="s">
        <v>25</v>
      </c>
      <c r="H1093" s="70" t="s">
        <v>25</v>
      </c>
      <c r="I1093" s="78">
        <v>44621</v>
      </c>
      <c r="J1093" s="79">
        <f>EFEITO!$J$1093*EFEITO!$Y$1093</f>
        <v>0</v>
      </c>
      <c r="K1093" s="79">
        <f ca="1">EFEITO!$L$1093*EFEITO!$Z$1093</f>
        <v>87508.30867463749</v>
      </c>
      <c r="L1093" s="79">
        <f>EFEITO!$N$1093*EFEITO!$AA$1093</f>
        <v>59358.495821585522</v>
      </c>
      <c r="M1093" s="79">
        <f>$J$1093-EFEITO!$K$1093*EFEITO!$Y$1093</f>
        <v>0</v>
      </c>
      <c r="N1093" s="79">
        <f ca="1">$K$1093-EFEITO!$M$1093*EFEITO!$Z$1093</f>
        <v>0</v>
      </c>
      <c r="O1093" s="79">
        <f>$L$1093-EFEITO!$O$1093*EFEITO!$AA$1093</f>
        <v>0</v>
      </c>
      <c r="P1093" s="18"/>
      <c r="Q1093" s="18"/>
      <c r="R1093" s="18"/>
      <c r="S1093" s="18"/>
      <c r="T1093" s="18"/>
      <c r="U1093" s="18"/>
      <c r="V1093" s="18"/>
      <c r="W1093" s="18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</row>
    <row r="1094" spans="1:36" ht="11.25" customHeight="1" x14ac:dyDescent="0.2">
      <c r="A1094" s="70" t="s">
        <v>27</v>
      </c>
      <c r="B1094" s="70" t="s">
        <v>44</v>
      </c>
      <c r="C1094" s="70" t="s">
        <v>23</v>
      </c>
      <c r="D1094" s="70" t="s">
        <v>45</v>
      </c>
      <c r="E1094" s="70" t="s">
        <v>46</v>
      </c>
      <c r="F1094" s="70" t="s">
        <v>25</v>
      </c>
      <c r="G1094" s="70" t="s">
        <v>25</v>
      </c>
      <c r="H1094" s="70" t="s">
        <v>25</v>
      </c>
      <c r="I1094" s="78">
        <v>44621</v>
      </c>
      <c r="J1094" s="79">
        <f>EFEITO!$J$1094*EFEITO!$Y$1094</f>
        <v>0</v>
      </c>
      <c r="K1094" s="79">
        <f ca="1">EFEITO!$L$1094*EFEITO!$Z$1094</f>
        <v>-2823.6728593425123</v>
      </c>
      <c r="L1094" s="79">
        <f>EFEITO!$N$1094*EFEITO!$AA$1094</f>
        <v>-1915.3492526748496</v>
      </c>
      <c r="M1094" s="79">
        <f>$J$1094-EFEITO!$K$1094*EFEITO!$Y$1094</f>
        <v>0</v>
      </c>
      <c r="N1094" s="79">
        <f ca="1">$K$1094-EFEITO!$M$1094*EFEITO!$Z$1094</f>
        <v>0</v>
      </c>
      <c r="O1094" s="79">
        <f>$L$1094-EFEITO!$O$1094*EFEITO!$AA$1094</f>
        <v>0</v>
      </c>
      <c r="P1094" s="18"/>
      <c r="Q1094" s="18"/>
      <c r="R1094" s="18"/>
      <c r="S1094" s="18"/>
      <c r="T1094" s="18"/>
      <c r="U1094" s="18"/>
      <c r="V1094" s="18"/>
      <c r="W1094" s="18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</row>
    <row r="1095" spans="1:36" ht="11.25" customHeight="1" x14ac:dyDescent="0.2">
      <c r="A1095" s="70" t="s">
        <v>21</v>
      </c>
      <c r="B1095" s="70" t="s">
        <v>44</v>
      </c>
      <c r="C1095" s="70" t="s">
        <v>23</v>
      </c>
      <c r="D1095" s="70" t="s">
        <v>45</v>
      </c>
      <c r="E1095" s="70" t="s">
        <v>46</v>
      </c>
      <c r="F1095" s="70" t="s">
        <v>25</v>
      </c>
      <c r="G1095" s="70" t="s">
        <v>25</v>
      </c>
      <c r="H1095" s="70" t="s">
        <v>25</v>
      </c>
      <c r="I1095" s="78">
        <v>44652</v>
      </c>
      <c r="J1095" s="79">
        <f>EFEITO!$J$1095*EFEITO!$Y$1095</f>
        <v>0</v>
      </c>
      <c r="K1095" s="79">
        <f ca="1">EFEITO!$L$1095*EFEITO!$Z$1095</f>
        <v>95104.522162392968</v>
      </c>
      <c r="L1095" s="79">
        <f>EFEITO!$N$1095*EFEITO!$AA$1095</f>
        <v>64511.14719151755</v>
      </c>
      <c r="M1095" s="79">
        <f>$J$1095-EFEITO!$K$1095*EFEITO!$Y$1095</f>
        <v>0</v>
      </c>
      <c r="N1095" s="79">
        <f ca="1">$K$1095-EFEITO!$M$1095*EFEITO!$Z$1095</f>
        <v>0</v>
      </c>
      <c r="O1095" s="79">
        <f>$L$1095-EFEITO!$O$1095*EFEITO!$AA$1095</f>
        <v>0</v>
      </c>
      <c r="P1095" s="18"/>
      <c r="Q1095" s="18"/>
      <c r="R1095" s="18"/>
      <c r="S1095" s="18"/>
      <c r="T1095" s="18"/>
      <c r="U1095" s="18"/>
      <c r="V1095" s="18"/>
      <c r="W1095" s="18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</row>
    <row r="1096" spans="1:36" ht="11.25" customHeight="1" x14ac:dyDescent="0.2">
      <c r="A1096" s="70" t="s">
        <v>27</v>
      </c>
      <c r="B1096" s="70" t="s">
        <v>44</v>
      </c>
      <c r="C1096" s="70" t="s">
        <v>23</v>
      </c>
      <c r="D1096" s="70" t="s">
        <v>45</v>
      </c>
      <c r="E1096" s="70" t="s">
        <v>46</v>
      </c>
      <c r="F1096" s="70" t="s">
        <v>25</v>
      </c>
      <c r="G1096" s="70" t="s">
        <v>25</v>
      </c>
      <c r="H1096" s="70" t="s">
        <v>25</v>
      </c>
      <c r="I1096" s="78">
        <v>44652</v>
      </c>
      <c r="J1096" s="79">
        <f>EFEITO!$J$1096*EFEITO!$Y$1096</f>
        <v>0</v>
      </c>
      <c r="K1096" s="79">
        <f ca="1">EFEITO!$L$1096*EFEITO!$Z$1096</f>
        <v>-611.59224349292072</v>
      </c>
      <c r="L1096" s="79">
        <f>EFEITO!$N$1096*EFEITO!$AA$1096</f>
        <v>-414.85427132258582</v>
      </c>
      <c r="M1096" s="79">
        <f>$J$1096-EFEITO!$K$1096*EFEITO!$Y$1096</f>
        <v>0</v>
      </c>
      <c r="N1096" s="79">
        <f ca="1">$K$1096-EFEITO!$M$1096*EFEITO!$Z$1096</f>
        <v>0</v>
      </c>
      <c r="O1096" s="79">
        <f>$L$1096-EFEITO!$O$1096*EFEITO!$AA$1096</f>
        <v>0</v>
      </c>
      <c r="P1096" s="18"/>
      <c r="Q1096" s="18"/>
      <c r="R1096" s="18"/>
      <c r="S1096" s="18"/>
      <c r="T1096" s="18"/>
      <c r="U1096" s="18"/>
      <c r="V1096" s="18"/>
      <c r="W1096" s="18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</row>
    <row r="1097" spans="1:36" ht="11.25" customHeight="1" x14ac:dyDescent="0.2">
      <c r="A1097" s="70" t="s">
        <v>21</v>
      </c>
      <c r="B1097" s="70" t="s">
        <v>44</v>
      </c>
      <c r="C1097" s="70" t="s">
        <v>23</v>
      </c>
      <c r="D1097" s="70" t="s">
        <v>45</v>
      </c>
      <c r="E1097" s="70" t="s">
        <v>46</v>
      </c>
      <c r="F1097" s="70" t="s">
        <v>25</v>
      </c>
      <c r="G1097" s="70" t="s">
        <v>25</v>
      </c>
      <c r="H1097" s="70" t="s">
        <v>25</v>
      </c>
      <c r="I1097" s="78">
        <v>44682</v>
      </c>
      <c r="J1097" s="79">
        <f>EFEITO!$J$1097*EFEITO!$Y$1097</f>
        <v>0</v>
      </c>
      <c r="K1097" s="79">
        <f ca="1">EFEITO!$L$1097*EFEITO!$Z$1097</f>
        <v>90305.306727774063</v>
      </c>
      <c r="L1097" s="79">
        <f>EFEITO!$N$1097*EFEITO!$AA$1097</f>
        <v>61255.751062426549</v>
      </c>
      <c r="M1097" s="79">
        <f>$J$1097-EFEITO!$K$1097*EFEITO!$Y$1097</f>
        <v>0</v>
      </c>
      <c r="N1097" s="79">
        <f ca="1">$K$1097-EFEITO!$M$1097*EFEITO!$Z$1097</f>
        <v>0</v>
      </c>
      <c r="O1097" s="79">
        <f>$L$1097-EFEITO!$O$1097*EFEITO!$AA$1097</f>
        <v>0</v>
      </c>
      <c r="P1097" s="18"/>
      <c r="Q1097" s="18"/>
      <c r="R1097" s="18"/>
      <c r="S1097" s="18"/>
      <c r="T1097" s="18"/>
      <c r="U1097" s="18"/>
      <c r="V1097" s="18"/>
      <c r="W1097" s="18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</row>
    <row r="1098" spans="1:36" ht="11.25" customHeight="1" x14ac:dyDescent="0.2">
      <c r="A1098" s="70" t="s">
        <v>21</v>
      </c>
      <c r="B1098" s="70" t="s">
        <v>44</v>
      </c>
      <c r="C1098" s="70" t="s">
        <v>23</v>
      </c>
      <c r="D1098" s="70" t="s">
        <v>45</v>
      </c>
      <c r="E1098" s="70" t="s">
        <v>46</v>
      </c>
      <c r="F1098" s="70" t="s">
        <v>25</v>
      </c>
      <c r="G1098" s="70" t="s">
        <v>25</v>
      </c>
      <c r="H1098" s="70" t="s">
        <v>25</v>
      </c>
      <c r="I1098" s="78">
        <v>44713</v>
      </c>
      <c r="J1098" s="79">
        <f>EFEITO!$J$1098*EFEITO!$Y$1098</f>
        <v>0</v>
      </c>
      <c r="K1098" s="79">
        <f ca="1">EFEITO!$L$1098*EFEITO!$Z$1098</f>
        <v>95646.052866694372</v>
      </c>
      <c r="L1098" s="79">
        <f>EFEITO!$N$1098*EFEITO!$AA$1098</f>
        <v>64878.477431758518</v>
      </c>
      <c r="M1098" s="79">
        <f>$J$1098-EFEITO!$K$1098*EFEITO!$Y$1098</f>
        <v>0</v>
      </c>
      <c r="N1098" s="79">
        <f ca="1">$K$1098-EFEITO!$M$1098*EFEITO!$Z$1098</f>
        <v>0</v>
      </c>
      <c r="O1098" s="79">
        <f>$L$1098-EFEITO!$O$1098*EFEITO!$AA$1098</f>
        <v>0</v>
      </c>
      <c r="P1098" s="18"/>
      <c r="Q1098" s="18"/>
      <c r="R1098" s="18"/>
      <c r="S1098" s="18"/>
      <c r="T1098" s="18"/>
      <c r="U1098" s="18"/>
      <c r="V1098" s="18"/>
      <c r="W1098" s="18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</row>
    <row r="1099" spans="1:36" ht="11.25" customHeight="1" x14ac:dyDescent="0.2">
      <c r="A1099" s="70" t="s">
        <v>27</v>
      </c>
      <c r="B1099" s="70" t="s">
        <v>44</v>
      </c>
      <c r="C1099" s="70" t="s">
        <v>23</v>
      </c>
      <c r="D1099" s="70" t="s">
        <v>45</v>
      </c>
      <c r="E1099" s="70" t="s">
        <v>46</v>
      </c>
      <c r="F1099" s="70" t="s">
        <v>25</v>
      </c>
      <c r="G1099" s="70" t="s">
        <v>25</v>
      </c>
      <c r="H1099" s="70" t="s">
        <v>25</v>
      </c>
      <c r="I1099" s="78">
        <v>44713</v>
      </c>
      <c r="J1099" s="79">
        <f>EFEITO!$J$1099*EFEITO!$Y$1099</f>
        <v>0</v>
      </c>
      <c r="K1099" s="79">
        <f ca="1">EFEITO!$L$1099*EFEITO!$Z$1099</f>
        <v>-2199.3859791612203</v>
      </c>
      <c r="L1099" s="79">
        <f>EFEITO!$N$1099*EFEITO!$AA$1099</f>
        <v>-1491.8839757205021</v>
      </c>
      <c r="M1099" s="79">
        <f>$J$1099-EFEITO!$K$1099*EFEITO!$Y$1099</f>
        <v>0</v>
      </c>
      <c r="N1099" s="79">
        <f ca="1">$K$1099-EFEITO!$M$1099*EFEITO!$Z$1099</f>
        <v>0</v>
      </c>
      <c r="O1099" s="79">
        <f>$L$1099-EFEITO!$O$1099*EFEITO!$AA$1099</f>
        <v>0</v>
      </c>
      <c r="P1099" s="18"/>
      <c r="Q1099" s="18"/>
      <c r="R1099" s="18"/>
      <c r="S1099" s="18"/>
      <c r="T1099" s="18"/>
      <c r="U1099" s="18"/>
      <c r="V1099" s="18"/>
      <c r="W1099" s="18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84BE8-3087-485D-A929-C18D483FB7E6}">
  <dimension ref="A1:BD111"/>
  <sheetViews>
    <sheetView showGridLines="0" topLeftCell="D38" workbookViewId="0">
      <selection activeCell="L57" sqref="L57:BD111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5" width="4.14062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1" width="10" style="9" bestFit="1" customWidth="1"/>
    <col min="22" max="23" width="9.85546875" style="9" bestFit="1" customWidth="1"/>
    <col min="24" max="24" width="10.85546875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9.28515625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4" style="9" bestFit="1" customWidth="1"/>
    <col min="34" max="34" width="9.140625" style="9"/>
    <col min="35" max="35" width="13.42578125" style="9" bestFit="1" customWidth="1"/>
    <col min="36" max="36" width="8.7109375" style="9" bestFit="1" customWidth="1"/>
    <col min="37" max="38" width="4.140625" style="9" bestFit="1" customWidth="1"/>
    <col min="39" max="39" width="4.42578125" style="9" bestFit="1" customWidth="1"/>
    <col min="40" max="40" width="10.85546875" style="9" bestFit="1" customWidth="1"/>
    <col min="41" max="41" width="10" style="9" bestFit="1" customWidth="1"/>
    <col min="42" max="42" width="8.7109375" style="9" bestFit="1" customWidth="1"/>
    <col min="43" max="44" width="10" style="9" bestFit="1" customWidth="1"/>
    <col min="45" max="46" width="9.85546875" style="9" bestFit="1" customWidth="1"/>
    <col min="47" max="47" width="10.85546875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9.28515625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4" style="9" bestFit="1" customWidth="1"/>
    <col min="57" max="16384" width="9.140625" style="9"/>
  </cols>
  <sheetData>
    <row r="1" spans="1:56" ht="11.25" customHeight="1" x14ac:dyDescent="0.25">
      <c r="A1" s="112" t="s">
        <v>72</v>
      </c>
      <c r="B1" s="112" t="s">
        <v>73</v>
      </c>
      <c r="C1" s="112" t="s">
        <v>74</v>
      </c>
      <c r="D1" s="112" t="s">
        <v>75</v>
      </c>
      <c r="E1" s="112" t="s">
        <v>76</v>
      </c>
      <c r="F1" s="112" t="s">
        <v>15</v>
      </c>
      <c r="G1" s="112" t="s">
        <v>78</v>
      </c>
      <c r="H1" s="112" t="s">
        <v>79</v>
      </c>
      <c r="I1" s="112" t="s">
        <v>545</v>
      </c>
      <c r="J1" s="102"/>
      <c r="L1" s="110" t="s">
        <v>739</v>
      </c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  <c r="AA1" s="110"/>
      <c r="AB1" s="110"/>
      <c r="AC1" s="110"/>
      <c r="AD1" s="110"/>
      <c r="AE1" s="110"/>
      <c r="AF1" s="110"/>
      <c r="AG1" s="110"/>
      <c r="AI1" s="110" t="s">
        <v>740</v>
      </c>
      <c r="AJ1" s="110"/>
      <c r="AK1" s="110"/>
      <c r="AL1" s="110"/>
      <c r="AM1" s="110"/>
      <c r="AN1" s="110"/>
      <c r="AO1" s="110"/>
      <c r="AP1" s="110"/>
      <c r="AQ1" s="110"/>
      <c r="AR1" s="110"/>
      <c r="AS1" s="110"/>
      <c r="AT1" s="110"/>
      <c r="AU1" s="110"/>
      <c r="AV1" s="110"/>
      <c r="AW1" s="110"/>
      <c r="AX1" s="110"/>
      <c r="AY1" s="110"/>
      <c r="AZ1" s="110"/>
      <c r="BA1" s="110"/>
      <c r="BB1" s="110"/>
      <c r="BC1" s="110"/>
      <c r="BD1" s="110"/>
    </row>
    <row r="2" spans="1:56" ht="11.25" customHeight="1" x14ac:dyDescent="0.25">
      <c r="A2" s="112"/>
      <c r="B2" s="112"/>
      <c r="C2" s="112"/>
      <c r="D2" s="112"/>
      <c r="E2" s="112"/>
      <c r="F2" s="112"/>
      <c r="G2" s="112"/>
      <c r="H2" s="112"/>
      <c r="I2" s="112"/>
      <c r="J2" s="102"/>
      <c r="L2" s="110" t="s">
        <v>444</v>
      </c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I2" s="110" t="s">
        <v>444</v>
      </c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10"/>
      <c r="BB2" s="110"/>
      <c r="BC2" s="110"/>
      <c r="BD2" s="110"/>
    </row>
    <row r="3" spans="1:56" ht="11.25" customHeight="1" x14ac:dyDescent="0.25">
      <c r="A3" s="112"/>
      <c r="B3" s="112"/>
      <c r="C3" s="112"/>
      <c r="D3" s="112"/>
      <c r="E3" s="112"/>
      <c r="F3" s="112"/>
      <c r="G3" s="112"/>
      <c r="H3" s="112"/>
      <c r="I3" s="112"/>
      <c r="J3" s="102"/>
      <c r="L3" s="110" t="s">
        <v>445</v>
      </c>
      <c r="M3" s="110"/>
      <c r="N3" s="110"/>
      <c r="O3" s="110"/>
      <c r="P3" s="110"/>
      <c r="Q3" s="110"/>
      <c r="R3" s="110"/>
      <c r="S3" s="110"/>
      <c r="T3" s="110" t="s">
        <v>454</v>
      </c>
      <c r="U3" s="110"/>
      <c r="V3" s="110"/>
      <c r="W3" s="110"/>
      <c r="X3" s="110"/>
      <c r="Y3" s="110"/>
      <c r="Z3" s="110"/>
      <c r="AA3" s="49" t="s">
        <v>462</v>
      </c>
      <c r="AB3" s="110" t="s">
        <v>464</v>
      </c>
      <c r="AC3" s="110"/>
      <c r="AD3" s="110" t="s">
        <v>467</v>
      </c>
      <c r="AE3" s="110"/>
      <c r="AF3" s="110"/>
      <c r="AG3" s="110"/>
      <c r="AI3" s="110" t="s">
        <v>445</v>
      </c>
      <c r="AJ3" s="110"/>
      <c r="AK3" s="110"/>
      <c r="AL3" s="110"/>
      <c r="AM3" s="110"/>
      <c r="AN3" s="110"/>
      <c r="AO3" s="110"/>
      <c r="AP3" s="110"/>
      <c r="AQ3" s="110" t="s">
        <v>454</v>
      </c>
      <c r="AR3" s="110"/>
      <c r="AS3" s="110"/>
      <c r="AT3" s="110"/>
      <c r="AU3" s="110"/>
      <c r="AV3" s="110"/>
      <c r="AW3" s="110"/>
      <c r="AX3" s="49" t="s">
        <v>462</v>
      </c>
      <c r="AY3" s="110" t="s">
        <v>464</v>
      </c>
      <c r="AZ3" s="110"/>
      <c r="BA3" s="110" t="s">
        <v>467</v>
      </c>
      <c r="BB3" s="110"/>
      <c r="BC3" s="110"/>
      <c r="BD3" s="110"/>
    </row>
    <row r="4" spans="1:56" ht="11.25" customHeight="1" x14ac:dyDescent="0.25">
      <c r="A4" s="112"/>
      <c r="B4" s="112"/>
      <c r="C4" s="112"/>
      <c r="D4" s="112"/>
      <c r="E4" s="112"/>
      <c r="F4" s="112"/>
      <c r="G4" s="112"/>
      <c r="H4" s="112"/>
      <c r="I4" s="112"/>
      <c r="J4" s="102"/>
      <c r="L4" s="49" t="s">
        <v>530</v>
      </c>
      <c r="M4" s="49" t="s">
        <v>446</v>
      </c>
      <c r="N4" s="49" t="s">
        <v>447</v>
      </c>
      <c r="O4" s="49" t="s">
        <v>448</v>
      </c>
      <c r="P4" s="49" t="s">
        <v>449</v>
      </c>
      <c r="Q4" s="49" t="s">
        <v>450</v>
      </c>
      <c r="R4" s="49" t="s">
        <v>451</v>
      </c>
      <c r="S4" s="49" t="s">
        <v>452</v>
      </c>
      <c r="T4" s="49" t="s">
        <v>455</v>
      </c>
      <c r="U4" s="49" t="s">
        <v>456</v>
      </c>
      <c r="V4" s="49" t="s">
        <v>457</v>
      </c>
      <c r="W4" s="49" t="s">
        <v>458</v>
      </c>
      <c r="X4" s="49" t="s">
        <v>459</v>
      </c>
      <c r="Y4" s="49" t="s">
        <v>460</v>
      </c>
      <c r="Z4" s="49" t="s">
        <v>461</v>
      </c>
      <c r="AA4" s="49" t="s">
        <v>463</v>
      </c>
      <c r="AB4" s="49" t="s">
        <v>465</v>
      </c>
      <c r="AC4" s="49" t="s">
        <v>466</v>
      </c>
      <c r="AD4" s="49" t="s">
        <v>468</v>
      </c>
      <c r="AE4" s="49" t="s">
        <v>469</v>
      </c>
      <c r="AF4" s="49" t="s">
        <v>470</v>
      </c>
      <c r="AG4" s="49" t="s">
        <v>471</v>
      </c>
      <c r="AI4" s="49" t="s">
        <v>530</v>
      </c>
      <c r="AJ4" s="49" t="s">
        <v>446</v>
      </c>
      <c r="AK4" s="49" t="s">
        <v>447</v>
      </c>
      <c r="AL4" s="49" t="s">
        <v>448</v>
      </c>
      <c r="AM4" s="49" t="s">
        <v>449</v>
      </c>
      <c r="AN4" s="49" t="s">
        <v>450</v>
      </c>
      <c r="AO4" s="49" t="s">
        <v>451</v>
      </c>
      <c r="AP4" s="49" t="s">
        <v>452</v>
      </c>
      <c r="AQ4" s="49" t="s">
        <v>455</v>
      </c>
      <c r="AR4" s="49" t="s">
        <v>456</v>
      </c>
      <c r="AS4" s="49" t="s">
        <v>457</v>
      </c>
      <c r="AT4" s="49" t="s">
        <v>458</v>
      </c>
      <c r="AU4" s="49" t="s">
        <v>459</v>
      </c>
      <c r="AV4" s="49" t="s">
        <v>460</v>
      </c>
      <c r="AW4" s="49" t="s">
        <v>461</v>
      </c>
      <c r="AX4" s="49" t="s">
        <v>463</v>
      </c>
      <c r="AY4" s="49" t="s">
        <v>465</v>
      </c>
      <c r="AZ4" s="49" t="s">
        <v>466</v>
      </c>
      <c r="BA4" s="49" t="s">
        <v>468</v>
      </c>
      <c r="BB4" s="49" t="s">
        <v>469</v>
      </c>
      <c r="BC4" s="49" t="s">
        <v>470</v>
      </c>
      <c r="BD4" s="49" t="s">
        <v>471</v>
      </c>
    </row>
    <row r="5" spans="1:56" ht="11.25" customHeight="1" x14ac:dyDescent="0.25">
      <c r="A5" s="109" t="s">
        <v>53</v>
      </c>
      <c r="B5" s="109" t="s">
        <v>36</v>
      </c>
      <c r="C5" s="109" t="s">
        <v>25</v>
      </c>
      <c r="D5" s="109" t="s">
        <v>25</v>
      </c>
      <c r="E5" s="109" t="s">
        <v>25</v>
      </c>
      <c r="F5" s="109" t="s">
        <v>25</v>
      </c>
      <c r="G5" s="52" t="s">
        <v>86</v>
      </c>
      <c r="H5" s="52" t="s">
        <v>85</v>
      </c>
      <c r="I5" s="52">
        <f>'MERCADO TUSD'!$U$2</f>
        <v>39600</v>
      </c>
      <c r="J5" s="15"/>
      <c r="L5" s="48">
        <f>('TUSD BE'!$L$5+'TUSD BF'!$L$5+'TUSD CVA'!$L$5)*1</f>
        <v>0</v>
      </c>
      <c r="M5" s="48">
        <f>('TUSD BE'!$M$5+'TUSD BF'!$M$5+'TUSD CVA'!$M$5)*1</f>
        <v>0</v>
      </c>
      <c r="N5" s="48">
        <f ca="1">('TUSD BE'!$N$5+'TUSD BF'!$N$5+'TUSD CVA'!$N$5)*1</f>
        <v>0</v>
      </c>
      <c r="O5" s="48">
        <f>('TUSD BE'!$O$5+'TUSD BF'!$O$5+'TUSD CVA'!$O$5)*1</f>
        <v>0</v>
      </c>
      <c r="P5" s="48">
        <f>('TUSD BE'!$P$5+'TUSD BF'!$P$5+'TUSD CVA'!$P$5)*1</f>
        <v>0</v>
      </c>
      <c r="Q5" s="48">
        <f>('TUSD BE'!$Q$5+'TUSD BF'!$Q$5+'TUSD CVA'!$Q$5)*1</f>
        <v>0</v>
      </c>
      <c r="R5" s="48">
        <f>('TUSD BE'!$R$5+'TUSD BF'!$R$5+'TUSD CVA'!$R$5)*1</f>
        <v>0</v>
      </c>
      <c r="S5" s="48">
        <f>('TUSD BE'!$S$5+'TUSD BF'!$S$5+'TUSD CVA'!$S$5)*1</f>
        <v>0</v>
      </c>
      <c r="T5" s="48">
        <f>('TUSD BE'!$U$5+'TUSD BF'!$U$5+'TUSD CVA'!$U$5)*1</f>
        <v>4.0203755213610544</v>
      </c>
      <c r="U5" s="48">
        <f>('TUSD BE'!$V$5+'TUSD BF'!$V$5+'TUSD CVA'!$V$5)*1</f>
        <v>2.2763399969981588</v>
      </c>
      <c r="V5" s="48">
        <f>('TUSD BE'!$W$5+'TUSD BF'!$W$5+'TUSD CVA'!$W$5)*1</f>
        <v>0</v>
      </c>
      <c r="W5" s="48">
        <f>('TUSD BE'!$X$5+'TUSD BF'!$X$5+'TUSD CVA'!$X$5)*1</f>
        <v>0</v>
      </c>
      <c r="X5" s="48">
        <f>('TUSD BE'!$Y$5+'TUSD BF'!$Y$5+'TUSD CVA'!$Y$5)*1</f>
        <v>17.282498064268971</v>
      </c>
      <c r="Y5" s="48">
        <f>('TUSD BE'!$Z$5+'TUSD BF'!$Z$5+'TUSD CVA'!$Z$5)*1</f>
        <v>0</v>
      </c>
      <c r="Z5" s="48">
        <f>('TUSD BE'!$AA$5+'TUSD BF'!$AA$5+'TUSD CVA'!$AA$5)*1</f>
        <v>0</v>
      </c>
      <c r="AA5" s="48">
        <f>('TUSD BE'!$AC$5+'TUSD BF'!$AC$5+'TUSD CVA'!$AC$5)*1</f>
        <v>0.53307162047737278</v>
      </c>
      <c r="AB5" s="48">
        <f ca="1">('TUSD BE'!$AE$5+'TUSD BF'!$AE$5+'TUSD CVA'!$AE$5)*1</f>
        <v>-6.9768001189161932E-2</v>
      </c>
      <c r="AC5" s="48">
        <f ca="1">('TUSD BE'!$AF$5+'TUSD BF'!$AF$5+'TUSD CVA'!$AF$5)*1</f>
        <v>0</v>
      </c>
      <c r="AD5" s="48">
        <f>('TUSD BE'!$AH$5+'TUSD BF'!$AH$5+'TUSD CVA'!$AH$5)*1</f>
        <v>0</v>
      </c>
      <c r="AE5" s="48">
        <f>('TUSD BE'!$AI$5+'TUSD BF'!$AI$5+'TUSD CVA'!$AI$5)*1</f>
        <v>0</v>
      </c>
      <c r="AF5" s="48">
        <f ca="1">('TUSD BE'!$AJ$5+'TUSD BF'!$AJ$5+'TUSD CVA'!$AJ$5)*1</f>
        <v>0</v>
      </c>
      <c r="AG5" s="48">
        <f ca="1">('TUSD BE'!$AK$5+'TUSD BF'!$AK$5+'TUSD CVA'!$AK$5)*1</f>
        <v>0</v>
      </c>
      <c r="AI5" s="48">
        <v>0</v>
      </c>
      <c r="AJ5" s="48">
        <v>0</v>
      </c>
      <c r="AK5" s="48">
        <v>0</v>
      </c>
      <c r="AL5" s="48">
        <v>0</v>
      </c>
      <c r="AM5" s="48">
        <v>0</v>
      </c>
      <c r="AN5" s="48">
        <v>0</v>
      </c>
      <c r="AO5" s="48">
        <v>0</v>
      </c>
      <c r="AP5" s="48">
        <v>0</v>
      </c>
      <c r="AQ5" s="48">
        <v>3.5415799407850601</v>
      </c>
      <c r="AR5" s="48">
        <v>1.5718913881707299</v>
      </c>
      <c r="AS5" s="48">
        <v>0</v>
      </c>
      <c r="AT5" s="48">
        <v>0</v>
      </c>
      <c r="AU5" s="48">
        <v>17.088313039048298</v>
      </c>
      <c r="AV5" s="48">
        <v>0</v>
      </c>
      <c r="AW5" s="48">
        <v>0</v>
      </c>
      <c r="AX5" s="48">
        <v>0.67611788325942102</v>
      </c>
      <c r="AY5" s="48">
        <v>-0.30435101197185799</v>
      </c>
      <c r="AZ5" s="48">
        <v>0</v>
      </c>
      <c r="BA5" s="48">
        <v>0</v>
      </c>
      <c r="BB5" s="48">
        <v>0</v>
      </c>
      <c r="BC5" s="48">
        <v>0</v>
      </c>
      <c r="BD5" s="48">
        <v>0</v>
      </c>
    </row>
    <row r="6" spans="1:56" ht="11.25" customHeight="1" x14ac:dyDescent="0.25">
      <c r="A6" s="109"/>
      <c r="B6" s="109"/>
      <c r="C6" s="109"/>
      <c r="D6" s="109"/>
      <c r="E6" s="109"/>
      <c r="F6" s="109"/>
      <c r="G6" s="52" t="s">
        <v>87</v>
      </c>
      <c r="H6" s="52" t="s">
        <v>85</v>
      </c>
      <c r="I6" s="52">
        <f>'MERCADO TUSD'!$U$3</f>
        <v>39600</v>
      </c>
      <c r="J6" s="15"/>
      <c r="L6" s="48">
        <f>('TUSD BE'!$L$6+'TUSD BF'!$L$6+'TUSD CVA'!$L$6)*1</f>
        <v>0</v>
      </c>
      <c r="M6" s="48">
        <f>('TUSD BE'!$M$6+'TUSD BF'!$M$6+'TUSD CVA'!$M$6)*1</f>
        <v>0</v>
      </c>
      <c r="N6" s="48">
        <f ca="1">('TUSD BE'!$N$6+'TUSD BF'!$N$6+'TUSD CVA'!$N$6)*1</f>
        <v>0</v>
      </c>
      <c r="O6" s="48">
        <f>('TUSD BE'!$O$6+'TUSD BF'!$O$6+'TUSD CVA'!$O$6)*1</f>
        <v>0</v>
      </c>
      <c r="P6" s="48">
        <f>('TUSD BE'!$P$6+'TUSD BF'!$P$6+'TUSD CVA'!$P$6)*1</f>
        <v>0</v>
      </c>
      <c r="Q6" s="48">
        <f>('TUSD BE'!$Q$6+'TUSD BF'!$Q$6+'TUSD CVA'!$Q$6)*1</f>
        <v>0</v>
      </c>
      <c r="R6" s="48">
        <f>('TUSD BE'!$R$6+'TUSD BF'!$R$6+'TUSD CVA'!$R$6)*1</f>
        <v>0</v>
      </c>
      <c r="S6" s="48">
        <f>('TUSD BE'!$S$6+'TUSD BF'!$S$6+'TUSD CVA'!$S$6)*1</f>
        <v>0</v>
      </c>
      <c r="T6" s="48">
        <f>('TUSD BE'!$U$6+'TUSD BF'!$U$6+'TUSD CVA'!$U$6)*1</f>
        <v>2.2335263048491951</v>
      </c>
      <c r="U6" s="48">
        <f>('TUSD BE'!$V$6+'TUSD BF'!$V$6+'TUSD CVA'!$V$6)*1</f>
        <v>1.0919964089782801</v>
      </c>
      <c r="V6" s="48">
        <f>('TUSD BE'!$W$6+'TUSD BF'!$W$6+'TUSD CVA'!$W$6)*1</f>
        <v>0</v>
      </c>
      <c r="W6" s="48">
        <f>('TUSD BE'!$X$6+'TUSD BF'!$X$6+'TUSD CVA'!$X$6)*1</f>
        <v>0</v>
      </c>
      <c r="X6" s="48">
        <f>('TUSD BE'!$Y$6+'TUSD BF'!$Y$6+'TUSD CVA'!$Y$6)*1</f>
        <v>7.2220345906463965</v>
      </c>
      <c r="Y6" s="48">
        <f>('TUSD BE'!$Z$6+'TUSD BF'!$Z$6+'TUSD CVA'!$Z$6)*1</f>
        <v>0</v>
      </c>
      <c r="Z6" s="48">
        <f>('TUSD BE'!$AA$6+'TUSD BF'!$AA$6+'TUSD CVA'!$AA$6)*1</f>
        <v>0</v>
      </c>
      <c r="AA6" s="48">
        <f>('TUSD BE'!$AC$6+'TUSD BF'!$AC$6+'TUSD CVA'!$AC$6)*1</f>
        <v>0.53307162047737278</v>
      </c>
      <c r="AB6" s="48">
        <f ca="1">('TUSD BE'!$AE$6+'TUSD BF'!$AE$6+'TUSD CVA'!$AE$6)*1</f>
        <v>-3.3312924997280079E-2</v>
      </c>
      <c r="AC6" s="48">
        <f ca="1">('TUSD BE'!$AF$6+'TUSD BF'!$AF$6+'TUSD CVA'!$AF$6)*1</f>
        <v>0</v>
      </c>
      <c r="AD6" s="48">
        <f>('TUSD BE'!$AH$6+'TUSD BF'!$AH$6+'TUSD CVA'!$AH$6)*1</f>
        <v>0</v>
      </c>
      <c r="AE6" s="48">
        <f>('TUSD BE'!$AI$6+'TUSD BF'!$AI$6+'TUSD CVA'!$AI$6)*1</f>
        <v>0</v>
      </c>
      <c r="AF6" s="48">
        <f ca="1">('TUSD BE'!$AJ$6+'TUSD BF'!$AJ$6+'TUSD CVA'!$AJ$6)*1</f>
        <v>0</v>
      </c>
      <c r="AG6" s="48">
        <f ca="1">('TUSD BE'!$AK$6+'TUSD BF'!$AK$6+'TUSD CVA'!$AK$6)*1</f>
        <v>0</v>
      </c>
      <c r="AI6" s="48">
        <v>0</v>
      </c>
      <c r="AJ6" s="48">
        <v>0</v>
      </c>
      <c r="AK6" s="48">
        <v>0</v>
      </c>
      <c r="AL6" s="48">
        <v>0</v>
      </c>
      <c r="AM6" s="48">
        <v>0</v>
      </c>
      <c r="AN6" s="48">
        <v>0</v>
      </c>
      <c r="AO6" s="48">
        <v>0</v>
      </c>
      <c r="AP6" s="48">
        <v>0</v>
      </c>
      <c r="AQ6" s="48">
        <v>1.9675305409486501</v>
      </c>
      <c r="AR6" s="48">
        <v>0.75410833872527305</v>
      </c>
      <c r="AS6" s="48">
        <v>0</v>
      </c>
      <c r="AT6" s="48">
        <v>0</v>
      </c>
      <c r="AU6" s="48">
        <v>7.14085299713315</v>
      </c>
      <c r="AV6" s="48">
        <v>0</v>
      </c>
      <c r="AW6" s="48">
        <v>0</v>
      </c>
      <c r="AX6" s="48">
        <v>0.67611788325942102</v>
      </c>
      <c r="AY6" s="48">
        <v>-0.14649192277655201</v>
      </c>
      <c r="AZ6" s="48">
        <v>0</v>
      </c>
      <c r="BA6" s="48">
        <v>0</v>
      </c>
      <c r="BB6" s="48">
        <v>0</v>
      </c>
      <c r="BC6" s="48">
        <v>0</v>
      </c>
      <c r="BD6" s="48">
        <v>0</v>
      </c>
    </row>
    <row r="7" spans="1:56" ht="11.25" customHeight="1" x14ac:dyDescent="0.25">
      <c r="A7" s="109"/>
      <c r="B7" s="109"/>
      <c r="C7" s="109"/>
      <c r="D7" s="109"/>
      <c r="E7" s="109"/>
      <c r="F7" s="109"/>
      <c r="G7" s="52" t="s">
        <v>88</v>
      </c>
      <c r="H7" s="52" t="s">
        <v>82</v>
      </c>
      <c r="I7" s="52">
        <f>'MERCADO TUSD'!$U$4</f>
        <v>16873.752000000004</v>
      </c>
      <c r="J7" s="15"/>
      <c r="L7" s="48">
        <f>('TUSD BE'!$L$7+'TUSD BF'!$L$7+'TUSD CVA'!$L$7)*1</f>
        <v>0</v>
      </c>
      <c r="M7" s="48">
        <f>('TUSD BE'!$M$7+'TUSD BF'!$M$7+'TUSD CVA'!$M$7)*1</f>
        <v>2.6529830028632122E-2</v>
      </c>
      <c r="N7" s="48">
        <f ca="1">('TUSD BE'!$N$7+'TUSD BF'!$N$7+'TUSD CVA'!$N$7)*1</f>
        <v>0</v>
      </c>
      <c r="O7" s="48">
        <f>('TUSD BE'!$O$7+'TUSD BF'!$O$7+'TUSD CVA'!$O$7)*1</f>
        <v>0</v>
      </c>
      <c r="P7" s="48">
        <f>('TUSD BE'!$P$7+'TUSD BF'!$P$7+'TUSD CVA'!$P$7)*1</f>
        <v>0</v>
      </c>
      <c r="Q7" s="48">
        <f>('TUSD BE'!$Q$7+'TUSD BF'!$Q$7+'TUSD CVA'!$Q$7)*1</f>
        <v>52.222434723374889</v>
      </c>
      <c r="R7" s="48">
        <f>('TUSD BE'!$R$7+'TUSD BF'!$R$7+'TUSD CVA'!$R$7)*1</f>
        <v>13.323441364471861</v>
      </c>
      <c r="S7" s="48">
        <f>('TUSD BE'!$S$7+'TUSD BF'!$S$7+'TUSD CVA'!$S$7)*1</f>
        <v>0</v>
      </c>
      <c r="T7" s="48">
        <f>('TUSD BE'!$U$7+'TUSD BF'!$U$7+'TUSD CVA'!$U$7)*1</f>
        <v>0</v>
      </c>
      <c r="U7" s="48">
        <f>('TUSD BE'!$V$7+'TUSD BF'!$V$7+'TUSD CVA'!$V$7)*1</f>
        <v>0</v>
      </c>
      <c r="V7" s="48">
        <f>('TUSD BE'!$W$7+'TUSD BF'!$W$7+'TUSD CVA'!$W$7)*1</f>
        <v>0</v>
      </c>
      <c r="W7" s="48">
        <f>('TUSD BE'!$X$7+'TUSD BF'!$X$7+'TUSD CVA'!$X$7)*1</f>
        <v>0</v>
      </c>
      <c r="X7" s="48">
        <f>('TUSD BE'!$Y$7+'TUSD BF'!$Y$7+'TUSD CVA'!$Y$7)*1</f>
        <v>0</v>
      </c>
      <c r="Y7" s="48">
        <f>('TUSD BE'!$Z$7+'TUSD BF'!$Z$7+'TUSD CVA'!$Z$7)*1</f>
        <v>0</v>
      </c>
      <c r="Z7" s="48">
        <f>('TUSD BE'!$AA$7+'TUSD BF'!$AA$7+'TUSD CVA'!$AA$7)*1</f>
        <v>0</v>
      </c>
      <c r="AA7" s="48">
        <f>('TUSD BE'!$AC$7+'TUSD BF'!$AC$7+'TUSD CVA'!$AC$7)*1</f>
        <v>0</v>
      </c>
      <c r="AB7" s="48">
        <f ca="1">('TUSD BE'!$AE$7+'TUSD BF'!$AE$7+'TUSD CVA'!$AE$7)*1</f>
        <v>-0.20475080516304353</v>
      </c>
      <c r="AC7" s="48">
        <f ca="1">('TUSD BE'!$AF$7+'TUSD BF'!$AF$7+'TUSD CVA'!$AF$7)*1</f>
        <v>0</v>
      </c>
      <c r="AD7" s="48">
        <f>('TUSD BE'!$AH$7+'TUSD BF'!$AH$7+'TUSD CVA'!$AH$7)*1</f>
        <v>4.5506262815620098E-2</v>
      </c>
      <c r="AE7" s="48">
        <f>('TUSD BE'!$AI$7+'TUSD BF'!$AI$7+'TUSD CVA'!$AI$7)*1</f>
        <v>0</v>
      </c>
      <c r="AF7" s="48">
        <f ca="1">('TUSD BE'!$AJ$7+'TUSD BF'!$AJ$7+'TUSD CVA'!$AJ$7)*1</f>
        <v>0</v>
      </c>
      <c r="AG7" s="48">
        <f ca="1">('TUSD BE'!$AK$7+'TUSD BF'!$AK$7+'TUSD CVA'!$AK$7)*1</f>
        <v>0</v>
      </c>
      <c r="AI7" s="48">
        <v>0</v>
      </c>
      <c r="AJ7" s="48">
        <v>3.4293017283292301E-2</v>
      </c>
      <c r="AK7" s="48">
        <v>0</v>
      </c>
      <c r="AL7" s="48">
        <v>0</v>
      </c>
      <c r="AM7" s="48">
        <v>0</v>
      </c>
      <c r="AN7" s="48">
        <v>39.806216698242899</v>
      </c>
      <c r="AO7" s="48">
        <v>9.2134837324594692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8">
        <v>0</v>
      </c>
      <c r="AV7" s="48">
        <v>0</v>
      </c>
      <c r="AW7" s="48">
        <v>0</v>
      </c>
      <c r="AX7" s="48">
        <v>0</v>
      </c>
      <c r="AY7" s="48">
        <v>-0.67005776598917399</v>
      </c>
      <c r="AZ7" s="48">
        <v>0</v>
      </c>
      <c r="BA7" s="48">
        <v>4.9857585861319199E-2</v>
      </c>
      <c r="BB7" s="48">
        <v>1.4043347039836801E-3</v>
      </c>
      <c r="BC7" s="48">
        <v>0</v>
      </c>
      <c r="BD7" s="48">
        <v>0</v>
      </c>
    </row>
    <row r="8" spans="1:56" ht="11.25" customHeight="1" x14ac:dyDescent="0.25">
      <c r="A8" s="109"/>
      <c r="B8" s="109"/>
      <c r="C8" s="109"/>
      <c r="D8" s="109"/>
      <c r="E8" s="51" t="s">
        <v>89</v>
      </c>
      <c r="F8" s="51" t="s">
        <v>25</v>
      </c>
      <c r="G8" s="52" t="s">
        <v>88</v>
      </c>
      <c r="H8" s="52" t="s">
        <v>82</v>
      </c>
      <c r="I8" s="52">
        <f>'MERCADO TUSD'!$U$5</f>
        <v>0</v>
      </c>
      <c r="J8" s="15"/>
      <c r="L8" s="48">
        <f>('TUSD BE'!$L$8+'TUSD BF'!$L$8+'TUSD CVA'!$L$8)*1</f>
        <v>0</v>
      </c>
      <c r="M8" s="48">
        <f>('TUSD BE'!$M$8+'TUSD BF'!$M$8+'TUSD CVA'!$M$8)*1</f>
        <v>2.6529830028632122E-2</v>
      </c>
      <c r="N8" s="48">
        <f ca="1">('TUSD BE'!$N$8+'TUSD BF'!$N$8+'TUSD CVA'!$N$8)*1</f>
        <v>0</v>
      </c>
      <c r="O8" s="48">
        <f>('TUSD BE'!$O$8+'TUSD BF'!$O$8+'TUSD CVA'!$O$8)*1</f>
        <v>0</v>
      </c>
      <c r="P8" s="48">
        <f>('TUSD BE'!$P$8+'TUSD BF'!$P$8+'TUSD CVA'!$P$8)*1</f>
        <v>0</v>
      </c>
      <c r="Q8" s="48">
        <f>('TUSD BE'!$Q$8+'TUSD BF'!$Q$8+'TUSD CVA'!$Q$8)*1</f>
        <v>0</v>
      </c>
      <c r="R8" s="48">
        <f>('TUSD BE'!$R$8+'TUSD BF'!$R$8+'TUSD CVA'!$R$8)*1</f>
        <v>0</v>
      </c>
      <c r="S8" s="48">
        <f>('TUSD BE'!$S$8+'TUSD BF'!$S$8+'TUSD CVA'!$S$8)*1</f>
        <v>0</v>
      </c>
      <c r="T8" s="48">
        <f>('TUSD BE'!$U$8+'TUSD BF'!$U$8+'TUSD CVA'!$U$8)*1</f>
        <v>0</v>
      </c>
      <c r="U8" s="48">
        <f>('TUSD BE'!$V$8+'TUSD BF'!$V$8+'TUSD CVA'!$V$8)*1</f>
        <v>0</v>
      </c>
      <c r="V8" s="48">
        <f>('TUSD BE'!$W$8+'TUSD BF'!$W$8+'TUSD CVA'!$W$8)*1</f>
        <v>0</v>
      </c>
      <c r="W8" s="48">
        <f>('TUSD BE'!$X$8+'TUSD BF'!$X$8+'TUSD CVA'!$X$8)*1</f>
        <v>0</v>
      </c>
      <c r="X8" s="48">
        <f>('TUSD BE'!$Y$8+'TUSD BF'!$Y$8+'TUSD CVA'!$Y$8)*1</f>
        <v>0</v>
      </c>
      <c r="Y8" s="48">
        <f>('TUSD BE'!$Z$8+'TUSD BF'!$Z$8+'TUSD CVA'!$Z$8)*1</f>
        <v>0</v>
      </c>
      <c r="Z8" s="48">
        <f>('TUSD BE'!$AA$8+'TUSD BF'!$AA$8+'TUSD CVA'!$AA$8)*1</f>
        <v>0</v>
      </c>
      <c r="AA8" s="48">
        <f>('TUSD BE'!$AC$8+'TUSD BF'!$AC$8+'TUSD CVA'!$AC$8)*1</f>
        <v>0</v>
      </c>
      <c r="AB8" s="48">
        <f ca="1">('TUSD BE'!$AE$8+'TUSD BF'!$AE$8+'TUSD CVA'!$AE$8)*1</f>
        <v>-2.255952099417216E-4</v>
      </c>
      <c r="AC8" s="48">
        <f ca="1">('TUSD BE'!$AF$8+'TUSD BF'!$AF$8+'TUSD CVA'!$AF$8)*1</f>
        <v>0</v>
      </c>
      <c r="AD8" s="48">
        <f>('TUSD BE'!$AH$8+'TUSD BF'!$AH$8+'TUSD CVA'!$AH$8)*1</f>
        <v>4.5506262815620098E-2</v>
      </c>
      <c r="AE8" s="48">
        <f>('TUSD BE'!$AI$8+'TUSD BF'!$AI$8+'TUSD CVA'!$AI$8)*1</f>
        <v>0</v>
      </c>
      <c r="AF8" s="48">
        <f ca="1">('TUSD BE'!$AJ$8+'TUSD BF'!$AJ$8+'TUSD CVA'!$AJ$8)*1</f>
        <v>0</v>
      </c>
      <c r="AG8" s="48">
        <f ca="1">('TUSD BE'!$AK$8+'TUSD BF'!$AK$8+'TUSD CVA'!$AK$8)*1</f>
        <v>0</v>
      </c>
      <c r="AI8" s="48">
        <v>0</v>
      </c>
      <c r="AJ8" s="48">
        <v>3.4293017283292301E-2</v>
      </c>
      <c r="AK8" s="48">
        <v>0</v>
      </c>
      <c r="AL8" s="48">
        <v>0</v>
      </c>
      <c r="AM8" s="48">
        <v>0</v>
      </c>
      <c r="AN8" s="48">
        <v>0</v>
      </c>
      <c r="AO8" s="48">
        <v>0</v>
      </c>
      <c r="AP8" s="48">
        <v>0</v>
      </c>
      <c r="AQ8" s="48">
        <v>0</v>
      </c>
      <c r="AR8" s="48">
        <v>0</v>
      </c>
      <c r="AS8" s="48">
        <v>0</v>
      </c>
      <c r="AT8" s="48">
        <v>0</v>
      </c>
      <c r="AU8" s="48">
        <v>0</v>
      </c>
      <c r="AV8" s="48">
        <v>0</v>
      </c>
      <c r="AW8" s="48">
        <v>0</v>
      </c>
      <c r="AX8" s="48">
        <v>0</v>
      </c>
      <c r="AY8" s="48">
        <v>-1.07701714070951E-3</v>
      </c>
      <c r="AZ8" s="48">
        <v>0</v>
      </c>
      <c r="BA8" s="48">
        <v>4.9857585861319199E-2</v>
      </c>
      <c r="BB8" s="48">
        <v>1.4043347039836801E-3</v>
      </c>
      <c r="BC8" s="48">
        <v>0</v>
      </c>
      <c r="BD8" s="48">
        <v>0</v>
      </c>
    </row>
    <row r="9" spans="1:56" ht="11.25" customHeight="1" x14ac:dyDescent="0.25">
      <c r="A9" s="109" t="s">
        <v>35</v>
      </c>
      <c r="B9" s="109" t="s">
        <v>36</v>
      </c>
      <c r="C9" s="109" t="s">
        <v>25</v>
      </c>
      <c r="D9" s="109" t="s">
        <v>25</v>
      </c>
      <c r="E9" s="109" t="s">
        <v>25</v>
      </c>
      <c r="F9" s="109" t="s">
        <v>25</v>
      </c>
      <c r="G9" s="52" t="s">
        <v>86</v>
      </c>
      <c r="H9" s="52" t="s">
        <v>85</v>
      </c>
      <c r="I9" s="52">
        <f>'MERCADO TUSD'!$U$6</f>
        <v>151587</v>
      </c>
      <c r="J9" s="15"/>
      <c r="L9" s="48">
        <f>('TUSD BE'!$L$9+'TUSD BF'!$L$9+'TUSD CVA'!$L$9)*1</f>
        <v>0</v>
      </c>
      <c r="M9" s="48">
        <f>('TUSD BE'!$M$9+'TUSD BF'!$M$9+'TUSD CVA'!$M$9)*1</f>
        <v>0</v>
      </c>
      <c r="N9" s="48">
        <f ca="1">('TUSD BE'!$N$9+'TUSD BF'!$N$9+'TUSD CVA'!$N$9)*1</f>
        <v>0</v>
      </c>
      <c r="O9" s="48">
        <f>('TUSD BE'!$O$9+'TUSD BF'!$O$9+'TUSD CVA'!$O$9)*1</f>
        <v>0</v>
      </c>
      <c r="P9" s="48">
        <f>('TUSD BE'!$P$9+'TUSD BF'!$P$9+'TUSD CVA'!$P$9)*1</f>
        <v>0</v>
      </c>
      <c r="Q9" s="48">
        <f>('TUSD BE'!$Q$9+'TUSD BF'!$Q$9+'TUSD CVA'!$Q$9)*1</f>
        <v>0</v>
      </c>
      <c r="R9" s="48">
        <f>('TUSD BE'!$R$9+'TUSD BF'!$R$9+'TUSD CVA'!$R$9)*1</f>
        <v>0</v>
      </c>
      <c r="S9" s="48">
        <f>('TUSD BE'!$S$9+'TUSD BF'!$S$9+'TUSD CVA'!$S$9)*1</f>
        <v>0</v>
      </c>
      <c r="T9" s="48">
        <f>('TUSD BE'!$U$9+'TUSD BF'!$U$9+'TUSD CVA'!$U$9)*1</f>
        <v>1.9725068647075732</v>
      </c>
      <c r="U9" s="48">
        <f>('TUSD BE'!$V$9+'TUSD BF'!$V$9+'TUSD CVA'!$V$9)*1</f>
        <v>2.1541686317291178</v>
      </c>
      <c r="V9" s="48">
        <f>('TUSD BE'!$W$9+'TUSD BF'!$W$9+'TUSD CVA'!$W$9)*1</f>
        <v>0.50060788038851156</v>
      </c>
      <c r="W9" s="48">
        <f>('TUSD BE'!$X$9+'TUSD BF'!$X$9+'TUSD CVA'!$X$9)*1</f>
        <v>0</v>
      </c>
      <c r="X9" s="48">
        <f>('TUSD BE'!$Y$9+'TUSD BF'!$Y$9+'TUSD CVA'!$Y$9)*1</f>
        <v>19.357577689201616</v>
      </c>
      <c r="Y9" s="48">
        <f>('TUSD BE'!$Z$9+'TUSD BF'!$Z$9+'TUSD CVA'!$Z$9)*1</f>
        <v>0</v>
      </c>
      <c r="Z9" s="48">
        <f>('TUSD BE'!$AA$9+'TUSD BF'!$AA$9+'TUSD CVA'!$AA$9)*1</f>
        <v>0</v>
      </c>
      <c r="AA9" s="48">
        <f>('TUSD BE'!$AC$9+'TUSD BF'!$AC$9+'TUSD CVA'!$AC$9)*1</f>
        <v>26.582007607494852</v>
      </c>
      <c r="AB9" s="48">
        <f ca="1">('TUSD BE'!$AE$9+'TUSD BF'!$AE$9+'TUSD CVA'!$AE$9)*1</f>
        <v>-0.26067832604956681</v>
      </c>
      <c r="AC9" s="48">
        <f ca="1">('TUSD BE'!$AF$9+'TUSD BF'!$AF$9+'TUSD CVA'!$AF$9)*1</f>
        <v>0</v>
      </c>
      <c r="AD9" s="48">
        <f>('TUSD BE'!$AH$9+'TUSD BF'!$AH$9+'TUSD CVA'!$AH$9)*1</f>
        <v>0</v>
      </c>
      <c r="AE9" s="48">
        <f>('TUSD BE'!$AI$9+'TUSD BF'!$AI$9+'TUSD CVA'!$AI$9)*1</f>
        <v>0</v>
      </c>
      <c r="AF9" s="48">
        <f ca="1">('TUSD BE'!$AJ$9+'TUSD BF'!$AJ$9+'TUSD CVA'!$AJ$9)*1</f>
        <v>0</v>
      </c>
      <c r="AG9" s="48">
        <f ca="1">('TUSD BE'!$AK$9+'TUSD BF'!$AK$9+'TUSD CVA'!$AK$9)*1</f>
        <v>0</v>
      </c>
      <c r="AI9" s="48">
        <v>0</v>
      </c>
      <c r="AJ9" s="48">
        <v>0</v>
      </c>
      <c r="AK9" s="48">
        <v>0</v>
      </c>
      <c r="AL9" s="48">
        <v>0</v>
      </c>
      <c r="AM9" s="48">
        <v>0</v>
      </c>
      <c r="AN9" s="48">
        <v>0</v>
      </c>
      <c r="AO9" s="48">
        <v>0</v>
      </c>
      <c r="AP9" s="48">
        <v>0</v>
      </c>
      <c r="AQ9" s="48">
        <v>1.3900670058734499</v>
      </c>
      <c r="AR9" s="48">
        <v>1.19009282859757</v>
      </c>
      <c r="AS9" s="48">
        <v>8.5831859569801397E-2</v>
      </c>
      <c r="AT9" s="48">
        <v>0</v>
      </c>
      <c r="AU9" s="48">
        <v>15.3119781920163</v>
      </c>
      <c r="AV9" s="48">
        <v>0</v>
      </c>
      <c r="AW9" s="48">
        <v>0</v>
      </c>
      <c r="AX9" s="48">
        <v>26.972251570829201</v>
      </c>
      <c r="AY9" s="48">
        <v>-1.0747824525127001</v>
      </c>
      <c r="AZ9" s="48">
        <v>0</v>
      </c>
      <c r="BA9" s="48">
        <v>0</v>
      </c>
      <c r="BB9" s="48">
        <v>0</v>
      </c>
      <c r="BC9" s="48">
        <v>0</v>
      </c>
      <c r="BD9" s="48">
        <v>0</v>
      </c>
    </row>
    <row r="10" spans="1:56" ht="11.25" customHeight="1" x14ac:dyDescent="0.25">
      <c r="A10" s="109"/>
      <c r="B10" s="109"/>
      <c r="C10" s="109"/>
      <c r="D10" s="109"/>
      <c r="E10" s="109"/>
      <c r="F10" s="109"/>
      <c r="G10" s="52" t="s">
        <v>87</v>
      </c>
      <c r="H10" s="52" t="s">
        <v>85</v>
      </c>
      <c r="I10" s="52">
        <f>'MERCADO TUSD'!$U$7</f>
        <v>195670</v>
      </c>
      <c r="J10" s="15"/>
      <c r="L10" s="48">
        <f>('TUSD BE'!$L$10+'TUSD BF'!$L$10+'TUSD CVA'!$L$10)*1</f>
        <v>0</v>
      </c>
      <c r="M10" s="48">
        <f>('TUSD BE'!$M$10+'TUSD BF'!$M$10+'TUSD CVA'!$M$10)*1</f>
        <v>0</v>
      </c>
      <c r="N10" s="48">
        <f ca="1">('TUSD BE'!$N$10+'TUSD BF'!$N$10+'TUSD CVA'!$N$10)*1</f>
        <v>0</v>
      </c>
      <c r="O10" s="48">
        <f>('TUSD BE'!$O$10+'TUSD BF'!$O$10+'TUSD CVA'!$O$10)*1</f>
        <v>0</v>
      </c>
      <c r="P10" s="48">
        <f>('TUSD BE'!$P$10+'TUSD BF'!$P$10+'TUSD CVA'!$P$10)*1</f>
        <v>0</v>
      </c>
      <c r="Q10" s="48">
        <f>('TUSD BE'!$Q$10+'TUSD BF'!$Q$10+'TUSD CVA'!$Q$10)*1</f>
        <v>0</v>
      </c>
      <c r="R10" s="48">
        <f>('TUSD BE'!$R$10+'TUSD BF'!$R$10+'TUSD CVA'!$R$10)*1</f>
        <v>0</v>
      </c>
      <c r="S10" s="48">
        <f>('TUSD BE'!$S$10+'TUSD BF'!$S$10+'TUSD CVA'!$S$10)*1</f>
        <v>0</v>
      </c>
      <c r="T10" s="48">
        <f>('TUSD BE'!$U$10+'TUSD BF'!$U$10+'TUSD CVA'!$U$10)*1</f>
        <v>1.9974396444728548</v>
      </c>
      <c r="U10" s="48">
        <f>('TUSD BE'!$V$10+'TUSD BF'!$V$10+'TUSD CVA'!$V$10)*1</f>
        <v>1.9258159769394843</v>
      </c>
      <c r="V10" s="48">
        <f>('TUSD BE'!$W$10+'TUSD BF'!$W$10+'TUSD CVA'!$W$10)*1</f>
        <v>0.49592443868009517</v>
      </c>
      <c r="W10" s="48">
        <f>('TUSD BE'!$X$10+'TUSD BF'!$X$10+'TUSD CVA'!$X$10)*1</f>
        <v>0</v>
      </c>
      <c r="X10" s="48">
        <f>('TUSD BE'!$Y$10+'TUSD BF'!$Y$10+'TUSD CVA'!$Y$10)*1</f>
        <v>10.404435466759917</v>
      </c>
      <c r="Y10" s="48">
        <f>('TUSD BE'!$Z$10+'TUSD BF'!$Z$10+'TUSD CVA'!$Z$10)*1</f>
        <v>0</v>
      </c>
      <c r="Z10" s="48">
        <f>('TUSD BE'!$AA$10+'TUSD BF'!$AA$10+'TUSD CVA'!$AA$10)*1</f>
        <v>0</v>
      </c>
      <c r="AA10" s="48">
        <f>('TUSD BE'!$AC$10+'TUSD BF'!$AC$10+'TUSD CVA'!$AC$10)*1</f>
        <v>15.78621397277433</v>
      </c>
      <c r="AB10" s="48">
        <f ca="1">('TUSD BE'!$AE$10+'TUSD BF'!$AE$10+'TUSD CVA'!$AE$10)*1</f>
        <v>-0.1563471342932784</v>
      </c>
      <c r="AC10" s="48">
        <f ca="1">('TUSD BE'!$AF$10+'TUSD BF'!$AF$10+'TUSD CVA'!$AF$10)*1</f>
        <v>0</v>
      </c>
      <c r="AD10" s="48">
        <f>('TUSD BE'!$AH$10+'TUSD BF'!$AH$10+'TUSD CVA'!$AH$10)*1</f>
        <v>0</v>
      </c>
      <c r="AE10" s="48">
        <f>('TUSD BE'!$AI$10+'TUSD BF'!$AI$10+'TUSD CVA'!$AI$10)*1</f>
        <v>0</v>
      </c>
      <c r="AF10" s="48">
        <f ca="1">('TUSD BE'!$AJ$10+'TUSD BF'!$AJ$10+'TUSD CVA'!$AJ$10)*1</f>
        <v>0</v>
      </c>
      <c r="AG10" s="48">
        <f ca="1">('TUSD BE'!$AK$10+'TUSD BF'!$AK$10+'TUSD CVA'!$AK$10)*1</f>
        <v>0</v>
      </c>
      <c r="AI10" s="48">
        <v>0</v>
      </c>
      <c r="AJ10" s="48">
        <v>0</v>
      </c>
      <c r="AK10" s="48">
        <v>0</v>
      </c>
      <c r="AL10" s="48">
        <v>0</v>
      </c>
      <c r="AM10" s="48">
        <v>0</v>
      </c>
      <c r="AN10" s="48">
        <v>0</v>
      </c>
      <c r="AO10" s="48">
        <v>0</v>
      </c>
      <c r="AP10" s="48">
        <v>0</v>
      </c>
      <c r="AQ10" s="48">
        <v>1.4076438284205901</v>
      </c>
      <c r="AR10" s="48">
        <v>1.06394198994723</v>
      </c>
      <c r="AS10" s="48">
        <v>8.5023819050838903E-2</v>
      </c>
      <c r="AT10" s="48">
        <v>0</v>
      </c>
      <c r="AU10" s="48">
        <v>8.2299957345454899</v>
      </c>
      <c r="AV10" s="48">
        <v>0</v>
      </c>
      <c r="AW10" s="48">
        <v>0</v>
      </c>
      <c r="AX10" s="48">
        <v>16.0179743265452</v>
      </c>
      <c r="AY10" s="48">
        <v>-0.63875593821834598</v>
      </c>
      <c r="AZ10" s="48">
        <v>0</v>
      </c>
      <c r="BA10" s="48">
        <v>0</v>
      </c>
      <c r="BB10" s="48">
        <v>0</v>
      </c>
      <c r="BC10" s="48">
        <v>0</v>
      </c>
      <c r="BD10" s="48">
        <v>0</v>
      </c>
    </row>
    <row r="11" spans="1:56" ht="11.25" customHeight="1" x14ac:dyDescent="0.25">
      <c r="A11" s="109"/>
      <c r="B11" s="109"/>
      <c r="C11" s="109"/>
      <c r="D11" s="109"/>
      <c r="E11" s="109"/>
      <c r="F11" s="109"/>
      <c r="G11" s="52" t="s">
        <v>88</v>
      </c>
      <c r="H11" s="52" t="s">
        <v>82</v>
      </c>
      <c r="I11" s="52">
        <f>'MERCADO TUSD'!$U$8</f>
        <v>82375.52900000001</v>
      </c>
      <c r="J11" s="15"/>
      <c r="L11" s="48">
        <f>('TUSD BE'!$L$11+'TUSD BF'!$L$11+'TUSD CVA'!$L$11)*1</f>
        <v>0</v>
      </c>
      <c r="M11" s="48">
        <f>('TUSD BE'!$M$11+'TUSD BF'!$M$11+'TUSD CVA'!$M$11)*1</f>
        <v>1.184970468536676</v>
      </c>
      <c r="N11" s="48">
        <f ca="1">('TUSD BE'!$N$11+'TUSD BF'!$N$11+'TUSD CVA'!$N$11)*1</f>
        <v>0</v>
      </c>
      <c r="O11" s="48">
        <f>('TUSD BE'!$O$11+'TUSD BF'!$O$11+'TUSD CVA'!$O$11)*1</f>
        <v>0</v>
      </c>
      <c r="P11" s="48">
        <f>('TUSD BE'!$P$11+'TUSD BF'!$P$11+'TUSD CVA'!$P$11)*1</f>
        <v>0</v>
      </c>
      <c r="Q11" s="48">
        <f>('TUSD BE'!$Q$11+'TUSD BF'!$Q$11+'TUSD CVA'!$Q$11)*1</f>
        <v>70.752976076830493</v>
      </c>
      <c r="R11" s="48">
        <f>('TUSD BE'!$R$11+'TUSD BF'!$R$11+'TUSD CVA'!$R$11)*1</f>
        <v>13.323441364471861</v>
      </c>
      <c r="S11" s="48">
        <f>('TUSD BE'!$S$11+'TUSD BF'!$S$11+'TUSD CVA'!$S$11)*1</f>
        <v>0</v>
      </c>
      <c r="T11" s="48">
        <f>('TUSD BE'!$U$11+'TUSD BF'!$U$11+'TUSD CVA'!$U$11)*1</f>
        <v>0</v>
      </c>
      <c r="U11" s="48">
        <f>('TUSD BE'!$V$11+'TUSD BF'!$V$11+'TUSD CVA'!$V$11)*1</f>
        <v>0</v>
      </c>
      <c r="V11" s="48">
        <f>('TUSD BE'!$W$11+'TUSD BF'!$W$11+'TUSD CVA'!$W$11)*1</f>
        <v>0</v>
      </c>
      <c r="W11" s="48">
        <f>('TUSD BE'!$X$11+'TUSD BF'!$X$11+'TUSD CVA'!$X$11)*1</f>
        <v>0</v>
      </c>
      <c r="X11" s="48">
        <f>('TUSD BE'!$Y$11+'TUSD BF'!$Y$11+'TUSD CVA'!$Y$11)*1</f>
        <v>0</v>
      </c>
      <c r="Y11" s="48">
        <f>('TUSD BE'!$Z$11+'TUSD BF'!$Z$11+'TUSD CVA'!$Z$11)*1</f>
        <v>0</v>
      </c>
      <c r="Z11" s="48">
        <f>('TUSD BE'!$AA$11+'TUSD BF'!$AA$11+'TUSD CVA'!$AA$11)*1</f>
        <v>0</v>
      </c>
      <c r="AA11" s="48">
        <f>('TUSD BE'!$AC$11+'TUSD BF'!$AC$11+'TUSD CVA'!$AC$11)*1</f>
        <v>0</v>
      </c>
      <c r="AB11" s="48">
        <f ca="1">('TUSD BE'!$AE$11+'TUSD BF'!$AE$11+'TUSD CVA'!$AE$11)*1</f>
        <v>-0.28913893098956961</v>
      </c>
      <c r="AC11" s="48">
        <f ca="1">('TUSD BE'!$AF$11+'TUSD BF'!$AF$11+'TUSD CVA'!$AF$11)*1</f>
        <v>0</v>
      </c>
      <c r="AD11" s="48">
        <f>('TUSD BE'!$AH$11+'TUSD BF'!$AH$11+'TUSD CVA'!$AH$11)*1</f>
        <v>7.3438293908279881</v>
      </c>
      <c r="AE11" s="48">
        <f>('TUSD BE'!$AI$11+'TUSD BF'!$AI$11+'TUSD CVA'!$AI$11)*1</f>
        <v>0.18871510048077375</v>
      </c>
      <c r="AF11" s="48">
        <f ca="1">('TUSD BE'!$AJ$11+'TUSD BF'!$AJ$11+'TUSD CVA'!$AJ$11)*1</f>
        <v>0</v>
      </c>
      <c r="AG11" s="48">
        <f ca="1">('TUSD BE'!$AK$11+'TUSD BF'!$AK$11+'TUSD CVA'!$AK$11)*1</f>
        <v>0</v>
      </c>
      <c r="AI11" s="48">
        <v>0</v>
      </c>
      <c r="AJ11" s="48">
        <v>1.26569516927276</v>
      </c>
      <c r="AK11" s="48">
        <v>0</v>
      </c>
      <c r="AL11" s="48">
        <v>0</v>
      </c>
      <c r="AM11" s="48">
        <v>0</v>
      </c>
      <c r="AN11" s="48">
        <v>51.688669443987102</v>
      </c>
      <c r="AO11" s="48">
        <v>9.2134837324594692</v>
      </c>
      <c r="AP11" s="48">
        <v>0</v>
      </c>
      <c r="AQ11" s="48">
        <v>0</v>
      </c>
      <c r="AR11" s="48">
        <v>0</v>
      </c>
      <c r="AS11" s="48">
        <v>0</v>
      </c>
      <c r="AT11" s="48">
        <v>0</v>
      </c>
      <c r="AU11" s="48">
        <v>0</v>
      </c>
      <c r="AV11" s="48">
        <v>0</v>
      </c>
      <c r="AW11" s="48">
        <v>0</v>
      </c>
      <c r="AX11" s="48">
        <v>0</v>
      </c>
      <c r="AY11" s="48">
        <v>-0.946940390450699</v>
      </c>
      <c r="AZ11" s="48">
        <v>0</v>
      </c>
      <c r="BA11" s="48">
        <v>8.0410742592363</v>
      </c>
      <c r="BB11" s="48">
        <v>0.226492306927286</v>
      </c>
      <c r="BC11" s="48">
        <v>0</v>
      </c>
      <c r="BD11" s="48">
        <v>0</v>
      </c>
    </row>
    <row r="12" spans="1:56" ht="11.25" customHeight="1" x14ac:dyDescent="0.25">
      <c r="A12" s="109"/>
      <c r="B12" s="109"/>
      <c r="C12" s="109"/>
      <c r="D12" s="109"/>
      <c r="E12" s="51" t="s">
        <v>89</v>
      </c>
      <c r="F12" s="51" t="s">
        <v>25</v>
      </c>
      <c r="G12" s="52" t="s">
        <v>88</v>
      </c>
      <c r="H12" s="52" t="s">
        <v>82</v>
      </c>
      <c r="I12" s="52">
        <f>'MERCADO TUSD'!$U$9</f>
        <v>0</v>
      </c>
      <c r="J12" s="15"/>
      <c r="L12" s="48">
        <f>('TUSD BE'!$L$12+'TUSD BF'!$L$12+'TUSD CVA'!$L$12)*1</f>
        <v>0</v>
      </c>
      <c r="M12" s="48">
        <f>('TUSD BE'!$M$12+'TUSD BF'!$M$12+'TUSD CVA'!$M$12)*1</f>
        <v>1.184970468536676</v>
      </c>
      <c r="N12" s="48">
        <f ca="1">('TUSD BE'!$N$12+'TUSD BF'!$N$12+'TUSD CVA'!$N$12)*1</f>
        <v>0</v>
      </c>
      <c r="O12" s="48">
        <f>('TUSD BE'!$O$12+'TUSD BF'!$O$12+'TUSD CVA'!$O$12)*1</f>
        <v>0</v>
      </c>
      <c r="P12" s="48">
        <f>('TUSD BE'!$P$12+'TUSD BF'!$P$12+'TUSD CVA'!$P$12)*1</f>
        <v>0</v>
      </c>
      <c r="Q12" s="48">
        <f>('TUSD BE'!$Q$12+'TUSD BF'!$Q$12+'TUSD CVA'!$Q$12)*1</f>
        <v>0</v>
      </c>
      <c r="R12" s="48">
        <f>('TUSD BE'!$R$12+'TUSD BF'!$R$12+'TUSD CVA'!$R$12)*1</f>
        <v>0</v>
      </c>
      <c r="S12" s="48">
        <f>('TUSD BE'!$S$12+'TUSD BF'!$S$12+'TUSD CVA'!$S$12)*1</f>
        <v>0</v>
      </c>
      <c r="T12" s="48">
        <f>('TUSD BE'!$U$12+'TUSD BF'!$U$12+'TUSD CVA'!$U$12)*1</f>
        <v>0</v>
      </c>
      <c r="U12" s="48">
        <f>('TUSD BE'!$V$12+'TUSD BF'!$V$12+'TUSD CVA'!$V$12)*1</f>
        <v>0</v>
      </c>
      <c r="V12" s="48">
        <f>('TUSD BE'!$W$12+'TUSD BF'!$W$12+'TUSD CVA'!$W$12)*1</f>
        <v>0</v>
      </c>
      <c r="W12" s="48">
        <f>('TUSD BE'!$X$12+'TUSD BF'!$X$12+'TUSD CVA'!$X$12)*1</f>
        <v>0</v>
      </c>
      <c r="X12" s="48">
        <f>('TUSD BE'!$Y$12+'TUSD BF'!$Y$12+'TUSD CVA'!$Y$12)*1</f>
        <v>0</v>
      </c>
      <c r="Y12" s="48">
        <f>('TUSD BE'!$Z$12+'TUSD BF'!$Z$12+'TUSD CVA'!$Z$12)*1</f>
        <v>0</v>
      </c>
      <c r="Z12" s="48">
        <f>('TUSD BE'!$AA$12+'TUSD BF'!$AA$12+'TUSD CVA'!$AA$12)*1</f>
        <v>0</v>
      </c>
      <c r="AA12" s="48">
        <f>('TUSD BE'!$AC$12+'TUSD BF'!$AC$12+'TUSD CVA'!$AC$12)*1</f>
        <v>0</v>
      </c>
      <c r="AB12" s="48">
        <f ca="1">('TUSD BE'!$AE$12+'TUSD BF'!$AE$12+'TUSD CVA'!$AE$12)*1</f>
        <v>-2.6782104196345906E-2</v>
      </c>
      <c r="AC12" s="48">
        <f ca="1">('TUSD BE'!$AF$12+'TUSD BF'!$AF$12+'TUSD CVA'!$AF$12)*1</f>
        <v>0</v>
      </c>
      <c r="AD12" s="48">
        <f>('TUSD BE'!$AH$12+'TUSD BF'!$AH$12+'TUSD CVA'!$AH$12)*1</f>
        <v>7.3438293908279881</v>
      </c>
      <c r="AE12" s="48">
        <f>('TUSD BE'!$AI$12+'TUSD BF'!$AI$12+'TUSD CVA'!$AI$12)*1</f>
        <v>0.18871510048077375</v>
      </c>
      <c r="AF12" s="48">
        <f ca="1">('TUSD BE'!$AJ$12+'TUSD BF'!$AJ$12+'TUSD CVA'!$AJ$12)*1</f>
        <v>0</v>
      </c>
      <c r="AG12" s="48">
        <f ca="1">('TUSD BE'!$AK$12+'TUSD BF'!$AK$12+'TUSD CVA'!$AK$12)*1</f>
        <v>0</v>
      </c>
      <c r="AI12" s="48">
        <v>0</v>
      </c>
      <c r="AJ12" s="48">
        <v>1.26569516927276</v>
      </c>
      <c r="AK12" s="48">
        <v>0</v>
      </c>
      <c r="AL12" s="48">
        <v>0</v>
      </c>
      <c r="AM12" s="48">
        <v>0</v>
      </c>
      <c r="AN12" s="48">
        <v>0</v>
      </c>
      <c r="AO12" s="48">
        <v>0</v>
      </c>
      <c r="AP12" s="48">
        <v>0</v>
      </c>
      <c r="AQ12" s="48">
        <v>0</v>
      </c>
      <c r="AR12" s="48">
        <v>0</v>
      </c>
      <c r="AS12" s="48">
        <v>0</v>
      </c>
      <c r="AT12" s="48">
        <v>0</v>
      </c>
      <c r="AU12" s="48">
        <v>0</v>
      </c>
      <c r="AV12" s="48">
        <v>0</v>
      </c>
      <c r="AW12" s="48">
        <v>0</v>
      </c>
      <c r="AX12" s="48">
        <v>0</v>
      </c>
      <c r="AY12" s="48">
        <v>-0.115702367996748</v>
      </c>
      <c r="AZ12" s="48">
        <v>0</v>
      </c>
      <c r="BA12" s="48">
        <v>8.0410742592363</v>
      </c>
      <c r="BB12" s="48">
        <v>0.226492306927286</v>
      </c>
      <c r="BC12" s="48">
        <v>0</v>
      </c>
      <c r="BD12" s="48">
        <v>0</v>
      </c>
    </row>
    <row r="13" spans="1:56" ht="11.25" customHeight="1" x14ac:dyDescent="0.25">
      <c r="A13" s="109"/>
      <c r="B13" s="51" t="s">
        <v>56</v>
      </c>
      <c r="C13" s="51" t="s">
        <v>25</v>
      </c>
      <c r="D13" s="51" t="s">
        <v>25</v>
      </c>
      <c r="E13" s="51" t="s">
        <v>25</v>
      </c>
      <c r="F13" s="51" t="s">
        <v>25</v>
      </c>
      <c r="G13" s="52" t="s">
        <v>9</v>
      </c>
      <c r="H13" s="52" t="s">
        <v>85</v>
      </c>
      <c r="I13" s="52">
        <f>'MERCADO TUSD'!$U$10</f>
        <v>130615</v>
      </c>
      <c r="J13" s="15"/>
      <c r="L13" s="48">
        <f>('TUSD BE'!$L$13+'TUSD BF'!$L$13+'TUSD CVA'!$L$13)*1</f>
        <v>0</v>
      </c>
      <c r="M13" s="48">
        <f>('TUSD BE'!$M$13+'TUSD BF'!$M$13+'TUSD CVA'!$M$13)*1</f>
        <v>0.14260663161791412</v>
      </c>
      <c r="N13" s="48">
        <f ca="1">('TUSD BE'!$N$13+'TUSD BF'!$N$13+'TUSD CVA'!$N$13)*1</f>
        <v>0</v>
      </c>
      <c r="O13" s="48">
        <f>('TUSD BE'!$O$13+'TUSD BF'!$O$13+'TUSD CVA'!$O$13)*1</f>
        <v>0</v>
      </c>
      <c r="P13" s="48">
        <f>('TUSD BE'!$P$13+'TUSD BF'!$P$13+'TUSD CVA'!$P$13)*1</f>
        <v>0</v>
      </c>
      <c r="Q13" s="48">
        <f>('TUSD BE'!$Q$13+'TUSD BF'!$Q$13+'TUSD CVA'!$Q$13)*1</f>
        <v>0</v>
      </c>
      <c r="R13" s="48">
        <f>('TUSD BE'!$R$13+'TUSD BF'!$R$13+'TUSD CVA'!$R$13)*1</f>
        <v>0</v>
      </c>
      <c r="S13" s="48">
        <f>('TUSD BE'!$S$13+'TUSD BF'!$S$13+'TUSD CVA'!$S$13)*1</f>
        <v>0</v>
      </c>
      <c r="T13" s="48">
        <f>('TUSD BE'!$U$13+'TUSD BF'!$U$13+'TUSD CVA'!$U$13)*1</f>
        <v>0</v>
      </c>
      <c r="U13" s="48">
        <f>('TUSD BE'!$V$13+'TUSD BF'!$V$13+'TUSD CVA'!$V$13)*1</f>
        <v>0</v>
      </c>
      <c r="V13" s="48">
        <f>('TUSD BE'!$W$13+'TUSD BF'!$W$13+'TUSD CVA'!$W$13)*1</f>
        <v>0</v>
      </c>
      <c r="W13" s="48">
        <f>('TUSD BE'!$X$13+'TUSD BF'!$X$13+'TUSD CVA'!$X$13)*1</f>
        <v>0</v>
      </c>
      <c r="X13" s="48">
        <f>('TUSD BE'!$Y$13+'TUSD BF'!$Y$13+'TUSD CVA'!$Y$13)*1</f>
        <v>0</v>
      </c>
      <c r="Y13" s="48">
        <f>('TUSD BE'!$Z$13+'TUSD BF'!$Z$13+'TUSD CVA'!$Z$13)*1</f>
        <v>0</v>
      </c>
      <c r="Z13" s="48">
        <f>('TUSD BE'!$AA$13+'TUSD BF'!$AA$13+'TUSD CVA'!$AA$13)*1</f>
        <v>0</v>
      </c>
      <c r="AA13" s="48">
        <f>('TUSD BE'!$AC$13+'TUSD BF'!$AC$13+'TUSD CVA'!$AC$13)*1</f>
        <v>16.103003458339295</v>
      </c>
      <c r="AB13" s="48">
        <f ca="1">('TUSD BE'!$AE$13+'TUSD BF'!$AE$13+'TUSD CVA'!$AE$13)*1</f>
        <v>-0.11764293886323091</v>
      </c>
      <c r="AC13" s="48">
        <f ca="1">('TUSD BE'!$AF$13+'TUSD BF'!$AF$13+'TUSD CVA'!$AF$13)*1</f>
        <v>0</v>
      </c>
      <c r="AD13" s="48">
        <f>('TUSD BE'!$AH$13+'TUSD BF'!$AH$13+'TUSD CVA'!$AH$13)*1</f>
        <v>0</v>
      </c>
      <c r="AE13" s="48">
        <f>('TUSD BE'!$AI$13+'TUSD BF'!$AI$13+'TUSD CVA'!$AI$13)*1</f>
        <v>0</v>
      </c>
      <c r="AF13" s="48">
        <f ca="1">('TUSD BE'!$AJ$13+'TUSD BF'!$AJ$13+'TUSD CVA'!$AJ$13)*1</f>
        <v>0</v>
      </c>
      <c r="AG13" s="48">
        <f ca="1">('TUSD BE'!$AK$13+'TUSD BF'!$AK$13+'TUSD CVA'!$AK$13)*1</f>
        <v>0</v>
      </c>
      <c r="AI13" s="48">
        <v>0</v>
      </c>
      <c r="AJ13" s="48">
        <v>0.16327349785528</v>
      </c>
      <c r="AK13" s="48">
        <v>0</v>
      </c>
      <c r="AL13" s="48">
        <v>0</v>
      </c>
      <c r="AM13" s="48">
        <v>0</v>
      </c>
      <c r="AN13" s="48">
        <v>0</v>
      </c>
      <c r="AO13" s="48">
        <v>0</v>
      </c>
      <c r="AP13" s="48">
        <v>0</v>
      </c>
      <c r="AQ13" s="48">
        <v>0</v>
      </c>
      <c r="AR13" s="48">
        <v>0</v>
      </c>
      <c r="AS13" s="48">
        <v>0</v>
      </c>
      <c r="AT13" s="48">
        <v>0</v>
      </c>
      <c r="AU13" s="48">
        <v>0</v>
      </c>
      <c r="AV13" s="48">
        <v>0</v>
      </c>
      <c r="AW13" s="48">
        <v>0</v>
      </c>
      <c r="AX13" s="48">
        <v>8.1697051212550402</v>
      </c>
      <c r="AY13" s="48">
        <v>-0.25783297151197299</v>
      </c>
      <c r="AZ13" s="48">
        <v>0</v>
      </c>
      <c r="BA13" s="48">
        <v>2.0513854647770001E-3</v>
      </c>
      <c r="BB13" s="48">
        <v>0</v>
      </c>
      <c r="BC13" s="48">
        <v>0</v>
      </c>
      <c r="BD13" s="48">
        <v>0</v>
      </c>
    </row>
    <row r="14" spans="1:56" ht="11.25" customHeight="1" x14ac:dyDescent="0.25">
      <c r="A14" s="109"/>
      <c r="B14" s="109" t="s">
        <v>39</v>
      </c>
      <c r="C14" s="109" t="s">
        <v>25</v>
      </c>
      <c r="D14" s="109" t="s">
        <v>25</v>
      </c>
      <c r="E14" s="109" t="s">
        <v>25</v>
      </c>
      <c r="F14" s="109" t="s">
        <v>25</v>
      </c>
      <c r="G14" s="52" t="s">
        <v>9</v>
      </c>
      <c r="H14" s="52" t="s">
        <v>85</v>
      </c>
      <c r="I14" s="52">
        <f>'MERCADO TUSD'!$U$11</f>
        <v>986883</v>
      </c>
      <c r="J14" s="15"/>
      <c r="L14" s="48">
        <f>('TUSD BE'!$L$14+'TUSD BF'!$L$14+'TUSD CVA'!$L$14)*1</f>
        <v>0</v>
      </c>
      <c r="M14" s="48">
        <f>('TUSD BE'!$M$14+'TUSD BF'!$M$14+'TUSD CVA'!$M$14)*1</f>
        <v>0</v>
      </c>
      <c r="N14" s="48">
        <f ca="1">('TUSD BE'!$N$14+'TUSD BF'!$N$14+'TUSD CVA'!$N$14)*1</f>
        <v>0</v>
      </c>
      <c r="O14" s="48">
        <f>('TUSD BE'!$O$14+'TUSD BF'!$O$14+'TUSD CVA'!$O$14)*1</f>
        <v>0</v>
      </c>
      <c r="P14" s="48">
        <f>('TUSD BE'!$P$14+'TUSD BF'!$P$14+'TUSD CVA'!$P$14)*1</f>
        <v>0</v>
      </c>
      <c r="Q14" s="48">
        <f>('TUSD BE'!$Q$14+'TUSD BF'!$Q$14+'TUSD CVA'!$Q$14)*1</f>
        <v>0</v>
      </c>
      <c r="R14" s="48">
        <f>('TUSD BE'!$R$14+'TUSD BF'!$R$14+'TUSD CVA'!$R$14)*1</f>
        <v>0</v>
      </c>
      <c r="S14" s="48">
        <f>('TUSD BE'!$S$14+'TUSD BF'!$S$14+'TUSD CVA'!$S$14)*1</f>
        <v>0</v>
      </c>
      <c r="T14" s="48">
        <f>('TUSD BE'!$U$14+'TUSD BF'!$U$14+'TUSD CVA'!$U$14)*1</f>
        <v>1.9974396444728548</v>
      </c>
      <c r="U14" s="48">
        <f>('TUSD BE'!$V$14+'TUSD BF'!$V$14+'TUSD CVA'!$V$14)*1</f>
        <v>1.9258159769394843</v>
      </c>
      <c r="V14" s="48">
        <f>('TUSD BE'!$W$14+'TUSD BF'!$W$14+'TUSD CVA'!$W$14)*1</f>
        <v>0.49592443868009517</v>
      </c>
      <c r="W14" s="48">
        <f>('TUSD BE'!$X$14+'TUSD BF'!$X$14+'TUSD CVA'!$X$14)*1</f>
        <v>0</v>
      </c>
      <c r="X14" s="48">
        <f>('TUSD BE'!$Y$14+'TUSD BF'!$Y$14+'TUSD CVA'!$Y$14)*1</f>
        <v>10.404435466759917</v>
      </c>
      <c r="Y14" s="48">
        <f>('TUSD BE'!$Z$14+'TUSD BF'!$Z$14+'TUSD CVA'!$Z$14)*1</f>
        <v>0</v>
      </c>
      <c r="Z14" s="48">
        <f>('TUSD BE'!$AA$14+'TUSD BF'!$AA$14+'TUSD CVA'!$AA$14)*1</f>
        <v>0</v>
      </c>
      <c r="AA14" s="48">
        <f>('TUSD BE'!$AC$14+'TUSD BF'!$AC$14+'TUSD CVA'!$AC$14)*1</f>
        <v>15.78621397277433</v>
      </c>
      <c r="AB14" s="48">
        <f ca="1">('TUSD BE'!$AE$14+'TUSD BF'!$AE$14+'TUSD CVA'!$AE$14)*1</f>
        <v>-0.1563471342932784</v>
      </c>
      <c r="AC14" s="48">
        <f ca="1">('TUSD BE'!$AF$14+'TUSD BF'!$AF$14+'TUSD CVA'!$AF$14)*1</f>
        <v>0</v>
      </c>
      <c r="AD14" s="48">
        <f>('TUSD BE'!$AH$14+'TUSD BF'!$AH$14+'TUSD CVA'!$AH$14)*1</f>
        <v>0</v>
      </c>
      <c r="AE14" s="48">
        <f>('TUSD BE'!$AI$14+'TUSD BF'!$AI$14+'TUSD CVA'!$AI$14)*1</f>
        <v>0</v>
      </c>
      <c r="AF14" s="48">
        <f ca="1">('TUSD BE'!$AJ$14+'TUSD BF'!$AJ$14+'TUSD CVA'!$AJ$14)*1</f>
        <v>0</v>
      </c>
      <c r="AG14" s="48">
        <f ca="1">('TUSD BE'!$AK$14+'TUSD BF'!$AK$14+'TUSD CVA'!$AK$14)*1</f>
        <v>0</v>
      </c>
      <c r="AI14" s="48">
        <v>0</v>
      </c>
      <c r="AJ14" s="48">
        <v>0</v>
      </c>
      <c r="AK14" s="48">
        <v>0</v>
      </c>
      <c r="AL14" s="48">
        <v>0</v>
      </c>
      <c r="AM14" s="48">
        <v>0</v>
      </c>
      <c r="AN14" s="48">
        <v>0</v>
      </c>
      <c r="AO14" s="48">
        <v>0</v>
      </c>
      <c r="AP14" s="48">
        <v>0</v>
      </c>
      <c r="AQ14" s="48">
        <v>1.4076438284205901</v>
      </c>
      <c r="AR14" s="48">
        <v>1.06394198994723</v>
      </c>
      <c r="AS14" s="48">
        <v>8.5023819050838903E-2</v>
      </c>
      <c r="AT14" s="48">
        <v>0</v>
      </c>
      <c r="AU14" s="48">
        <v>8.2299957345454899</v>
      </c>
      <c r="AV14" s="48">
        <v>0</v>
      </c>
      <c r="AW14" s="48">
        <v>0</v>
      </c>
      <c r="AX14" s="48">
        <v>16.0179743265452</v>
      </c>
      <c r="AY14" s="48">
        <v>-0.63875593821834598</v>
      </c>
      <c r="AZ14" s="48">
        <v>0</v>
      </c>
      <c r="BA14" s="48">
        <v>0</v>
      </c>
      <c r="BB14" s="48">
        <v>0</v>
      </c>
      <c r="BC14" s="48">
        <v>0</v>
      </c>
      <c r="BD14" s="48">
        <v>0</v>
      </c>
    </row>
    <row r="15" spans="1:56" ht="11.25" customHeight="1" x14ac:dyDescent="0.25">
      <c r="A15" s="109"/>
      <c r="B15" s="109"/>
      <c r="C15" s="109"/>
      <c r="D15" s="109"/>
      <c r="E15" s="109"/>
      <c r="F15" s="109"/>
      <c r="G15" s="52" t="s">
        <v>83</v>
      </c>
      <c r="H15" s="52" t="s">
        <v>82</v>
      </c>
      <c r="I15" s="52">
        <f>'MERCADO TUSD'!$U$12</f>
        <v>8416.530999999999</v>
      </c>
      <c r="J15" s="15"/>
      <c r="L15" s="48">
        <f>('TUSD BE'!$L$15+'TUSD BF'!$L$15+'TUSD CVA'!$L$15)*1</f>
        <v>0</v>
      </c>
      <c r="M15" s="48">
        <f>('TUSD BE'!$M$15+'TUSD BF'!$M$15+'TUSD CVA'!$M$15)*1</f>
        <v>1.184970468536676</v>
      </c>
      <c r="N15" s="48">
        <f ca="1">('TUSD BE'!$N$15+'TUSD BF'!$N$15+'TUSD CVA'!$N$15)*1</f>
        <v>0</v>
      </c>
      <c r="O15" s="48">
        <f>('TUSD BE'!$O$15+'TUSD BF'!$O$15+'TUSD CVA'!$O$15)*1</f>
        <v>0</v>
      </c>
      <c r="P15" s="48">
        <f>('TUSD BE'!$P$15+'TUSD BF'!$P$15+'TUSD CVA'!$P$15)*1</f>
        <v>0</v>
      </c>
      <c r="Q15" s="48">
        <f>('TUSD BE'!$Q$15+'TUSD BF'!$Q$15+'TUSD CVA'!$Q$15)*1</f>
        <v>70.752976076830493</v>
      </c>
      <c r="R15" s="48">
        <f>('TUSD BE'!$R$15+'TUSD BF'!$R$15+'TUSD CVA'!$R$15)*1</f>
        <v>13.323441364471861</v>
      </c>
      <c r="S15" s="48">
        <f>('TUSD BE'!$S$15+'TUSD BF'!$S$15+'TUSD CVA'!$S$15)*1</f>
        <v>0</v>
      </c>
      <c r="T15" s="48">
        <f>('TUSD BE'!$U$15+'TUSD BF'!$U$15+'TUSD CVA'!$U$15)*1</f>
        <v>47.438205514092694</v>
      </c>
      <c r="U15" s="48">
        <f>('TUSD BE'!$V$15+'TUSD BF'!$V$15+'TUSD CVA'!$V$15)*1</f>
        <v>51.810899709103239</v>
      </c>
      <c r="V15" s="48">
        <f>('TUSD BE'!$W$15+'TUSD BF'!$W$15+'TUSD CVA'!$W$15)*1</f>
        <v>12.033843278569989</v>
      </c>
      <c r="W15" s="48">
        <f>('TUSD BE'!$X$15+'TUSD BF'!$X$15+'TUSD CVA'!$X$15)*1</f>
        <v>0</v>
      </c>
      <c r="X15" s="48">
        <f>('TUSD BE'!$Y$15+'TUSD BF'!$Y$15+'TUSD CVA'!$Y$15)*1</f>
        <v>465.54996723090005</v>
      </c>
      <c r="Y15" s="48">
        <f>('TUSD BE'!$Z$15+'TUSD BF'!$Z$15+'TUSD CVA'!$Z$15)*1</f>
        <v>0</v>
      </c>
      <c r="Z15" s="48">
        <f>('TUSD BE'!$AA$15+'TUSD BF'!$AA$15+'TUSD CVA'!$AA$15)*1</f>
        <v>0</v>
      </c>
      <c r="AA15" s="48">
        <f>('TUSD BE'!$AC$15+'TUSD BF'!$AC$15+'TUSD CVA'!$AC$15)*1</f>
        <v>639.29758167090858</v>
      </c>
      <c r="AB15" s="48">
        <f ca="1">('TUSD BE'!$AE$15+'TUSD BF'!$AE$15+'TUSD CVA'!$AE$15)*1</f>
        <v>-6.5584455970708175</v>
      </c>
      <c r="AC15" s="48">
        <f ca="1">('TUSD BE'!$AF$15+'TUSD BF'!$AF$15+'TUSD CVA'!$AF$15)*1</f>
        <v>0</v>
      </c>
      <c r="AD15" s="48">
        <f>('TUSD BE'!$AH$15+'TUSD BF'!$AH$15+'TUSD CVA'!$AH$15)*1</f>
        <v>7.3438293908279881</v>
      </c>
      <c r="AE15" s="48">
        <f>('TUSD BE'!$AI$15+'TUSD BF'!$AI$15+'TUSD CVA'!$AI$15)*1</f>
        <v>0.18871510048077375</v>
      </c>
      <c r="AF15" s="48">
        <f ca="1">('TUSD BE'!$AJ$15+'TUSD BF'!$AJ$15+'TUSD CVA'!$AJ$15)*1</f>
        <v>0</v>
      </c>
      <c r="AG15" s="48">
        <f ca="1">('TUSD BE'!$AK$15+'TUSD BF'!$AK$15+'TUSD CVA'!$AK$15)*1</f>
        <v>0</v>
      </c>
      <c r="AI15" s="48">
        <v>0</v>
      </c>
      <c r="AJ15" s="48">
        <v>1.26569516927276</v>
      </c>
      <c r="AK15" s="48">
        <v>0</v>
      </c>
      <c r="AL15" s="48">
        <v>0</v>
      </c>
      <c r="AM15" s="48">
        <v>0</v>
      </c>
      <c r="AN15" s="48">
        <v>51.688669443987102</v>
      </c>
      <c r="AO15" s="48">
        <v>9.2134837324594692</v>
      </c>
      <c r="AP15" s="48">
        <v>0</v>
      </c>
      <c r="AQ15" s="48">
        <v>33.431016616362001</v>
      </c>
      <c r="AR15" s="48">
        <v>28.6228561991371</v>
      </c>
      <c r="AS15" s="48">
        <v>2.0640946145499299</v>
      </c>
      <c r="AT15" s="48">
        <v>0</v>
      </c>
      <c r="AU15" s="48">
        <v>368.25412758663703</v>
      </c>
      <c r="AV15" s="48">
        <v>0</v>
      </c>
      <c r="AW15" s="48">
        <v>0</v>
      </c>
      <c r="AX15" s="48">
        <v>648.68328763797501</v>
      </c>
      <c r="AY15" s="48">
        <v>-26.795502130052</v>
      </c>
      <c r="AZ15" s="48">
        <v>0</v>
      </c>
      <c r="BA15" s="48">
        <v>8.0410742592363</v>
      </c>
      <c r="BB15" s="48">
        <v>0.226492306927286</v>
      </c>
      <c r="BC15" s="48">
        <v>0</v>
      </c>
      <c r="BD15" s="48">
        <v>0</v>
      </c>
    </row>
    <row r="16" spans="1:56" ht="11.25" customHeight="1" x14ac:dyDescent="0.25">
      <c r="A16" s="109"/>
      <c r="B16" s="109"/>
      <c r="C16" s="109"/>
      <c r="D16" s="109"/>
      <c r="E16" s="109"/>
      <c r="F16" s="109"/>
      <c r="G16" s="52" t="s">
        <v>84</v>
      </c>
      <c r="H16" s="52" t="s">
        <v>82</v>
      </c>
      <c r="I16" s="52">
        <f>'MERCADO TUSD'!$U$13</f>
        <v>160452.66800000001</v>
      </c>
      <c r="J16" s="15"/>
      <c r="L16" s="48">
        <f>('TUSD BE'!$L$16+'TUSD BF'!$L$16+'TUSD CVA'!$L$16)*1</f>
        <v>0</v>
      </c>
      <c r="M16" s="48">
        <f>('TUSD BE'!$M$16+'TUSD BF'!$M$16+'TUSD CVA'!$M$16)*1</f>
        <v>1.184970468536676</v>
      </c>
      <c r="N16" s="48">
        <f ca="1">('TUSD BE'!$N$16+'TUSD BF'!$N$16+'TUSD CVA'!$N$16)*1</f>
        <v>0</v>
      </c>
      <c r="O16" s="48">
        <f>('TUSD BE'!$O$16+'TUSD BF'!$O$16+'TUSD CVA'!$O$16)*1</f>
        <v>0</v>
      </c>
      <c r="P16" s="48">
        <f>('TUSD BE'!$P$16+'TUSD BF'!$P$16+'TUSD CVA'!$P$16)*1</f>
        <v>0</v>
      </c>
      <c r="Q16" s="48">
        <f>('TUSD BE'!$Q$16+'TUSD BF'!$Q$16+'TUSD CVA'!$Q$16)*1</f>
        <v>70.752976076830493</v>
      </c>
      <c r="R16" s="48">
        <f>('TUSD BE'!$R$16+'TUSD BF'!$R$16+'TUSD CVA'!$R$16)*1</f>
        <v>13.323441364471861</v>
      </c>
      <c r="S16" s="48">
        <f>('TUSD BE'!$S$16+'TUSD BF'!$S$16+'TUSD CVA'!$S$16)*1</f>
        <v>0</v>
      </c>
      <c r="T16" s="48">
        <f>('TUSD BE'!$U$16+'TUSD BF'!$U$16+'TUSD CVA'!$U$16)*1</f>
        <v>0</v>
      </c>
      <c r="U16" s="48">
        <f>('TUSD BE'!$V$16+'TUSD BF'!$V$16+'TUSD CVA'!$V$16)*1</f>
        <v>0</v>
      </c>
      <c r="V16" s="48">
        <f>('TUSD BE'!$W$16+'TUSD BF'!$W$16+'TUSD CVA'!$W$16)*1</f>
        <v>0</v>
      </c>
      <c r="W16" s="48">
        <f>('TUSD BE'!$X$16+'TUSD BF'!$X$16+'TUSD CVA'!$X$16)*1</f>
        <v>0</v>
      </c>
      <c r="X16" s="48">
        <f>('TUSD BE'!$Y$16+'TUSD BF'!$Y$16+'TUSD CVA'!$Y$16)*1</f>
        <v>0</v>
      </c>
      <c r="Y16" s="48">
        <f>('TUSD BE'!$Z$16+'TUSD BF'!$Z$16+'TUSD CVA'!$Z$16)*1</f>
        <v>0</v>
      </c>
      <c r="Z16" s="48">
        <f>('TUSD BE'!$AA$16+'TUSD BF'!$AA$16+'TUSD CVA'!$AA$16)*1</f>
        <v>0</v>
      </c>
      <c r="AA16" s="48">
        <f>('TUSD BE'!$AC$16+'TUSD BF'!$AC$16+'TUSD CVA'!$AC$16)*1</f>
        <v>0</v>
      </c>
      <c r="AB16" s="48">
        <f ca="1">('TUSD BE'!$AE$16+'TUSD BF'!$AE$16+'TUSD CVA'!$AE$16)*1</f>
        <v>-0.28913893098956961</v>
      </c>
      <c r="AC16" s="48">
        <f ca="1">('TUSD BE'!$AF$16+'TUSD BF'!$AF$16+'TUSD CVA'!$AF$16)*1</f>
        <v>0</v>
      </c>
      <c r="AD16" s="48">
        <f>('TUSD BE'!$AH$16+'TUSD BF'!$AH$16+'TUSD CVA'!$AH$16)*1</f>
        <v>7.3438293908279881</v>
      </c>
      <c r="AE16" s="48">
        <f>('TUSD BE'!$AI$16+'TUSD BF'!$AI$16+'TUSD CVA'!$AI$16)*1</f>
        <v>0.18871510048077375</v>
      </c>
      <c r="AF16" s="48">
        <f ca="1">('TUSD BE'!$AJ$16+'TUSD BF'!$AJ$16+'TUSD CVA'!$AJ$16)*1</f>
        <v>0</v>
      </c>
      <c r="AG16" s="48">
        <f ca="1">('TUSD BE'!$AK$16+'TUSD BF'!$AK$16+'TUSD CVA'!$AK$16)*1</f>
        <v>0</v>
      </c>
      <c r="AI16" s="48">
        <v>0</v>
      </c>
      <c r="AJ16" s="48">
        <v>1.26569516927276</v>
      </c>
      <c r="AK16" s="48">
        <v>0</v>
      </c>
      <c r="AL16" s="48">
        <v>0</v>
      </c>
      <c r="AM16" s="48">
        <v>0</v>
      </c>
      <c r="AN16" s="48">
        <v>51.688669443987102</v>
      </c>
      <c r="AO16" s="48">
        <v>9.2134837324594692</v>
      </c>
      <c r="AP16" s="48">
        <v>0</v>
      </c>
      <c r="AQ16" s="48">
        <v>0</v>
      </c>
      <c r="AR16" s="48">
        <v>0</v>
      </c>
      <c r="AS16" s="48">
        <v>0</v>
      </c>
      <c r="AT16" s="48">
        <v>0</v>
      </c>
      <c r="AU16" s="48">
        <v>0</v>
      </c>
      <c r="AV16" s="48">
        <v>0</v>
      </c>
      <c r="AW16" s="48">
        <v>0</v>
      </c>
      <c r="AX16" s="48">
        <v>0</v>
      </c>
      <c r="AY16" s="48">
        <v>-0.946940390450699</v>
      </c>
      <c r="AZ16" s="48">
        <v>0</v>
      </c>
      <c r="BA16" s="48">
        <v>8.0410742592363</v>
      </c>
      <c r="BB16" s="48">
        <v>0.226492306927286</v>
      </c>
      <c r="BC16" s="48">
        <v>0</v>
      </c>
      <c r="BD16" s="48">
        <v>0</v>
      </c>
    </row>
    <row r="17" spans="1:56" ht="11.25" customHeight="1" x14ac:dyDescent="0.25">
      <c r="A17" s="109"/>
      <c r="B17" s="109"/>
      <c r="C17" s="109"/>
      <c r="D17" s="109"/>
      <c r="E17" s="109" t="s">
        <v>89</v>
      </c>
      <c r="F17" s="109" t="s">
        <v>25</v>
      </c>
      <c r="G17" s="52" t="s">
        <v>83</v>
      </c>
      <c r="H17" s="52" t="s">
        <v>82</v>
      </c>
      <c r="I17" s="52">
        <f>'MERCADO TUSD'!$U$14</f>
        <v>0</v>
      </c>
      <c r="J17" s="15"/>
      <c r="L17" s="48">
        <f>('TUSD BE'!$L$17+'TUSD BF'!$L$17+'TUSD CVA'!$L$17)*1</f>
        <v>0</v>
      </c>
      <c r="M17" s="48">
        <f>('TUSD BE'!$M$17+'TUSD BF'!$M$17+'TUSD CVA'!$M$17)*1</f>
        <v>1.184970468536676</v>
      </c>
      <c r="N17" s="48">
        <f ca="1">('TUSD BE'!$N$17+'TUSD BF'!$N$17+'TUSD CVA'!$N$17)*1</f>
        <v>0</v>
      </c>
      <c r="O17" s="48">
        <f>('TUSD BE'!$O$17+'TUSD BF'!$O$17+'TUSD CVA'!$O$17)*1</f>
        <v>0</v>
      </c>
      <c r="P17" s="48">
        <f>('TUSD BE'!$P$17+'TUSD BF'!$P$17+'TUSD CVA'!$P$17)*1</f>
        <v>0</v>
      </c>
      <c r="Q17" s="48">
        <f>('TUSD BE'!$Q$17+'TUSD BF'!$Q$17+'TUSD CVA'!$Q$17)*1</f>
        <v>0</v>
      </c>
      <c r="R17" s="48">
        <f>('TUSD BE'!$R$17+'TUSD BF'!$R$17+'TUSD CVA'!$R$17)*1</f>
        <v>0</v>
      </c>
      <c r="S17" s="48">
        <f>('TUSD BE'!$S$17+'TUSD BF'!$S$17+'TUSD CVA'!$S$17)*1</f>
        <v>0</v>
      </c>
      <c r="T17" s="48">
        <f>('TUSD BE'!$U$17+'TUSD BF'!$U$17+'TUSD CVA'!$U$17)*1</f>
        <v>47.438205514092694</v>
      </c>
      <c r="U17" s="48">
        <f>('TUSD BE'!$V$17+'TUSD BF'!$V$17+'TUSD CVA'!$V$17)*1</f>
        <v>51.810899709103239</v>
      </c>
      <c r="V17" s="48">
        <f>('TUSD BE'!$W$17+'TUSD BF'!$W$17+'TUSD CVA'!$W$17)*1</f>
        <v>12.033843278569989</v>
      </c>
      <c r="W17" s="48">
        <f>('TUSD BE'!$X$17+'TUSD BF'!$X$17+'TUSD CVA'!$X$17)*1</f>
        <v>0</v>
      </c>
      <c r="X17" s="48">
        <f>('TUSD BE'!$Y$17+'TUSD BF'!$Y$17+'TUSD CVA'!$Y$17)*1</f>
        <v>465.54996723090005</v>
      </c>
      <c r="Y17" s="48">
        <f>('TUSD BE'!$Z$17+'TUSD BF'!$Z$17+'TUSD CVA'!$Z$17)*1</f>
        <v>0</v>
      </c>
      <c r="Z17" s="48">
        <f>('TUSD BE'!$AA$17+'TUSD BF'!$AA$17+'TUSD CVA'!$AA$17)*1</f>
        <v>0</v>
      </c>
      <c r="AA17" s="48">
        <f>('TUSD BE'!$AC$17+'TUSD BF'!$AC$17+'TUSD CVA'!$AC$17)*1</f>
        <v>639.29758167090858</v>
      </c>
      <c r="AB17" s="48">
        <f ca="1">('TUSD BE'!$AE$17+'TUSD BF'!$AE$17+'TUSD CVA'!$AE$17)*1</f>
        <v>-6.2960887702775938</v>
      </c>
      <c r="AC17" s="48">
        <f ca="1">('TUSD BE'!$AF$17+'TUSD BF'!$AF$17+'TUSD CVA'!$AF$17)*1</f>
        <v>0</v>
      </c>
      <c r="AD17" s="48">
        <f>('TUSD BE'!$AH$17+'TUSD BF'!$AH$17+'TUSD CVA'!$AH$17)*1</f>
        <v>7.3438293908279881</v>
      </c>
      <c r="AE17" s="48">
        <f>('TUSD BE'!$AI$17+'TUSD BF'!$AI$17+'TUSD CVA'!$AI$17)*1</f>
        <v>0.18871510048077375</v>
      </c>
      <c r="AF17" s="48">
        <f ca="1">('TUSD BE'!$AJ$17+'TUSD BF'!$AJ$17+'TUSD CVA'!$AJ$17)*1</f>
        <v>0</v>
      </c>
      <c r="AG17" s="48">
        <f ca="1">('TUSD BE'!$AK$17+'TUSD BF'!$AK$17+'TUSD CVA'!$AK$17)*1</f>
        <v>0</v>
      </c>
      <c r="AI17" s="48">
        <v>0</v>
      </c>
      <c r="AJ17" s="48">
        <v>1.26569516927276</v>
      </c>
      <c r="AK17" s="48">
        <v>0</v>
      </c>
      <c r="AL17" s="48">
        <v>0</v>
      </c>
      <c r="AM17" s="48">
        <v>0</v>
      </c>
      <c r="AN17" s="48">
        <v>0</v>
      </c>
      <c r="AO17" s="48">
        <v>0</v>
      </c>
      <c r="AP17" s="48">
        <v>0</v>
      </c>
      <c r="AQ17" s="48">
        <v>33.431016616362001</v>
      </c>
      <c r="AR17" s="48">
        <v>28.6228561991371</v>
      </c>
      <c r="AS17" s="48">
        <v>2.0640946145499299</v>
      </c>
      <c r="AT17" s="48">
        <v>0</v>
      </c>
      <c r="AU17" s="48">
        <v>368.25412758663703</v>
      </c>
      <c r="AV17" s="48">
        <v>0</v>
      </c>
      <c r="AW17" s="48">
        <v>0</v>
      </c>
      <c r="AX17" s="48">
        <v>648.68328763797501</v>
      </c>
      <c r="AY17" s="48">
        <v>-25.964264107598002</v>
      </c>
      <c r="AZ17" s="48">
        <v>0</v>
      </c>
      <c r="BA17" s="48">
        <v>8.0410742592363</v>
      </c>
      <c r="BB17" s="48">
        <v>0.226492306927286</v>
      </c>
      <c r="BC17" s="48">
        <v>0</v>
      </c>
      <c r="BD17" s="48">
        <v>0</v>
      </c>
    </row>
    <row r="18" spans="1:56" ht="11.25" customHeight="1" x14ac:dyDescent="0.25">
      <c r="A18" s="109"/>
      <c r="B18" s="109"/>
      <c r="C18" s="109"/>
      <c r="D18" s="109"/>
      <c r="E18" s="109"/>
      <c r="F18" s="109"/>
      <c r="G18" s="52" t="s">
        <v>84</v>
      </c>
      <c r="H18" s="52" t="s">
        <v>82</v>
      </c>
      <c r="I18" s="52">
        <f>'MERCADO TUSD'!$U$15</f>
        <v>0</v>
      </c>
      <c r="J18" s="15"/>
      <c r="L18" s="48">
        <f>('TUSD BE'!$L$18+'TUSD BF'!$L$18+'TUSD CVA'!$L$18)*1</f>
        <v>0</v>
      </c>
      <c r="M18" s="48">
        <f>('TUSD BE'!$M$18+'TUSD BF'!$M$18+'TUSD CVA'!$M$18)*1</f>
        <v>1.184970468536676</v>
      </c>
      <c r="N18" s="48">
        <f ca="1">('TUSD BE'!$N$18+'TUSD BF'!$N$18+'TUSD CVA'!$N$18)*1</f>
        <v>0</v>
      </c>
      <c r="O18" s="48">
        <f>('TUSD BE'!$O$18+'TUSD BF'!$O$18+'TUSD CVA'!$O$18)*1</f>
        <v>0</v>
      </c>
      <c r="P18" s="48">
        <f>('TUSD BE'!$P$18+'TUSD BF'!$P$18+'TUSD CVA'!$P$18)*1</f>
        <v>0</v>
      </c>
      <c r="Q18" s="48">
        <f>('TUSD BE'!$Q$18+'TUSD BF'!$Q$18+'TUSD CVA'!$Q$18)*1</f>
        <v>0</v>
      </c>
      <c r="R18" s="48">
        <f>('TUSD BE'!$R$18+'TUSD BF'!$R$18+'TUSD CVA'!$R$18)*1</f>
        <v>0</v>
      </c>
      <c r="S18" s="48">
        <f>('TUSD BE'!$S$18+'TUSD BF'!$S$18+'TUSD CVA'!$S$18)*1</f>
        <v>0</v>
      </c>
      <c r="T18" s="48">
        <f>('TUSD BE'!$U$18+'TUSD BF'!$U$18+'TUSD CVA'!$U$18)*1</f>
        <v>0</v>
      </c>
      <c r="U18" s="48">
        <f>('TUSD BE'!$V$18+'TUSD BF'!$V$18+'TUSD CVA'!$V$18)*1</f>
        <v>0</v>
      </c>
      <c r="V18" s="48">
        <f>('TUSD BE'!$W$18+'TUSD BF'!$W$18+'TUSD CVA'!$W$18)*1</f>
        <v>0</v>
      </c>
      <c r="W18" s="48">
        <f>('TUSD BE'!$X$18+'TUSD BF'!$X$18+'TUSD CVA'!$X$18)*1</f>
        <v>0</v>
      </c>
      <c r="X18" s="48">
        <f>('TUSD BE'!$Y$18+'TUSD BF'!$Y$18+'TUSD CVA'!$Y$18)*1</f>
        <v>0</v>
      </c>
      <c r="Y18" s="48">
        <f>('TUSD BE'!$Z$18+'TUSD BF'!$Z$18+'TUSD CVA'!$Z$18)*1</f>
        <v>0</v>
      </c>
      <c r="Z18" s="48">
        <f>('TUSD BE'!$AA$18+'TUSD BF'!$AA$18+'TUSD CVA'!$AA$18)*1</f>
        <v>0</v>
      </c>
      <c r="AA18" s="48">
        <f>('TUSD BE'!$AC$18+'TUSD BF'!$AC$18+'TUSD CVA'!$AC$18)*1</f>
        <v>0</v>
      </c>
      <c r="AB18" s="48">
        <f ca="1">('TUSD BE'!$AE$18+'TUSD BF'!$AE$18+'TUSD CVA'!$AE$18)*1</f>
        <v>-2.6782104196345906E-2</v>
      </c>
      <c r="AC18" s="48">
        <f ca="1">('TUSD BE'!$AF$18+'TUSD BF'!$AF$18+'TUSD CVA'!$AF$18)*1</f>
        <v>0</v>
      </c>
      <c r="AD18" s="48">
        <f>('TUSD BE'!$AH$18+'TUSD BF'!$AH$18+'TUSD CVA'!$AH$18)*1</f>
        <v>7.3438293908279881</v>
      </c>
      <c r="AE18" s="48">
        <f>('TUSD BE'!$AI$18+'TUSD BF'!$AI$18+'TUSD CVA'!$AI$18)*1</f>
        <v>0.18871510048077375</v>
      </c>
      <c r="AF18" s="48">
        <f ca="1">('TUSD BE'!$AJ$18+'TUSD BF'!$AJ$18+'TUSD CVA'!$AJ$18)*1</f>
        <v>0</v>
      </c>
      <c r="AG18" s="48">
        <f ca="1">('TUSD BE'!$AK$18+'TUSD BF'!$AK$18+'TUSD CVA'!$AK$18)*1</f>
        <v>0</v>
      </c>
      <c r="AI18" s="48">
        <v>0</v>
      </c>
      <c r="AJ18" s="48">
        <v>1.26569516927276</v>
      </c>
      <c r="AK18" s="48">
        <v>0</v>
      </c>
      <c r="AL18" s="48">
        <v>0</v>
      </c>
      <c r="AM18" s="48">
        <v>0</v>
      </c>
      <c r="AN18" s="48">
        <v>0</v>
      </c>
      <c r="AO18" s="48">
        <v>0</v>
      </c>
      <c r="AP18" s="48">
        <v>0</v>
      </c>
      <c r="AQ18" s="48">
        <v>0</v>
      </c>
      <c r="AR18" s="48">
        <v>0</v>
      </c>
      <c r="AS18" s="48">
        <v>0</v>
      </c>
      <c r="AT18" s="48">
        <v>0</v>
      </c>
      <c r="AU18" s="48">
        <v>0</v>
      </c>
      <c r="AV18" s="48">
        <v>0</v>
      </c>
      <c r="AW18" s="48">
        <v>0</v>
      </c>
      <c r="AX18" s="48">
        <v>0</v>
      </c>
      <c r="AY18" s="48">
        <v>-0.115702367996748</v>
      </c>
      <c r="AZ18" s="48">
        <v>0</v>
      </c>
      <c r="BA18" s="48">
        <v>8.0410742592363</v>
      </c>
      <c r="BB18" s="48">
        <v>0.226492306927286</v>
      </c>
      <c r="BC18" s="48">
        <v>0</v>
      </c>
      <c r="BD18" s="48">
        <v>0</v>
      </c>
    </row>
    <row r="19" spans="1:56" ht="11.25" customHeight="1" x14ac:dyDescent="0.25">
      <c r="A19" s="109" t="s">
        <v>91</v>
      </c>
      <c r="B19" s="109" t="s">
        <v>56</v>
      </c>
      <c r="C19" s="109" t="s">
        <v>25</v>
      </c>
      <c r="D19" s="109" t="s">
        <v>25</v>
      </c>
      <c r="E19" s="51" t="s">
        <v>92</v>
      </c>
      <c r="F19" s="51" t="s">
        <v>25</v>
      </c>
      <c r="G19" s="52" t="s">
        <v>9</v>
      </c>
      <c r="H19" s="52" t="s">
        <v>85</v>
      </c>
      <c r="I19" s="52">
        <f>'MERCADO TUSD'!$U$16+0.00000001</f>
        <v>1E-8</v>
      </c>
      <c r="J19" s="15"/>
      <c r="L19" s="48">
        <f>('TUSD BE'!$L$19+'TUSD BF'!$L$19+'TUSD CVA'!$L$19)*1</f>
        <v>0</v>
      </c>
      <c r="M19" s="48">
        <f>('TUSD BE'!$M$19+'TUSD BF'!$M$19+'TUSD CVA'!$M$19)*1</f>
        <v>1.426066316179141E-2</v>
      </c>
      <c r="N19" s="48">
        <f ca="1">('TUSD BE'!$N$19+'TUSD BF'!$N$19+'TUSD CVA'!$N$19)*1</f>
        <v>0</v>
      </c>
      <c r="O19" s="48">
        <f>('TUSD BE'!$O$19+'TUSD BF'!$O$19+'TUSD CVA'!$O$19)*1</f>
        <v>0</v>
      </c>
      <c r="P19" s="48">
        <f>('TUSD BE'!$P$19+'TUSD BF'!$P$19+'TUSD CVA'!$P$19)*1</f>
        <v>0</v>
      </c>
      <c r="Q19" s="48">
        <f>('TUSD BE'!$Q$19+'TUSD BF'!$Q$19+'TUSD CVA'!$Q$19)*1</f>
        <v>0</v>
      </c>
      <c r="R19" s="48">
        <f>('TUSD BE'!$R$19+'TUSD BF'!$R$19+'TUSD CVA'!$R$19)*1</f>
        <v>0</v>
      </c>
      <c r="S19" s="48">
        <f>('TUSD BE'!$S$19+'TUSD BF'!$S$19+'TUSD CVA'!$S$19)*1</f>
        <v>0</v>
      </c>
      <c r="T19" s="48">
        <f>('TUSD BE'!$U$19+'TUSD BF'!$U$19+'TUSD CVA'!$U$19)*1</f>
        <v>0</v>
      </c>
      <c r="U19" s="48">
        <f>('TUSD BE'!$V$19+'TUSD BF'!$V$19+'TUSD CVA'!$V$19)*1</f>
        <v>0</v>
      </c>
      <c r="V19" s="48">
        <f>('TUSD BE'!$W$19+'TUSD BF'!$W$19+'TUSD CVA'!$W$19)*1</f>
        <v>0</v>
      </c>
      <c r="W19" s="48">
        <f>('TUSD BE'!$X$19+'TUSD BF'!$X$19+'TUSD CVA'!$X$19)*1</f>
        <v>0</v>
      </c>
      <c r="X19" s="48">
        <f>('TUSD BE'!$Y$19+'TUSD BF'!$Y$19+'TUSD CVA'!$Y$19)*1</f>
        <v>0</v>
      </c>
      <c r="Y19" s="48">
        <f>('TUSD BE'!$Z$19+'TUSD BF'!$Z$19+'TUSD CVA'!$Z$19)*1</f>
        <v>0</v>
      </c>
      <c r="Z19" s="48">
        <f>('TUSD BE'!$AA$19+'TUSD BF'!$AA$19+'TUSD CVA'!$AA$19)*1</f>
        <v>0</v>
      </c>
      <c r="AA19" s="48">
        <f>('TUSD BE'!$AC$19+'TUSD BF'!$AC$19+'TUSD CVA'!$AC$19)*1</f>
        <v>1.6103823448379586</v>
      </c>
      <c r="AB19" s="48">
        <f ca="1">('TUSD BE'!$AE$19+'TUSD BF'!$AE$19+'TUSD CVA'!$AE$19)*1</f>
        <v>-1.1764890550918613E-2</v>
      </c>
      <c r="AC19" s="48">
        <f ca="1">('TUSD BE'!$AF$19+'TUSD BF'!$AF$19+'TUSD CVA'!$AF$19)*1</f>
        <v>0</v>
      </c>
      <c r="AD19" s="48">
        <f>('TUSD BE'!$AH$19+'TUSD BF'!$AH$19+'TUSD CVA'!$AH$19)*1</f>
        <v>0</v>
      </c>
      <c r="AE19" s="48">
        <f>('TUSD BE'!$AI$19+'TUSD BF'!$AI$19+'TUSD CVA'!$AI$19)*1</f>
        <v>0</v>
      </c>
      <c r="AF19" s="48">
        <f ca="1">('TUSD BE'!$AJ$19+'TUSD BF'!$AJ$19+'TUSD CVA'!$AJ$19)*1</f>
        <v>0</v>
      </c>
      <c r="AG19" s="48">
        <f ca="1">('TUSD BE'!$AK$19+'TUSD BF'!$AK$19+'TUSD CVA'!$AK$19)*1</f>
        <v>0</v>
      </c>
      <c r="AI19" s="48">
        <v>0</v>
      </c>
      <c r="AJ19" s="48">
        <v>1.6356044600616799E-2</v>
      </c>
      <c r="AK19" s="48">
        <v>0</v>
      </c>
      <c r="AL19" s="48">
        <v>0</v>
      </c>
      <c r="AM19" s="48">
        <v>0</v>
      </c>
      <c r="AN19" s="48">
        <v>0</v>
      </c>
      <c r="AO19" s="48">
        <v>0</v>
      </c>
      <c r="AP19" s="48">
        <v>0</v>
      </c>
      <c r="AQ19" s="48">
        <v>0</v>
      </c>
      <c r="AR19" s="48">
        <v>0</v>
      </c>
      <c r="AS19" s="48">
        <v>0</v>
      </c>
      <c r="AT19" s="48">
        <v>0</v>
      </c>
      <c r="AU19" s="48">
        <v>0</v>
      </c>
      <c r="AV19" s="48">
        <v>0</v>
      </c>
      <c r="AW19" s="48">
        <v>0</v>
      </c>
      <c r="AX19" s="48">
        <v>2.0425171949619001</v>
      </c>
      <c r="AY19" s="48">
        <v>-6.4122322331805204E-2</v>
      </c>
      <c r="AZ19" s="48">
        <v>0</v>
      </c>
      <c r="BA19" s="48">
        <v>0</v>
      </c>
      <c r="BB19" s="48">
        <v>0</v>
      </c>
      <c r="BC19" s="48">
        <v>0</v>
      </c>
      <c r="BD19" s="48">
        <v>0</v>
      </c>
    </row>
    <row r="20" spans="1:56" ht="11.25" customHeight="1" x14ac:dyDescent="0.25">
      <c r="A20" s="109"/>
      <c r="B20" s="109"/>
      <c r="C20" s="109"/>
      <c r="D20" s="109"/>
      <c r="E20" s="51" t="s">
        <v>93</v>
      </c>
      <c r="F20" s="51" t="s">
        <v>25</v>
      </c>
      <c r="G20" s="52" t="s">
        <v>9</v>
      </c>
      <c r="H20" s="52" t="s">
        <v>85</v>
      </c>
      <c r="I20" s="52">
        <f>'MERCADO TUSD'!$U$17+0.00000001</f>
        <v>1E-8</v>
      </c>
      <c r="J20" s="15"/>
      <c r="L20" s="48">
        <f>('TUSD BE'!$L$20+'TUSD BF'!$L$20+'TUSD CVA'!$L$20)*1</f>
        <v>0</v>
      </c>
      <c r="M20" s="48">
        <f>('TUSD BE'!$M$20+'TUSD BF'!$M$20+'TUSD CVA'!$M$20)*1</f>
        <v>1.426066316179141E-2</v>
      </c>
      <c r="N20" s="48">
        <f ca="1">('TUSD BE'!$N$20+'TUSD BF'!$N$20+'TUSD CVA'!$N$20)*1</f>
        <v>0</v>
      </c>
      <c r="O20" s="48">
        <f>('TUSD BE'!$O$20+'TUSD BF'!$O$20+'TUSD CVA'!$O$20)*1</f>
        <v>0</v>
      </c>
      <c r="P20" s="48">
        <f>('TUSD BE'!$P$20+'TUSD BF'!$P$20+'TUSD CVA'!$P$20)*1</f>
        <v>0</v>
      </c>
      <c r="Q20" s="48">
        <f>('TUSD BE'!$Q$20+'TUSD BF'!$Q$20+'TUSD CVA'!$Q$20)*1</f>
        <v>0</v>
      </c>
      <c r="R20" s="48">
        <f>('TUSD BE'!$R$20+'TUSD BF'!$R$20+'TUSD CVA'!$R$20)*1</f>
        <v>0</v>
      </c>
      <c r="S20" s="48">
        <f>('TUSD BE'!$S$20+'TUSD BF'!$S$20+'TUSD CVA'!$S$20)*1</f>
        <v>0</v>
      </c>
      <c r="T20" s="48">
        <f>('TUSD BE'!$U$20+'TUSD BF'!$U$20+'TUSD CVA'!$U$20)*1</f>
        <v>0</v>
      </c>
      <c r="U20" s="48">
        <f>('TUSD BE'!$V$20+'TUSD BF'!$V$20+'TUSD CVA'!$V$20)*1</f>
        <v>0</v>
      </c>
      <c r="V20" s="48">
        <f>('TUSD BE'!$W$20+'TUSD BF'!$W$20+'TUSD CVA'!$W$20)*1</f>
        <v>0</v>
      </c>
      <c r="W20" s="48">
        <f>('TUSD BE'!$X$20+'TUSD BF'!$X$20+'TUSD CVA'!$X$20)*1</f>
        <v>0</v>
      </c>
      <c r="X20" s="48">
        <f>('TUSD BE'!$Y$20+'TUSD BF'!$Y$20+'TUSD CVA'!$Y$20)*1</f>
        <v>0</v>
      </c>
      <c r="Y20" s="48">
        <f>('TUSD BE'!$Z$20+'TUSD BF'!$Z$20+'TUSD CVA'!$Z$20)*1</f>
        <v>0</v>
      </c>
      <c r="Z20" s="48">
        <f>('TUSD BE'!$AA$20+'TUSD BF'!$AA$20+'TUSD CVA'!$AA$20)*1</f>
        <v>0</v>
      </c>
      <c r="AA20" s="48">
        <f>('TUSD BE'!$AC$20+'TUSD BF'!$AC$20+'TUSD CVA'!$AC$20)*1</f>
        <v>6.3673788514228455</v>
      </c>
      <c r="AB20" s="48">
        <f ca="1">('TUSD BE'!$AE$20+'TUSD BF'!$AE$20+'TUSD CVA'!$AE$20)*1</f>
        <v>-4.6379108493124953E-2</v>
      </c>
      <c r="AC20" s="48">
        <f ca="1">('TUSD BE'!$AF$20+'TUSD BF'!$AF$20+'TUSD CVA'!$AF$20)*1</f>
        <v>0</v>
      </c>
      <c r="AD20" s="48">
        <f>('TUSD BE'!$AH$20+'TUSD BF'!$AH$20+'TUSD CVA'!$AH$20)*1</f>
        <v>0</v>
      </c>
      <c r="AE20" s="48">
        <f>('TUSD BE'!$AI$20+'TUSD BF'!$AI$20+'TUSD CVA'!$AI$20)*1</f>
        <v>0</v>
      </c>
      <c r="AF20" s="48">
        <f ca="1">('TUSD BE'!$AJ$20+'TUSD BF'!$AJ$20+'TUSD CVA'!$AJ$20)*1</f>
        <v>0</v>
      </c>
      <c r="AG20" s="48">
        <f ca="1">('TUSD BE'!$AK$20+'TUSD BF'!$AK$20+'TUSD CVA'!$AK$20)*1</f>
        <v>0</v>
      </c>
      <c r="AI20" s="48">
        <v>0</v>
      </c>
      <c r="AJ20" s="48">
        <v>1.6356044600616799E-2</v>
      </c>
      <c r="AK20" s="48">
        <v>0</v>
      </c>
      <c r="AL20" s="48">
        <v>0</v>
      </c>
      <c r="AM20" s="48">
        <v>0</v>
      </c>
      <c r="AN20" s="48">
        <v>0</v>
      </c>
      <c r="AO20" s="48">
        <v>0</v>
      </c>
      <c r="AP20" s="48">
        <v>0</v>
      </c>
      <c r="AQ20" s="48">
        <v>0</v>
      </c>
      <c r="AR20" s="48">
        <v>0</v>
      </c>
      <c r="AS20" s="48">
        <v>0</v>
      </c>
      <c r="AT20" s="48">
        <v>0</v>
      </c>
      <c r="AU20" s="48">
        <v>0</v>
      </c>
      <c r="AV20" s="48">
        <v>0</v>
      </c>
      <c r="AW20" s="48">
        <v>0</v>
      </c>
      <c r="AX20" s="48">
        <v>8.0760917435615696</v>
      </c>
      <c r="AY20" s="48">
        <v>-0.252881967493295</v>
      </c>
      <c r="AZ20" s="48">
        <v>0</v>
      </c>
      <c r="BA20" s="48">
        <v>0</v>
      </c>
      <c r="BB20" s="48">
        <v>0</v>
      </c>
      <c r="BC20" s="48">
        <v>0</v>
      </c>
      <c r="BD20" s="48">
        <v>0</v>
      </c>
    </row>
    <row r="21" spans="1:56" ht="11.25" customHeight="1" x14ac:dyDescent="0.25">
      <c r="A21" s="109" t="s">
        <v>22</v>
      </c>
      <c r="B21" s="109" t="s">
        <v>95</v>
      </c>
      <c r="C21" s="109" t="s">
        <v>24</v>
      </c>
      <c r="D21" s="109" t="s">
        <v>24</v>
      </c>
      <c r="E21" s="109" t="s">
        <v>25</v>
      </c>
      <c r="F21" s="109" t="s">
        <v>25</v>
      </c>
      <c r="G21" s="52" t="s">
        <v>83</v>
      </c>
      <c r="H21" s="52" t="s">
        <v>82</v>
      </c>
      <c r="I21" s="52">
        <f>'MERCADO TUSD'!$U$18</f>
        <v>0</v>
      </c>
      <c r="J21" s="15"/>
      <c r="L21" s="48">
        <f>('TUSD BE'!$L$21+'TUSD BF'!$L$21+'TUSD CVA'!$L$21)*1</f>
        <v>0</v>
      </c>
      <c r="M21" s="48">
        <f>('TUSD BE'!$M$21+'TUSD BF'!$M$21+'TUSD CVA'!$M$21)*1</f>
        <v>0.78192502640401806</v>
      </c>
      <c r="N21" s="48">
        <f ca="1">('TUSD BE'!$N$21+'TUSD BF'!$N$21+'TUSD CVA'!$N$21)*1</f>
        <v>0</v>
      </c>
      <c r="O21" s="48">
        <f>('TUSD BE'!$O$21+'TUSD BF'!$O$21+'TUSD CVA'!$O$21)*1</f>
        <v>0</v>
      </c>
      <c r="P21" s="48">
        <f>('TUSD BE'!$P$21+'TUSD BF'!$P$21+'TUSD CVA'!$P$21)*1</f>
        <v>0</v>
      </c>
      <c r="Q21" s="48">
        <f>('TUSD BE'!$Q$21+'TUSD BF'!$Q$21+'TUSD CVA'!$Q$21)*1</f>
        <v>84.229733424798212</v>
      </c>
      <c r="R21" s="48">
        <f>('TUSD BE'!$R$21+'TUSD BF'!$R$21+'TUSD CVA'!$R$21)*1</f>
        <v>13.323441364471861</v>
      </c>
      <c r="S21" s="48">
        <f>('TUSD BE'!$S$21+'TUSD BF'!$S$21+'TUSD CVA'!$S$21)*1</f>
        <v>0</v>
      </c>
      <c r="T21" s="48">
        <f>('TUSD BE'!$U$21+'TUSD BF'!$U$21+'TUSD CVA'!$U$21)*1</f>
        <v>24.936019618019621</v>
      </c>
      <c r="U21" s="48">
        <f>('TUSD BE'!$V$21+'TUSD BF'!$V$21+'TUSD CVA'!$V$21)*1</f>
        <v>25.857569459192504</v>
      </c>
      <c r="V21" s="48">
        <f>('TUSD BE'!$W$21+'TUSD BF'!$W$21+'TUSD CVA'!$W$21)*1</f>
        <v>6.2664450058611809</v>
      </c>
      <c r="W21" s="48">
        <f>('TUSD BE'!$X$21+'TUSD BF'!$X$21+'TUSD CVA'!$X$21)*1</f>
        <v>0</v>
      </c>
      <c r="X21" s="48">
        <f>('TUSD BE'!$Y$21+'TUSD BF'!$Y$21+'TUSD CVA'!$Y$21)*1</f>
        <v>180.63418931304602</v>
      </c>
      <c r="Y21" s="48">
        <f>('TUSD BE'!$Z$21+'TUSD BF'!$Z$21+'TUSD CVA'!$Z$21)*1</f>
        <v>0</v>
      </c>
      <c r="Z21" s="48">
        <f>('TUSD BE'!$AA$21+'TUSD BF'!$AA$21+'TUSD CVA'!$AA$21)*1</f>
        <v>0</v>
      </c>
      <c r="AA21" s="48">
        <f>('TUSD BE'!$AC$21+'TUSD BF'!$AC$21+'TUSD CVA'!$AC$21)*1</f>
        <v>168.13751301689373</v>
      </c>
      <c r="AB21" s="48">
        <f ca="1">('TUSD BE'!$AE$21+'TUSD BF'!$AE$21+'TUSD CVA'!$AE$21)*1</f>
        <v>-2.2480186097299728</v>
      </c>
      <c r="AC21" s="48">
        <f ca="1">('TUSD BE'!$AF$21+'TUSD BF'!$AF$21+'TUSD CVA'!$AF$21)*1</f>
        <v>0</v>
      </c>
      <c r="AD21" s="48">
        <f>('TUSD BE'!$AH$21+'TUSD BF'!$AH$21+'TUSD CVA'!$AH$21)*1</f>
        <v>16.595642089258643</v>
      </c>
      <c r="AE21" s="48">
        <f>('TUSD BE'!$AI$21+'TUSD BF'!$AI$21+'TUSD CVA'!$AI$21)*1</f>
        <v>0.42652605217681322</v>
      </c>
      <c r="AF21" s="48">
        <f ca="1">('TUSD BE'!$AJ$21+'TUSD BF'!$AJ$21+'TUSD CVA'!$AJ$21)*1</f>
        <v>0</v>
      </c>
      <c r="AG21" s="48">
        <f ca="1">('TUSD BE'!$AK$21+'TUSD BF'!$AK$21+'TUSD CVA'!$AK$21)*1</f>
        <v>0</v>
      </c>
      <c r="AI21" s="48">
        <v>0</v>
      </c>
      <c r="AJ21" s="48">
        <v>1.0098260247620201</v>
      </c>
      <c r="AK21" s="48">
        <v>0</v>
      </c>
      <c r="AL21" s="48">
        <v>0</v>
      </c>
      <c r="AM21" s="48">
        <v>0</v>
      </c>
      <c r="AN21" s="48">
        <v>59.412263728720802</v>
      </c>
      <c r="AO21" s="48">
        <v>9.2134837324594692</v>
      </c>
      <c r="AP21" s="48">
        <v>0</v>
      </c>
      <c r="AQ21" s="48">
        <v>21.966409274598501</v>
      </c>
      <c r="AR21" s="48">
        <v>17.856261671548001</v>
      </c>
      <c r="AS21" s="48">
        <v>1.34359181847498</v>
      </c>
      <c r="AT21" s="48">
        <v>0</v>
      </c>
      <c r="AU21" s="48">
        <v>178.604005442562</v>
      </c>
      <c r="AV21" s="48">
        <v>0</v>
      </c>
      <c r="AW21" s="48">
        <v>0</v>
      </c>
      <c r="AX21" s="48">
        <v>213.257485291687</v>
      </c>
      <c r="AY21" s="48">
        <v>-10.659671469430201</v>
      </c>
      <c r="AZ21" s="48">
        <v>0</v>
      </c>
      <c r="BA21" s="48">
        <v>18.171350828339399</v>
      </c>
      <c r="BB21" s="48">
        <v>0.51183101118214502</v>
      </c>
      <c r="BC21" s="48">
        <v>0</v>
      </c>
      <c r="BD21" s="48">
        <v>0</v>
      </c>
    </row>
    <row r="22" spans="1:56" ht="11.25" customHeight="1" x14ac:dyDescent="0.25">
      <c r="A22" s="109"/>
      <c r="B22" s="109"/>
      <c r="C22" s="109"/>
      <c r="D22" s="109"/>
      <c r="E22" s="109"/>
      <c r="F22" s="109"/>
      <c r="G22" s="52" t="s">
        <v>94</v>
      </c>
      <c r="H22" s="52" t="s">
        <v>82</v>
      </c>
      <c r="I22" s="52">
        <f>'MERCADO TUSD'!$U$19</f>
        <v>0</v>
      </c>
      <c r="J22" s="15"/>
      <c r="L22" s="48">
        <f>('TUSD BE'!$L$22+'TUSD BF'!$L$22+'TUSD CVA'!$L$22)*1</f>
        <v>0</v>
      </c>
      <c r="M22" s="48">
        <f>('TUSD BE'!$M$22+'TUSD BF'!$M$22+'TUSD CVA'!$M$22)*1</f>
        <v>0.78192502640401806</v>
      </c>
      <c r="N22" s="48">
        <f ca="1">('TUSD BE'!$N$22+'TUSD BF'!$N$22+'TUSD CVA'!$N$22)*1</f>
        <v>0</v>
      </c>
      <c r="O22" s="48">
        <f>('TUSD BE'!$O$22+'TUSD BF'!$O$22+'TUSD CVA'!$O$22)*1</f>
        <v>0</v>
      </c>
      <c r="P22" s="48">
        <f>('TUSD BE'!$P$22+'TUSD BF'!$P$22+'TUSD CVA'!$P$22)*1</f>
        <v>0</v>
      </c>
      <c r="Q22" s="48">
        <f>('TUSD BE'!$Q$22+'TUSD BF'!$Q$22+'TUSD CVA'!$Q$22)*1</f>
        <v>84.229733424798212</v>
      </c>
      <c r="R22" s="48">
        <f>('TUSD BE'!$R$22+'TUSD BF'!$R$22+'TUSD CVA'!$R$22)*1</f>
        <v>13.323441364471861</v>
      </c>
      <c r="S22" s="48">
        <f>('TUSD BE'!$S$22+'TUSD BF'!$S$22+'TUSD CVA'!$S$22)*1</f>
        <v>0</v>
      </c>
      <c r="T22" s="48">
        <f>('TUSD BE'!$U$22+'TUSD BF'!$U$22+'TUSD CVA'!$U$22)*1</f>
        <v>23.689239766593012</v>
      </c>
      <c r="U22" s="48">
        <f>('TUSD BE'!$V$22+'TUSD BF'!$V$22+'TUSD CVA'!$V$22)*1</f>
        <v>24.564708952610122</v>
      </c>
      <c r="V22" s="48">
        <f>('TUSD BE'!$W$22+'TUSD BF'!$W$22+'TUSD CVA'!$W$22)*1</f>
        <v>5.9536951762213732</v>
      </c>
      <c r="W22" s="48">
        <f>('TUSD BE'!$X$22+'TUSD BF'!$X$22+'TUSD CVA'!$X$22)*1</f>
        <v>0</v>
      </c>
      <c r="X22" s="48">
        <f>('TUSD BE'!$Y$22+'TUSD BF'!$Y$22+'TUSD CVA'!$Y$22)*1</f>
        <v>171.60254297205043</v>
      </c>
      <c r="Y22" s="48">
        <f>('TUSD BE'!$Z$22+'TUSD BF'!$Z$22+'TUSD CVA'!$Z$22)*1</f>
        <v>0</v>
      </c>
      <c r="Z22" s="48">
        <f>('TUSD BE'!$AA$22+'TUSD BF'!$AA$22+'TUSD CVA'!$AA$22)*1</f>
        <v>0</v>
      </c>
      <c r="AA22" s="48">
        <f>('TUSD BE'!$AC$22+'TUSD BF'!$AC$22+'TUSD CVA'!$AC$22)*1</f>
        <v>159.73062369954837</v>
      </c>
      <c r="AB22" s="48">
        <f ca="1">('TUSD BE'!$AE$22+'TUSD BF'!$AE$22+'TUSD CVA'!$AE$22)*1</f>
        <v>-2.1535542821632818</v>
      </c>
      <c r="AC22" s="48">
        <f ca="1">('TUSD BE'!$AF$22+'TUSD BF'!$AF$22+'TUSD CVA'!$AF$22)*1</f>
        <v>0</v>
      </c>
      <c r="AD22" s="48">
        <f>('TUSD BE'!$AH$22+'TUSD BF'!$AH$22+'TUSD CVA'!$AH$22)*1</f>
        <v>16.595642089258643</v>
      </c>
      <c r="AE22" s="48">
        <f>('TUSD BE'!$AI$22+'TUSD BF'!$AI$22+'TUSD CVA'!$AI$22)*1</f>
        <v>0.42652605217681322</v>
      </c>
      <c r="AF22" s="48">
        <f ca="1">('TUSD BE'!$AJ$22+'TUSD BF'!$AJ$22+'TUSD CVA'!$AJ$22)*1</f>
        <v>0</v>
      </c>
      <c r="AG22" s="48">
        <f ca="1">('TUSD BE'!$AK$22+'TUSD BF'!$AK$22+'TUSD CVA'!$AK$22)*1</f>
        <v>0</v>
      </c>
      <c r="AI22" s="48">
        <v>0</v>
      </c>
      <c r="AJ22" s="48">
        <v>1.0098260247620201</v>
      </c>
      <c r="AK22" s="48">
        <v>0</v>
      </c>
      <c r="AL22" s="48">
        <v>0</v>
      </c>
      <c r="AM22" s="48">
        <v>0</v>
      </c>
      <c r="AN22" s="48">
        <v>59.412263728720802</v>
      </c>
      <c r="AO22" s="48">
        <v>9.2134837324594692</v>
      </c>
      <c r="AP22" s="48">
        <v>0</v>
      </c>
      <c r="AQ22" s="48">
        <v>20.868107536176701</v>
      </c>
      <c r="AR22" s="48">
        <v>16.963442345351901</v>
      </c>
      <c r="AS22" s="48">
        <v>1.27647956426114</v>
      </c>
      <c r="AT22" s="48">
        <v>0</v>
      </c>
      <c r="AU22" s="48">
        <v>169.673880677753</v>
      </c>
      <c r="AV22" s="48">
        <v>0</v>
      </c>
      <c r="AW22" s="48">
        <v>0</v>
      </c>
      <c r="AX22" s="48">
        <v>202.59458470970401</v>
      </c>
      <c r="AY22" s="48">
        <v>-10.18533951257</v>
      </c>
      <c r="AZ22" s="48">
        <v>0</v>
      </c>
      <c r="BA22" s="48">
        <v>18.171350828339399</v>
      </c>
      <c r="BB22" s="48">
        <v>0.51183101118214502</v>
      </c>
      <c r="BC22" s="48">
        <v>0</v>
      </c>
      <c r="BD22" s="48">
        <v>0</v>
      </c>
    </row>
    <row r="23" spans="1:56" ht="11.25" customHeight="1" x14ac:dyDescent="0.25">
      <c r="A23" s="109"/>
      <c r="B23" s="109"/>
      <c r="C23" s="109"/>
      <c r="D23" s="109"/>
      <c r="E23" s="109"/>
      <c r="F23" s="109"/>
      <c r="G23" s="52" t="s">
        <v>84</v>
      </c>
      <c r="H23" s="52" t="s">
        <v>82</v>
      </c>
      <c r="I23" s="52">
        <f>'MERCADO TUSD'!$U$20</f>
        <v>0</v>
      </c>
      <c r="J23" s="15"/>
      <c r="L23" s="48">
        <f>('TUSD BE'!$L$23+'TUSD BF'!$L$23+'TUSD CVA'!$L$23)*1</f>
        <v>0</v>
      </c>
      <c r="M23" s="48">
        <f>('TUSD BE'!$M$23+'TUSD BF'!$M$23+'TUSD CVA'!$M$23)*1</f>
        <v>0.78192502640401806</v>
      </c>
      <c r="N23" s="48">
        <f ca="1">('TUSD BE'!$N$23+'TUSD BF'!$N$23+'TUSD CVA'!$N$23)*1</f>
        <v>0</v>
      </c>
      <c r="O23" s="48">
        <f>('TUSD BE'!$O$23+'TUSD BF'!$O$23+'TUSD CVA'!$O$23)*1</f>
        <v>0</v>
      </c>
      <c r="P23" s="48">
        <f>('TUSD BE'!$P$23+'TUSD BF'!$P$23+'TUSD CVA'!$P$23)*1</f>
        <v>0</v>
      </c>
      <c r="Q23" s="48">
        <f>('TUSD BE'!$Q$23+'TUSD BF'!$Q$23+'TUSD CVA'!$Q$23)*1</f>
        <v>84.229733424798212</v>
      </c>
      <c r="R23" s="48">
        <f>('TUSD BE'!$R$23+'TUSD BF'!$R$23+'TUSD CVA'!$R$23)*1</f>
        <v>13.323441364471861</v>
      </c>
      <c r="S23" s="48">
        <f>('TUSD BE'!$S$23+'TUSD BF'!$S$23+'TUSD CVA'!$S$23)*1</f>
        <v>0</v>
      </c>
      <c r="T23" s="48">
        <f>('TUSD BE'!$U$23+'TUSD BF'!$U$23+'TUSD CVA'!$U$23)*1</f>
        <v>8.3119126305648621</v>
      </c>
      <c r="U23" s="48">
        <f>('TUSD BE'!$V$23+'TUSD BF'!$V$23+'TUSD CVA'!$V$23)*1</f>
        <v>8.619189819730833</v>
      </c>
      <c r="V23" s="48">
        <f>('TUSD BE'!$W$23+'TUSD BF'!$W$23+'TUSD CVA'!$W$23)*1</f>
        <v>2.0888150019537273</v>
      </c>
      <c r="W23" s="48">
        <f>('TUSD BE'!$X$23+'TUSD BF'!$X$23+'TUSD CVA'!$X$23)*1</f>
        <v>0</v>
      </c>
      <c r="X23" s="48">
        <f>('TUSD BE'!$Y$23+'TUSD BF'!$Y$23+'TUSD CVA'!$Y$23)*1</f>
        <v>60.211281665578852</v>
      </c>
      <c r="Y23" s="48">
        <f>('TUSD BE'!$Z$23+'TUSD BF'!$Z$23+'TUSD CVA'!$Z$23)*1</f>
        <v>0</v>
      </c>
      <c r="Z23" s="48">
        <f>('TUSD BE'!$AA$23+'TUSD BF'!$AA$23+'TUSD CVA'!$AA$23)*1</f>
        <v>0</v>
      </c>
      <c r="AA23" s="48">
        <f>('TUSD BE'!$AC$23+'TUSD BF'!$AC$23+'TUSD CVA'!$AC$23)*1</f>
        <v>56.045850688012848</v>
      </c>
      <c r="AB23" s="48">
        <f ca="1">('TUSD BE'!$AE$23+'TUSD BF'!$AE$23+'TUSD CVA'!$AE$23)*1</f>
        <v>-0.98846897626283714</v>
      </c>
      <c r="AC23" s="48">
        <f ca="1">('TUSD BE'!$AF$23+'TUSD BF'!$AF$23+'TUSD CVA'!$AF$23)*1</f>
        <v>0</v>
      </c>
      <c r="AD23" s="48">
        <f>('TUSD BE'!$AH$23+'TUSD BF'!$AH$23+'TUSD CVA'!$AH$23)*1</f>
        <v>16.595642089258643</v>
      </c>
      <c r="AE23" s="48">
        <f>('TUSD BE'!$AI$23+'TUSD BF'!$AI$23+'TUSD CVA'!$AI$23)*1</f>
        <v>0.42652605217681322</v>
      </c>
      <c r="AF23" s="48">
        <f ca="1">('TUSD BE'!$AJ$23+'TUSD BF'!$AJ$23+'TUSD CVA'!$AJ$23)*1</f>
        <v>0</v>
      </c>
      <c r="AG23" s="48">
        <f ca="1">('TUSD BE'!$AK$23+'TUSD BF'!$AK$23+'TUSD CVA'!$AK$23)*1</f>
        <v>0</v>
      </c>
      <c r="AI23" s="48">
        <v>0</v>
      </c>
      <c r="AJ23" s="48">
        <v>1.0098260247620201</v>
      </c>
      <c r="AK23" s="48">
        <v>0</v>
      </c>
      <c r="AL23" s="48">
        <v>0</v>
      </c>
      <c r="AM23" s="48">
        <v>0</v>
      </c>
      <c r="AN23" s="48">
        <v>59.412263728720802</v>
      </c>
      <c r="AO23" s="48">
        <v>9.2134837324594692</v>
      </c>
      <c r="AP23" s="48">
        <v>0</v>
      </c>
      <c r="AQ23" s="48">
        <v>7.3220948130703798</v>
      </c>
      <c r="AR23" s="48">
        <v>5.9520872238493299</v>
      </c>
      <c r="AS23" s="48">
        <v>0.44790134877494397</v>
      </c>
      <c r="AT23" s="48">
        <v>0</v>
      </c>
      <c r="AU23" s="48">
        <v>59.534626532343403</v>
      </c>
      <c r="AV23" s="48">
        <v>0</v>
      </c>
      <c r="AW23" s="48">
        <v>0</v>
      </c>
      <c r="AX23" s="48">
        <v>71.085828430562302</v>
      </c>
      <c r="AY23" s="48">
        <v>-4.3352287383712502</v>
      </c>
      <c r="AZ23" s="48">
        <v>0</v>
      </c>
      <c r="BA23" s="48">
        <v>18.171350828339399</v>
      </c>
      <c r="BB23" s="48">
        <v>0.51183101118214502</v>
      </c>
      <c r="BC23" s="48">
        <v>0</v>
      </c>
      <c r="BD23" s="48">
        <v>0</v>
      </c>
    </row>
    <row r="24" spans="1:56" ht="11.25" customHeight="1" x14ac:dyDescent="0.25">
      <c r="A24" s="109"/>
      <c r="B24" s="109" t="s">
        <v>23</v>
      </c>
      <c r="C24" s="109" t="s">
        <v>24</v>
      </c>
      <c r="D24" s="51" t="s">
        <v>24</v>
      </c>
      <c r="E24" s="51" t="s">
        <v>25</v>
      </c>
      <c r="F24" s="51" t="s">
        <v>25</v>
      </c>
      <c r="G24" s="52" t="s">
        <v>88</v>
      </c>
      <c r="H24" s="52" t="s">
        <v>82</v>
      </c>
      <c r="I24" s="52">
        <f>'MERCADO TUSD'!$U$21</f>
        <v>24573.046999999999</v>
      </c>
      <c r="J24" s="15"/>
      <c r="L24" s="48">
        <f>('TUSD BE'!$L$24+'TUSD BF'!$L$24+'TUSD CVA'!$L$24)*1</f>
        <v>0</v>
      </c>
      <c r="M24" s="48">
        <f>('TUSD BE'!$M$24+'TUSD BF'!$M$24+'TUSD CVA'!$M$24)*1</f>
        <v>0.78192502640401806</v>
      </c>
      <c r="N24" s="48">
        <f ca="1">('TUSD BE'!$N$24+'TUSD BF'!$N$24+'TUSD CVA'!$N$24)*1</f>
        <v>0</v>
      </c>
      <c r="O24" s="48">
        <f>('TUSD BE'!$O$24+'TUSD BF'!$O$24+'TUSD CVA'!$O$24)*1</f>
        <v>0</v>
      </c>
      <c r="P24" s="48">
        <f>('TUSD BE'!$P$24+'TUSD BF'!$P$24+'TUSD CVA'!$P$24)*1</f>
        <v>0</v>
      </c>
      <c r="Q24" s="48">
        <f>('TUSD BE'!$Q$24+'TUSD BF'!$Q$24+'TUSD CVA'!$Q$24)*1</f>
        <v>84.229733424798212</v>
      </c>
      <c r="R24" s="48">
        <f>('TUSD BE'!$R$24+'TUSD BF'!$R$24+'TUSD CVA'!$R$24)*1</f>
        <v>13.323441364471861</v>
      </c>
      <c r="S24" s="48">
        <f>('TUSD BE'!$S$24+'TUSD BF'!$S$24+'TUSD CVA'!$S$24)*1</f>
        <v>0</v>
      </c>
      <c r="T24" s="48">
        <f>('TUSD BE'!$U$24+'TUSD BF'!$U$24+'TUSD CVA'!$U$24)*1</f>
        <v>10.936897664045233</v>
      </c>
      <c r="U24" s="48">
        <f>('TUSD BE'!$V$24+'TUSD BF'!$V$24+'TUSD CVA'!$V$24)*1</f>
        <v>11.341095972416083</v>
      </c>
      <c r="V24" s="48">
        <f>('TUSD BE'!$W$24+'TUSD BF'!$W$24+'TUSD CVA'!$W$24)*1</f>
        <v>2.7486599004283971</v>
      </c>
      <c r="W24" s="48">
        <f>('TUSD BE'!$X$24+'TUSD BF'!$X$24+'TUSD CVA'!$X$24)*1</f>
        <v>0</v>
      </c>
      <c r="X24" s="48">
        <f>('TUSD BE'!$Y$24+'TUSD BF'!$Y$24+'TUSD CVA'!$Y$24)*1</f>
        <v>79.22546122215887</v>
      </c>
      <c r="Y24" s="48">
        <f>('TUSD BE'!$Z$24+'TUSD BF'!$Z$24+'TUSD CVA'!$Z$24)*1</f>
        <v>0</v>
      </c>
      <c r="Z24" s="48">
        <f>('TUSD BE'!$AA$24+'TUSD BF'!$AA$24+'TUSD CVA'!$AA$24)*1</f>
        <v>0</v>
      </c>
      <c r="AA24" s="48">
        <f>('TUSD BE'!$AC$24+'TUSD BF'!$AC$24+'TUSD CVA'!$AC$24)*1</f>
        <v>73.744515717609659</v>
      </c>
      <c r="AB24" s="48">
        <f ca="1">('TUSD BE'!$AE$24+'TUSD BF'!$AE$24+'TUSD CVA'!$AE$24)*1</f>
        <v>-1.1873463423711526</v>
      </c>
      <c r="AC24" s="48">
        <f ca="1">('TUSD BE'!$AF$24+'TUSD BF'!$AF$24+'TUSD CVA'!$AF$24)*1</f>
        <v>0</v>
      </c>
      <c r="AD24" s="48">
        <f>('TUSD BE'!$AH$24+'TUSD BF'!$AH$24+'TUSD CVA'!$AH$24)*1</f>
        <v>16.595642089258643</v>
      </c>
      <c r="AE24" s="48">
        <f>('TUSD BE'!$AI$24+'TUSD BF'!$AI$24+'TUSD CVA'!$AI$24)*1</f>
        <v>0.42652605217681322</v>
      </c>
      <c r="AF24" s="48">
        <f ca="1">('TUSD BE'!$AJ$24+'TUSD BF'!$AJ$24+'TUSD CVA'!$AJ$24)*1</f>
        <v>0</v>
      </c>
      <c r="AG24" s="48">
        <f ca="1">('TUSD BE'!$AK$24+'TUSD BF'!$AK$24+'TUSD CVA'!$AK$24)*1</f>
        <v>0</v>
      </c>
      <c r="AI24" s="48">
        <v>0</v>
      </c>
      <c r="AJ24" s="48">
        <v>1.0098260247620201</v>
      </c>
      <c r="AK24" s="48">
        <v>0</v>
      </c>
      <c r="AL24" s="48">
        <v>0</v>
      </c>
      <c r="AM24" s="48">
        <v>0</v>
      </c>
      <c r="AN24" s="48">
        <v>59.412263728720802</v>
      </c>
      <c r="AO24" s="48">
        <v>9.2134837324594692</v>
      </c>
      <c r="AP24" s="48">
        <v>0</v>
      </c>
      <c r="AQ24" s="48">
        <v>9.6344206940418804</v>
      </c>
      <c r="AR24" s="48">
        <v>7.8317397138342599</v>
      </c>
      <c r="AS24" s="48">
        <v>0.58930843959339396</v>
      </c>
      <c r="AT24" s="48">
        <v>0</v>
      </c>
      <c r="AU24" s="48">
        <v>78.335068028223304</v>
      </c>
      <c r="AV24" s="48">
        <v>0</v>
      </c>
      <c r="AW24" s="48">
        <v>0</v>
      </c>
      <c r="AX24" s="48">
        <v>93.533994850700793</v>
      </c>
      <c r="AY24" s="48">
        <v>-5.3338265458029799</v>
      </c>
      <c r="AZ24" s="48">
        <v>0</v>
      </c>
      <c r="BA24" s="48">
        <v>18.171350828339399</v>
      </c>
      <c r="BB24" s="48">
        <v>0.51183101118214502</v>
      </c>
      <c r="BC24" s="48">
        <v>0</v>
      </c>
      <c r="BD24" s="48">
        <v>0</v>
      </c>
    </row>
    <row r="25" spans="1:56" ht="11.25" customHeight="1" x14ac:dyDescent="0.25">
      <c r="A25" s="109"/>
      <c r="B25" s="109"/>
      <c r="C25" s="109"/>
      <c r="D25" s="51" t="s">
        <v>29</v>
      </c>
      <c r="E25" s="51" t="s">
        <v>25</v>
      </c>
      <c r="F25" s="51" t="s">
        <v>25</v>
      </c>
      <c r="G25" s="52" t="s">
        <v>88</v>
      </c>
      <c r="H25" s="52" t="s">
        <v>82</v>
      </c>
      <c r="I25" s="52">
        <f>'MERCADO TUSD'!$U$22</f>
        <v>175.73700000000002</v>
      </c>
      <c r="J25" s="15"/>
      <c r="L25" s="48">
        <f>('TUSD BE'!$L$25+'TUSD BF'!$L$25+'TUSD CVA'!$L$25)*(1 - 0.65)</f>
        <v>0</v>
      </c>
      <c r="M25" s="48">
        <f>('TUSD BE'!$M$25+'TUSD BF'!$M$25+'TUSD CVA'!$M$25)*(1 - 0.65)</f>
        <v>0.2736737592414063</v>
      </c>
      <c r="N25" s="48">
        <f ca="1">('TUSD BE'!$N$25+'TUSD BF'!$N$25+'TUSD CVA'!$N$25)*(1 - 0.65)</f>
        <v>0</v>
      </c>
      <c r="O25" s="48">
        <f>('TUSD BE'!$O$25+'TUSD BF'!$O$25+'TUSD CVA'!$O$25)*(1 - 0.65)</f>
        <v>0</v>
      </c>
      <c r="P25" s="48">
        <v>0</v>
      </c>
      <c r="Q25" s="48">
        <f>('TUSD BE'!$Q$25+'TUSD BF'!$Q$25+'TUSD CVA'!$Q$25)*(1 - 0.65)</f>
        <v>0</v>
      </c>
      <c r="R25" s="48">
        <v>0</v>
      </c>
      <c r="S25" s="48">
        <f>('TUSD BE'!$S$25+'TUSD BF'!$S$25+'TUSD CVA'!$S$25)*(1 - 0.65)</f>
        <v>0</v>
      </c>
      <c r="T25" s="48">
        <f>('TUSD BE'!$U$25+'TUSD BF'!$U$25+'TUSD CVA'!$U$25)*(1 - 0.65)</f>
        <v>3.8279141824158311</v>
      </c>
      <c r="U25" s="48">
        <f>('TUSD BE'!$V$25+'TUSD BF'!$V$25+'TUSD CVA'!$V$25)*(1 - 0.65)</f>
        <v>3.9693835903456289</v>
      </c>
      <c r="V25" s="48">
        <f>('TUSD BE'!$W$25+'TUSD BF'!$W$25+'TUSD CVA'!$W$25)*(1 - 0.65)</f>
        <v>0.96203096514993891</v>
      </c>
      <c r="W25" s="48">
        <f>('TUSD BE'!$X$25+'TUSD BF'!$X$25+'TUSD CVA'!$X$25)*(1 - 0.65)</f>
        <v>0</v>
      </c>
      <c r="X25" s="48">
        <f>('TUSD BE'!$Y$25+'TUSD BF'!$Y$25+'TUSD CVA'!$Y$25)*(1 - 0.65)</f>
        <v>27.728911427755602</v>
      </c>
      <c r="Y25" s="48">
        <f>('TUSD BE'!$Z$25+'TUSD BF'!$Z$25+'TUSD CVA'!$Z$25)*(1 - 0.65)</f>
        <v>0</v>
      </c>
      <c r="Z25" s="48">
        <f>('TUSD BE'!$AA$25+'TUSD BF'!$AA$25+'TUSD CVA'!$AA$25)*(1 - 0.65)</f>
        <v>0</v>
      </c>
      <c r="AA25" s="48">
        <f>('TUSD BE'!$AC$25+'TUSD BF'!$AC$25+'TUSD CVA'!$AC$25)*(1 - 0.65)</f>
        <v>25.810580501163379</v>
      </c>
      <c r="AB25" s="48">
        <f ca="1">('TUSD BE'!$AE$25+'TUSD BF'!$AE$25+'TUSD CVA'!$AE$25)*(1 - 0.65)</f>
        <v>-0.30902555525660763</v>
      </c>
      <c r="AC25" s="48">
        <f ca="1">('TUSD BE'!$AF$25+'TUSD BF'!$AF$25+'TUSD CVA'!$AF$25)*(1 - 0.65)</f>
        <v>0</v>
      </c>
      <c r="AD25" s="48">
        <f>('TUSD BE'!$AH$25+'TUSD BF'!$AH$25+'TUSD CVA'!$AH$25)*(1 - 0.65)</f>
        <v>5.8084747312405245</v>
      </c>
      <c r="AE25" s="48">
        <f>('TUSD BE'!$AI$25+'TUSD BF'!$AI$25+'TUSD CVA'!$AI$25)*(1 - 0.65)</f>
        <v>0.14928411826188462</v>
      </c>
      <c r="AF25" s="48">
        <f ca="1">('TUSD BE'!$AJ$25+'TUSD BF'!$AJ$25+'TUSD CVA'!$AJ$25)*(1 - 0.65)</f>
        <v>0</v>
      </c>
      <c r="AG25" s="48">
        <f ca="1">('TUSD BE'!$AK$25+'TUSD BF'!$AK$25+'TUSD CVA'!$AK$25)*(1 - 0.65)</f>
        <v>0</v>
      </c>
      <c r="AI25" s="48">
        <v>0</v>
      </c>
      <c r="AJ25" s="48">
        <v>0.35343910866670802</v>
      </c>
      <c r="AK25" s="48">
        <v>0</v>
      </c>
      <c r="AL25" s="48">
        <v>0</v>
      </c>
      <c r="AM25" s="48">
        <v>0</v>
      </c>
      <c r="AN25" s="48">
        <v>0</v>
      </c>
      <c r="AO25" s="48">
        <v>0</v>
      </c>
      <c r="AP25" s="48">
        <v>0</v>
      </c>
      <c r="AQ25" s="48">
        <v>3.3720472429146602</v>
      </c>
      <c r="AR25" s="48">
        <v>2.7411088998419899</v>
      </c>
      <c r="AS25" s="48">
        <v>0.206257953857688</v>
      </c>
      <c r="AT25" s="48">
        <v>0</v>
      </c>
      <c r="AU25" s="48">
        <v>27.4172738098781</v>
      </c>
      <c r="AV25" s="48">
        <v>0</v>
      </c>
      <c r="AW25" s="48">
        <v>0</v>
      </c>
      <c r="AX25" s="48">
        <v>32.736898197745298</v>
      </c>
      <c r="AY25" s="48">
        <v>-1.5389924534269099</v>
      </c>
      <c r="AZ25" s="48">
        <v>0</v>
      </c>
      <c r="BA25" s="48">
        <v>6.3599727899187899</v>
      </c>
      <c r="BB25" s="48">
        <v>0.17914085391375101</v>
      </c>
      <c r="BC25" s="48">
        <v>0</v>
      </c>
      <c r="BD25" s="48">
        <v>0</v>
      </c>
    </row>
    <row r="26" spans="1:56" ht="11.25" customHeight="1" x14ac:dyDescent="0.25">
      <c r="A26" s="109"/>
      <c r="B26" s="109"/>
      <c r="C26" s="109"/>
      <c r="D26" s="51" t="s">
        <v>30</v>
      </c>
      <c r="E26" s="51" t="s">
        <v>25</v>
      </c>
      <c r="F26" s="51" t="s">
        <v>25</v>
      </c>
      <c r="G26" s="52" t="s">
        <v>88</v>
      </c>
      <c r="H26" s="52" t="s">
        <v>82</v>
      </c>
      <c r="I26" s="52">
        <f>'MERCADO TUSD'!$U$23</f>
        <v>60.123000000000005</v>
      </c>
      <c r="J26" s="15"/>
      <c r="L26" s="48">
        <f>('TUSD BE'!$L$26+'TUSD BF'!$L$26+'TUSD CVA'!$L$26)*(1 - 0.4)</f>
        <v>0</v>
      </c>
      <c r="M26" s="48">
        <f>('TUSD BE'!$M$26+'TUSD BF'!$M$26+'TUSD CVA'!$M$26)*(1 - 0.4)</f>
        <v>0.46915501584241082</v>
      </c>
      <c r="N26" s="48">
        <f ca="1">('TUSD BE'!$N$26+'TUSD BF'!$N$26+'TUSD CVA'!$N$26)*(1 - 0.4)</f>
        <v>0</v>
      </c>
      <c r="O26" s="48">
        <f>('TUSD BE'!$O$26+'TUSD BF'!$O$26+'TUSD CVA'!$O$26)*(1 - 0.4)</f>
        <v>0</v>
      </c>
      <c r="P26" s="48">
        <v>0</v>
      </c>
      <c r="Q26" s="48">
        <f>('TUSD BE'!$Q$26+'TUSD BF'!$Q$26+'TUSD CVA'!$Q$26)*(1 - 0.4)</f>
        <v>0</v>
      </c>
      <c r="R26" s="48">
        <v>0</v>
      </c>
      <c r="S26" s="48">
        <f>('TUSD BE'!$S$26+'TUSD BF'!$S$26+'TUSD CVA'!$S$26)*(1 - 0.4)</f>
        <v>0</v>
      </c>
      <c r="T26" s="48">
        <f>('TUSD BE'!$U$26+'TUSD BF'!$U$26+'TUSD CVA'!$U$26)*(1 - 0.4)</f>
        <v>6.5621385984271399</v>
      </c>
      <c r="U26" s="48">
        <f>('TUSD BE'!$V$26+'TUSD BF'!$V$26+'TUSD CVA'!$V$26)*(1 - 0.4)</f>
        <v>6.8046575834496492</v>
      </c>
      <c r="V26" s="48">
        <f>('TUSD BE'!$W$26+'TUSD BF'!$W$26+'TUSD CVA'!$W$26)*(1 - 0.4)</f>
        <v>1.6491959402570382</v>
      </c>
      <c r="W26" s="48">
        <f>('TUSD BE'!$X$26+'TUSD BF'!$X$26+'TUSD CVA'!$X$26)*(1 - 0.4)</f>
        <v>0</v>
      </c>
      <c r="X26" s="48">
        <f>('TUSD BE'!$Y$26+'TUSD BF'!$Y$26+'TUSD CVA'!$Y$26)*(1 - 0.4)</f>
        <v>47.535276733295319</v>
      </c>
      <c r="Y26" s="48">
        <f>('TUSD BE'!$Z$26+'TUSD BF'!$Z$26+'TUSD CVA'!$Z$26)*(1 - 0.4)</f>
        <v>0</v>
      </c>
      <c r="Z26" s="48">
        <f>('TUSD BE'!$AA$26+'TUSD BF'!$AA$26+'TUSD CVA'!$AA$26)*(1 - 0.4)</f>
        <v>0</v>
      </c>
      <c r="AA26" s="48">
        <f>('TUSD BE'!$AC$26+'TUSD BF'!$AC$26+'TUSD CVA'!$AC$26)*(1 - 0.4)</f>
        <v>44.246709430565794</v>
      </c>
      <c r="AB26" s="48">
        <f ca="1">('TUSD BE'!$AE$26+'TUSD BF'!$AE$26+'TUSD CVA'!$AE$26)*(1 - 0.4)</f>
        <v>-0.52975809472561308</v>
      </c>
      <c r="AC26" s="48">
        <f ca="1">('TUSD BE'!$AF$26+'TUSD BF'!$AF$26+'TUSD CVA'!$AF$26)*(1 - 0.4)</f>
        <v>0</v>
      </c>
      <c r="AD26" s="48">
        <f>('TUSD BE'!$AH$26+'TUSD BF'!$AH$26+'TUSD CVA'!$AH$26)*(1 - 0.4)</f>
        <v>9.9573852535551861</v>
      </c>
      <c r="AE26" s="48">
        <f>('TUSD BE'!$AI$26+'TUSD BF'!$AI$26+'TUSD CVA'!$AI$26)*(1 - 0.4)</f>
        <v>0.25591563130608791</v>
      </c>
      <c r="AF26" s="48">
        <f ca="1">('TUSD BE'!$AJ$26+'TUSD BF'!$AJ$26+'TUSD CVA'!$AJ$26)*(1 - 0.4)</f>
        <v>0</v>
      </c>
      <c r="AG26" s="48">
        <f ca="1">('TUSD BE'!$AK$26+'TUSD BF'!$AK$26+'TUSD CVA'!$AK$26)*(1 - 0.4)</f>
        <v>0</v>
      </c>
      <c r="AI26" s="48">
        <v>0</v>
      </c>
      <c r="AJ26" s="48">
        <v>0.60589561485721299</v>
      </c>
      <c r="AK26" s="48">
        <v>0</v>
      </c>
      <c r="AL26" s="48">
        <v>0</v>
      </c>
      <c r="AM26" s="48">
        <v>0</v>
      </c>
      <c r="AN26" s="48">
        <v>0</v>
      </c>
      <c r="AO26" s="48">
        <v>0</v>
      </c>
      <c r="AP26" s="48">
        <v>0</v>
      </c>
      <c r="AQ26" s="48">
        <v>5.7806524164251298</v>
      </c>
      <c r="AR26" s="48">
        <v>4.6990438283005496</v>
      </c>
      <c r="AS26" s="48">
        <v>0.35358506375603599</v>
      </c>
      <c r="AT26" s="48">
        <v>0</v>
      </c>
      <c r="AU26" s="48">
        <v>47.001040816934001</v>
      </c>
      <c r="AV26" s="48">
        <v>0</v>
      </c>
      <c r="AW26" s="48">
        <v>0</v>
      </c>
      <c r="AX26" s="48">
        <v>56.120396910420503</v>
      </c>
      <c r="AY26" s="48">
        <v>-2.6382727773032801</v>
      </c>
      <c r="AZ26" s="48">
        <v>0</v>
      </c>
      <c r="BA26" s="48">
        <v>10.9028104970036</v>
      </c>
      <c r="BB26" s="48">
        <v>0.30709860670928701</v>
      </c>
      <c r="BC26" s="48">
        <v>0</v>
      </c>
      <c r="BD26" s="48">
        <v>0</v>
      </c>
    </row>
    <row r="27" spans="1:56" ht="11.25" customHeight="1" x14ac:dyDescent="0.25">
      <c r="A27" s="109"/>
      <c r="B27" s="109"/>
      <c r="C27" s="109"/>
      <c r="D27" s="51" t="s">
        <v>31</v>
      </c>
      <c r="E27" s="51" t="s">
        <v>25</v>
      </c>
      <c r="F27" s="51" t="s">
        <v>25</v>
      </c>
      <c r="G27" s="52" t="s">
        <v>88</v>
      </c>
      <c r="H27" s="52" t="s">
        <v>82</v>
      </c>
      <c r="I27" s="52">
        <f>'MERCADO TUSD'!$U$24</f>
        <v>463.43299999999999</v>
      </c>
      <c r="J27" s="15"/>
      <c r="L27" s="48">
        <f>('TUSD BE'!$L$27+'TUSD BF'!$L$27+'TUSD CVA'!$L$27)*(1 - 0.1)</f>
        <v>0</v>
      </c>
      <c r="M27" s="48">
        <f>('TUSD BE'!$M$27+'TUSD BF'!$M$27+'TUSD CVA'!$M$27)*(1 - 0.1)</f>
        <v>0.70373252376361628</v>
      </c>
      <c r="N27" s="48">
        <f ca="1">('TUSD BE'!$N$27+'TUSD BF'!$N$27+'TUSD CVA'!$N$27)*(1 - 0.1)</f>
        <v>0</v>
      </c>
      <c r="O27" s="48">
        <f>('TUSD BE'!$O$27+'TUSD BF'!$O$27+'TUSD CVA'!$O$27)*(1 - 0.1)</f>
        <v>0</v>
      </c>
      <c r="P27" s="48">
        <v>0</v>
      </c>
      <c r="Q27" s="48">
        <f>('TUSD BE'!$Q$27+'TUSD BF'!$Q$27+'TUSD CVA'!$Q$27)*(1 - 0.1)</f>
        <v>0</v>
      </c>
      <c r="R27" s="48">
        <v>0</v>
      </c>
      <c r="S27" s="48">
        <f>('TUSD BE'!$S$27+'TUSD BF'!$S$27+'TUSD CVA'!$S$27)*(1 - 0.1)</f>
        <v>0</v>
      </c>
      <c r="T27" s="48">
        <f>('TUSD BE'!$U$27+'TUSD BF'!$U$27+'TUSD CVA'!$U$27)*(1 - 0.1)</f>
        <v>9.8432078976407098</v>
      </c>
      <c r="U27" s="48">
        <f>('TUSD BE'!$V$27+'TUSD BF'!$V$27+'TUSD CVA'!$V$27)*(1 - 0.1)</f>
        <v>10.206986375174475</v>
      </c>
      <c r="V27" s="48">
        <f>('TUSD BE'!$W$27+'TUSD BF'!$W$27+'TUSD CVA'!$W$27)*(1 - 0.1)</f>
        <v>2.4737939103855573</v>
      </c>
      <c r="W27" s="48">
        <f>('TUSD BE'!$X$27+'TUSD BF'!$X$27+'TUSD CVA'!$X$27)*(1 - 0.1)</f>
        <v>0</v>
      </c>
      <c r="X27" s="48">
        <f>('TUSD BE'!$Y$27+'TUSD BF'!$Y$27+'TUSD CVA'!$Y$27)*(1 - 0.1)</f>
        <v>71.302915099942979</v>
      </c>
      <c r="Y27" s="48">
        <f>('TUSD BE'!$Z$27+'TUSD BF'!$Z$27+'TUSD CVA'!$Z$27)*(1 - 0.1)</f>
        <v>0</v>
      </c>
      <c r="Z27" s="48">
        <f>('TUSD BE'!$AA$27+'TUSD BF'!$AA$27+'TUSD CVA'!$AA$27)*(1 - 0.1)</f>
        <v>0</v>
      </c>
      <c r="AA27" s="48">
        <f>('TUSD BE'!$AC$27+'TUSD BF'!$AC$27+'TUSD CVA'!$AC$27)*(1 - 0.1)</f>
        <v>66.370064145848701</v>
      </c>
      <c r="AB27" s="48">
        <f ca="1">('TUSD BE'!$AE$27+'TUSD BF'!$AE$27+'TUSD CVA'!$AE$27)*(1 - 0.1)</f>
        <v>-0.79463714208841973</v>
      </c>
      <c r="AC27" s="48">
        <f ca="1">('TUSD BE'!$AF$27+'TUSD BF'!$AF$27+'TUSD CVA'!$AF$27)*(1 - 0.1)</f>
        <v>0</v>
      </c>
      <c r="AD27" s="48">
        <f>('TUSD BE'!$AH$27+'TUSD BF'!$AH$27+'TUSD CVA'!$AH$27)*(1 - 0.1)</f>
        <v>14.936077880332778</v>
      </c>
      <c r="AE27" s="48">
        <f>('TUSD BE'!$AI$27+'TUSD BF'!$AI$27+'TUSD CVA'!$AI$27)*(1 - 0.1)</f>
        <v>0.38387344695913189</v>
      </c>
      <c r="AF27" s="48">
        <f ca="1">('TUSD BE'!$AJ$27+'TUSD BF'!$AJ$27+'TUSD CVA'!$AJ$27)*(1 - 0.1)</f>
        <v>0</v>
      </c>
      <c r="AG27" s="48">
        <f ca="1">('TUSD BE'!$AK$27+'TUSD BF'!$AK$27+'TUSD CVA'!$AK$27)*(1 - 0.1)</f>
        <v>0</v>
      </c>
      <c r="AI27" s="48">
        <v>0</v>
      </c>
      <c r="AJ27" s="48">
        <v>0.90884342228582005</v>
      </c>
      <c r="AK27" s="48">
        <v>0</v>
      </c>
      <c r="AL27" s="48">
        <v>0</v>
      </c>
      <c r="AM27" s="48">
        <v>0</v>
      </c>
      <c r="AN27" s="48">
        <v>0</v>
      </c>
      <c r="AO27" s="48">
        <v>0</v>
      </c>
      <c r="AP27" s="48">
        <v>0</v>
      </c>
      <c r="AQ27" s="48">
        <v>8.6709786246376908</v>
      </c>
      <c r="AR27" s="48">
        <v>7.0485657424508297</v>
      </c>
      <c r="AS27" s="48">
        <v>0.53037759563405396</v>
      </c>
      <c r="AT27" s="48">
        <v>0</v>
      </c>
      <c r="AU27" s="48">
        <v>70.501561225400906</v>
      </c>
      <c r="AV27" s="48">
        <v>0</v>
      </c>
      <c r="AW27" s="48">
        <v>0</v>
      </c>
      <c r="AX27" s="48">
        <v>84.180595365630793</v>
      </c>
      <c r="AY27" s="48">
        <v>-3.95740916595491</v>
      </c>
      <c r="AZ27" s="48">
        <v>0</v>
      </c>
      <c r="BA27" s="48">
        <v>16.354215745505499</v>
      </c>
      <c r="BB27" s="48">
        <v>0.46064791006393102</v>
      </c>
      <c r="BC27" s="48">
        <v>0</v>
      </c>
      <c r="BD27" s="48">
        <v>0</v>
      </c>
    </row>
    <row r="28" spans="1:56" ht="11.25" customHeight="1" x14ac:dyDescent="0.25">
      <c r="A28" s="109"/>
      <c r="B28" s="109"/>
      <c r="C28" s="109"/>
      <c r="D28" s="51" t="s">
        <v>32</v>
      </c>
      <c r="E28" s="51" t="s">
        <v>25</v>
      </c>
      <c r="F28" s="51" t="s">
        <v>25</v>
      </c>
      <c r="G28" s="52" t="s">
        <v>88</v>
      </c>
      <c r="H28" s="52" t="s">
        <v>82</v>
      </c>
      <c r="I28" s="52">
        <f>'MERCADO TUSD'!$U$25</f>
        <v>303.64100000000002</v>
      </c>
      <c r="J28" s="15"/>
      <c r="L28" s="48">
        <f>('TUSD BE'!$L$28+'TUSD BF'!$L$28+'TUSD CVA'!$L$28)*1</f>
        <v>0</v>
      </c>
      <c r="M28" s="48">
        <f>('TUSD BE'!$M$28+'TUSD BF'!$M$28+'TUSD CVA'!$M$28)*1</f>
        <v>0.78192502640401806</v>
      </c>
      <c r="N28" s="48">
        <f ca="1">('TUSD BE'!$N$28+'TUSD BF'!$N$28+'TUSD CVA'!$N$28)*1</f>
        <v>0</v>
      </c>
      <c r="O28" s="48">
        <f>('TUSD BE'!$O$28+'TUSD BF'!$O$28+'TUSD CVA'!$O$28)*1</f>
        <v>0</v>
      </c>
      <c r="P28" s="48">
        <v>0</v>
      </c>
      <c r="Q28" s="48">
        <f>('TUSD BE'!$Q$28+'TUSD BF'!$Q$28+'TUSD CVA'!$Q$28)*1</f>
        <v>0</v>
      </c>
      <c r="R28" s="48">
        <v>0</v>
      </c>
      <c r="S28" s="48">
        <f>('TUSD BE'!$S$28+'TUSD BF'!$S$28+'TUSD CVA'!$S$28)*1</f>
        <v>0</v>
      </c>
      <c r="T28" s="48">
        <f>('TUSD BE'!$U$28+'TUSD BF'!$U$28+'TUSD CVA'!$U$28)*1</f>
        <v>10.936897664045233</v>
      </c>
      <c r="U28" s="48">
        <f>('TUSD BE'!$V$28+'TUSD BF'!$V$28+'TUSD CVA'!$V$28)*1</f>
        <v>11.341095972416083</v>
      </c>
      <c r="V28" s="48">
        <f>('TUSD BE'!$W$28+'TUSD BF'!$W$28+'TUSD CVA'!$W$28)*1</f>
        <v>2.7486599004283971</v>
      </c>
      <c r="W28" s="48">
        <f>('TUSD BE'!$X$28+'TUSD BF'!$X$28+'TUSD CVA'!$X$28)*1</f>
        <v>0</v>
      </c>
      <c r="X28" s="48">
        <f>('TUSD BE'!$Y$28+'TUSD BF'!$Y$28+'TUSD CVA'!$Y$28)*1</f>
        <v>79.22546122215887</v>
      </c>
      <c r="Y28" s="48">
        <f>('TUSD BE'!$Z$28+'TUSD BF'!$Z$28+'TUSD CVA'!$Z$28)*1</f>
        <v>0</v>
      </c>
      <c r="Z28" s="48">
        <f>('TUSD BE'!$AA$28+'TUSD BF'!$AA$28+'TUSD CVA'!$AA$28)*1</f>
        <v>0</v>
      </c>
      <c r="AA28" s="48">
        <f>('TUSD BE'!$AC$28+'TUSD BF'!$AC$28+'TUSD CVA'!$AC$28)*1</f>
        <v>73.744515717609659</v>
      </c>
      <c r="AB28" s="48">
        <f ca="1">('TUSD BE'!$AE$28+'TUSD BF'!$AE$28+'TUSD CVA'!$AE$28)*1</f>
        <v>-0.88293015787602191</v>
      </c>
      <c r="AC28" s="48">
        <f ca="1">('TUSD BE'!$AF$28+'TUSD BF'!$AF$28+'TUSD CVA'!$AF$28)*1</f>
        <v>0</v>
      </c>
      <c r="AD28" s="48">
        <f>('TUSD BE'!$AH$28+'TUSD BF'!$AH$28+'TUSD CVA'!$AH$28)*1</f>
        <v>16.595642089258643</v>
      </c>
      <c r="AE28" s="48">
        <f>('TUSD BE'!$AI$28+'TUSD BF'!$AI$28+'TUSD CVA'!$AI$28)*1</f>
        <v>0.42652605217681322</v>
      </c>
      <c r="AF28" s="48">
        <f ca="1">('TUSD BE'!$AJ$28+'TUSD BF'!$AJ$28+'TUSD CVA'!$AJ$28)*1</f>
        <v>0</v>
      </c>
      <c r="AG28" s="48">
        <f ca="1">('TUSD BE'!$AK$28+'TUSD BF'!$AK$28+'TUSD CVA'!$AK$28)*1</f>
        <v>0</v>
      </c>
      <c r="AI28" s="48">
        <v>0</v>
      </c>
      <c r="AJ28" s="48">
        <v>1.0098260247620201</v>
      </c>
      <c r="AK28" s="48">
        <v>0</v>
      </c>
      <c r="AL28" s="48">
        <v>0</v>
      </c>
      <c r="AM28" s="48">
        <v>0</v>
      </c>
      <c r="AN28" s="48">
        <v>0</v>
      </c>
      <c r="AO28" s="48">
        <v>0</v>
      </c>
      <c r="AP28" s="48">
        <v>0</v>
      </c>
      <c r="AQ28" s="48">
        <v>9.6344206940418804</v>
      </c>
      <c r="AR28" s="48">
        <v>7.8317397138342599</v>
      </c>
      <c r="AS28" s="48">
        <v>0.58930843959339396</v>
      </c>
      <c r="AT28" s="48">
        <v>0</v>
      </c>
      <c r="AU28" s="48">
        <v>78.335068028223304</v>
      </c>
      <c r="AV28" s="48">
        <v>0</v>
      </c>
      <c r="AW28" s="48">
        <v>0</v>
      </c>
      <c r="AX28" s="48">
        <v>93.533994850700793</v>
      </c>
      <c r="AY28" s="48">
        <v>-4.3971212955054604</v>
      </c>
      <c r="AZ28" s="48">
        <v>0</v>
      </c>
      <c r="BA28" s="48">
        <v>18.171350828339399</v>
      </c>
      <c r="BB28" s="48">
        <v>0.51183101118214502</v>
      </c>
      <c r="BC28" s="48">
        <v>0</v>
      </c>
      <c r="BD28" s="48">
        <v>0</v>
      </c>
    </row>
    <row r="29" spans="1:56" ht="11.25" customHeight="1" x14ac:dyDescent="0.25">
      <c r="A29" s="109"/>
      <c r="B29" s="109" t="s">
        <v>97</v>
      </c>
      <c r="C29" s="109" t="s">
        <v>24</v>
      </c>
      <c r="D29" s="51" t="s">
        <v>24</v>
      </c>
      <c r="E29" s="51" t="s">
        <v>25</v>
      </c>
      <c r="F29" s="51" t="s">
        <v>25</v>
      </c>
      <c r="G29" s="52" t="s">
        <v>88</v>
      </c>
      <c r="H29" s="52" t="s">
        <v>82</v>
      </c>
      <c r="I29" s="52">
        <f>'MERCADO TUSD'!$U$26</f>
        <v>0</v>
      </c>
      <c r="J29" s="15"/>
      <c r="L29" s="48">
        <f>('TUSD BE'!$L$29+'TUSD BF'!$L$29+'TUSD CVA'!$L$29)*1</f>
        <v>0</v>
      </c>
      <c r="M29" s="48">
        <f>('TUSD BE'!$M$29+'TUSD BF'!$M$29+'TUSD CVA'!$M$29)*1</f>
        <v>0.78192502640401806</v>
      </c>
      <c r="N29" s="48">
        <f ca="1">('TUSD BE'!$N$29+'TUSD BF'!$N$29+'TUSD CVA'!$N$29)*1</f>
        <v>0</v>
      </c>
      <c r="O29" s="48">
        <f>('TUSD BE'!$O$29+'TUSD BF'!$O$29+'TUSD CVA'!$O$29)*1</f>
        <v>0</v>
      </c>
      <c r="P29" s="48">
        <f>('TUSD BE'!$P$29+'TUSD BF'!$P$29+'TUSD CVA'!$P$29)*1</f>
        <v>0</v>
      </c>
      <c r="Q29" s="48">
        <f>('TUSD BE'!$Q$29+'TUSD BF'!$Q$29+'TUSD CVA'!$Q$29)*1</f>
        <v>84.229733424798212</v>
      </c>
      <c r="R29" s="48">
        <f>('TUSD BE'!$R$29+'TUSD BF'!$R$29+'TUSD CVA'!$R$29)*1</f>
        <v>13.323441364471861</v>
      </c>
      <c r="S29" s="48">
        <f>('TUSD BE'!$S$29+'TUSD BF'!$S$29+'TUSD CVA'!$S$29)*1</f>
        <v>0</v>
      </c>
      <c r="T29" s="48">
        <f>('TUSD BE'!$U$29+'TUSD BF'!$U$29+'TUSD CVA'!$U$29)*1</f>
        <v>10.936897664045233</v>
      </c>
      <c r="U29" s="48">
        <f>('TUSD BE'!$V$29+'TUSD BF'!$V$29+'TUSD CVA'!$V$29)*1</f>
        <v>11.341095972416083</v>
      </c>
      <c r="V29" s="48">
        <f>('TUSD BE'!$W$29+'TUSD BF'!$W$29+'TUSD CVA'!$W$29)*1</f>
        <v>2.7486599004283971</v>
      </c>
      <c r="W29" s="48">
        <f>('TUSD BE'!$X$29+'TUSD BF'!$X$29+'TUSD CVA'!$X$29)*1</f>
        <v>0</v>
      </c>
      <c r="X29" s="48">
        <f>('TUSD BE'!$Y$29+'TUSD BF'!$Y$29+'TUSD CVA'!$Y$29)*1</f>
        <v>79.22546122215887</v>
      </c>
      <c r="Y29" s="48">
        <f>('TUSD BE'!$Z$29+'TUSD BF'!$Z$29+'TUSD CVA'!$Z$29)*1</f>
        <v>0</v>
      </c>
      <c r="Z29" s="48">
        <f>('TUSD BE'!$AA$29+'TUSD BF'!$AA$29+'TUSD CVA'!$AA$29)*1</f>
        <v>0</v>
      </c>
      <c r="AA29" s="48">
        <f>('TUSD BE'!$AC$29+'TUSD BF'!$AC$29+'TUSD CVA'!$AC$29)*1</f>
        <v>73.744515717609659</v>
      </c>
      <c r="AB29" s="48">
        <f ca="1">('TUSD BE'!$AE$29+'TUSD BF'!$AE$29+'TUSD CVA'!$AE$29)*1</f>
        <v>-1.1873463423711526</v>
      </c>
      <c r="AC29" s="48">
        <f ca="1">('TUSD BE'!$AF$29+'TUSD BF'!$AF$29+'TUSD CVA'!$AF$29)*1</f>
        <v>0</v>
      </c>
      <c r="AD29" s="48">
        <f>('TUSD BE'!$AH$29+'TUSD BF'!$AH$29+'TUSD CVA'!$AH$29)*1</f>
        <v>16.595642089258643</v>
      </c>
      <c r="AE29" s="48">
        <f>('TUSD BE'!$AI$29+'TUSD BF'!$AI$29+'TUSD CVA'!$AI$29)*1</f>
        <v>0.42652605217681322</v>
      </c>
      <c r="AF29" s="48">
        <f ca="1">('TUSD BE'!$AJ$29+'TUSD BF'!$AJ$29+'TUSD CVA'!$AJ$29)*1</f>
        <v>0</v>
      </c>
      <c r="AG29" s="48">
        <f ca="1">('TUSD BE'!$AK$29+'TUSD BF'!$AK$29+'TUSD CVA'!$AK$29)*1</f>
        <v>0</v>
      </c>
      <c r="AI29" s="48">
        <v>0</v>
      </c>
      <c r="AJ29" s="48">
        <v>1.0098260247620201</v>
      </c>
      <c r="AK29" s="48">
        <v>0</v>
      </c>
      <c r="AL29" s="48">
        <v>0</v>
      </c>
      <c r="AM29" s="48">
        <v>0</v>
      </c>
      <c r="AN29" s="48">
        <v>59.412263728720802</v>
      </c>
      <c r="AO29" s="48">
        <v>9.2134837324594692</v>
      </c>
      <c r="AP29" s="48">
        <v>0</v>
      </c>
      <c r="AQ29" s="48">
        <v>9.6344206940418804</v>
      </c>
      <c r="AR29" s="48">
        <v>7.8317397138342599</v>
      </c>
      <c r="AS29" s="48">
        <v>0.58930843959339396</v>
      </c>
      <c r="AT29" s="48">
        <v>0</v>
      </c>
      <c r="AU29" s="48">
        <v>78.335068028223304</v>
      </c>
      <c r="AV29" s="48">
        <v>0</v>
      </c>
      <c r="AW29" s="48">
        <v>0</v>
      </c>
      <c r="AX29" s="48">
        <v>93.533994850700793</v>
      </c>
      <c r="AY29" s="48">
        <v>-5.3338265458029799</v>
      </c>
      <c r="AZ29" s="48">
        <v>0</v>
      </c>
      <c r="BA29" s="48">
        <v>18.171350828339399</v>
      </c>
      <c r="BB29" s="48">
        <v>0.51183101118214502</v>
      </c>
      <c r="BC29" s="48">
        <v>0</v>
      </c>
      <c r="BD29" s="48">
        <v>0</v>
      </c>
    </row>
    <row r="30" spans="1:56" ht="11.25" customHeight="1" x14ac:dyDescent="0.25">
      <c r="A30" s="109"/>
      <c r="B30" s="109"/>
      <c r="C30" s="109"/>
      <c r="D30" s="51" t="s">
        <v>29</v>
      </c>
      <c r="E30" s="51" t="s">
        <v>25</v>
      </c>
      <c r="F30" s="51" t="s">
        <v>25</v>
      </c>
      <c r="G30" s="52" t="s">
        <v>88</v>
      </c>
      <c r="H30" s="52" t="s">
        <v>82</v>
      </c>
      <c r="I30" s="52">
        <f>'MERCADO TUSD'!$U$27</f>
        <v>0</v>
      </c>
      <c r="J30" s="15"/>
      <c r="L30" s="48">
        <f>('TUSD BE'!$L$30+'TUSD BF'!$L$30+'TUSD CVA'!$L$30)*(1 - 0.65)</f>
        <v>0</v>
      </c>
      <c r="M30" s="48">
        <f>('TUSD BE'!$M$30+'TUSD BF'!$M$30+'TUSD CVA'!$M$30)*(1 - 0.65)</f>
        <v>0.2736737592414063</v>
      </c>
      <c r="N30" s="48">
        <f ca="1">('TUSD BE'!$N$30+'TUSD BF'!$N$30+'TUSD CVA'!$N$30)*(1 - 0.65)</f>
        <v>0</v>
      </c>
      <c r="O30" s="48">
        <f>('TUSD BE'!$O$30+'TUSD BF'!$O$30+'TUSD CVA'!$O$30)*(1 - 0.65)</f>
        <v>0</v>
      </c>
      <c r="P30" s="48">
        <v>0</v>
      </c>
      <c r="Q30" s="48">
        <f>('TUSD BE'!$Q$30+'TUSD BF'!$Q$30+'TUSD CVA'!$Q$30)*(1 - 0.65)</f>
        <v>0</v>
      </c>
      <c r="R30" s="48">
        <v>0</v>
      </c>
      <c r="S30" s="48">
        <f>('TUSD BE'!$S$30+'TUSD BF'!$S$30+'TUSD CVA'!$S$30)*(1 - 0.65)</f>
        <v>0</v>
      </c>
      <c r="T30" s="48">
        <f>('TUSD BE'!$U$30+'TUSD BF'!$U$30+'TUSD CVA'!$U$30)*(1 - 0.65)</f>
        <v>3.8279141824158311</v>
      </c>
      <c r="U30" s="48">
        <f>('TUSD BE'!$V$30+'TUSD BF'!$V$30+'TUSD CVA'!$V$30)*(1 - 0.65)</f>
        <v>3.9693835903456289</v>
      </c>
      <c r="V30" s="48">
        <f>('TUSD BE'!$W$30+'TUSD BF'!$W$30+'TUSD CVA'!$W$30)*(1 - 0.65)</f>
        <v>0.96203096514993891</v>
      </c>
      <c r="W30" s="48">
        <f>('TUSD BE'!$X$30+'TUSD BF'!$X$30+'TUSD CVA'!$X$30)*(1 - 0.65)</f>
        <v>0</v>
      </c>
      <c r="X30" s="48">
        <f>('TUSD BE'!$Y$30+'TUSD BF'!$Y$30+'TUSD CVA'!$Y$30)*(1 - 0.65)</f>
        <v>27.728911427755602</v>
      </c>
      <c r="Y30" s="48">
        <f>('TUSD BE'!$Z$30+'TUSD BF'!$Z$30+'TUSD CVA'!$Z$30)*(1 - 0.65)</f>
        <v>0</v>
      </c>
      <c r="Z30" s="48">
        <f>('TUSD BE'!$AA$30+'TUSD BF'!$AA$30+'TUSD CVA'!$AA$30)*(1 - 0.65)</f>
        <v>0</v>
      </c>
      <c r="AA30" s="48">
        <f>('TUSD BE'!$AC$30+'TUSD BF'!$AC$30+'TUSD CVA'!$AC$30)*(1 - 0.65)</f>
        <v>25.810580501163379</v>
      </c>
      <c r="AB30" s="48">
        <f ca="1">('TUSD BE'!$AE$30+'TUSD BF'!$AE$30+'TUSD CVA'!$AE$30)*(1 - 0.65)</f>
        <v>-0.30902555525660763</v>
      </c>
      <c r="AC30" s="48">
        <f ca="1">('TUSD BE'!$AF$30+'TUSD BF'!$AF$30+'TUSD CVA'!$AF$30)*(1 - 0.65)</f>
        <v>0</v>
      </c>
      <c r="AD30" s="48">
        <f>('TUSD BE'!$AH$30+'TUSD BF'!$AH$30+'TUSD CVA'!$AH$30)*(1 - 0.65)</f>
        <v>5.8084747312405245</v>
      </c>
      <c r="AE30" s="48">
        <f>('TUSD BE'!$AI$30+'TUSD BF'!$AI$30+'TUSD CVA'!$AI$30)*(1 - 0.65)</f>
        <v>0.14928411826188462</v>
      </c>
      <c r="AF30" s="48">
        <f ca="1">('TUSD BE'!$AJ$30+'TUSD BF'!$AJ$30+'TUSD CVA'!$AJ$30)*(1 - 0.65)</f>
        <v>0</v>
      </c>
      <c r="AG30" s="48">
        <f ca="1">('TUSD BE'!$AK$30+'TUSD BF'!$AK$30+'TUSD CVA'!$AK$30)*(1 - 0.65)</f>
        <v>0</v>
      </c>
      <c r="AI30" s="48">
        <v>0</v>
      </c>
      <c r="AJ30" s="48">
        <v>0.35343910866670802</v>
      </c>
      <c r="AK30" s="48">
        <v>0</v>
      </c>
      <c r="AL30" s="48">
        <v>0</v>
      </c>
      <c r="AM30" s="48">
        <v>0</v>
      </c>
      <c r="AN30" s="48">
        <v>0</v>
      </c>
      <c r="AO30" s="48">
        <v>0</v>
      </c>
      <c r="AP30" s="48">
        <v>0</v>
      </c>
      <c r="AQ30" s="48">
        <v>3.3720472429146602</v>
      </c>
      <c r="AR30" s="48">
        <v>2.7411088998419899</v>
      </c>
      <c r="AS30" s="48">
        <v>0.206257953857688</v>
      </c>
      <c r="AT30" s="48">
        <v>0</v>
      </c>
      <c r="AU30" s="48">
        <v>27.4172738098781</v>
      </c>
      <c r="AV30" s="48">
        <v>0</v>
      </c>
      <c r="AW30" s="48">
        <v>0</v>
      </c>
      <c r="AX30" s="48">
        <v>32.736898197745298</v>
      </c>
      <c r="AY30" s="48">
        <v>-1.5389924534269099</v>
      </c>
      <c r="AZ30" s="48">
        <v>0</v>
      </c>
      <c r="BA30" s="48">
        <v>6.3599727899187899</v>
      </c>
      <c r="BB30" s="48">
        <v>0.17914085391375101</v>
      </c>
      <c r="BC30" s="48">
        <v>0</v>
      </c>
      <c r="BD30" s="48">
        <v>0</v>
      </c>
    </row>
    <row r="31" spans="1:56" ht="11.25" customHeight="1" x14ac:dyDescent="0.25">
      <c r="A31" s="109"/>
      <c r="B31" s="109"/>
      <c r="C31" s="109"/>
      <c r="D31" s="51" t="s">
        <v>30</v>
      </c>
      <c r="E31" s="51" t="s">
        <v>25</v>
      </c>
      <c r="F31" s="51" t="s">
        <v>25</v>
      </c>
      <c r="G31" s="52" t="s">
        <v>88</v>
      </c>
      <c r="H31" s="52" t="s">
        <v>82</v>
      </c>
      <c r="I31" s="52">
        <f>'MERCADO TUSD'!$U$28</f>
        <v>0</v>
      </c>
      <c r="J31" s="15"/>
      <c r="L31" s="48">
        <f>('TUSD BE'!$L$31+'TUSD BF'!$L$31+'TUSD CVA'!$L$31)*(1 - 0.4)</f>
        <v>0</v>
      </c>
      <c r="M31" s="48">
        <f>('TUSD BE'!$M$31+'TUSD BF'!$M$31+'TUSD CVA'!$M$31)*(1 - 0.4)</f>
        <v>0.46915501584241082</v>
      </c>
      <c r="N31" s="48">
        <f ca="1">('TUSD BE'!$N$31+'TUSD BF'!$N$31+'TUSD CVA'!$N$31)*(1 - 0.4)</f>
        <v>0</v>
      </c>
      <c r="O31" s="48">
        <f>('TUSD BE'!$O$31+'TUSD BF'!$O$31+'TUSD CVA'!$O$31)*(1 - 0.4)</f>
        <v>0</v>
      </c>
      <c r="P31" s="48">
        <v>0</v>
      </c>
      <c r="Q31" s="48">
        <f>('TUSD BE'!$Q$31+'TUSD BF'!$Q$31+'TUSD CVA'!$Q$31)*(1 - 0.4)</f>
        <v>0</v>
      </c>
      <c r="R31" s="48">
        <v>0</v>
      </c>
      <c r="S31" s="48">
        <f>('TUSD BE'!$S$31+'TUSD BF'!$S$31+'TUSD CVA'!$S$31)*(1 - 0.4)</f>
        <v>0</v>
      </c>
      <c r="T31" s="48">
        <f>('TUSD BE'!$U$31+'TUSD BF'!$U$31+'TUSD CVA'!$U$31)*(1 - 0.4)</f>
        <v>6.5621385984271399</v>
      </c>
      <c r="U31" s="48">
        <f>('TUSD BE'!$V$31+'TUSD BF'!$V$31+'TUSD CVA'!$V$31)*(1 - 0.4)</f>
        <v>6.8046575834496492</v>
      </c>
      <c r="V31" s="48">
        <f>('TUSD BE'!$W$31+'TUSD BF'!$W$31+'TUSD CVA'!$W$31)*(1 - 0.4)</f>
        <v>1.6491959402570382</v>
      </c>
      <c r="W31" s="48">
        <f>('TUSD BE'!$X$31+'TUSD BF'!$X$31+'TUSD CVA'!$X$31)*(1 - 0.4)</f>
        <v>0</v>
      </c>
      <c r="X31" s="48">
        <f>('TUSD BE'!$Y$31+'TUSD BF'!$Y$31+'TUSD CVA'!$Y$31)*(1 - 0.4)</f>
        <v>47.535276733295319</v>
      </c>
      <c r="Y31" s="48">
        <f>('TUSD BE'!$Z$31+'TUSD BF'!$Z$31+'TUSD CVA'!$Z$31)*(1 - 0.4)</f>
        <v>0</v>
      </c>
      <c r="Z31" s="48">
        <f>('TUSD BE'!$AA$31+'TUSD BF'!$AA$31+'TUSD CVA'!$AA$31)*(1 - 0.4)</f>
        <v>0</v>
      </c>
      <c r="AA31" s="48">
        <f>('TUSD BE'!$AC$31+'TUSD BF'!$AC$31+'TUSD CVA'!$AC$31)*(1 - 0.4)</f>
        <v>44.246709430565794</v>
      </c>
      <c r="AB31" s="48">
        <f ca="1">('TUSD BE'!$AE$31+'TUSD BF'!$AE$31+'TUSD CVA'!$AE$31)*(1 - 0.4)</f>
        <v>-0.52975809472561308</v>
      </c>
      <c r="AC31" s="48">
        <f ca="1">('TUSD BE'!$AF$31+'TUSD BF'!$AF$31+'TUSD CVA'!$AF$31)*(1 - 0.4)</f>
        <v>0</v>
      </c>
      <c r="AD31" s="48">
        <f>('TUSD BE'!$AH$31+'TUSD BF'!$AH$31+'TUSD CVA'!$AH$31)*(1 - 0.4)</f>
        <v>9.9573852535551861</v>
      </c>
      <c r="AE31" s="48">
        <f>('TUSD BE'!$AI$31+'TUSD BF'!$AI$31+'TUSD CVA'!$AI$31)*(1 - 0.4)</f>
        <v>0.25591563130608791</v>
      </c>
      <c r="AF31" s="48">
        <f ca="1">('TUSD BE'!$AJ$31+'TUSD BF'!$AJ$31+'TUSD CVA'!$AJ$31)*(1 - 0.4)</f>
        <v>0</v>
      </c>
      <c r="AG31" s="48">
        <f ca="1">('TUSD BE'!$AK$31+'TUSD BF'!$AK$31+'TUSD CVA'!$AK$31)*(1 - 0.4)</f>
        <v>0</v>
      </c>
      <c r="AI31" s="48">
        <v>0</v>
      </c>
      <c r="AJ31" s="48">
        <v>0.60589561485721299</v>
      </c>
      <c r="AK31" s="48">
        <v>0</v>
      </c>
      <c r="AL31" s="48">
        <v>0</v>
      </c>
      <c r="AM31" s="48">
        <v>0</v>
      </c>
      <c r="AN31" s="48">
        <v>0</v>
      </c>
      <c r="AO31" s="48">
        <v>0</v>
      </c>
      <c r="AP31" s="48">
        <v>0</v>
      </c>
      <c r="AQ31" s="48">
        <v>5.7806524164251298</v>
      </c>
      <c r="AR31" s="48">
        <v>4.6990438283005496</v>
      </c>
      <c r="AS31" s="48">
        <v>0.35358506375603599</v>
      </c>
      <c r="AT31" s="48">
        <v>0</v>
      </c>
      <c r="AU31" s="48">
        <v>47.001040816934001</v>
      </c>
      <c r="AV31" s="48">
        <v>0</v>
      </c>
      <c r="AW31" s="48">
        <v>0</v>
      </c>
      <c r="AX31" s="48">
        <v>56.120396910420503</v>
      </c>
      <c r="AY31" s="48">
        <v>-2.6382727773032801</v>
      </c>
      <c r="AZ31" s="48">
        <v>0</v>
      </c>
      <c r="BA31" s="48">
        <v>10.9028104970036</v>
      </c>
      <c r="BB31" s="48">
        <v>0.30709860670928701</v>
      </c>
      <c r="BC31" s="48">
        <v>0</v>
      </c>
      <c r="BD31" s="48">
        <v>0</v>
      </c>
    </row>
    <row r="32" spans="1:56" ht="11.25" customHeight="1" x14ac:dyDescent="0.25">
      <c r="A32" s="109"/>
      <c r="B32" s="109"/>
      <c r="C32" s="109"/>
      <c r="D32" s="51" t="s">
        <v>31</v>
      </c>
      <c r="E32" s="51" t="s">
        <v>25</v>
      </c>
      <c r="F32" s="51" t="s">
        <v>25</v>
      </c>
      <c r="G32" s="52" t="s">
        <v>88</v>
      </c>
      <c r="H32" s="52" t="s">
        <v>82</v>
      </c>
      <c r="I32" s="52">
        <f>'MERCADO TUSD'!$U$29</f>
        <v>0</v>
      </c>
      <c r="J32" s="15"/>
      <c r="L32" s="48">
        <f>('TUSD BE'!$L$32+'TUSD BF'!$L$32+'TUSD CVA'!$L$32)*(1 - 0.1)</f>
        <v>0</v>
      </c>
      <c r="M32" s="48">
        <f>('TUSD BE'!$M$32+'TUSD BF'!$M$32+'TUSD CVA'!$M$32)*(1 - 0.1)</f>
        <v>0.70373252376361628</v>
      </c>
      <c r="N32" s="48">
        <f ca="1">('TUSD BE'!$N$32+'TUSD BF'!$N$32+'TUSD CVA'!$N$32)*(1 - 0.1)</f>
        <v>0</v>
      </c>
      <c r="O32" s="48">
        <f>('TUSD BE'!$O$32+'TUSD BF'!$O$32+'TUSD CVA'!$O$32)*(1 - 0.1)</f>
        <v>0</v>
      </c>
      <c r="P32" s="48">
        <v>0</v>
      </c>
      <c r="Q32" s="48">
        <f>('TUSD BE'!$Q$32+'TUSD BF'!$Q$32+'TUSD CVA'!$Q$32)*(1 - 0.1)</f>
        <v>0</v>
      </c>
      <c r="R32" s="48">
        <v>0</v>
      </c>
      <c r="S32" s="48">
        <f>('TUSD BE'!$S$32+'TUSD BF'!$S$32+'TUSD CVA'!$S$32)*(1 - 0.1)</f>
        <v>0</v>
      </c>
      <c r="T32" s="48">
        <f>('TUSD BE'!$U$32+'TUSD BF'!$U$32+'TUSD CVA'!$U$32)*(1 - 0.1)</f>
        <v>9.8432078976407098</v>
      </c>
      <c r="U32" s="48">
        <f>('TUSD BE'!$V$32+'TUSD BF'!$V$32+'TUSD CVA'!$V$32)*(1 - 0.1)</f>
        <v>10.206986375174475</v>
      </c>
      <c r="V32" s="48">
        <f>('TUSD BE'!$W$32+'TUSD BF'!$W$32+'TUSD CVA'!$W$32)*(1 - 0.1)</f>
        <v>2.4737939103855573</v>
      </c>
      <c r="W32" s="48">
        <f>('TUSD BE'!$X$32+'TUSD BF'!$X$32+'TUSD CVA'!$X$32)*(1 - 0.1)</f>
        <v>0</v>
      </c>
      <c r="X32" s="48">
        <f>('TUSD BE'!$Y$32+'TUSD BF'!$Y$32+'TUSD CVA'!$Y$32)*(1 - 0.1)</f>
        <v>71.302915099942979</v>
      </c>
      <c r="Y32" s="48">
        <f>('TUSD BE'!$Z$32+'TUSD BF'!$Z$32+'TUSD CVA'!$Z$32)*(1 - 0.1)</f>
        <v>0</v>
      </c>
      <c r="Z32" s="48">
        <f>('TUSD BE'!$AA$32+'TUSD BF'!$AA$32+'TUSD CVA'!$AA$32)*(1 - 0.1)</f>
        <v>0</v>
      </c>
      <c r="AA32" s="48">
        <f>('TUSD BE'!$AC$32+'TUSD BF'!$AC$32+'TUSD CVA'!$AC$32)*(1 - 0.1)</f>
        <v>66.370064145848701</v>
      </c>
      <c r="AB32" s="48">
        <f ca="1">('TUSD BE'!$AE$32+'TUSD BF'!$AE$32+'TUSD CVA'!$AE$32)*(1 - 0.1)</f>
        <v>-0.79463714208841973</v>
      </c>
      <c r="AC32" s="48">
        <f ca="1">('TUSD BE'!$AF$32+'TUSD BF'!$AF$32+'TUSD CVA'!$AF$32)*(1 - 0.1)</f>
        <v>0</v>
      </c>
      <c r="AD32" s="48">
        <f>('TUSD BE'!$AH$32+'TUSD BF'!$AH$32+'TUSD CVA'!$AH$32)*(1 - 0.1)</f>
        <v>14.936077880332778</v>
      </c>
      <c r="AE32" s="48">
        <f>('TUSD BE'!$AI$32+'TUSD BF'!$AI$32+'TUSD CVA'!$AI$32)*(1 - 0.1)</f>
        <v>0.38387344695913189</v>
      </c>
      <c r="AF32" s="48">
        <f ca="1">('TUSD BE'!$AJ$32+'TUSD BF'!$AJ$32+'TUSD CVA'!$AJ$32)*(1 - 0.1)</f>
        <v>0</v>
      </c>
      <c r="AG32" s="48">
        <f ca="1">('TUSD BE'!$AK$32+'TUSD BF'!$AK$32+'TUSD CVA'!$AK$32)*(1 - 0.1)</f>
        <v>0</v>
      </c>
      <c r="AI32" s="48">
        <v>0</v>
      </c>
      <c r="AJ32" s="48">
        <v>0.90884342228582005</v>
      </c>
      <c r="AK32" s="48">
        <v>0</v>
      </c>
      <c r="AL32" s="48">
        <v>0</v>
      </c>
      <c r="AM32" s="48">
        <v>0</v>
      </c>
      <c r="AN32" s="48">
        <v>0</v>
      </c>
      <c r="AO32" s="48">
        <v>0</v>
      </c>
      <c r="AP32" s="48">
        <v>0</v>
      </c>
      <c r="AQ32" s="48">
        <v>8.6709786246376908</v>
      </c>
      <c r="AR32" s="48">
        <v>7.0485657424508297</v>
      </c>
      <c r="AS32" s="48">
        <v>0.53037759563405396</v>
      </c>
      <c r="AT32" s="48">
        <v>0</v>
      </c>
      <c r="AU32" s="48">
        <v>70.501561225400906</v>
      </c>
      <c r="AV32" s="48">
        <v>0</v>
      </c>
      <c r="AW32" s="48">
        <v>0</v>
      </c>
      <c r="AX32" s="48">
        <v>84.180595365630793</v>
      </c>
      <c r="AY32" s="48">
        <v>-3.95740916595491</v>
      </c>
      <c r="AZ32" s="48">
        <v>0</v>
      </c>
      <c r="BA32" s="48">
        <v>16.354215745505499</v>
      </c>
      <c r="BB32" s="48">
        <v>0.46064791006393102</v>
      </c>
      <c r="BC32" s="48">
        <v>0</v>
      </c>
      <c r="BD32" s="48">
        <v>0</v>
      </c>
    </row>
    <row r="33" spans="1:56" ht="11.25" customHeight="1" x14ac:dyDescent="0.25">
      <c r="A33" s="109"/>
      <c r="B33" s="109"/>
      <c r="C33" s="109"/>
      <c r="D33" s="51" t="s">
        <v>32</v>
      </c>
      <c r="E33" s="51" t="s">
        <v>25</v>
      </c>
      <c r="F33" s="51" t="s">
        <v>25</v>
      </c>
      <c r="G33" s="52" t="s">
        <v>88</v>
      </c>
      <c r="H33" s="52" t="s">
        <v>82</v>
      </c>
      <c r="I33" s="52">
        <f>'MERCADO TUSD'!$U$30</f>
        <v>0</v>
      </c>
      <c r="J33" s="15"/>
      <c r="L33" s="48">
        <f>('TUSD BE'!$L$33+'TUSD BF'!$L$33+'TUSD CVA'!$L$33)*1</f>
        <v>0</v>
      </c>
      <c r="M33" s="48">
        <f>('TUSD BE'!$M$33+'TUSD BF'!$M$33+'TUSD CVA'!$M$33)*1</f>
        <v>0.78192502640401806</v>
      </c>
      <c r="N33" s="48">
        <f ca="1">('TUSD BE'!$N$33+'TUSD BF'!$N$33+'TUSD CVA'!$N$33)*1</f>
        <v>0</v>
      </c>
      <c r="O33" s="48">
        <f>('TUSD BE'!$O$33+'TUSD BF'!$O$33+'TUSD CVA'!$O$33)*1</f>
        <v>0</v>
      </c>
      <c r="P33" s="48">
        <v>0</v>
      </c>
      <c r="Q33" s="48">
        <f>('TUSD BE'!$Q$33+'TUSD BF'!$Q$33+'TUSD CVA'!$Q$33)*1</f>
        <v>0</v>
      </c>
      <c r="R33" s="48">
        <v>0</v>
      </c>
      <c r="S33" s="48">
        <f>('TUSD BE'!$S$33+'TUSD BF'!$S$33+'TUSD CVA'!$S$33)*1</f>
        <v>0</v>
      </c>
      <c r="T33" s="48">
        <f>('TUSD BE'!$U$33+'TUSD BF'!$U$33+'TUSD CVA'!$U$33)*1</f>
        <v>10.936897664045233</v>
      </c>
      <c r="U33" s="48">
        <f>('TUSD BE'!$V$33+'TUSD BF'!$V$33+'TUSD CVA'!$V$33)*1</f>
        <v>11.341095972416083</v>
      </c>
      <c r="V33" s="48">
        <f>('TUSD BE'!$W$33+'TUSD BF'!$W$33+'TUSD CVA'!$W$33)*1</f>
        <v>2.7486599004283971</v>
      </c>
      <c r="W33" s="48">
        <f>('TUSD BE'!$X$33+'TUSD BF'!$X$33+'TUSD CVA'!$X$33)*1</f>
        <v>0</v>
      </c>
      <c r="X33" s="48">
        <f>('TUSD BE'!$Y$33+'TUSD BF'!$Y$33+'TUSD CVA'!$Y$33)*1</f>
        <v>79.22546122215887</v>
      </c>
      <c r="Y33" s="48">
        <f>('TUSD BE'!$Z$33+'TUSD BF'!$Z$33+'TUSD CVA'!$Z$33)*1</f>
        <v>0</v>
      </c>
      <c r="Z33" s="48">
        <f>('TUSD BE'!$AA$33+'TUSD BF'!$AA$33+'TUSD CVA'!$AA$33)*1</f>
        <v>0</v>
      </c>
      <c r="AA33" s="48">
        <f>('TUSD BE'!$AC$33+'TUSD BF'!$AC$33+'TUSD CVA'!$AC$33)*1</f>
        <v>73.744515717609659</v>
      </c>
      <c r="AB33" s="48">
        <f ca="1">('TUSD BE'!$AE$33+'TUSD BF'!$AE$33+'TUSD CVA'!$AE$33)*1</f>
        <v>-0.88293015787602191</v>
      </c>
      <c r="AC33" s="48">
        <f ca="1">('TUSD BE'!$AF$33+'TUSD BF'!$AF$33+'TUSD CVA'!$AF$33)*1</f>
        <v>0</v>
      </c>
      <c r="AD33" s="48">
        <f>('TUSD BE'!$AH$33+'TUSD BF'!$AH$33+'TUSD CVA'!$AH$33)*1</f>
        <v>16.595642089258643</v>
      </c>
      <c r="AE33" s="48">
        <f>('TUSD BE'!$AI$33+'TUSD BF'!$AI$33+'TUSD CVA'!$AI$33)*1</f>
        <v>0.42652605217681322</v>
      </c>
      <c r="AF33" s="48">
        <f ca="1">('TUSD BE'!$AJ$33+'TUSD BF'!$AJ$33+'TUSD CVA'!$AJ$33)*1</f>
        <v>0</v>
      </c>
      <c r="AG33" s="48">
        <f ca="1">('TUSD BE'!$AK$33+'TUSD BF'!$AK$33+'TUSD CVA'!$AK$33)*1</f>
        <v>0</v>
      </c>
      <c r="AI33" s="48">
        <v>0</v>
      </c>
      <c r="AJ33" s="48">
        <v>1.0098260247620201</v>
      </c>
      <c r="AK33" s="48">
        <v>0</v>
      </c>
      <c r="AL33" s="48">
        <v>0</v>
      </c>
      <c r="AM33" s="48">
        <v>0</v>
      </c>
      <c r="AN33" s="48">
        <v>0</v>
      </c>
      <c r="AO33" s="48">
        <v>0</v>
      </c>
      <c r="AP33" s="48">
        <v>0</v>
      </c>
      <c r="AQ33" s="48">
        <v>9.6344206940418804</v>
      </c>
      <c r="AR33" s="48">
        <v>7.8317397138342599</v>
      </c>
      <c r="AS33" s="48">
        <v>0.58930843959339396</v>
      </c>
      <c r="AT33" s="48">
        <v>0</v>
      </c>
      <c r="AU33" s="48">
        <v>78.335068028223304</v>
      </c>
      <c r="AV33" s="48">
        <v>0</v>
      </c>
      <c r="AW33" s="48">
        <v>0</v>
      </c>
      <c r="AX33" s="48">
        <v>93.533994850700793</v>
      </c>
      <c r="AY33" s="48">
        <v>-4.3971212955054604</v>
      </c>
      <c r="AZ33" s="48">
        <v>0</v>
      </c>
      <c r="BA33" s="48">
        <v>18.171350828339399</v>
      </c>
      <c r="BB33" s="48">
        <v>0.51183101118214502</v>
      </c>
      <c r="BC33" s="48">
        <v>0</v>
      </c>
      <c r="BD33" s="48">
        <v>0</v>
      </c>
    </row>
    <row r="34" spans="1:56" ht="11.25" customHeight="1" x14ac:dyDescent="0.25">
      <c r="A34" s="109" t="s">
        <v>41</v>
      </c>
      <c r="B34" s="109" t="s">
        <v>95</v>
      </c>
      <c r="C34" s="109" t="s">
        <v>42</v>
      </c>
      <c r="D34" s="109" t="s">
        <v>25</v>
      </c>
      <c r="E34" s="109" t="s">
        <v>25</v>
      </c>
      <c r="F34" s="109" t="s">
        <v>25</v>
      </c>
      <c r="G34" s="52" t="s">
        <v>83</v>
      </c>
      <c r="H34" s="52" t="s">
        <v>82</v>
      </c>
      <c r="I34" s="52">
        <f>'MERCADO TUSD'!$U$31</f>
        <v>0</v>
      </c>
      <c r="J34" s="15"/>
      <c r="L34" s="48">
        <f>('TUSD BE'!$L$34+'TUSD BF'!$L$34+'TUSD CVA'!$L$34)*(1 - CUSTOS!$M$38)</f>
        <v>0</v>
      </c>
      <c r="M34" s="48">
        <f>('TUSD BE'!$M$34+'TUSD BF'!$M$34+'TUSD CVA'!$M$34)*(1 - CUSTOS!$M$38)</f>
        <v>0.73500952481977699</v>
      </c>
      <c r="N34" s="48">
        <f ca="1">('TUSD BE'!$N$34+'TUSD BF'!$N$34+'TUSD CVA'!$N$34)*(1 - CUSTOS!$M$38)</f>
        <v>0</v>
      </c>
      <c r="O34" s="48">
        <f>('TUSD BE'!$O$34+'TUSD BF'!$O$34+'TUSD CVA'!$O$34)*(1 - CUSTOS!$M$38)</f>
        <v>0</v>
      </c>
      <c r="P34" s="48">
        <f>('TUSD BE'!$P$34+'TUSD BF'!$P$34+'TUSD CVA'!$P$34)*(1 - CUSTOS!$M$38)</f>
        <v>0</v>
      </c>
      <c r="Q34" s="48">
        <f>('TUSD BE'!$Q$34+'TUSD BF'!$Q$34+'TUSD CVA'!$Q$34)*(1 - CUSTOS!$M$38)</f>
        <v>79.175949419310314</v>
      </c>
      <c r="R34" s="48">
        <f>('TUSD BE'!$R$34+'TUSD BF'!$R$34+'TUSD CVA'!$R$34)*(1 - CUSTOS!$M$38)</f>
        <v>12.52403488260355</v>
      </c>
      <c r="S34" s="48">
        <f>('TUSD BE'!$S$34+'TUSD BF'!$S$34+'TUSD CVA'!$S$34)*(1 - CUSTOS!$M$38)</f>
        <v>0</v>
      </c>
      <c r="T34" s="48">
        <f>('TUSD BE'!$U$34+'TUSD BF'!$U$34+'TUSD CVA'!$U$34)*(1 - CUSTOS!$M$38)</f>
        <v>23.9087271118985</v>
      </c>
      <c r="U34" s="48">
        <f>('TUSD BE'!$V$34+'TUSD BF'!$V$34+'TUSD CVA'!$V$34)*(1 - CUSTOS!$M$38)</f>
        <v>24.792163288537481</v>
      </c>
      <c r="V34" s="48">
        <f>('TUSD BE'!$W$34+'TUSD BF'!$W$34+'TUSD CVA'!$W$34)*(1 - CUSTOS!$M$38)</f>
        <v>6.0088348966017957</v>
      </c>
      <c r="W34" s="48">
        <f>('TUSD BE'!$X$34+'TUSD BF'!$X$34+'TUSD CVA'!$X$34)*(1 - CUSTOS!$M$38)</f>
        <v>0</v>
      </c>
      <c r="X34" s="48">
        <f>('TUSD BE'!$Y$34+'TUSD BF'!$Y$34+'TUSD CVA'!$Y$34)*(1 - CUSTOS!$M$38)</f>
        <v>173.19205855563297</v>
      </c>
      <c r="Y34" s="48">
        <f>('TUSD BE'!$Z$34+'TUSD BF'!$Z$34+'TUSD CVA'!$Z$34)*(1 - CUSTOS!$M$38)</f>
        <v>0</v>
      </c>
      <c r="Z34" s="48">
        <f>('TUSD BE'!$AA$34+'TUSD BF'!$AA$34+'TUSD CVA'!$AA$34)*(1 - CUSTOS!$M$38)</f>
        <v>0</v>
      </c>
      <c r="AA34" s="48">
        <f>('TUSD BE'!$AC$34+'TUSD BF'!$AC$34+'TUSD CVA'!$AC$34)*(1 - CUSTOS!$M$38)</f>
        <v>161.21023793747551</v>
      </c>
      <c r="AB34" s="48">
        <f ca="1">('TUSD BE'!$AE$34+'TUSD BF'!$AE$34+'TUSD CVA'!$AE$34)*(1 - CUSTOS!$M$38)</f>
        <v>-2.148658354579652</v>
      </c>
      <c r="AC34" s="48">
        <f ca="1">('TUSD BE'!$AF$34+'TUSD BF'!$AF$34+'TUSD CVA'!$AF$34)*(1 - CUSTOS!$M$38)</f>
        <v>0</v>
      </c>
      <c r="AD34" s="48">
        <f>('TUSD BE'!$AH$34+'TUSD BF'!$AH$34+'TUSD CVA'!$AH$34)*(1 - CUSTOS!$M$38)</f>
        <v>15.599903563903123</v>
      </c>
      <c r="AE34" s="48">
        <f>('TUSD BE'!$AI$34+'TUSD BF'!$AI$34+'TUSD CVA'!$AI$34)*(1 - CUSTOS!$M$38)</f>
        <v>0.40093448904620438</v>
      </c>
      <c r="AF34" s="48">
        <f ca="1">('TUSD BE'!$AJ$34+'TUSD BF'!$AJ$34+'TUSD CVA'!$AJ$34)*(1 - CUSTOS!$M$38)</f>
        <v>0</v>
      </c>
      <c r="AG34" s="48">
        <f ca="1">('TUSD BE'!$AK$34+'TUSD BF'!$AK$34+'TUSD CVA'!$AK$34)*(1 - CUSTOS!$M$38)</f>
        <v>0</v>
      </c>
      <c r="AI34" s="48">
        <v>0</v>
      </c>
      <c r="AJ34" s="48">
        <v>0.88864690179058003</v>
      </c>
      <c r="AK34" s="48">
        <v>0</v>
      </c>
      <c r="AL34" s="48">
        <v>0</v>
      </c>
      <c r="AM34" s="48">
        <v>0</v>
      </c>
      <c r="AN34" s="48">
        <v>52.282792081274302</v>
      </c>
      <c r="AO34" s="48">
        <v>8.1078656845643398</v>
      </c>
      <c r="AP34" s="48">
        <v>0</v>
      </c>
      <c r="AQ34" s="48">
        <v>19.717020402543</v>
      </c>
      <c r="AR34" s="48">
        <v>16.0277387257476</v>
      </c>
      <c r="AS34" s="48">
        <v>1.2060633221475501</v>
      </c>
      <c r="AT34" s="48">
        <v>0</v>
      </c>
      <c r="AU34" s="48">
        <v>160.31499515310799</v>
      </c>
      <c r="AV34" s="48">
        <v>0</v>
      </c>
      <c r="AW34" s="48">
        <v>0</v>
      </c>
      <c r="AX34" s="48">
        <v>191.41991121840701</v>
      </c>
      <c r="AY34" s="48">
        <v>-9.5474763459064</v>
      </c>
      <c r="AZ34" s="48">
        <v>0</v>
      </c>
      <c r="BA34" s="48">
        <v>15.9907887289387</v>
      </c>
      <c r="BB34" s="48">
        <v>0.450411289840288</v>
      </c>
      <c r="BC34" s="48">
        <v>0</v>
      </c>
      <c r="BD34" s="48">
        <v>0</v>
      </c>
    </row>
    <row r="35" spans="1:56" ht="11.25" customHeight="1" x14ac:dyDescent="0.25">
      <c r="A35" s="109"/>
      <c r="B35" s="109"/>
      <c r="C35" s="109"/>
      <c r="D35" s="109"/>
      <c r="E35" s="109"/>
      <c r="F35" s="109"/>
      <c r="G35" s="52" t="s">
        <v>94</v>
      </c>
      <c r="H35" s="52" t="s">
        <v>82</v>
      </c>
      <c r="I35" s="52">
        <f>'MERCADO TUSD'!$U$32</f>
        <v>0</v>
      </c>
      <c r="J35" s="15"/>
      <c r="L35" s="48">
        <f>('TUSD BE'!$L$35+'TUSD BF'!$L$35+'TUSD CVA'!$L$35)*(1 - CUSTOS!$M$38)</f>
        <v>0</v>
      </c>
      <c r="M35" s="48">
        <f>('TUSD BE'!$M$35+'TUSD BF'!$M$35+'TUSD CVA'!$M$35)*(1 - CUSTOS!$M$38)</f>
        <v>0.73500952481977699</v>
      </c>
      <c r="N35" s="48">
        <f ca="1">('TUSD BE'!$N$35+'TUSD BF'!$N$35+'TUSD CVA'!$N$35)*(1 - CUSTOS!$M$38)</f>
        <v>0</v>
      </c>
      <c r="O35" s="48">
        <f>('TUSD BE'!$O$35+'TUSD BF'!$O$35+'TUSD CVA'!$O$35)*(1 - CUSTOS!$M$38)</f>
        <v>0</v>
      </c>
      <c r="P35" s="48">
        <f>('TUSD BE'!$P$35+'TUSD BF'!$P$35+'TUSD CVA'!$P$35)*(1 - CUSTOS!$M$38)</f>
        <v>0</v>
      </c>
      <c r="Q35" s="48">
        <f>('TUSD BE'!$Q$35+'TUSD BF'!$Q$35+'TUSD CVA'!$Q$35)*(1 - CUSTOS!$M$38)</f>
        <v>79.175949419310314</v>
      </c>
      <c r="R35" s="48">
        <f>('TUSD BE'!$R$35+'TUSD BF'!$R$35+'TUSD CVA'!$R$35)*(1 - CUSTOS!$M$38)</f>
        <v>12.52403488260355</v>
      </c>
      <c r="S35" s="48">
        <f>('TUSD BE'!$S$35+'TUSD BF'!$S$35+'TUSD CVA'!$S$35)*(1 - CUSTOS!$M$38)</f>
        <v>0</v>
      </c>
      <c r="T35" s="48">
        <f>('TUSD BE'!$U$35+'TUSD BF'!$U$35+'TUSD CVA'!$U$35)*(1 - CUSTOS!$M$38)</f>
        <v>12.188731685742898</v>
      </c>
      <c r="U35" s="48">
        <f>('TUSD BE'!$V$35+'TUSD BF'!$V$35+'TUSD CVA'!$V$35)*(1 - CUSTOS!$M$38)</f>
        <v>12.639274526663113</v>
      </c>
      <c r="V35" s="48">
        <f>('TUSD BE'!$W$35+'TUSD BF'!$W$35+'TUSD CVA'!$W$35)*(1 - CUSTOS!$M$38)</f>
        <v>3.0636057438470403</v>
      </c>
      <c r="W35" s="48">
        <f>('TUSD BE'!$X$35+'TUSD BF'!$X$35+'TUSD CVA'!$X$35)*(1 - CUSTOS!$M$38)</f>
        <v>0</v>
      </c>
      <c r="X35" s="48">
        <f>('TUSD BE'!$Y$35+'TUSD BF'!$Y$35+'TUSD CVA'!$Y$35)*(1 - CUSTOS!$M$38)</f>
        <v>88.294043521389838</v>
      </c>
      <c r="Y35" s="48">
        <f>('TUSD BE'!$Z$35+'TUSD BF'!$Z$35+'TUSD CVA'!$Z$35)*(1 - CUSTOS!$M$38)</f>
        <v>0</v>
      </c>
      <c r="Z35" s="48">
        <f>('TUSD BE'!$AA$35+'TUSD BF'!$AA$35+'TUSD CVA'!$AA$35)*(1 - CUSTOS!$M$38)</f>
        <v>0</v>
      </c>
      <c r="AA35" s="48">
        <f>('TUSD BE'!$AC$35+'TUSD BF'!$AC$35+'TUSD CVA'!$AC$35)*(1 - CUSTOS!$M$38)</f>
        <v>82.185625171693516</v>
      </c>
      <c r="AB35" s="48">
        <f ca="1">('TUSD BE'!$AE$35+'TUSD BF'!$AE$35+'TUSD CVA'!$AE$35)*(1 - CUSTOS!$M$38)</f>
        <v>-1.260676771660991</v>
      </c>
      <c r="AC35" s="48">
        <f ca="1">('TUSD BE'!$AF$35+'TUSD BF'!$AF$35+'TUSD CVA'!$AF$35)*(1 - CUSTOS!$M$38)</f>
        <v>0</v>
      </c>
      <c r="AD35" s="48">
        <f>('TUSD BE'!$AH$35+'TUSD BF'!$AH$35+'TUSD CVA'!$AH$35)*(1 - CUSTOS!$M$38)</f>
        <v>15.599903563903123</v>
      </c>
      <c r="AE35" s="48">
        <f>('TUSD BE'!$AI$35+'TUSD BF'!$AI$35+'TUSD CVA'!$AI$35)*(1 - CUSTOS!$M$38)</f>
        <v>0.40093448904620438</v>
      </c>
      <c r="AF35" s="48">
        <f ca="1">('TUSD BE'!$AJ$35+'TUSD BF'!$AJ$35+'TUSD CVA'!$AJ$35)*(1 - CUSTOS!$M$38)</f>
        <v>0</v>
      </c>
      <c r="AG35" s="48">
        <f ca="1">('TUSD BE'!$AK$35+'TUSD BF'!$AK$35+'TUSD CVA'!$AK$35)*(1 - CUSTOS!$M$38)</f>
        <v>0</v>
      </c>
      <c r="AI35" s="48">
        <v>0</v>
      </c>
      <c r="AJ35" s="48">
        <v>0.88864690179058003</v>
      </c>
      <c r="AK35" s="48">
        <v>0</v>
      </c>
      <c r="AL35" s="48">
        <v>0</v>
      </c>
      <c r="AM35" s="48">
        <v>0</v>
      </c>
      <c r="AN35" s="48">
        <v>52.282792081274302</v>
      </c>
      <c r="AO35" s="48">
        <v>8.1078656845643398</v>
      </c>
      <c r="AP35" s="48">
        <v>0</v>
      </c>
      <c r="AQ35" s="48">
        <v>10.051855249290099</v>
      </c>
      <c r="AR35" s="48">
        <v>8.1710385253110491</v>
      </c>
      <c r="AS35" s="48">
        <v>0.61488292201855899</v>
      </c>
      <c r="AT35" s="48">
        <v>0</v>
      </c>
      <c r="AU35" s="48">
        <v>81.729232758380604</v>
      </c>
      <c r="AV35" s="48">
        <v>0</v>
      </c>
      <c r="AW35" s="48">
        <v>0</v>
      </c>
      <c r="AX35" s="48">
        <v>97.586638743983698</v>
      </c>
      <c r="AY35" s="48">
        <v>-5.3733464746606296</v>
      </c>
      <c r="AZ35" s="48">
        <v>0</v>
      </c>
      <c r="BA35" s="48">
        <v>15.9907887289387</v>
      </c>
      <c r="BB35" s="48">
        <v>0.450411289840288</v>
      </c>
      <c r="BC35" s="48">
        <v>0</v>
      </c>
      <c r="BD35" s="48">
        <v>0</v>
      </c>
    </row>
    <row r="36" spans="1:56" ht="11.25" customHeight="1" x14ac:dyDescent="0.25">
      <c r="A36" s="109"/>
      <c r="B36" s="109"/>
      <c r="C36" s="109"/>
      <c r="D36" s="109"/>
      <c r="E36" s="109"/>
      <c r="F36" s="109"/>
      <c r="G36" s="52" t="s">
        <v>84</v>
      </c>
      <c r="H36" s="52" t="s">
        <v>82</v>
      </c>
      <c r="I36" s="52">
        <f>'MERCADO TUSD'!$U$33</f>
        <v>0</v>
      </c>
      <c r="J36" s="15"/>
      <c r="L36" s="48">
        <f>('TUSD BE'!$L$36+'TUSD BF'!$L$36+'TUSD CVA'!$L$36)*(1 - CUSTOS!$M$38)</f>
        <v>0</v>
      </c>
      <c r="M36" s="48">
        <f>('TUSD BE'!$M$36+'TUSD BF'!$M$36+'TUSD CVA'!$M$36)*(1 - CUSTOS!$M$38)</f>
        <v>0.73500952481977699</v>
      </c>
      <c r="N36" s="48">
        <f ca="1">('TUSD BE'!$N$36+'TUSD BF'!$N$36+'TUSD CVA'!$N$36)*(1 - CUSTOS!$M$38)</f>
        <v>0</v>
      </c>
      <c r="O36" s="48">
        <f>('TUSD BE'!$O$36+'TUSD BF'!$O$36+'TUSD CVA'!$O$36)*(1 - CUSTOS!$M$38)</f>
        <v>0</v>
      </c>
      <c r="P36" s="48">
        <f>('TUSD BE'!$P$36+'TUSD BF'!$P$36+'TUSD CVA'!$P$36)*(1 - CUSTOS!$M$38)</f>
        <v>0</v>
      </c>
      <c r="Q36" s="48">
        <f>('TUSD BE'!$Q$36+'TUSD BF'!$Q$36+'TUSD CVA'!$Q$36)*(1 - CUSTOS!$M$38)</f>
        <v>79.175949419310314</v>
      </c>
      <c r="R36" s="48">
        <f>('TUSD BE'!$R$36+'TUSD BF'!$R$36+'TUSD CVA'!$R$36)*(1 - CUSTOS!$M$38)</f>
        <v>12.52403488260355</v>
      </c>
      <c r="S36" s="48">
        <f>('TUSD BE'!$S$36+'TUSD BF'!$S$36+'TUSD CVA'!$S$36)*(1 - CUSTOS!$M$38)</f>
        <v>0</v>
      </c>
      <c r="T36" s="48">
        <f>('TUSD BE'!$U$36+'TUSD BF'!$U$36+'TUSD CVA'!$U$36)*(1 - CUSTOS!$M$38)</f>
        <v>7.8131978727309699</v>
      </c>
      <c r="U36" s="48">
        <f>('TUSD BE'!$V$36+'TUSD BF'!$V$36+'TUSD CVA'!$V$36)*(1 - CUSTOS!$M$38)</f>
        <v>8.1020384305469832</v>
      </c>
      <c r="V36" s="48">
        <f>('TUSD BE'!$W$36+'TUSD BF'!$W$36+'TUSD CVA'!$W$36)*(1 - CUSTOS!$M$38)</f>
        <v>1.9634861018365035</v>
      </c>
      <c r="W36" s="48">
        <f>('TUSD BE'!$X$36+'TUSD BF'!$X$36+'TUSD CVA'!$X$36)*(1 - CUSTOS!$M$38)</f>
        <v>0</v>
      </c>
      <c r="X36" s="48">
        <f>('TUSD BE'!$Y$36+'TUSD BF'!$Y$36+'TUSD CVA'!$Y$36)*(1 - CUSTOS!$M$38)</f>
        <v>56.598604765644119</v>
      </c>
      <c r="Y36" s="48">
        <f>('TUSD BE'!$Z$36+'TUSD BF'!$Z$36+'TUSD CVA'!$Z$36)*(1 - CUSTOS!$M$38)</f>
        <v>0</v>
      </c>
      <c r="Z36" s="48">
        <f>('TUSD BE'!$AA$36+'TUSD BF'!$AA$36+'TUSD CVA'!$AA$36)*(1 - CUSTOS!$M$38)</f>
        <v>0</v>
      </c>
      <c r="AA36" s="48">
        <f>('TUSD BE'!$AC$36+'TUSD BF'!$AC$36+'TUSD CVA'!$AC$36)*(1 - CUSTOS!$M$38)</f>
        <v>52.683099646732074</v>
      </c>
      <c r="AB36" s="48">
        <f ca="1">('TUSD BE'!$AE$36+'TUSD BF'!$AE$36+'TUSD CVA'!$AE$36)*(1 - CUSTOS!$M$38)</f>
        <v>-0.92916083768706681</v>
      </c>
      <c r="AC36" s="48">
        <f ca="1">('TUSD BE'!$AF$36+'TUSD BF'!$AF$36+'TUSD CVA'!$AF$36)*(1 - CUSTOS!$M$38)</f>
        <v>0</v>
      </c>
      <c r="AD36" s="48">
        <f>('TUSD BE'!$AH$36+'TUSD BF'!$AH$36+'TUSD CVA'!$AH$36)*(1 - CUSTOS!$M$38)</f>
        <v>15.599903563903123</v>
      </c>
      <c r="AE36" s="48">
        <f>('TUSD BE'!$AI$36+'TUSD BF'!$AI$36+'TUSD CVA'!$AI$36)*(1 - CUSTOS!$M$38)</f>
        <v>0.40093448904620438</v>
      </c>
      <c r="AF36" s="48">
        <f ca="1">('TUSD BE'!$AJ$36+'TUSD BF'!$AJ$36+'TUSD CVA'!$AJ$36)*(1 - CUSTOS!$M$38)</f>
        <v>0</v>
      </c>
      <c r="AG36" s="48">
        <f ca="1">('TUSD BE'!$AK$36+'TUSD BF'!$AK$36+'TUSD CVA'!$AK$36)*(1 - CUSTOS!$M$38)</f>
        <v>0</v>
      </c>
      <c r="AI36" s="48">
        <v>0</v>
      </c>
      <c r="AJ36" s="48">
        <v>0.88864690179058003</v>
      </c>
      <c r="AK36" s="48">
        <v>0</v>
      </c>
      <c r="AL36" s="48">
        <v>0</v>
      </c>
      <c r="AM36" s="48">
        <v>0</v>
      </c>
      <c r="AN36" s="48">
        <v>52.282792081274302</v>
      </c>
      <c r="AO36" s="48">
        <v>8.1078656845643398</v>
      </c>
      <c r="AP36" s="48">
        <v>0</v>
      </c>
      <c r="AQ36" s="48">
        <v>6.4434434355019299</v>
      </c>
      <c r="AR36" s="48">
        <v>5.2378367569874102</v>
      </c>
      <c r="AS36" s="48">
        <v>0.394153186921951</v>
      </c>
      <c r="AT36" s="48">
        <v>0</v>
      </c>
      <c r="AU36" s="48">
        <v>52.390471348462199</v>
      </c>
      <c r="AV36" s="48">
        <v>0</v>
      </c>
      <c r="AW36" s="48">
        <v>0</v>
      </c>
      <c r="AX36" s="48">
        <v>62.555529018894802</v>
      </c>
      <c r="AY36" s="48">
        <v>-3.8150012897667001</v>
      </c>
      <c r="AZ36" s="48">
        <v>0</v>
      </c>
      <c r="BA36" s="48">
        <v>15.9907887289387</v>
      </c>
      <c r="BB36" s="48">
        <v>0.450411289840288</v>
      </c>
      <c r="BC36" s="48">
        <v>0</v>
      </c>
      <c r="BD36" s="48">
        <v>0</v>
      </c>
    </row>
    <row r="37" spans="1:56" ht="11.25" customHeight="1" x14ac:dyDescent="0.25">
      <c r="A37" s="109"/>
      <c r="B37" s="51" t="s">
        <v>23</v>
      </c>
      <c r="C37" s="51" t="s">
        <v>42</v>
      </c>
      <c r="D37" s="51" t="s">
        <v>25</v>
      </c>
      <c r="E37" s="51" t="s">
        <v>25</v>
      </c>
      <c r="F37" s="51" t="s">
        <v>25</v>
      </c>
      <c r="G37" s="52" t="s">
        <v>88</v>
      </c>
      <c r="H37" s="52" t="s">
        <v>82</v>
      </c>
      <c r="I37" s="52">
        <f>'MERCADO TUSD'!$U$34</f>
        <v>185983.22399999999</v>
      </c>
      <c r="J37" s="15"/>
      <c r="L37" s="48">
        <f>('TUSD BE'!$L$37+'TUSD BF'!$L$37+'TUSD CVA'!$L$37)*(1 - CUSTOS!$M$38)</f>
        <v>0</v>
      </c>
      <c r="M37" s="48">
        <f>('TUSD BE'!$M$37+'TUSD BF'!$M$37+'TUSD CVA'!$M$37)*(1 - CUSTOS!$M$38)</f>
        <v>0.73500952481977699</v>
      </c>
      <c r="N37" s="48">
        <f ca="1">('TUSD BE'!$N$37+'TUSD BF'!$N$37+'TUSD CVA'!$N$37)*(1 - CUSTOS!$M$38)</f>
        <v>0</v>
      </c>
      <c r="O37" s="48">
        <f>('TUSD BE'!$O$37+'TUSD BF'!$O$37+'TUSD CVA'!$O$37)*(1 - CUSTOS!$M$38)</f>
        <v>0</v>
      </c>
      <c r="P37" s="48">
        <f>('TUSD BE'!$P$37+'TUSD BF'!$P$37+'TUSD CVA'!$P$37)*(1 - CUSTOS!$M$38)</f>
        <v>0</v>
      </c>
      <c r="Q37" s="48">
        <f>('TUSD BE'!$Q$37+'TUSD BF'!$Q$37+'TUSD CVA'!$Q$37)*(1 - CUSTOS!$M$38)</f>
        <v>79.175949419310314</v>
      </c>
      <c r="R37" s="48">
        <f>('TUSD BE'!$R$37+'TUSD BF'!$R$37+'TUSD CVA'!$R$37)*(1 - CUSTOS!$M$38)</f>
        <v>12.52403488260355</v>
      </c>
      <c r="S37" s="48">
        <f>('TUSD BE'!$S$37+'TUSD BF'!$S$37+'TUSD CVA'!$S$37)*(1 - CUSTOS!$M$38)</f>
        <v>0</v>
      </c>
      <c r="T37" s="48">
        <f>('TUSD BE'!$U$37+'TUSD BF'!$U$37+'TUSD CVA'!$U$37)*(1 - CUSTOS!$M$38)</f>
        <v>10.280683804202518</v>
      </c>
      <c r="U37" s="48">
        <f>('TUSD BE'!$V$37+'TUSD BF'!$V$37+'TUSD CVA'!$V$37)*(1 - CUSTOS!$M$38)</f>
        <v>10.660630214071118</v>
      </c>
      <c r="V37" s="48">
        <f>('TUSD BE'!$W$37+'TUSD BF'!$W$37+'TUSD CVA'!$W$37)*(1 - CUSTOS!$M$38)</f>
        <v>2.5837403064026931</v>
      </c>
      <c r="W37" s="48">
        <f>('TUSD BE'!$X$37+'TUSD BF'!$X$37+'TUSD CVA'!$X$37)*(1 - CUSTOS!$M$38)</f>
        <v>0</v>
      </c>
      <c r="X37" s="48">
        <f>('TUSD BE'!$Y$37+'TUSD BF'!$Y$37+'TUSD CVA'!$Y$37)*(1 - CUSTOS!$M$38)</f>
        <v>74.471933548829327</v>
      </c>
      <c r="Y37" s="48">
        <f>('TUSD BE'!$Z$37+'TUSD BF'!$Z$37+'TUSD CVA'!$Z$37)*(1 - CUSTOS!$M$38)</f>
        <v>0</v>
      </c>
      <c r="Z37" s="48">
        <f>('TUSD BE'!$AA$37+'TUSD BF'!$AA$37+'TUSD CVA'!$AA$37)*(1 - CUSTOS!$M$38)</f>
        <v>0</v>
      </c>
      <c r="AA37" s="48">
        <f>('TUSD BE'!$AC$37+'TUSD BF'!$AC$37+'TUSD CVA'!$AC$37)*(1 - CUSTOS!$M$38)</f>
        <v>69.319844774553076</v>
      </c>
      <c r="AB37" s="48">
        <f ca="1">('TUSD BE'!$AE$37+'TUSD BF'!$AE$37+'TUSD CVA'!$AE$37)*(1 - CUSTOS!$M$38)</f>
        <v>-1.1161055618288833</v>
      </c>
      <c r="AC37" s="48">
        <f ca="1">('TUSD BE'!$AF$37+'TUSD BF'!$AF$37+'TUSD CVA'!$AF$37)*(1 - CUSTOS!$M$38)</f>
        <v>0</v>
      </c>
      <c r="AD37" s="48">
        <f>('TUSD BE'!$AH$37+'TUSD BF'!$AH$37+'TUSD CVA'!$AH$37)*(1 - CUSTOS!$M$38)</f>
        <v>15.599903563903123</v>
      </c>
      <c r="AE37" s="48">
        <f>('TUSD BE'!$AI$37+'TUSD BF'!$AI$37+'TUSD CVA'!$AI$37)*(1 - CUSTOS!$M$38)</f>
        <v>0.40093448904620438</v>
      </c>
      <c r="AF37" s="48">
        <f ca="1">('TUSD BE'!$AJ$37+'TUSD BF'!$AJ$37+'TUSD CVA'!$AJ$37)*(1 - CUSTOS!$M$38)</f>
        <v>0</v>
      </c>
      <c r="AG37" s="48">
        <f ca="1">('TUSD BE'!$AK$37+'TUSD BF'!$AK$37+'TUSD CVA'!$AK$37)*(1 - CUSTOS!$M$38)</f>
        <v>0</v>
      </c>
      <c r="AI37" s="48">
        <v>0</v>
      </c>
      <c r="AJ37" s="48">
        <v>0.88864690179058003</v>
      </c>
      <c r="AK37" s="48">
        <v>0</v>
      </c>
      <c r="AL37" s="48">
        <v>0</v>
      </c>
      <c r="AM37" s="48">
        <v>0</v>
      </c>
      <c r="AN37" s="48">
        <v>52.282792081274302</v>
      </c>
      <c r="AO37" s="48">
        <v>8.1078656845643398</v>
      </c>
      <c r="AP37" s="48">
        <v>0</v>
      </c>
      <c r="AQ37" s="48">
        <v>8.4782902107568603</v>
      </c>
      <c r="AR37" s="48">
        <v>6.8919309481741502</v>
      </c>
      <c r="AS37" s="48">
        <v>0.51859142684218595</v>
      </c>
      <c r="AT37" s="48">
        <v>0</v>
      </c>
      <c r="AU37" s="48">
        <v>68.934859864836497</v>
      </c>
      <c r="AV37" s="48">
        <v>0</v>
      </c>
      <c r="AW37" s="48">
        <v>0</v>
      </c>
      <c r="AX37" s="48">
        <v>82.309915468616694</v>
      </c>
      <c r="AY37" s="48">
        <v>-4.6937673603066203</v>
      </c>
      <c r="AZ37" s="48">
        <v>0</v>
      </c>
      <c r="BA37" s="48">
        <v>15.9907887289387</v>
      </c>
      <c r="BB37" s="48">
        <v>0.450411289840288</v>
      </c>
      <c r="BC37" s="48">
        <v>0</v>
      </c>
      <c r="BD37" s="48">
        <v>0</v>
      </c>
    </row>
    <row r="38" spans="1:56" ht="11.25" customHeight="1" x14ac:dyDescent="0.25">
      <c r="A38" s="109"/>
      <c r="B38" s="109" t="s">
        <v>95</v>
      </c>
      <c r="C38" s="109" t="s">
        <v>42</v>
      </c>
      <c r="D38" s="109" t="s">
        <v>98</v>
      </c>
      <c r="E38" s="109" t="s">
        <v>25</v>
      </c>
      <c r="F38" s="109" t="s">
        <v>25</v>
      </c>
      <c r="G38" s="52" t="s">
        <v>83</v>
      </c>
      <c r="H38" s="52" t="s">
        <v>82</v>
      </c>
      <c r="I38" s="52">
        <f>'MERCADO TUSD'!$U$35</f>
        <v>0</v>
      </c>
      <c r="J38" s="15"/>
      <c r="L38" s="48">
        <f>('TUSD BE'!$L$38+'TUSD BF'!$L$38+'TUSD CVA'!$L$38)*(1 - CUSTOS!$M$39)</f>
        <v>0</v>
      </c>
      <c r="M38" s="48">
        <f>('TUSD BE'!$M$38+'TUSD BF'!$M$38+'TUSD CVA'!$M$38)*(1 - CUSTOS!$M$39)</f>
        <v>0.73500952481977699</v>
      </c>
      <c r="N38" s="48">
        <f ca="1">('TUSD BE'!$N$38+'TUSD BF'!$N$38+'TUSD CVA'!$N$38)*(1 - CUSTOS!$M$39)</f>
        <v>0</v>
      </c>
      <c r="O38" s="48">
        <f>('TUSD BE'!$O$38+'TUSD BF'!$O$38+'TUSD CVA'!$O$38)*(1 - CUSTOS!$M$39)</f>
        <v>0</v>
      </c>
      <c r="P38" s="48">
        <f>('TUSD BE'!$P$38+'TUSD BF'!$P$38+'TUSD CVA'!$P$38)*(1 - CUSTOS!$M$39)</f>
        <v>0</v>
      </c>
      <c r="Q38" s="48">
        <f>('TUSD BE'!$Q$38+'TUSD BF'!$Q$38+'TUSD CVA'!$Q$38)*(1 - CUSTOS!$M$39)</f>
        <v>79.175949419310314</v>
      </c>
      <c r="R38" s="48">
        <f>('TUSD BE'!$R$38+'TUSD BF'!$R$38+'TUSD CVA'!$R$38)*(1 - CUSTOS!$M$39)</f>
        <v>12.52403488260355</v>
      </c>
      <c r="S38" s="48">
        <f>('TUSD BE'!$S$38+'TUSD BF'!$S$38+'TUSD CVA'!$S$38)*(1 - CUSTOS!$M$39)</f>
        <v>0</v>
      </c>
      <c r="T38" s="48">
        <f>('TUSD BE'!$U$38+'TUSD BF'!$U$38+'TUSD CVA'!$U$38)*(1 - CUSTOS!$M$39)</f>
        <v>23.9087271118985</v>
      </c>
      <c r="U38" s="48">
        <f>('TUSD BE'!$V$38+'TUSD BF'!$V$38+'TUSD CVA'!$V$38)*(1 - CUSTOS!$M$39)</f>
        <v>24.792163288537481</v>
      </c>
      <c r="V38" s="48">
        <f>('TUSD BE'!$W$38+'TUSD BF'!$W$38+'TUSD CVA'!$W$38)*(1 - CUSTOS!$M$39)</f>
        <v>6.0088348966017957</v>
      </c>
      <c r="W38" s="48">
        <f>('TUSD BE'!$X$38+'TUSD BF'!$X$38+'TUSD CVA'!$X$38)*(1 - CUSTOS!$M$39)</f>
        <v>0</v>
      </c>
      <c r="X38" s="48">
        <f>('TUSD BE'!$Y$38+'TUSD BF'!$Y$38+'TUSD CVA'!$Y$38)*(1 - CUSTOS!$M$39)</f>
        <v>173.19205855563297</v>
      </c>
      <c r="Y38" s="48">
        <f>('TUSD BE'!$Z$38+'TUSD BF'!$Z$38+'TUSD CVA'!$Z$38)*(1 - CUSTOS!$M$39)</f>
        <v>0</v>
      </c>
      <c r="Z38" s="48">
        <f>('TUSD BE'!$AA$38+'TUSD BF'!$AA$38+'TUSD CVA'!$AA$38)*(1 - CUSTOS!$M$39)</f>
        <v>0</v>
      </c>
      <c r="AA38" s="48">
        <f>('TUSD BE'!$AC$38+'TUSD BF'!$AC$38+'TUSD CVA'!$AC$38)*(1 - CUSTOS!$M$39)</f>
        <v>161.21023793747551</v>
      </c>
      <c r="AB38" s="48">
        <f ca="1">('TUSD BE'!$AE$38+'TUSD BF'!$AE$38+'TUSD CVA'!$AE$38)*(1 - CUSTOS!$M$39)</f>
        <v>-2.148658354579652</v>
      </c>
      <c r="AC38" s="48">
        <f ca="1">('TUSD BE'!$AF$38+'TUSD BF'!$AF$38+'TUSD CVA'!$AF$38)*(1 - CUSTOS!$M$39)</f>
        <v>0</v>
      </c>
      <c r="AD38" s="48">
        <f>('TUSD BE'!$AH$38+'TUSD BF'!$AH$38+'TUSD CVA'!$AH$38)*(1 - CUSTOS!$M$39)</f>
        <v>15.599903563903123</v>
      </c>
      <c r="AE38" s="48">
        <f>('TUSD BE'!$AI$38+'TUSD BF'!$AI$38+'TUSD CVA'!$AI$38)*(1 - CUSTOS!$M$39)</f>
        <v>0.40093448904620438</v>
      </c>
      <c r="AF38" s="48">
        <f ca="1">('TUSD BE'!$AJ$38+'TUSD BF'!$AJ$38+'TUSD CVA'!$AJ$38)*(1 - CUSTOS!$M$39)</f>
        <v>0</v>
      </c>
      <c r="AG38" s="48">
        <f ca="1">('TUSD BE'!$AK$38+'TUSD BF'!$AK$38+'TUSD CVA'!$AK$38)*(1 - CUSTOS!$M$39)</f>
        <v>0</v>
      </c>
      <c r="AI38" s="48">
        <v>0</v>
      </c>
      <c r="AJ38" s="48">
        <v>0.88864690179058003</v>
      </c>
      <c r="AK38" s="48">
        <v>0</v>
      </c>
      <c r="AL38" s="48">
        <v>0</v>
      </c>
      <c r="AM38" s="48">
        <v>0</v>
      </c>
      <c r="AN38" s="48">
        <v>52.282792081274302</v>
      </c>
      <c r="AO38" s="48">
        <v>8.1078656845643398</v>
      </c>
      <c r="AP38" s="48">
        <v>0</v>
      </c>
      <c r="AQ38" s="48">
        <v>19.717020402543</v>
      </c>
      <c r="AR38" s="48">
        <v>16.0277387257476</v>
      </c>
      <c r="AS38" s="48">
        <v>1.2060633221475501</v>
      </c>
      <c r="AT38" s="48">
        <v>0</v>
      </c>
      <c r="AU38" s="48">
        <v>160.31499515310799</v>
      </c>
      <c r="AV38" s="48">
        <v>0</v>
      </c>
      <c r="AW38" s="48">
        <v>0</v>
      </c>
      <c r="AX38" s="48">
        <v>191.41991121840701</v>
      </c>
      <c r="AY38" s="48">
        <v>-9.5474763459064</v>
      </c>
      <c r="AZ38" s="48">
        <v>0</v>
      </c>
      <c r="BA38" s="48">
        <v>15.9907887289387</v>
      </c>
      <c r="BB38" s="48">
        <v>0.450411289840288</v>
      </c>
      <c r="BC38" s="48">
        <v>0</v>
      </c>
      <c r="BD38" s="48">
        <v>0</v>
      </c>
    </row>
    <row r="39" spans="1:56" ht="11.25" customHeight="1" x14ac:dyDescent="0.25">
      <c r="A39" s="109"/>
      <c r="B39" s="109"/>
      <c r="C39" s="109"/>
      <c r="D39" s="109"/>
      <c r="E39" s="109"/>
      <c r="F39" s="109"/>
      <c r="G39" s="52" t="s">
        <v>94</v>
      </c>
      <c r="H39" s="52" t="s">
        <v>82</v>
      </c>
      <c r="I39" s="52">
        <f>'MERCADO TUSD'!$U$36</f>
        <v>0</v>
      </c>
      <c r="J39" s="15"/>
      <c r="L39" s="48">
        <f>('TUSD BE'!$L$39+'TUSD BF'!$L$39+'TUSD CVA'!$L$39)*(1 - CUSTOS!$M$39)</f>
        <v>0</v>
      </c>
      <c r="M39" s="48">
        <f>('TUSD BE'!$M$39+'TUSD BF'!$M$39+'TUSD CVA'!$M$39)*(1 - CUSTOS!$M$39)</f>
        <v>0.73500952481977699</v>
      </c>
      <c r="N39" s="48">
        <f ca="1">('TUSD BE'!$N$39+'TUSD BF'!$N$39+'TUSD CVA'!$N$39)*(1 - CUSTOS!$M$39)</f>
        <v>0</v>
      </c>
      <c r="O39" s="48">
        <f>('TUSD BE'!$O$39+'TUSD BF'!$O$39+'TUSD CVA'!$O$39)*(1 - CUSTOS!$M$39)</f>
        <v>0</v>
      </c>
      <c r="P39" s="48">
        <f>('TUSD BE'!$P$39+'TUSD BF'!$P$39+'TUSD CVA'!$P$39)*(1 - CUSTOS!$M$39)</f>
        <v>0</v>
      </c>
      <c r="Q39" s="48">
        <f>('TUSD BE'!$Q$39+'TUSD BF'!$Q$39+'TUSD CVA'!$Q$39)*(1 - CUSTOS!$M$39)</f>
        <v>79.175949419310314</v>
      </c>
      <c r="R39" s="48">
        <f>('TUSD BE'!$R$39+'TUSD BF'!$R$39+'TUSD CVA'!$R$39)*(1 - CUSTOS!$M$39)</f>
        <v>12.52403488260355</v>
      </c>
      <c r="S39" s="48">
        <f>('TUSD BE'!$S$39+'TUSD BF'!$S$39+'TUSD CVA'!$S$39)*(1 - CUSTOS!$M$39)</f>
        <v>0</v>
      </c>
      <c r="T39" s="48">
        <f>('TUSD BE'!$U$39+'TUSD BF'!$U$39+'TUSD CVA'!$U$39)*(1 - CUSTOS!$M$39)</f>
        <v>12.188731685742898</v>
      </c>
      <c r="U39" s="48">
        <f>('TUSD BE'!$V$39+'TUSD BF'!$V$39+'TUSD CVA'!$V$39)*(1 - CUSTOS!$M$39)</f>
        <v>12.639274526663113</v>
      </c>
      <c r="V39" s="48">
        <f>('TUSD BE'!$W$39+'TUSD BF'!$W$39+'TUSD CVA'!$W$39)*(1 - CUSTOS!$M$39)</f>
        <v>3.0636057438470403</v>
      </c>
      <c r="W39" s="48">
        <f>('TUSD BE'!$X$39+'TUSD BF'!$X$39+'TUSD CVA'!$X$39)*(1 - CUSTOS!$M$39)</f>
        <v>0</v>
      </c>
      <c r="X39" s="48">
        <f>('TUSD BE'!$Y$39+'TUSD BF'!$Y$39+'TUSD CVA'!$Y$39)*(1 - CUSTOS!$M$39)</f>
        <v>88.294043521389838</v>
      </c>
      <c r="Y39" s="48">
        <f>('TUSD BE'!$Z$39+'TUSD BF'!$Z$39+'TUSD CVA'!$Z$39)*(1 - CUSTOS!$M$39)</f>
        <v>0</v>
      </c>
      <c r="Z39" s="48">
        <f>('TUSD BE'!$AA$39+'TUSD BF'!$AA$39+'TUSD CVA'!$AA$39)*(1 - CUSTOS!$M$39)</f>
        <v>0</v>
      </c>
      <c r="AA39" s="48">
        <f>('TUSD BE'!$AC$39+'TUSD BF'!$AC$39+'TUSD CVA'!$AC$39)*(1 - CUSTOS!$M$39)</f>
        <v>82.185625171693516</v>
      </c>
      <c r="AB39" s="48">
        <f ca="1">('TUSD BE'!$AE$39+'TUSD BF'!$AE$39+'TUSD CVA'!$AE$39)*(1 - CUSTOS!$M$39)</f>
        <v>-1.260676771660991</v>
      </c>
      <c r="AC39" s="48">
        <f ca="1">('TUSD BE'!$AF$39+'TUSD BF'!$AF$39+'TUSD CVA'!$AF$39)*(1 - CUSTOS!$M$39)</f>
        <v>0</v>
      </c>
      <c r="AD39" s="48">
        <f>('TUSD BE'!$AH$39+'TUSD BF'!$AH$39+'TUSD CVA'!$AH$39)*(1 - CUSTOS!$M$39)</f>
        <v>15.599903563903123</v>
      </c>
      <c r="AE39" s="48">
        <f>('TUSD BE'!$AI$39+'TUSD BF'!$AI$39+'TUSD CVA'!$AI$39)*(1 - CUSTOS!$M$39)</f>
        <v>0.40093448904620438</v>
      </c>
      <c r="AF39" s="48">
        <f ca="1">('TUSD BE'!$AJ$39+'TUSD BF'!$AJ$39+'TUSD CVA'!$AJ$39)*(1 - CUSTOS!$M$39)</f>
        <v>0</v>
      </c>
      <c r="AG39" s="48">
        <f ca="1">('TUSD BE'!$AK$39+'TUSD BF'!$AK$39+'TUSD CVA'!$AK$39)*(1 - CUSTOS!$M$39)</f>
        <v>0</v>
      </c>
      <c r="AI39" s="48">
        <v>0</v>
      </c>
      <c r="AJ39" s="48">
        <v>0.88864690179058003</v>
      </c>
      <c r="AK39" s="48">
        <v>0</v>
      </c>
      <c r="AL39" s="48">
        <v>0</v>
      </c>
      <c r="AM39" s="48">
        <v>0</v>
      </c>
      <c r="AN39" s="48">
        <v>52.282792081274302</v>
      </c>
      <c r="AO39" s="48">
        <v>8.1078656845643398</v>
      </c>
      <c r="AP39" s="48">
        <v>0</v>
      </c>
      <c r="AQ39" s="48">
        <v>10.051855249290099</v>
      </c>
      <c r="AR39" s="48">
        <v>8.1710385253110491</v>
      </c>
      <c r="AS39" s="48">
        <v>0.61488292201855899</v>
      </c>
      <c r="AT39" s="48">
        <v>0</v>
      </c>
      <c r="AU39" s="48">
        <v>81.729232758380604</v>
      </c>
      <c r="AV39" s="48">
        <v>0</v>
      </c>
      <c r="AW39" s="48">
        <v>0</v>
      </c>
      <c r="AX39" s="48">
        <v>97.586638743983698</v>
      </c>
      <c r="AY39" s="48">
        <v>-5.3733464746606296</v>
      </c>
      <c r="AZ39" s="48">
        <v>0</v>
      </c>
      <c r="BA39" s="48">
        <v>15.9907887289387</v>
      </c>
      <c r="BB39" s="48">
        <v>0.450411289840288</v>
      </c>
      <c r="BC39" s="48">
        <v>0</v>
      </c>
      <c r="BD39" s="48">
        <v>0</v>
      </c>
    </row>
    <row r="40" spans="1:56" ht="11.25" customHeight="1" x14ac:dyDescent="0.25">
      <c r="A40" s="109"/>
      <c r="B40" s="109"/>
      <c r="C40" s="109"/>
      <c r="D40" s="109"/>
      <c r="E40" s="109"/>
      <c r="F40" s="109"/>
      <c r="G40" s="52" t="s">
        <v>84</v>
      </c>
      <c r="H40" s="52" t="s">
        <v>82</v>
      </c>
      <c r="I40" s="52">
        <f>'MERCADO TUSD'!$U$37</f>
        <v>0</v>
      </c>
      <c r="J40" s="15"/>
      <c r="L40" s="48">
        <f>('TUSD BE'!$L$40+'TUSD BF'!$L$40+'TUSD CVA'!$L$40)*(1 - CUSTOS!$M$39)</f>
        <v>0</v>
      </c>
      <c r="M40" s="48">
        <f>('TUSD BE'!$M$40+'TUSD BF'!$M$40+'TUSD CVA'!$M$40)*(1 - CUSTOS!$M$39)</f>
        <v>0.73500952481977699</v>
      </c>
      <c r="N40" s="48">
        <f ca="1">('TUSD BE'!$N$40+'TUSD BF'!$N$40+'TUSD CVA'!$N$40)*(1 - CUSTOS!$M$39)</f>
        <v>0</v>
      </c>
      <c r="O40" s="48">
        <f>('TUSD BE'!$O$40+'TUSD BF'!$O$40+'TUSD CVA'!$O$40)*(1 - CUSTOS!$M$39)</f>
        <v>0</v>
      </c>
      <c r="P40" s="48">
        <f>('TUSD BE'!$P$40+'TUSD BF'!$P$40+'TUSD CVA'!$P$40)*(1 - CUSTOS!$M$39)</f>
        <v>0</v>
      </c>
      <c r="Q40" s="48">
        <f>('TUSD BE'!$Q$40+'TUSD BF'!$Q$40+'TUSD CVA'!$Q$40)*(1 - CUSTOS!$M$39)</f>
        <v>79.175949419310314</v>
      </c>
      <c r="R40" s="48">
        <f>('TUSD BE'!$R$40+'TUSD BF'!$R$40+'TUSD CVA'!$R$40)*(1 - CUSTOS!$M$39)</f>
        <v>12.52403488260355</v>
      </c>
      <c r="S40" s="48">
        <f>('TUSD BE'!$S$40+'TUSD BF'!$S$40+'TUSD CVA'!$S$40)*(1 - CUSTOS!$M$39)</f>
        <v>0</v>
      </c>
      <c r="T40" s="48">
        <f>('TUSD BE'!$U$40+'TUSD BF'!$U$40+'TUSD CVA'!$U$40)*(1 - CUSTOS!$M$39)</f>
        <v>7.8131978727309699</v>
      </c>
      <c r="U40" s="48">
        <f>('TUSD BE'!$V$40+'TUSD BF'!$V$40+'TUSD CVA'!$V$40)*(1 - CUSTOS!$M$39)</f>
        <v>8.1020384305469832</v>
      </c>
      <c r="V40" s="48">
        <f>('TUSD BE'!$W$40+'TUSD BF'!$W$40+'TUSD CVA'!$W$40)*(1 - CUSTOS!$M$39)</f>
        <v>1.9634861018365035</v>
      </c>
      <c r="W40" s="48">
        <f>('TUSD BE'!$X$40+'TUSD BF'!$X$40+'TUSD CVA'!$X$40)*(1 - CUSTOS!$M$39)</f>
        <v>0</v>
      </c>
      <c r="X40" s="48">
        <f>('TUSD BE'!$Y$40+'TUSD BF'!$Y$40+'TUSD CVA'!$Y$40)*(1 - CUSTOS!$M$39)</f>
        <v>56.598604765644119</v>
      </c>
      <c r="Y40" s="48">
        <f>('TUSD BE'!$Z$40+'TUSD BF'!$Z$40+'TUSD CVA'!$Z$40)*(1 - CUSTOS!$M$39)</f>
        <v>0</v>
      </c>
      <c r="Z40" s="48">
        <f>('TUSD BE'!$AA$40+'TUSD BF'!$AA$40+'TUSD CVA'!$AA$40)*(1 - CUSTOS!$M$39)</f>
        <v>0</v>
      </c>
      <c r="AA40" s="48">
        <f>('TUSD BE'!$AC$40+'TUSD BF'!$AC$40+'TUSD CVA'!$AC$40)*(1 - CUSTOS!$M$39)</f>
        <v>52.683099646732074</v>
      </c>
      <c r="AB40" s="48">
        <f ca="1">('TUSD BE'!$AE$40+'TUSD BF'!$AE$40+'TUSD CVA'!$AE$40)*(1 - CUSTOS!$M$39)</f>
        <v>-0.92916083768706681</v>
      </c>
      <c r="AC40" s="48">
        <f ca="1">('TUSD BE'!$AF$40+'TUSD BF'!$AF$40+'TUSD CVA'!$AF$40)*(1 - CUSTOS!$M$39)</f>
        <v>0</v>
      </c>
      <c r="AD40" s="48">
        <f>('TUSD BE'!$AH$40+'TUSD BF'!$AH$40+'TUSD CVA'!$AH$40)*(1 - CUSTOS!$M$39)</f>
        <v>15.599903563903123</v>
      </c>
      <c r="AE40" s="48">
        <f>('TUSD BE'!$AI$40+'TUSD BF'!$AI$40+'TUSD CVA'!$AI$40)*(1 - CUSTOS!$M$39)</f>
        <v>0.40093448904620438</v>
      </c>
      <c r="AF40" s="48">
        <f ca="1">('TUSD BE'!$AJ$40+'TUSD BF'!$AJ$40+'TUSD CVA'!$AJ$40)*(1 - CUSTOS!$M$39)</f>
        <v>0</v>
      </c>
      <c r="AG40" s="48">
        <f ca="1">('TUSD BE'!$AK$40+'TUSD BF'!$AK$40+'TUSD CVA'!$AK$40)*(1 - CUSTOS!$M$39)</f>
        <v>0</v>
      </c>
      <c r="AI40" s="48">
        <v>0</v>
      </c>
      <c r="AJ40" s="48">
        <v>0.88864690179058003</v>
      </c>
      <c r="AK40" s="48">
        <v>0</v>
      </c>
      <c r="AL40" s="48">
        <v>0</v>
      </c>
      <c r="AM40" s="48">
        <v>0</v>
      </c>
      <c r="AN40" s="48">
        <v>52.282792081274302</v>
      </c>
      <c r="AO40" s="48">
        <v>8.1078656845643398</v>
      </c>
      <c r="AP40" s="48">
        <v>0</v>
      </c>
      <c r="AQ40" s="48">
        <v>6.4434434355019299</v>
      </c>
      <c r="AR40" s="48">
        <v>5.2378367569874102</v>
      </c>
      <c r="AS40" s="48">
        <v>0.394153186921951</v>
      </c>
      <c r="AT40" s="48">
        <v>0</v>
      </c>
      <c r="AU40" s="48">
        <v>52.390471348462199</v>
      </c>
      <c r="AV40" s="48">
        <v>0</v>
      </c>
      <c r="AW40" s="48">
        <v>0</v>
      </c>
      <c r="AX40" s="48">
        <v>62.555529018894802</v>
      </c>
      <c r="AY40" s="48">
        <v>-3.8150012897667001</v>
      </c>
      <c r="AZ40" s="48">
        <v>0</v>
      </c>
      <c r="BA40" s="48">
        <v>15.9907887289387</v>
      </c>
      <c r="BB40" s="48">
        <v>0.450411289840288</v>
      </c>
      <c r="BC40" s="48">
        <v>0</v>
      </c>
      <c r="BD40" s="48">
        <v>0</v>
      </c>
    </row>
    <row r="41" spans="1:56" ht="11.25" customHeight="1" x14ac:dyDescent="0.25">
      <c r="A41" s="109"/>
      <c r="B41" s="51" t="s">
        <v>23</v>
      </c>
      <c r="C41" s="51" t="s">
        <v>42</v>
      </c>
      <c r="D41" s="51" t="s">
        <v>98</v>
      </c>
      <c r="E41" s="51" t="s">
        <v>25</v>
      </c>
      <c r="F41" s="51" t="s">
        <v>25</v>
      </c>
      <c r="G41" s="52" t="s">
        <v>88</v>
      </c>
      <c r="H41" s="52" t="s">
        <v>82</v>
      </c>
      <c r="I41" s="52">
        <f>'MERCADO TUSD'!$U$38</f>
        <v>0</v>
      </c>
      <c r="J41" s="15"/>
      <c r="L41" s="48">
        <f>('TUSD BE'!$L$41+'TUSD BF'!$L$41+'TUSD CVA'!$L$41)*(1 - CUSTOS!$M$39)</f>
        <v>0</v>
      </c>
      <c r="M41" s="48">
        <f>('TUSD BE'!$M$41+'TUSD BF'!$M$41+'TUSD CVA'!$M$41)*(1 - CUSTOS!$M$39)</f>
        <v>0.73500952481977699</v>
      </c>
      <c r="N41" s="48">
        <f ca="1">('TUSD BE'!$N$41+'TUSD BF'!$N$41+'TUSD CVA'!$N$41)*(1 - CUSTOS!$M$39)</f>
        <v>0</v>
      </c>
      <c r="O41" s="48">
        <f>('TUSD BE'!$O$41+'TUSD BF'!$O$41+'TUSD CVA'!$O$41)*(1 - CUSTOS!$M$39)</f>
        <v>0</v>
      </c>
      <c r="P41" s="48">
        <f>('TUSD BE'!$P$41+'TUSD BF'!$P$41+'TUSD CVA'!$P$41)*(1 - CUSTOS!$M$39)</f>
        <v>0</v>
      </c>
      <c r="Q41" s="48">
        <f>('TUSD BE'!$Q$41+'TUSD BF'!$Q$41+'TUSD CVA'!$Q$41)*(1 - CUSTOS!$M$39)</f>
        <v>79.175949419310314</v>
      </c>
      <c r="R41" s="48">
        <f>('TUSD BE'!$R$41+'TUSD BF'!$R$41+'TUSD CVA'!$R$41)*(1 - CUSTOS!$M$39)</f>
        <v>12.52403488260355</v>
      </c>
      <c r="S41" s="48">
        <f>('TUSD BE'!$S$41+'TUSD BF'!$S$41+'TUSD CVA'!$S$41)*(1 - CUSTOS!$M$39)</f>
        <v>0</v>
      </c>
      <c r="T41" s="48">
        <f>('TUSD BE'!$U$41+'TUSD BF'!$U$41+'TUSD CVA'!$U$41)*(1 - CUSTOS!$M$39)</f>
        <v>10.280683804202518</v>
      </c>
      <c r="U41" s="48">
        <f>('TUSD BE'!$V$41+'TUSD BF'!$V$41+'TUSD CVA'!$V$41)*(1 - CUSTOS!$M$39)</f>
        <v>10.660630214071118</v>
      </c>
      <c r="V41" s="48">
        <f>('TUSD BE'!$W$41+'TUSD BF'!$W$41+'TUSD CVA'!$W$41)*(1 - CUSTOS!$M$39)</f>
        <v>2.5837403064026931</v>
      </c>
      <c r="W41" s="48">
        <f>('TUSD BE'!$X$41+'TUSD BF'!$X$41+'TUSD CVA'!$X$41)*(1 - CUSTOS!$M$39)</f>
        <v>0</v>
      </c>
      <c r="X41" s="48">
        <f>('TUSD BE'!$Y$41+'TUSD BF'!$Y$41+'TUSD CVA'!$Y$41)*(1 - CUSTOS!$M$39)</f>
        <v>74.471933548829327</v>
      </c>
      <c r="Y41" s="48">
        <f>('TUSD BE'!$Z$41+'TUSD BF'!$Z$41+'TUSD CVA'!$Z$41)*(1 - CUSTOS!$M$39)</f>
        <v>0</v>
      </c>
      <c r="Z41" s="48">
        <f>('TUSD BE'!$AA$41+'TUSD BF'!$AA$41+'TUSD CVA'!$AA$41)*(1 - CUSTOS!$M$39)</f>
        <v>0</v>
      </c>
      <c r="AA41" s="48">
        <f>('TUSD BE'!$AC$41+'TUSD BF'!$AC$41+'TUSD CVA'!$AC$41)*(1 - CUSTOS!$M$39)</f>
        <v>69.319844774553076</v>
      </c>
      <c r="AB41" s="48">
        <f ca="1">('TUSD BE'!$AE$41+'TUSD BF'!$AE$41+'TUSD CVA'!$AE$41)*(1 - CUSTOS!$M$39)</f>
        <v>-1.1161055618288833</v>
      </c>
      <c r="AC41" s="48">
        <f ca="1">('TUSD BE'!$AF$41+'TUSD BF'!$AF$41+'TUSD CVA'!$AF$41)*(1 - CUSTOS!$M$39)</f>
        <v>0</v>
      </c>
      <c r="AD41" s="48">
        <f>('TUSD BE'!$AH$41+'TUSD BF'!$AH$41+'TUSD CVA'!$AH$41)*(1 - CUSTOS!$M$39)</f>
        <v>15.599903563903123</v>
      </c>
      <c r="AE41" s="48">
        <f>('TUSD BE'!$AI$41+'TUSD BF'!$AI$41+'TUSD CVA'!$AI$41)*(1 - CUSTOS!$M$39)</f>
        <v>0.40093448904620438</v>
      </c>
      <c r="AF41" s="48">
        <f ca="1">('TUSD BE'!$AJ$41+'TUSD BF'!$AJ$41+'TUSD CVA'!$AJ$41)*(1 - CUSTOS!$M$39)</f>
        <v>0</v>
      </c>
      <c r="AG41" s="48">
        <f ca="1">('TUSD BE'!$AK$41+'TUSD BF'!$AK$41+'TUSD CVA'!$AK$41)*(1 - CUSTOS!$M$39)</f>
        <v>0</v>
      </c>
      <c r="AI41" s="48">
        <v>0</v>
      </c>
      <c r="AJ41" s="48">
        <v>0.88864690179058003</v>
      </c>
      <c r="AK41" s="48">
        <v>0</v>
      </c>
      <c r="AL41" s="48">
        <v>0</v>
      </c>
      <c r="AM41" s="48">
        <v>0</v>
      </c>
      <c r="AN41" s="48">
        <v>52.282792081274302</v>
      </c>
      <c r="AO41" s="48">
        <v>8.1078656845643398</v>
      </c>
      <c r="AP41" s="48">
        <v>0</v>
      </c>
      <c r="AQ41" s="48">
        <v>8.4782902107568603</v>
      </c>
      <c r="AR41" s="48">
        <v>6.8919309481741502</v>
      </c>
      <c r="AS41" s="48">
        <v>0.51859142684218595</v>
      </c>
      <c r="AT41" s="48">
        <v>0</v>
      </c>
      <c r="AU41" s="48">
        <v>68.934859864836497</v>
      </c>
      <c r="AV41" s="48">
        <v>0</v>
      </c>
      <c r="AW41" s="48">
        <v>0</v>
      </c>
      <c r="AX41" s="48">
        <v>82.309915468616694</v>
      </c>
      <c r="AY41" s="48">
        <v>-4.6937673603066203</v>
      </c>
      <c r="AZ41" s="48">
        <v>0</v>
      </c>
      <c r="BA41" s="48">
        <v>15.9907887289387</v>
      </c>
      <c r="BB41" s="48">
        <v>0.450411289840288</v>
      </c>
      <c r="BC41" s="48">
        <v>0</v>
      </c>
      <c r="BD41" s="48">
        <v>0</v>
      </c>
    </row>
    <row r="42" spans="1:56" ht="11.25" customHeight="1" x14ac:dyDescent="0.25">
      <c r="A42" s="109"/>
      <c r="B42" s="109" t="s">
        <v>95</v>
      </c>
      <c r="C42" s="109" t="s">
        <v>42</v>
      </c>
      <c r="D42" s="109" t="s">
        <v>99</v>
      </c>
      <c r="E42" s="109" t="s">
        <v>25</v>
      </c>
      <c r="F42" s="109" t="s">
        <v>25</v>
      </c>
      <c r="G42" s="52" t="s">
        <v>83</v>
      </c>
      <c r="H42" s="52" t="s">
        <v>82</v>
      </c>
      <c r="I42" s="52">
        <f>'MERCADO TUSD'!$U$39</f>
        <v>0</v>
      </c>
      <c r="J42" s="15"/>
      <c r="L42" s="48">
        <f>('TUSD BE'!$L$42+'TUSD BF'!$L$42+'TUSD CVA'!$L$42)*(1 - CUSTOS!$M$40)</f>
        <v>0</v>
      </c>
      <c r="M42" s="48">
        <f>('TUSD BE'!$M$42+'TUSD BF'!$M$42+'TUSD CVA'!$M$42)*(1 - CUSTOS!$M$40)</f>
        <v>0.71937102429169664</v>
      </c>
      <c r="N42" s="48">
        <f ca="1">('TUSD BE'!$N$42+'TUSD BF'!$N$42+'TUSD CVA'!$N$42)*(1 - CUSTOS!$M$40)</f>
        <v>0</v>
      </c>
      <c r="O42" s="48">
        <f>('TUSD BE'!$O$42+'TUSD BF'!$O$42+'TUSD CVA'!$O$42)*(1 - CUSTOS!$M$40)</f>
        <v>0</v>
      </c>
      <c r="P42" s="48">
        <f>('TUSD BE'!$P$42+'TUSD BF'!$P$42+'TUSD CVA'!$P$42)*(1 - CUSTOS!$M$40)</f>
        <v>0</v>
      </c>
      <c r="Q42" s="48">
        <f>('TUSD BE'!$Q$42+'TUSD BF'!$Q$42+'TUSD CVA'!$Q$42)*(1 - CUSTOS!$M$40)</f>
        <v>77.491354750814352</v>
      </c>
      <c r="R42" s="48">
        <f>('TUSD BE'!$R$42+'TUSD BF'!$R$42+'TUSD CVA'!$R$42)*(1 - CUSTOS!$M$40)</f>
        <v>12.257566055314113</v>
      </c>
      <c r="S42" s="48">
        <f>('TUSD BE'!$S$42+'TUSD BF'!$S$42+'TUSD CVA'!$S$42)*(1 - CUSTOS!$M$40)</f>
        <v>0</v>
      </c>
      <c r="T42" s="48">
        <f>('TUSD BE'!$U$42+'TUSD BF'!$U$42+'TUSD CVA'!$U$42)*(1 - CUSTOS!$M$40)</f>
        <v>23.400030790368746</v>
      </c>
      <c r="U42" s="48">
        <f>('TUSD BE'!$V$42+'TUSD BF'!$V$42+'TUSD CVA'!$V$42)*(1 - CUSTOS!$M$40)</f>
        <v>24.264670452611153</v>
      </c>
      <c r="V42" s="48">
        <f>('TUSD BE'!$W$42+'TUSD BF'!$W$42+'TUSD CVA'!$W$42)*(1 - CUSTOS!$M$40)</f>
        <v>5.8809873456102686</v>
      </c>
      <c r="W42" s="48">
        <f>('TUSD BE'!$X$42+'TUSD BF'!$X$42+'TUSD CVA'!$X$42)*(1 - CUSTOS!$M$40)</f>
        <v>0</v>
      </c>
      <c r="X42" s="48">
        <f>('TUSD BE'!$Y$42+'TUSD BF'!$Y$42+'TUSD CVA'!$Y$42)*(1 - CUSTOS!$M$40)</f>
        <v>169.50712113955569</v>
      </c>
      <c r="Y42" s="48">
        <f>('TUSD BE'!$Z$42+'TUSD BF'!$Z$42+'TUSD CVA'!$Z$42)*(1 - CUSTOS!$M$40)</f>
        <v>0</v>
      </c>
      <c r="Z42" s="48">
        <f>('TUSD BE'!$AA$42+'TUSD BF'!$AA$42+'TUSD CVA'!$AA$42)*(1 - CUSTOS!$M$40)</f>
        <v>0</v>
      </c>
      <c r="AA42" s="48">
        <f>('TUSD BE'!$AC$42+'TUSD BF'!$AC$42+'TUSD CVA'!$AC$42)*(1 - CUSTOS!$M$40)</f>
        <v>157.78023287497606</v>
      </c>
      <c r="AB42" s="48">
        <f ca="1">('TUSD BE'!$AE$42+'TUSD BF'!$AE$42+'TUSD CVA'!$AE$42)*(1 - CUSTOS!$M$40)</f>
        <v>-2.10294221937583</v>
      </c>
      <c r="AC42" s="48">
        <f ca="1">('TUSD BE'!$AF$42+'TUSD BF'!$AF$42+'TUSD CVA'!$AF$42)*(1 - CUSTOS!$M$40)</f>
        <v>0</v>
      </c>
      <c r="AD42" s="48">
        <f>('TUSD BE'!$AH$42+'TUSD BF'!$AH$42+'TUSD CVA'!$AH$42)*(1 - CUSTOS!$M$40)</f>
        <v>15.267990722117952</v>
      </c>
      <c r="AE42" s="48">
        <f>('TUSD BE'!$AI$42+'TUSD BF'!$AI$42+'TUSD CVA'!$AI$42)*(1 - CUSTOS!$M$40)</f>
        <v>0.39240396800266819</v>
      </c>
      <c r="AF42" s="48">
        <f ca="1">('TUSD BE'!$AJ$42+'TUSD BF'!$AJ$42+'TUSD CVA'!$AJ$42)*(1 - CUSTOS!$M$40)</f>
        <v>0</v>
      </c>
      <c r="AG42" s="48">
        <f ca="1">('TUSD BE'!$AK$42+'TUSD BF'!$AK$42+'TUSD CVA'!$AK$42)*(1 - CUSTOS!$M$40)</f>
        <v>0</v>
      </c>
      <c r="AI42" s="48">
        <v>0</v>
      </c>
      <c r="AJ42" s="48">
        <v>0.84825386080009901</v>
      </c>
      <c r="AK42" s="48">
        <v>0</v>
      </c>
      <c r="AL42" s="48">
        <v>0</v>
      </c>
      <c r="AM42" s="48">
        <v>0</v>
      </c>
      <c r="AN42" s="48">
        <v>49.906301532125397</v>
      </c>
      <c r="AO42" s="48">
        <v>7.73932633526596</v>
      </c>
      <c r="AP42" s="48">
        <v>0</v>
      </c>
      <c r="AQ42" s="48">
        <v>18.820792202427398</v>
      </c>
      <c r="AR42" s="48">
        <v>15.2992051473045</v>
      </c>
      <c r="AS42" s="48">
        <v>1.1512422620499301</v>
      </c>
      <c r="AT42" s="48">
        <v>0</v>
      </c>
      <c r="AU42" s="48">
        <v>153.027949918876</v>
      </c>
      <c r="AV42" s="48">
        <v>0</v>
      </c>
      <c r="AW42" s="48">
        <v>0</v>
      </c>
      <c r="AX42" s="48">
        <v>182.719006163025</v>
      </c>
      <c r="AY42" s="48">
        <v>-9.1135001483651994</v>
      </c>
      <c r="AZ42" s="48">
        <v>0</v>
      </c>
      <c r="BA42" s="48">
        <v>15.2639346958051</v>
      </c>
      <c r="BB42" s="48">
        <v>0.42993804939300201</v>
      </c>
      <c r="BC42" s="48">
        <v>0</v>
      </c>
      <c r="BD42" s="48">
        <v>0</v>
      </c>
    </row>
    <row r="43" spans="1:56" ht="11.25" customHeight="1" x14ac:dyDescent="0.25">
      <c r="A43" s="109"/>
      <c r="B43" s="109"/>
      <c r="C43" s="109"/>
      <c r="D43" s="109"/>
      <c r="E43" s="109"/>
      <c r="F43" s="109"/>
      <c r="G43" s="52" t="s">
        <v>94</v>
      </c>
      <c r="H43" s="52" t="s">
        <v>82</v>
      </c>
      <c r="I43" s="52">
        <f>'MERCADO TUSD'!$U$40</f>
        <v>0</v>
      </c>
      <c r="J43" s="15"/>
      <c r="L43" s="48">
        <f>('TUSD BE'!$L$43+'TUSD BF'!$L$43+'TUSD CVA'!$L$43)*(1 - CUSTOS!$M$40)</f>
        <v>0</v>
      </c>
      <c r="M43" s="48">
        <f>('TUSD BE'!$M$43+'TUSD BF'!$M$43+'TUSD CVA'!$M$43)*(1 - CUSTOS!$M$40)</f>
        <v>0.71937102429169664</v>
      </c>
      <c r="N43" s="48">
        <f ca="1">('TUSD BE'!$N$43+'TUSD BF'!$N$43+'TUSD CVA'!$N$43)*(1 - CUSTOS!$M$40)</f>
        <v>0</v>
      </c>
      <c r="O43" s="48">
        <f>('TUSD BE'!$O$43+'TUSD BF'!$O$43+'TUSD CVA'!$O$43)*(1 - CUSTOS!$M$40)</f>
        <v>0</v>
      </c>
      <c r="P43" s="48">
        <f>('TUSD BE'!$P$43+'TUSD BF'!$P$43+'TUSD CVA'!$P$43)*(1 - CUSTOS!$M$40)</f>
        <v>0</v>
      </c>
      <c r="Q43" s="48">
        <f>('TUSD BE'!$Q$43+'TUSD BF'!$Q$43+'TUSD CVA'!$Q$43)*(1 - CUSTOS!$M$40)</f>
        <v>77.491354750814352</v>
      </c>
      <c r="R43" s="48">
        <f>('TUSD BE'!$R$43+'TUSD BF'!$R$43+'TUSD CVA'!$R$43)*(1 - CUSTOS!$M$40)</f>
        <v>12.257566055314113</v>
      </c>
      <c r="S43" s="48">
        <f>('TUSD BE'!$S$43+'TUSD BF'!$S$43+'TUSD CVA'!$S$43)*(1 - CUSTOS!$M$40)</f>
        <v>0</v>
      </c>
      <c r="T43" s="48">
        <f>('TUSD BE'!$U$43+'TUSD BF'!$U$43+'TUSD CVA'!$U$43)*(1 - CUSTOS!$M$40)</f>
        <v>11.929396969024966</v>
      </c>
      <c r="U43" s="48">
        <f>('TUSD BE'!$V$43+'TUSD BF'!$V$43+'TUSD CVA'!$V$43)*(1 - CUSTOS!$M$40)</f>
        <v>12.370353792053262</v>
      </c>
      <c r="V43" s="48">
        <f>('TUSD BE'!$W$43+'TUSD BF'!$W$43+'TUSD CVA'!$W$43)*(1 - CUSTOS!$M$40)</f>
        <v>2.9984226429141252</v>
      </c>
      <c r="W43" s="48">
        <f>('TUSD BE'!$X$43+'TUSD BF'!$X$43+'TUSD CVA'!$X$43)*(1 - CUSTOS!$M$40)</f>
        <v>0</v>
      </c>
      <c r="X43" s="48">
        <f>('TUSD BE'!$Y$43+'TUSD BF'!$Y$43+'TUSD CVA'!$Y$43)*(1 - CUSTOS!$M$40)</f>
        <v>86.415446850721978</v>
      </c>
      <c r="Y43" s="48">
        <f>('TUSD BE'!$Z$43+'TUSD BF'!$Z$43+'TUSD CVA'!$Z$43)*(1 - CUSTOS!$M$40)</f>
        <v>0</v>
      </c>
      <c r="Z43" s="48">
        <f>('TUSD BE'!$AA$43+'TUSD BF'!$AA$43+'TUSD CVA'!$AA$43)*(1 - CUSTOS!$M$40)</f>
        <v>0</v>
      </c>
      <c r="AA43" s="48">
        <f>('TUSD BE'!$AC$43+'TUSD BF'!$AC$43+'TUSD CVA'!$AC$43)*(1 - CUSTOS!$M$40)</f>
        <v>80.43699484889153</v>
      </c>
      <c r="AB43" s="48">
        <f ca="1">('TUSD BE'!$AE$43+'TUSD BF'!$AE$43+'TUSD CVA'!$AE$43)*(1 - CUSTOS!$M$40)</f>
        <v>-1.2338538616256509</v>
      </c>
      <c r="AC43" s="48">
        <f ca="1">('TUSD BE'!$AF$43+'TUSD BF'!$AF$43+'TUSD CVA'!$AF$43)*(1 - CUSTOS!$M$40)</f>
        <v>0</v>
      </c>
      <c r="AD43" s="48">
        <f>('TUSD BE'!$AH$43+'TUSD BF'!$AH$43+'TUSD CVA'!$AH$43)*(1 - CUSTOS!$M$40)</f>
        <v>15.267990722117952</v>
      </c>
      <c r="AE43" s="48">
        <f>('TUSD BE'!$AI$43+'TUSD BF'!$AI$43+'TUSD CVA'!$AI$43)*(1 - CUSTOS!$M$40)</f>
        <v>0.39240396800266819</v>
      </c>
      <c r="AF43" s="48">
        <f ca="1">('TUSD BE'!$AJ$43+'TUSD BF'!$AJ$43+'TUSD CVA'!$AJ$43)*(1 - CUSTOS!$M$40)</f>
        <v>0</v>
      </c>
      <c r="AG43" s="48">
        <f ca="1">('TUSD BE'!$AK$43+'TUSD BF'!$AK$43+'TUSD CVA'!$AK$43)*(1 - CUSTOS!$M$40)</f>
        <v>0</v>
      </c>
      <c r="AI43" s="48">
        <v>0</v>
      </c>
      <c r="AJ43" s="48">
        <v>0.84825386080009901</v>
      </c>
      <c r="AK43" s="48">
        <v>0</v>
      </c>
      <c r="AL43" s="48">
        <v>0</v>
      </c>
      <c r="AM43" s="48">
        <v>0</v>
      </c>
      <c r="AN43" s="48">
        <v>49.906301532125397</v>
      </c>
      <c r="AO43" s="48">
        <v>7.73932633526596</v>
      </c>
      <c r="AP43" s="48">
        <v>0</v>
      </c>
      <c r="AQ43" s="48">
        <v>9.5949527379587405</v>
      </c>
      <c r="AR43" s="48">
        <v>7.7996276832514502</v>
      </c>
      <c r="AS43" s="48">
        <v>0.58693369829044195</v>
      </c>
      <c r="AT43" s="48">
        <v>0</v>
      </c>
      <c r="AU43" s="48">
        <v>78.014267632999704</v>
      </c>
      <c r="AV43" s="48">
        <v>0</v>
      </c>
      <c r="AW43" s="48">
        <v>0</v>
      </c>
      <c r="AX43" s="48">
        <v>93.150882437438995</v>
      </c>
      <c r="AY43" s="48">
        <v>-5.1291034530851398</v>
      </c>
      <c r="AZ43" s="48">
        <v>0</v>
      </c>
      <c r="BA43" s="48">
        <v>15.2639346958051</v>
      </c>
      <c r="BB43" s="48">
        <v>0.42993804939300201</v>
      </c>
      <c r="BC43" s="48">
        <v>0</v>
      </c>
      <c r="BD43" s="48">
        <v>0</v>
      </c>
    </row>
    <row r="44" spans="1:56" ht="11.25" customHeight="1" x14ac:dyDescent="0.25">
      <c r="A44" s="109"/>
      <c r="B44" s="109"/>
      <c r="C44" s="109"/>
      <c r="D44" s="109"/>
      <c r="E44" s="109"/>
      <c r="F44" s="109"/>
      <c r="G44" s="52" t="s">
        <v>84</v>
      </c>
      <c r="H44" s="52" t="s">
        <v>82</v>
      </c>
      <c r="I44" s="52">
        <f>'MERCADO TUSD'!$U$41</f>
        <v>0</v>
      </c>
      <c r="J44" s="15"/>
      <c r="L44" s="48">
        <f>('TUSD BE'!$L$44+'TUSD BF'!$L$44+'TUSD CVA'!$L$44)*(1 - CUSTOS!$M$40)</f>
        <v>0</v>
      </c>
      <c r="M44" s="48">
        <f>('TUSD BE'!$M$44+'TUSD BF'!$M$44+'TUSD CVA'!$M$44)*(1 - CUSTOS!$M$40)</f>
        <v>0.71937102429169664</v>
      </c>
      <c r="N44" s="48">
        <f ca="1">('TUSD BE'!$N$44+'TUSD BF'!$N$44+'TUSD CVA'!$N$44)*(1 - CUSTOS!$M$40)</f>
        <v>0</v>
      </c>
      <c r="O44" s="48">
        <f>('TUSD BE'!$O$44+'TUSD BF'!$O$44+'TUSD CVA'!$O$44)*(1 - CUSTOS!$M$40)</f>
        <v>0</v>
      </c>
      <c r="P44" s="48">
        <f>('TUSD BE'!$P$44+'TUSD BF'!$P$44+'TUSD CVA'!$P$44)*(1 - CUSTOS!$M$40)</f>
        <v>0</v>
      </c>
      <c r="Q44" s="48">
        <f>('TUSD BE'!$Q$44+'TUSD BF'!$Q$44+'TUSD CVA'!$Q$44)*(1 - CUSTOS!$M$40)</f>
        <v>77.491354750814352</v>
      </c>
      <c r="R44" s="48">
        <f>('TUSD BE'!$R$44+'TUSD BF'!$R$44+'TUSD CVA'!$R$44)*(1 - CUSTOS!$M$40)</f>
        <v>12.257566055314113</v>
      </c>
      <c r="S44" s="48">
        <f>('TUSD BE'!$S$44+'TUSD BF'!$S$44+'TUSD CVA'!$S$44)*(1 - CUSTOS!$M$40)</f>
        <v>0</v>
      </c>
      <c r="T44" s="48">
        <f>('TUSD BE'!$U$44+'TUSD BF'!$U$44+'TUSD CVA'!$U$44)*(1 - CUSTOS!$M$40)</f>
        <v>7.6469596201196737</v>
      </c>
      <c r="U44" s="48">
        <f>('TUSD BE'!$V$44+'TUSD BF'!$V$44+'TUSD CVA'!$V$44)*(1 - CUSTOS!$M$40)</f>
        <v>7.9296546341523664</v>
      </c>
      <c r="V44" s="48">
        <f>('TUSD BE'!$W$44+'TUSD BF'!$W$44+'TUSD CVA'!$W$44)*(1 - CUSTOS!$M$40)</f>
        <v>1.9217098017974292</v>
      </c>
      <c r="W44" s="48">
        <f>('TUSD BE'!$X$44+'TUSD BF'!$X$44+'TUSD CVA'!$X$44)*(1 - CUSTOS!$M$40)</f>
        <v>0</v>
      </c>
      <c r="X44" s="48">
        <f>('TUSD BE'!$Y$44+'TUSD BF'!$Y$44+'TUSD CVA'!$Y$44)*(1 - CUSTOS!$M$40)</f>
        <v>55.394379132332546</v>
      </c>
      <c r="Y44" s="48">
        <f>('TUSD BE'!$Z$44+'TUSD BF'!$Z$44+'TUSD CVA'!$Z$44)*(1 - CUSTOS!$M$40)</f>
        <v>0</v>
      </c>
      <c r="Z44" s="48">
        <f>('TUSD BE'!$AA$44+'TUSD BF'!$AA$44+'TUSD CVA'!$AA$44)*(1 - CUSTOS!$M$40)</f>
        <v>0</v>
      </c>
      <c r="AA44" s="48">
        <f>('TUSD BE'!$AC$44+'TUSD BF'!$AC$44+'TUSD CVA'!$AC$44)*(1 - CUSTOS!$M$40)</f>
        <v>51.562182632971826</v>
      </c>
      <c r="AB44" s="48">
        <f ca="1">('TUSD BE'!$AE$44+'TUSD BF'!$AE$44+'TUSD CVA'!$AE$44)*(1 - CUSTOS!$M$40)</f>
        <v>-0.90939145816181022</v>
      </c>
      <c r="AC44" s="48">
        <f ca="1">('TUSD BE'!$AF$44+'TUSD BF'!$AF$44+'TUSD CVA'!$AF$44)*(1 - CUSTOS!$M$40)</f>
        <v>0</v>
      </c>
      <c r="AD44" s="48">
        <f>('TUSD BE'!$AH$44+'TUSD BF'!$AH$44+'TUSD CVA'!$AH$44)*(1 - CUSTOS!$M$40)</f>
        <v>15.267990722117952</v>
      </c>
      <c r="AE44" s="48">
        <f>('TUSD BE'!$AI$44+'TUSD BF'!$AI$44+'TUSD CVA'!$AI$44)*(1 - CUSTOS!$M$40)</f>
        <v>0.39240396800266819</v>
      </c>
      <c r="AF44" s="48">
        <f ca="1">('TUSD BE'!$AJ$44+'TUSD BF'!$AJ$44+'TUSD CVA'!$AJ$44)*(1 - CUSTOS!$M$40)</f>
        <v>0</v>
      </c>
      <c r="AG44" s="48">
        <f ca="1">('TUSD BE'!$AK$44+'TUSD BF'!$AK$44+'TUSD CVA'!$AK$44)*(1 - CUSTOS!$M$40)</f>
        <v>0</v>
      </c>
      <c r="AI44" s="48">
        <v>0</v>
      </c>
      <c r="AJ44" s="48">
        <v>0.84825386080009901</v>
      </c>
      <c r="AK44" s="48">
        <v>0</v>
      </c>
      <c r="AL44" s="48">
        <v>0</v>
      </c>
      <c r="AM44" s="48">
        <v>0</v>
      </c>
      <c r="AN44" s="48">
        <v>49.906301532125397</v>
      </c>
      <c r="AO44" s="48">
        <v>7.73932633526596</v>
      </c>
      <c r="AP44" s="48">
        <v>0</v>
      </c>
      <c r="AQ44" s="48">
        <v>6.1505596429791201</v>
      </c>
      <c r="AR44" s="48">
        <v>4.9997532680334302</v>
      </c>
      <c r="AS44" s="48">
        <v>0.37623713297095301</v>
      </c>
      <c r="AT44" s="48">
        <v>0</v>
      </c>
      <c r="AU44" s="48">
        <v>50.009086287168401</v>
      </c>
      <c r="AV44" s="48">
        <v>0</v>
      </c>
      <c r="AW44" s="48">
        <v>0</v>
      </c>
      <c r="AX44" s="48">
        <v>59.712095881672298</v>
      </c>
      <c r="AY44" s="48">
        <v>-3.6415921402318499</v>
      </c>
      <c r="AZ44" s="48">
        <v>0</v>
      </c>
      <c r="BA44" s="48">
        <v>15.2639346958051</v>
      </c>
      <c r="BB44" s="48">
        <v>0.42993804939300201</v>
      </c>
      <c r="BC44" s="48">
        <v>0</v>
      </c>
      <c r="BD44" s="48">
        <v>0</v>
      </c>
    </row>
    <row r="45" spans="1:56" ht="11.25" customHeight="1" x14ac:dyDescent="0.25">
      <c r="A45" s="109"/>
      <c r="B45" s="51" t="s">
        <v>23</v>
      </c>
      <c r="C45" s="51" t="s">
        <v>42</v>
      </c>
      <c r="D45" s="51" t="s">
        <v>99</v>
      </c>
      <c r="E45" s="51" t="s">
        <v>25</v>
      </c>
      <c r="F45" s="51" t="s">
        <v>25</v>
      </c>
      <c r="G45" s="52" t="s">
        <v>88</v>
      </c>
      <c r="H45" s="52" t="s">
        <v>82</v>
      </c>
      <c r="I45" s="52">
        <f>'MERCADO TUSD'!$U$42</f>
        <v>0</v>
      </c>
      <c r="J45" s="15"/>
      <c r="L45" s="48">
        <f>('TUSD BE'!$L$45+'TUSD BF'!$L$45+'TUSD CVA'!$L$45)*(1 - CUSTOS!$M$40)</f>
        <v>0</v>
      </c>
      <c r="M45" s="48">
        <f>('TUSD BE'!$M$45+'TUSD BF'!$M$45+'TUSD CVA'!$M$45)*(1 - CUSTOS!$M$40)</f>
        <v>0.71937102429169664</v>
      </c>
      <c r="N45" s="48">
        <f ca="1">('TUSD BE'!$N$45+'TUSD BF'!$N$45+'TUSD CVA'!$N$45)*(1 - CUSTOS!$M$40)</f>
        <v>0</v>
      </c>
      <c r="O45" s="48">
        <f>('TUSD BE'!$O$45+'TUSD BF'!$O$45+'TUSD CVA'!$O$45)*(1 - CUSTOS!$M$40)</f>
        <v>0</v>
      </c>
      <c r="P45" s="48">
        <f>('TUSD BE'!$P$45+'TUSD BF'!$P$45+'TUSD CVA'!$P$45)*(1 - CUSTOS!$M$40)</f>
        <v>0</v>
      </c>
      <c r="Q45" s="48">
        <f>('TUSD BE'!$Q$45+'TUSD BF'!$Q$45+'TUSD CVA'!$Q$45)*(1 - CUSTOS!$M$40)</f>
        <v>77.491354750814352</v>
      </c>
      <c r="R45" s="48">
        <f>('TUSD BE'!$R$45+'TUSD BF'!$R$45+'TUSD CVA'!$R$45)*(1 - CUSTOS!$M$40)</f>
        <v>12.257566055314113</v>
      </c>
      <c r="S45" s="48">
        <f>('TUSD BE'!$S$45+'TUSD BF'!$S$45+'TUSD CVA'!$S$45)*(1 - CUSTOS!$M$40)</f>
        <v>0</v>
      </c>
      <c r="T45" s="48">
        <f>('TUSD BE'!$U$45+'TUSD BF'!$U$45+'TUSD CVA'!$U$45)*(1 - CUSTOS!$M$40)</f>
        <v>10.061945850921616</v>
      </c>
      <c r="U45" s="48">
        <f>('TUSD BE'!$V$45+'TUSD BF'!$V$45+'TUSD CVA'!$V$45)*(1 - CUSTOS!$M$40)</f>
        <v>10.433808294622796</v>
      </c>
      <c r="V45" s="48">
        <f>('TUSD BE'!$W$45+'TUSD BF'!$W$45+'TUSD CVA'!$W$45)*(1 - CUSTOS!$M$40)</f>
        <v>2.5287671083941254</v>
      </c>
      <c r="W45" s="48">
        <f>('TUSD BE'!$X$45+'TUSD BF'!$X$45+'TUSD CVA'!$X$45)*(1 - CUSTOS!$M$40)</f>
        <v>0</v>
      </c>
      <c r="X45" s="48">
        <f>('TUSD BE'!$Y$45+'TUSD BF'!$Y$45+'TUSD CVA'!$Y$45)*(1 - CUSTOS!$M$40)</f>
        <v>72.88742432438616</v>
      </c>
      <c r="Y45" s="48">
        <f>('TUSD BE'!$Z$45+'TUSD BF'!$Z$45+'TUSD CVA'!$Z$45)*(1 - CUSTOS!$M$40)</f>
        <v>0</v>
      </c>
      <c r="Z45" s="48">
        <f>('TUSD BE'!$AA$45+'TUSD BF'!$AA$45+'TUSD CVA'!$AA$45)*(1 - CUSTOS!$M$40)</f>
        <v>0</v>
      </c>
      <c r="AA45" s="48">
        <f>('TUSD BE'!$AC$45+'TUSD BF'!$AC$45+'TUSD CVA'!$AC$45)*(1 - CUSTOS!$M$40)</f>
        <v>67.844954460200896</v>
      </c>
      <c r="AB45" s="48">
        <f ca="1">('TUSD BE'!$AE$45+'TUSD BF'!$AE$45+'TUSD CVA'!$AE$45)*(1 - CUSTOS!$M$40)</f>
        <v>-1.0923586349814605</v>
      </c>
      <c r="AC45" s="48">
        <f ca="1">('TUSD BE'!$AF$45+'TUSD BF'!$AF$45+'TUSD CVA'!$AF$45)*(1 - CUSTOS!$M$40)</f>
        <v>0</v>
      </c>
      <c r="AD45" s="48">
        <f>('TUSD BE'!$AH$45+'TUSD BF'!$AH$45+'TUSD CVA'!$AH$45)*(1 - CUSTOS!$M$40)</f>
        <v>15.267990722117952</v>
      </c>
      <c r="AE45" s="48">
        <f>('TUSD BE'!$AI$45+'TUSD BF'!$AI$45+'TUSD CVA'!$AI$45)*(1 - CUSTOS!$M$40)</f>
        <v>0.39240396800266819</v>
      </c>
      <c r="AF45" s="48">
        <f ca="1">('TUSD BE'!$AJ$45+'TUSD BF'!$AJ$45+'TUSD CVA'!$AJ$45)*(1 - CUSTOS!$M$40)</f>
        <v>0</v>
      </c>
      <c r="AG45" s="48">
        <f ca="1">('TUSD BE'!$AK$45+'TUSD BF'!$AK$45+'TUSD CVA'!$AK$45)*(1 - CUSTOS!$M$40)</f>
        <v>0</v>
      </c>
      <c r="AI45" s="48">
        <v>0</v>
      </c>
      <c r="AJ45" s="48">
        <v>0.84825386080009901</v>
      </c>
      <c r="AK45" s="48">
        <v>0</v>
      </c>
      <c r="AL45" s="48">
        <v>0</v>
      </c>
      <c r="AM45" s="48">
        <v>0</v>
      </c>
      <c r="AN45" s="48">
        <v>49.906301532125397</v>
      </c>
      <c r="AO45" s="48">
        <v>7.73932633526596</v>
      </c>
      <c r="AP45" s="48">
        <v>0</v>
      </c>
      <c r="AQ45" s="48">
        <v>8.0929133829951798</v>
      </c>
      <c r="AR45" s="48">
        <v>6.5786613596207797</v>
      </c>
      <c r="AS45" s="48">
        <v>0.49501908925845101</v>
      </c>
      <c r="AT45" s="48">
        <v>0</v>
      </c>
      <c r="AU45" s="48">
        <v>65.801457143707495</v>
      </c>
      <c r="AV45" s="48">
        <v>0</v>
      </c>
      <c r="AW45" s="48">
        <v>0</v>
      </c>
      <c r="AX45" s="48">
        <v>78.568555674588694</v>
      </c>
      <c r="AY45" s="48">
        <v>-4.4804142984744999</v>
      </c>
      <c r="AZ45" s="48">
        <v>0</v>
      </c>
      <c r="BA45" s="48">
        <v>15.2639346958051</v>
      </c>
      <c r="BB45" s="48">
        <v>0.42993804939300201</v>
      </c>
      <c r="BC45" s="48">
        <v>0</v>
      </c>
      <c r="BD45" s="48">
        <v>0</v>
      </c>
    </row>
    <row r="46" spans="1:56" ht="11.25" customHeight="1" x14ac:dyDescent="0.25">
      <c r="A46" s="109"/>
      <c r="B46" s="109" t="s">
        <v>97</v>
      </c>
      <c r="C46" s="109" t="s">
        <v>42</v>
      </c>
      <c r="D46" s="51" t="s">
        <v>25</v>
      </c>
      <c r="E46" s="51" t="s">
        <v>25</v>
      </c>
      <c r="F46" s="51" t="s">
        <v>25</v>
      </c>
      <c r="G46" s="52" t="s">
        <v>88</v>
      </c>
      <c r="H46" s="52" t="s">
        <v>82</v>
      </c>
      <c r="I46" s="52">
        <f>'MERCADO TUSD'!$U$43</f>
        <v>0</v>
      </c>
      <c r="J46" s="15"/>
      <c r="L46" s="48">
        <f>('TUSD BE'!$L$46+'TUSD BF'!$L$46+'TUSD CVA'!$L$46)*(1 - CUSTOS!$M$38)</f>
        <v>0</v>
      </c>
      <c r="M46" s="48">
        <f>('TUSD BE'!$M$46+'TUSD BF'!$M$46+'TUSD CVA'!$M$46)*(1 - CUSTOS!$M$38)</f>
        <v>0.73500952481977699</v>
      </c>
      <c r="N46" s="48">
        <f ca="1">('TUSD BE'!$N$46+'TUSD BF'!$N$46+'TUSD CVA'!$N$46)*(1 - CUSTOS!$M$38)</f>
        <v>0</v>
      </c>
      <c r="O46" s="48">
        <f>('TUSD BE'!$O$46+'TUSD BF'!$O$46+'TUSD CVA'!$O$46)*(1 - CUSTOS!$M$38)</f>
        <v>0</v>
      </c>
      <c r="P46" s="48">
        <f>('TUSD BE'!$P$46+'TUSD BF'!$P$46+'TUSD CVA'!$P$46)*(1 - CUSTOS!$M$38)</f>
        <v>0</v>
      </c>
      <c r="Q46" s="48">
        <f>('TUSD BE'!$Q$46+'TUSD BF'!$Q$46+'TUSD CVA'!$Q$46)*(1 - CUSTOS!$M$38)</f>
        <v>79.175949419310314</v>
      </c>
      <c r="R46" s="48">
        <f>('TUSD BE'!$R$46+'TUSD BF'!$R$46+'TUSD CVA'!$R$46)*(1 - CUSTOS!$M$38)</f>
        <v>12.52403488260355</v>
      </c>
      <c r="S46" s="48">
        <f>('TUSD BE'!$S$46+'TUSD BF'!$S$46+'TUSD CVA'!$S$46)*(1 - CUSTOS!$M$38)</f>
        <v>0</v>
      </c>
      <c r="T46" s="48">
        <f>('TUSD BE'!$U$46+'TUSD BF'!$U$46+'TUSD CVA'!$U$46)*(1 - CUSTOS!$M$38)</f>
        <v>10.280683804202518</v>
      </c>
      <c r="U46" s="48">
        <f>('TUSD BE'!$V$46+'TUSD BF'!$V$46+'TUSD CVA'!$V$46)*(1 - CUSTOS!$M$38)</f>
        <v>10.660630214071118</v>
      </c>
      <c r="V46" s="48">
        <f>('TUSD BE'!$W$46+'TUSD BF'!$W$46+'TUSD CVA'!$W$46)*(1 - CUSTOS!$M$38)</f>
        <v>2.5837403064026931</v>
      </c>
      <c r="W46" s="48">
        <f>('TUSD BE'!$X$46+'TUSD BF'!$X$46+'TUSD CVA'!$X$46)*(1 - CUSTOS!$M$38)</f>
        <v>0</v>
      </c>
      <c r="X46" s="48">
        <f>('TUSD BE'!$Y$46+'TUSD BF'!$Y$46+'TUSD CVA'!$Y$46)*(1 - CUSTOS!$M$38)</f>
        <v>74.471933548829327</v>
      </c>
      <c r="Y46" s="48">
        <f>('TUSD BE'!$Z$46+'TUSD BF'!$Z$46+'TUSD CVA'!$Z$46)*(1 - CUSTOS!$M$38)</f>
        <v>0</v>
      </c>
      <c r="Z46" s="48">
        <f>('TUSD BE'!$AA$46+'TUSD BF'!$AA$46+'TUSD CVA'!$AA$46)*(1 - CUSTOS!$M$38)</f>
        <v>0</v>
      </c>
      <c r="AA46" s="48">
        <f>('TUSD BE'!$AC$46+'TUSD BF'!$AC$46+'TUSD CVA'!$AC$46)*(1 - CUSTOS!$M$38)</f>
        <v>69.319844774553076</v>
      </c>
      <c r="AB46" s="48">
        <f ca="1">('TUSD BE'!$AE$46+'TUSD BF'!$AE$46+'TUSD CVA'!$AE$46)*(1 - CUSTOS!$M$38)</f>
        <v>-1.1161055618288833</v>
      </c>
      <c r="AC46" s="48">
        <f ca="1">('TUSD BE'!$AF$46+'TUSD BF'!$AF$46+'TUSD CVA'!$AF$46)*(1 - CUSTOS!$M$38)</f>
        <v>0</v>
      </c>
      <c r="AD46" s="48">
        <f>('TUSD BE'!$AH$46+'TUSD BF'!$AH$46+'TUSD CVA'!$AH$46)*(1 - CUSTOS!$M$38)</f>
        <v>15.599903563903123</v>
      </c>
      <c r="AE46" s="48">
        <f>('TUSD BE'!$AI$46+'TUSD BF'!$AI$46+'TUSD CVA'!$AI$46)*(1 - CUSTOS!$M$38)</f>
        <v>0.40093448904620438</v>
      </c>
      <c r="AF46" s="48">
        <f ca="1">('TUSD BE'!$AJ$46+'TUSD BF'!$AJ$46+'TUSD CVA'!$AJ$46)*(1 - CUSTOS!$M$38)</f>
        <v>0</v>
      </c>
      <c r="AG46" s="48">
        <f ca="1">('TUSD BE'!$AK$46+'TUSD BF'!$AK$46+'TUSD CVA'!$AK$46)*(1 - CUSTOS!$M$38)</f>
        <v>0</v>
      </c>
      <c r="AI46" s="48">
        <v>0</v>
      </c>
      <c r="AJ46" s="48">
        <v>0.88864690179058003</v>
      </c>
      <c r="AK46" s="48">
        <v>0</v>
      </c>
      <c r="AL46" s="48">
        <v>0</v>
      </c>
      <c r="AM46" s="48">
        <v>0</v>
      </c>
      <c r="AN46" s="48">
        <v>52.282792081274302</v>
      </c>
      <c r="AO46" s="48">
        <v>8.1078656845643398</v>
      </c>
      <c r="AP46" s="48">
        <v>0</v>
      </c>
      <c r="AQ46" s="48">
        <v>8.4782902107568603</v>
      </c>
      <c r="AR46" s="48">
        <v>6.8919309481741502</v>
      </c>
      <c r="AS46" s="48">
        <v>0.51859142684218595</v>
      </c>
      <c r="AT46" s="48">
        <v>0</v>
      </c>
      <c r="AU46" s="48">
        <v>68.934859864836497</v>
      </c>
      <c r="AV46" s="48">
        <v>0</v>
      </c>
      <c r="AW46" s="48">
        <v>0</v>
      </c>
      <c r="AX46" s="48">
        <v>82.309915468616694</v>
      </c>
      <c r="AY46" s="48">
        <v>-4.6937673603066203</v>
      </c>
      <c r="AZ46" s="48">
        <v>0</v>
      </c>
      <c r="BA46" s="48">
        <v>15.9907887289387</v>
      </c>
      <c r="BB46" s="48">
        <v>0.450411289840288</v>
      </c>
      <c r="BC46" s="48">
        <v>0</v>
      </c>
      <c r="BD46" s="48">
        <v>0</v>
      </c>
    </row>
    <row r="47" spans="1:56" ht="11.25" customHeight="1" x14ac:dyDescent="0.25">
      <c r="A47" s="109"/>
      <c r="B47" s="109"/>
      <c r="C47" s="109"/>
      <c r="D47" s="51" t="s">
        <v>98</v>
      </c>
      <c r="E47" s="51" t="s">
        <v>25</v>
      </c>
      <c r="F47" s="51" t="s">
        <v>25</v>
      </c>
      <c r="G47" s="52" t="s">
        <v>88</v>
      </c>
      <c r="H47" s="52" t="s">
        <v>82</v>
      </c>
      <c r="I47" s="52">
        <f>'MERCADO TUSD'!$U$44</f>
        <v>0</v>
      </c>
      <c r="J47" s="15"/>
      <c r="L47" s="48">
        <f>('TUSD BE'!$L$47+'TUSD BF'!$L$47+'TUSD CVA'!$L$47)*(1 - CUSTOS!$M$39)</f>
        <v>0</v>
      </c>
      <c r="M47" s="48">
        <f>('TUSD BE'!$M$47+'TUSD BF'!$M$47+'TUSD CVA'!$M$47)*(1 - CUSTOS!$M$39)</f>
        <v>0.73500952481977699</v>
      </c>
      <c r="N47" s="48">
        <f ca="1">('TUSD BE'!$N$47+'TUSD BF'!$N$47+'TUSD CVA'!$N$47)*(1 - CUSTOS!$M$39)</f>
        <v>0</v>
      </c>
      <c r="O47" s="48">
        <f>('TUSD BE'!$O$47+'TUSD BF'!$O$47+'TUSD CVA'!$O$47)*(1 - CUSTOS!$M$39)</f>
        <v>0</v>
      </c>
      <c r="P47" s="48">
        <f>('TUSD BE'!$P$47+'TUSD BF'!$P$47+'TUSD CVA'!$P$47)*(1 - CUSTOS!$M$39)</f>
        <v>0</v>
      </c>
      <c r="Q47" s="48">
        <f>('TUSD BE'!$Q$47+'TUSD BF'!$Q$47+'TUSD CVA'!$Q$47)*(1 - CUSTOS!$M$39)</f>
        <v>79.175949419310314</v>
      </c>
      <c r="R47" s="48">
        <f>('TUSD BE'!$R$47+'TUSD BF'!$R$47+'TUSD CVA'!$R$47)*(1 - CUSTOS!$M$39)</f>
        <v>12.52403488260355</v>
      </c>
      <c r="S47" s="48">
        <f>('TUSD BE'!$S$47+'TUSD BF'!$S$47+'TUSD CVA'!$S$47)*(1 - CUSTOS!$M$39)</f>
        <v>0</v>
      </c>
      <c r="T47" s="48">
        <f>('TUSD BE'!$U$47+'TUSD BF'!$U$47+'TUSD CVA'!$U$47)*(1 - CUSTOS!$M$39)</f>
        <v>10.280683804202518</v>
      </c>
      <c r="U47" s="48">
        <f>('TUSD BE'!$V$47+'TUSD BF'!$V$47+'TUSD CVA'!$V$47)*(1 - CUSTOS!$M$39)</f>
        <v>10.660630214071118</v>
      </c>
      <c r="V47" s="48">
        <f>('TUSD BE'!$W$47+'TUSD BF'!$W$47+'TUSD CVA'!$W$47)*(1 - CUSTOS!$M$39)</f>
        <v>2.5837403064026931</v>
      </c>
      <c r="W47" s="48">
        <f>('TUSD BE'!$X$47+'TUSD BF'!$X$47+'TUSD CVA'!$X$47)*(1 - CUSTOS!$M$39)</f>
        <v>0</v>
      </c>
      <c r="X47" s="48">
        <f>('TUSD BE'!$Y$47+'TUSD BF'!$Y$47+'TUSD CVA'!$Y$47)*(1 - CUSTOS!$M$39)</f>
        <v>74.471933548829327</v>
      </c>
      <c r="Y47" s="48">
        <f>('TUSD BE'!$Z$47+'TUSD BF'!$Z$47+'TUSD CVA'!$Z$47)*(1 - CUSTOS!$M$39)</f>
        <v>0</v>
      </c>
      <c r="Z47" s="48">
        <f>('TUSD BE'!$AA$47+'TUSD BF'!$AA$47+'TUSD CVA'!$AA$47)*(1 - CUSTOS!$M$39)</f>
        <v>0</v>
      </c>
      <c r="AA47" s="48">
        <f>('TUSD BE'!$AC$47+'TUSD BF'!$AC$47+'TUSD CVA'!$AC$47)*(1 - CUSTOS!$M$39)</f>
        <v>69.319844774553076</v>
      </c>
      <c r="AB47" s="48">
        <f ca="1">('TUSD BE'!$AE$47+'TUSD BF'!$AE$47+'TUSD CVA'!$AE$47)*(1 - CUSTOS!$M$39)</f>
        <v>-1.1161055618288833</v>
      </c>
      <c r="AC47" s="48">
        <f ca="1">('TUSD BE'!$AF$47+'TUSD BF'!$AF$47+'TUSD CVA'!$AF$47)*(1 - CUSTOS!$M$39)</f>
        <v>0</v>
      </c>
      <c r="AD47" s="48">
        <f>('TUSD BE'!$AH$47+'TUSD BF'!$AH$47+'TUSD CVA'!$AH$47)*(1 - CUSTOS!$M$39)</f>
        <v>15.599903563903123</v>
      </c>
      <c r="AE47" s="48">
        <f>('TUSD BE'!$AI$47+'TUSD BF'!$AI$47+'TUSD CVA'!$AI$47)*(1 - CUSTOS!$M$39)</f>
        <v>0.40093448904620438</v>
      </c>
      <c r="AF47" s="48">
        <f ca="1">('TUSD BE'!$AJ$47+'TUSD BF'!$AJ$47+'TUSD CVA'!$AJ$47)*(1 - CUSTOS!$M$39)</f>
        <v>0</v>
      </c>
      <c r="AG47" s="48">
        <f ca="1">('TUSD BE'!$AK$47+'TUSD BF'!$AK$47+'TUSD CVA'!$AK$47)*(1 - CUSTOS!$M$39)</f>
        <v>0</v>
      </c>
      <c r="AI47" s="48">
        <v>0</v>
      </c>
      <c r="AJ47" s="48">
        <v>0.88864690179058003</v>
      </c>
      <c r="AK47" s="48">
        <v>0</v>
      </c>
      <c r="AL47" s="48">
        <v>0</v>
      </c>
      <c r="AM47" s="48">
        <v>0</v>
      </c>
      <c r="AN47" s="48">
        <v>52.282792081274302</v>
      </c>
      <c r="AO47" s="48">
        <v>8.1078656845643398</v>
      </c>
      <c r="AP47" s="48">
        <v>0</v>
      </c>
      <c r="AQ47" s="48">
        <v>8.4782902107568603</v>
      </c>
      <c r="AR47" s="48">
        <v>6.8919309481741502</v>
      </c>
      <c r="AS47" s="48">
        <v>0.51859142684218595</v>
      </c>
      <c r="AT47" s="48">
        <v>0</v>
      </c>
      <c r="AU47" s="48">
        <v>68.934859864836497</v>
      </c>
      <c r="AV47" s="48">
        <v>0</v>
      </c>
      <c r="AW47" s="48">
        <v>0</v>
      </c>
      <c r="AX47" s="48">
        <v>82.309915468616694</v>
      </c>
      <c r="AY47" s="48">
        <v>-4.6937673603066203</v>
      </c>
      <c r="AZ47" s="48">
        <v>0</v>
      </c>
      <c r="BA47" s="48">
        <v>15.9907887289387</v>
      </c>
      <c r="BB47" s="48">
        <v>0.450411289840288</v>
      </c>
      <c r="BC47" s="48">
        <v>0</v>
      </c>
      <c r="BD47" s="48">
        <v>0</v>
      </c>
    </row>
    <row r="48" spans="1:56" ht="11.25" customHeight="1" x14ac:dyDescent="0.25">
      <c r="A48" s="109"/>
      <c r="B48" s="109"/>
      <c r="C48" s="109"/>
      <c r="D48" s="51" t="s">
        <v>99</v>
      </c>
      <c r="E48" s="51" t="s">
        <v>25</v>
      </c>
      <c r="F48" s="51" t="s">
        <v>25</v>
      </c>
      <c r="G48" s="52" t="s">
        <v>88</v>
      </c>
      <c r="H48" s="52" t="s">
        <v>82</v>
      </c>
      <c r="I48" s="52">
        <f>'MERCADO TUSD'!$U$45</f>
        <v>0</v>
      </c>
      <c r="J48" s="15"/>
      <c r="L48" s="48">
        <f>('TUSD BE'!$L$48+'TUSD BF'!$L$48+'TUSD CVA'!$L$48)*(1 - CUSTOS!$M$40)</f>
        <v>0</v>
      </c>
      <c r="M48" s="48">
        <f>('TUSD BE'!$M$48+'TUSD BF'!$M$48+'TUSD CVA'!$M$48)*(1 - CUSTOS!$M$40)</f>
        <v>0.71937102429169664</v>
      </c>
      <c r="N48" s="48">
        <f ca="1">('TUSD BE'!$N$48+'TUSD BF'!$N$48+'TUSD CVA'!$N$48)*(1 - CUSTOS!$M$40)</f>
        <v>0</v>
      </c>
      <c r="O48" s="48">
        <f>('TUSD BE'!$O$48+'TUSD BF'!$O$48+'TUSD CVA'!$O$48)*(1 - CUSTOS!$M$40)</f>
        <v>0</v>
      </c>
      <c r="P48" s="48">
        <f>('TUSD BE'!$P$48+'TUSD BF'!$P$48+'TUSD CVA'!$P$48)*(1 - CUSTOS!$M$40)</f>
        <v>0</v>
      </c>
      <c r="Q48" s="48">
        <f>('TUSD BE'!$Q$48+'TUSD BF'!$Q$48+'TUSD CVA'!$Q$48)*(1 - CUSTOS!$M$40)</f>
        <v>77.491354750814352</v>
      </c>
      <c r="R48" s="48">
        <f>('TUSD BE'!$R$48+'TUSD BF'!$R$48+'TUSD CVA'!$R$48)*(1 - CUSTOS!$M$40)</f>
        <v>12.257566055314113</v>
      </c>
      <c r="S48" s="48">
        <f>('TUSD BE'!$S$48+'TUSD BF'!$S$48+'TUSD CVA'!$S$48)*(1 - CUSTOS!$M$40)</f>
        <v>0</v>
      </c>
      <c r="T48" s="48">
        <f>('TUSD BE'!$U$48+'TUSD BF'!$U$48+'TUSD CVA'!$U$48)*(1 - CUSTOS!$M$40)</f>
        <v>10.061945850921616</v>
      </c>
      <c r="U48" s="48">
        <f>('TUSD BE'!$V$48+'TUSD BF'!$V$48+'TUSD CVA'!$V$48)*(1 - CUSTOS!$M$40)</f>
        <v>10.433808294622796</v>
      </c>
      <c r="V48" s="48">
        <f>('TUSD BE'!$W$48+'TUSD BF'!$W$48+'TUSD CVA'!$W$48)*(1 - CUSTOS!$M$40)</f>
        <v>2.5287671083941254</v>
      </c>
      <c r="W48" s="48">
        <f>('TUSD BE'!$X$48+'TUSD BF'!$X$48+'TUSD CVA'!$X$48)*(1 - CUSTOS!$M$40)</f>
        <v>0</v>
      </c>
      <c r="X48" s="48">
        <f>('TUSD BE'!$Y$48+'TUSD BF'!$Y$48+'TUSD CVA'!$Y$48)*(1 - CUSTOS!$M$40)</f>
        <v>72.88742432438616</v>
      </c>
      <c r="Y48" s="48">
        <f>('TUSD BE'!$Z$48+'TUSD BF'!$Z$48+'TUSD CVA'!$Z$48)*(1 - CUSTOS!$M$40)</f>
        <v>0</v>
      </c>
      <c r="Z48" s="48">
        <f>('TUSD BE'!$AA$48+'TUSD BF'!$AA$48+'TUSD CVA'!$AA$48)*(1 - CUSTOS!$M$40)</f>
        <v>0</v>
      </c>
      <c r="AA48" s="48">
        <f>('TUSD BE'!$AC$48+'TUSD BF'!$AC$48+'TUSD CVA'!$AC$48)*(1 - CUSTOS!$M$40)</f>
        <v>67.844954460200896</v>
      </c>
      <c r="AB48" s="48">
        <f ca="1">('TUSD BE'!$AE$48+'TUSD BF'!$AE$48+'TUSD CVA'!$AE$48)*(1 - CUSTOS!$M$40)</f>
        <v>-1.0923586349814605</v>
      </c>
      <c r="AC48" s="48">
        <f ca="1">('TUSD BE'!$AF$48+'TUSD BF'!$AF$48+'TUSD CVA'!$AF$48)*(1 - CUSTOS!$M$40)</f>
        <v>0</v>
      </c>
      <c r="AD48" s="48">
        <f>('TUSD BE'!$AH$48+'TUSD BF'!$AH$48+'TUSD CVA'!$AH$48)*(1 - CUSTOS!$M$40)</f>
        <v>15.267990722117952</v>
      </c>
      <c r="AE48" s="48">
        <f>('TUSD BE'!$AI$48+'TUSD BF'!$AI$48+'TUSD CVA'!$AI$48)*(1 - CUSTOS!$M$40)</f>
        <v>0.39240396800266819</v>
      </c>
      <c r="AF48" s="48">
        <f ca="1">('TUSD BE'!$AJ$48+'TUSD BF'!$AJ$48+'TUSD CVA'!$AJ$48)*(1 - CUSTOS!$M$40)</f>
        <v>0</v>
      </c>
      <c r="AG48" s="48">
        <f ca="1">('TUSD BE'!$AK$48+'TUSD BF'!$AK$48+'TUSD CVA'!$AK$48)*(1 - CUSTOS!$M$40)</f>
        <v>0</v>
      </c>
      <c r="AI48" s="48">
        <v>0</v>
      </c>
      <c r="AJ48" s="48">
        <v>0.84825386080009901</v>
      </c>
      <c r="AK48" s="48">
        <v>0</v>
      </c>
      <c r="AL48" s="48">
        <v>0</v>
      </c>
      <c r="AM48" s="48">
        <v>0</v>
      </c>
      <c r="AN48" s="48">
        <v>49.906301532125397</v>
      </c>
      <c r="AO48" s="48">
        <v>7.73932633526596</v>
      </c>
      <c r="AP48" s="48">
        <v>0</v>
      </c>
      <c r="AQ48" s="48">
        <v>8.0929133829951798</v>
      </c>
      <c r="AR48" s="48">
        <v>6.5786613596207797</v>
      </c>
      <c r="AS48" s="48">
        <v>0.49501908925845101</v>
      </c>
      <c r="AT48" s="48">
        <v>0</v>
      </c>
      <c r="AU48" s="48">
        <v>65.801457143707495</v>
      </c>
      <c r="AV48" s="48">
        <v>0</v>
      </c>
      <c r="AW48" s="48">
        <v>0</v>
      </c>
      <c r="AX48" s="48">
        <v>78.568555674588694</v>
      </c>
      <c r="AY48" s="48">
        <v>-4.4804142984744999</v>
      </c>
      <c r="AZ48" s="48">
        <v>0</v>
      </c>
      <c r="BA48" s="48">
        <v>15.2639346958051</v>
      </c>
      <c r="BB48" s="48">
        <v>0.42993804939300201</v>
      </c>
      <c r="BC48" s="48">
        <v>0</v>
      </c>
      <c r="BD48" s="48">
        <v>0</v>
      </c>
    </row>
    <row r="49" spans="1:56" ht="11.25" customHeight="1" x14ac:dyDescent="0.25">
      <c r="A49" s="109" t="s">
        <v>33</v>
      </c>
      <c r="B49" s="109" t="s">
        <v>95</v>
      </c>
      <c r="C49" s="109" t="s">
        <v>25</v>
      </c>
      <c r="D49" s="109" t="s">
        <v>25</v>
      </c>
      <c r="E49" s="109" t="s">
        <v>25</v>
      </c>
      <c r="F49" s="109" t="s">
        <v>25</v>
      </c>
      <c r="G49" s="52" t="s">
        <v>83</v>
      </c>
      <c r="H49" s="52" t="s">
        <v>82</v>
      </c>
      <c r="I49" s="52">
        <f>'MERCADO TUSD'!$U$46</f>
        <v>0</v>
      </c>
      <c r="J49" s="15"/>
      <c r="L49" s="48">
        <f>('TUSD BE'!$L$49+'TUSD BF'!$L$49+'TUSD CVA'!$L$49)*1</f>
        <v>0</v>
      </c>
      <c r="M49" s="48">
        <f>('TUSD BE'!$M$49+'TUSD BF'!$M$49+'TUSD CVA'!$M$49)*1</f>
        <v>0.78192502640401806</v>
      </c>
      <c r="N49" s="48">
        <f ca="1">('TUSD BE'!$N$49+'TUSD BF'!$N$49+'TUSD CVA'!$N$49)*1</f>
        <v>0</v>
      </c>
      <c r="O49" s="48">
        <f>('TUSD BE'!$O$49+'TUSD BF'!$O$49+'TUSD CVA'!$O$49)*1</f>
        <v>0</v>
      </c>
      <c r="P49" s="48">
        <f>('TUSD BE'!$P$49+'TUSD BF'!$P$49+'TUSD CVA'!$P$49)*1</f>
        <v>0</v>
      </c>
      <c r="Q49" s="48">
        <f>('TUSD BE'!$Q$49+'TUSD BF'!$Q$49+'TUSD CVA'!$Q$49)*1</f>
        <v>84.229733424798212</v>
      </c>
      <c r="R49" s="48">
        <f>('TUSD BE'!$R$49+'TUSD BF'!$R$49+'TUSD CVA'!$R$49)*1</f>
        <v>13.323441364471861</v>
      </c>
      <c r="S49" s="48">
        <f>('TUSD BE'!$S$49+'TUSD BF'!$S$49+'TUSD CVA'!$S$49)*1</f>
        <v>0</v>
      </c>
      <c r="T49" s="48">
        <f>('TUSD BE'!$U$49+'TUSD BF'!$U$49+'TUSD CVA'!$U$49)*1</f>
        <v>27.560863788337471</v>
      </c>
      <c r="U49" s="48">
        <f>('TUSD BE'!$V$49+'TUSD BF'!$V$49+'TUSD CVA'!$V$49)*1</f>
        <v>28.579295948105297</v>
      </c>
      <c r="V49" s="48">
        <f>('TUSD BE'!$W$49+'TUSD BF'!$W$49+'TUSD CVA'!$W$49)*1</f>
        <v>6.926810286747898</v>
      </c>
      <c r="W49" s="48">
        <f>('TUSD BE'!$X$49+'TUSD BF'!$X$49+'TUSD CVA'!$X$49)*1</f>
        <v>0</v>
      </c>
      <c r="X49" s="48">
        <f>('TUSD BE'!$Y$49+'TUSD BF'!$Y$49+'TUSD CVA'!$Y$49)*1</f>
        <v>199.64825409752288</v>
      </c>
      <c r="Y49" s="48">
        <f>('TUSD BE'!$Z$49+'TUSD BF'!$Z$49+'TUSD CVA'!$Z$49)*1</f>
        <v>0</v>
      </c>
      <c r="Z49" s="48">
        <f>('TUSD BE'!$AA$49+'TUSD BF'!$AA$49+'TUSD CVA'!$AA$49)*1</f>
        <v>0</v>
      </c>
      <c r="AA49" s="48">
        <f>('TUSD BE'!$AC$49+'TUSD BF'!$AC$49+'TUSD CVA'!$AC$49)*1</f>
        <v>185.8361780464906</v>
      </c>
      <c r="AB49" s="48">
        <f ca="1">('TUSD BE'!$AE$49+'TUSD BF'!$AE$49+'TUSD CVA'!$AE$49)*1</f>
        <v>-2.446896296561643</v>
      </c>
      <c r="AC49" s="48">
        <f ca="1">('TUSD BE'!$AF$49+'TUSD BF'!$AF$49+'TUSD CVA'!$AF$49)*1</f>
        <v>0</v>
      </c>
      <c r="AD49" s="48">
        <f>('TUSD BE'!$AH$49+'TUSD BF'!$AH$49+'TUSD CVA'!$AH$49)*1</f>
        <v>16.595642089258643</v>
      </c>
      <c r="AE49" s="48">
        <f>('TUSD BE'!$AI$49+'TUSD BF'!$AI$49+'TUSD CVA'!$AI$49)*1</f>
        <v>0.42652605217681322</v>
      </c>
      <c r="AF49" s="48">
        <f ca="1">('TUSD BE'!$AJ$49+'TUSD BF'!$AJ$49+'TUSD CVA'!$AJ$49)*1</f>
        <v>0</v>
      </c>
      <c r="AG49" s="48">
        <f ca="1">('TUSD BE'!$AK$49+'TUSD BF'!$AK$49+'TUSD CVA'!$AK$49)*1</f>
        <v>0</v>
      </c>
      <c r="AI49" s="48">
        <v>0</v>
      </c>
      <c r="AJ49" s="48">
        <v>1.0098260247620201</v>
      </c>
      <c r="AK49" s="48">
        <v>0</v>
      </c>
      <c r="AL49" s="48">
        <v>0</v>
      </c>
      <c r="AM49" s="48">
        <v>0</v>
      </c>
      <c r="AN49" s="48">
        <v>59.412263728720802</v>
      </c>
      <c r="AO49" s="48">
        <v>9.2134837324594692</v>
      </c>
      <c r="AP49" s="48">
        <v>0</v>
      </c>
      <c r="AQ49" s="48">
        <v>24.278610320182601</v>
      </c>
      <c r="AR49" s="48">
        <v>19.735789309158999</v>
      </c>
      <c r="AS49" s="48">
        <v>1.4851111371432799</v>
      </c>
      <c r="AT49" s="48">
        <v>0</v>
      </c>
      <c r="AU49" s="48">
        <v>197.40444693844199</v>
      </c>
      <c r="AV49" s="48">
        <v>0</v>
      </c>
      <c r="AW49" s="48">
        <v>0</v>
      </c>
      <c r="AX49" s="48">
        <v>235.705603862011</v>
      </c>
      <c r="AY49" s="48">
        <v>-11.6582662930312</v>
      </c>
      <c r="AZ49" s="48">
        <v>0</v>
      </c>
      <c r="BA49" s="48">
        <v>18.171350828339399</v>
      </c>
      <c r="BB49" s="48">
        <v>0.51183101118214502</v>
      </c>
      <c r="BC49" s="48">
        <v>0</v>
      </c>
      <c r="BD49" s="48">
        <v>0</v>
      </c>
    </row>
    <row r="50" spans="1:56" ht="11.25" customHeight="1" x14ac:dyDescent="0.25">
      <c r="A50" s="109"/>
      <c r="B50" s="109"/>
      <c r="C50" s="109"/>
      <c r="D50" s="109"/>
      <c r="E50" s="109"/>
      <c r="F50" s="109"/>
      <c r="G50" s="52" t="s">
        <v>94</v>
      </c>
      <c r="H50" s="52" t="s">
        <v>82</v>
      </c>
      <c r="I50" s="52">
        <f>'MERCADO TUSD'!$U$47</f>
        <v>0</v>
      </c>
      <c r="J50" s="15"/>
      <c r="L50" s="48">
        <f>('TUSD BE'!$L$50+'TUSD BF'!$L$50+'TUSD CVA'!$L$50)*1</f>
        <v>0</v>
      </c>
      <c r="M50" s="48">
        <f>('TUSD BE'!$M$50+'TUSD BF'!$M$50+'TUSD CVA'!$M$50)*1</f>
        <v>0.78192502640401806</v>
      </c>
      <c r="N50" s="48">
        <f ca="1">('TUSD BE'!$N$50+'TUSD BF'!$N$50+'TUSD CVA'!$N$50)*1</f>
        <v>0</v>
      </c>
      <c r="O50" s="48">
        <f>('TUSD BE'!$O$50+'TUSD BF'!$O$50+'TUSD CVA'!$O$50)*1</f>
        <v>0</v>
      </c>
      <c r="P50" s="48">
        <f>('TUSD BE'!$P$50+'TUSD BF'!$P$50+'TUSD CVA'!$P$50)*1</f>
        <v>0</v>
      </c>
      <c r="Q50" s="48">
        <f>('TUSD BE'!$Q$50+'TUSD BF'!$Q$50+'TUSD CVA'!$Q$50)*1</f>
        <v>84.229733424798212</v>
      </c>
      <c r="R50" s="48">
        <f>('TUSD BE'!$R$50+'TUSD BF'!$R$50+'TUSD CVA'!$R$50)*1</f>
        <v>13.323441364471861</v>
      </c>
      <c r="S50" s="48">
        <f>('TUSD BE'!$S$50+'TUSD BF'!$S$50+'TUSD CVA'!$S$50)*1</f>
        <v>0</v>
      </c>
      <c r="T50" s="48">
        <f>('TUSD BE'!$U$50+'TUSD BF'!$U$50+'TUSD CVA'!$U$50)*1</f>
        <v>13.780502325749993</v>
      </c>
      <c r="U50" s="48">
        <f>('TUSD BE'!$V$50+'TUSD BF'!$V$50+'TUSD CVA'!$V$50)*1</f>
        <v>14.289737805938875</v>
      </c>
      <c r="V50" s="48">
        <f>('TUSD BE'!$W$50+'TUSD BF'!$W$50+'TUSD CVA'!$W$50)*1</f>
        <v>3.4631449521679256</v>
      </c>
      <c r="W50" s="48">
        <f>('TUSD BE'!$X$50+'TUSD BF'!$X$50+'TUSD CVA'!$X$50)*1</f>
        <v>0</v>
      </c>
      <c r="X50" s="48">
        <f>('TUSD BE'!$Y$50+'TUSD BF'!$Y$50+'TUSD CVA'!$Y$50)*1</f>
        <v>99.82418443481302</v>
      </c>
      <c r="Y50" s="48">
        <f>('TUSD BE'!$Z$50+'TUSD BF'!$Z$50+'TUSD CVA'!$Z$50)*1</f>
        <v>0</v>
      </c>
      <c r="Z50" s="48">
        <f>('TUSD BE'!$AA$50+'TUSD BF'!$AA$50+'TUSD CVA'!$AA$50)*1</f>
        <v>0</v>
      </c>
      <c r="AA50" s="48">
        <f>('TUSD BE'!$AC$50+'TUSD BF'!$AC$50+'TUSD CVA'!$AC$50)*1</f>
        <v>92.918069499672896</v>
      </c>
      <c r="AB50" s="48">
        <f ca="1">('TUSD BE'!$AE$50+'TUSD BF'!$AE$50+'TUSD CVA'!$AE$50)*1</f>
        <v>-1.4027952897002742</v>
      </c>
      <c r="AC50" s="48">
        <f ca="1">('TUSD BE'!$AF$50+'TUSD BF'!$AF$50+'TUSD CVA'!$AF$50)*1</f>
        <v>0</v>
      </c>
      <c r="AD50" s="48">
        <f>('TUSD BE'!$AH$50+'TUSD BF'!$AH$50+'TUSD CVA'!$AH$50)*1</f>
        <v>16.595642089258643</v>
      </c>
      <c r="AE50" s="48">
        <f>('TUSD BE'!$AI$50+'TUSD BF'!$AI$50+'TUSD CVA'!$AI$50)*1</f>
        <v>0.42652605217681322</v>
      </c>
      <c r="AF50" s="48">
        <f ca="1">('TUSD BE'!$AJ$50+'TUSD BF'!$AJ$50+'TUSD CVA'!$AJ$50)*1</f>
        <v>0</v>
      </c>
      <c r="AG50" s="48">
        <f ca="1">('TUSD BE'!$AK$50+'TUSD BF'!$AK$50+'TUSD CVA'!$AK$50)*1</f>
        <v>0</v>
      </c>
      <c r="AI50" s="48">
        <v>0</v>
      </c>
      <c r="AJ50" s="48">
        <v>1.0098260247620201</v>
      </c>
      <c r="AK50" s="48">
        <v>0</v>
      </c>
      <c r="AL50" s="48">
        <v>0</v>
      </c>
      <c r="AM50" s="48">
        <v>0</v>
      </c>
      <c r="AN50" s="48">
        <v>59.412263728720802</v>
      </c>
      <c r="AO50" s="48">
        <v>9.2134837324594692</v>
      </c>
      <c r="AP50" s="48">
        <v>0</v>
      </c>
      <c r="AQ50" s="48">
        <v>12.139367577785</v>
      </c>
      <c r="AR50" s="48">
        <v>9.8679570807664607</v>
      </c>
      <c r="AS50" s="48">
        <v>0.74249945464671296</v>
      </c>
      <c r="AT50" s="48">
        <v>0</v>
      </c>
      <c r="AU50" s="48">
        <v>98.702286391986604</v>
      </c>
      <c r="AV50" s="48">
        <v>0</v>
      </c>
      <c r="AW50" s="48">
        <v>0</v>
      </c>
      <c r="AX50" s="48">
        <v>117.852801931005</v>
      </c>
      <c r="AY50" s="48">
        <v>-6.4156388009469003</v>
      </c>
      <c r="AZ50" s="48">
        <v>0</v>
      </c>
      <c r="BA50" s="48">
        <v>18.171350828339399</v>
      </c>
      <c r="BB50" s="48">
        <v>0.51183101118214502</v>
      </c>
      <c r="BC50" s="48">
        <v>0</v>
      </c>
      <c r="BD50" s="48">
        <v>0</v>
      </c>
    </row>
    <row r="51" spans="1:56" ht="11.25" customHeight="1" x14ac:dyDescent="0.25">
      <c r="A51" s="109"/>
      <c r="B51" s="109"/>
      <c r="C51" s="109"/>
      <c r="D51" s="109"/>
      <c r="E51" s="109"/>
      <c r="F51" s="109"/>
      <c r="G51" s="52" t="s">
        <v>84</v>
      </c>
      <c r="H51" s="52" t="s">
        <v>82</v>
      </c>
      <c r="I51" s="52">
        <f>'MERCADO TUSD'!$U$48</f>
        <v>0</v>
      </c>
      <c r="J51" s="15"/>
      <c r="L51" s="48">
        <f>('TUSD BE'!$L$51+'TUSD BF'!$L$51+'TUSD CVA'!$L$51)*1</f>
        <v>0</v>
      </c>
      <c r="M51" s="48">
        <f>('TUSD BE'!$M$51+'TUSD BF'!$M$51+'TUSD CVA'!$M$51)*1</f>
        <v>0.78192502640401806</v>
      </c>
      <c r="N51" s="48">
        <f ca="1">('TUSD BE'!$N$51+'TUSD BF'!$N$51+'TUSD CVA'!$N$51)*1</f>
        <v>0</v>
      </c>
      <c r="O51" s="48">
        <f>('TUSD BE'!$O$51+'TUSD BF'!$O$51+'TUSD CVA'!$O$51)*1</f>
        <v>0</v>
      </c>
      <c r="P51" s="48">
        <f>('TUSD BE'!$P$51+'TUSD BF'!$P$51+'TUSD CVA'!$P$51)*1</f>
        <v>0</v>
      </c>
      <c r="Q51" s="48">
        <f>('TUSD BE'!$Q$51+'TUSD BF'!$Q$51+'TUSD CVA'!$Q$51)*1</f>
        <v>84.229733424798212</v>
      </c>
      <c r="R51" s="48">
        <f>('TUSD BE'!$R$51+'TUSD BF'!$R$51+'TUSD CVA'!$R$51)*1</f>
        <v>13.323441364471861</v>
      </c>
      <c r="S51" s="48">
        <f>('TUSD BE'!$S$51+'TUSD BF'!$S$51+'TUSD CVA'!$S$51)*1</f>
        <v>0</v>
      </c>
      <c r="T51" s="48">
        <f>('TUSD BE'!$U$51+'TUSD BF'!$U$51+'TUSD CVA'!$U$51)*1</f>
        <v>9.186954596112491</v>
      </c>
      <c r="U51" s="48">
        <f>('TUSD BE'!$V$51+'TUSD BF'!$V$51+'TUSD CVA'!$V$51)*1</f>
        <v>9.5264918706259163</v>
      </c>
      <c r="V51" s="48">
        <f>('TUSD BE'!$W$51+'TUSD BF'!$W$51+'TUSD CVA'!$W$51)*1</f>
        <v>2.3089367622492993</v>
      </c>
      <c r="W51" s="48">
        <f>('TUSD BE'!$X$51+'TUSD BF'!$X$51+'TUSD CVA'!$X$51)*1</f>
        <v>0</v>
      </c>
      <c r="X51" s="48">
        <f>('TUSD BE'!$Y$51+'TUSD BF'!$Y$51+'TUSD CVA'!$Y$51)*1</f>
        <v>66.549456289875351</v>
      </c>
      <c r="Y51" s="48">
        <f>('TUSD BE'!$Z$51+'TUSD BF'!$Z$51+'TUSD CVA'!$Z$51)*1</f>
        <v>0</v>
      </c>
      <c r="Z51" s="48">
        <f>('TUSD BE'!$AA$51+'TUSD BF'!$AA$51+'TUSD CVA'!$AA$51)*1</f>
        <v>0</v>
      </c>
      <c r="AA51" s="48">
        <f>('TUSD BE'!$AC$51+'TUSD BF'!$AC$51+'TUSD CVA'!$AC$51)*1</f>
        <v>61.945405697878442</v>
      </c>
      <c r="AB51" s="48">
        <f ca="1">('TUSD BE'!$AE$51+'TUSD BF'!$AE$51+'TUSD CVA'!$AE$51)*1</f>
        <v>-1.0547623903103402</v>
      </c>
      <c r="AC51" s="48">
        <f ca="1">('TUSD BE'!$AF$51+'TUSD BF'!$AF$51+'TUSD CVA'!$AF$51)*1</f>
        <v>0</v>
      </c>
      <c r="AD51" s="48">
        <f>('TUSD BE'!$AH$51+'TUSD BF'!$AH$51+'TUSD CVA'!$AH$51)*1</f>
        <v>16.595642089258643</v>
      </c>
      <c r="AE51" s="48">
        <f>('TUSD BE'!$AI$51+'TUSD BF'!$AI$51+'TUSD CVA'!$AI$51)*1</f>
        <v>0.42652605217681322</v>
      </c>
      <c r="AF51" s="48">
        <f ca="1">('TUSD BE'!$AJ$51+'TUSD BF'!$AJ$51+'TUSD CVA'!$AJ$51)*1</f>
        <v>0</v>
      </c>
      <c r="AG51" s="48">
        <f ca="1">('TUSD BE'!$AK$51+'TUSD BF'!$AK$51+'TUSD CVA'!$AK$51)*1</f>
        <v>0</v>
      </c>
      <c r="AI51" s="48">
        <v>0</v>
      </c>
      <c r="AJ51" s="48">
        <v>1.0098260247620201</v>
      </c>
      <c r="AK51" s="48">
        <v>0</v>
      </c>
      <c r="AL51" s="48">
        <v>0</v>
      </c>
      <c r="AM51" s="48">
        <v>0</v>
      </c>
      <c r="AN51" s="48">
        <v>59.412263728720802</v>
      </c>
      <c r="AO51" s="48">
        <v>9.2134837324594692</v>
      </c>
      <c r="AP51" s="48">
        <v>0</v>
      </c>
      <c r="AQ51" s="48">
        <v>8.0928284949317408</v>
      </c>
      <c r="AR51" s="48">
        <v>6.5785964363863201</v>
      </c>
      <c r="AS51" s="48">
        <v>0.49503704571442703</v>
      </c>
      <c r="AT51" s="48">
        <v>0</v>
      </c>
      <c r="AU51" s="48">
        <v>65.801482312813903</v>
      </c>
      <c r="AV51" s="48">
        <v>0</v>
      </c>
      <c r="AW51" s="48">
        <v>0</v>
      </c>
      <c r="AX51" s="48">
        <v>78.568534620670206</v>
      </c>
      <c r="AY51" s="48">
        <v>-4.6680937244695198</v>
      </c>
      <c r="AZ51" s="48">
        <v>0</v>
      </c>
      <c r="BA51" s="48">
        <v>18.171350828339399</v>
      </c>
      <c r="BB51" s="48">
        <v>0.51183101118214502</v>
      </c>
      <c r="BC51" s="48">
        <v>0</v>
      </c>
      <c r="BD51" s="48">
        <v>0</v>
      </c>
    </row>
    <row r="52" spans="1:56" ht="11.25" customHeight="1" x14ac:dyDescent="0.25">
      <c r="A52" s="109"/>
      <c r="B52" s="51" t="s">
        <v>23</v>
      </c>
      <c r="C52" s="51" t="s">
        <v>25</v>
      </c>
      <c r="D52" s="51" t="s">
        <v>25</v>
      </c>
      <c r="E52" s="51" t="s">
        <v>25</v>
      </c>
      <c r="F52" s="51" t="s">
        <v>25</v>
      </c>
      <c r="G52" s="52" t="s">
        <v>88</v>
      </c>
      <c r="H52" s="52" t="s">
        <v>82</v>
      </c>
      <c r="I52" s="52">
        <f>'MERCADO TUSD'!$U$49</f>
        <v>28646.591999999997</v>
      </c>
      <c r="J52" s="15"/>
      <c r="L52" s="48">
        <f>('TUSD BE'!$L$52+'TUSD BF'!$L$52+'TUSD CVA'!$L$52)*1</f>
        <v>0</v>
      </c>
      <c r="M52" s="48">
        <f>('TUSD BE'!$M$52+'TUSD BF'!$M$52+'TUSD CVA'!$M$52)*1</f>
        <v>0.78192502640401806</v>
      </c>
      <c r="N52" s="48">
        <f ca="1">('TUSD BE'!$N$52+'TUSD BF'!$N$52+'TUSD CVA'!$N$52)*1</f>
        <v>0</v>
      </c>
      <c r="O52" s="48">
        <f>('TUSD BE'!$O$52+'TUSD BF'!$O$52+'TUSD CVA'!$O$52)*1</f>
        <v>0</v>
      </c>
      <c r="P52" s="48">
        <f>('TUSD BE'!$P$52+'TUSD BF'!$P$52+'TUSD CVA'!$P$52)*1</f>
        <v>0</v>
      </c>
      <c r="Q52" s="48">
        <f>('TUSD BE'!$Q$52+'TUSD BF'!$Q$52+'TUSD CVA'!$Q$52)*1</f>
        <v>84.229733424798212</v>
      </c>
      <c r="R52" s="48">
        <f>('TUSD BE'!$R$52+'TUSD BF'!$R$52+'TUSD CVA'!$R$52)*1</f>
        <v>13.323441364471861</v>
      </c>
      <c r="S52" s="48">
        <f>('TUSD BE'!$S$52+'TUSD BF'!$S$52+'TUSD CVA'!$S$52)*1</f>
        <v>0</v>
      </c>
      <c r="T52" s="48">
        <f>('TUSD BE'!$U$52+'TUSD BF'!$U$52+'TUSD CVA'!$U$52)*1</f>
        <v>10.936897664045233</v>
      </c>
      <c r="U52" s="48">
        <f>('TUSD BE'!$V$52+'TUSD BF'!$V$52+'TUSD CVA'!$V$52)*1</f>
        <v>11.341095972416083</v>
      </c>
      <c r="V52" s="48">
        <f>('TUSD BE'!$W$52+'TUSD BF'!$W$52+'TUSD CVA'!$W$52)*1</f>
        <v>2.7486599004283971</v>
      </c>
      <c r="W52" s="48">
        <f>('TUSD BE'!$X$52+'TUSD BF'!$X$52+'TUSD CVA'!$X$52)*1</f>
        <v>0</v>
      </c>
      <c r="X52" s="48">
        <f>('TUSD BE'!$Y$52+'TUSD BF'!$Y$52+'TUSD CVA'!$Y$52)*1</f>
        <v>79.22546122215887</v>
      </c>
      <c r="Y52" s="48">
        <f>('TUSD BE'!$Z$52+'TUSD BF'!$Z$52+'TUSD CVA'!$Z$52)*1</f>
        <v>0</v>
      </c>
      <c r="Z52" s="48">
        <f>('TUSD BE'!$AA$52+'TUSD BF'!$AA$52+'TUSD CVA'!$AA$52)*1</f>
        <v>0</v>
      </c>
      <c r="AA52" s="48">
        <f>('TUSD BE'!$AC$52+'TUSD BF'!$AC$52+'TUSD CVA'!$AC$52)*1</f>
        <v>73.744515717609659</v>
      </c>
      <c r="AB52" s="48">
        <f ca="1">('TUSD BE'!$AE$52+'TUSD BF'!$AE$52+'TUSD CVA'!$AE$52)*1</f>
        <v>-1.1873463423711526</v>
      </c>
      <c r="AC52" s="48">
        <f ca="1">('TUSD BE'!$AF$52+'TUSD BF'!$AF$52+'TUSD CVA'!$AF$52)*1</f>
        <v>0</v>
      </c>
      <c r="AD52" s="48">
        <f>('TUSD BE'!$AH$52+'TUSD BF'!$AH$52+'TUSD CVA'!$AH$52)*1</f>
        <v>16.595642089258643</v>
      </c>
      <c r="AE52" s="48">
        <f>('TUSD BE'!$AI$52+'TUSD BF'!$AI$52+'TUSD CVA'!$AI$52)*1</f>
        <v>0.42652605217681322</v>
      </c>
      <c r="AF52" s="48">
        <f ca="1">('TUSD BE'!$AJ$52+'TUSD BF'!$AJ$52+'TUSD CVA'!$AJ$52)*1</f>
        <v>0</v>
      </c>
      <c r="AG52" s="48">
        <f ca="1">('TUSD BE'!$AK$52+'TUSD BF'!$AK$52+'TUSD CVA'!$AK$52)*1</f>
        <v>0</v>
      </c>
      <c r="AI52" s="48">
        <v>0</v>
      </c>
      <c r="AJ52" s="48">
        <v>1.0098260247620201</v>
      </c>
      <c r="AK52" s="48">
        <v>0</v>
      </c>
      <c r="AL52" s="48">
        <v>0</v>
      </c>
      <c r="AM52" s="48">
        <v>0</v>
      </c>
      <c r="AN52" s="48">
        <v>59.412263728720802</v>
      </c>
      <c r="AO52" s="48">
        <v>9.2134837324594692</v>
      </c>
      <c r="AP52" s="48">
        <v>0</v>
      </c>
      <c r="AQ52" s="48">
        <v>9.6344206940418804</v>
      </c>
      <c r="AR52" s="48">
        <v>7.8317397138342599</v>
      </c>
      <c r="AS52" s="48">
        <v>0.58930843959339396</v>
      </c>
      <c r="AT52" s="48">
        <v>0</v>
      </c>
      <c r="AU52" s="48">
        <v>78.335068028223304</v>
      </c>
      <c r="AV52" s="48">
        <v>0</v>
      </c>
      <c r="AW52" s="48">
        <v>0</v>
      </c>
      <c r="AX52" s="48">
        <v>93.533994850700793</v>
      </c>
      <c r="AY52" s="48">
        <v>-5.3338265458029799</v>
      </c>
      <c r="AZ52" s="48">
        <v>0</v>
      </c>
      <c r="BA52" s="48">
        <v>18.171350828339399</v>
      </c>
      <c r="BB52" s="48">
        <v>0.51183101118214502</v>
      </c>
      <c r="BC52" s="48">
        <v>0</v>
      </c>
      <c r="BD52" s="48">
        <v>0</v>
      </c>
    </row>
    <row r="53" spans="1:56" ht="11.25" customHeight="1" x14ac:dyDescent="0.25">
      <c r="A53" s="109"/>
      <c r="B53" s="51" t="s">
        <v>97</v>
      </c>
      <c r="C53" s="51" t="s">
        <v>25</v>
      </c>
      <c r="D53" s="51" t="s">
        <v>25</v>
      </c>
      <c r="E53" s="51" t="s">
        <v>25</v>
      </c>
      <c r="F53" s="51" t="s">
        <v>25</v>
      </c>
      <c r="G53" s="52" t="s">
        <v>88</v>
      </c>
      <c r="H53" s="52" t="s">
        <v>82</v>
      </c>
      <c r="I53" s="52">
        <f>'MERCADO TUSD'!$U$50</f>
        <v>0</v>
      </c>
      <c r="J53" s="15"/>
      <c r="L53" s="48">
        <f>('TUSD BE'!$L$53+'TUSD BF'!$L$53+'TUSD CVA'!$L$53)*1</f>
        <v>0</v>
      </c>
      <c r="M53" s="48">
        <f>('TUSD BE'!$M$53+'TUSD BF'!$M$53+'TUSD CVA'!$M$53)*1</f>
        <v>0.78192502640401806</v>
      </c>
      <c r="N53" s="48">
        <f ca="1">('TUSD BE'!$N$53+'TUSD BF'!$N$53+'TUSD CVA'!$N$53)*1</f>
        <v>0</v>
      </c>
      <c r="O53" s="48">
        <f>('TUSD BE'!$O$53+'TUSD BF'!$O$53+'TUSD CVA'!$O$53)*1</f>
        <v>0</v>
      </c>
      <c r="P53" s="48">
        <f>('TUSD BE'!$P$53+'TUSD BF'!$P$53+'TUSD CVA'!$P$53)*1</f>
        <v>0</v>
      </c>
      <c r="Q53" s="48">
        <f>('TUSD BE'!$Q$53+'TUSD BF'!$Q$53+'TUSD CVA'!$Q$53)*1</f>
        <v>84.229733424798212</v>
      </c>
      <c r="R53" s="48">
        <f>('TUSD BE'!$R$53+'TUSD BF'!$R$53+'TUSD CVA'!$R$53)*1</f>
        <v>13.323441364471861</v>
      </c>
      <c r="S53" s="48">
        <f>('TUSD BE'!$S$53+'TUSD BF'!$S$53+'TUSD CVA'!$S$53)*1</f>
        <v>0</v>
      </c>
      <c r="T53" s="48">
        <f>('TUSD BE'!$U$53+'TUSD BF'!$U$53+'TUSD CVA'!$U$53)*1</f>
        <v>10.936897664045233</v>
      </c>
      <c r="U53" s="48">
        <f>('TUSD BE'!$V$53+'TUSD BF'!$V$53+'TUSD CVA'!$V$53)*1</f>
        <v>11.341095972416083</v>
      </c>
      <c r="V53" s="48">
        <f>('TUSD BE'!$W$53+'TUSD BF'!$W$53+'TUSD CVA'!$W$53)*1</f>
        <v>2.7486599004283971</v>
      </c>
      <c r="W53" s="48">
        <f>('TUSD BE'!$X$53+'TUSD BF'!$X$53+'TUSD CVA'!$X$53)*1</f>
        <v>0</v>
      </c>
      <c r="X53" s="48">
        <f>('TUSD BE'!$Y$53+'TUSD BF'!$Y$53+'TUSD CVA'!$Y$53)*1</f>
        <v>79.22546122215887</v>
      </c>
      <c r="Y53" s="48">
        <f>('TUSD BE'!$Z$53+'TUSD BF'!$Z$53+'TUSD CVA'!$Z$53)*1</f>
        <v>0</v>
      </c>
      <c r="Z53" s="48">
        <f>('TUSD BE'!$AA$53+'TUSD BF'!$AA$53+'TUSD CVA'!$AA$53)*1</f>
        <v>0</v>
      </c>
      <c r="AA53" s="48">
        <f>('TUSD BE'!$AC$53+'TUSD BF'!$AC$53+'TUSD CVA'!$AC$53)*1</f>
        <v>73.744515717609659</v>
      </c>
      <c r="AB53" s="48">
        <f ca="1">('TUSD BE'!$AE$53+'TUSD BF'!$AE$53+'TUSD CVA'!$AE$53)*1</f>
        <v>-1.1873463423711526</v>
      </c>
      <c r="AC53" s="48">
        <f ca="1">('TUSD BE'!$AF$53+'TUSD BF'!$AF$53+'TUSD CVA'!$AF$53)*1</f>
        <v>0</v>
      </c>
      <c r="AD53" s="48">
        <f>('TUSD BE'!$AH$53+'TUSD BF'!$AH$53+'TUSD CVA'!$AH$53)*1</f>
        <v>16.595642089258643</v>
      </c>
      <c r="AE53" s="48">
        <f>('TUSD BE'!$AI$53+'TUSD BF'!$AI$53+'TUSD CVA'!$AI$53)*1</f>
        <v>0.42652605217681322</v>
      </c>
      <c r="AF53" s="48">
        <f ca="1">('TUSD BE'!$AJ$53+'TUSD BF'!$AJ$53+'TUSD CVA'!$AJ$53)*1</f>
        <v>0</v>
      </c>
      <c r="AG53" s="48">
        <f ca="1">('TUSD BE'!$AK$53+'TUSD BF'!$AK$53+'TUSD CVA'!$AK$53)*1</f>
        <v>0</v>
      </c>
      <c r="AI53" s="48">
        <v>0</v>
      </c>
      <c r="AJ53" s="48">
        <v>1.0098260247620201</v>
      </c>
      <c r="AK53" s="48">
        <v>0</v>
      </c>
      <c r="AL53" s="48">
        <v>0</v>
      </c>
      <c r="AM53" s="48">
        <v>0</v>
      </c>
      <c r="AN53" s="48">
        <v>59.412263728720802</v>
      </c>
      <c r="AO53" s="48">
        <v>9.2134837324594692</v>
      </c>
      <c r="AP53" s="48">
        <v>0</v>
      </c>
      <c r="AQ53" s="48">
        <v>9.6344206940418804</v>
      </c>
      <c r="AR53" s="48">
        <v>7.8317397138342599</v>
      </c>
      <c r="AS53" s="48">
        <v>0.58930843959339396</v>
      </c>
      <c r="AT53" s="48">
        <v>0</v>
      </c>
      <c r="AU53" s="48">
        <v>78.335068028223304</v>
      </c>
      <c r="AV53" s="48">
        <v>0</v>
      </c>
      <c r="AW53" s="48">
        <v>0</v>
      </c>
      <c r="AX53" s="48">
        <v>93.533994850700793</v>
      </c>
      <c r="AY53" s="48">
        <v>-5.3338265458029799</v>
      </c>
      <c r="AZ53" s="48">
        <v>0</v>
      </c>
      <c r="BA53" s="48">
        <v>18.171350828339399</v>
      </c>
      <c r="BB53" s="48">
        <v>0.51183101118214502</v>
      </c>
      <c r="BC53" s="48">
        <v>0</v>
      </c>
      <c r="BD53" s="48">
        <v>0</v>
      </c>
    </row>
    <row r="54" spans="1:56" ht="11.25" customHeight="1" x14ac:dyDescent="0.25">
      <c r="A54" s="109" t="s">
        <v>44</v>
      </c>
      <c r="B54" s="109" t="s">
        <v>23</v>
      </c>
      <c r="C54" s="109" t="s">
        <v>45</v>
      </c>
      <c r="D54" s="51" t="s">
        <v>46</v>
      </c>
      <c r="E54" s="51" t="s">
        <v>25</v>
      </c>
      <c r="F54" s="51" t="s">
        <v>25</v>
      </c>
      <c r="G54" s="52" t="s">
        <v>88</v>
      </c>
      <c r="H54" s="52" t="s">
        <v>82</v>
      </c>
      <c r="I54" s="52">
        <f>'MERCADO TUSD'!$U$51</f>
        <v>6635.9900000000007</v>
      </c>
      <c r="J54" s="15"/>
      <c r="L54" s="48">
        <f>('TUSD BE'!$L$54+'TUSD BF'!$L$54+'TUSD CVA'!$L$54)*1</f>
        <v>0</v>
      </c>
      <c r="M54" s="48">
        <f>('TUSD BE'!$M$54+'TUSD BF'!$M$54+'TUSD CVA'!$M$54)*1</f>
        <v>0.43005876452220998</v>
      </c>
      <c r="N54" s="48">
        <f ca="1">('TUSD BE'!$N$54+'TUSD BF'!$N$54+'TUSD CVA'!$N$54)*1</f>
        <v>0</v>
      </c>
      <c r="O54" s="48">
        <f>('TUSD BE'!$O$54+'TUSD BF'!$O$54+'TUSD CVA'!$O$54)*1</f>
        <v>0</v>
      </c>
      <c r="P54" s="48">
        <f>('TUSD BE'!$P$54+'TUSD BF'!$P$54+'TUSD CVA'!$P$54)*1</f>
        <v>0</v>
      </c>
      <c r="Q54" s="48">
        <f>('TUSD BE'!$Q$54+'TUSD BF'!$Q$54+'TUSD CVA'!$Q$54)*1</f>
        <v>46.326353383639017</v>
      </c>
      <c r="R54" s="48">
        <f>('TUSD BE'!$R$54+'TUSD BF'!$R$54+'TUSD CVA'!$R$54)*1</f>
        <v>7.3278927504595242</v>
      </c>
      <c r="S54" s="48">
        <f>('TUSD BE'!$S$54+'TUSD BF'!$S$54+'TUSD CVA'!$S$54)*1</f>
        <v>0</v>
      </c>
      <c r="T54" s="48">
        <f>('TUSD BE'!$U$54+'TUSD BF'!$U$54+'TUSD CVA'!$U$54)*1</f>
        <v>6.0152937152248782</v>
      </c>
      <c r="U54" s="48">
        <f>('TUSD BE'!$V$54+'TUSD BF'!$V$54+'TUSD CVA'!$V$54)*1</f>
        <v>6.2376027848288471</v>
      </c>
      <c r="V54" s="48">
        <f>('TUSD BE'!$W$54+'TUSD BF'!$W$54+'TUSD CVA'!$W$54)*1</f>
        <v>1.5117629452356187</v>
      </c>
      <c r="W54" s="48">
        <f>('TUSD BE'!$X$54+'TUSD BF'!$X$54+'TUSD CVA'!$X$54)*1</f>
        <v>0</v>
      </c>
      <c r="X54" s="48">
        <f>('TUSD BE'!$Y$54+'TUSD BF'!$Y$54+'TUSD CVA'!$Y$54)*1</f>
        <v>43.574003672187381</v>
      </c>
      <c r="Y54" s="48">
        <f>('TUSD BE'!$Z$54+'TUSD BF'!$Z$54+'TUSD CVA'!$Z$54)*1</f>
        <v>0</v>
      </c>
      <c r="Z54" s="48">
        <f>('TUSD BE'!$AA$54+'TUSD BF'!$AA$54+'TUSD CVA'!$AA$54)*1</f>
        <v>0</v>
      </c>
      <c r="AA54" s="48">
        <f>('TUSD BE'!$AC$54+'TUSD BF'!$AC$54+'TUSD CVA'!$AC$54)*1</f>
        <v>40.559483644685315</v>
      </c>
      <c r="AB54" s="48">
        <f ca="1">('TUSD BE'!$AE$54+'TUSD BF'!$AE$54+'TUSD CVA'!$AE$54)*1</f>
        <v>-0.65304048830413386</v>
      </c>
      <c r="AC54" s="48">
        <f ca="1">('TUSD BE'!$AF$54+'TUSD BF'!$AF$54+'TUSD CVA'!$AF$54)*1</f>
        <v>0</v>
      </c>
      <c r="AD54" s="48">
        <f>('TUSD BE'!$AH$54+'TUSD BF'!$AH$54+'TUSD CVA'!$AH$54)*1</f>
        <v>9.1276031490922538</v>
      </c>
      <c r="AE54" s="48">
        <f>('TUSD BE'!$AI$54+'TUSD BF'!$AI$54+'TUSD CVA'!$AI$54)*1</f>
        <v>0.2345893286972473</v>
      </c>
      <c r="AF54" s="48">
        <f ca="1">('TUSD BE'!$AJ$54+'TUSD BF'!$AJ$54+'TUSD CVA'!$AJ$54)*1</f>
        <v>0</v>
      </c>
      <c r="AG54" s="48">
        <f ca="1">('TUSD BE'!$AK$54+'TUSD BF'!$AK$54+'TUSD CVA'!$AK$54)*1</f>
        <v>0</v>
      </c>
      <c r="AI54" s="48">
        <v>0</v>
      </c>
      <c r="AJ54" s="48">
        <v>0.55540431361911202</v>
      </c>
      <c r="AK54" s="48">
        <v>0</v>
      </c>
      <c r="AL54" s="48">
        <v>0</v>
      </c>
      <c r="AM54" s="48">
        <v>0</v>
      </c>
      <c r="AN54" s="48">
        <v>32.676745050796399</v>
      </c>
      <c r="AO54" s="48">
        <v>5.0674160528527104</v>
      </c>
      <c r="AP54" s="48">
        <v>0</v>
      </c>
      <c r="AQ54" s="48">
        <v>5.2989313817230403</v>
      </c>
      <c r="AR54" s="48">
        <v>4.3074568426088398</v>
      </c>
      <c r="AS54" s="48">
        <v>0.32411964177636599</v>
      </c>
      <c r="AT54" s="48">
        <v>0</v>
      </c>
      <c r="AU54" s="48">
        <v>43.084287415522802</v>
      </c>
      <c r="AV54" s="48">
        <v>0</v>
      </c>
      <c r="AW54" s="48">
        <v>0</v>
      </c>
      <c r="AX54" s="48">
        <v>51.443697167885503</v>
      </c>
      <c r="AY54" s="48">
        <v>-2.9336046001916398</v>
      </c>
      <c r="AZ54" s="48">
        <v>0</v>
      </c>
      <c r="BA54" s="48">
        <v>9.9942429555866692</v>
      </c>
      <c r="BB54" s="48">
        <v>0.28150705615018001</v>
      </c>
      <c r="BC54" s="48">
        <v>0</v>
      </c>
      <c r="BD54" s="48">
        <v>0</v>
      </c>
    </row>
    <row r="55" spans="1:56" ht="11.25" customHeight="1" x14ac:dyDescent="0.25">
      <c r="A55" s="109"/>
      <c r="B55" s="109"/>
      <c r="C55" s="109"/>
      <c r="D55" s="52" t="s">
        <v>100</v>
      </c>
      <c r="E55" s="52" t="s">
        <v>25</v>
      </c>
      <c r="F55" s="52" t="s">
        <v>25</v>
      </c>
      <c r="G55" s="52" t="s">
        <v>88</v>
      </c>
      <c r="H55" s="52" t="s">
        <v>82</v>
      </c>
      <c r="I55" s="52">
        <f>'MERCADO TUSD'!$U$52</f>
        <v>0</v>
      </c>
      <c r="J55" s="15"/>
      <c r="L55" s="48">
        <f>('TUSD BE'!$L$55+'TUSD BF'!$L$55+'TUSD CVA'!$L$55)*1</f>
        <v>0</v>
      </c>
      <c r="M55" s="48">
        <f>('TUSD BE'!$M$55+'TUSD BF'!$M$55+'TUSD CVA'!$M$55)*1</f>
        <v>0.46915501584241087</v>
      </c>
      <c r="N55" s="48">
        <f ca="1">('TUSD BE'!$N$55+'TUSD BF'!$N$55+'TUSD CVA'!$N$55)*1</f>
        <v>0</v>
      </c>
      <c r="O55" s="48">
        <f>('TUSD BE'!$O$55+'TUSD BF'!$O$55+'TUSD CVA'!$O$55)*1</f>
        <v>0</v>
      </c>
      <c r="P55" s="48">
        <f>('TUSD BE'!$P$55+'TUSD BF'!$P$55+'TUSD CVA'!$P$55)*1</f>
        <v>0</v>
      </c>
      <c r="Q55" s="48">
        <f>('TUSD BE'!$Q$55+'TUSD BF'!$Q$55+'TUSD CVA'!$Q$55)*1</f>
        <v>50.537840054878927</v>
      </c>
      <c r="R55" s="48">
        <f>('TUSD BE'!$R$55+'TUSD BF'!$R$55+'TUSD CVA'!$R$55)*1</f>
        <v>7.9940648186831176</v>
      </c>
      <c r="S55" s="48">
        <f>('TUSD BE'!$S$55+'TUSD BF'!$S$55+'TUSD CVA'!$S$55)*1</f>
        <v>0</v>
      </c>
      <c r="T55" s="48">
        <f>('TUSD BE'!$U$55+'TUSD BF'!$U$55+'TUSD CVA'!$U$55)*1</f>
        <v>6.5621385984271381</v>
      </c>
      <c r="U55" s="48">
        <f>('TUSD BE'!$V$55+'TUSD BF'!$V$55+'TUSD CVA'!$V$55)*1</f>
        <v>6.804657583449651</v>
      </c>
      <c r="V55" s="48">
        <f>('TUSD BE'!$W$55+'TUSD BF'!$W$55+'TUSD CVA'!$W$55)*1</f>
        <v>1.6491959402570382</v>
      </c>
      <c r="W55" s="48">
        <f>('TUSD BE'!$X$55+'TUSD BF'!$X$55+'TUSD CVA'!$X$55)*1</f>
        <v>0</v>
      </c>
      <c r="X55" s="48">
        <f>('TUSD BE'!$Y$55+'TUSD BF'!$Y$55+'TUSD CVA'!$Y$55)*1</f>
        <v>47.535276733295319</v>
      </c>
      <c r="Y55" s="48">
        <f>('TUSD BE'!$Z$55+'TUSD BF'!$Z$55+'TUSD CVA'!$Z$55)*1</f>
        <v>0</v>
      </c>
      <c r="Z55" s="48">
        <f>('TUSD BE'!$AA$55+'TUSD BF'!$AA$55+'TUSD CVA'!$AA$55)*1</f>
        <v>0</v>
      </c>
      <c r="AA55" s="48">
        <f>('TUSD BE'!$AC$55+'TUSD BF'!$AC$55+'TUSD CVA'!$AC$55)*1</f>
        <v>44.246709430565801</v>
      </c>
      <c r="AB55" s="48">
        <f ca="1">('TUSD BE'!$AE$55+'TUSD BF'!$AE$55+'TUSD CVA'!$AE$55)*1</f>
        <v>-0.71240780542269144</v>
      </c>
      <c r="AC55" s="48">
        <f ca="1">('TUSD BE'!$AF$55+'TUSD BF'!$AF$55+'TUSD CVA'!$AF$55)*1</f>
        <v>0</v>
      </c>
      <c r="AD55" s="48">
        <f>('TUSD BE'!$AH$55+'TUSD BF'!$AH$55+'TUSD CVA'!$AH$55)*1</f>
        <v>9.9573852535551861</v>
      </c>
      <c r="AE55" s="48">
        <f>('TUSD BE'!$AI$55+'TUSD BF'!$AI$55+'TUSD CVA'!$AI$55)*1</f>
        <v>0.25591563130608791</v>
      </c>
      <c r="AF55" s="48">
        <f ca="1">('TUSD BE'!$AJ$55+'TUSD BF'!$AJ$55+'TUSD CVA'!$AJ$55)*1</f>
        <v>0</v>
      </c>
      <c r="AG55" s="48">
        <f ca="1">('TUSD BE'!$AK$55+'TUSD BF'!$AK$55+'TUSD CVA'!$AK$55)*1</f>
        <v>0</v>
      </c>
      <c r="AI55" s="48">
        <v>0</v>
      </c>
      <c r="AJ55" s="48">
        <v>0.60589561485721299</v>
      </c>
      <c r="AK55" s="48">
        <v>0</v>
      </c>
      <c r="AL55" s="48">
        <v>0</v>
      </c>
      <c r="AM55" s="48">
        <v>0</v>
      </c>
      <c r="AN55" s="48">
        <v>35.647358237232503</v>
      </c>
      <c r="AO55" s="48">
        <v>5.5280902394756799</v>
      </c>
      <c r="AP55" s="48">
        <v>0</v>
      </c>
      <c r="AQ55" s="48">
        <v>5.7806524164251298</v>
      </c>
      <c r="AR55" s="48">
        <v>4.6990438283005496</v>
      </c>
      <c r="AS55" s="48">
        <v>0.35358506375603599</v>
      </c>
      <c r="AT55" s="48">
        <v>0</v>
      </c>
      <c r="AU55" s="48">
        <v>47.001040816934001</v>
      </c>
      <c r="AV55" s="48">
        <v>0</v>
      </c>
      <c r="AW55" s="48">
        <v>0</v>
      </c>
      <c r="AX55" s="48">
        <v>56.120396910420503</v>
      </c>
      <c r="AY55" s="48">
        <v>-3.2002959274817901</v>
      </c>
      <c r="AZ55" s="48">
        <v>0</v>
      </c>
      <c r="BA55" s="48">
        <v>10.9028104970036</v>
      </c>
      <c r="BB55" s="48">
        <v>0.30709860670928701</v>
      </c>
      <c r="BC55" s="48">
        <v>0</v>
      </c>
      <c r="BD55" s="48">
        <v>0</v>
      </c>
    </row>
    <row r="57" spans="1:56" ht="11.25" customHeight="1" x14ac:dyDescent="0.25">
      <c r="L57" s="110" t="s">
        <v>739</v>
      </c>
      <c r="M57" s="110"/>
      <c r="N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I57" s="110" t="s">
        <v>740</v>
      </c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10"/>
      <c r="BA57" s="110"/>
      <c r="BB57" s="110"/>
      <c r="BC57" s="110"/>
      <c r="BD57" s="110"/>
    </row>
    <row r="58" spans="1:56" ht="11.25" customHeight="1" x14ac:dyDescent="0.25">
      <c r="L58" s="110" t="s">
        <v>444</v>
      </c>
      <c r="M58" s="110"/>
      <c r="N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  <c r="AA58" s="110"/>
      <c r="AB58" s="110"/>
      <c r="AC58" s="110"/>
      <c r="AD58" s="110"/>
      <c r="AE58" s="110"/>
      <c r="AF58" s="110"/>
      <c r="AG58" s="110"/>
      <c r="AI58" s="110" t="s">
        <v>444</v>
      </c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10"/>
      <c r="BA58" s="110"/>
      <c r="BB58" s="110"/>
      <c r="BC58" s="110"/>
      <c r="BD58" s="110"/>
    </row>
    <row r="59" spans="1:56" ht="11.25" customHeight="1" x14ac:dyDescent="0.25">
      <c r="L59" s="110" t="s">
        <v>445</v>
      </c>
      <c r="M59" s="110"/>
      <c r="N59" s="110"/>
      <c r="O59" s="110"/>
      <c r="P59" s="110"/>
      <c r="Q59" s="110"/>
      <c r="R59" s="110"/>
      <c r="S59" s="110"/>
      <c r="T59" s="110" t="s">
        <v>454</v>
      </c>
      <c r="U59" s="110"/>
      <c r="V59" s="110"/>
      <c r="W59" s="110"/>
      <c r="X59" s="110"/>
      <c r="Y59" s="110"/>
      <c r="Z59" s="110"/>
      <c r="AA59" s="49" t="s">
        <v>462</v>
      </c>
      <c r="AB59" s="110" t="s">
        <v>464</v>
      </c>
      <c r="AC59" s="110"/>
      <c r="AD59" s="110" t="s">
        <v>467</v>
      </c>
      <c r="AE59" s="110"/>
      <c r="AF59" s="110"/>
      <c r="AG59" s="110"/>
      <c r="AI59" s="110" t="s">
        <v>445</v>
      </c>
      <c r="AJ59" s="110"/>
      <c r="AK59" s="110"/>
      <c r="AL59" s="110"/>
      <c r="AM59" s="110"/>
      <c r="AN59" s="110"/>
      <c r="AO59" s="110"/>
      <c r="AP59" s="110"/>
      <c r="AQ59" s="110" t="s">
        <v>454</v>
      </c>
      <c r="AR59" s="110"/>
      <c r="AS59" s="110"/>
      <c r="AT59" s="110"/>
      <c r="AU59" s="110"/>
      <c r="AV59" s="110"/>
      <c r="AW59" s="110"/>
      <c r="AX59" s="49" t="s">
        <v>462</v>
      </c>
      <c r="AY59" s="110" t="s">
        <v>464</v>
      </c>
      <c r="AZ59" s="110"/>
      <c r="BA59" s="110" t="s">
        <v>467</v>
      </c>
      <c r="BB59" s="110"/>
      <c r="BC59" s="110"/>
      <c r="BD59" s="110"/>
    </row>
    <row r="60" spans="1:56" ht="11.25" customHeight="1" x14ac:dyDescent="0.25">
      <c r="L60" s="49" t="s">
        <v>530</v>
      </c>
      <c r="M60" s="49" t="s">
        <v>446</v>
      </c>
      <c r="N60" s="49" t="s">
        <v>447</v>
      </c>
      <c r="O60" s="49" t="s">
        <v>448</v>
      </c>
      <c r="P60" s="49" t="s">
        <v>449</v>
      </c>
      <c r="Q60" s="49" t="s">
        <v>450</v>
      </c>
      <c r="R60" s="49" t="s">
        <v>451</v>
      </c>
      <c r="S60" s="49" t="s">
        <v>452</v>
      </c>
      <c r="T60" s="49" t="s">
        <v>455</v>
      </c>
      <c r="U60" s="49" t="s">
        <v>456</v>
      </c>
      <c r="V60" s="49" t="s">
        <v>457</v>
      </c>
      <c r="W60" s="49" t="s">
        <v>458</v>
      </c>
      <c r="X60" s="49" t="s">
        <v>459</v>
      </c>
      <c r="Y60" s="49" t="s">
        <v>460</v>
      </c>
      <c r="Z60" s="49" t="s">
        <v>461</v>
      </c>
      <c r="AA60" s="49" t="s">
        <v>463</v>
      </c>
      <c r="AB60" s="49" t="s">
        <v>465</v>
      </c>
      <c r="AC60" s="49" t="s">
        <v>466</v>
      </c>
      <c r="AD60" s="49" t="s">
        <v>468</v>
      </c>
      <c r="AE60" s="49" t="s">
        <v>469</v>
      </c>
      <c r="AF60" s="49" t="s">
        <v>470</v>
      </c>
      <c r="AG60" s="49" t="s">
        <v>471</v>
      </c>
      <c r="AI60" s="49" t="s">
        <v>530</v>
      </c>
      <c r="AJ60" s="49" t="s">
        <v>446</v>
      </c>
      <c r="AK60" s="49" t="s">
        <v>447</v>
      </c>
      <c r="AL60" s="49" t="s">
        <v>448</v>
      </c>
      <c r="AM60" s="49" t="s">
        <v>449</v>
      </c>
      <c r="AN60" s="49" t="s">
        <v>450</v>
      </c>
      <c r="AO60" s="49" t="s">
        <v>451</v>
      </c>
      <c r="AP60" s="49" t="s">
        <v>452</v>
      </c>
      <c r="AQ60" s="49" t="s">
        <v>455</v>
      </c>
      <c r="AR60" s="49" t="s">
        <v>456</v>
      </c>
      <c r="AS60" s="49" t="s">
        <v>457</v>
      </c>
      <c r="AT60" s="49" t="s">
        <v>458</v>
      </c>
      <c r="AU60" s="49" t="s">
        <v>459</v>
      </c>
      <c r="AV60" s="49" t="s">
        <v>460</v>
      </c>
      <c r="AW60" s="49" t="s">
        <v>461</v>
      </c>
      <c r="AX60" s="49" t="s">
        <v>463</v>
      </c>
      <c r="AY60" s="49" t="s">
        <v>465</v>
      </c>
      <c r="AZ60" s="49" t="s">
        <v>466</v>
      </c>
      <c r="BA60" s="49" t="s">
        <v>468</v>
      </c>
      <c r="BB60" s="49" t="s">
        <v>469</v>
      </c>
      <c r="BC60" s="49" t="s">
        <v>470</v>
      </c>
      <c r="BD60" s="49" t="s">
        <v>471</v>
      </c>
    </row>
    <row r="61" spans="1:56" ht="11.25" customHeight="1" x14ac:dyDescent="0.25">
      <c r="A61" s="9" t="s">
        <v>53</v>
      </c>
      <c r="B61" s="9" t="s">
        <v>741</v>
      </c>
      <c r="C61" s="9" t="s">
        <v>742</v>
      </c>
      <c r="D61" s="9" t="s">
        <v>743</v>
      </c>
      <c r="E61" s="9" t="s">
        <v>744</v>
      </c>
      <c r="F61" s="9" t="s">
        <v>745</v>
      </c>
      <c r="G61" s="9" t="s">
        <v>746</v>
      </c>
      <c r="L61" s="48">
        <f>$I$5*$L$5</f>
        <v>0</v>
      </c>
      <c r="M61" s="48">
        <f>$I$5*$M$5</f>
        <v>0</v>
      </c>
      <c r="N61" s="48">
        <f ca="1">$I$5*$N$5</f>
        <v>0</v>
      </c>
      <c r="O61" s="48">
        <f>$I$5*$O$5</f>
        <v>0</v>
      </c>
      <c r="P61" s="48">
        <f>$I$5*$P$5</f>
        <v>0</v>
      </c>
      <c r="Q61" s="48">
        <f>$I$5*$Q$5</f>
        <v>0</v>
      </c>
      <c r="R61" s="48">
        <f>$I$5*$R$5</f>
        <v>0</v>
      </c>
      <c r="S61" s="48">
        <f>$I$5*$S$5</f>
        <v>0</v>
      </c>
      <c r="T61" s="48">
        <f>$I$5*$T$5</f>
        <v>159206.87064589775</v>
      </c>
      <c r="U61" s="48">
        <f>$I$5*$U$5</f>
        <v>90143.063881127091</v>
      </c>
      <c r="V61" s="48">
        <f>$I$5*$V$5</f>
        <v>0</v>
      </c>
      <c r="W61" s="48">
        <f>$I$5*$W$5</f>
        <v>0</v>
      </c>
      <c r="X61" s="48">
        <f>$I$5*$X$5</f>
        <v>684386.92334505124</v>
      </c>
      <c r="Y61" s="48">
        <f>$I$5*$Y$5</f>
        <v>0</v>
      </c>
      <c r="Z61" s="48">
        <f>$I$5*$Z$5</f>
        <v>0</v>
      </c>
      <c r="AA61" s="48">
        <f>$I$5*$AA$5</f>
        <v>21109.636170903963</v>
      </c>
      <c r="AB61" s="48">
        <f ca="1">$I$5*$AB$5</f>
        <v>-2762.8128470908127</v>
      </c>
      <c r="AC61" s="48">
        <f ca="1">$I$5*$AC$5</f>
        <v>0</v>
      </c>
      <c r="AD61" s="48">
        <f>$I$5*$AD$5</f>
        <v>0</v>
      </c>
      <c r="AE61" s="48">
        <f>$I$5*$AE$5</f>
        <v>0</v>
      </c>
      <c r="AF61" s="48">
        <f ca="1">$I$5*$AF$5</f>
        <v>0</v>
      </c>
      <c r="AG61" s="48">
        <f ca="1">$I$5*$AG$5</f>
        <v>0</v>
      </c>
      <c r="AI61" s="48">
        <f>$I$5*$AI$5</f>
        <v>0</v>
      </c>
      <c r="AJ61" s="48">
        <f>$I$5*$AJ$5</f>
        <v>0</v>
      </c>
      <c r="AK61" s="48">
        <f>$I$5*$AK$5</f>
        <v>0</v>
      </c>
      <c r="AL61" s="48">
        <f>$I$5*$AL$5</f>
        <v>0</v>
      </c>
      <c r="AM61" s="48">
        <f>$I$5*$AM$5</f>
        <v>0</v>
      </c>
      <c r="AN61" s="48">
        <f>$I$5*$AN$5</f>
        <v>0</v>
      </c>
      <c r="AO61" s="48">
        <f>$I$5*$AO$5</f>
        <v>0</v>
      </c>
      <c r="AP61" s="48">
        <f>$I$5*$AP$5</f>
        <v>0</v>
      </c>
      <c r="AQ61" s="48">
        <f>$I$5*$AQ$5</f>
        <v>140246.56565508837</v>
      </c>
      <c r="AR61" s="48">
        <f>$I$5*$AR$5</f>
        <v>62246.898971560906</v>
      </c>
      <c r="AS61" s="48">
        <f>$I$5*$AS$5</f>
        <v>0</v>
      </c>
      <c r="AT61" s="48">
        <f>$I$5*$AT$5</f>
        <v>0</v>
      </c>
      <c r="AU61" s="48">
        <f>$I$5*$AU$5</f>
        <v>676697.19634631264</v>
      </c>
      <c r="AV61" s="48">
        <f>$I$5*$AV$5</f>
        <v>0</v>
      </c>
      <c r="AW61" s="48">
        <f>$I$5*$AW$5</f>
        <v>0</v>
      </c>
      <c r="AX61" s="48">
        <f>$I$5*$AX$5</f>
        <v>26774.268177073071</v>
      </c>
      <c r="AY61" s="48">
        <f>$I$5*$AY$5</f>
        <v>-12052.300074085577</v>
      </c>
      <c r="AZ61" s="48">
        <f>$I$5*$AZ$5</f>
        <v>0</v>
      </c>
      <c r="BA61" s="48">
        <f>$I$5*$BA$5</f>
        <v>0</v>
      </c>
      <c r="BB61" s="48">
        <f>$I$5*$BB$5</f>
        <v>0</v>
      </c>
      <c r="BC61" s="48">
        <f>$I$5*$BC$5</f>
        <v>0</v>
      </c>
      <c r="BD61" s="48">
        <f>$I$5*$BD$5</f>
        <v>0</v>
      </c>
    </row>
    <row r="62" spans="1:56" ht="11.25" customHeight="1" x14ac:dyDescent="0.25">
      <c r="A62" s="9" t="s">
        <v>53</v>
      </c>
      <c r="B62" s="9" t="s">
        <v>741</v>
      </c>
      <c r="C62" s="9" t="s">
        <v>742</v>
      </c>
      <c r="D62" s="9" t="s">
        <v>743</v>
      </c>
      <c r="E62" s="9" t="s">
        <v>744</v>
      </c>
      <c r="F62" s="9" t="s">
        <v>745</v>
      </c>
      <c r="G62" s="9" t="s">
        <v>747</v>
      </c>
      <c r="L62" s="48">
        <f>$I$6*$L$6</f>
        <v>0</v>
      </c>
      <c r="M62" s="48">
        <f>$I$6*$M$6</f>
        <v>0</v>
      </c>
      <c r="N62" s="48">
        <f ca="1">$I$6*$N$6</f>
        <v>0</v>
      </c>
      <c r="O62" s="48">
        <f>$I$6*$O$6</f>
        <v>0</v>
      </c>
      <c r="P62" s="48">
        <f>$I$6*$P$6</f>
        <v>0</v>
      </c>
      <c r="Q62" s="48">
        <f>$I$6*$Q$6</f>
        <v>0</v>
      </c>
      <c r="R62" s="48">
        <f>$I$6*$R$6</f>
        <v>0</v>
      </c>
      <c r="S62" s="48">
        <f>$I$6*$S$6</f>
        <v>0</v>
      </c>
      <c r="T62" s="48">
        <f>$I$6*$T$6</f>
        <v>88447.641672028127</v>
      </c>
      <c r="U62" s="48">
        <f>$I$6*$U$6</f>
        <v>43243.057795539891</v>
      </c>
      <c r="V62" s="48">
        <f>$I$6*$V$6</f>
        <v>0</v>
      </c>
      <c r="W62" s="48">
        <f>$I$6*$W$6</f>
        <v>0</v>
      </c>
      <c r="X62" s="48">
        <f>$I$6*$X$6</f>
        <v>285992.5697895973</v>
      </c>
      <c r="Y62" s="48">
        <f>$I$6*$Y$6</f>
        <v>0</v>
      </c>
      <c r="Z62" s="48">
        <f>$I$6*$Z$6</f>
        <v>0</v>
      </c>
      <c r="AA62" s="48">
        <f>$I$6*$AA$6</f>
        <v>21109.636170903963</v>
      </c>
      <c r="AB62" s="48">
        <f ca="1">$I$6*$AB$6</f>
        <v>-1319.191829892291</v>
      </c>
      <c r="AC62" s="48">
        <f ca="1">$I$6*$AC$6</f>
        <v>0</v>
      </c>
      <c r="AD62" s="48">
        <f>$I$6*$AD$6</f>
        <v>0</v>
      </c>
      <c r="AE62" s="48">
        <f>$I$6*$AE$6</f>
        <v>0</v>
      </c>
      <c r="AF62" s="48">
        <f ca="1">$I$6*$AF$6</f>
        <v>0</v>
      </c>
      <c r="AG62" s="48">
        <f ca="1">$I$6*$AG$6</f>
        <v>0</v>
      </c>
      <c r="AI62" s="48">
        <f>$I$6*$AI$6</f>
        <v>0</v>
      </c>
      <c r="AJ62" s="48">
        <f>$I$6*$AJ$6</f>
        <v>0</v>
      </c>
      <c r="AK62" s="48">
        <f>$I$6*$AK$6</f>
        <v>0</v>
      </c>
      <c r="AL62" s="48">
        <f>$I$6*$AL$6</f>
        <v>0</v>
      </c>
      <c r="AM62" s="48">
        <f>$I$6*$AM$6</f>
        <v>0</v>
      </c>
      <c r="AN62" s="48">
        <f>$I$6*$AN$6</f>
        <v>0</v>
      </c>
      <c r="AO62" s="48">
        <f>$I$6*$AO$6</f>
        <v>0</v>
      </c>
      <c r="AP62" s="48">
        <f>$I$6*$AP$6</f>
        <v>0</v>
      </c>
      <c r="AQ62" s="48">
        <f>$I$6*$AQ$6</f>
        <v>77914.209421566542</v>
      </c>
      <c r="AR62" s="48">
        <f>$I$6*$AR$6</f>
        <v>29862.690213520811</v>
      </c>
      <c r="AS62" s="48">
        <f>$I$6*$AS$6</f>
        <v>0</v>
      </c>
      <c r="AT62" s="48">
        <f>$I$6*$AT$6</f>
        <v>0</v>
      </c>
      <c r="AU62" s="48">
        <f>$I$6*$AU$6</f>
        <v>282777.77868647274</v>
      </c>
      <c r="AV62" s="48">
        <f>$I$6*$AV$6</f>
        <v>0</v>
      </c>
      <c r="AW62" s="48">
        <f>$I$6*$AW$6</f>
        <v>0</v>
      </c>
      <c r="AX62" s="48">
        <f>$I$6*$AX$6</f>
        <v>26774.268177073071</v>
      </c>
      <c r="AY62" s="48">
        <f>$I$6*$AY$6</f>
        <v>-5801.0801419514601</v>
      </c>
      <c r="AZ62" s="48">
        <f>$I$6*$AZ$6</f>
        <v>0</v>
      </c>
      <c r="BA62" s="48">
        <f>$I$6*$BA$6</f>
        <v>0</v>
      </c>
      <c r="BB62" s="48">
        <f>$I$6*$BB$6</f>
        <v>0</v>
      </c>
      <c r="BC62" s="48">
        <f>$I$6*$BC$6</f>
        <v>0</v>
      </c>
      <c r="BD62" s="48">
        <f>$I$6*$BD$6</f>
        <v>0</v>
      </c>
    </row>
    <row r="63" spans="1:56" ht="11.25" customHeight="1" x14ac:dyDescent="0.25">
      <c r="A63" s="9" t="s">
        <v>53</v>
      </c>
      <c r="B63" s="9" t="s">
        <v>741</v>
      </c>
      <c r="C63" s="9" t="s">
        <v>742</v>
      </c>
      <c r="D63" s="9" t="s">
        <v>743</v>
      </c>
      <c r="E63" s="9" t="s">
        <v>744</v>
      </c>
      <c r="F63" s="9" t="s">
        <v>745</v>
      </c>
      <c r="G63" s="9" t="s">
        <v>748</v>
      </c>
      <c r="L63" s="48">
        <f>$I$7*$L$7</f>
        <v>0</v>
      </c>
      <c r="M63" s="48">
        <f>$I$7*$M$7</f>
        <v>447.6577725052914</v>
      </c>
      <c r="N63" s="48">
        <f ca="1">$I$7*$N$7</f>
        <v>0</v>
      </c>
      <c r="O63" s="48">
        <f>$I$7*$O$7</f>
        <v>0</v>
      </c>
      <c r="P63" s="48">
        <f>$I$7*$P$7</f>
        <v>0</v>
      </c>
      <c r="Q63" s="48">
        <f>$I$7*$Q$7</f>
        <v>881188.41235841671</v>
      </c>
      <c r="R63" s="48">
        <f>$I$7*$R$7</f>
        <v>224816.44537063985</v>
      </c>
      <c r="S63" s="48">
        <f>$I$7*$S$7</f>
        <v>0</v>
      </c>
      <c r="T63" s="48">
        <f>$I$7*$T$7</f>
        <v>0</v>
      </c>
      <c r="U63" s="48">
        <f>$I$7*$U$7</f>
        <v>0</v>
      </c>
      <c r="V63" s="48">
        <f>$I$7*$V$7</f>
        <v>0</v>
      </c>
      <c r="W63" s="48">
        <f>$I$7*$W$7</f>
        <v>0</v>
      </c>
      <c r="X63" s="48">
        <f>$I$7*$X$7</f>
        <v>0</v>
      </c>
      <c r="Y63" s="48">
        <f>$I$7*$Y$7</f>
        <v>0</v>
      </c>
      <c r="Z63" s="48">
        <f>$I$7*$Z$7</f>
        <v>0</v>
      </c>
      <c r="AA63" s="48">
        <f>$I$7*$AA$7</f>
        <v>0</v>
      </c>
      <c r="AB63" s="48">
        <f ca="1">$I$7*$AB$7</f>
        <v>-3454.914308121517</v>
      </c>
      <c r="AC63" s="48">
        <f ca="1">$I$7*$AC$7</f>
        <v>0</v>
      </c>
      <c r="AD63" s="48">
        <f>$I$7*$AD$7</f>
        <v>767.86139319759548</v>
      </c>
      <c r="AE63" s="48">
        <f>$I$7*$AE$7</f>
        <v>0</v>
      </c>
      <c r="AF63" s="48">
        <f ca="1">$I$7*$AF$7</f>
        <v>0</v>
      </c>
      <c r="AG63" s="48">
        <f ca="1">$I$7*$AG$7</f>
        <v>0</v>
      </c>
      <c r="AI63" s="48">
        <f>$I$7*$AI$7</f>
        <v>0</v>
      </c>
      <c r="AJ63" s="48">
        <f>$I$7*$AJ$7</f>
        <v>578.65186896998819</v>
      </c>
      <c r="AK63" s="48">
        <f>$I$7*$AK$7</f>
        <v>0</v>
      </c>
      <c r="AL63" s="48">
        <f>$I$7*$AL$7</f>
        <v>0</v>
      </c>
      <c r="AM63" s="48">
        <f>$I$7*$AM$7</f>
        <v>0</v>
      </c>
      <c r="AN63" s="48">
        <f>$I$7*$AN$7</f>
        <v>671680.22862440965</v>
      </c>
      <c r="AO63" s="48">
        <f>$I$7*$AO$7</f>
        <v>155466.03955755546</v>
      </c>
      <c r="AP63" s="48">
        <f>$I$7*$AP$7</f>
        <v>0</v>
      </c>
      <c r="AQ63" s="48">
        <f>$I$7*$AQ$7</f>
        <v>0</v>
      </c>
      <c r="AR63" s="48">
        <f>$I$7*$AR$7</f>
        <v>0</v>
      </c>
      <c r="AS63" s="48">
        <f>$I$7*$AS$7</f>
        <v>0</v>
      </c>
      <c r="AT63" s="48">
        <f>$I$7*$AT$7</f>
        <v>0</v>
      </c>
      <c r="AU63" s="48">
        <f>$I$7*$AU$7</f>
        <v>0</v>
      </c>
      <c r="AV63" s="48">
        <f>$I$7*$AV$7</f>
        <v>0</v>
      </c>
      <c r="AW63" s="48">
        <f>$I$7*$AW$7</f>
        <v>0</v>
      </c>
      <c r="AX63" s="48">
        <f>$I$7*$AX$7</f>
        <v>0</v>
      </c>
      <c r="AY63" s="48">
        <f>$I$7*$AY$7</f>
        <v>-11306.388568975359</v>
      </c>
      <c r="AZ63" s="48">
        <f>$I$7*$AZ$7</f>
        <v>0</v>
      </c>
      <c r="BA63" s="48">
        <f>$I$7*$BA$7</f>
        <v>841.28453914260672</v>
      </c>
      <c r="BB63" s="48">
        <f>$I$7*$BB$7</f>
        <v>23.696395520014036</v>
      </c>
      <c r="BC63" s="48">
        <f>$I$7*$BC$7</f>
        <v>0</v>
      </c>
      <c r="BD63" s="48">
        <f>$I$7*$BD$7</f>
        <v>0</v>
      </c>
    </row>
    <row r="64" spans="1:56" ht="11.25" customHeight="1" x14ac:dyDescent="0.25">
      <c r="A64" s="9" t="s">
        <v>53</v>
      </c>
      <c r="B64" s="9" t="s">
        <v>741</v>
      </c>
      <c r="C64" s="9" t="s">
        <v>742</v>
      </c>
      <c r="D64" s="9" t="s">
        <v>743</v>
      </c>
      <c r="E64" s="9" t="s">
        <v>749</v>
      </c>
      <c r="F64" s="9" t="s">
        <v>750</v>
      </c>
      <c r="G64" s="9" t="s">
        <v>751</v>
      </c>
      <c r="L64" s="48">
        <f>$I$8*$L$8</f>
        <v>0</v>
      </c>
      <c r="M64" s="48">
        <f>$I$8*$M$8</f>
        <v>0</v>
      </c>
      <c r="N64" s="48">
        <f ca="1">$I$8*$N$8</f>
        <v>0</v>
      </c>
      <c r="O64" s="48">
        <f>$I$8*$O$8</f>
        <v>0</v>
      </c>
      <c r="P64" s="48">
        <f>$I$8*$P$8</f>
        <v>0</v>
      </c>
      <c r="Q64" s="48">
        <f>$I$8*$Q$8</f>
        <v>0</v>
      </c>
      <c r="R64" s="48">
        <f>$I$8*$R$8</f>
        <v>0</v>
      </c>
      <c r="S64" s="48">
        <f>$I$8*$S$8</f>
        <v>0</v>
      </c>
      <c r="T64" s="48">
        <f>$I$8*$T$8</f>
        <v>0</v>
      </c>
      <c r="U64" s="48">
        <f>$I$8*$U$8</f>
        <v>0</v>
      </c>
      <c r="V64" s="48">
        <f>$I$8*$V$8</f>
        <v>0</v>
      </c>
      <c r="W64" s="48">
        <f>$I$8*$W$8</f>
        <v>0</v>
      </c>
      <c r="X64" s="48">
        <f>$I$8*$X$8</f>
        <v>0</v>
      </c>
      <c r="Y64" s="48">
        <f>$I$8*$Y$8</f>
        <v>0</v>
      </c>
      <c r="Z64" s="48">
        <f>$I$8*$Z$8</f>
        <v>0</v>
      </c>
      <c r="AA64" s="48">
        <f>$I$8*$AA$8</f>
        <v>0</v>
      </c>
      <c r="AB64" s="48">
        <f ca="1">$I$8*$AB$8</f>
        <v>0</v>
      </c>
      <c r="AC64" s="48">
        <f ca="1">$I$8*$AC$8</f>
        <v>0</v>
      </c>
      <c r="AD64" s="48">
        <f>$I$8*$AD$8</f>
        <v>0</v>
      </c>
      <c r="AE64" s="48">
        <f>$I$8*$AE$8</f>
        <v>0</v>
      </c>
      <c r="AF64" s="48">
        <f ca="1">$I$8*$AF$8</f>
        <v>0</v>
      </c>
      <c r="AG64" s="48">
        <f ca="1">$I$8*$AG$8</f>
        <v>0</v>
      </c>
      <c r="AI64" s="48">
        <f>$I$8*$AI$8</f>
        <v>0</v>
      </c>
      <c r="AJ64" s="48">
        <f>$I$8*$AJ$8</f>
        <v>0</v>
      </c>
      <c r="AK64" s="48">
        <f>$I$8*$AK$8</f>
        <v>0</v>
      </c>
      <c r="AL64" s="48">
        <f>$I$8*$AL$8</f>
        <v>0</v>
      </c>
      <c r="AM64" s="48">
        <f>$I$8*$AM$8</f>
        <v>0</v>
      </c>
      <c r="AN64" s="48">
        <f>$I$8*$AN$8</f>
        <v>0</v>
      </c>
      <c r="AO64" s="48">
        <f>$I$8*$AO$8</f>
        <v>0</v>
      </c>
      <c r="AP64" s="48">
        <f>$I$8*$AP$8</f>
        <v>0</v>
      </c>
      <c r="AQ64" s="48">
        <f>$I$8*$AQ$8</f>
        <v>0</v>
      </c>
      <c r="AR64" s="48">
        <f>$I$8*$AR$8</f>
        <v>0</v>
      </c>
      <c r="AS64" s="48">
        <f>$I$8*$AS$8</f>
        <v>0</v>
      </c>
      <c r="AT64" s="48">
        <f>$I$8*$AT$8</f>
        <v>0</v>
      </c>
      <c r="AU64" s="48">
        <f>$I$8*$AU$8</f>
        <v>0</v>
      </c>
      <c r="AV64" s="48">
        <f>$I$8*$AV$8</f>
        <v>0</v>
      </c>
      <c r="AW64" s="48">
        <f>$I$8*$AW$8</f>
        <v>0</v>
      </c>
      <c r="AX64" s="48">
        <f>$I$8*$AX$8</f>
        <v>0</v>
      </c>
      <c r="AY64" s="48">
        <f>$I$8*$AY$8</f>
        <v>0</v>
      </c>
      <c r="AZ64" s="48">
        <f>$I$8*$AZ$8</f>
        <v>0</v>
      </c>
      <c r="BA64" s="48">
        <f>$I$8*$BA$8</f>
        <v>0</v>
      </c>
      <c r="BB64" s="48">
        <f>$I$8*$BB$8</f>
        <v>0</v>
      </c>
      <c r="BC64" s="48">
        <f>$I$8*$BC$8</f>
        <v>0</v>
      </c>
      <c r="BD64" s="48">
        <f>$I$8*$BD$8</f>
        <v>0</v>
      </c>
    </row>
    <row r="65" spans="1:56" ht="11.25" customHeight="1" x14ac:dyDescent="0.25">
      <c r="A65" s="9" t="s">
        <v>35</v>
      </c>
      <c r="B65" s="9" t="s">
        <v>752</v>
      </c>
      <c r="C65" s="9" t="s">
        <v>753</v>
      </c>
      <c r="D65" s="9" t="s">
        <v>754</v>
      </c>
      <c r="E65" s="9" t="s">
        <v>755</v>
      </c>
      <c r="F65" s="9" t="s">
        <v>756</v>
      </c>
      <c r="G65" s="9" t="s">
        <v>757</v>
      </c>
      <c r="L65" s="48">
        <f>$I$9*$L$9</f>
        <v>0</v>
      </c>
      <c r="M65" s="48">
        <f>$I$9*$M$9</f>
        <v>0</v>
      </c>
      <c r="N65" s="48">
        <f ca="1">$I$9*$N$9</f>
        <v>0</v>
      </c>
      <c r="O65" s="48">
        <f>$I$9*$O$9</f>
        <v>0</v>
      </c>
      <c r="P65" s="48">
        <f>$I$9*$P$9</f>
        <v>0</v>
      </c>
      <c r="Q65" s="48">
        <f>$I$9*$Q$9</f>
        <v>0</v>
      </c>
      <c r="R65" s="48">
        <f>$I$9*$R$9</f>
        <v>0</v>
      </c>
      <c r="S65" s="48">
        <f>$I$9*$S$9</f>
        <v>0</v>
      </c>
      <c r="T65" s="48">
        <f>$I$9*$T$9</f>
        <v>299006.39810042689</v>
      </c>
      <c r="U65" s="48">
        <f>$I$9*$U$9</f>
        <v>326543.96037792176</v>
      </c>
      <c r="V65" s="48">
        <f>$I$9*$V$9</f>
        <v>75885.646764453297</v>
      </c>
      <c r="W65" s="48">
        <f>$I$9*$W$9</f>
        <v>0</v>
      </c>
      <c r="X65" s="48">
        <f>$I$9*$X$9</f>
        <v>2934357.1291730055</v>
      </c>
      <c r="Y65" s="48">
        <f>$I$9*$Y$9</f>
        <v>0</v>
      </c>
      <c r="Z65" s="48">
        <f>$I$9*$Z$9</f>
        <v>0</v>
      </c>
      <c r="AA65" s="48">
        <f>$I$9*$AA$9</f>
        <v>4029486.7871973221</v>
      </c>
      <c r="AB65" s="48">
        <f ca="1">$I$9*$AB$9</f>
        <v>-39515.445410875684</v>
      </c>
      <c r="AC65" s="48">
        <f ca="1">$I$9*$AC$9</f>
        <v>0</v>
      </c>
      <c r="AD65" s="48">
        <f>$I$9*$AD$9</f>
        <v>0</v>
      </c>
      <c r="AE65" s="48">
        <f>$I$9*$AE$9</f>
        <v>0</v>
      </c>
      <c r="AF65" s="48">
        <f ca="1">$I$9*$AF$9</f>
        <v>0</v>
      </c>
      <c r="AG65" s="48">
        <f ca="1">$I$9*$AG$9</f>
        <v>0</v>
      </c>
      <c r="AI65" s="48">
        <f>$I$9*$AI$9</f>
        <v>0</v>
      </c>
      <c r="AJ65" s="48">
        <f>$I$9*$AJ$9</f>
        <v>0</v>
      </c>
      <c r="AK65" s="48">
        <f>$I$9*$AK$9</f>
        <v>0</v>
      </c>
      <c r="AL65" s="48">
        <f>$I$9*$AL$9</f>
        <v>0</v>
      </c>
      <c r="AM65" s="48">
        <f>$I$9*$AM$9</f>
        <v>0</v>
      </c>
      <c r="AN65" s="48">
        <f>$I$9*$AN$9</f>
        <v>0</v>
      </c>
      <c r="AO65" s="48">
        <f>$I$9*$AO$9</f>
        <v>0</v>
      </c>
      <c r="AP65" s="48">
        <f>$I$9*$AP$9</f>
        <v>0</v>
      </c>
      <c r="AQ65" s="48">
        <f>$I$9*$AQ$9</f>
        <v>210716.08721933866</v>
      </c>
      <c r="AR65" s="48">
        <f>$I$9*$AR$9</f>
        <v>180402.60160861985</v>
      </c>
      <c r="AS65" s="48">
        <f>$I$9*$AS$9</f>
        <v>13010.994096607485</v>
      </c>
      <c r="AT65" s="48">
        <f>$I$9*$AT$9</f>
        <v>0</v>
      </c>
      <c r="AU65" s="48">
        <f>$I$9*$AU$9</f>
        <v>2321096.8381931749</v>
      </c>
      <c r="AV65" s="48">
        <f>$I$9*$AV$9</f>
        <v>0</v>
      </c>
      <c r="AW65" s="48">
        <f>$I$9*$AW$9</f>
        <v>0</v>
      </c>
      <c r="AX65" s="48">
        <f>$I$9*$AX$9</f>
        <v>4088642.6988672861</v>
      </c>
      <c r="AY65" s="48">
        <f>$I$9*$AY$9</f>
        <v>-162923.04762904267</v>
      </c>
      <c r="AZ65" s="48">
        <f>$I$9*$AZ$9</f>
        <v>0</v>
      </c>
      <c r="BA65" s="48">
        <f>$I$9*$BA$9</f>
        <v>0</v>
      </c>
      <c r="BB65" s="48">
        <f>$I$9*$BB$9</f>
        <v>0</v>
      </c>
      <c r="BC65" s="48">
        <f>$I$9*$BC$9</f>
        <v>0</v>
      </c>
      <c r="BD65" s="48">
        <f>$I$9*$BD$9</f>
        <v>0</v>
      </c>
    </row>
    <row r="66" spans="1:56" ht="11.25" customHeight="1" x14ac:dyDescent="0.25">
      <c r="A66" s="9" t="s">
        <v>35</v>
      </c>
      <c r="B66" s="9" t="s">
        <v>752</v>
      </c>
      <c r="C66" s="9" t="s">
        <v>753</v>
      </c>
      <c r="D66" s="9" t="s">
        <v>754</v>
      </c>
      <c r="E66" s="9" t="s">
        <v>755</v>
      </c>
      <c r="F66" s="9" t="s">
        <v>756</v>
      </c>
      <c r="G66" s="9" t="s">
        <v>758</v>
      </c>
      <c r="L66" s="48">
        <f>$I$10*$L$10</f>
        <v>0</v>
      </c>
      <c r="M66" s="48">
        <f>$I$10*$M$10</f>
        <v>0</v>
      </c>
      <c r="N66" s="48">
        <f ca="1">$I$10*$N$10</f>
        <v>0</v>
      </c>
      <c r="O66" s="48">
        <f>$I$10*$O$10</f>
        <v>0</v>
      </c>
      <c r="P66" s="48">
        <f>$I$10*$P$10</f>
        <v>0</v>
      </c>
      <c r="Q66" s="48">
        <f>$I$10*$Q$10</f>
        <v>0</v>
      </c>
      <c r="R66" s="48">
        <f>$I$10*$R$10</f>
        <v>0</v>
      </c>
      <c r="S66" s="48">
        <f>$I$10*$S$10</f>
        <v>0</v>
      </c>
      <c r="T66" s="48">
        <f>$I$10*$T$10</f>
        <v>390839.01523400348</v>
      </c>
      <c r="U66" s="48">
        <f>$I$10*$U$10</f>
        <v>376824.41220774886</v>
      </c>
      <c r="V66" s="48">
        <f>$I$10*$V$10</f>
        <v>97037.53491653422</v>
      </c>
      <c r="W66" s="48">
        <f>$I$10*$W$10</f>
        <v>0</v>
      </c>
      <c r="X66" s="48">
        <f>$I$10*$X$10</f>
        <v>2035835.8877809129</v>
      </c>
      <c r="Y66" s="48">
        <f>$I$10*$Y$10</f>
        <v>0</v>
      </c>
      <c r="Z66" s="48">
        <f>$I$10*$Z$10</f>
        <v>0</v>
      </c>
      <c r="AA66" s="48">
        <f>$I$10*$AA$10</f>
        <v>3088888.4880527533</v>
      </c>
      <c r="AB66" s="48">
        <f ca="1">$I$10*$AB$10</f>
        <v>-30592.443767165783</v>
      </c>
      <c r="AC66" s="48">
        <f ca="1">$I$10*$AC$10</f>
        <v>0</v>
      </c>
      <c r="AD66" s="48">
        <f>$I$10*$AD$10</f>
        <v>0</v>
      </c>
      <c r="AE66" s="48">
        <f>$I$10*$AE$10</f>
        <v>0</v>
      </c>
      <c r="AF66" s="48">
        <f ca="1">$I$10*$AF$10</f>
        <v>0</v>
      </c>
      <c r="AG66" s="48">
        <f ca="1">$I$10*$AG$10</f>
        <v>0</v>
      </c>
      <c r="AI66" s="48">
        <f>$I$10*$AI$10</f>
        <v>0</v>
      </c>
      <c r="AJ66" s="48">
        <f>$I$10*$AJ$10</f>
        <v>0</v>
      </c>
      <c r="AK66" s="48">
        <f>$I$10*$AK$10</f>
        <v>0</v>
      </c>
      <c r="AL66" s="48">
        <f>$I$10*$AL$10</f>
        <v>0</v>
      </c>
      <c r="AM66" s="48">
        <f>$I$10*$AM$10</f>
        <v>0</v>
      </c>
      <c r="AN66" s="48">
        <f>$I$10*$AN$10</f>
        <v>0</v>
      </c>
      <c r="AO66" s="48">
        <f>$I$10*$AO$10</f>
        <v>0</v>
      </c>
      <c r="AP66" s="48">
        <f>$I$10*$AP$10</f>
        <v>0</v>
      </c>
      <c r="AQ66" s="48">
        <f>$I$10*$AQ$10</f>
        <v>275433.66790705686</v>
      </c>
      <c r="AR66" s="48">
        <f>$I$10*$AR$10</f>
        <v>208181.52917297449</v>
      </c>
      <c r="AS66" s="48">
        <f>$I$10*$AS$10</f>
        <v>16636.610673677649</v>
      </c>
      <c r="AT66" s="48">
        <f>$I$10*$AT$10</f>
        <v>0</v>
      </c>
      <c r="AU66" s="48">
        <f>$I$10*$AU$10</f>
        <v>1610363.2653785159</v>
      </c>
      <c r="AV66" s="48">
        <f>$I$10*$AV$10</f>
        <v>0</v>
      </c>
      <c r="AW66" s="48">
        <f>$I$10*$AW$10</f>
        <v>0</v>
      </c>
      <c r="AX66" s="48">
        <f>$I$10*$AX$10</f>
        <v>3134237.0364750992</v>
      </c>
      <c r="AY66" s="48">
        <f>$I$10*$AY$10</f>
        <v>-124985.37443118375</v>
      </c>
      <c r="AZ66" s="48">
        <f>$I$10*$AZ$10</f>
        <v>0</v>
      </c>
      <c r="BA66" s="48">
        <f>$I$10*$BA$10</f>
        <v>0</v>
      </c>
      <c r="BB66" s="48">
        <f>$I$10*$BB$10</f>
        <v>0</v>
      </c>
      <c r="BC66" s="48">
        <f>$I$10*$BC$10</f>
        <v>0</v>
      </c>
      <c r="BD66" s="48">
        <f>$I$10*$BD$10</f>
        <v>0</v>
      </c>
    </row>
    <row r="67" spans="1:56" ht="11.25" customHeight="1" x14ac:dyDescent="0.25">
      <c r="A67" s="9" t="s">
        <v>35</v>
      </c>
      <c r="B67" s="9" t="s">
        <v>752</v>
      </c>
      <c r="C67" s="9" t="s">
        <v>753</v>
      </c>
      <c r="D67" s="9" t="s">
        <v>754</v>
      </c>
      <c r="E67" s="9" t="s">
        <v>755</v>
      </c>
      <c r="F67" s="9" t="s">
        <v>756</v>
      </c>
      <c r="G67" s="9" t="s">
        <v>759</v>
      </c>
      <c r="L67" s="48">
        <f>$I$11*$L$11</f>
        <v>0</v>
      </c>
      <c r="M67" s="48">
        <f>$I$11*$M$11</f>
        <v>97612.569195086544</v>
      </c>
      <c r="N67" s="48">
        <f ca="1">$I$11*$N$11</f>
        <v>0</v>
      </c>
      <c r="O67" s="48">
        <f>$I$11*$O$11</f>
        <v>0</v>
      </c>
      <c r="P67" s="48">
        <f>$I$11*$P$11</f>
        <v>0</v>
      </c>
      <c r="Q67" s="48">
        <f>$I$11*$Q$11</f>
        <v>5828313.8326532571</v>
      </c>
      <c r="R67" s="48">
        <f>$I$11*$R$11</f>
        <v>1097525.5304988516</v>
      </c>
      <c r="S67" s="48">
        <f>$I$11*$S$11</f>
        <v>0</v>
      </c>
      <c r="T67" s="48">
        <f>$I$11*$T$11</f>
        <v>0</v>
      </c>
      <c r="U67" s="48">
        <f>$I$11*$U$11</f>
        <v>0</v>
      </c>
      <c r="V67" s="48">
        <f>$I$11*$V$11</f>
        <v>0</v>
      </c>
      <c r="W67" s="48">
        <f>$I$11*$W$11</f>
        <v>0</v>
      </c>
      <c r="X67" s="48">
        <f>$I$11*$X$11</f>
        <v>0</v>
      </c>
      <c r="Y67" s="48">
        <f>$I$11*$Y$11</f>
        <v>0</v>
      </c>
      <c r="Z67" s="48">
        <f>$I$11*$Z$11</f>
        <v>0</v>
      </c>
      <c r="AA67" s="48">
        <f>$I$11*$AA$11</f>
        <v>0</v>
      </c>
      <c r="AB67" s="48">
        <f ca="1">$I$11*$AB$11</f>
        <v>-23817.972394760294</v>
      </c>
      <c r="AC67" s="48">
        <f ca="1">$I$11*$AC$11</f>
        <v>0</v>
      </c>
      <c r="AD67" s="48">
        <f>$I$11*$AD$11</f>
        <v>604951.83095520339</v>
      </c>
      <c r="AE67" s="48">
        <f>$I$11*$AE$11</f>
        <v>15545.506232391894</v>
      </c>
      <c r="AF67" s="48">
        <f ca="1">$I$11*$AF$11</f>
        <v>0</v>
      </c>
      <c r="AG67" s="48">
        <f ca="1">$I$11*$AG$11</f>
        <v>0</v>
      </c>
      <c r="AI67" s="48">
        <f>$I$11*$AI$11</f>
        <v>0</v>
      </c>
      <c r="AJ67" s="48">
        <f>$I$11*$AJ$11</f>
        <v>104262.30912158817</v>
      </c>
      <c r="AK67" s="48">
        <f>$I$11*$AK$11</f>
        <v>0</v>
      </c>
      <c r="AL67" s="48">
        <f>$I$11*$AL$11</f>
        <v>0</v>
      </c>
      <c r="AM67" s="48">
        <f>$I$11*$AM$11</f>
        <v>0</v>
      </c>
      <c r="AN67" s="48">
        <f>$I$11*$AN$11</f>
        <v>4257881.4887545742</v>
      </c>
      <c r="AO67" s="48">
        <f>$I$11*$AO$11</f>
        <v>758965.5963942433</v>
      </c>
      <c r="AP67" s="48">
        <f>$I$11*$AP$11</f>
        <v>0</v>
      </c>
      <c r="AQ67" s="48">
        <f>$I$11*$AQ$11</f>
        <v>0</v>
      </c>
      <c r="AR67" s="48">
        <f>$I$11*$AR$11</f>
        <v>0</v>
      </c>
      <c r="AS67" s="48">
        <f>$I$11*$AS$11</f>
        <v>0</v>
      </c>
      <c r="AT67" s="48">
        <f>$I$11*$AT$11</f>
        <v>0</v>
      </c>
      <c r="AU67" s="48">
        <f>$I$11*$AU$11</f>
        <v>0</v>
      </c>
      <c r="AV67" s="48">
        <f>$I$11*$AV$11</f>
        <v>0</v>
      </c>
      <c r="AW67" s="48">
        <f>$I$11*$AW$11</f>
        <v>0</v>
      </c>
      <c r="AX67" s="48">
        <f>$I$11*$AX$11</f>
        <v>0</v>
      </c>
      <c r="AY67" s="48">
        <f>$I$11*$AY$11</f>
        <v>-78004.715594842884</v>
      </c>
      <c r="AZ67" s="48">
        <f>$I$11*$AZ$11</f>
        <v>0</v>
      </c>
      <c r="BA67" s="48">
        <f>$I$11*$BA$11</f>
        <v>662387.74583287339</v>
      </c>
      <c r="BB67" s="48">
        <f>$I$11*$BB$11</f>
        <v>18657.42359756555</v>
      </c>
      <c r="BC67" s="48">
        <f>$I$11*$BC$11</f>
        <v>0</v>
      </c>
      <c r="BD67" s="48">
        <f>$I$11*$BD$11</f>
        <v>0</v>
      </c>
    </row>
    <row r="68" spans="1:56" ht="11.25" customHeight="1" x14ac:dyDescent="0.25">
      <c r="A68" s="9" t="s">
        <v>35</v>
      </c>
      <c r="B68" s="9" t="s">
        <v>752</v>
      </c>
      <c r="C68" s="9" t="s">
        <v>753</v>
      </c>
      <c r="D68" s="9" t="s">
        <v>754</v>
      </c>
      <c r="E68" s="9" t="s">
        <v>760</v>
      </c>
      <c r="F68" s="9" t="s">
        <v>761</v>
      </c>
      <c r="G68" s="9" t="s">
        <v>762</v>
      </c>
      <c r="L68" s="48">
        <f>$I$12*$L$12</f>
        <v>0</v>
      </c>
      <c r="M68" s="48">
        <f>$I$12*$M$12</f>
        <v>0</v>
      </c>
      <c r="N68" s="48">
        <f ca="1">$I$12*$N$12</f>
        <v>0</v>
      </c>
      <c r="O68" s="48">
        <f>$I$12*$O$12</f>
        <v>0</v>
      </c>
      <c r="P68" s="48">
        <f>$I$12*$P$12</f>
        <v>0</v>
      </c>
      <c r="Q68" s="48">
        <f>$I$12*$Q$12</f>
        <v>0</v>
      </c>
      <c r="R68" s="48">
        <f>$I$12*$R$12</f>
        <v>0</v>
      </c>
      <c r="S68" s="48">
        <f>$I$12*$S$12</f>
        <v>0</v>
      </c>
      <c r="T68" s="48">
        <f>$I$12*$T$12</f>
        <v>0</v>
      </c>
      <c r="U68" s="48">
        <f>$I$12*$U$12</f>
        <v>0</v>
      </c>
      <c r="V68" s="48">
        <f>$I$12*$V$12</f>
        <v>0</v>
      </c>
      <c r="W68" s="48">
        <f>$I$12*$W$12</f>
        <v>0</v>
      </c>
      <c r="X68" s="48">
        <f>$I$12*$X$12</f>
        <v>0</v>
      </c>
      <c r="Y68" s="48">
        <f>$I$12*$Y$12</f>
        <v>0</v>
      </c>
      <c r="Z68" s="48">
        <f>$I$12*$Z$12</f>
        <v>0</v>
      </c>
      <c r="AA68" s="48">
        <f>$I$12*$AA$12</f>
        <v>0</v>
      </c>
      <c r="AB68" s="48">
        <f ca="1">$I$12*$AB$12</f>
        <v>0</v>
      </c>
      <c r="AC68" s="48">
        <f ca="1">$I$12*$AC$12</f>
        <v>0</v>
      </c>
      <c r="AD68" s="48">
        <f>$I$12*$AD$12</f>
        <v>0</v>
      </c>
      <c r="AE68" s="48">
        <f>$I$12*$AE$12</f>
        <v>0</v>
      </c>
      <c r="AF68" s="48">
        <f ca="1">$I$12*$AF$12</f>
        <v>0</v>
      </c>
      <c r="AG68" s="48">
        <f ca="1">$I$12*$AG$12</f>
        <v>0</v>
      </c>
      <c r="AI68" s="48">
        <f>$I$12*$AI$12</f>
        <v>0</v>
      </c>
      <c r="AJ68" s="48">
        <f>$I$12*$AJ$12</f>
        <v>0</v>
      </c>
      <c r="AK68" s="48">
        <f>$I$12*$AK$12</f>
        <v>0</v>
      </c>
      <c r="AL68" s="48">
        <f>$I$12*$AL$12</f>
        <v>0</v>
      </c>
      <c r="AM68" s="48">
        <f>$I$12*$AM$12</f>
        <v>0</v>
      </c>
      <c r="AN68" s="48">
        <f>$I$12*$AN$12</f>
        <v>0</v>
      </c>
      <c r="AO68" s="48">
        <f>$I$12*$AO$12</f>
        <v>0</v>
      </c>
      <c r="AP68" s="48">
        <f>$I$12*$AP$12</f>
        <v>0</v>
      </c>
      <c r="AQ68" s="48">
        <f>$I$12*$AQ$12</f>
        <v>0</v>
      </c>
      <c r="AR68" s="48">
        <f>$I$12*$AR$12</f>
        <v>0</v>
      </c>
      <c r="AS68" s="48">
        <f>$I$12*$AS$12</f>
        <v>0</v>
      </c>
      <c r="AT68" s="48">
        <f>$I$12*$AT$12</f>
        <v>0</v>
      </c>
      <c r="AU68" s="48">
        <f>$I$12*$AU$12</f>
        <v>0</v>
      </c>
      <c r="AV68" s="48">
        <f>$I$12*$AV$12</f>
        <v>0</v>
      </c>
      <c r="AW68" s="48">
        <f>$I$12*$AW$12</f>
        <v>0</v>
      </c>
      <c r="AX68" s="48">
        <f>$I$12*$AX$12</f>
        <v>0</v>
      </c>
      <c r="AY68" s="48">
        <f>$I$12*$AY$12</f>
        <v>0</v>
      </c>
      <c r="AZ68" s="48">
        <f>$I$12*$AZ$12</f>
        <v>0</v>
      </c>
      <c r="BA68" s="48">
        <f>$I$12*$BA$12</f>
        <v>0</v>
      </c>
      <c r="BB68" s="48">
        <f>$I$12*$BB$12</f>
        <v>0</v>
      </c>
      <c r="BC68" s="48">
        <f>$I$12*$BC$12</f>
        <v>0</v>
      </c>
      <c r="BD68" s="48">
        <f>$I$12*$BD$12</f>
        <v>0</v>
      </c>
    </row>
    <row r="69" spans="1:56" ht="11.25" customHeight="1" x14ac:dyDescent="0.25">
      <c r="A69" s="9" t="s">
        <v>35</v>
      </c>
      <c r="B69" s="9" t="s">
        <v>763</v>
      </c>
      <c r="C69" s="9" t="s">
        <v>764</v>
      </c>
      <c r="D69" s="9" t="s">
        <v>765</v>
      </c>
      <c r="E69" s="9" t="s">
        <v>766</v>
      </c>
      <c r="F69" s="9" t="s">
        <v>767</v>
      </c>
      <c r="G69" s="9" t="s">
        <v>768</v>
      </c>
      <c r="L69" s="48">
        <f>$I$13*$L$13</f>
        <v>0</v>
      </c>
      <c r="M69" s="48">
        <f>$I$13*$M$13</f>
        <v>18626.565188773853</v>
      </c>
      <c r="N69" s="48">
        <f ca="1">$I$13*$N$13</f>
        <v>0</v>
      </c>
      <c r="O69" s="48">
        <f>$I$13*$O$13</f>
        <v>0</v>
      </c>
      <c r="P69" s="48">
        <f>$I$13*$P$13</f>
        <v>0</v>
      </c>
      <c r="Q69" s="48">
        <f>$I$13*$Q$13</f>
        <v>0</v>
      </c>
      <c r="R69" s="48">
        <f>$I$13*$R$13</f>
        <v>0</v>
      </c>
      <c r="S69" s="48">
        <f>$I$13*$S$13</f>
        <v>0</v>
      </c>
      <c r="T69" s="48">
        <f>$I$13*$T$13</f>
        <v>0</v>
      </c>
      <c r="U69" s="48">
        <f>$I$13*$U$13</f>
        <v>0</v>
      </c>
      <c r="V69" s="48">
        <f>$I$13*$V$13</f>
        <v>0</v>
      </c>
      <c r="W69" s="48">
        <f>$I$13*$W$13</f>
        <v>0</v>
      </c>
      <c r="X69" s="48">
        <f>$I$13*$X$13</f>
        <v>0</v>
      </c>
      <c r="Y69" s="48">
        <f>$I$13*$Y$13</f>
        <v>0</v>
      </c>
      <c r="Z69" s="48">
        <f>$I$13*$Z$13</f>
        <v>0</v>
      </c>
      <c r="AA69" s="48">
        <f>$I$13*$AA$13</f>
        <v>2103293.7967109871</v>
      </c>
      <c r="AB69" s="48">
        <f ca="1">$I$13*$AB$13</f>
        <v>-15365.932459620904</v>
      </c>
      <c r="AC69" s="48">
        <f ca="1">$I$13*$AC$13</f>
        <v>0</v>
      </c>
      <c r="AD69" s="48">
        <f>$I$13*$AD$13</f>
        <v>0</v>
      </c>
      <c r="AE69" s="48">
        <f>$I$13*$AE$13</f>
        <v>0</v>
      </c>
      <c r="AF69" s="48">
        <f ca="1">$I$13*$AF$13</f>
        <v>0</v>
      </c>
      <c r="AG69" s="48">
        <f ca="1">$I$13*$AG$13</f>
        <v>0</v>
      </c>
      <c r="AI69" s="48">
        <f>$I$13*$AI$13</f>
        <v>0</v>
      </c>
      <c r="AJ69" s="48">
        <f>$I$13*$AJ$13</f>
        <v>21325.967922367399</v>
      </c>
      <c r="AK69" s="48">
        <f>$I$13*$AK$13</f>
        <v>0</v>
      </c>
      <c r="AL69" s="48">
        <f>$I$13*$AL$13</f>
        <v>0</v>
      </c>
      <c r="AM69" s="48">
        <f>$I$13*$AM$13</f>
        <v>0</v>
      </c>
      <c r="AN69" s="48">
        <f>$I$13*$AN$13</f>
        <v>0</v>
      </c>
      <c r="AO69" s="48">
        <f>$I$13*$AO$13</f>
        <v>0</v>
      </c>
      <c r="AP69" s="48">
        <f>$I$13*$AP$13</f>
        <v>0</v>
      </c>
      <c r="AQ69" s="48">
        <f>$I$13*$AQ$13</f>
        <v>0</v>
      </c>
      <c r="AR69" s="48">
        <f>$I$13*$AR$13</f>
        <v>0</v>
      </c>
      <c r="AS69" s="48">
        <f>$I$13*$AS$13</f>
        <v>0</v>
      </c>
      <c r="AT69" s="48">
        <f>$I$13*$AT$13</f>
        <v>0</v>
      </c>
      <c r="AU69" s="48">
        <f>$I$13*$AU$13</f>
        <v>0</v>
      </c>
      <c r="AV69" s="48">
        <f>$I$13*$AV$13</f>
        <v>0</v>
      </c>
      <c r="AW69" s="48">
        <f>$I$13*$AW$13</f>
        <v>0</v>
      </c>
      <c r="AX69" s="48">
        <f>$I$13*$AX$13</f>
        <v>1067086.034412727</v>
      </c>
      <c r="AY69" s="48">
        <f>$I$13*$AY$13</f>
        <v>-33676.853574036351</v>
      </c>
      <c r="AZ69" s="48">
        <f>$I$13*$AZ$13</f>
        <v>0</v>
      </c>
      <c r="BA69" s="48">
        <f>$I$13*$BA$13</f>
        <v>267.94171248184784</v>
      </c>
      <c r="BB69" s="48">
        <f>$I$13*$BB$13</f>
        <v>0</v>
      </c>
      <c r="BC69" s="48">
        <f>$I$13*$BC$13</f>
        <v>0</v>
      </c>
      <c r="BD69" s="48">
        <f>$I$13*$BD$13</f>
        <v>0</v>
      </c>
    </row>
    <row r="70" spans="1:56" ht="11.25" customHeight="1" x14ac:dyDescent="0.25">
      <c r="A70" s="9" t="s">
        <v>35</v>
      </c>
      <c r="B70" s="9" t="s">
        <v>769</v>
      </c>
      <c r="C70" s="9" t="s">
        <v>770</v>
      </c>
      <c r="D70" s="9" t="s">
        <v>771</v>
      </c>
      <c r="E70" s="9" t="s">
        <v>772</v>
      </c>
      <c r="F70" s="9" t="s">
        <v>773</v>
      </c>
      <c r="G70" s="9" t="s">
        <v>774</v>
      </c>
      <c r="L70" s="48">
        <f>$I$14*$L$14</f>
        <v>0</v>
      </c>
      <c r="M70" s="48">
        <f>$I$14*$M$14</f>
        <v>0</v>
      </c>
      <c r="N70" s="48">
        <f ca="1">$I$14*$N$14</f>
        <v>0</v>
      </c>
      <c r="O70" s="48">
        <f>$I$14*$O$14</f>
        <v>0</v>
      </c>
      <c r="P70" s="48">
        <f>$I$14*$P$14</f>
        <v>0</v>
      </c>
      <c r="Q70" s="48">
        <f>$I$14*$Q$14</f>
        <v>0</v>
      </c>
      <c r="R70" s="48">
        <f>$I$14*$R$14</f>
        <v>0</v>
      </c>
      <c r="S70" s="48">
        <f>$I$14*$S$14</f>
        <v>0</v>
      </c>
      <c r="T70" s="48">
        <f>$I$14*$T$14</f>
        <v>1971239.2286563043</v>
      </c>
      <c r="U70" s="48">
        <f>$I$14*$U$14</f>
        <v>1900555.048769969</v>
      </c>
      <c r="V70" s="48">
        <f>$I$14*$V$14</f>
        <v>489419.39781792834</v>
      </c>
      <c r="W70" s="48">
        <f>$I$14*$W$14</f>
        <v>0</v>
      </c>
      <c r="X70" s="48">
        <f>$I$14*$X$14</f>
        <v>10267960.486742428</v>
      </c>
      <c r="Y70" s="48">
        <f>$I$14*$Y$14</f>
        <v>0</v>
      </c>
      <c r="Z70" s="48">
        <f>$I$14*$Z$14</f>
        <v>0</v>
      </c>
      <c r="AA70" s="48">
        <f>$I$14*$AA$14</f>
        <v>15579146.204093449</v>
      </c>
      <c r="AB70" s="48">
        <f ca="1">$I$14*$AB$14</f>
        <v>-154296.32893275347</v>
      </c>
      <c r="AC70" s="48">
        <f ca="1">$I$14*$AC$14</f>
        <v>0</v>
      </c>
      <c r="AD70" s="48">
        <f>$I$14*$AD$14</f>
        <v>0</v>
      </c>
      <c r="AE70" s="48">
        <f>$I$14*$AE$14</f>
        <v>0</v>
      </c>
      <c r="AF70" s="48">
        <f ca="1">$I$14*$AF$14</f>
        <v>0</v>
      </c>
      <c r="AG70" s="48">
        <f ca="1">$I$14*$AG$14</f>
        <v>0</v>
      </c>
      <c r="AI70" s="48">
        <f>$I$14*$AI$14</f>
        <v>0</v>
      </c>
      <c r="AJ70" s="48">
        <f>$I$14*$AJ$14</f>
        <v>0</v>
      </c>
      <c r="AK70" s="48">
        <f>$I$14*$AK$14</f>
        <v>0</v>
      </c>
      <c r="AL70" s="48">
        <f>$I$14*$AL$14</f>
        <v>0</v>
      </c>
      <c r="AM70" s="48">
        <f>$I$14*$AM$14</f>
        <v>0</v>
      </c>
      <c r="AN70" s="48">
        <f>$I$14*$AN$14</f>
        <v>0</v>
      </c>
      <c r="AO70" s="48">
        <f>$I$14*$AO$14</f>
        <v>0</v>
      </c>
      <c r="AP70" s="48">
        <f>$I$14*$AP$14</f>
        <v>0</v>
      </c>
      <c r="AQ70" s="48">
        <f>$I$14*$AQ$14</f>
        <v>1389179.7643231973</v>
      </c>
      <c r="AR70" s="48">
        <f>$I$14*$AR$14</f>
        <v>1049986.2628650921</v>
      </c>
      <c r="AS70" s="48">
        <f>$I$14*$AS$14</f>
        <v>83908.561616349049</v>
      </c>
      <c r="AT70" s="48">
        <f>$I$14*$AT$14</f>
        <v>0</v>
      </c>
      <c r="AU70" s="48">
        <f>$I$14*$AU$14</f>
        <v>8122042.880495457</v>
      </c>
      <c r="AV70" s="48">
        <f>$I$14*$AV$14</f>
        <v>0</v>
      </c>
      <c r="AW70" s="48">
        <f>$I$14*$AW$14</f>
        <v>0</v>
      </c>
      <c r="AX70" s="48">
        <f>$I$14*$AX$14</f>
        <v>15807866.557303907</v>
      </c>
      <c r="AY70" s="48">
        <f>$I$14*$AY$14</f>
        <v>-630377.37657673599</v>
      </c>
      <c r="AZ70" s="48">
        <f>$I$14*$AZ$14</f>
        <v>0</v>
      </c>
      <c r="BA70" s="48">
        <f>$I$14*$BA$14</f>
        <v>0</v>
      </c>
      <c r="BB70" s="48">
        <f>$I$14*$BB$14</f>
        <v>0</v>
      </c>
      <c r="BC70" s="48">
        <f>$I$14*$BC$14</f>
        <v>0</v>
      </c>
      <c r="BD70" s="48">
        <f>$I$14*$BD$14</f>
        <v>0</v>
      </c>
    </row>
    <row r="71" spans="1:56" ht="11.25" customHeight="1" x14ac:dyDescent="0.25">
      <c r="A71" s="9" t="s">
        <v>35</v>
      </c>
      <c r="B71" s="9" t="s">
        <v>769</v>
      </c>
      <c r="C71" s="9" t="s">
        <v>770</v>
      </c>
      <c r="D71" s="9" t="s">
        <v>771</v>
      </c>
      <c r="E71" s="9" t="s">
        <v>772</v>
      </c>
      <c r="F71" s="9" t="s">
        <v>773</v>
      </c>
      <c r="G71" s="9" t="s">
        <v>775</v>
      </c>
      <c r="L71" s="48">
        <f>$I$15*$L$15</f>
        <v>0</v>
      </c>
      <c r="M71" s="48">
        <f>$I$15*$M$15</f>
        <v>9973.3406825234561</v>
      </c>
      <c r="N71" s="48">
        <f ca="1">$I$15*$N$15</f>
        <v>0</v>
      </c>
      <c r="O71" s="48">
        <f>$I$15*$O$15</f>
        <v>0</v>
      </c>
      <c r="P71" s="48">
        <f>$I$15*$P$15</f>
        <v>0</v>
      </c>
      <c r="Q71" s="48">
        <f>$I$15*$Q$15</f>
        <v>595494.61649290216</v>
      </c>
      <c r="R71" s="48">
        <f>$I$15*$R$15</f>
        <v>112137.15727075971</v>
      </c>
      <c r="S71" s="48">
        <f>$I$15*$S$15</f>
        <v>0</v>
      </c>
      <c r="T71" s="48">
        <f>$I$15*$T$15</f>
        <v>399265.12729373208</v>
      </c>
      <c r="U71" s="48">
        <f>$I$15*$U$15</f>
        <v>436068.04353955836</v>
      </c>
      <c r="V71" s="48">
        <f>$I$15*$V$15</f>
        <v>101283.21500322594</v>
      </c>
      <c r="W71" s="48">
        <f>$I$15*$W$15</f>
        <v>0</v>
      </c>
      <c r="X71" s="48">
        <f>$I$15*$X$15</f>
        <v>3918315.731247854</v>
      </c>
      <c r="Y71" s="48">
        <f>$I$15*$Y$15</f>
        <v>0</v>
      </c>
      <c r="Z71" s="48">
        <f>$I$15*$Z$15</f>
        <v>0</v>
      </c>
      <c r="AA71" s="48">
        <f>$I$15*$AA$15</f>
        <v>5380667.9143582331</v>
      </c>
      <c r="AB71" s="48">
        <f ca="1">$I$15*$AB$15</f>
        <v>-55199.360679560035</v>
      </c>
      <c r="AC71" s="48">
        <f ca="1">$I$15*$AC$15</f>
        <v>0</v>
      </c>
      <c r="AD71" s="48">
        <f>$I$15*$AD$15</f>
        <v>61809.56772661487</v>
      </c>
      <c r="AE71" s="48">
        <f>$I$15*$AE$15</f>
        <v>1588.3264933645471</v>
      </c>
      <c r="AF71" s="48">
        <f ca="1">$I$15*$AF$15</f>
        <v>0</v>
      </c>
      <c r="AG71" s="48">
        <f ca="1">$I$15*$AG$15</f>
        <v>0</v>
      </c>
      <c r="AI71" s="48">
        <f>$I$15*$AI$15</f>
        <v>0</v>
      </c>
      <c r="AJ71" s="48">
        <f>$I$15*$AJ$15</f>
        <v>10652.762628734432</v>
      </c>
      <c r="AK71" s="48">
        <f>$I$15*$AK$15</f>
        <v>0</v>
      </c>
      <c r="AL71" s="48">
        <f>$I$15*$AL$15</f>
        <v>0</v>
      </c>
      <c r="AM71" s="48">
        <f>$I$15*$AM$15</f>
        <v>0</v>
      </c>
      <c r="AN71" s="48">
        <f>$I$15*$AN$15</f>
        <v>435039.28872407018</v>
      </c>
      <c r="AO71" s="48">
        <f>$I$15*$AO$15</f>
        <v>77545.571452240823</v>
      </c>
      <c r="AP71" s="48">
        <f>$I$15*$AP$15</f>
        <v>0</v>
      </c>
      <c r="AQ71" s="48">
        <f>$I$15*$AQ$15</f>
        <v>281373.18771312584</v>
      </c>
      <c r="AR71" s="48">
        <f>$I$15*$AR$15</f>
        <v>240905.15650857956</v>
      </c>
      <c r="AS71" s="48">
        <f>$I$15*$AS$15</f>
        <v>17372.516310292533</v>
      </c>
      <c r="AT71" s="48">
        <f>$I$15*$AT$15</f>
        <v>0</v>
      </c>
      <c r="AU71" s="48">
        <f>$I$15*$AU$15</f>
        <v>3099422.2807108853</v>
      </c>
      <c r="AV71" s="48">
        <f>$I$15*$AV$15</f>
        <v>0</v>
      </c>
      <c r="AW71" s="48">
        <f>$I$15*$AW$15</f>
        <v>0</v>
      </c>
      <c r="AX71" s="48">
        <f>$I$15*$AX$15</f>
        <v>5459662.9995869333</v>
      </c>
      <c r="AY71" s="48">
        <f>$I$15*$AY$15</f>
        <v>-225525.17433814867</v>
      </c>
      <c r="AZ71" s="48">
        <f>$I$15*$AZ$15</f>
        <v>0</v>
      </c>
      <c r="BA71" s="48">
        <f>$I$15*$BA$15</f>
        <v>67677.950776164347</v>
      </c>
      <c r="BB71" s="48">
        <f>$I$15*$BB$15</f>
        <v>1906.2795225150171</v>
      </c>
      <c r="BC71" s="48">
        <f>$I$15*$BC$15</f>
        <v>0</v>
      </c>
      <c r="BD71" s="48">
        <f>$I$15*$BD$15</f>
        <v>0</v>
      </c>
    </row>
    <row r="72" spans="1:56" ht="11.25" customHeight="1" x14ac:dyDescent="0.25">
      <c r="A72" s="9" t="s">
        <v>35</v>
      </c>
      <c r="B72" s="9" t="s">
        <v>769</v>
      </c>
      <c r="C72" s="9" t="s">
        <v>770</v>
      </c>
      <c r="D72" s="9" t="s">
        <v>771</v>
      </c>
      <c r="E72" s="9" t="s">
        <v>772</v>
      </c>
      <c r="F72" s="9" t="s">
        <v>773</v>
      </c>
      <c r="G72" s="9" t="s">
        <v>776</v>
      </c>
      <c r="L72" s="48">
        <f>$I$16*$L$16</f>
        <v>0</v>
      </c>
      <c r="M72" s="48">
        <f>$I$16*$M$16</f>
        <v>190131.67317791973</v>
      </c>
      <c r="N72" s="48">
        <f ca="1">$I$16*$N$16</f>
        <v>0</v>
      </c>
      <c r="O72" s="48">
        <f>$I$16*$O$16</f>
        <v>0</v>
      </c>
      <c r="P72" s="48">
        <f>$I$16*$P$16</f>
        <v>0</v>
      </c>
      <c r="Q72" s="48">
        <f>$I$16*$Q$16</f>
        <v>11352503.780467626</v>
      </c>
      <c r="R72" s="48">
        <f>$I$16*$R$16</f>
        <v>2137781.7138710706</v>
      </c>
      <c r="S72" s="48">
        <f>$I$16*$S$16</f>
        <v>0</v>
      </c>
      <c r="T72" s="48">
        <f>$I$16*$T$16</f>
        <v>0</v>
      </c>
      <c r="U72" s="48">
        <f>$I$16*$U$16</f>
        <v>0</v>
      </c>
      <c r="V72" s="48">
        <f>$I$16*$V$16</f>
        <v>0</v>
      </c>
      <c r="W72" s="48">
        <f>$I$16*$W$16</f>
        <v>0</v>
      </c>
      <c r="X72" s="48">
        <f>$I$16*$X$16</f>
        <v>0</v>
      </c>
      <c r="Y72" s="48">
        <f>$I$16*$Y$16</f>
        <v>0</v>
      </c>
      <c r="Z72" s="48">
        <f>$I$16*$Z$16</f>
        <v>0</v>
      </c>
      <c r="AA72" s="48">
        <f>$I$16*$AA$16</f>
        <v>0</v>
      </c>
      <c r="AB72" s="48">
        <f ca="1">$I$16*$AB$16</f>
        <v>-46393.112899944324</v>
      </c>
      <c r="AC72" s="48">
        <f ca="1">$I$16*$AC$16</f>
        <v>0</v>
      </c>
      <c r="AD72" s="48">
        <f>$I$16*$AD$16</f>
        <v>1178337.0190951654</v>
      </c>
      <c r="AE72" s="48">
        <f>$I$16*$AE$16</f>
        <v>30279.841364028231</v>
      </c>
      <c r="AF72" s="48">
        <f ca="1">$I$16*$AF$16</f>
        <v>0</v>
      </c>
      <c r="AG72" s="48">
        <f ca="1">$I$16*$AG$16</f>
        <v>0</v>
      </c>
      <c r="AI72" s="48">
        <f>$I$16*$AI$16</f>
        <v>0</v>
      </c>
      <c r="AJ72" s="48">
        <f>$I$16*$AJ$16</f>
        <v>203084.16678452597</v>
      </c>
      <c r="AK72" s="48">
        <f>$I$16*$AK$16</f>
        <v>0</v>
      </c>
      <c r="AL72" s="48">
        <f>$I$16*$AL$16</f>
        <v>0</v>
      </c>
      <c r="AM72" s="48">
        <f>$I$16*$AM$16</f>
        <v>0</v>
      </c>
      <c r="AN72" s="48">
        <f>$I$16*$AN$16</f>
        <v>8293584.9176578075</v>
      </c>
      <c r="AO72" s="48">
        <f>$I$16*$AO$16</f>
        <v>1478328.0464477201</v>
      </c>
      <c r="AP72" s="48">
        <f>$I$16*$AP$16</f>
        <v>0</v>
      </c>
      <c r="AQ72" s="48">
        <f>$I$16*$AQ$16</f>
        <v>0</v>
      </c>
      <c r="AR72" s="48">
        <f>$I$16*$AR$16</f>
        <v>0</v>
      </c>
      <c r="AS72" s="48">
        <f>$I$16*$AS$16</f>
        <v>0</v>
      </c>
      <c r="AT72" s="48">
        <f>$I$16*$AT$16</f>
        <v>0</v>
      </c>
      <c r="AU72" s="48">
        <f>$I$16*$AU$16</f>
        <v>0</v>
      </c>
      <c r="AV72" s="48">
        <f>$I$16*$AV$16</f>
        <v>0</v>
      </c>
      <c r="AW72" s="48">
        <f>$I$16*$AW$16</f>
        <v>0</v>
      </c>
      <c r="AX72" s="48">
        <f>$I$16*$AX$16</f>
        <v>0</v>
      </c>
      <c r="AY72" s="48">
        <f>$I$16*$AY$16</f>
        <v>-151939.1120847764</v>
      </c>
      <c r="AZ72" s="48">
        <f>$I$16*$AZ$16</f>
        <v>0</v>
      </c>
      <c r="BA72" s="48">
        <f>$I$16*$BA$16</f>
        <v>1290211.818480588</v>
      </c>
      <c r="BB72" s="48">
        <f>$I$16*$BB$16</f>
        <v>36341.294927957919</v>
      </c>
      <c r="BC72" s="48">
        <f>$I$16*$BC$16</f>
        <v>0</v>
      </c>
      <c r="BD72" s="48">
        <f>$I$16*$BD$16</f>
        <v>0</v>
      </c>
    </row>
    <row r="73" spans="1:56" ht="11.25" customHeight="1" x14ac:dyDescent="0.25">
      <c r="A73" s="9" t="s">
        <v>35</v>
      </c>
      <c r="B73" s="9" t="s">
        <v>769</v>
      </c>
      <c r="C73" s="9" t="s">
        <v>770</v>
      </c>
      <c r="D73" s="9" t="s">
        <v>771</v>
      </c>
      <c r="E73" s="9" t="s">
        <v>777</v>
      </c>
      <c r="F73" s="9" t="s">
        <v>778</v>
      </c>
      <c r="G73" s="9" t="s">
        <v>779</v>
      </c>
      <c r="L73" s="48">
        <f>$I$17*$L$17</f>
        <v>0</v>
      </c>
      <c r="M73" s="48">
        <f>$I$17*$M$17</f>
        <v>0</v>
      </c>
      <c r="N73" s="48">
        <f ca="1">$I$17*$N$17</f>
        <v>0</v>
      </c>
      <c r="O73" s="48">
        <f>$I$17*$O$17</f>
        <v>0</v>
      </c>
      <c r="P73" s="48">
        <f>$I$17*$P$17</f>
        <v>0</v>
      </c>
      <c r="Q73" s="48">
        <f>$I$17*$Q$17</f>
        <v>0</v>
      </c>
      <c r="R73" s="48">
        <f>$I$17*$R$17</f>
        <v>0</v>
      </c>
      <c r="S73" s="48">
        <f>$I$17*$S$17</f>
        <v>0</v>
      </c>
      <c r="T73" s="48">
        <f>$I$17*$T$17</f>
        <v>0</v>
      </c>
      <c r="U73" s="48">
        <f>$I$17*$U$17</f>
        <v>0</v>
      </c>
      <c r="V73" s="48">
        <f>$I$17*$V$17</f>
        <v>0</v>
      </c>
      <c r="W73" s="48">
        <f>$I$17*$W$17</f>
        <v>0</v>
      </c>
      <c r="X73" s="48">
        <f>$I$17*$X$17</f>
        <v>0</v>
      </c>
      <c r="Y73" s="48">
        <f>$I$17*$Y$17</f>
        <v>0</v>
      </c>
      <c r="Z73" s="48">
        <f>$I$17*$Z$17</f>
        <v>0</v>
      </c>
      <c r="AA73" s="48">
        <f>$I$17*$AA$17</f>
        <v>0</v>
      </c>
      <c r="AB73" s="48">
        <f ca="1">$I$17*$AB$17</f>
        <v>0</v>
      </c>
      <c r="AC73" s="48">
        <f ca="1">$I$17*$AC$17</f>
        <v>0</v>
      </c>
      <c r="AD73" s="48">
        <f>$I$17*$AD$17</f>
        <v>0</v>
      </c>
      <c r="AE73" s="48">
        <f>$I$17*$AE$17</f>
        <v>0</v>
      </c>
      <c r="AF73" s="48">
        <f ca="1">$I$17*$AF$17</f>
        <v>0</v>
      </c>
      <c r="AG73" s="48">
        <f ca="1">$I$17*$AG$17</f>
        <v>0</v>
      </c>
      <c r="AI73" s="48">
        <f>$I$17*$AI$17</f>
        <v>0</v>
      </c>
      <c r="AJ73" s="48">
        <f>$I$17*$AJ$17</f>
        <v>0</v>
      </c>
      <c r="AK73" s="48">
        <f>$I$17*$AK$17</f>
        <v>0</v>
      </c>
      <c r="AL73" s="48">
        <f>$I$17*$AL$17</f>
        <v>0</v>
      </c>
      <c r="AM73" s="48">
        <f>$I$17*$AM$17</f>
        <v>0</v>
      </c>
      <c r="AN73" s="48">
        <f>$I$17*$AN$17</f>
        <v>0</v>
      </c>
      <c r="AO73" s="48">
        <f>$I$17*$AO$17</f>
        <v>0</v>
      </c>
      <c r="AP73" s="48">
        <f>$I$17*$AP$17</f>
        <v>0</v>
      </c>
      <c r="AQ73" s="48">
        <f>$I$17*$AQ$17</f>
        <v>0</v>
      </c>
      <c r="AR73" s="48">
        <f>$I$17*$AR$17</f>
        <v>0</v>
      </c>
      <c r="AS73" s="48">
        <f>$I$17*$AS$17</f>
        <v>0</v>
      </c>
      <c r="AT73" s="48">
        <f>$I$17*$AT$17</f>
        <v>0</v>
      </c>
      <c r="AU73" s="48">
        <f>$I$17*$AU$17</f>
        <v>0</v>
      </c>
      <c r="AV73" s="48">
        <f>$I$17*$AV$17</f>
        <v>0</v>
      </c>
      <c r="AW73" s="48">
        <f>$I$17*$AW$17</f>
        <v>0</v>
      </c>
      <c r="AX73" s="48">
        <f>$I$17*$AX$17</f>
        <v>0</v>
      </c>
      <c r="AY73" s="48">
        <f>$I$17*$AY$17</f>
        <v>0</v>
      </c>
      <c r="AZ73" s="48">
        <f>$I$17*$AZ$17</f>
        <v>0</v>
      </c>
      <c r="BA73" s="48">
        <f>$I$17*$BA$17</f>
        <v>0</v>
      </c>
      <c r="BB73" s="48">
        <f>$I$17*$BB$17</f>
        <v>0</v>
      </c>
      <c r="BC73" s="48">
        <f>$I$17*$BC$17</f>
        <v>0</v>
      </c>
      <c r="BD73" s="48">
        <f>$I$17*$BD$17</f>
        <v>0</v>
      </c>
    </row>
    <row r="74" spans="1:56" ht="11.25" customHeight="1" x14ac:dyDescent="0.25">
      <c r="A74" s="9" t="s">
        <v>35</v>
      </c>
      <c r="B74" s="9" t="s">
        <v>769</v>
      </c>
      <c r="C74" s="9" t="s">
        <v>770</v>
      </c>
      <c r="D74" s="9" t="s">
        <v>771</v>
      </c>
      <c r="E74" s="9" t="s">
        <v>777</v>
      </c>
      <c r="F74" s="9" t="s">
        <v>778</v>
      </c>
      <c r="G74" s="9" t="s">
        <v>780</v>
      </c>
      <c r="L74" s="48">
        <f>$I$18*$L$18</f>
        <v>0</v>
      </c>
      <c r="M74" s="48">
        <f>$I$18*$M$18</f>
        <v>0</v>
      </c>
      <c r="N74" s="48">
        <f ca="1">$I$18*$N$18</f>
        <v>0</v>
      </c>
      <c r="O74" s="48">
        <f>$I$18*$O$18</f>
        <v>0</v>
      </c>
      <c r="P74" s="48">
        <f>$I$18*$P$18</f>
        <v>0</v>
      </c>
      <c r="Q74" s="48">
        <f>$I$18*$Q$18</f>
        <v>0</v>
      </c>
      <c r="R74" s="48">
        <f>$I$18*$R$18</f>
        <v>0</v>
      </c>
      <c r="S74" s="48">
        <f>$I$18*$S$18</f>
        <v>0</v>
      </c>
      <c r="T74" s="48">
        <f>$I$18*$T$18</f>
        <v>0</v>
      </c>
      <c r="U74" s="48">
        <f>$I$18*$U$18</f>
        <v>0</v>
      </c>
      <c r="V74" s="48">
        <f>$I$18*$V$18</f>
        <v>0</v>
      </c>
      <c r="W74" s="48">
        <f>$I$18*$W$18</f>
        <v>0</v>
      </c>
      <c r="X74" s="48">
        <f>$I$18*$X$18</f>
        <v>0</v>
      </c>
      <c r="Y74" s="48">
        <f>$I$18*$Y$18</f>
        <v>0</v>
      </c>
      <c r="Z74" s="48">
        <f>$I$18*$Z$18</f>
        <v>0</v>
      </c>
      <c r="AA74" s="48">
        <f>$I$18*$AA$18</f>
        <v>0</v>
      </c>
      <c r="AB74" s="48">
        <f ca="1">$I$18*$AB$18</f>
        <v>0</v>
      </c>
      <c r="AC74" s="48">
        <f ca="1">$I$18*$AC$18</f>
        <v>0</v>
      </c>
      <c r="AD74" s="48">
        <f>$I$18*$AD$18</f>
        <v>0</v>
      </c>
      <c r="AE74" s="48">
        <f>$I$18*$AE$18</f>
        <v>0</v>
      </c>
      <c r="AF74" s="48">
        <f ca="1">$I$18*$AF$18</f>
        <v>0</v>
      </c>
      <c r="AG74" s="48">
        <f ca="1">$I$18*$AG$18</f>
        <v>0</v>
      </c>
      <c r="AI74" s="48">
        <f>$I$18*$AI$18</f>
        <v>0</v>
      </c>
      <c r="AJ74" s="48">
        <f>$I$18*$AJ$18</f>
        <v>0</v>
      </c>
      <c r="AK74" s="48">
        <f>$I$18*$AK$18</f>
        <v>0</v>
      </c>
      <c r="AL74" s="48">
        <f>$I$18*$AL$18</f>
        <v>0</v>
      </c>
      <c r="AM74" s="48">
        <f>$I$18*$AM$18</f>
        <v>0</v>
      </c>
      <c r="AN74" s="48">
        <f>$I$18*$AN$18</f>
        <v>0</v>
      </c>
      <c r="AO74" s="48">
        <f>$I$18*$AO$18</f>
        <v>0</v>
      </c>
      <c r="AP74" s="48">
        <f>$I$18*$AP$18</f>
        <v>0</v>
      </c>
      <c r="AQ74" s="48">
        <f>$I$18*$AQ$18</f>
        <v>0</v>
      </c>
      <c r="AR74" s="48">
        <f>$I$18*$AR$18</f>
        <v>0</v>
      </c>
      <c r="AS74" s="48">
        <f>$I$18*$AS$18</f>
        <v>0</v>
      </c>
      <c r="AT74" s="48">
        <f>$I$18*$AT$18</f>
        <v>0</v>
      </c>
      <c r="AU74" s="48">
        <f>$I$18*$AU$18</f>
        <v>0</v>
      </c>
      <c r="AV74" s="48">
        <f>$I$18*$AV$18</f>
        <v>0</v>
      </c>
      <c r="AW74" s="48">
        <f>$I$18*$AW$18</f>
        <v>0</v>
      </c>
      <c r="AX74" s="48">
        <f>$I$18*$AX$18</f>
        <v>0</v>
      </c>
      <c r="AY74" s="48">
        <f>$I$18*$AY$18</f>
        <v>0</v>
      </c>
      <c r="AZ74" s="48">
        <f>$I$18*$AZ$18</f>
        <v>0</v>
      </c>
      <c r="BA74" s="48">
        <f>$I$18*$BA$18</f>
        <v>0</v>
      </c>
      <c r="BB74" s="48">
        <f>$I$18*$BB$18</f>
        <v>0</v>
      </c>
      <c r="BC74" s="48">
        <f>$I$18*$BC$18</f>
        <v>0</v>
      </c>
      <c r="BD74" s="48">
        <f>$I$18*$BD$18</f>
        <v>0</v>
      </c>
    </row>
    <row r="75" spans="1:56" ht="11.25" customHeight="1" x14ac:dyDescent="0.25">
      <c r="A75" s="9" t="s">
        <v>91</v>
      </c>
      <c r="B75" s="9" t="s">
        <v>781</v>
      </c>
      <c r="C75" s="9" t="s">
        <v>782</v>
      </c>
      <c r="D75" s="9" t="s">
        <v>783</v>
      </c>
      <c r="E75" s="9" t="s">
        <v>784</v>
      </c>
      <c r="F75" s="9" t="s">
        <v>785</v>
      </c>
      <c r="G75" s="9" t="s">
        <v>786</v>
      </c>
      <c r="L75" s="48">
        <f>$I$19*$L$19</f>
        <v>0</v>
      </c>
      <c r="M75" s="48">
        <f>$I$19*$M$19</f>
        <v>1.4260663161791411E-10</v>
      </c>
      <c r="N75" s="48">
        <f ca="1">$I$19*$N$19</f>
        <v>0</v>
      </c>
      <c r="O75" s="48">
        <f>$I$19*$O$19</f>
        <v>0</v>
      </c>
      <c r="P75" s="48">
        <f>$I$19*$P$19</f>
        <v>0</v>
      </c>
      <c r="Q75" s="48">
        <f>$I$19*$Q$19</f>
        <v>0</v>
      </c>
      <c r="R75" s="48">
        <f>$I$19*$R$19</f>
        <v>0</v>
      </c>
      <c r="S75" s="48">
        <f>$I$19*$S$19</f>
        <v>0</v>
      </c>
      <c r="T75" s="48">
        <f>$I$19*$T$19</f>
        <v>0</v>
      </c>
      <c r="U75" s="48">
        <f>$I$19*$U$19</f>
        <v>0</v>
      </c>
      <c r="V75" s="48">
        <f>$I$19*$V$19</f>
        <v>0</v>
      </c>
      <c r="W75" s="48">
        <f>$I$19*$W$19</f>
        <v>0</v>
      </c>
      <c r="X75" s="48">
        <f>$I$19*$X$19</f>
        <v>0</v>
      </c>
      <c r="Y75" s="48">
        <f>$I$19*$Y$19</f>
        <v>0</v>
      </c>
      <c r="Z75" s="48">
        <f>$I$19*$Z$19</f>
        <v>0</v>
      </c>
      <c r="AA75" s="48">
        <f>$I$19*$AA$19</f>
        <v>1.6103823448379587E-8</v>
      </c>
      <c r="AB75" s="48">
        <f ca="1">$I$19*$AB$19</f>
        <v>-1.1764890550918613E-10</v>
      </c>
      <c r="AC75" s="48">
        <f ca="1">$I$19*$AC$19</f>
        <v>0</v>
      </c>
      <c r="AD75" s="48">
        <f>$I$19*$AD$19</f>
        <v>0</v>
      </c>
      <c r="AE75" s="48">
        <f>$I$19*$AE$19</f>
        <v>0</v>
      </c>
      <c r="AF75" s="48">
        <f ca="1">$I$19*$AF$19</f>
        <v>0</v>
      </c>
      <c r="AG75" s="48">
        <f ca="1">$I$19*$AG$19</f>
        <v>0</v>
      </c>
      <c r="AI75" s="48">
        <f>$I$19*$AI$19</f>
        <v>0</v>
      </c>
      <c r="AJ75" s="48">
        <f>$I$19*$AJ$19</f>
        <v>1.6356044600616799E-10</v>
      </c>
      <c r="AK75" s="48">
        <f>$I$19*$AK$19</f>
        <v>0</v>
      </c>
      <c r="AL75" s="48">
        <f>$I$19*$AL$19</f>
        <v>0</v>
      </c>
      <c r="AM75" s="48">
        <f>$I$19*$AM$19</f>
        <v>0</v>
      </c>
      <c r="AN75" s="48">
        <f>$I$19*$AN$19</f>
        <v>0</v>
      </c>
      <c r="AO75" s="48">
        <f>$I$19*$AO$19</f>
        <v>0</v>
      </c>
      <c r="AP75" s="48">
        <f>$I$19*$AP$19</f>
        <v>0</v>
      </c>
      <c r="AQ75" s="48">
        <f>$I$19*$AQ$19</f>
        <v>0</v>
      </c>
      <c r="AR75" s="48">
        <f>$I$19*$AR$19</f>
        <v>0</v>
      </c>
      <c r="AS75" s="48">
        <f>$I$19*$AS$19</f>
        <v>0</v>
      </c>
      <c r="AT75" s="48">
        <f>$I$19*$AT$19</f>
        <v>0</v>
      </c>
      <c r="AU75" s="48">
        <f>$I$19*$AU$19</f>
        <v>0</v>
      </c>
      <c r="AV75" s="48">
        <f>$I$19*$AV$19</f>
        <v>0</v>
      </c>
      <c r="AW75" s="48">
        <f>$I$19*$AW$19</f>
        <v>0</v>
      </c>
      <c r="AX75" s="48">
        <f>$I$19*$AX$19</f>
        <v>2.0425171949619001E-8</v>
      </c>
      <c r="AY75" s="48">
        <f>$I$19*$AY$19</f>
        <v>-6.4122322331805207E-10</v>
      </c>
      <c r="AZ75" s="48">
        <f>$I$19*$AZ$19</f>
        <v>0</v>
      </c>
      <c r="BA75" s="48">
        <f>$I$19*$BA$19</f>
        <v>0</v>
      </c>
      <c r="BB75" s="48">
        <f>$I$19*$BB$19</f>
        <v>0</v>
      </c>
      <c r="BC75" s="48">
        <f>$I$19*$BC$19</f>
        <v>0</v>
      </c>
      <c r="BD75" s="48">
        <f>$I$19*$BD$19</f>
        <v>0</v>
      </c>
    </row>
    <row r="76" spans="1:56" ht="11.25" customHeight="1" x14ac:dyDescent="0.25">
      <c r="A76" s="9" t="s">
        <v>91</v>
      </c>
      <c r="B76" s="9" t="s">
        <v>781</v>
      </c>
      <c r="C76" s="9" t="s">
        <v>782</v>
      </c>
      <c r="D76" s="9" t="s">
        <v>783</v>
      </c>
      <c r="E76" s="9" t="s">
        <v>787</v>
      </c>
      <c r="F76" s="9" t="s">
        <v>788</v>
      </c>
      <c r="G76" s="9" t="s">
        <v>789</v>
      </c>
      <c r="L76" s="48">
        <f>$I$20*$L$20</f>
        <v>0</v>
      </c>
      <c r="M76" s="48">
        <f>$I$20*$M$20</f>
        <v>1.4260663161791411E-10</v>
      </c>
      <c r="N76" s="48">
        <f ca="1">$I$20*$N$20</f>
        <v>0</v>
      </c>
      <c r="O76" s="48">
        <f>$I$20*$O$20</f>
        <v>0</v>
      </c>
      <c r="P76" s="48">
        <f>$I$20*$P$20</f>
        <v>0</v>
      </c>
      <c r="Q76" s="48">
        <f>$I$20*$Q$20</f>
        <v>0</v>
      </c>
      <c r="R76" s="48">
        <f>$I$20*$R$20</f>
        <v>0</v>
      </c>
      <c r="S76" s="48">
        <f>$I$20*$S$20</f>
        <v>0</v>
      </c>
      <c r="T76" s="48">
        <f>$I$20*$T$20</f>
        <v>0</v>
      </c>
      <c r="U76" s="48">
        <f>$I$20*$U$20</f>
        <v>0</v>
      </c>
      <c r="V76" s="48">
        <f>$I$20*$V$20</f>
        <v>0</v>
      </c>
      <c r="W76" s="48">
        <f>$I$20*$W$20</f>
        <v>0</v>
      </c>
      <c r="X76" s="48">
        <f>$I$20*$X$20</f>
        <v>0</v>
      </c>
      <c r="Y76" s="48">
        <f>$I$20*$Y$20</f>
        <v>0</v>
      </c>
      <c r="Z76" s="48">
        <f>$I$20*$Z$20</f>
        <v>0</v>
      </c>
      <c r="AA76" s="48">
        <f>$I$20*$AA$20</f>
        <v>6.3673788514228452E-8</v>
      </c>
      <c r="AB76" s="48">
        <f ca="1">$I$20*$AB$20</f>
        <v>-4.6379108493124954E-10</v>
      </c>
      <c r="AC76" s="48">
        <f ca="1">$I$20*$AC$20</f>
        <v>0</v>
      </c>
      <c r="AD76" s="48">
        <f>$I$20*$AD$20</f>
        <v>0</v>
      </c>
      <c r="AE76" s="48">
        <f>$I$20*$AE$20</f>
        <v>0</v>
      </c>
      <c r="AF76" s="48">
        <f ca="1">$I$20*$AF$20</f>
        <v>0</v>
      </c>
      <c r="AG76" s="48">
        <f ca="1">$I$20*$AG$20</f>
        <v>0</v>
      </c>
      <c r="AI76" s="48">
        <f>$I$20*$AI$20</f>
        <v>0</v>
      </c>
      <c r="AJ76" s="48">
        <f>$I$20*$AJ$20</f>
        <v>1.6356044600616799E-10</v>
      </c>
      <c r="AK76" s="48">
        <f>$I$20*$AK$20</f>
        <v>0</v>
      </c>
      <c r="AL76" s="48">
        <f>$I$20*$AL$20</f>
        <v>0</v>
      </c>
      <c r="AM76" s="48">
        <f>$I$20*$AM$20</f>
        <v>0</v>
      </c>
      <c r="AN76" s="48">
        <f>$I$20*$AN$20</f>
        <v>0</v>
      </c>
      <c r="AO76" s="48">
        <f>$I$20*$AO$20</f>
        <v>0</v>
      </c>
      <c r="AP76" s="48">
        <f>$I$20*$AP$20</f>
        <v>0</v>
      </c>
      <c r="AQ76" s="48">
        <f>$I$20*$AQ$20</f>
        <v>0</v>
      </c>
      <c r="AR76" s="48">
        <f>$I$20*$AR$20</f>
        <v>0</v>
      </c>
      <c r="AS76" s="48">
        <f>$I$20*$AS$20</f>
        <v>0</v>
      </c>
      <c r="AT76" s="48">
        <f>$I$20*$AT$20</f>
        <v>0</v>
      </c>
      <c r="AU76" s="48">
        <f>$I$20*$AU$20</f>
        <v>0</v>
      </c>
      <c r="AV76" s="48">
        <f>$I$20*$AV$20</f>
        <v>0</v>
      </c>
      <c r="AW76" s="48">
        <f>$I$20*$AW$20</f>
        <v>0</v>
      </c>
      <c r="AX76" s="48">
        <f>$I$20*$AX$20</f>
        <v>8.0760917435615698E-8</v>
      </c>
      <c r="AY76" s="48">
        <f>$I$20*$AY$20</f>
        <v>-2.5288196749329502E-9</v>
      </c>
      <c r="AZ76" s="48">
        <f>$I$20*$AZ$20</f>
        <v>0</v>
      </c>
      <c r="BA76" s="48">
        <f>$I$20*$BA$20</f>
        <v>0</v>
      </c>
      <c r="BB76" s="48">
        <f>$I$20*$BB$20</f>
        <v>0</v>
      </c>
      <c r="BC76" s="48">
        <f>$I$20*$BC$20</f>
        <v>0</v>
      </c>
      <c r="BD76" s="48">
        <f>$I$20*$BD$20</f>
        <v>0</v>
      </c>
    </row>
    <row r="77" spans="1:56" ht="11.25" customHeight="1" x14ac:dyDescent="0.25">
      <c r="A77" s="9" t="s">
        <v>22</v>
      </c>
      <c r="B77" s="9" t="s">
        <v>790</v>
      </c>
      <c r="C77" s="9" t="s">
        <v>791</v>
      </c>
      <c r="D77" s="9" t="s">
        <v>792</v>
      </c>
      <c r="E77" s="9" t="s">
        <v>793</v>
      </c>
      <c r="F77" s="9" t="s">
        <v>794</v>
      </c>
      <c r="G77" s="9" t="s">
        <v>795</v>
      </c>
      <c r="L77" s="48">
        <f>$I$21*$L$21</f>
        <v>0</v>
      </c>
      <c r="M77" s="48">
        <f>$I$21*$M$21</f>
        <v>0</v>
      </c>
      <c r="N77" s="48">
        <f ca="1">$I$21*$N$21</f>
        <v>0</v>
      </c>
      <c r="O77" s="48">
        <f>$I$21*$O$21</f>
        <v>0</v>
      </c>
      <c r="P77" s="48">
        <f>$I$21*$P$21</f>
        <v>0</v>
      </c>
      <c r="Q77" s="48">
        <f>$I$21*$Q$21</f>
        <v>0</v>
      </c>
      <c r="R77" s="48">
        <f>$I$21*$R$21</f>
        <v>0</v>
      </c>
      <c r="S77" s="48">
        <f>$I$21*$S$21</f>
        <v>0</v>
      </c>
      <c r="T77" s="48">
        <f>$I$21*$T$21</f>
        <v>0</v>
      </c>
      <c r="U77" s="48">
        <f>$I$21*$U$21</f>
        <v>0</v>
      </c>
      <c r="V77" s="48">
        <f>$I$21*$V$21</f>
        <v>0</v>
      </c>
      <c r="W77" s="48">
        <f>$I$21*$W$21</f>
        <v>0</v>
      </c>
      <c r="X77" s="48">
        <f>$I$21*$X$21</f>
        <v>0</v>
      </c>
      <c r="Y77" s="48">
        <f>$I$21*$Y$21</f>
        <v>0</v>
      </c>
      <c r="Z77" s="48">
        <f>$I$21*$Z$21</f>
        <v>0</v>
      </c>
      <c r="AA77" s="48">
        <f>$I$21*$AA$21</f>
        <v>0</v>
      </c>
      <c r="AB77" s="48">
        <f ca="1">$I$21*$AB$21</f>
        <v>0</v>
      </c>
      <c r="AC77" s="48">
        <f ca="1">$I$21*$AC$21</f>
        <v>0</v>
      </c>
      <c r="AD77" s="48">
        <f>$I$21*$AD$21</f>
        <v>0</v>
      </c>
      <c r="AE77" s="48">
        <f>$I$21*$AE$21</f>
        <v>0</v>
      </c>
      <c r="AF77" s="48">
        <f ca="1">$I$21*$AF$21</f>
        <v>0</v>
      </c>
      <c r="AG77" s="48">
        <f ca="1">$I$21*$AG$21</f>
        <v>0</v>
      </c>
      <c r="AI77" s="48">
        <f>$I$21*$AI$21</f>
        <v>0</v>
      </c>
      <c r="AJ77" s="48">
        <f>$I$21*$AJ$21</f>
        <v>0</v>
      </c>
      <c r="AK77" s="48">
        <f>$I$21*$AK$21</f>
        <v>0</v>
      </c>
      <c r="AL77" s="48">
        <f>$I$21*$AL$21</f>
        <v>0</v>
      </c>
      <c r="AM77" s="48">
        <f>$I$21*$AM$21</f>
        <v>0</v>
      </c>
      <c r="AN77" s="48">
        <f>$I$21*$AN$21</f>
        <v>0</v>
      </c>
      <c r="AO77" s="48">
        <f>$I$21*$AO$21</f>
        <v>0</v>
      </c>
      <c r="AP77" s="48">
        <f>$I$21*$AP$21</f>
        <v>0</v>
      </c>
      <c r="AQ77" s="48">
        <f>$I$21*$AQ$21</f>
        <v>0</v>
      </c>
      <c r="AR77" s="48">
        <f>$I$21*$AR$21</f>
        <v>0</v>
      </c>
      <c r="AS77" s="48">
        <f>$I$21*$AS$21</f>
        <v>0</v>
      </c>
      <c r="AT77" s="48">
        <f>$I$21*$AT$21</f>
        <v>0</v>
      </c>
      <c r="AU77" s="48">
        <f>$I$21*$AU$21</f>
        <v>0</v>
      </c>
      <c r="AV77" s="48">
        <f>$I$21*$AV$21</f>
        <v>0</v>
      </c>
      <c r="AW77" s="48">
        <f>$I$21*$AW$21</f>
        <v>0</v>
      </c>
      <c r="AX77" s="48">
        <f>$I$21*$AX$21</f>
        <v>0</v>
      </c>
      <c r="AY77" s="48">
        <f>$I$21*$AY$21</f>
        <v>0</v>
      </c>
      <c r="AZ77" s="48">
        <f>$I$21*$AZ$21</f>
        <v>0</v>
      </c>
      <c r="BA77" s="48">
        <f>$I$21*$BA$21</f>
        <v>0</v>
      </c>
      <c r="BB77" s="48">
        <f>$I$21*$BB$21</f>
        <v>0</v>
      </c>
      <c r="BC77" s="48">
        <f>$I$21*$BC$21</f>
        <v>0</v>
      </c>
      <c r="BD77" s="48">
        <f>$I$21*$BD$21</f>
        <v>0</v>
      </c>
    </row>
    <row r="78" spans="1:56" ht="11.25" customHeight="1" x14ac:dyDescent="0.25">
      <c r="A78" s="9" t="s">
        <v>22</v>
      </c>
      <c r="B78" s="9" t="s">
        <v>790</v>
      </c>
      <c r="C78" s="9" t="s">
        <v>791</v>
      </c>
      <c r="D78" s="9" t="s">
        <v>792</v>
      </c>
      <c r="E78" s="9" t="s">
        <v>793</v>
      </c>
      <c r="F78" s="9" t="s">
        <v>794</v>
      </c>
      <c r="G78" s="9" t="s">
        <v>796</v>
      </c>
      <c r="L78" s="48">
        <f>$I$22*$L$22</f>
        <v>0</v>
      </c>
      <c r="M78" s="48">
        <f>$I$22*$M$22</f>
        <v>0</v>
      </c>
      <c r="N78" s="48">
        <f ca="1">$I$22*$N$22</f>
        <v>0</v>
      </c>
      <c r="O78" s="48">
        <f>$I$22*$O$22</f>
        <v>0</v>
      </c>
      <c r="P78" s="48">
        <f>$I$22*$P$22</f>
        <v>0</v>
      </c>
      <c r="Q78" s="48">
        <f>$I$22*$Q$22</f>
        <v>0</v>
      </c>
      <c r="R78" s="48">
        <f>$I$22*$R$22</f>
        <v>0</v>
      </c>
      <c r="S78" s="48">
        <f>$I$22*$S$22</f>
        <v>0</v>
      </c>
      <c r="T78" s="48">
        <f>$I$22*$T$22</f>
        <v>0</v>
      </c>
      <c r="U78" s="48">
        <f>$I$22*$U$22</f>
        <v>0</v>
      </c>
      <c r="V78" s="48">
        <f>$I$22*$V$22</f>
        <v>0</v>
      </c>
      <c r="W78" s="48">
        <f>$I$22*$W$22</f>
        <v>0</v>
      </c>
      <c r="X78" s="48">
        <f>$I$22*$X$22</f>
        <v>0</v>
      </c>
      <c r="Y78" s="48">
        <f>$I$22*$Y$22</f>
        <v>0</v>
      </c>
      <c r="Z78" s="48">
        <f>$I$22*$Z$22</f>
        <v>0</v>
      </c>
      <c r="AA78" s="48">
        <f>$I$22*$AA$22</f>
        <v>0</v>
      </c>
      <c r="AB78" s="48">
        <f ca="1">$I$22*$AB$22</f>
        <v>0</v>
      </c>
      <c r="AC78" s="48">
        <f ca="1">$I$22*$AC$22</f>
        <v>0</v>
      </c>
      <c r="AD78" s="48">
        <f>$I$22*$AD$22</f>
        <v>0</v>
      </c>
      <c r="AE78" s="48">
        <f>$I$22*$AE$22</f>
        <v>0</v>
      </c>
      <c r="AF78" s="48">
        <f ca="1">$I$22*$AF$22</f>
        <v>0</v>
      </c>
      <c r="AG78" s="48">
        <f ca="1">$I$22*$AG$22</f>
        <v>0</v>
      </c>
      <c r="AI78" s="48">
        <f>$I$22*$AI$22</f>
        <v>0</v>
      </c>
      <c r="AJ78" s="48">
        <f>$I$22*$AJ$22</f>
        <v>0</v>
      </c>
      <c r="AK78" s="48">
        <f>$I$22*$AK$22</f>
        <v>0</v>
      </c>
      <c r="AL78" s="48">
        <f>$I$22*$AL$22</f>
        <v>0</v>
      </c>
      <c r="AM78" s="48">
        <f>$I$22*$AM$22</f>
        <v>0</v>
      </c>
      <c r="AN78" s="48">
        <f>$I$22*$AN$22</f>
        <v>0</v>
      </c>
      <c r="AO78" s="48">
        <f>$I$22*$AO$22</f>
        <v>0</v>
      </c>
      <c r="AP78" s="48">
        <f>$I$22*$AP$22</f>
        <v>0</v>
      </c>
      <c r="AQ78" s="48">
        <f>$I$22*$AQ$22</f>
        <v>0</v>
      </c>
      <c r="AR78" s="48">
        <f>$I$22*$AR$22</f>
        <v>0</v>
      </c>
      <c r="AS78" s="48">
        <f>$I$22*$AS$22</f>
        <v>0</v>
      </c>
      <c r="AT78" s="48">
        <f>$I$22*$AT$22</f>
        <v>0</v>
      </c>
      <c r="AU78" s="48">
        <f>$I$22*$AU$22</f>
        <v>0</v>
      </c>
      <c r="AV78" s="48">
        <f>$I$22*$AV$22</f>
        <v>0</v>
      </c>
      <c r="AW78" s="48">
        <f>$I$22*$AW$22</f>
        <v>0</v>
      </c>
      <c r="AX78" s="48">
        <f>$I$22*$AX$22</f>
        <v>0</v>
      </c>
      <c r="AY78" s="48">
        <f>$I$22*$AY$22</f>
        <v>0</v>
      </c>
      <c r="AZ78" s="48">
        <f>$I$22*$AZ$22</f>
        <v>0</v>
      </c>
      <c r="BA78" s="48">
        <f>$I$22*$BA$22</f>
        <v>0</v>
      </c>
      <c r="BB78" s="48">
        <f>$I$22*$BB$22</f>
        <v>0</v>
      </c>
      <c r="BC78" s="48">
        <f>$I$22*$BC$22</f>
        <v>0</v>
      </c>
      <c r="BD78" s="48">
        <f>$I$22*$BD$22</f>
        <v>0</v>
      </c>
    </row>
    <row r="79" spans="1:56" ht="11.25" customHeight="1" x14ac:dyDescent="0.25">
      <c r="A79" s="9" t="s">
        <v>22</v>
      </c>
      <c r="B79" s="9" t="s">
        <v>790</v>
      </c>
      <c r="C79" s="9" t="s">
        <v>791</v>
      </c>
      <c r="D79" s="9" t="s">
        <v>792</v>
      </c>
      <c r="E79" s="9" t="s">
        <v>793</v>
      </c>
      <c r="F79" s="9" t="s">
        <v>794</v>
      </c>
      <c r="G79" s="9" t="s">
        <v>797</v>
      </c>
      <c r="L79" s="48">
        <f>$I$23*$L$23</f>
        <v>0</v>
      </c>
      <c r="M79" s="48">
        <f>$I$23*$M$23</f>
        <v>0</v>
      </c>
      <c r="N79" s="48">
        <f ca="1">$I$23*$N$23</f>
        <v>0</v>
      </c>
      <c r="O79" s="48">
        <f>$I$23*$O$23</f>
        <v>0</v>
      </c>
      <c r="P79" s="48">
        <f>$I$23*$P$23</f>
        <v>0</v>
      </c>
      <c r="Q79" s="48">
        <f>$I$23*$Q$23</f>
        <v>0</v>
      </c>
      <c r="R79" s="48">
        <f>$I$23*$R$23</f>
        <v>0</v>
      </c>
      <c r="S79" s="48">
        <f>$I$23*$S$23</f>
        <v>0</v>
      </c>
      <c r="T79" s="48">
        <f>$I$23*$T$23</f>
        <v>0</v>
      </c>
      <c r="U79" s="48">
        <f>$I$23*$U$23</f>
        <v>0</v>
      </c>
      <c r="V79" s="48">
        <f>$I$23*$V$23</f>
        <v>0</v>
      </c>
      <c r="W79" s="48">
        <f>$I$23*$W$23</f>
        <v>0</v>
      </c>
      <c r="X79" s="48">
        <f>$I$23*$X$23</f>
        <v>0</v>
      </c>
      <c r="Y79" s="48">
        <f>$I$23*$Y$23</f>
        <v>0</v>
      </c>
      <c r="Z79" s="48">
        <f>$I$23*$Z$23</f>
        <v>0</v>
      </c>
      <c r="AA79" s="48">
        <f>$I$23*$AA$23</f>
        <v>0</v>
      </c>
      <c r="AB79" s="48">
        <f ca="1">$I$23*$AB$23</f>
        <v>0</v>
      </c>
      <c r="AC79" s="48">
        <f ca="1">$I$23*$AC$23</f>
        <v>0</v>
      </c>
      <c r="AD79" s="48">
        <f>$I$23*$AD$23</f>
        <v>0</v>
      </c>
      <c r="AE79" s="48">
        <f>$I$23*$AE$23</f>
        <v>0</v>
      </c>
      <c r="AF79" s="48">
        <f ca="1">$I$23*$AF$23</f>
        <v>0</v>
      </c>
      <c r="AG79" s="48">
        <f ca="1">$I$23*$AG$23</f>
        <v>0</v>
      </c>
      <c r="AI79" s="48">
        <f>$I$23*$AI$23</f>
        <v>0</v>
      </c>
      <c r="AJ79" s="48">
        <f>$I$23*$AJ$23</f>
        <v>0</v>
      </c>
      <c r="AK79" s="48">
        <f>$I$23*$AK$23</f>
        <v>0</v>
      </c>
      <c r="AL79" s="48">
        <f>$I$23*$AL$23</f>
        <v>0</v>
      </c>
      <c r="AM79" s="48">
        <f>$I$23*$AM$23</f>
        <v>0</v>
      </c>
      <c r="AN79" s="48">
        <f>$I$23*$AN$23</f>
        <v>0</v>
      </c>
      <c r="AO79" s="48">
        <f>$I$23*$AO$23</f>
        <v>0</v>
      </c>
      <c r="AP79" s="48">
        <f>$I$23*$AP$23</f>
        <v>0</v>
      </c>
      <c r="AQ79" s="48">
        <f>$I$23*$AQ$23</f>
        <v>0</v>
      </c>
      <c r="AR79" s="48">
        <f>$I$23*$AR$23</f>
        <v>0</v>
      </c>
      <c r="AS79" s="48">
        <f>$I$23*$AS$23</f>
        <v>0</v>
      </c>
      <c r="AT79" s="48">
        <f>$I$23*$AT$23</f>
        <v>0</v>
      </c>
      <c r="AU79" s="48">
        <f>$I$23*$AU$23</f>
        <v>0</v>
      </c>
      <c r="AV79" s="48">
        <f>$I$23*$AV$23</f>
        <v>0</v>
      </c>
      <c r="AW79" s="48">
        <f>$I$23*$AW$23</f>
        <v>0</v>
      </c>
      <c r="AX79" s="48">
        <f>$I$23*$AX$23</f>
        <v>0</v>
      </c>
      <c r="AY79" s="48">
        <f>$I$23*$AY$23</f>
        <v>0</v>
      </c>
      <c r="AZ79" s="48">
        <f>$I$23*$AZ$23</f>
        <v>0</v>
      </c>
      <c r="BA79" s="48">
        <f>$I$23*$BA$23</f>
        <v>0</v>
      </c>
      <c r="BB79" s="48">
        <f>$I$23*$BB$23</f>
        <v>0</v>
      </c>
      <c r="BC79" s="48">
        <f>$I$23*$BC$23</f>
        <v>0</v>
      </c>
      <c r="BD79" s="48">
        <f>$I$23*$BD$23</f>
        <v>0</v>
      </c>
    </row>
    <row r="80" spans="1:56" ht="11.25" customHeight="1" x14ac:dyDescent="0.25">
      <c r="A80" s="9" t="s">
        <v>22</v>
      </c>
      <c r="B80" s="9" t="s">
        <v>798</v>
      </c>
      <c r="C80" s="9" t="s">
        <v>799</v>
      </c>
      <c r="D80" s="9" t="s">
        <v>800</v>
      </c>
      <c r="E80" s="9" t="s">
        <v>801</v>
      </c>
      <c r="F80" s="9" t="s">
        <v>802</v>
      </c>
      <c r="G80" s="9" t="s">
        <v>803</v>
      </c>
      <c r="L80" s="48">
        <f>$I$24*$L$24</f>
        <v>0</v>
      </c>
      <c r="M80" s="48">
        <f>$I$24*$M$24</f>
        <v>19214.280424302175</v>
      </c>
      <c r="N80" s="48">
        <f ca="1">$I$24*$N$24</f>
        <v>0</v>
      </c>
      <c r="O80" s="48">
        <f>$I$24*$O$24</f>
        <v>0</v>
      </c>
      <c r="P80" s="48">
        <f>$I$24*$P$24</f>
        <v>0</v>
      </c>
      <c r="Q80" s="48">
        <f>$I$24*$Q$24</f>
        <v>2069781.1982450373</v>
      </c>
      <c r="R80" s="48">
        <f>$I$24*$R$24</f>
        <v>327397.55085091118</v>
      </c>
      <c r="S80" s="48">
        <f>$I$24*$S$24</f>
        <v>0</v>
      </c>
      <c r="T80" s="48">
        <f>$I$24*$T$24</f>
        <v>268752.90033277369</v>
      </c>
      <c r="U80" s="48">
        <f>$I$24*$U$24</f>
        <v>278685.2843616911</v>
      </c>
      <c r="V80" s="48">
        <f>$I$24*$V$24</f>
        <v>67542.948920242314</v>
      </c>
      <c r="W80" s="48">
        <f>$I$24*$W$24</f>
        <v>0</v>
      </c>
      <c r="X80" s="48">
        <f>$I$24*$X$24</f>
        <v>1946810.9822087872</v>
      </c>
      <c r="Y80" s="48">
        <f>$I$24*$Y$24</f>
        <v>0</v>
      </c>
      <c r="Z80" s="48">
        <f>$I$24*$Z$24</f>
        <v>0</v>
      </c>
      <c r="AA80" s="48">
        <f>$I$24*$AA$24</f>
        <v>1812127.4507210609</v>
      </c>
      <c r="AB80" s="48">
        <f ca="1">$I$24*$AB$24</f>
        <v>-29176.717476364422</v>
      </c>
      <c r="AC80" s="48">
        <f ca="1">$I$24*$AC$24</f>
        <v>0</v>
      </c>
      <c r="AD80" s="48">
        <f>$I$24*$AD$24</f>
        <v>407805.49305453082</v>
      </c>
      <c r="AE80" s="48">
        <f>$I$24*$AE$24</f>
        <v>10481.044726865282</v>
      </c>
      <c r="AF80" s="48">
        <f ca="1">$I$24*$AF$24</f>
        <v>0</v>
      </c>
      <c r="AG80" s="48">
        <f ca="1">$I$24*$AG$24</f>
        <v>0</v>
      </c>
      <c r="AI80" s="48">
        <f>$I$24*$AI$24</f>
        <v>0</v>
      </c>
      <c r="AJ80" s="48">
        <f>$I$24*$AJ$24</f>
        <v>24814.502368300284</v>
      </c>
      <c r="AK80" s="48">
        <f>$I$24*$AK$24</f>
        <v>0</v>
      </c>
      <c r="AL80" s="48">
        <f>$I$24*$AL$24</f>
        <v>0</v>
      </c>
      <c r="AM80" s="48">
        <f>$I$24*$AM$24</f>
        <v>0</v>
      </c>
      <c r="AN80" s="48">
        <f>$I$24*$AN$24</f>
        <v>1459940.3489822515</v>
      </c>
      <c r="AO80" s="48">
        <f>$I$24*$AO$24</f>
        <v>226403.36879146195</v>
      </c>
      <c r="AP80" s="48">
        <f>$I$24*$AP$24</f>
        <v>0</v>
      </c>
      <c r="AQ80" s="48">
        <f>$I$24*$AQ$24</f>
        <v>236747.07253246373</v>
      </c>
      <c r="AR80" s="48">
        <f>$I$24*$AR$24</f>
        <v>192449.70807981581</v>
      </c>
      <c r="AS80" s="48">
        <f>$I$24*$AS$24</f>
        <v>14481.103983625129</v>
      </c>
      <c r="AT80" s="48">
        <f>$I$24*$AT$24</f>
        <v>0</v>
      </c>
      <c r="AU80" s="48">
        <f>$I$24*$AU$24</f>
        <v>1924931.3084057285</v>
      </c>
      <c r="AV80" s="48">
        <f>$I$24*$AV$24</f>
        <v>0</v>
      </c>
      <c r="AW80" s="48">
        <f>$I$24*$AW$24</f>
        <v>0</v>
      </c>
      <c r="AX80" s="48">
        <f>$I$24*$AX$24</f>
        <v>2298415.2515640287</v>
      </c>
      <c r="AY80" s="48">
        <f>$I$24*$AY$24</f>
        <v>-131068.37039986427</v>
      </c>
      <c r="AZ80" s="48">
        <f>$I$24*$AZ$24</f>
        <v>0</v>
      </c>
      <c r="BA80" s="48">
        <f>$I$24*$BA$24</f>
        <v>446525.45795827295</v>
      </c>
      <c r="BB80" s="48">
        <f>$I$24*$BB$24</f>
        <v>12577.247493836374</v>
      </c>
      <c r="BC80" s="48">
        <f>$I$24*$BC$24</f>
        <v>0</v>
      </c>
      <c r="BD80" s="48">
        <f>$I$24*$BD$24</f>
        <v>0</v>
      </c>
    </row>
    <row r="81" spans="1:56" ht="11.25" customHeight="1" x14ac:dyDescent="0.25">
      <c r="A81" s="9" t="s">
        <v>22</v>
      </c>
      <c r="B81" s="9" t="s">
        <v>798</v>
      </c>
      <c r="C81" s="9" t="s">
        <v>799</v>
      </c>
      <c r="D81" s="9" t="s">
        <v>804</v>
      </c>
      <c r="E81" s="9" t="s">
        <v>805</v>
      </c>
      <c r="F81" s="9" t="s">
        <v>806</v>
      </c>
      <c r="G81" s="9" t="s">
        <v>807</v>
      </c>
      <c r="L81" s="48">
        <f>$I$25*$L$25</f>
        <v>0</v>
      </c>
      <c r="M81" s="48">
        <f>$I$25*$M$25</f>
        <v>48.094605427807025</v>
      </c>
      <c r="N81" s="48">
        <f ca="1">$I$25*$N$25</f>
        <v>0</v>
      </c>
      <c r="O81" s="48">
        <f>$I$25*$O$25</f>
        <v>0</v>
      </c>
      <c r="P81" s="48">
        <f>$I$25*$P$25</f>
        <v>0</v>
      </c>
      <c r="Q81" s="48">
        <f>$I$25*$Q$25</f>
        <v>0</v>
      </c>
      <c r="R81" s="48">
        <f>$I$25*$R$25</f>
        <v>0</v>
      </c>
      <c r="S81" s="48">
        <f>$I$25*$S$25</f>
        <v>0</v>
      </c>
      <c r="T81" s="48">
        <f>$I$25*$T$25</f>
        <v>672.706154675211</v>
      </c>
      <c r="U81" s="48">
        <f>$I$25*$U$25</f>
        <v>697.56756401656992</v>
      </c>
      <c r="V81" s="48">
        <f>$I$25*$V$25</f>
        <v>169.06443572255483</v>
      </c>
      <c r="W81" s="48">
        <f>$I$25*$W$25</f>
        <v>0</v>
      </c>
      <c r="X81" s="48">
        <f>$I$25*$X$25</f>
        <v>4872.9957075794864</v>
      </c>
      <c r="Y81" s="48">
        <f>$I$25*$Y$25</f>
        <v>0</v>
      </c>
      <c r="Z81" s="48">
        <f>$I$25*$Z$25</f>
        <v>0</v>
      </c>
      <c r="AA81" s="48">
        <f>$I$25*$AA$25</f>
        <v>4535.8739855329495</v>
      </c>
      <c r="AB81" s="48">
        <f ca="1">$I$25*$AB$25</f>
        <v>-54.307224004130461</v>
      </c>
      <c r="AC81" s="48">
        <f ca="1">$I$25*$AC$25</f>
        <v>0</v>
      </c>
      <c r="AD81" s="48">
        <f>$I$25*$AD$25</f>
        <v>1020.7639238440162</v>
      </c>
      <c r="AE81" s="48">
        <f>$I$25*$AE$25</f>
        <v>26.234743090988822</v>
      </c>
      <c r="AF81" s="48">
        <f ca="1">$I$25*$AF$25</f>
        <v>0</v>
      </c>
      <c r="AG81" s="48">
        <f ca="1">$I$25*$AG$25</f>
        <v>0</v>
      </c>
      <c r="AI81" s="48">
        <f>$I$25*$AI$25</f>
        <v>0</v>
      </c>
      <c r="AJ81" s="48">
        <f>$I$25*$AJ$25</f>
        <v>62.112328639761273</v>
      </c>
      <c r="AK81" s="48">
        <f>$I$25*$AK$25</f>
        <v>0</v>
      </c>
      <c r="AL81" s="48">
        <f>$I$25*$AL$25</f>
        <v>0</v>
      </c>
      <c r="AM81" s="48">
        <f>$I$25*$AM$25</f>
        <v>0</v>
      </c>
      <c r="AN81" s="48">
        <f>$I$25*$AN$25</f>
        <v>0</v>
      </c>
      <c r="AO81" s="48">
        <f>$I$25*$AO$25</f>
        <v>0</v>
      </c>
      <c r="AP81" s="48">
        <f>$I$25*$AP$25</f>
        <v>0</v>
      </c>
      <c r="AQ81" s="48">
        <f>$I$25*$AQ$25</f>
        <v>592.59346632809377</v>
      </c>
      <c r="AR81" s="48">
        <f>$I$25*$AR$25</f>
        <v>481.71425473153187</v>
      </c>
      <c r="AS81" s="48">
        <f>$I$25*$AS$25</f>
        <v>36.247154037088521</v>
      </c>
      <c r="AT81" s="48">
        <f>$I$25*$AT$25</f>
        <v>0</v>
      </c>
      <c r="AU81" s="48">
        <f>$I$25*$AU$25</f>
        <v>4818.229447526548</v>
      </c>
      <c r="AV81" s="48">
        <f>$I$25*$AV$25</f>
        <v>0</v>
      </c>
      <c r="AW81" s="48">
        <f>$I$25*$AW$25</f>
        <v>0</v>
      </c>
      <c r="AX81" s="48">
        <f>$I$25*$AX$25</f>
        <v>5753.0842785771665</v>
      </c>
      <c r="AY81" s="48">
        <f>$I$25*$AY$25</f>
        <v>-270.45791678788493</v>
      </c>
      <c r="AZ81" s="48">
        <f>$I$25*$AZ$25</f>
        <v>0</v>
      </c>
      <c r="BA81" s="48">
        <f>$I$25*$BA$25</f>
        <v>1117.6825381819585</v>
      </c>
      <c r="BB81" s="48">
        <f>$I$25*$BB$25</f>
        <v>31.481676244240866</v>
      </c>
      <c r="BC81" s="48">
        <f>$I$25*$BC$25</f>
        <v>0</v>
      </c>
      <c r="BD81" s="48">
        <f>$I$25*$BD$25</f>
        <v>0</v>
      </c>
    </row>
    <row r="82" spans="1:56" ht="11.25" customHeight="1" x14ac:dyDescent="0.25">
      <c r="A82" s="9" t="s">
        <v>22</v>
      </c>
      <c r="B82" s="9" t="s">
        <v>798</v>
      </c>
      <c r="C82" s="9" t="s">
        <v>799</v>
      </c>
      <c r="D82" s="9" t="s">
        <v>808</v>
      </c>
      <c r="E82" s="9" t="s">
        <v>809</v>
      </c>
      <c r="F82" s="9" t="s">
        <v>810</v>
      </c>
      <c r="G82" s="9" t="s">
        <v>811</v>
      </c>
      <c r="L82" s="48">
        <f>$I$26*$L$26</f>
        <v>0</v>
      </c>
      <c r="M82" s="48">
        <f>$I$26*$M$26</f>
        <v>28.207007017493268</v>
      </c>
      <c r="N82" s="48">
        <f ca="1">$I$26*$N$26</f>
        <v>0</v>
      </c>
      <c r="O82" s="48">
        <f>$I$26*$O$26</f>
        <v>0</v>
      </c>
      <c r="P82" s="48">
        <f>$I$26*$P$26</f>
        <v>0</v>
      </c>
      <c r="Q82" s="48">
        <f>$I$26*$Q$26</f>
        <v>0</v>
      </c>
      <c r="R82" s="48">
        <f>$I$26*$R$26</f>
        <v>0</v>
      </c>
      <c r="S82" s="48">
        <f>$I$26*$S$26</f>
        <v>0</v>
      </c>
      <c r="T82" s="48">
        <f>$I$26*$T$26</f>
        <v>394.53545895323498</v>
      </c>
      <c r="U82" s="48">
        <f>$I$26*$U$26</f>
        <v>409.11642788974331</v>
      </c>
      <c r="V82" s="48">
        <f>$I$26*$V$26</f>
        <v>99.154607516073909</v>
      </c>
      <c r="W82" s="48">
        <f>$I$26*$W$26</f>
        <v>0</v>
      </c>
      <c r="X82" s="48">
        <f>$I$26*$X$26</f>
        <v>2857.9634430359147</v>
      </c>
      <c r="Y82" s="48">
        <f>$I$26*$Y$26</f>
        <v>0</v>
      </c>
      <c r="Z82" s="48">
        <f>$I$26*$Z$26</f>
        <v>0</v>
      </c>
      <c r="AA82" s="48">
        <f>$I$26*$AA$26</f>
        <v>2660.2449110939074</v>
      </c>
      <c r="AB82" s="48">
        <f ca="1">$I$26*$AB$26</f>
        <v>-31.850645929188037</v>
      </c>
      <c r="AC82" s="48">
        <f ca="1">$I$26*$AC$26</f>
        <v>0</v>
      </c>
      <c r="AD82" s="48">
        <f>$I$26*$AD$26</f>
        <v>598.66787359949853</v>
      </c>
      <c r="AE82" s="48">
        <f>$I$26*$AE$26</f>
        <v>15.386415501015925</v>
      </c>
      <c r="AF82" s="48">
        <f ca="1">$I$26*$AF$26</f>
        <v>0</v>
      </c>
      <c r="AG82" s="48">
        <f ca="1">$I$26*$AG$26</f>
        <v>0</v>
      </c>
      <c r="AI82" s="48">
        <f>$I$26*$AI$26</f>
        <v>0</v>
      </c>
      <c r="AJ82" s="48">
        <f>$I$26*$AJ$26</f>
        <v>36.428262052060219</v>
      </c>
      <c r="AK82" s="48">
        <f>$I$26*$AK$26</f>
        <v>0</v>
      </c>
      <c r="AL82" s="48">
        <f>$I$26*$AL$26</f>
        <v>0</v>
      </c>
      <c r="AM82" s="48">
        <f>$I$26*$AM$26</f>
        <v>0</v>
      </c>
      <c r="AN82" s="48">
        <f>$I$26*$AN$26</f>
        <v>0</v>
      </c>
      <c r="AO82" s="48">
        <f>$I$26*$AO$26</f>
        <v>0</v>
      </c>
      <c r="AP82" s="48">
        <f>$I$26*$AP$26</f>
        <v>0</v>
      </c>
      <c r="AQ82" s="48">
        <f>$I$26*$AQ$26</f>
        <v>347.55016523272809</v>
      </c>
      <c r="AR82" s="48">
        <f>$I$26*$AR$26</f>
        <v>282.52061208891394</v>
      </c>
      <c r="AS82" s="48">
        <f>$I$26*$AS$26</f>
        <v>21.258594788204153</v>
      </c>
      <c r="AT82" s="48">
        <f>$I$26*$AT$26</f>
        <v>0</v>
      </c>
      <c r="AU82" s="48">
        <f>$I$26*$AU$26</f>
        <v>2825.8435770365231</v>
      </c>
      <c r="AV82" s="48">
        <f>$I$26*$AV$26</f>
        <v>0</v>
      </c>
      <c r="AW82" s="48">
        <f>$I$26*$AW$26</f>
        <v>0</v>
      </c>
      <c r="AX82" s="48">
        <f>$I$26*$AX$26</f>
        <v>3374.1266234452123</v>
      </c>
      <c r="AY82" s="48">
        <f>$I$26*$AY$26</f>
        <v>-158.62087418980514</v>
      </c>
      <c r="AZ82" s="48">
        <f>$I$26*$AZ$26</f>
        <v>0</v>
      </c>
      <c r="BA82" s="48">
        <f>$I$26*$BA$26</f>
        <v>655.5096755113475</v>
      </c>
      <c r="BB82" s="48">
        <f>$I$26*$BB$26</f>
        <v>18.463689531182464</v>
      </c>
      <c r="BC82" s="48">
        <f>$I$26*$BC$26</f>
        <v>0</v>
      </c>
      <c r="BD82" s="48">
        <f>$I$26*$BD$26</f>
        <v>0</v>
      </c>
    </row>
    <row r="83" spans="1:56" ht="11.25" customHeight="1" x14ac:dyDescent="0.25">
      <c r="A83" s="9" t="s">
        <v>22</v>
      </c>
      <c r="B83" s="9" t="s">
        <v>798</v>
      </c>
      <c r="C83" s="9" t="s">
        <v>799</v>
      </c>
      <c r="D83" s="9" t="s">
        <v>812</v>
      </c>
      <c r="E83" s="9" t="s">
        <v>813</v>
      </c>
      <c r="F83" s="9" t="s">
        <v>814</v>
      </c>
      <c r="G83" s="9" t="s">
        <v>815</v>
      </c>
      <c r="L83" s="48">
        <f>$I$27*$L$27</f>
        <v>0</v>
      </c>
      <c r="M83" s="48">
        <f>$I$27*$M$27</f>
        <v>326.13287468534401</v>
      </c>
      <c r="N83" s="48">
        <f ca="1">$I$27*$N$27</f>
        <v>0</v>
      </c>
      <c r="O83" s="48">
        <f>$I$27*$O$27</f>
        <v>0</v>
      </c>
      <c r="P83" s="48">
        <f>$I$27*$P$27</f>
        <v>0</v>
      </c>
      <c r="Q83" s="48">
        <f>$I$27*$Q$27</f>
        <v>0</v>
      </c>
      <c r="R83" s="48">
        <f>$I$27*$R$27</f>
        <v>0</v>
      </c>
      <c r="S83" s="48">
        <f>$I$27*$S$27</f>
        <v>0</v>
      </c>
      <c r="T83" s="48">
        <f>$I$27*$T$27</f>
        <v>4561.6673656273269</v>
      </c>
      <c r="U83" s="48">
        <f>$I$27*$U$27</f>
        <v>4730.2543168062321</v>
      </c>
      <c r="V83" s="48">
        <f>$I$27*$V$27</f>
        <v>1146.4377332717099</v>
      </c>
      <c r="W83" s="48">
        <f>$I$27*$W$27</f>
        <v>0</v>
      </c>
      <c r="X83" s="48">
        <f>$I$27*$X$27</f>
        <v>33044.123853511875</v>
      </c>
      <c r="Y83" s="48">
        <f>$I$27*$Y$27</f>
        <v>0</v>
      </c>
      <c r="Z83" s="48">
        <f>$I$27*$Z$27</f>
        <v>0</v>
      </c>
      <c r="AA83" s="48">
        <f>$I$27*$AA$27</f>
        <v>30758.0779373031</v>
      </c>
      <c r="AB83" s="48">
        <f ca="1">$I$27*$AB$27</f>
        <v>-368.26107466946263</v>
      </c>
      <c r="AC83" s="48">
        <f ca="1">$I$27*$AC$27</f>
        <v>0</v>
      </c>
      <c r="AD83" s="48">
        <f>$I$27*$AD$27</f>
        <v>6921.87138031626</v>
      </c>
      <c r="AE83" s="48">
        <f>$I$27*$AE$27</f>
        <v>177.89962314461135</v>
      </c>
      <c r="AF83" s="48">
        <f ca="1">$I$27*$AF$27</f>
        <v>0</v>
      </c>
      <c r="AG83" s="48">
        <f ca="1">$I$27*$AG$27</f>
        <v>0</v>
      </c>
      <c r="AI83" s="48">
        <f>$I$27*$AI$27</f>
        <v>0</v>
      </c>
      <c r="AJ83" s="48">
        <f>$I$27*$AJ$27</f>
        <v>421.18803372018442</v>
      </c>
      <c r="AK83" s="48">
        <f>$I$27*$AK$27</f>
        <v>0</v>
      </c>
      <c r="AL83" s="48">
        <f>$I$27*$AL$27</f>
        <v>0</v>
      </c>
      <c r="AM83" s="48">
        <f>$I$27*$AM$27</f>
        <v>0</v>
      </c>
      <c r="AN83" s="48">
        <f>$I$27*$AN$27</f>
        <v>0</v>
      </c>
      <c r="AO83" s="48">
        <f>$I$27*$AO$27</f>
        <v>0</v>
      </c>
      <c r="AP83" s="48">
        <f>$I$27*$AP$27</f>
        <v>0</v>
      </c>
      <c r="AQ83" s="48">
        <f>$I$27*$AQ$27</f>
        <v>4018.417636951719</v>
      </c>
      <c r="AR83" s="48">
        <f>$I$27*$AR$27</f>
        <v>3266.5379677212154</v>
      </c>
      <c r="AS83" s="48">
        <f>$I$27*$AS$27</f>
        <v>245.79448027747651</v>
      </c>
      <c r="AT83" s="48">
        <f>$I$27*$AT$27</f>
        <v>0</v>
      </c>
      <c r="AU83" s="48">
        <f>$I$27*$AU$27</f>
        <v>32672.750023371216</v>
      </c>
      <c r="AV83" s="48">
        <f>$I$27*$AV$27</f>
        <v>0</v>
      </c>
      <c r="AW83" s="48">
        <f>$I$27*$AW$27</f>
        <v>0</v>
      </c>
      <c r="AX83" s="48">
        <f>$I$27*$AX$27</f>
        <v>39012.065852080377</v>
      </c>
      <c r="AY83" s="48">
        <f>$I$27*$AY$27</f>
        <v>-1833.9940020059819</v>
      </c>
      <c r="AZ83" s="48">
        <f>$I$27*$AZ$27</f>
        <v>0</v>
      </c>
      <c r="BA83" s="48">
        <f>$I$27*$BA$27</f>
        <v>7579.0832655868498</v>
      </c>
      <c r="BB83" s="48">
        <f>$I$27*$BB$27</f>
        <v>213.47944290465773</v>
      </c>
      <c r="BC83" s="48">
        <f>$I$27*$BC$27</f>
        <v>0</v>
      </c>
      <c r="BD83" s="48">
        <f>$I$27*$BD$27</f>
        <v>0</v>
      </c>
    </row>
    <row r="84" spans="1:56" ht="11.25" customHeight="1" x14ac:dyDescent="0.25">
      <c r="A84" s="9" t="s">
        <v>22</v>
      </c>
      <c r="B84" s="9" t="s">
        <v>798</v>
      </c>
      <c r="C84" s="9" t="s">
        <v>799</v>
      </c>
      <c r="D84" s="9" t="s">
        <v>816</v>
      </c>
      <c r="E84" s="9" t="s">
        <v>817</v>
      </c>
      <c r="F84" s="9" t="s">
        <v>818</v>
      </c>
      <c r="G84" s="9" t="s">
        <v>819</v>
      </c>
      <c r="L84" s="48">
        <f>$I$28*$L$28</f>
        <v>0</v>
      </c>
      <c r="M84" s="48">
        <f>$I$28*$M$28</f>
        <v>237.42449694234247</v>
      </c>
      <c r="N84" s="48">
        <f ca="1">$I$28*$N$28</f>
        <v>0</v>
      </c>
      <c r="O84" s="48">
        <f>$I$28*$O$28</f>
        <v>0</v>
      </c>
      <c r="P84" s="48">
        <f>$I$28*$P$28</f>
        <v>0</v>
      </c>
      <c r="Q84" s="48">
        <f>$I$28*$Q$28</f>
        <v>0</v>
      </c>
      <c r="R84" s="48">
        <f>$I$28*$R$28</f>
        <v>0</v>
      </c>
      <c r="S84" s="48">
        <f>$I$28*$S$28</f>
        <v>0</v>
      </c>
      <c r="T84" s="48">
        <f>$I$28*$T$28</f>
        <v>3320.8905436083587</v>
      </c>
      <c r="U84" s="48">
        <f>$I$28*$U$28</f>
        <v>3443.621722160392</v>
      </c>
      <c r="V84" s="48">
        <f>$I$28*$V$28</f>
        <v>834.60584082597904</v>
      </c>
      <c r="W84" s="48">
        <f>$I$28*$W$28</f>
        <v>0</v>
      </c>
      <c r="X84" s="48">
        <f>$I$28*$X$28</f>
        <v>24056.098270957544</v>
      </c>
      <c r="Y84" s="48">
        <f>$I$28*$Y$28</f>
        <v>0</v>
      </c>
      <c r="Z84" s="48">
        <f>$I$28*$Z$28</f>
        <v>0</v>
      </c>
      <c r="AA84" s="48">
        <f>$I$28*$AA$28</f>
        <v>22391.858497010715</v>
      </c>
      <c r="AB84" s="48">
        <f ca="1">$I$28*$AB$28</f>
        <v>-268.09379606763321</v>
      </c>
      <c r="AC84" s="48">
        <f ca="1">$I$28*$AC$28</f>
        <v>0</v>
      </c>
      <c r="AD84" s="48">
        <f>$I$28*$AD$28</f>
        <v>5039.1173596245835</v>
      </c>
      <c r="AE84" s="48">
        <f>$I$28*$AE$28</f>
        <v>129.51079700901974</v>
      </c>
      <c r="AF84" s="48">
        <f ca="1">$I$28*$AF$28</f>
        <v>0</v>
      </c>
      <c r="AG84" s="48">
        <f ca="1">$I$28*$AG$28</f>
        <v>0</v>
      </c>
      <c r="AI84" s="48">
        <f>$I$28*$AI$28</f>
        <v>0</v>
      </c>
      <c r="AJ84" s="48">
        <f>$I$28*$AJ$28</f>
        <v>306.62458398476457</v>
      </c>
      <c r="AK84" s="48">
        <f>$I$28*$AK$28</f>
        <v>0</v>
      </c>
      <c r="AL84" s="48">
        <f>$I$28*$AL$28</f>
        <v>0</v>
      </c>
      <c r="AM84" s="48">
        <f>$I$28*$AM$28</f>
        <v>0</v>
      </c>
      <c r="AN84" s="48">
        <f>$I$28*$AN$28</f>
        <v>0</v>
      </c>
      <c r="AO84" s="48">
        <f>$I$28*$AO$28</f>
        <v>0</v>
      </c>
      <c r="AP84" s="48">
        <f>$I$28*$AP$28</f>
        <v>0</v>
      </c>
      <c r="AQ84" s="48">
        <f>$I$28*$AQ$28</f>
        <v>2925.4051339595708</v>
      </c>
      <c r="AR84" s="48">
        <f>$I$28*$AR$28</f>
        <v>2378.0372784483488</v>
      </c>
      <c r="AS84" s="48">
        <f>$I$28*$AS$28</f>
        <v>178.93820390657774</v>
      </c>
      <c r="AT84" s="48">
        <f>$I$28*$AT$28</f>
        <v>0</v>
      </c>
      <c r="AU84" s="48">
        <f>$I$28*$AU$28</f>
        <v>23785.738391157753</v>
      </c>
      <c r="AV84" s="48">
        <f>$I$28*$AV$28</f>
        <v>0</v>
      </c>
      <c r="AW84" s="48">
        <f>$I$28*$AW$28</f>
        <v>0</v>
      </c>
      <c r="AX84" s="48">
        <f>$I$28*$AX$28</f>
        <v>28400.755730461642</v>
      </c>
      <c r="AY84" s="48">
        <f>$I$28*$AY$28</f>
        <v>-1335.1463072885736</v>
      </c>
      <c r="AZ84" s="48">
        <f>$I$28*$AZ$28</f>
        <v>0</v>
      </c>
      <c r="BA84" s="48">
        <f>$I$28*$BA$28</f>
        <v>5517.567136867804</v>
      </c>
      <c r="BB84" s="48">
        <f>$I$28*$BB$28</f>
        <v>155.4128800663577</v>
      </c>
      <c r="BC84" s="48">
        <f>$I$28*$BC$28</f>
        <v>0</v>
      </c>
      <c r="BD84" s="48">
        <f>$I$28*$BD$28</f>
        <v>0</v>
      </c>
    </row>
    <row r="85" spans="1:56" ht="11.25" customHeight="1" x14ac:dyDescent="0.25">
      <c r="A85" s="9" t="s">
        <v>22</v>
      </c>
      <c r="B85" s="9" t="s">
        <v>820</v>
      </c>
      <c r="C85" s="9" t="s">
        <v>821</v>
      </c>
      <c r="D85" s="9" t="s">
        <v>822</v>
      </c>
      <c r="E85" s="9" t="s">
        <v>823</v>
      </c>
      <c r="F85" s="9" t="s">
        <v>824</v>
      </c>
      <c r="G85" s="9" t="s">
        <v>825</v>
      </c>
      <c r="L85" s="48">
        <f>$I$29*$L$29</f>
        <v>0</v>
      </c>
      <c r="M85" s="48">
        <f>$I$29*$M$29</f>
        <v>0</v>
      </c>
      <c r="N85" s="48">
        <f ca="1">$I$29*$N$29</f>
        <v>0</v>
      </c>
      <c r="O85" s="48">
        <f>$I$29*$O$29</f>
        <v>0</v>
      </c>
      <c r="P85" s="48">
        <f>$I$29*$P$29</f>
        <v>0</v>
      </c>
      <c r="Q85" s="48">
        <f>$I$29*$Q$29</f>
        <v>0</v>
      </c>
      <c r="R85" s="48">
        <f>$I$29*$R$29</f>
        <v>0</v>
      </c>
      <c r="S85" s="48">
        <f>$I$29*$S$29</f>
        <v>0</v>
      </c>
      <c r="T85" s="48">
        <f>$I$29*$T$29</f>
        <v>0</v>
      </c>
      <c r="U85" s="48">
        <f>$I$29*$U$29</f>
        <v>0</v>
      </c>
      <c r="V85" s="48">
        <f>$I$29*$V$29</f>
        <v>0</v>
      </c>
      <c r="W85" s="48">
        <f>$I$29*$W$29</f>
        <v>0</v>
      </c>
      <c r="X85" s="48">
        <f>$I$29*$X$29</f>
        <v>0</v>
      </c>
      <c r="Y85" s="48">
        <f>$I$29*$Y$29</f>
        <v>0</v>
      </c>
      <c r="Z85" s="48">
        <f>$I$29*$Z$29</f>
        <v>0</v>
      </c>
      <c r="AA85" s="48">
        <f>$I$29*$AA$29</f>
        <v>0</v>
      </c>
      <c r="AB85" s="48">
        <f ca="1">$I$29*$AB$29</f>
        <v>0</v>
      </c>
      <c r="AC85" s="48">
        <f ca="1">$I$29*$AC$29</f>
        <v>0</v>
      </c>
      <c r="AD85" s="48">
        <f>$I$29*$AD$29</f>
        <v>0</v>
      </c>
      <c r="AE85" s="48">
        <f>$I$29*$AE$29</f>
        <v>0</v>
      </c>
      <c r="AF85" s="48">
        <f ca="1">$I$29*$AF$29</f>
        <v>0</v>
      </c>
      <c r="AG85" s="48">
        <f ca="1">$I$29*$AG$29</f>
        <v>0</v>
      </c>
      <c r="AI85" s="48">
        <f>$I$29*$AI$29</f>
        <v>0</v>
      </c>
      <c r="AJ85" s="48">
        <f>$I$29*$AJ$29</f>
        <v>0</v>
      </c>
      <c r="AK85" s="48">
        <f>$I$29*$AK$29</f>
        <v>0</v>
      </c>
      <c r="AL85" s="48">
        <f>$I$29*$AL$29</f>
        <v>0</v>
      </c>
      <c r="AM85" s="48">
        <f>$I$29*$AM$29</f>
        <v>0</v>
      </c>
      <c r="AN85" s="48">
        <f>$I$29*$AN$29</f>
        <v>0</v>
      </c>
      <c r="AO85" s="48">
        <f>$I$29*$AO$29</f>
        <v>0</v>
      </c>
      <c r="AP85" s="48">
        <f>$I$29*$AP$29</f>
        <v>0</v>
      </c>
      <c r="AQ85" s="48">
        <f>$I$29*$AQ$29</f>
        <v>0</v>
      </c>
      <c r="AR85" s="48">
        <f>$I$29*$AR$29</f>
        <v>0</v>
      </c>
      <c r="AS85" s="48">
        <f>$I$29*$AS$29</f>
        <v>0</v>
      </c>
      <c r="AT85" s="48">
        <f>$I$29*$AT$29</f>
        <v>0</v>
      </c>
      <c r="AU85" s="48">
        <f>$I$29*$AU$29</f>
        <v>0</v>
      </c>
      <c r="AV85" s="48">
        <f>$I$29*$AV$29</f>
        <v>0</v>
      </c>
      <c r="AW85" s="48">
        <f>$I$29*$AW$29</f>
        <v>0</v>
      </c>
      <c r="AX85" s="48">
        <f>$I$29*$AX$29</f>
        <v>0</v>
      </c>
      <c r="AY85" s="48">
        <f>$I$29*$AY$29</f>
        <v>0</v>
      </c>
      <c r="AZ85" s="48">
        <f>$I$29*$AZ$29</f>
        <v>0</v>
      </c>
      <c r="BA85" s="48">
        <f>$I$29*$BA$29</f>
        <v>0</v>
      </c>
      <c r="BB85" s="48">
        <f>$I$29*$BB$29</f>
        <v>0</v>
      </c>
      <c r="BC85" s="48">
        <f>$I$29*$BC$29</f>
        <v>0</v>
      </c>
      <c r="BD85" s="48">
        <f>$I$29*$BD$29</f>
        <v>0</v>
      </c>
    </row>
    <row r="86" spans="1:56" ht="11.25" customHeight="1" x14ac:dyDescent="0.25">
      <c r="A86" s="9" t="s">
        <v>22</v>
      </c>
      <c r="B86" s="9" t="s">
        <v>820</v>
      </c>
      <c r="C86" s="9" t="s">
        <v>821</v>
      </c>
      <c r="D86" s="9" t="s">
        <v>826</v>
      </c>
      <c r="E86" s="9" t="s">
        <v>827</v>
      </c>
      <c r="F86" s="9" t="s">
        <v>828</v>
      </c>
      <c r="G86" s="9" t="s">
        <v>829</v>
      </c>
      <c r="L86" s="48">
        <f>$I$30*$L$30</f>
        <v>0</v>
      </c>
      <c r="M86" s="48">
        <f>$I$30*$M$30</f>
        <v>0</v>
      </c>
      <c r="N86" s="48">
        <f ca="1">$I$30*$N$30</f>
        <v>0</v>
      </c>
      <c r="O86" s="48">
        <f>$I$30*$O$30</f>
        <v>0</v>
      </c>
      <c r="P86" s="48">
        <f>$I$30*$P$30</f>
        <v>0</v>
      </c>
      <c r="Q86" s="48">
        <f>$I$30*$Q$30</f>
        <v>0</v>
      </c>
      <c r="R86" s="48">
        <f>$I$30*$R$30</f>
        <v>0</v>
      </c>
      <c r="S86" s="48">
        <f>$I$30*$S$30</f>
        <v>0</v>
      </c>
      <c r="T86" s="48">
        <f>$I$30*$T$30</f>
        <v>0</v>
      </c>
      <c r="U86" s="48">
        <f>$I$30*$U$30</f>
        <v>0</v>
      </c>
      <c r="V86" s="48">
        <f>$I$30*$V$30</f>
        <v>0</v>
      </c>
      <c r="W86" s="48">
        <f>$I$30*$W$30</f>
        <v>0</v>
      </c>
      <c r="X86" s="48">
        <f>$I$30*$X$30</f>
        <v>0</v>
      </c>
      <c r="Y86" s="48">
        <f>$I$30*$Y$30</f>
        <v>0</v>
      </c>
      <c r="Z86" s="48">
        <f>$I$30*$Z$30</f>
        <v>0</v>
      </c>
      <c r="AA86" s="48">
        <f>$I$30*$AA$30</f>
        <v>0</v>
      </c>
      <c r="AB86" s="48">
        <f ca="1">$I$30*$AB$30</f>
        <v>0</v>
      </c>
      <c r="AC86" s="48">
        <f ca="1">$I$30*$AC$30</f>
        <v>0</v>
      </c>
      <c r="AD86" s="48">
        <f>$I$30*$AD$30</f>
        <v>0</v>
      </c>
      <c r="AE86" s="48">
        <f>$I$30*$AE$30</f>
        <v>0</v>
      </c>
      <c r="AF86" s="48">
        <f ca="1">$I$30*$AF$30</f>
        <v>0</v>
      </c>
      <c r="AG86" s="48">
        <f ca="1">$I$30*$AG$30</f>
        <v>0</v>
      </c>
      <c r="AI86" s="48">
        <f>$I$30*$AI$30</f>
        <v>0</v>
      </c>
      <c r="AJ86" s="48">
        <f>$I$30*$AJ$30</f>
        <v>0</v>
      </c>
      <c r="AK86" s="48">
        <f>$I$30*$AK$30</f>
        <v>0</v>
      </c>
      <c r="AL86" s="48">
        <f>$I$30*$AL$30</f>
        <v>0</v>
      </c>
      <c r="AM86" s="48">
        <f>$I$30*$AM$30</f>
        <v>0</v>
      </c>
      <c r="AN86" s="48">
        <f>$I$30*$AN$30</f>
        <v>0</v>
      </c>
      <c r="AO86" s="48">
        <f>$I$30*$AO$30</f>
        <v>0</v>
      </c>
      <c r="AP86" s="48">
        <f>$I$30*$AP$30</f>
        <v>0</v>
      </c>
      <c r="AQ86" s="48">
        <f>$I$30*$AQ$30</f>
        <v>0</v>
      </c>
      <c r="AR86" s="48">
        <f>$I$30*$AR$30</f>
        <v>0</v>
      </c>
      <c r="AS86" s="48">
        <f>$I$30*$AS$30</f>
        <v>0</v>
      </c>
      <c r="AT86" s="48">
        <f>$I$30*$AT$30</f>
        <v>0</v>
      </c>
      <c r="AU86" s="48">
        <f>$I$30*$AU$30</f>
        <v>0</v>
      </c>
      <c r="AV86" s="48">
        <f>$I$30*$AV$30</f>
        <v>0</v>
      </c>
      <c r="AW86" s="48">
        <f>$I$30*$AW$30</f>
        <v>0</v>
      </c>
      <c r="AX86" s="48">
        <f>$I$30*$AX$30</f>
        <v>0</v>
      </c>
      <c r="AY86" s="48">
        <f>$I$30*$AY$30</f>
        <v>0</v>
      </c>
      <c r="AZ86" s="48">
        <f>$I$30*$AZ$30</f>
        <v>0</v>
      </c>
      <c r="BA86" s="48">
        <f>$I$30*$BA$30</f>
        <v>0</v>
      </c>
      <c r="BB86" s="48">
        <f>$I$30*$BB$30</f>
        <v>0</v>
      </c>
      <c r="BC86" s="48">
        <f>$I$30*$BC$30</f>
        <v>0</v>
      </c>
      <c r="BD86" s="48">
        <f>$I$30*$BD$30</f>
        <v>0</v>
      </c>
    </row>
    <row r="87" spans="1:56" ht="11.25" customHeight="1" x14ac:dyDescent="0.25">
      <c r="A87" s="9" t="s">
        <v>22</v>
      </c>
      <c r="B87" s="9" t="s">
        <v>820</v>
      </c>
      <c r="C87" s="9" t="s">
        <v>821</v>
      </c>
      <c r="D87" s="9" t="s">
        <v>830</v>
      </c>
      <c r="E87" s="9" t="s">
        <v>831</v>
      </c>
      <c r="F87" s="9" t="s">
        <v>832</v>
      </c>
      <c r="G87" s="9" t="s">
        <v>833</v>
      </c>
      <c r="L87" s="48">
        <f>$I$31*$L$31</f>
        <v>0</v>
      </c>
      <c r="M87" s="48">
        <f>$I$31*$M$31</f>
        <v>0</v>
      </c>
      <c r="N87" s="48">
        <f ca="1">$I$31*$N$31</f>
        <v>0</v>
      </c>
      <c r="O87" s="48">
        <f>$I$31*$O$31</f>
        <v>0</v>
      </c>
      <c r="P87" s="48">
        <f>$I$31*$P$31</f>
        <v>0</v>
      </c>
      <c r="Q87" s="48">
        <f>$I$31*$Q$31</f>
        <v>0</v>
      </c>
      <c r="R87" s="48">
        <f>$I$31*$R$31</f>
        <v>0</v>
      </c>
      <c r="S87" s="48">
        <f>$I$31*$S$31</f>
        <v>0</v>
      </c>
      <c r="T87" s="48">
        <f>$I$31*$T$31</f>
        <v>0</v>
      </c>
      <c r="U87" s="48">
        <f>$I$31*$U$31</f>
        <v>0</v>
      </c>
      <c r="V87" s="48">
        <f>$I$31*$V$31</f>
        <v>0</v>
      </c>
      <c r="W87" s="48">
        <f>$I$31*$W$31</f>
        <v>0</v>
      </c>
      <c r="X87" s="48">
        <f>$I$31*$X$31</f>
        <v>0</v>
      </c>
      <c r="Y87" s="48">
        <f>$I$31*$Y$31</f>
        <v>0</v>
      </c>
      <c r="Z87" s="48">
        <f>$I$31*$Z$31</f>
        <v>0</v>
      </c>
      <c r="AA87" s="48">
        <f>$I$31*$AA$31</f>
        <v>0</v>
      </c>
      <c r="AB87" s="48">
        <f ca="1">$I$31*$AB$31</f>
        <v>0</v>
      </c>
      <c r="AC87" s="48">
        <f ca="1">$I$31*$AC$31</f>
        <v>0</v>
      </c>
      <c r="AD87" s="48">
        <f>$I$31*$AD$31</f>
        <v>0</v>
      </c>
      <c r="AE87" s="48">
        <f>$I$31*$AE$31</f>
        <v>0</v>
      </c>
      <c r="AF87" s="48">
        <f ca="1">$I$31*$AF$31</f>
        <v>0</v>
      </c>
      <c r="AG87" s="48">
        <f ca="1">$I$31*$AG$31</f>
        <v>0</v>
      </c>
      <c r="AI87" s="48">
        <f>$I$31*$AI$31</f>
        <v>0</v>
      </c>
      <c r="AJ87" s="48">
        <f>$I$31*$AJ$31</f>
        <v>0</v>
      </c>
      <c r="AK87" s="48">
        <f>$I$31*$AK$31</f>
        <v>0</v>
      </c>
      <c r="AL87" s="48">
        <f>$I$31*$AL$31</f>
        <v>0</v>
      </c>
      <c r="AM87" s="48">
        <f>$I$31*$AM$31</f>
        <v>0</v>
      </c>
      <c r="AN87" s="48">
        <f>$I$31*$AN$31</f>
        <v>0</v>
      </c>
      <c r="AO87" s="48">
        <f>$I$31*$AO$31</f>
        <v>0</v>
      </c>
      <c r="AP87" s="48">
        <f>$I$31*$AP$31</f>
        <v>0</v>
      </c>
      <c r="AQ87" s="48">
        <f>$I$31*$AQ$31</f>
        <v>0</v>
      </c>
      <c r="AR87" s="48">
        <f>$I$31*$AR$31</f>
        <v>0</v>
      </c>
      <c r="AS87" s="48">
        <f>$I$31*$AS$31</f>
        <v>0</v>
      </c>
      <c r="AT87" s="48">
        <f>$I$31*$AT$31</f>
        <v>0</v>
      </c>
      <c r="AU87" s="48">
        <f>$I$31*$AU$31</f>
        <v>0</v>
      </c>
      <c r="AV87" s="48">
        <f>$I$31*$AV$31</f>
        <v>0</v>
      </c>
      <c r="AW87" s="48">
        <f>$I$31*$AW$31</f>
        <v>0</v>
      </c>
      <c r="AX87" s="48">
        <f>$I$31*$AX$31</f>
        <v>0</v>
      </c>
      <c r="AY87" s="48">
        <f>$I$31*$AY$31</f>
        <v>0</v>
      </c>
      <c r="AZ87" s="48">
        <f>$I$31*$AZ$31</f>
        <v>0</v>
      </c>
      <c r="BA87" s="48">
        <f>$I$31*$BA$31</f>
        <v>0</v>
      </c>
      <c r="BB87" s="48">
        <f>$I$31*$BB$31</f>
        <v>0</v>
      </c>
      <c r="BC87" s="48">
        <f>$I$31*$BC$31</f>
        <v>0</v>
      </c>
      <c r="BD87" s="48">
        <f>$I$31*$BD$31</f>
        <v>0</v>
      </c>
    </row>
    <row r="88" spans="1:56" ht="11.25" customHeight="1" x14ac:dyDescent="0.25">
      <c r="A88" s="9" t="s">
        <v>22</v>
      </c>
      <c r="B88" s="9" t="s">
        <v>820</v>
      </c>
      <c r="C88" s="9" t="s">
        <v>821</v>
      </c>
      <c r="D88" s="9" t="s">
        <v>834</v>
      </c>
      <c r="E88" s="9" t="s">
        <v>835</v>
      </c>
      <c r="F88" s="9" t="s">
        <v>836</v>
      </c>
      <c r="G88" s="9" t="s">
        <v>837</v>
      </c>
      <c r="L88" s="48">
        <f>$I$32*$L$32</f>
        <v>0</v>
      </c>
      <c r="M88" s="48">
        <f>$I$32*$M$32</f>
        <v>0</v>
      </c>
      <c r="N88" s="48">
        <f ca="1">$I$32*$N$32</f>
        <v>0</v>
      </c>
      <c r="O88" s="48">
        <f>$I$32*$O$32</f>
        <v>0</v>
      </c>
      <c r="P88" s="48">
        <f>$I$32*$P$32</f>
        <v>0</v>
      </c>
      <c r="Q88" s="48">
        <f>$I$32*$Q$32</f>
        <v>0</v>
      </c>
      <c r="R88" s="48">
        <f>$I$32*$R$32</f>
        <v>0</v>
      </c>
      <c r="S88" s="48">
        <f>$I$32*$S$32</f>
        <v>0</v>
      </c>
      <c r="T88" s="48">
        <f>$I$32*$T$32</f>
        <v>0</v>
      </c>
      <c r="U88" s="48">
        <f>$I$32*$U$32</f>
        <v>0</v>
      </c>
      <c r="V88" s="48">
        <f>$I$32*$V$32</f>
        <v>0</v>
      </c>
      <c r="W88" s="48">
        <f>$I$32*$W$32</f>
        <v>0</v>
      </c>
      <c r="X88" s="48">
        <f>$I$32*$X$32</f>
        <v>0</v>
      </c>
      <c r="Y88" s="48">
        <f>$I$32*$Y$32</f>
        <v>0</v>
      </c>
      <c r="Z88" s="48">
        <f>$I$32*$Z$32</f>
        <v>0</v>
      </c>
      <c r="AA88" s="48">
        <f>$I$32*$AA$32</f>
        <v>0</v>
      </c>
      <c r="AB88" s="48">
        <f ca="1">$I$32*$AB$32</f>
        <v>0</v>
      </c>
      <c r="AC88" s="48">
        <f ca="1">$I$32*$AC$32</f>
        <v>0</v>
      </c>
      <c r="AD88" s="48">
        <f>$I$32*$AD$32</f>
        <v>0</v>
      </c>
      <c r="AE88" s="48">
        <f>$I$32*$AE$32</f>
        <v>0</v>
      </c>
      <c r="AF88" s="48">
        <f ca="1">$I$32*$AF$32</f>
        <v>0</v>
      </c>
      <c r="AG88" s="48">
        <f ca="1">$I$32*$AG$32</f>
        <v>0</v>
      </c>
      <c r="AI88" s="48">
        <f>$I$32*$AI$32</f>
        <v>0</v>
      </c>
      <c r="AJ88" s="48">
        <f>$I$32*$AJ$32</f>
        <v>0</v>
      </c>
      <c r="AK88" s="48">
        <f>$I$32*$AK$32</f>
        <v>0</v>
      </c>
      <c r="AL88" s="48">
        <f>$I$32*$AL$32</f>
        <v>0</v>
      </c>
      <c r="AM88" s="48">
        <f>$I$32*$AM$32</f>
        <v>0</v>
      </c>
      <c r="AN88" s="48">
        <f>$I$32*$AN$32</f>
        <v>0</v>
      </c>
      <c r="AO88" s="48">
        <f>$I$32*$AO$32</f>
        <v>0</v>
      </c>
      <c r="AP88" s="48">
        <f>$I$32*$AP$32</f>
        <v>0</v>
      </c>
      <c r="AQ88" s="48">
        <f>$I$32*$AQ$32</f>
        <v>0</v>
      </c>
      <c r="AR88" s="48">
        <f>$I$32*$AR$32</f>
        <v>0</v>
      </c>
      <c r="AS88" s="48">
        <f>$I$32*$AS$32</f>
        <v>0</v>
      </c>
      <c r="AT88" s="48">
        <f>$I$32*$AT$32</f>
        <v>0</v>
      </c>
      <c r="AU88" s="48">
        <f>$I$32*$AU$32</f>
        <v>0</v>
      </c>
      <c r="AV88" s="48">
        <f>$I$32*$AV$32</f>
        <v>0</v>
      </c>
      <c r="AW88" s="48">
        <f>$I$32*$AW$32</f>
        <v>0</v>
      </c>
      <c r="AX88" s="48">
        <f>$I$32*$AX$32</f>
        <v>0</v>
      </c>
      <c r="AY88" s="48">
        <f>$I$32*$AY$32</f>
        <v>0</v>
      </c>
      <c r="AZ88" s="48">
        <f>$I$32*$AZ$32</f>
        <v>0</v>
      </c>
      <c r="BA88" s="48">
        <f>$I$32*$BA$32</f>
        <v>0</v>
      </c>
      <c r="BB88" s="48">
        <f>$I$32*$BB$32</f>
        <v>0</v>
      </c>
      <c r="BC88" s="48">
        <f>$I$32*$BC$32</f>
        <v>0</v>
      </c>
      <c r="BD88" s="48">
        <f>$I$32*$BD$32</f>
        <v>0</v>
      </c>
    </row>
    <row r="89" spans="1:56" ht="11.25" customHeight="1" x14ac:dyDescent="0.25">
      <c r="A89" s="9" t="s">
        <v>22</v>
      </c>
      <c r="B89" s="9" t="s">
        <v>820</v>
      </c>
      <c r="C89" s="9" t="s">
        <v>821</v>
      </c>
      <c r="D89" s="9" t="s">
        <v>838</v>
      </c>
      <c r="E89" s="9" t="s">
        <v>839</v>
      </c>
      <c r="F89" s="9" t="s">
        <v>840</v>
      </c>
      <c r="G89" s="9" t="s">
        <v>841</v>
      </c>
      <c r="L89" s="48">
        <f>$I$33*$L$33</f>
        <v>0</v>
      </c>
      <c r="M89" s="48">
        <f>$I$33*$M$33</f>
        <v>0</v>
      </c>
      <c r="N89" s="48">
        <f ca="1">$I$33*$N$33</f>
        <v>0</v>
      </c>
      <c r="O89" s="48">
        <f>$I$33*$O$33</f>
        <v>0</v>
      </c>
      <c r="P89" s="48">
        <f>$I$33*$P$33</f>
        <v>0</v>
      </c>
      <c r="Q89" s="48">
        <f>$I$33*$Q$33</f>
        <v>0</v>
      </c>
      <c r="R89" s="48">
        <f>$I$33*$R$33</f>
        <v>0</v>
      </c>
      <c r="S89" s="48">
        <f>$I$33*$S$33</f>
        <v>0</v>
      </c>
      <c r="T89" s="48">
        <f>$I$33*$T$33</f>
        <v>0</v>
      </c>
      <c r="U89" s="48">
        <f>$I$33*$U$33</f>
        <v>0</v>
      </c>
      <c r="V89" s="48">
        <f>$I$33*$V$33</f>
        <v>0</v>
      </c>
      <c r="W89" s="48">
        <f>$I$33*$W$33</f>
        <v>0</v>
      </c>
      <c r="X89" s="48">
        <f>$I$33*$X$33</f>
        <v>0</v>
      </c>
      <c r="Y89" s="48">
        <f>$I$33*$Y$33</f>
        <v>0</v>
      </c>
      <c r="Z89" s="48">
        <f>$I$33*$Z$33</f>
        <v>0</v>
      </c>
      <c r="AA89" s="48">
        <f>$I$33*$AA$33</f>
        <v>0</v>
      </c>
      <c r="AB89" s="48">
        <f ca="1">$I$33*$AB$33</f>
        <v>0</v>
      </c>
      <c r="AC89" s="48">
        <f ca="1">$I$33*$AC$33</f>
        <v>0</v>
      </c>
      <c r="AD89" s="48">
        <f>$I$33*$AD$33</f>
        <v>0</v>
      </c>
      <c r="AE89" s="48">
        <f>$I$33*$AE$33</f>
        <v>0</v>
      </c>
      <c r="AF89" s="48">
        <f ca="1">$I$33*$AF$33</f>
        <v>0</v>
      </c>
      <c r="AG89" s="48">
        <f ca="1">$I$33*$AG$33</f>
        <v>0</v>
      </c>
      <c r="AI89" s="48">
        <f>$I$33*$AI$33</f>
        <v>0</v>
      </c>
      <c r="AJ89" s="48">
        <f>$I$33*$AJ$33</f>
        <v>0</v>
      </c>
      <c r="AK89" s="48">
        <f>$I$33*$AK$33</f>
        <v>0</v>
      </c>
      <c r="AL89" s="48">
        <f>$I$33*$AL$33</f>
        <v>0</v>
      </c>
      <c r="AM89" s="48">
        <f>$I$33*$AM$33</f>
        <v>0</v>
      </c>
      <c r="AN89" s="48">
        <f>$I$33*$AN$33</f>
        <v>0</v>
      </c>
      <c r="AO89" s="48">
        <f>$I$33*$AO$33</f>
        <v>0</v>
      </c>
      <c r="AP89" s="48">
        <f>$I$33*$AP$33</f>
        <v>0</v>
      </c>
      <c r="AQ89" s="48">
        <f>$I$33*$AQ$33</f>
        <v>0</v>
      </c>
      <c r="AR89" s="48">
        <f>$I$33*$AR$33</f>
        <v>0</v>
      </c>
      <c r="AS89" s="48">
        <f>$I$33*$AS$33</f>
        <v>0</v>
      </c>
      <c r="AT89" s="48">
        <f>$I$33*$AT$33</f>
        <v>0</v>
      </c>
      <c r="AU89" s="48">
        <f>$I$33*$AU$33</f>
        <v>0</v>
      </c>
      <c r="AV89" s="48">
        <f>$I$33*$AV$33</f>
        <v>0</v>
      </c>
      <c r="AW89" s="48">
        <f>$I$33*$AW$33</f>
        <v>0</v>
      </c>
      <c r="AX89" s="48">
        <f>$I$33*$AX$33</f>
        <v>0</v>
      </c>
      <c r="AY89" s="48">
        <f>$I$33*$AY$33</f>
        <v>0</v>
      </c>
      <c r="AZ89" s="48">
        <f>$I$33*$AZ$33</f>
        <v>0</v>
      </c>
      <c r="BA89" s="48">
        <f>$I$33*$BA$33</f>
        <v>0</v>
      </c>
      <c r="BB89" s="48">
        <f>$I$33*$BB$33</f>
        <v>0</v>
      </c>
      <c r="BC89" s="48">
        <f>$I$33*$BC$33</f>
        <v>0</v>
      </c>
      <c r="BD89" s="48">
        <f>$I$33*$BD$33</f>
        <v>0</v>
      </c>
    </row>
    <row r="90" spans="1:56" ht="11.25" customHeight="1" x14ac:dyDescent="0.25">
      <c r="A90" s="9" t="s">
        <v>41</v>
      </c>
      <c r="B90" s="9" t="s">
        <v>842</v>
      </c>
      <c r="C90" s="9" t="s">
        <v>843</v>
      </c>
      <c r="D90" s="9" t="s">
        <v>844</v>
      </c>
      <c r="E90" s="9" t="s">
        <v>845</v>
      </c>
      <c r="F90" s="9" t="s">
        <v>846</v>
      </c>
      <c r="G90" s="9" t="s">
        <v>847</v>
      </c>
      <c r="L90" s="48">
        <f>$I$34*$L$34</f>
        <v>0</v>
      </c>
      <c r="M90" s="48">
        <f>$I$34*$M$34</f>
        <v>0</v>
      </c>
      <c r="N90" s="48">
        <f ca="1">$I$34*$N$34</f>
        <v>0</v>
      </c>
      <c r="O90" s="48">
        <f>$I$34*$O$34</f>
        <v>0</v>
      </c>
      <c r="P90" s="48">
        <f>$I$34*$P$34</f>
        <v>0</v>
      </c>
      <c r="Q90" s="48">
        <f>$I$34*$Q$34</f>
        <v>0</v>
      </c>
      <c r="R90" s="48">
        <f>$I$34*$R$34</f>
        <v>0</v>
      </c>
      <c r="S90" s="48">
        <f>$I$34*$S$34</f>
        <v>0</v>
      </c>
      <c r="T90" s="48">
        <f>$I$34*$T$34</f>
        <v>0</v>
      </c>
      <c r="U90" s="48">
        <f>$I$34*$U$34</f>
        <v>0</v>
      </c>
      <c r="V90" s="48">
        <f>$I$34*$V$34</f>
        <v>0</v>
      </c>
      <c r="W90" s="48">
        <f>$I$34*$W$34</f>
        <v>0</v>
      </c>
      <c r="X90" s="48">
        <f>$I$34*$X$34</f>
        <v>0</v>
      </c>
      <c r="Y90" s="48">
        <f>$I$34*$Y$34</f>
        <v>0</v>
      </c>
      <c r="Z90" s="48">
        <f>$I$34*$Z$34</f>
        <v>0</v>
      </c>
      <c r="AA90" s="48">
        <f>$I$34*$AA$34</f>
        <v>0</v>
      </c>
      <c r="AB90" s="48">
        <f ca="1">$I$34*$AB$34</f>
        <v>0</v>
      </c>
      <c r="AC90" s="48">
        <f ca="1">$I$34*$AC$34</f>
        <v>0</v>
      </c>
      <c r="AD90" s="48">
        <f>$I$34*$AD$34</f>
        <v>0</v>
      </c>
      <c r="AE90" s="48">
        <f>$I$34*$AE$34</f>
        <v>0</v>
      </c>
      <c r="AF90" s="48">
        <f ca="1">$I$34*$AF$34</f>
        <v>0</v>
      </c>
      <c r="AG90" s="48">
        <f ca="1">$I$34*$AG$34</f>
        <v>0</v>
      </c>
      <c r="AI90" s="48">
        <f>$I$34*$AI$34</f>
        <v>0</v>
      </c>
      <c r="AJ90" s="48">
        <f>$I$34*$AJ$34</f>
        <v>0</v>
      </c>
      <c r="AK90" s="48">
        <f>$I$34*$AK$34</f>
        <v>0</v>
      </c>
      <c r="AL90" s="48">
        <f>$I$34*$AL$34</f>
        <v>0</v>
      </c>
      <c r="AM90" s="48">
        <f>$I$34*$AM$34</f>
        <v>0</v>
      </c>
      <c r="AN90" s="48">
        <f>$I$34*$AN$34</f>
        <v>0</v>
      </c>
      <c r="AO90" s="48">
        <f>$I$34*$AO$34</f>
        <v>0</v>
      </c>
      <c r="AP90" s="48">
        <f>$I$34*$AP$34</f>
        <v>0</v>
      </c>
      <c r="AQ90" s="48">
        <f>$I$34*$AQ$34</f>
        <v>0</v>
      </c>
      <c r="AR90" s="48">
        <f>$I$34*$AR$34</f>
        <v>0</v>
      </c>
      <c r="AS90" s="48">
        <f>$I$34*$AS$34</f>
        <v>0</v>
      </c>
      <c r="AT90" s="48">
        <f>$I$34*$AT$34</f>
        <v>0</v>
      </c>
      <c r="AU90" s="48">
        <f>$I$34*$AU$34</f>
        <v>0</v>
      </c>
      <c r="AV90" s="48">
        <f>$I$34*$AV$34</f>
        <v>0</v>
      </c>
      <c r="AW90" s="48">
        <f>$I$34*$AW$34</f>
        <v>0</v>
      </c>
      <c r="AX90" s="48">
        <f>$I$34*$AX$34</f>
        <v>0</v>
      </c>
      <c r="AY90" s="48">
        <f>$I$34*$AY$34</f>
        <v>0</v>
      </c>
      <c r="AZ90" s="48">
        <f>$I$34*$AZ$34</f>
        <v>0</v>
      </c>
      <c r="BA90" s="48">
        <f>$I$34*$BA$34</f>
        <v>0</v>
      </c>
      <c r="BB90" s="48">
        <f>$I$34*$BB$34</f>
        <v>0</v>
      </c>
      <c r="BC90" s="48">
        <f>$I$34*$BC$34</f>
        <v>0</v>
      </c>
      <c r="BD90" s="48">
        <f>$I$34*$BD$34</f>
        <v>0</v>
      </c>
    </row>
    <row r="91" spans="1:56" ht="11.25" customHeight="1" x14ac:dyDescent="0.25">
      <c r="A91" s="9" t="s">
        <v>41</v>
      </c>
      <c r="B91" s="9" t="s">
        <v>842</v>
      </c>
      <c r="C91" s="9" t="s">
        <v>843</v>
      </c>
      <c r="D91" s="9" t="s">
        <v>844</v>
      </c>
      <c r="E91" s="9" t="s">
        <v>845</v>
      </c>
      <c r="F91" s="9" t="s">
        <v>846</v>
      </c>
      <c r="G91" s="9" t="s">
        <v>848</v>
      </c>
      <c r="L91" s="48">
        <f>$I$35*$L$35</f>
        <v>0</v>
      </c>
      <c r="M91" s="48">
        <f>$I$35*$M$35</f>
        <v>0</v>
      </c>
      <c r="N91" s="48">
        <f ca="1">$I$35*$N$35</f>
        <v>0</v>
      </c>
      <c r="O91" s="48">
        <f>$I$35*$O$35</f>
        <v>0</v>
      </c>
      <c r="P91" s="48">
        <f>$I$35*$P$35</f>
        <v>0</v>
      </c>
      <c r="Q91" s="48">
        <f>$I$35*$Q$35</f>
        <v>0</v>
      </c>
      <c r="R91" s="48">
        <f>$I$35*$R$35</f>
        <v>0</v>
      </c>
      <c r="S91" s="48">
        <f>$I$35*$S$35</f>
        <v>0</v>
      </c>
      <c r="T91" s="48">
        <f>$I$35*$T$35</f>
        <v>0</v>
      </c>
      <c r="U91" s="48">
        <f>$I$35*$U$35</f>
        <v>0</v>
      </c>
      <c r="V91" s="48">
        <f>$I$35*$V$35</f>
        <v>0</v>
      </c>
      <c r="W91" s="48">
        <f>$I$35*$W$35</f>
        <v>0</v>
      </c>
      <c r="X91" s="48">
        <f>$I$35*$X$35</f>
        <v>0</v>
      </c>
      <c r="Y91" s="48">
        <f>$I$35*$Y$35</f>
        <v>0</v>
      </c>
      <c r="Z91" s="48">
        <f>$I$35*$Z$35</f>
        <v>0</v>
      </c>
      <c r="AA91" s="48">
        <f>$I$35*$AA$35</f>
        <v>0</v>
      </c>
      <c r="AB91" s="48">
        <f ca="1">$I$35*$AB$35</f>
        <v>0</v>
      </c>
      <c r="AC91" s="48">
        <f ca="1">$I$35*$AC$35</f>
        <v>0</v>
      </c>
      <c r="AD91" s="48">
        <f>$I$35*$AD$35</f>
        <v>0</v>
      </c>
      <c r="AE91" s="48">
        <f>$I$35*$AE$35</f>
        <v>0</v>
      </c>
      <c r="AF91" s="48">
        <f ca="1">$I$35*$AF$35</f>
        <v>0</v>
      </c>
      <c r="AG91" s="48">
        <f ca="1">$I$35*$AG$35</f>
        <v>0</v>
      </c>
      <c r="AI91" s="48">
        <f>$I$35*$AI$35</f>
        <v>0</v>
      </c>
      <c r="AJ91" s="48">
        <f>$I$35*$AJ$35</f>
        <v>0</v>
      </c>
      <c r="AK91" s="48">
        <f>$I$35*$AK$35</f>
        <v>0</v>
      </c>
      <c r="AL91" s="48">
        <f>$I$35*$AL$35</f>
        <v>0</v>
      </c>
      <c r="AM91" s="48">
        <f>$I$35*$AM$35</f>
        <v>0</v>
      </c>
      <c r="AN91" s="48">
        <f>$I$35*$AN$35</f>
        <v>0</v>
      </c>
      <c r="AO91" s="48">
        <f>$I$35*$AO$35</f>
        <v>0</v>
      </c>
      <c r="AP91" s="48">
        <f>$I$35*$AP$35</f>
        <v>0</v>
      </c>
      <c r="AQ91" s="48">
        <f>$I$35*$AQ$35</f>
        <v>0</v>
      </c>
      <c r="AR91" s="48">
        <f>$I$35*$AR$35</f>
        <v>0</v>
      </c>
      <c r="AS91" s="48">
        <f>$I$35*$AS$35</f>
        <v>0</v>
      </c>
      <c r="AT91" s="48">
        <f>$I$35*$AT$35</f>
        <v>0</v>
      </c>
      <c r="AU91" s="48">
        <f>$I$35*$AU$35</f>
        <v>0</v>
      </c>
      <c r="AV91" s="48">
        <f>$I$35*$AV$35</f>
        <v>0</v>
      </c>
      <c r="AW91" s="48">
        <f>$I$35*$AW$35</f>
        <v>0</v>
      </c>
      <c r="AX91" s="48">
        <f>$I$35*$AX$35</f>
        <v>0</v>
      </c>
      <c r="AY91" s="48">
        <f>$I$35*$AY$35</f>
        <v>0</v>
      </c>
      <c r="AZ91" s="48">
        <f>$I$35*$AZ$35</f>
        <v>0</v>
      </c>
      <c r="BA91" s="48">
        <f>$I$35*$BA$35</f>
        <v>0</v>
      </c>
      <c r="BB91" s="48">
        <f>$I$35*$BB$35</f>
        <v>0</v>
      </c>
      <c r="BC91" s="48">
        <f>$I$35*$BC$35</f>
        <v>0</v>
      </c>
      <c r="BD91" s="48">
        <f>$I$35*$BD$35</f>
        <v>0</v>
      </c>
    </row>
    <row r="92" spans="1:56" ht="11.25" customHeight="1" x14ac:dyDescent="0.25">
      <c r="A92" s="9" t="s">
        <v>41</v>
      </c>
      <c r="B92" s="9" t="s">
        <v>842</v>
      </c>
      <c r="C92" s="9" t="s">
        <v>843</v>
      </c>
      <c r="D92" s="9" t="s">
        <v>844</v>
      </c>
      <c r="E92" s="9" t="s">
        <v>845</v>
      </c>
      <c r="F92" s="9" t="s">
        <v>846</v>
      </c>
      <c r="G92" s="9" t="s">
        <v>849</v>
      </c>
      <c r="L92" s="48">
        <f>$I$36*$L$36</f>
        <v>0</v>
      </c>
      <c r="M92" s="48">
        <f>$I$36*$M$36</f>
        <v>0</v>
      </c>
      <c r="N92" s="48">
        <f ca="1">$I$36*$N$36</f>
        <v>0</v>
      </c>
      <c r="O92" s="48">
        <f>$I$36*$O$36</f>
        <v>0</v>
      </c>
      <c r="P92" s="48">
        <f>$I$36*$P$36</f>
        <v>0</v>
      </c>
      <c r="Q92" s="48">
        <f>$I$36*$Q$36</f>
        <v>0</v>
      </c>
      <c r="R92" s="48">
        <f>$I$36*$R$36</f>
        <v>0</v>
      </c>
      <c r="S92" s="48">
        <f>$I$36*$S$36</f>
        <v>0</v>
      </c>
      <c r="T92" s="48">
        <f>$I$36*$T$36</f>
        <v>0</v>
      </c>
      <c r="U92" s="48">
        <f>$I$36*$U$36</f>
        <v>0</v>
      </c>
      <c r="V92" s="48">
        <f>$I$36*$V$36</f>
        <v>0</v>
      </c>
      <c r="W92" s="48">
        <f>$I$36*$W$36</f>
        <v>0</v>
      </c>
      <c r="X92" s="48">
        <f>$I$36*$X$36</f>
        <v>0</v>
      </c>
      <c r="Y92" s="48">
        <f>$I$36*$Y$36</f>
        <v>0</v>
      </c>
      <c r="Z92" s="48">
        <f>$I$36*$Z$36</f>
        <v>0</v>
      </c>
      <c r="AA92" s="48">
        <f>$I$36*$AA$36</f>
        <v>0</v>
      </c>
      <c r="AB92" s="48">
        <f ca="1">$I$36*$AB$36</f>
        <v>0</v>
      </c>
      <c r="AC92" s="48">
        <f ca="1">$I$36*$AC$36</f>
        <v>0</v>
      </c>
      <c r="AD92" s="48">
        <f>$I$36*$AD$36</f>
        <v>0</v>
      </c>
      <c r="AE92" s="48">
        <f>$I$36*$AE$36</f>
        <v>0</v>
      </c>
      <c r="AF92" s="48">
        <f ca="1">$I$36*$AF$36</f>
        <v>0</v>
      </c>
      <c r="AG92" s="48">
        <f ca="1">$I$36*$AG$36</f>
        <v>0</v>
      </c>
      <c r="AI92" s="48">
        <f>$I$36*$AI$36</f>
        <v>0</v>
      </c>
      <c r="AJ92" s="48">
        <f>$I$36*$AJ$36</f>
        <v>0</v>
      </c>
      <c r="AK92" s="48">
        <f>$I$36*$AK$36</f>
        <v>0</v>
      </c>
      <c r="AL92" s="48">
        <f>$I$36*$AL$36</f>
        <v>0</v>
      </c>
      <c r="AM92" s="48">
        <f>$I$36*$AM$36</f>
        <v>0</v>
      </c>
      <c r="AN92" s="48">
        <f>$I$36*$AN$36</f>
        <v>0</v>
      </c>
      <c r="AO92" s="48">
        <f>$I$36*$AO$36</f>
        <v>0</v>
      </c>
      <c r="AP92" s="48">
        <f>$I$36*$AP$36</f>
        <v>0</v>
      </c>
      <c r="AQ92" s="48">
        <f>$I$36*$AQ$36</f>
        <v>0</v>
      </c>
      <c r="AR92" s="48">
        <f>$I$36*$AR$36</f>
        <v>0</v>
      </c>
      <c r="AS92" s="48">
        <f>$I$36*$AS$36</f>
        <v>0</v>
      </c>
      <c r="AT92" s="48">
        <f>$I$36*$AT$36</f>
        <v>0</v>
      </c>
      <c r="AU92" s="48">
        <f>$I$36*$AU$36</f>
        <v>0</v>
      </c>
      <c r="AV92" s="48">
        <f>$I$36*$AV$36</f>
        <v>0</v>
      </c>
      <c r="AW92" s="48">
        <f>$I$36*$AW$36</f>
        <v>0</v>
      </c>
      <c r="AX92" s="48">
        <f>$I$36*$AX$36</f>
        <v>0</v>
      </c>
      <c r="AY92" s="48">
        <f>$I$36*$AY$36</f>
        <v>0</v>
      </c>
      <c r="AZ92" s="48">
        <f>$I$36*$AZ$36</f>
        <v>0</v>
      </c>
      <c r="BA92" s="48">
        <f>$I$36*$BA$36</f>
        <v>0</v>
      </c>
      <c r="BB92" s="48">
        <f>$I$36*$BB$36</f>
        <v>0</v>
      </c>
      <c r="BC92" s="48">
        <f>$I$36*$BC$36</f>
        <v>0</v>
      </c>
      <c r="BD92" s="48">
        <f>$I$36*$BD$36</f>
        <v>0</v>
      </c>
    </row>
    <row r="93" spans="1:56" ht="11.25" customHeight="1" x14ac:dyDescent="0.25">
      <c r="A93" s="9" t="s">
        <v>41</v>
      </c>
      <c r="B93" s="9" t="s">
        <v>850</v>
      </c>
      <c r="C93" s="9" t="s">
        <v>851</v>
      </c>
      <c r="D93" s="9" t="s">
        <v>852</v>
      </c>
      <c r="E93" s="9" t="s">
        <v>853</v>
      </c>
      <c r="F93" s="9" t="s">
        <v>854</v>
      </c>
      <c r="G93" s="9" t="s">
        <v>855</v>
      </c>
      <c r="L93" s="48">
        <f>$I$37*$L$37</f>
        <v>0</v>
      </c>
      <c r="M93" s="48">
        <f>$I$37*$M$37</f>
        <v>136699.44109669013</v>
      </c>
      <c r="N93" s="48">
        <f ca="1">$I$37*$N$37</f>
        <v>0</v>
      </c>
      <c r="O93" s="48">
        <f>$I$37*$O$37</f>
        <v>0</v>
      </c>
      <c r="P93" s="48">
        <f>$I$37*$P$37</f>
        <v>0</v>
      </c>
      <c r="Q93" s="48">
        <f>$I$37*$Q$37</f>
        <v>14725398.336264258</v>
      </c>
      <c r="R93" s="48">
        <f>$I$37*$R$37</f>
        <v>2329260.3849550695</v>
      </c>
      <c r="S93" s="48">
        <f>$I$37*$S$37</f>
        <v>0</v>
      </c>
      <c r="T93" s="48">
        <f>$I$37*$T$37</f>
        <v>1912034.7188301689</v>
      </c>
      <c r="U93" s="48">
        <f>$I$37*$U$37</f>
        <v>1982698.3770847565</v>
      </c>
      <c r="V93" s="48">
        <f>$I$37*$V$37</f>
        <v>480532.3521635207</v>
      </c>
      <c r="W93" s="48">
        <f>$I$37*$W$37</f>
        <v>0</v>
      </c>
      <c r="X93" s="48">
        <f>$I$37*$X$37</f>
        <v>13850530.298925038</v>
      </c>
      <c r="Y93" s="48">
        <f>$I$37*$Y$37</f>
        <v>0</v>
      </c>
      <c r="Z93" s="48">
        <f>$I$37*$Z$37</f>
        <v>0</v>
      </c>
      <c r="AA93" s="48">
        <f>$I$37*$AA$37</f>
        <v>12892328.218350934</v>
      </c>
      <c r="AB93" s="48">
        <f ca="1">$I$37*$AB$37</f>
        <v>-207576.91071326705</v>
      </c>
      <c r="AC93" s="48">
        <f ca="1">$I$37*$AC$37</f>
        <v>0</v>
      </c>
      <c r="AD93" s="48">
        <f>$I$37*$AD$37</f>
        <v>2901320.3589037927</v>
      </c>
      <c r="AE93" s="48">
        <f>$I$37*$AE$37</f>
        <v>74567.088885605772</v>
      </c>
      <c r="AF93" s="48">
        <f ca="1">$I$37*$AF$37</f>
        <v>0</v>
      </c>
      <c r="AG93" s="48">
        <f ca="1">$I$37*$AG$37</f>
        <v>0</v>
      </c>
      <c r="AI93" s="48">
        <f>$I$37*$AI$37</f>
        <v>0</v>
      </c>
      <c r="AJ93" s="48">
        <f>$I$37*$AJ$37</f>
        <v>165273.41579262345</v>
      </c>
      <c r="AK93" s="48">
        <f>$I$37*$AK$37</f>
        <v>0</v>
      </c>
      <c r="AL93" s="48">
        <f>$I$37*$AL$37</f>
        <v>0</v>
      </c>
      <c r="AM93" s="48">
        <f>$I$37*$AM$37</f>
        <v>0</v>
      </c>
      <c r="AN93" s="48">
        <f>$I$37*$AN$37</f>
        <v>9723722.2309970632</v>
      </c>
      <c r="AO93" s="48">
        <f>$I$37*$AO$37</f>
        <v>1507926.9997742428</v>
      </c>
      <c r="AP93" s="48">
        <f>$I$37*$AP$37</f>
        <v>0</v>
      </c>
      <c r="AQ93" s="48">
        <f>$I$37*$AQ$37</f>
        <v>1576819.7474042003</v>
      </c>
      <c r="AR93" s="48">
        <f>$I$37*$AR$37</f>
        <v>1281783.5373268053</v>
      </c>
      <c r="AS93" s="48">
        <f>$I$37*$AS$37</f>
        <v>96449.305502869873</v>
      </c>
      <c r="AT93" s="48">
        <f>$I$37*$AT$37</f>
        <v>0</v>
      </c>
      <c r="AU93" s="48">
        <f>$I$37*$AU$37</f>
        <v>12820727.483650494</v>
      </c>
      <c r="AV93" s="48">
        <f>$I$37*$AV$37</f>
        <v>0</v>
      </c>
      <c r="AW93" s="48">
        <f>$I$37*$AW$37</f>
        <v>0</v>
      </c>
      <c r="AX93" s="48">
        <f>$I$37*$AX$37</f>
        <v>15308263.446020802</v>
      </c>
      <c r="AY93" s="48">
        <f>$I$37*$AY$37</f>
        <v>-872961.98637579486</v>
      </c>
      <c r="AZ93" s="48">
        <f>$I$37*$AZ$37</f>
        <v>0</v>
      </c>
      <c r="BA93" s="48">
        <f>$I$37*$BA$37</f>
        <v>2974018.4421108812</v>
      </c>
      <c r="BB93" s="48">
        <f>$I$37*$BB$37</f>
        <v>83768.943810495199</v>
      </c>
      <c r="BC93" s="48">
        <f>$I$37*$BC$37</f>
        <v>0</v>
      </c>
      <c r="BD93" s="48">
        <f>$I$37*$BD$37</f>
        <v>0</v>
      </c>
    </row>
    <row r="94" spans="1:56" ht="11.25" customHeight="1" x14ac:dyDescent="0.25">
      <c r="A94" s="9" t="s">
        <v>41</v>
      </c>
      <c r="B94" s="9" t="s">
        <v>842</v>
      </c>
      <c r="C94" s="9" t="s">
        <v>843</v>
      </c>
      <c r="D94" s="9" t="s">
        <v>856</v>
      </c>
      <c r="E94" s="9" t="s">
        <v>857</v>
      </c>
      <c r="F94" s="9" t="s">
        <v>858</v>
      </c>
      <c r="G94" s="9" t="s">
        <v>859</v>
      </c>
      <c r="L94" s="48">
        <f>$I$38*$L$38</f>
        <v>0</v>
      </c>
      <c r="M94" s="48">
        <f>$I$38*$M$38</f>
        <v>0</v>
      </c>
      <c r="N94" s="48">
        <f ca="1">$I$38*$N$38</f>
        <v>0</v>
      </c>
      <c r="O94" s="48">
        <f>$I$38*$O$38</f>
        <v>0</v>
      </c>
      <c r="P94" s="48">
        <f>$I$38*$P$38</f>
        <v>0</v>
      </c>
      <c r="Q94" s="48">
        <f>$I$38*$Q$38</f>
        <v>0</v>
      </c>
      <c r="R94" s="48">
        <f>$I$38*$R$38</f>
        <v>0</v>
      </c>
      <c r="S94" s="48">
        <f>$I$38*$S$38</f>
        <v>0</v>
      </c>
      <c r="T94" s="48">
        <f>$I$38*$T$38</f>
        <v>0</v>
      </c>
      <c r="U94" s="48">
        <f>$I$38*$U$38</f>
        <v>0</v>
      </c>
      <c r="V94" s="48">
        <f>$I$38*$V$38</f>
        <v>0</v>
      </c>
      <c r="W94" s="48">
        <f>$I$38*$W$38</f>
        <v>0</v>
      </c>
      <c r="X94" s="48">
        <f>$I$38*$X$38</f>
        <v>0</v>
      </c>
      <c r="Y94" s="48">
        <f>$I$38*$Y$38</f>
        <v>0</v>
      </c>
      <c r="Z94" s="48">
        <f>$I$38*$Z$38</f>
        <v>0</v>
      </c>
      <c r="AA94" s="48">
        <f>$I$38*$AA$38</f>
        <v>0</v>
      </c>
      <c r="AB94" s="48">
        <f ca="1">$I$38*$AB$38</f>
        <v>0</v>
      </c>
      <c r="AC94" s="48">
        <f ca="1">$I$38*$AC$38</f>
        <v>0</v>
      </c>
      <c r="AD94" s="48">
        <f>$I$38*$AD$38</f>
        <v>0</v>
      </c>
      <c r="AE94" s="48">
        <f>$I$38*$AE$38</f>
        <v>0</v>
      </c>
      <c r="AF94" s="48">
        <f ca="1">$I$38*$AF$38</f>
        <v>0</v>
      </c>
      <c r="AG94" s="48">
        <f ca="1">$I$38*$AG$38</f>
        <v>0</v>
      </c>
      <c r="AI94" s="48">
        <f>$I$38*$AI$38</f>
        <v>0</v>
      </c>
      <c r="AJ94" s="48">
        <f>$I$38*$AJ$38</f>
        <v>0</v>
      </c>
      <c r="AK94" s="48">
        <f>$I$38*$AK$38</f>
        <v>0</v>
      </c>
      <c r="AL94" s="48">
        <f>$I$38*$AL$38</f>
        <v>0</v>
      </c>
      <c r="AM94" s="48">
        <f>$I$38*$AM$38</f>
        <v>0</v>
      </c>
      <c r="AN94" s="48">
        <f>$I$38*$AN$38</f>
        <v>0</v>
      </c>
      <c r="AO94" s="48">
        <f>$I$38*$AO$38</f>
        <v>0</v>
      </c>
      <c r="AP94" s="48">
        <f>$I$38*$AP$38</f>
        <v>0</v>
      </c>
      <c r="AQ94" s="48">
        <f>$I$38*$AQ$38</f>
        <v>0</v>
      </c>
      <c r="AR94" s="48">
        <f>$I$38*$AR$38</f>
        <v>0</v>
      </c>
      <c r="AS94" s="48">
        <f>$I$38*$AS$38</f>
        <v>0</v>
      </c>
      <c r="AT94" s="48">
        <f>$I$38*$AT$38</f>
        <v>0</v>
      </c>
      <c r="AU94" s="48">
        <f>$I$38*$AU$38</f>
        <v>0</v>
      </c>
      <c r="AV94" s="48">
        <f>$I$38*$AV$38</f>
        <v>0</v>
      </c>
      <c r="AW94" s="48">
        <f>$I$38*$AW$38</f>
        <v>0</v>
      </c>
      <c r="AX94" s="48">
        <f>$I$38*$AX$38</f>
        <v>0</v>
      </c>
      <c r="AY94" s="48">
        <f>$I$38*$AY$38</f>
        <v>0</v>
      </c>
      <c r="AZ94" s="48">
        <f>$I$38*$AZ$38</f>
        <v>0</v>
      </c>
      <c r="BA94" s="48">
        <f>$I$38*$BA$38</f>
        <v>0</v>
      </c>
      <c r="BB94" s="48">
        <f>$I$38*$BB$38</f>
        <v>0</v>
      </c>
      <c r="BC94" s="48">
        <f>$I$38*$BC$38</f>
        <v>0</v>
      </c>
      <c r="BD94" s="48">
        <f>$I$38*$BD$38</f>
        <v>0</v>
      </c>
    </row>
    <row r="95" spans="1:56" ht="11.25" customHeight="1" x14ac:dyDescent="0.25">
      <c r="A95" s="9" t="s">
        <v>41</v>
      </c>
      <c r="B95" s="9" t="s">
        <v>842</v>
      </c>
      <c r="C95" s="9" t="s">
        <v>843</v>
      </c>
      <c r="D95" s="9" t="s">
        <v>856</v>
      </c>
      <c r="E95" s="9" t="s">
        <v>857</v>
      </c>
      <c r="F95" s="9" t="s">
        <v>858</v>
      </c>
      <c r="G95" s="9" t="s">
        <v>860</v>
      </c>
      <c r="L95" s="48">
        <f>$I$39*$L$39</f>
        <v>0</v>
      </c>
      <c r="M95" s="48">
        <f>$I$39*$M$39</f>
        <v>0</v>
      </c>
      <c r="N95" s="48">
        <f ca="1">$I$39*$N$39</f>
        <v>0</v>
      </c>
      <c r="O95" s="48">
        <f>$I$39*$O$39</f>
        <v>0</v>
      </c>
      <c r="P95" s="48">
        <f>$I$39*$P$39</f>
        <v>0</v>
      </c>
      <c r="Q95" s="48">
        <f>$I$39*$Q$39</f>
        <v>0</v>
      </c>
      <c r="R95" s="48">
        <f>$I$39*$R$39</f>
        <v>0</v>
      </c>
      <c r="S95" s="48">
        <f>$I$39*$S$39</f>
        <v>0</v>
      </c>
      <c r="T95" s="48">
        <f>$I$39*$T$39</f>
        <v>0</v>
      </c>
      <c r="U95" s="48">
        <f>$I$39*$U$39</f>
        <v>0</v>
      </c>
      <c r="V95" s="48">
        <f>$I$39*$V$39</f>
        <v>0</v>
      </c>
      <c r="W95" s="48">
        <f>$I$39*$W$39</f>
        <v>0</v>
      </c>
      <c r="X95" s="48">
        <f>$I$39*$X$39</f>
        <v>0</v>
      </c>
      <c r="Y95" s="48">
        <f>$I$39*$Y$39</f>
        <v>0</v>
      </c>
      <c r="Z95" s="48">
        <f>$I$39*$Z$39</f>
        <v>0</v>
      </c>
      <c r="AA95" s="48">
        <f>$I$39*$AA$39</f>
        <v>0</v>
      </c>
      <c r="AB95" s="48">
        <f ca="1">$I$39*$AB$39</f>
        <v>0</v>
      </c>
      <c r="AC95" s="48">
        <f ca="1">$I$39*$AC$39</f>
        <v>0</v>
      </c>
      <c r="AD95" s="48">
        <f>$I$39*$AD$39</f>
        <v>0</v>
      </c>
      <c r="AE95" s="48">
        <f>$I$39*$AE$39</f>
        <v>0</v>
      </c>
      <c r="AF95" s="48">
        <f ca="1">$I$39*$AF$39</f>
        <v>0</v>
      </c>
      <c r="AG95" s="48">
        <f ca="1">$I$39*$AG$39</f>
        <v>0</v>
      </c>
      <c r="AI95" s="48">
        <f>$I$39*$AI$39</f>
        <v>0</v>
      </c>
      <c r="AJ95" s="48">
        <f>$I$39*$AJ$39</f>
        <v>0</v>
      </c>
      <c r="AK95" s="48">
        <f>$I$39*$AK$39</f>
        <v>0</v>
      </c>
      <c r="AL95" s="48">
        <f>$I$39*$AL$39</f>
        <v>0</v>
      </c>
      <c r="AM95" s="48">
        <f>$I$39*$AM$39</f>
        <v>0</v>
      </c>
      <c r="AN95" s="48">
        <f>$I$39*$AN$39</f>
        <v>0</v>
      </c>
      <c r="AO95" s="48">
        <f>$I$39*$AO$39</f>
        <v>0</v>
      </c>
      <c r="AP95" s="48">
        <f>$I$39*$AP$39</f>
        <v>0</v>
      </c>
      <c r="AQ95" s="48">
        <f>$I$39*$AQ$39</f>
        <v>0</v>
      </c>
      <c r="AR95" s="48">
        <f>$I$39*$AR$39</f>
        <v>0</v>
      </c>
      <c r="AS95" s="48">
        <f>$I$39*$AS$39</f>
        <v>0</v>
      </c>
      <c r="AT95" s="48">
        <f>$I$39*$AT$39</f>
        <v>0</v>
      </c>
      <c r="AU95" s="48">
        <f>$I$39*$AU$39</f>
        <v>0</v>
      </c>
      <c r="AV95" s="48">
        <f>$I$39*$AV$39</f>
        <v>0</v>
      </c>
      <c r="AW95" s="48">
        <f>$I$39*$AW$39</f>
        <v>0</v>
      </c>
      <c r="AX95" s="48">
        <f>$I$39*$AX$39</f>
        <v>0</v>
      </c>
      <c r="AY95" s="48">
        <f>$I$39*$AY$39</f>
        <v>0</v>
      </c>
      <c r="AZ95" s="48">
        <f>$I$39*$AZ$39</f>
        <v>0</v>
      </c>
      <c r="BA95" s="48">
        <f>$I$39*$BA$39</f>
        <v>0</v>
      </c>
      <c r="BB95" s="48">
        <f>$I$39*$BB$39</f>
        <v>0</v>
      </c>
      <c r="BC95" s="48">
        <f>$I$39*$BC$39</f>
        <v>0</v>
      </c>
      <c r="BD95" s="48">
        <f>$I$39*$BD$39</f>
        <v>0</v>
      </c>
    </row>
    <row r="96" spans="1:56" ht="11.25" customHeight="1" x14ac:dyDescent="0.25">
      <c r="A96" s="9" t="s">
        <v>41</v>
      </c>
      <c r="B96" s="9" t="s">
        <v>842</v>
      </c>
      <c r="C96" s="9" t="s">
        <v>843</v>
      </c>
      <c r="D96" s="9" t="s">
        <v>856</v>
      </c>
      <c r="E96" s="9" t="s">
        <v>857</v>
      </c>
      <c r="F96" s="9" t="s">
        <v>858</v>
      </c>
      <c r="G96" s="9" t="s">
        <v>861</v>
      </c>
      <c r="L96" s="48">
        <f>$I$40*$L$40</f>
        <v>0</v>
      </c>
      <c r="M96" s="48">
        <f>$I$40*$M$40</f>
        <v>0</v>
      </c>
      <c r="N96" s="48">
        <f ca="1">$I$40*$N$40</f>
        <v>0</v>
      </c>
      <c r="O96" s="48">
        <f>$I$40*$O$40</f>
        <v>0</v>
      </c>
      <c r="P96" s="48">
        <f>$I$40*$P$40</f>
        <v>0</v>
      </c>
      <c r="Q96" s="48">
        <f>$I$40*$Q$40</f>
        <v>0</v>
      </c>
      <c r="R96" s="48">
        <f>$I$40*$R$40</f>
        <v>0</v>
      </c>
      <c r="S96" s="48">
        <f>$I$40*$S$40</f>
        <v>0</v>
      </c>
      <c r="T96" s="48">
        <f>$I$40*$T$40</f>
        <v>0</v>
      </c>
      <c r="U96" s="48">
        <f>$I$40*$U$40</f>
        <v>0</v>
      </c>
      <c r="V96" s="48">
        <f>$I$40*$V$40</f>
        <v>0</v>
      </c>
      <c r="W96" s="48">
        <f>$I$40*$W$40</f>
        <v>0</v>
      </c>
      <c r="X96" s="48">
        <f>$I$40*$X$40</f>
        <v>0</v>
      </c>
      <c r="Y96" s="48">
        <f>$I$40*$Y$40</f>
        <v>0</v>
      </c>
      <c r="Z96" s="48">
        <f>$I$40*$Z$40</f>
        <v>0</v>
      </c>
      <c r="AA96" s="48">
        <f>$I$40*$AA$40</f>
        <v>0</v>
      </c>
      <c r="AB96" s="48">
        <f ca="1">$I$40*$AB$40</f>
        <v>0</v>
      </c>
      <c r="AC96" s="48">
        <f ca="1">$I$40*$AC$40</f>
        <v>0</v>
      </c>
      <c r="AD96" s="48">
        <f>$I$40*$AD$40</f>
        <v>0</v>
      </c>
      <c r="AE96" s="48">
        <f>$I$40*$AE$40</f>
        <v>0</v>
      </c>
      <c r="AF96" s="48">
        <f ca="1">$I$40*$AF$40</f>
        <v>0</v>
      </c>
      <c r="AG96" s="48">
        <f ca="1">$I$40*$AG$40</f>
        <v>0</v>
      </c>
      <c r="AI96" s="48">
        <f>$I$40*$AI$40</f>
        <v>0</v>
      </c>
      <c r="AJ96" s="48">
        <f>$I$40*$AJ$40</f>
        <v>0</v>
      </c>
      <c r="AK96" s="48">
        <f>$I$40*$AK$40</f>
        <v>0</v>
      </c>
      <c r="AL96" s="48">
        <f>$I$40*$AL$40</f>
        <v>0</v>
      </c>
      <c r="AM96" s="48">
        <f>$I$40*$AM$40</f>
        <v>0</v>
      </c>
      <c r="AN96" s="48">
        <f>$I$40*$AN$40</f>
        <v>0</v>
      </c>
      <c r="AO96" s="48">
        <f>$I$40*$AO$40</f>
        <v>0</v>
      </c>
      <c r="AP96" s="48">
        <f>$I$40*$AP$40</f>
        <v>0</v>
      </c>
      <c r="AQ96" s="48">
        <f>$I$40*$AQ$40</f>
        <v>0</v>
      </c>
      <c r="AR96" s="48">
        <f>$I$40*$AR$40</f>
        <v>0</v>
      </c>
      <c r="AS96" s="48">
        <f>$I$40*$AS$40</f>
        <v>0</v>
      </c>
      <c r="AT96" s="48">
        <f>$I$40*$AT$40</f>
        <v>0</v>
      </c>
      <c r="AU96" s="48">
        <f>$I$40*$AU$40</f>
        <v>0</v>
      </c>
      <c r="AV96" s="48">
        <f>$I$40*$AV$40</f>
        <v>0</v>
      </c>
      <c r="AW96" s="48">
        <f>$I$40*$AW$40</f>
        <v>0</v>
      </c>
      <c r="AX96" s="48">
        <f>$I$40*$AX$40</f>
        <v>0</v>
      </c>
      <c r="AY96" s="48">
        <f>$I$40*$AY$40</f>
        <v>0</v>
      </c>
      <c r="AZ96" s="48">
        <f>$I$40*$AZ$40</f>
        <v>0</v>
      </c>
      <c r="BA96" s="48">
        <f>$I$40*$BA$40</f>
        <v>0</v>
      </c>
      <c r="BB96" s="48">
        <f>$I$40*$BB$40</f>
        <v>0</v>
      </c>
      <c r="BC96" s="48">
        <f>$I$40*$BC$40</f>
        <v>0</v>
      </c>
      <c r="BD96" s="48">
        <f>$I$40*$BD$40</f>
        <v>0</v>
      </c>
    </row>
    <row r="97" spans="1:56" ht="11.25" customHeight="1" x14ac:dyDescent="0.25">
      <c r="A97" s="9" t="s">
        <v>41</v>
      </c>
      <c r="B97" s="9" t="s">
        <v>850</v>
      </c>
      <c r="C97" s="9" t="s">
        <v>851</v>
      </c>
      <c r="D97" s="9" t="s">
        <v>862</v>
      </c>
      <c r="E97" s="9" t="s">
        <v>863</v>
      </c>
      <c r="F97" s="9" t="s">
        <v>864</v>
      </c>
      <c r="G97" s="9" t="s">
        <v>865</v>
      </c>
      <c r="L97" s="48">
        <f>$I$41*$L$41</f>
        <v>0</v>
      </c>
      <c r="M97" s="48">
        <f>$I$41*$M$41</f>
        <v>0</v>
      </c>
      <c r="N97" s="48">
        <f ca="1">$I$41*$N$41</f>
        <v>0</v>
      </c>
      <c r="O97" s="48">
        <f>$I$41*$O$41</f>
        <v>0</v>
      </c>
      <c r="P97" s="48">
        <f>$I$41*$P$41</f>
        <v>0</v>
      </c>
      <c r="Q97" s="48">
        <f>$I$41*$Q$41</f>
        <v>0</v>
      </c>
      <c r="R97" s="48">
        <f>$I$41*$R$41</f>
        <v>0</v>
      </c>
      <c r="S97" s="48">
        <f>$I$41*$S$41</f>
        <v>0</v>
      </c>
      <c r="T97" s="48">
        <f>$I$41*$T$41</f>
        <v>0</v>
      </c>
      <c r="U97" s="48">
        <f>$I$41*$U$41</f>
        <v>0</v>
      </c>
      <c r="V97" s="48">
        <f>$I$41*$V$41</f>
        <v>0</v>
      </c>
      <c r="W97" s="48">
        <f>$I$41*$W$41</f>
        <v>0</v>
      </c>
      <c r="X97" s="48">
        <f>$I$41*$X$41</f>
        <v>0</v>
      </c>
      <c r="Y97" s="48">
        <f>$I$41*$Y$41</f>
        <v>0</v>
      </c>
      <c r="Z97" s="48">
        <f>$I$41*$Z$41</f>
        <v>0</v>
      </c>
      <c r="AA97" s="48">
        <f>$I$41*$AA$41</f>
        <v>0</v>
      </c>
      <c r="AB97" s="48">
        <f ca="1">$I$41*$AB$41</f>
        <v>0</v>
      </c>
      <c r="AC97" s="48">
        <f ca="1">$I$41*$AC$41</f>
        <v>0</v>
      </c>
      <c r="AD97" s="48">
        <f>$I$41*$AD$41</f>
        <v>0</v>
      </c>
      <c r="AE97" s="48">
        <f>$I$41*$AE$41</f>
        <v>0</v>
      </c>
      <c r="AF97" s="48">
        <f ca="1">$I$41*$AF$41</f>
        <v>0</v>
      </c>
      <c r="AG97" s="48">
        <f ca="1">$I$41*$AG$41</f>
        <v>0</v>
      </c>
      <c r="AI97" s="48">
        <f>$I$41*$AI$41</f>
        <v>0</v>
      </c>
      <c r="AJ97" s="48">
        <f>$I$41*$AJ$41</f>
        <v>0</v>
      </c>
      <c r="AK97" s="48">
        <f>$I$41*$AK$41</f>
        <v>0</v>
      </c>
      <c r="AL97" s="48">
        <f>$I$41*$AL$41</f>
        <v>0</v>
      </c>
      <c r="AM97" s="48">
        <f>$I$41*$AM$41</f>
        <v>0</v>
      </c>
      <c r="AN97" s="48">
        <f>$I$41*$AN$41</f>
        <v>0</v>
      </c>
      <c r="AO97" s="48">
        <f>$I$41*$AO$41</f>
        <v>0</v>
      </c>
      <c r="AP97" s="48">
        <f>$I$41*$AP$41</f>
        <v>0</v>
      </c>
      <c r="AQ97" s="48">
        <f>$I$41*$AQ$41</f>
        <v>0</v>
      </c>
      <c r="AR97" s="48">
        <f>$I$41*$AR$41</f>
        <v>0</v>
      </c>
      <c r="AS97" s="48">
        <f>$I$41*$AS$41</f>
        <v>0</v>
      </c>
      <c r="AT97" s="48">
        <f>$I$41*$AT$41</f>
        <v>0</v>
      </c>
      <c r="AU97" s="48">
        <f>$I$41*$AU$41</f>
        <v>0</v>
      </c>
      <c r="AV97" s="48">
        <f>$I$41*$AV$41</f>
        <v>0</v>
      </c>
      <c r="AW97" s="48">
        <f>$I$41*$AW$41</f>
        <v>0</v>
      </c>
      <c r="AX97" s="48">
        <f>$I$41*$AX$41</f>
        <v>0</v>
      </c>
      <c r="AY97" s="48">
        <f>$I$41*$AY$41</f>
        <v>0</v>
      </c>
      <c r="AZ97" s="48">
        <f>$I$41*$AZ$41</f>
        <v>0</v>
      </c>
      <c r="BA97" s="48">
        <f>$I$41*$BA$41</f>
        <v>0</v>
      </c>
      <c r="BB97" s="48">
        <f>$I$41*$BB$41</f>
        <v>0</v>
      </c>
      <c r="BC97" s="48">
        <f>$I$41*$BC$41</f>
        <v>0</v>
      </c>
      <c r="BD97" s="48">
        <f>$I$41*$BD$41</f>
        <v>0</v>
      </c>
    </row>
    <row r="98" spans="1:56" ht="11.25" customHeight="1" x14ac:dyDescent="0.25">
      <c r="A98" s="9" t="s">
        <v>41</v>
      </c>
      <c r="B98" s="9" t="s">
        <v>842</v>
      </c>
      <c r="C98" s="9" t="s">
        <v>843</v>
      </c>
      <c r="D98" s="9" t="s">
        <v>866</v>
      </c>
      <c r="E98" s="9" t="s">
        <v>867</v>
      </c>
      <c r="F98" s="9" t="s">
        <v>868</v>
      </c>
      <c r="G98" s="9" t="s">
        <v>869</v>
      </c>
      <c r="L98" s="48">
        <f>$I$42*$L$42</f>
        <v>0</v>
      </c>
      <c r="M98" s="48">
        <f>$I$42*$M$42</f>
        <v>0</v>
      </c>
      <c r="N98" s="48">
        <f ca="1">$I$42*$N$42</f>
        <v>0</v>
      </c>
      <c r="O98" s="48">
        <f>$I$42*$O$42</f>
        <v>0</v>
      </c>
      <c r="P98" s="48">
        <f>$I$42*$P$42</f>
        <v>0</v>
      </c>
      <c r="Q98" s="48">
        <f>$I$42*$Q$42</f>
        <v>0</v>
      </c>
      <c r="R98" s="48">
        <f>$I$42*$R$42</f>
        <v>0</v>
      </c>
      <c r="S98" s="48">
        <f>$I$42*$S$42</f>
        <v>0</v>
      </c>
      <c r="T98" s="48">
        <f>$I$42*$T$42</f>
        <v>0</v>
      </c>
      <c r="U98" s="48">
        <f>$I$42*$U$42</f>
        <v>0</v>
      </c>
      <c r="V98" s="48">
        <f>$I$42*$V$42</f>
        <v>0</v>
      </c>
      <c r="W98" s="48">
        <f>$I$42*$W$42</f>
        <v>0</v>
      </c>
      <c r="X98" s="48">
        <f>$I$42*$X$42</f>
        <v>0</v>
      </c>
      <c r="Y98" s="48">
        <f>$I$42*$Y$42</f>
        <v>0</v>
      </c>
      <c r="Z98" s="48">
        <f>$I$42*$Z$42</f>
        <v>0</v>
      </c>
      <c r="AA98" s="48">
        <f>$I$42*$AA$42</f>
        <v>0</v>
      </c>
      <c r="AB98" s="48">
        <f ca="1">$I$42*$AB$42</f>
        <v>0</v>
      </c>
      <c r="AC98" s="48">
        <f ca="1">$I$42*$AC$42</f>
        <v>0</v>
      </c>
      <c r="AD98" s="48">
        <f>$I$42*$AD$42</f>
        <v>0</v>
      </c>
      <c r="AE98" s="48">
        <f>$I$42*$AE$42</f>
        <v>0</v>
      </c>
      <c r="AF98" s="48">
        <f ca="1">$I$42*$AF$42</f>
        <v>0</v>
      </c>
      <c r="AG98" s="48">
        <f ca="1">$I$42*$AG$42</f>
        <v>0</v>
      </c>
      <c r="AI98" s="48">
        <f>$I$42*$AI$42</f>
        <v>0</v>
      </c>
      <c r="AJ98" s="48">
        <f>$I$42*$AJ$42</f>
        <v>0</v>
      </c>
      <c r="AK98" s="48">
        <f>$I$42*$AK$42</f>
        <v>0</v>
      </c>
      <c r="AL98" s="48">
        <f>$I$42*$AL$42</f>
        <v>0</v>
      </c>
      <c r="AM98" s="48">
        <f>$I$42*$AM$42</f>
        <v>0</v>
      </c>
      <c r="AN98" s="48">
        <f>$I$42*$AN$42</f>
        <v>0</v>
      </c>
      <c r="AO98" s="48">
        <f>$I$42*$AO$42</f>
        <v>0</v>
      </c>
      <c r="AP98" s="48">
        <f>$I$42*$AP$42</f>
        <v>0</v>
      </c>
      <c r="AQ98" s="48">
        <f>$I$42*$AQ$42</f>
        <v>0</v>
      </c>
      <c r="AR98" s="48">
        <f>$I$42*$AR$42</f>
        <v>0</v>
      </c>
      <c r="AS98" s="48">
        <f>$I$42*$AS$42</f>
        <v>0</v>
      </c>
      <c r="AT98" s="48">
        <f>$I$42*$AT$42</f>
        <v>0</v>
      </c>
      <c r="AU98" s="48">
        <f>$I$42*$AU$42</f>
        <v>0</v>
      </c>
      <c r="AV98" s="48">
        <f>$I$42*$AV$42</f>
        <v>0</v>
      </c>
      <c r="AW98" s="48">
        <f>$I$42*$AW$42</f>
        <v>0</v>
      </c>
      <c r="AX98" s="48">
        <f>$I$42*$AX$42</f>
        <v>0</v>
      </c>
      <c r="AY98" s="48">
        <f>$I$42*$AY$42</f>
        <v>0</v>
      </c>
      <c r="AZ98" s="48">
        <f>$I$42*$AZ$42</f>
        <v>0</v>
      </c>
      <c r="BA98" s="48">
        <f>$I$42*$BA$42</f>
        <v>0</v>
      </c>
      <c r="BB98" s="48">
        <f>$I$42*$BB$42</f>
        <v>0</v>
      </c>
      <c r="BC98" s="48">
        <f>$I$42*$BC$42</f>
        <v>0</v>
      </c>
      <c r="BD98" s="48">
        <f>$I$42*$BD$42</f>
        <v>0</v>
      </c>
    </row>
    <row r="99" spans="1:56" ht="11.25" customHeight="1" x14ac:dyDescent="0.25">
      <c r="A99" s="9" t="s">
        <v>41</v>
      </c>
      <c r="B99" s="9" t="s">
        <v>842</v>
      </c>
      <c r="C99" s="9" t="s">
        <v>843</v>
      </c>
      <c r="D99" s="9" t="s">
        <v>866</v>
      </c>
      <c r="E99" s="9" t="s">
        <v>867</v>
      </c>
      <c r="F99" s="9" t="s">
        <v>868</v>
      </c>
      <c r="G99" s="9" t="s">
        <v>870</v>
      </c>
      <c r="L99" s="48">
        <f>$I$43*$L$43</f>
        <v>0</v>
      </c>
      <c r="M99" s="48">
        <f>$I$43*$M$43</f>
        <v>0</v>
      </c>
      <c r="N99" s="48">
        <f ca="1">$I$43*$N$43</f>
        <v>0</v>
      </c>
      <c r="O99" s="48">
        <f>$I$43*$O$43</f>
        <v>0</v>
      </c>
      <c r="P99" s="48">
        <f>$I$43*$P$43</f>
        <v>0</v>
      </c>
      <c r="Q99" s="48">
        <f>$I$43*$Q$43</f>
        <v>0</v>
      </c>
      <c r="R99" s="48">
        <f>$I$43*$R$43</f>
        <v>0</v>
      </c>
      <c r="S99" s="48">
        <f>$I$43*$S$43</f>
        <v>0</v>
      </c>
      <c r="T99" s="48">
        <f>$I$43*$T$43</f>
        <v>0</v>
      </c>
      <c r="U99" s="48">
        <f>$I$43*$U$43</f>
        <v>0</v>
      </c>
      <c r="V99" s="48">
        <f>$I$43*$V$43</f>
        <v>0</v>
      </c>
      <c r="W99" s="48">
        <f>$I$43*$W$43</f>
        <v>0</v>
      </c>
      <c r="X99" s="48">
        <f>$I$43*$X$43</f>
        <v>0</v>
      </c>
      <c r="Y99" s="48">
        <f>$I$43*$Y$43</f>
        <v>0</v>
      </c>
      <c r="Z99" s="48">
        <f>$I$43*$Z$43</f>
        <v>0</v>
      </c>
      <c r="AA99" s="48">
        <f>$I$43*$AA$43</f>
        <v>0</v>
      </c>
      <c r="AB99" s="48">
        <f ca="1">$I$43*$AB$43</f>
        <v>0</v>
      </c>
      <c r="AC99" s="48">
        <f ca="1">$I$43*$AC$43</f>
        <v>0</v>
      </c>
      <c r="AD99" s="48">
        <f>$I$43*$AD$43</f>
        <v>0</v>
      </c>
      <c r="AE99" s="48">
        <f>$I$43*$AE$43</f>
        <v>0</v>
      </c>
      <c r="AF99" s="48">
        <f ca="1">$I$43*$AF$43</f>
        <v>0</v>
      </c>
      <c r="AG99" s="48">
        <f ca="1">$I$43*$AG$43</f>
        <v>0</v>
      </c>
      <c r="AI99" s="48">
        <f>$I$43*$AI$43</f>
        <v>0</v>
      </c>
      <c r="AJ99" s="48">
        <f>$I$43*$AJ$43</f>
        <v>0</v>
      </c>
      <c r="AK99" s="48">
        <f>$I$43*$AK$43</f>
        <v>0</v>
      </c>
      <c r="AL99" s="48">
        <f>$I$43*$AL$43</f>
        <v>0</v>
      </c>
      <c r="AM99" s="48">
        <f>$I$43*$AM$43</f>
        <v>0</v>
      </c>
      <c r="AN99" s="48">
        <f>$I$43*$AN$43</f>
        <v>0</v>
      </c>
      <c r="AO99" s="48">
        <f>$I$43*$AO$43</f>
        <v>0</v>
      </c>
      <c r="AP99" s="48">
        <f>$I$43*$AP$43</f>
        <v>0</v>
      </c>
      <c r="AQ99" s="48">
        <f>$I$43*$AQ$43</f>
        <v>0</v>
      </c>
      <c r="AR99" s="48">
        <f>$I$43*$AR$43</f>
        <v>0</v>
      </c>
      <c r="AS99" s="48">
        <f>$I$43*$AS$43</f>
        <v>0</v>
      </c>
      <c r="AT99" s="48">
        <f>$I$43*$AT$43</f>
        <v>0</v>
      </c>
      <c r="AU99" s="48">
        <f>$I$43*$AU$43</f>
        <v>0</v>
      </c>
      <c r="AV99" s="48">
        <f>$I$43*$AV$43</f>
        <v>0</v>
      </c>
      <c r="AW99" s="48">
        <f>$I$43*$AW$43</f>
        <v>0</v>
      </c>
      <c r="AX99" s="48">
        <f>$I$43*$AX$43</f>
        <v>0</v>
      </c>
      <c r="AY99" s="48">
        <f>$I$43*$AY$43</f>
        <v>0</v>
      </c>
      <c r="AZ99" s="48">
        <f>$I$43*$AZ$43</f>
        <v>0</v>
      </c>
      <c r="BA99" s="48">
        <f>$I$43*$BA$43</f>
        <v>0</v>
      </c>
      <c r="BB99" s="48">
        <f>$I$43*$BB$43</f>
        <v>0</v>
      </c>
      <c r="BC99" s="48">
        <f>$I$43*$BC$43</f>
        <v>0</v>
      </c>
      <c r="BD99" s="48">
        <f>$I$43*$BD$43</f>
        <v>0</v>
      </c>
    </row>
    <row r="100" spans="1:56" ht="11.25" customHeight="1" x14ac:dyDescent="0.25">
      <c r="A100" s="9" t="s">
        <v>41</v>
      </c>
      <c r="B100" s="9" t="s">
        <v>842</v>
      </c>
      <c r="C100" s="9" t="s">
        <v>843</v>
      </c>
      <c r="D100" s="9" t="s">
        <v>866</v>
      </c>
      <c r="E100" s="9" t="s">
        <v>867</v>
      </c>
      <c r="F100" s="9" t="s">
        <v>868</v>
      </c>
      <c r="G100" s="9" t="s">
        <v>871</v>
      </c>
      <c r="L100" s="48">
        <f>$I$44*$L$44</f>
        <v>0</v>
      </c>
      <c r="M100" s="48">
        <f>$I$44*$M$44</f>
        <v>0</v>
      </c>
      <c r="N100" s="48">
        <f ca="1">$I$44*$N$44</f>
        <v>0</v>
      </c>
      <c r="O100" s="48">
        <f>$I$44*$O$44</f>
        <v>0</v>
      </c>
      <c r="P100" s="48">
        <f>$I$44*$P$44</f>
        <v>0</v>
      </c>
      <c r="Q100" s="48">
        <f>$I$44*$Q$44</f>
        <v>0</v>
      </c>
      <c r="R100" s="48">
        <f>$I$44*$R$44</f>
        <v>0</v>
      </c>
      <c r="S100" s="48">
        <f>$I$44*$S$44</f>
        <v>0</v>
      </c>
      <c r="T100" s="48">
        <f>$I$44*$T$44</f>
        <v>0</v>
      </c>
      <c r="U100" s="48">
        <f>$I$44*$U$44</f>
        <v>0</v>
      </c>
      <c r="V100" s="48">
        <f>$I$44*$V$44</f>
        <v>0</v>
      </c>
      <c r="W100" s="48">
        <f>$I$44*$W$44</f>
        <v>0</v>
      </c>
      <c r="X100" s="48">
        <f>$I$44*$X$44</f>
        <v>0</v>
      </c>
      <c r="Y100" s="48">
        <f>$I$44*$Y$44</f>
        <v>0</v>
      </c>
      <c r="Z100" s="48">
        <f>$I$44*$Z$44</f>
        <v>0</v>
      </c>
      <c r="AA100" s="48">
        <f>$I$44*$AA$44</f>
        <v>0</v>
      </c>
      <c r="AB100" s="48">
        <f ca="1">$I$44*$AB$44</f>
        <v>0</v>
      </c>
      <c r="AC100" s="48">
        <f ca="1">$I$44*$AC$44</f>
        <v>0</v>
      </c>
      <c r="AD100" s="48">
        <f>$I$44*$AD$44</f>
        <v>0</v>
      </c>
      <c r="AE100" s="48">
        <f>$I$44*$AE$44</f>
        <v>0</v>
      </c>
      <c r="AF100" s="48">
        <f ca="1">$I$44*$AF$44</f>
        <v>0</v>
      </c>
      <c r="AG100" s="48">
        <f ca="1">$I$44*$AG$44</f>
        <v>0</v>
      </c>
      <c r="AI100" s="48">
        <f>$I$44*$AI$44</f>
        <v>0</v>
      </c>
      <c r="AJ100" s="48">
        <f>$I$44*$AJ$44</f>
        <v>0</v>
      </c>
      <c r="AK100" s="48">
        <f>$I$44*$AK$44</f>
        <v>0</v>
      </c>
      <c r="AL100" s="48">
        <f>$I$44*$AL$44</f>
        <v>0</v>
      </c>
      <c r="AM100" s="48">
        <f>$I$44*$AM$44</f>
        <v>0</v>
      </c>
      <c r="AN100" s="48">
        <f>$I$44*$AN$44</f>
        <v>0</v>
      </c>
      <c r="AO100" s="48">
        <f>$I$44*$AO$44</f>
        <v>0</v>
      </c>
      <c r="AP100" s="48">
        <f>$I$44*$AP$44</f>
        <v>0</v>
      </c>
      <c r="AQ100" s="48">
        <f>$I$44*$AQ$44</f>
        <v>0</v>
      </c>
      <c r="AR100" s="48">
        <f>$I$44*$AR$44</f>
        <v>0</v>
      </c>
      <c r="AS100" s="48">
        <f>$I$44*$AS$44</f>
        <v>0</v>
      </c>
      <c r="AT100" s="48">
        <f>$I$44*$AT$44</f>
        <v>0</v>
      </c>
      <c r="AU100" s="48">
        <f>$I$44*$AU$44</f>
        <v>0</v>
      </c>
      <c r="AV100" s="48">
        <f>$I$44*$AV$44</f>
        <v>0</v>
      </c>
      <c r="AW100" s="48">
        <f>$I$44*$AW$44</f>
        <v>0</v>
      </c>
      <c r="AX100" s="48">
        <f>$I$44*$AX$44</f>
        <v>0</v>
      </c>
      <c r="AY100" s="48">
        <f>$I$44*$AY$44</f>
        <v>0</v>
      </c>
      <c r="AZ100" s="48">
        <f>$I$44*$AZ$44</f>
        <v>0</v>
      </c>
      <c r="BA100" s="48">
        <f>$I$44*$BA$44</f>
        <v>0</v>
      </c>
      <c r="BB100" s="48">
        <f>$I$44*$BB$44</f>
        <v>0</v>
      </c>
      <c r="BC100" s="48">
        <f>$I$44*$BC$44</f>
        <v>0</v>
      </c>
      <c r="BD100" s="48">
        <f>$I$44*$BD$44</f>
        <v>0</v>
      </c>
    </row>
    <row r="101" spans="1:56" ht="11.25" customHeight="1" x14ac:dyDescent="0.25">
      <c r="A101" s="9" t="s">
        <v>41</v>
      </c>
      <c r="B101" s="9" t="s">
        <v>850</v>
      </c>
      <c r="C101" s="9" t="s">
        <v>851</v>
      </c>
      <c r="D101" s="9" t="s">
        <v>872</v>
      </c>
      <c r="E101" s="9" t="s">
        <v>873</v>
      </c>
      <c r="F101" s="9" t="s">
        <v>874</v>
      </c>
      <c r="G101" s="9" t="s">
        <v>875</v>
      </c>
      <c r="L101" s="48">
        <f>$I$45*$L$45</f>
        <v>0</v>
      </c>
      <c r="M101" s="48">
        <f>$I$45*$M$45</f>
        <v>0</v>
      </c>
      <c r="N101" s="48">
        <f ca="1">$I$45*$N$45</f>
        <v>0</v>
      </c>
      <c r="O101" s="48">
        <f>$I$45*$O$45</f>
        <v>0</v>
      </c>
      <c r="P101" s="48">
        <f>$I$45*$P$45</f>
        <v>0</v>
      </c>
      <c r="Q101" s="48">
        <f>$I$45*$Q$45</f>
        <v>0</v>
      </c>
      <c r="R101" s="48">
        <f>$I$45*$R$45</f>
        <v>0</v>
      </c>
      <c r="S101" s="48">
        <f>$I$45*$S$45</f>
        <v>0</v>
      </c>
      <c r="T101" s="48">
        <f>$I$45*$T$45</f>
        <v>0</v>
      </c>
      <c r="U101" s="48">
        <f>$I$45*$U$45</f>
        <v>0</v>
      </c>
      <c r="V101" s="48">
        <f>$I$45*$V$45</f>
        <v>0</v>
      </c>
      <c r="W101" s="48">
        <f>$I$45*$W$45</f>
        <v>0</v>
      </c>
      <c r="X101" s="48">
        <f>$I$45*$X$45</f>
        <v>0</v>
      </c>
      <c r="Y101" s="48">
        <f>$I$45*$Y$45</f>
        <v>0</v>
      </c>
      <c r="Z101" s="48">
        <f>$I$45*$Z$45</f>
        <v>0</v>
      </c>
      <c r="AA101" s="48">
        <f>$I$45*$AA$45</f>
        <v>0</v>
      </c>
      <c r="AB101" s="48">
        <f ca="1">$I$45*$AB$45</f>
        <v>0</v>
      </c>
      <c r="AC101" s="48">
        <f ca="1">$I$45*$AC$45</f>
        <v>0</v>
      </c>
      <c r="AD101" s="48">
        <f>$I$45*$AD$45</f>
        <v>0</v>
      </c>
      <c r="AE101" s="48">
        <f>$I$45*$AE$45</f>
        <v>0</v>
      </c>
      <c r="AF101" s="48">
        <f ca="1">$I$45*$AF$45</f>
        <v>0</v>
      </c>
      <c r="AG101" s="48">
        <f ca="1">$I$45*$AG$45</f>
        <v>0</v>
      </c>
      <c r="AI101" s="48">
        <f>$I$45*$AI$45</f>
        <v>0</v>
      </c>
      <c r="AJ101" s="48">
        <f>$I$45*$AJ$45</f>
        <v>0</v>
      </c>
      <c r="AK101" s="48">
        <f>$I$45*$AK$45</f>
        <v>0</v>
      </c>
      <c r="AL101" s="48">
        <f>$I$45*$AL$45</f>
        <v>0</v>
      </c>
      <c r="AM101" s="48">
        <f>$I$45*$AM$45</f>
        <v>0</v>
      </c>
      <c r="AN101" s="48">
        <f>$I$45*$AN$45</f>
        <v>0</v>
      </c>
      <c r="AO101" s="48">
        <f>$I$45*$AO$45</f>
        <v>0</v>
      </c>
      <c r="AP101" s="48">
        <f>$I$45*$AP$45</f>
        <v>0</v>
      </c>
      <c r="AQ101" s="48">
        <f>$I$45*$AQ$45</f>
        <v>0</v>
      </c>
      <c r="AR101" s="48">
        <f>$I$45*$AR$45</f>
        <v>0</v>
      </c>
      <c r="AS101" s="48">
        <f>$I$45*$AS$45</f>
        <v>0</v>
      </c>
      <c r="AT101" s="48">
        <f>$I$45*$AT$45</f>
        <v>0</v>
      </c>
      <c r="AU101" s="48">
        <f>$I$45*$AU$45</f>
        <v>0</v>
      </c>
      <c r="AV101" s="48">
        <f>$I$45*$AV$45</f>
        <v>0</v>
      </c>
      <c r="AW101" s="48">
        <f>$I$45*$AW$45</f>
        <v>0</v>
      </c>
      <c r="AX101" s="48">
        <f>$I$45*$AX$45</f>
        <v>0</v>
      </c>
      <c r="AY101" s="48">
        <f>$I$45*$AY$45</f>
        <v>0</v>
      </c>
      <c r="AZ101" s="48">
        <f>$I$45*$AZ$45</f>
        <v>0</v>
      </c>
      <c r="BA101" s="48">
        <f>$I$45*$BA$45</f>
        <v>0</v>
      </c>
      <c r="BB101" s="48">
        <f>$I$45*$BB$45</f>
        <v>0</v>
      </c>
      <c r="BC101" s="48">
        <f>$I$45*$BC$45</f>
        <v>0</v>
      </c>
      <c r="BD101" s="48">
        <f>$I$45*$BD$45</f>
        <v>0</v>
      </c>
    </row>
    <row r="102" spans="1:56" ht="11.25" customHeight="1" x14ac:dyDescent="0.25">
      <c r="A102" s="9" t="s">
        <v>41</v>
      </c>
      <c r="B102" s="9" t="s">
        <v>876</v>
      </c>
      <c r="C102" s="9" t="s">
        <v>877</v>
      </c>
      <c r="D102" s="9" t="s">
        <v>878</v>
      </c>
      <c r="E102" s="9" t="s">
        <v>879</v>
      </c>
      <c r="F102" s="9" t="s">
        <v>880</v>
      </c>
      <c r="G102" s="9" t="s">
        <v>881</v>
      </c>
      <c r="L102" s="48">
        <f>$I$46*$L$46</f>
        <v>0</v>
      </c>
      <c r="M102" s="48">
        <f>$I$46*$M$46</f>
        <v>0</v>
      </c>
      <c r="N102" s="48">
        <f ca="1">$I$46*$N$46</f>
        <v>0</v>
      </c>
      <c r="O102" s="48">
        <f>$I$46*$O$46</f>
        <v>0</v>
      </c>
      <c r="P102" s="48">
        <f>$I$46*$P$46</f>
        <v>0</v>
      </c>
      <c r="Q102" s="48">
        <f>$I$46*$Q$46</f>
        <v>0</v>
      </c>
      <c r="R102" s="48">
        <f>$I$46*$R$46</f>
        <v>0</v>
      </c>
      <c r="S102" s="48">
        <f>$I$46*$S$46</f>
        <v>0</v>
      </c>
      <c r="T102" s="48">
        <f>$I$46*$T$46</f>
        <v>0</v>
      </c>
      <c r="U102" s="48">
        <f>$I$46*$U$46</f>
        <v>0</v>
      </c>
      <c r="V102" s="48">
        <f>$I$46*$V$46</f>
        <v>0</v>
      </c>
      <c r="W102" s="48">
        <f>$I$46*$W$46</f>
        <v>0</v>
      </c>
      <c r="X102" s="48">
        <f>$I$46*$X$46</f>
        <v>0</v>
      </c>
      <c r="Y102" s="48">
        <f>$I$46*$Y$46</f>
        <v>0</v>
      </c>
      <c r="Z102" s="48">
        <f>$I$46*$Z$46</f>
        <v>0</v>
      </c>
      <c r="AA102" s="48">
        <f>$I$46*$AA$46</f>
        <v>0</v>
      </c>
      <c r="AB102" s="48">
        <f ca="1">$I$46*$AB$46</f>
        <v>0</v>
      </c>
      <c r="AC102" s="48">
        <f ca="1">$I$46*$AC$46</f>
        <v>0</v>
      </c>
      <c r="AD102" s="48">
        <f>$I$46*$AD$46</f>
        <v>0</v>
      </c>
      <c r="AE102" s="48">
        <f>$I$46*$AE$46</f>
        <v>0</v>
      </c>
      <c r="AF102" s="48">
        <f ca="1">$I$46*$AF$46</f>
        <v>0</v>
      </c>
      <c r="AG102" s="48">
        <f ca="1">$I$46*$AG$46</f>
        <v>0</v>
      </c>
      <c r="AI102" s="48">
        <f>$I$46*$AI$46</f>
        <v>0</v>
      </c>
      <c r="AJ102" s="48">
        <f>$I$46*$AJ$46</f>
        <v>0</v>
      </c>
      <c r="AK102" s="48">
        <f>$I$46*$AK$46</f>
        <v>0</v>
      </c>
      <c r="AL102" s="48">
        <f>$I$46*$AL$46</f>
        <v>0</v>
      </c>
      <c r="AM102" s="48">
        <f>$I$46*$AM$46</f>
        <v>0</v>
      </c>
      <c r="AN102" s="48">
        <f>$I$46*$AN$46</f>
        <v>0</v>
      </c>
      <c r="AO102" s="48">
        <f>$I$46*$AO$46</f>
        <v>0</v>
      </c>
      <c r="AP102" s="48">
        <f>$I$46*$AP$46</f>
        <v>0</v>
      </c>
      <c r="AQ102" s="48">
        <f>$I$46*$AQ$46</f>
        <v>0</v>
      </c>
      <c r="AR102" s="48">
        <f>$I$46*$AR$46</f>
        <v>0</v>
      </c>
      <c r="AS102" s="48">
        <f>$I$46*$AS$46</f>
        <v>0</v>
      </c>
      <c r="AT102" s="48">
        <f>$I$46*$AT$46</f>
        <v>0</v>
      </c>
      <c r="AU102" s="48">
        <f>$I$46*$AU$46</f>
        <v>0</v>
      </c>
      <c r="AV102" s="48">
        <f>$I$46*$AV$46</f>
        <v>0</v>
      </c>
      <c r="AW102" s="48">
        <f>$I$46*$AW$46</f>
        <v>0</v>
      </c>
      <c r="AX102" s="48">
        <f>$I$46*$AX$46</f>
        <v>0</v>
      </c>
      <c r="AY102" s="48">
        <f>$I$46*$AY$46</f>
        <v>0</v>
      </c>
      <c r="AZ102" s="48">
        <f>$I$46*$AZ$46</f>
        <v>0</v>
      </c>
      <c r="BA102" s="48">
        <f>$I$46*$BA$46</f>
        <v>0</v>
      </c>
      <c r="BB102" s="48">
        <f>$I$46*$BB$46</f>
        <v>0</v>
      </c>
      <c r="BC102" s="48">
        <f>$I$46*$BC$46</f>
        <v>0</v>
      </c>
      <c r="BD102" s="48">
        <f>$I$46*$BD$46</f>
        <v>0</v>
      </c>
    </row>
    <row r="103" spans="1:56" ht="11.25" customHeight="1" x14ac:dyDescent="0.25">
      <c r="A103" s="9" t="s">
        <v>41</v>
      </c>
      <c r="B103" s="9" t="s">
        <v>876</v>
      </c>
      <c r="C103" s="9" t="s">
        <v>877</v>
      </c>
      <c r="D103" s="9" t="s">
        <v>882</v>
      </c>
      <c r="E103" s="9" t="s">
        <v>883</v>
      </c>
      <c r="F103" s="9" t="s">
        <v>884</v>
      </c>
      <c r="G103" s="9" t="s">
        <v>885</v>
      </c>
      <c r="L103" s="48">
        <f>$I$47*$L$47</f>
        <v>0</v>
      </c>
      <c r="M103" s="48">
        <f>$I$47*$M$47</f>
        <v>0</v>
      </c>
      <c r="N103" s="48">
        <f ca="1">$I$47*$N$47</f>
        <v>0</v>
      </c>
      <c r="O103" s="48">
        <f>$I$47*$O$47</f>
        <v>0</v>
      </c>
      <c r="P103" s="48">
        <f>$I$47*$P$47</f>
        <v>0</v>
      </c>
      <c r="Q103" s="48">
        <f>$I$47*$Q$47</f>
        <v>0</v>
      </c>
      <c r="R103" s="48">
        <f>$I$47*$R$47</f>
        <v>0</v>
      </c>
      <c r="S103" s="48">
        <f>$I$47*$S$47</f>
        <v>0</v>
      </c>
      <c r="T103" s="48">
        <f>$I$47*$T$47</f>
        <v>0</v>
      </c>
      <c r="U103" s="48">
        <f>$I$47*$U$47</f>
        <v>0</v>
      </c>
      <c r="V103" s="48">
        <f>$I$47*$V$47</f>
        <v>0</v>
      </c>
      <c r="W103" s="48">
        <f>$I$47*$W$47</f>
        <v>0</v>
      </c>
      <c r="X103" s="48">
        <f>$I$47*$X$47</f>
        <v>0</v>
      </c>
      <c r="Y103" s="48">
        <f>$I$47*$Y$47</f>
        <v>0</v>
      </c>
      <c r="Z103" s="48">
        <f>$I$47*$Z$47</f>
        <v>0</v>
      </c>
      <c r="AA103" s="48">
        <f>$I$47*$AA$47</f>
        <v>0</v>
      </c>
      <c r="AB103" s="48">
        <f ca="1">$I$47*$AB$47</f>
        <v>0</v>
      </c>
      <c r="AC103" s="48">
        <f ca="1">$I$47*$AC$47</f>
        <v>0</v>
      </c>
      <c r="AD103" s="48">
        <f>$I$47*$AD$47</f>
        <v>0</v>
      </c>
      <c r="AE103" s="48">
        <f>$I$47*$AE$47</f>
        <v>0</v>
      </c>
      <c r="AF103" s="48">
        <f ca="1">$I$47*$AF$47</f>
        <v>0</v>
      </c>
      <c r="AG103" s="48">
        <f ca="1">$I$47*$AG$47</f>
        <v>0</v>
      </c>
      <c r="AI103" s="48">
        <f>$I$47*$AI$47</f>
        <v>0</v>
      </c>
      <c r="AJ103" s="48">
        <f>$I$47*$AJ$47</f>
        <v>0</v>
      </c>
      <c r="AK103" s="48">
        <f>$I$47*$AK$47</f>
        <v>0</v>
      </c>
      <c r="AL103" s="48">
        <f>$I$47*$AL$47</f>
        <v>0</v>
      </c>
      <c r="AM103" s="48">
        <f>$I$47*$AM$47</f>
        <v>0</v>
      </c>
      <c r="AN103" s="48">
        <f>$I$47*$AN$47</f>
        <v>0</v>
      </c>
      <c r="AO103" s="48">
        <f>$I$47*$AO$47</f>
        <v>0</v>
      </c>
      <c r="AP103" s="48">
        <f>$I$47*$AP$47</f>
        <v>0</v>
      </c>
      <c r="AQ103" s="48">
        <f>$I$47*$AQ$47</f>
        <v>0</v>
      </c>
      <c r="AR103" s="48">
        <f>$I$47*$AR$47</f>
        <v>0</v>
      </c>
      <c r="AS103" s="48">
        <f>$I$47*$AS$47</f>
        <v>0</v>
      </c>
      <c r="AT103" s="48">
        <f>$I$47*$AT$47</f>
        <v>0</v>
      </c>
      <c r="AU103" s="48">
        <f>$I$47*$AU$47</f>
        <v>0</v>
      </c>
      <c r="AV103" s="48">
        <f>$I$47*$AV$47</f>
        <v>0</v>
      </c>
      <c r="AW103" s="48">
        <f>$I$47*$AW$47</f>
        <v>0</v>
      </c>
      <c r="AX103" s="48">
        <f>$I$47*$AX$47</f>
        <v>0</v>
      </c>
      <c r="AY103" s="48">
        <f>$I$47*$AY$47</f>
        <v>0</v>
      </c>
      <c r="AZ103" s="48">
        <f>$I$47*$AZ$47</f>
        <v>0</v>
      </c>
      <c r="BA103" s="48">
        <f>$I$47*$BA$47</f>
        <v>0</v>
      </c>
      <c r="BB103" s="48">
        <f>$I$47*$BB$47</f>
        <v>0</v>
      </c>
      <c r="BC103" s="48">
        <f>$I$47*$BC$47</f>
        <v>0</v>
      </c>
      <c r="BD103" s="48">
        <f>$I$47*$BD$47</f>
        <v>0</v>
      </c>
    </row>
    <row r="104" spans="1:56" ht="11.25" customHeight="1" x14ac:dyDescent="0.25">
      <c r="A104" s="9" t="s">
        <v>41</v>
      </c>
      <c r="B104" s="9" t="s">
        <v>876</v>
      </c>
      <c r="C104" s="9" t="s">
        <v>877</v>
      </c>
      <c r="D104" s="9" t="s">
        <v>886</v>
      </c>
      <c r="E104" s="9" t="s">
        <v>887</v>
      </c>
      <c r="F104" s="9" t="s">
        <v>888</v>
      </c>
      <c r="G104" s="9" t="s">
        <v>889</v>
      </c>
      <c r="L104" s="48">
        <f>$I$48*$L$48</f>
        <v>0</v>
      </c>
      <c r="M104" s="48">
        <f>$I$48*$M$48</f>
        <v>0</v>
      </c>
      <c r="N104" s="48">
        <f ca="1">$I$48*$N$48</f>
        <v>0</v>
      </c>
      <c r="O104" s="48">
        <f>$I$48*$O$48</f>
        <v>0</v>
      </c>
      <c r="P104" s="48">
        <f>$I$48*$P$48</f>
        <v>0</v>
      </c>
      <c r="Q104" s="48">
        <f>$I$48*$Q$48</f>
        <v>0</v>
      </c>
      <c r="R104" s="48">
        <f>$I$48*$R$48</f>
        <v>0</v>
      </c>
      <c r="S104" s="48">
        <f>$I$48*$S$48</f>
        <v>0</v>
      </c>
      <c r="T104" s="48">
        <f>$I$48*$T$48</f>
        <v>0</v>
      </c>
      <c r="U104" s="48">
        <f>$I$48*$U$48</f>
        <v>0</v>
      </c>
      <c r="V104" s="48">
        <f>$I$48*$V$48</f>
        <v>0</v>
      </c>
      <c r="W104" s="48">
        <f>$I$48*$W$48</f>
        <v>0</v>
      </c>
      <c r="X104" s="48">
        <f>$I$48*$X$48</f>
        <v>0</v>
      </c>
      <c r="Y104" s="48">
        <f>$I$48*$Y$48</f>
        <v>0</v>
      </c>
      <c r="Z104" s="48">
        <f>$I$48*$Z$48</f>
        <v>0</v>
      </c>
      <c r="AA104" s="48">
        <f>$I$48*$AA$48</f>
        <v>0</v>
      </c>
      <c r="AB104" s="48">
        <f ca="1">$I$48*$AB$48</f>
        <v>0</v>
      </c>
      <c r="AC104" s="48">
        <f ca="1">$I$48*$AC$48</f>
        <v>0</v>
      </c>
      <c r="AD104" s="48">
        <f>$I$48*$AD$48</f>
        <v>0</v>
      </c>
      <c r="AE104" s="48">
        <f>$I$48*$AE$48</f>
        <v>0</v>
      </c>
      <c r="AF104" s="48">
        <f ca="1">$I$48*$AF$48</f>
        <v>0</v>
      </c>
      <c r="AG104" s="48">
        <f ca="1">$I$48*$AG$48</f>
        <v>0</v>
      </c>
      <c r="AI104" s="48">
        <f>$I$48*$AI$48</f>
        <v>0</v>
      </c>
      <c r="AJ104" s="48">
        <f>$I$48*$AJ$48</f>
        <v>0</v>
      </c>
      <c r="AK104" s="48">
        <f>$I$48*$AK$48</f>
        <v>0</v>
      </c>
      <c r="AL104" s="48">
        <f>$I$48*$AL$48</f>
        <v>0</v>
      </c>
      <c r="AM104" s="48">
        <f>$I$48*$AM$48</f>
        <v>0</v>
      </c>
      <c r="AN104" s="48">
        <f>$I$48*$AN$48</f>
        <v>0</v>
      </c>
      <c r="AO104" s="48">
        <f>$I$48*$AO$48</f>
        <v>0</v>
      </c>
      <c r="AP104" s="48">
        <f>$I$48*$AP$48</f>
        <v>0</v>
      </c>
      <c r="AQ104" s="48">
        <f>$I$48*$AQ$48</f>
        <v>0</v>
      </c>
      <c r="AR104" s="48">
        <f>$I$48*$AR$48</f>
        <v>0</v>
      </c>
      <c r="AS104" s="48">
        <f>$I$48*$AS$48</f>
        <v>0</v>
      </c>
      <c r="AT104" s="48">
        <f>$I$48*$AT$48</f>
        <v>0</v>
      </c>
      <c r="AU104" s="48">
        <f>$I$48*$AU$48</f>
        <v>0</v>
      </c>
      <c r="AV104" s="48">
        <f>$I$48*$AV$48</f>
        <v>0</v>
      </c>
      <c r="AW104" s="48">
        <f>$I$48*$AW$48</f>
        <v>0</v>
      </c>
      <c r="AX104" s="48">
        <f>$I$48*$AX$48</f>
        <v>0</v>
      </c>
      <c r="AY104" s="48">
        <f>$I$48*$AY$48</f>
        <v>0</v>
      </c>
      <c r="AZ104" s="48">
        <f>$I$48*$AZ$48</f>
        <v>0</v>
      </c>
      <c r="BA104" s="48">
        <f>$I$48*$BA$48</f>
        <v>0</v>
      </c>
      <c r="BB104" s="48">
        <f>$I$48*$BB$48</f>
        <v>0</v>
      </c>
      <c r="BC104" s="48">
        <f>$I$48*$BC$48</f>
        <v>0</v>
      </c>
      <c r="BD104" s="48">
        <f>$I$48*$BD$48</f>
        <v>0</v>
      </c>
    </row>
    <row r="105" spans="1:56" ht="11.25" customHeight="1" x14ac:dyDescent="0.25">
      <c r="A105" s="9" t="s">
        <v>33</v>
      </c>
      <c r="B105" s="9" t="s">
        <v>890</v>
      </c>
      <c r="C105" s="9" t="s">
        <v>891</v>
      </c>
      <c r="D105" s="9" t="s">
        <v>892</v>
      </c>
      <c r="E105" s="9" t="s">
        <v>893</v>
      </c>
      <c r="F105" s="9" t="s">
        <v>894</v>
      </c>
      <c r="G105" s="9" t="s">
        <v>895</v>
      </c>
      <c r="L105" s="48">
        <f>$I$49*$L$49</f>
        <v>0</v>
      </c>
      <c r="M105" s="48">
        <f>$I$49*$M$49</f>
        <v>0</v>
      </c>
      <c r="N105" s="48">
        <f ca="1">$I$49*$N$49</f>
        <v>0</v>
      </c>
      <c r="O105" s="48">
        <f>$I$49*$O$49</f>
        <v>0</v>
      </c>
      <c r="P105" s="48">
        <f>$I$49*$P$49</f>
        <v>0</v>
      </c>
      <c r="Q105" s="48">
        <f>$I$49*$Q$49</f>
        <v>0</v>
      </c>
      <c r="R105" s="48">
        <f>$I$49*$R$49</f>
        <v>0</v>
      </c>
      <c r="S105" s="48">
        <f>$I$49*$S$49</f>
        <v>0</v>
      </c>
      <c r="T105" s="48">
        <f>$I$49*$T$49</f>
        <v>0</v>
      </c>
      <c r="U105" s="48">
        <f>$I$49*$U$49</f>
        <v>0</v>
      </c>
      <c r="V105" s="48">
        <f>$I$49*$V$49</f>
        <v>0</v>
      </c>
      <c r="W105" s="48">
        <f>$I$49*$W$49</f>
        <v>0</v>
      </c>
      <c r="X105" s="48">
        <f>$I$49*$X$49</f>
        <v>0</v>
      </c>
      <c r="Y105" s="48">
        <f>$I$49*$Y$49</f>
        <v>0</v>
      </c>
      <c r="Z105" s="48">
        <f>$I$49*$Z$49</f>
        <v>0</v>
      </c>
      <c r="AA105" s="48">
        <f>$I$49*$AA$49</f>
        <v>0</v>
      </c>
      <c r="AB105" s="48">
        <f ca="1">$I$49*$AB$49</f>
        <v>0</v>
      </c>
      <c r="AC105" s="48">
        <f ca="1">$I$49*$AC$49</f>
        <v>0</v>
      </c>
      <c r="AD105" s="48">
        <f>$I$49*$AD$49</f>
        <v>0</v>
      </c>
      <c r="AE105" s="48">
        <f>$I$49*$AE$49</f>
        <v>0</v>
      </c>
      <c r="AF105" s="48">
        <f ca="1">$I$49*$AF$49</f>
        <v>0</v>
      </c>
      <c r="AG105" s="48">
        <f ca="1">$I$49*$AG$49</f>
        <v>0</v>
      </c>
      <c r="AI105" s="48">
        <f>$I$49*$AI$49</f>
        <v>0</v>
      </c>
      <c r="AJ105" s="48">
        <f>$I$49*$AJ$49</f>
        <v>0</v>
      </c>
      <c r="AK105" s="48">
        <f>$I$49*$AK$49</f>
        <v>0</v>
      </c>
      <c r="AL105" s="48">
        <f>$I$49*$AL$49</f>
        <v>0</v>
      </c>
      <c r="AM105" s="48">
        <f>$I$49*$AM$49</f>
        <v>0</v>
      </c>
      <c r="AN105" s="48">
        <f>$I$49*$AN$49</f>
        <v>0</v>
      </c>
      <c r="AO105" s="48">
        <f>$I$49*$AO$49</f>
        <v>0</v>
      </c>
      <c r="AP105" s="48">
        <f>$I$49*$AP$49</f>
        <v>0</v>
      </c>
      <c r="AQ105" s="48">
        <f>$I$49*$AQ$49</f>
        <v>0</v>
      </c>
      <c r="AR105" s="48">
        <f>$I$49*$AR$49</f>
        <v>0</v>
      </c>
      <c r="AS105" s="48">
        <f>$I$49*$AS$49</f>
        <v>0</v>
      </c>
      <c r="AT105" s="48">
        <f>$I$49*$AT$49</f>
        <v>0</v>
      </c>
      <c r="AU105" s="48">
        <f>$I$49*$AU$49</f>
        <v>0</v>
      </c>
      <c r="AV105" s="48">
        <f>$I$49*$AV$49</f>
        <v>0</v>
      </c>
      <c r="AW105" s="48">
        <f>$I$49*$AW$49</f>
        <v>0</v>
      </c>
      <c r="AX105" s="48">
        <f>$I$49*$AX$49</f>
        <v>0</v>
      </c>
      <c r="AY105" s="48">
        <f>$I$49*$AY$49</f>
        <v>0</v>
      </c>
      <c r="AZ105" s="48">
        <f>$I$49*$AZ$49</f>
        <v>0</v>
      </c>
      <c r="BA105" s="48">
        <f>$I$49*$BA$49</f>
        <v>0</v>
      </c>
      <c r="BB105" s="48">
        <f>$I$49*$BB$49</f>
        <v>0</v>
      </c>
      <c r="BC105" s="48">
        <f>$I$49*$BC$49</f>
        <v>0</v>
      </c>
      <c r="BD105" s="48">
        <f>$I$49*$BD$49</f>
        <v>0</v>
      </c>
    </row>
    <row r="106" spans="1:56" ht="11.25" customHeight="1" x14ac:dyDescent="0.25">
      <c r="A106" s="9" t="s">
        <v>33</v>
      </c>
      <c r="B106" s="9" t="s">
        <v>890</v>
      </c>
      <c r="C106" s="9" t="s">
        <v>891</v>
      </c>
      <c r="D106" s="9" t="s">
        <v>892</v>
      </c>
      <c r="E106" s="9" t="s">
        <v>893</v>
      </c>
      <c r="F106" s="9" t="s">
        <v>894</v>
      </c>
      <c r="G106" s="9" t="s">
        <v>896</v>
      </c>
      <c r="L106" s="48">
        <f>$I$50*$L$50</f>
        <v>0</v>
      </c>
      <c r="M106" s="48">
        <f>$I$50*$M$50</f>
        <v>0</v>
      </c>
      <c r="N106" s="48">
        <f ca="1">$I$50*$N$50</f>
        <v>0</v>
      </c>
      <c r="O106" s="48">
        <f>$I$50*$O$50</f>
        <v>0</v>
      </c>
      <c r="P106" s="48">
        <f>$I$50*$P$50</f>
        <v>0</v>
      </c>
      <c r="Q106" s="48">
        <f>$I$50*$Q$50</f>
        <v>0</v>
      </c>
      <c r="R106" s="48">
        <f>$I$50*$R$50</f>
        <v>0</v>
      </c>
      <c r="S106" s="48">
        <f>$I$50*$S$50</f>
        <v>0</v>
      </c>
      <c r="T106" s="48">
        <f>$I$50*$T$50</f>
        <v>0</v>
      </c>
      <c r="U106" s="48">
        <f>$I$50*$U$50</f>
        <v>0</v>
      </c>
      <c r="V106" s="48">
        <f>$I$50*$V$50</f>
        <v>0</v>
      </c>
      <c r="W106" s="48">
        <f>$I$50*$W$50</f>
        <v>0</v>
      </c>
      <c r="X106" s="48">
        <f>$I$50*$X$50</f>
        <v>0</v>
      </c>
      <c r="Y106" s="48">
        <f>$I$50*$Y$50</f>
        <v>0</v>
      </c>
      <c r="Z106" s="48">
        <f>$I$50*$Z$50</f>
        <v>0</v>
      </c>
      <c r="AA106" s="48">
        <f>$I$50*$AA$50</f>
        <v>0</v>
      </c>
      <c r="AB106" s="48">
        <f ca="1">$I$50*$AB$50</f>
        <v>0</v>
      </c>
      <c r="AC106" s="48">
        <f ca="1">$I$50*$AC$50</f>
        <v>0</v>
      </c>
      <c r="AD106" s="48">
        <f>$I$50*$AD$50</f>
        <v>0</v>
      </c>
      <c r="AE106" s="48">
        <f>$I$50*$AE$50</f>
        <v>0</v>
      </c>
      <c r="AF106" s="48">
        <f ca="1">$I$50*$AF$50</f>
        <v>0</v>
      </c>
      <c r="AG106" s="48">
        <f ca="1">$I$50*$AG$50</f>
        <v>0</v>
      </c>
      <c r="AI106" s="48">
        <f>$I$50*$AI$50</f>
        <v>0</v>
      </c>
      <c r="AJ106" s="48">
        <f>$I$50*$AJ$50</f>
        <v>0</v>
      </c>
      <c r="AK106" s="48">
        <f>$I$50*$AK$50</f>
        <v>0</v>
      </c>
      <c r="AL106" s="48">
        <f>$I$50*$AL$50</f>
        <v>0</v>
      </c>
      <c r="AM106" s="48">
        <f>$I$50*$AM$50</f>
        <v>0</v>
      </c>
      <c r="AN106" s="48">
        <f>$I$50*$AN$50</f>
        <v>0</v>
      </c>
      <c r="AO106" s="48">
        <f>$I$50*$AO$50</f>
        <v>0</v>
      </c>
      <c r="AP106" s="48">
        <f>$I$50*$AP$50</f>
        <v>0</v>
      </c>
      <c r="AQ106" s="48">
        <f>$I$50*$AQ$50</f>
        <v>0</v>
      </c>
      <c r="AR106" s="48">
        <f>$I$50*$AR$50</f>
        <v>0</v>
      </c>
      <c r="AS106" s="48">
        <f>$I$50*$AS$50</f>
        <v>0</v>
      </c>
      <c r="AT106" s="48">
        <f>$I$50*$AT$50</f>
        <v>0</v>
      </c>
      <c r="AU106" s="48">
        <f>$I$50*$AU$50</f>
        <v>0</v>
      </c>
      <c r="AV106" s="48">
        <f>$I$50*$AV$50</f>
        <v>0</v>
      </c>
      <c r="AW106" s="48">
        <f>$I$50*$AW$50</f>
        <v>0</v>
      </c>
      <c r="AX106" s="48">
        <f>$I$50*$AX$50</f>
        <v>0</v>
      </c>
      <c r="AY106" s="48">
        <f>$I$50*$AY$50</f>
        <v>0</v>
      </c>
      <c r="AZ106" s="48">
        <f>$I$50*$AZ$50</f>
        <v>0</v>
      </c>
      <c r="BA106" s="48">
        <f>$I$50*$BA$50</f>
        <v>0</v>
      </c>
      <c r="BB106" s="48">
        <f>$I$50*$BB$50</f>
        <v>0</v>
      </c>
      <c r="BC106" s="48">
        <f>$I$50*$BC$50</f>
        <v>0</v>
      </c>
      <c r="BD106" s="48">
        <f>$I$50*$BD$50</f>
        <v>0</v>
      </c>
    </row>
    <row r="107" spans="1:56" ht="11.25" customHeight="1" x14ac:dyDescent="0.25">
      <c r="A107" s="9" t="s">
        <v>33</v>
      </c>
      <c r="B107" s="9" t="s">
        <v>890</v>
      </c>
      <c r="C107" s="9" t="s">
        <v>891</v>
      </c>
      <c r="D107" s="9" t="s">
        <v>892</v>
      </c>
      <c r="E107" s="9" t="s">
        <v>893</v>
      </c>
      <c r="F107" s="9" t="s">
        <v>894</v>
      </c>
      <c r="G107" s="9" t="s">
        <v>897</v>
      </c>
      <c r="L107" s="48">
        <f>$I$51*$L$51</f>
        <v>0</v>
      </c>
      <c r="M107" s="48">
        <f>$I$51*$M$51</f>
        <v>0</v>
      </c>
      <c r="N107" s="48">
        <f ca="1">$I$51*$N$51</f>
        <v>0</v>
      </c>
      <c r="O107" s="48">
        <f>$I$51*$O$51</f>
        <v>0</v>
      </c>
      <c r="P107" s="48">
        <f>$I$51*$P$51</f>
        <v>0</v>
      </c>
      <c r="Q107" s="48">
        <f>$I$51*$Q$51</f>
        <v>0</v>
      </c>
      <c r="R107" s="48">
        <f>$I$51*$R$51</f>
        <v>0</v>
      </c>
      <c r="S107" s="48">
        <f>$I$51*$S$51</f>
        <v>0</v>
      </c>
      <c r="T107" s="48">
        <f>$I$51*$T$51</f>
        <v>0</v>
      </c>
      <c r="U107" s="48">
        <f>$I$51*$U$51</f>
        <v>0</v>
      </c>
      <c r="V107" s="48">
        <f>$I$51*$V$51</f>
        <v>0</v>
      </c>
      <c r="W107" s="48">
        <f>$I$51*$W$51</f>
        <v>0</v>
      </c>
      <c r="X107" s="48">
        <f>$I$51*$X$51</f>
        <v>0</v>
      </c>
      <c r="Y107" s="48">
        <f>$I$51*$Y$51</f>
        <v>0</v>
      </c>
      <c r="Z107" s="48">
        <f>$I$51*$Z$51</f>
        <v>0</v>
      </c>
      <c r="AA107" s="48">
        <f>$I$51*$AA$51</f>
        <v>0</v>
      </c>
      <c r="AB107" s="48">
        <f ca="1">$I$51*$AB$51</f>
        <v>0</v>
      </c>
      <c r="AC107" s="48">
        <f ca="1">$I$51*$AC$51</f>
        <v>0</v>
      </c>
      <c r="AD107" s="48">
        <f>$I$51*$AD$51</f>
        <v>0</v>
      </c>
      <c r="AE107" s="48">
        <f>$I$51*$AE$51</f>
        <v>0</v>
      </c>
      <c r="AF107" s="48">
        <f ca="1">$I$51*$AF$51</f>
        <v>0</v>
      </c>
      <c r="AG107" s="48">
        <f ca="1">$I$51*$AG$51</f>
        <v>0</v>
      </c>
      <c r="AI107" s="48">
        <f>$I$51*$AI$51</f>
        <v>0</v>
      </c>
      <c r="AJ107" s="48">
        <f>$I$51*$AJ$51</f>
        <v>0</v>
      </c>
      <c r="AK107" s="48">
        <f>$I$51*$AK$51</f>
        <v>0</v>
      </c>
      <c r="AL107" s="48">
        <f>$I$51*$AL$51</f>
        <v>0</v>
      </c>
      <c r="AM107" s="48">
        <f>$I$51*$AM$51</f>
        <v>0</v>
      </c>
      <c r="AN107" s="48">
        <f>$I$51*$AN$51</f>
        <v>0</v>
      </c>
      <c r="AO107" s="48">
        <f>$I$51*$AO$51</f>
        <v>0</v>
      </c>
      <c r="AP107" s="48">
        <f>$I$51*$AP$51</f>
        <v>0</v>
      </c>
      <c r="AQ107" s="48">
        <f>$I$51*$AQ$51</f>
        <v>0</v>
      </c>
      <c r="AR107" s="48">
        <f>$I$51*$AR$51</f>
        <v>0</v>
      </c>
      <c r="AS107" s="48">
        <f>$I$51*$AS$51</f>
        <v>0</v>
      </c>
      <c r="AT107" s="48">
        <f>$I$51*$AT$51</f>
        <v>0</v>
      </c>
      <c r="AU107" s="48">
        <f>$I$51*$AU$51</f>
        <v>0</v>
      </c>
      <c r="AV107" s="48">
        <f>$I$51*$AV$51</f>
        <v>0</v>
      </c>
      <c r="AW107" s="48">
        <f>$I$51*$AW$51</f>
        <v>0</v>
      </c>
      <c r="AX107" s="48">
        <f>$I$51*$AX$51</f>
        <v>0</v>
      </c>
      <c r="AY107" s="48">
        <f>$I$51*$AY$51</f>
        <v>0</v>
      </c>
      <c r="AZ107" s="48">
        <f>$I$51*$AZ$51</f>
        <v>0</v>
      </c>
      <c r="BA107" s="48">
        <f>$I$51*$BA$51</f>
        <v>0</v>
      </c>
      <c r="BB107" s="48">
        <f>$I$51*$BB$51</f>
        <v>0</v>
      </c>
      <c r="BC107" s="48">
        <f>$I$51*$BC$51</f>
        <v>0</v>
      </c>
      <c r="BD107" s="48">
        <f>$I$51*$BD$51</f>
        <v>0</v>
      </c>
    </row>
    <row r="108" spans="1:56" ht="11.25" customHeight="1" x14ac:dyDescent="0.25">
      <c r="A108" s="9" t="s">
        <v>33</v>
      </c>
      <c r="B108" s="9" t="s">
        <v>898</v>
      </c>
      <c r="C108" s="9" t="s">
        <v>899</v>
      </c>
      <c r="D108" s="9" t="s">
        <v>900</v>
      </c>
      <c r="E108" s="9" t="s">
        <v>901</v>
      </c>
      <c r="F108" s="9" t="s">
        <v>902</v>
      </c>
      <c r="G108" s="9" t="s">
        <v>903</v>
      </c>
      <c r="L108" s="48">
        <f>$I$52*$L$52</f>
        <v>0</v>
      </c>
      <c r="M108" s="48">
        <f>$I$52*$M$52</f>
        <v>22399.48720598513</v>
      </c>
      <c r="N108" s="48">
        <f ca="1">$I$52*$N$52</f>
        <v>0</v>
      </c>
      <c r="O108" s="48">
        <f>$I$52*$O$52</f>
        <v>0</v>
      </c>
      <c r="P108" s="48">
        <f>$I$52*$P$52</f>
        <v>0</v>
      </c>
      <c r="Q108" s="48">
        <f>$I$52*$Q$52</f>
        <v>2412894.8076889566</v>
      </c>
      <c r="R108" s="48">
        <f>$I$52*$R$52</f>
        <v>381671.18880394869</v>
      </c>
      <c r="S108" s="48">
        <f>$I$52*$S$52</f>
        <v>0</v>
      </c>
      <c r="T108" s="48">
        <f>$I$52*$T$52</f>
        <v>313304.84512765682</v>
      </c>
      <c r="U108" s="48">
        <f>$I$52*$U$52</f>
        <v>324883.74915464676</v>
      </c>
      <c r="V108" s="48">
        <f>$I$52*$V$52</f>
        <v>78739.738714332911</v>
      </c>
      <c r="W108" s="48">
        <f>$I$52*$W$52</f>
        <v>0</v>
      </c>
      <c r="X108" s="48">
        <f>$I$52*$X$52</f>
        <v>2269539.463643006</v>
      </c>
      <c r="Y108" s="48">
        <f>$I$52*$Y$52</f>
        <v>0</v>
      </c>
      <c r="Z108" s="48">
        <f>$I$52*$Z$52</f>
        <v>0</v>
      </c>
      <c r="AA108" s="48">
        <f>$I$52*$AA$52</f>
        <v>2112529.0539999511</v>
      </c>
      <c r="AB108" s="48">
        <f ca="1">$I$52*$AB$52</f>
        <v>-34013.426232598715</v>
      </c>
      <c r="AC108" s="48">
        <f ca="1">$I$52*$AC$52</f>
        <v>0</v>
      </c>
      <c r="AD108" s="48">
        <f>$I$52*$AD$52</f>
        <v>475408.5879090199</v>
      </c>
      <c r="AE108" s="48">
        <f>$I$52*$AE$52</f>
        <v>12218.517794079879</v>
      </c>
      <c r="AF108" s="48">
        <f ca="1">$I$52*$AF$52</f>
        <v>0</v>
      </c>
      <c r="AG108" s="48">
        <f ca="1">$I$52*$AG$52</f>
        <v>0</v>
      </c>
      <c r="AI108" s="48">
        <f>$I$52*$AI$52</f>
        <v>0</v>
      </c>
      <c r="AJ108" s="48">
        <f>$I$52*$AJ$52</f>
        <v>28928.074122339483</v>
      </c>
      <c r="AK108" s="48">
        <f>$I$52*$AK$52</f>
        <v>0</v>
      </c>
      <c r="AL108" s="48">
        <f>$I$52*$AL$52</f>
        <v>0</v>
      </c>
      <c r="AM108" s="48">
        <f>$I$52*$AM$52</f>
        <v>0</v>
      </c>
      <c r="AN108" s="48">
        <f>$I$52*$AN$52</f>
        <v>1701958.8788330634</v>
      </c>
      <c r="AO108" s="48">
        <f>$I$52*$AO$52</f>
        <v>263934.90938240354</v>
      </c>
      <c r="AP108" s="48">
        <f>$I$52*$AP$52</f>
        <v>0</v>
      </c>
      <c r="AQ108" s="48">
        <f>$I$52*$AQ$52</f>
        <v>275993.31877857452</v>
      </c>
      <c r="AR108" s="48">
        <f>$I$52*$AR$52</f>
        <v>224352.65223240678</v>
      </c>
      <c r="AS108" s="48">
        <f>$I$52*$AS$52</f>
        <v>16881.6784311886</v>
      </c>
      <c r="AT108" s="48">
        <f>$I$52*$AT$52</f>
        <v>0</v>
      </c>
      <c r="AU108" s="48">
        <f>$I$52*$AU$52</f>
        <v>2244032.7330967574</v>
      </c>
      <c r="AV108" s="48">
        <f>$I$52*$AV$52</f>
        <v>0</v>
      </c>
      <c r="AW108" s="48">
        <f>$I$52*$AW$52</f>
        <v>0</v>
      </c>
      <c r="AX108" s="48">
        <f>$I$52*$AX$52</f>
        <v>2679430.1886181263</v>
      </c>
      <c r="AY108" s="48">
        <f>$I$52*$AY$52</f>
        <v>-152795.95285638727</v>
      </c>
      <c r="AZ108" s="48">
        <f>$I$52*$AZ$52</f>
        <v>0</v>
      </c>
      <c r="BA108" s="48">
        <f>$I$52*$BA$52</f>
        <v>520547.27326830075</v>
      </c>
      <c r="BB108" s="48">
        <f>$I$52*$BB$52</f>
        <v>14662.214150282345</v>
      </c>
      <c r="BC108" s="48">
        <f>$I$52*$BC$52</f>
        <v>0</v>
      </c>
      <c r="BD108" s="48">
        <f>$I$52*$BD$52</f>
        <v>0</v>
      </c>
    </row>
    <row r="109" spans="1:56" ht="11.25" customHeight="1" x14ac:dyDescent="0.25">
      <c r="A109" s="9" t="s">
        <v>33</v>
      </c>
      <c r="B109" s="9" t="s">
        <v>904</v>
      </c>
      <c r="C109" s="9" t="s">
        <v>905</v>
      </c>
      <c r="D109" s="9" t="s">
        <v>906</v>
      </c>
      <c r="E109" s="9" t="s">
        <v>907</v>
      </c>
      <c r="F109" s="9" t="s">
        <v>908</v>
      </c>
      <c r="G109" s="9" t="s">
        <v>909</v>
      </c>
      <c r="L109" s="48">
        <f>$I$53*$L$53</f>
        <v>0</v>
      </c>
      <c r="M109" s="48">
        <f>$I$53*$M$53</f>
        <v>0</v>
      </c>
      <c r="N109" s="48">
        <f ca="1">$I$53*$N$53</f>
        <v>0</v>
      </c>
      <c r="O109" s="48">
        <f>$I$53*$O$53</f>
        <v>0</v>
      </c>
      <c r="P109" s="48">
        <f>$I$53*$P$53</f>
        <v>0</v>
      </c>
      <c r="Q109" s="48">
        <f>$I$53*$Q$53</f>
        <v>0</v>
      </c>
      <c r="R109" s="48">
        <f>$I$53*$R$53</f>
        <v>0</v>
      </c>
      <c r="S109" s="48">
        <f>$I$53*$S$53</f>
        <v>0</v>
      </c>
      <c r="T109" s="48">
        <f>$I$53*$T$53</f>
        <v>0</v>
      </c>
      <c r="U109" s="48">
        <f>$I$53*$U$53</f>
        <v>0</v>
      </c>
      <c r="V109" s="48">
        <f>$I$53*$V$53</f>
        <v>0</v>
      </c>
      <c r="W109" s="48">
        <f>$I$53*$W$53</f>
        <v>0</v>
      </c>
      <c r="X109" s="48">
        <f>$I$53*$X$53</f>
        <v>0</v>
      </c>
      <c r="Y109" s="48">
        <f>$I$53*$Y$53</f>
        <v>0</v>
      </c>
      <c r="Z109" s="48">
        <f>$I$53*$Z$53</f>
        <v>0</v>
      </c>
      <c r="AA109" s="48">
        <f>$I$53*$AA$53</f>
        <v>0</v>
      </c>
      <c r="AB109" s="48">
        <f ca="1">$I$53*$AB$53</f>
        <v>0</v>
      </c>
      <c r="AC109" s="48">
        <f ca="1">$I$53*$AC$53</f>
        <v>0</v>
      </c>
      <c r="AD109" s="48">
        <f>$I$53*$AD$53</f>
        <v>0</v>
      </c>
      <c r="AE109" s="48">
        <f>$I$53*$AE$53</f>
        <v>0</v>
      </c>
      <c r="AF109" s="48">
        <f ca="1">$I$53*$AF$53</f>
        <v>0</v>
      </c>
      <c r="AG109" s="48">
        <f ca="1">$I$53*$AG$53</f>
        <v>0</v>
      </c>
      <c r="AI109" s="48">
        <f>$I$53*$AI$53</f>
        <v>0</v>
      </c>
      <c r="AJ109" s="48">
        <f>$I$53*$AJ$53</f>
        <v>0</v>
      </c>
      <c r="AK109" s="48">
        <f>$I$53*$AK$53</f>
        <v>0</v>
      </c>
      <c r="AL109" s="48">
        <f>$I$53*$AL$53</f>
        <v>0</v>
      </c>
      <c r="AM109" s="48">
        <f>$I$53*$AM$53</f>
        <v>0</v>
      </c>
      <c r="AN109" s="48">
        <f>$I$53*$AN$53</f>
        <v>0</v>
      </c>
      <c r="AO109" s="48">
        <f>$I$53*$AO$53</f>
        <v>0</v>
      </c>
      <c r="AP109" s="48">
        <f>$I$53*$AP$53</f>
        <v>0</v>
      </c>
      <c r="AQ109" s="48">
        <f>$I$53*$AQ$53</f>
        <v>0</v>
      </c>
      <c r="AR109" s="48">
        <f>$I$53*$AR$53</f>
        <v>0</v>
      </c>
      <c r="AS109" s="48">
        <f>$I$53*$AS$53</f>
        <v>0</v>
      </c>
      <c r="AT109" s="48">
        <f>$I$53*$AT$53</f>
        <v>0</v>
      </c>
      <c r="AU109" s="48">
        <f>$I$53*$AU$53</f>
        <v>0</v>
      </c>
      <c r="AV109" s="48">
        <f>$I$53*$AV$53</f>
        <v>0</v>
      </c>
      <c r="AW109" s="48">
        <f>$I$53*$AW$53</f>
        <v>0</v>
      </c>
      <c r="AX109" s="48">
        <f>$I$53*$AX$53</f>
        <v>0</v>
      </c>
      <c r="AY109" s="48">
        <f>$I$53*$AY$53</f>
        <v>0</v>
      </c>
      <c r="AZ109" s="48">
        <f>$I$53*$AZ$53</f>
        <v>0</v>
      </c>
      <c r="BA109" s="48">
        <f>$I$53*$BA$53</f>
        <v>0</v>
      </c>
      <c r="BB109" s="48">
        <f>$I$53*$BB$53</f>
        <v>0</v>
      </c>
      <c r="BC109" s="48">
        <f>$I$53*$BC$53</f>
        <v>0</v>
      </c>
      <c r="BD109" s="48">
        <f>$I$53*$BD$53</f>
        <v>0</v>
      </c>
    </row>
    <row r="110" spans="1:56" ht="11.25" customHeight="1" x14ac:dyDescent="0.25">
      <c r="A110" s="9" t="s">
        <v>44</v>
      </c>
      <c r="B110" s="9" t="s">
        <v>910</v>
      </c>
      <c r="C110" s="9" t="s">
        <v>911</v>
      </c>
      <c r="D110" s="9" t="s">
        <v>912</v>
      </c>
      <c r="E110" s="9" t="s">
        <v>913</v>
      </c>
      <c r="F110" s="9" t="s">
        <v>914</v>
      </c>
      <c r="G110" s="9" t="s">
        <v>915</v>
      </c>
      <c r="L110" s="48">
        <f>$I$54*$L$54</f>
        <v>0</v>
      </c>
      <c r="M110" s="48">
        <f>$I$54*$M$54</f>
        <v>2853.8656607817406</v>
      </c>
      <c r="N110" s="48">
        <f ca="1">$I$54*$N$54</f>
        <v>0</v>
      </c>
      <c r="O110" s="48">
        <f>$I$54*$O$54</f>
        <v>0</v>
      </c>
      <c r="P110" s="48">
        <f>$I$54*$P$54</f>
        <v>0</v>
      </c>
      <c r="Q110" s="48">
        <f>$I$54*$Q$54</f>
        <v>307421.21779029473</v>
      </c>
      <c r="R110" s="48">
        <f>$I$54*$R$54</f>
        <v>48627.823013121902</v>
      </c>
      <c r="S110" s="48">
        <f>$I$54*$S$54</f>
        <v>0</v>
      </c>
      <c r="T110" s="48">
        <f>$I$54*$T$54</f>
        <v>39917.42894129514</v>
      </c>
      <c r="U110" s="48">
        <f>$I$54*$U$54</f>
        <v>41392.669704096385</v>
      </c>
      <c r="V110" s="48">
        <f>$I$54*$V$54</f>
        <v>10032.043786954115</v>
      </c>
      <c r="W110" s="48">
        <f>$I$54*$W$54</f>
        <v>0</v>
      </c>
      <c r="X110" s="48">
        <f>$I$54*$X$54</f>
        <v>289156.65262859879</v>
      </c>
      <c r="Y110" s="48">
        <f>$I$54*$Y$54</f>
        <v>0</v>
      </c>
      <c r="Z110" s="48">
        <f>$I$54*$Z$54</f>
        <v>0</v>
      </c>
      <c r="AA110" s="48">
        <f>$I$54*$AA$54</f>
        <v>269152.32787129533</v>
      </c>
      <c r="AB110" s="48">
        <f ca="1">$I$54*$AB$54</f>
        <v>-4333.5701499813495</v>
      </c>
      <c r="AC110" s="48">
        <f ca="1">$I$54*$AC$54</f>
        <v>0</v>
      </c>
      <c r="AD110" s="48">
        <f>$I$54*$AD$54</f>
        <v>60570.683221344712</v>
      </c>
      <c r="AE110" s="48">
        <f>$I$54*$AE$54</f>
        <v>1556.7324393416463</v>
      </c>
      <c r="AF110" s="48">
        <f ca="1">$I$54*$AF$54</f>
        <v>0</v>
      </c>
      <c r="AG110" s="48">
        <f ca="1">$I$54*$AG$54</f>
        <v>0</v>
      </c>
      <c r="AI110" s="48">
        <f>$I$54*$AI$54</f>
        <v>0</v>
      </c>
      <c r="AJ110" s="48">
        <f>$I$54*$AJ$54</f>
        <v>3685.6574711332914</v>
      </c>
      <c r="AK110" s="48">
        <f>$I$54*$AK$54</f>
        <v>0</v>
      </c>
      <c r="AL110" s="48">
        <f>$I$54*$AL$54</f>
        <v>0</v>
      </c>
      <c r="AM110" s="48">
        <f>$I$54*$AM$54</f>
        <v>0</v>
      </c>
      <c r="AN110" s="48">
        <f>$I$54*$AN$54</f>
        <v>216842.55338963441</v>
      </c>
      <c r="AO110" s="48">
        <f>$I$54*$AO$54</f>
        <v>33627.322252570062</v>
      </c>
      <c r="AP110" s="48">
        <f>$I$54*$AP$54</f>
        <v>0</v>
      </c>
      <c r="AQ110" s="48">
        <f>$I$54*$AQ$54</f>
        <v>35163.655659800279</v>
      </c>
      <c r="AR110" s="48">
        <f>$I$54*$AR$54</f>
        <v>28584.240532983837</v>
      </c>
      <c r="AS110" s="48">
        <f>$I$54*$AS$54</f>
        <v>2150.854701631547</v>
      </c>
      <c r="AT110" s="48">
        <f>$I$54*$AT$54</f>
        <v>0</v>
      </c>
      <c r="AU110" s="48">
        <f>$I$54*$AU$54</f>
        <v>285906.9004465352</v>
      </c>
      <c r="AV110" s="48">
        <f>$I$54*$AV$54</f>
        <v>0</v>
      </c>
      <c r="AW110" s="48">
        <f>$I$54*$AW$54</f>
        <v>0</v>
      </c>
      <c r="AX110" s="48">
        <f>$I$54*$AX$54</f>
        <v>341379.85996911657</v>
      </c>
      <c r="AY110" s="48">
        <f>$I$54*$AY$54</f>
        <v>-19467.37079082572</v>
      </c>
      <c r="AZ110" s="48">
        <f>$I$54*$AZ$54</f>
        <v>0</v>
      </c>
      <c r="BA110" s="48">
        <f>$I$54*$BA$54</f>
        <v>66321.696310843588</v>
      </c>
      <c r="BB110" s="48">
        <f>$I$54*$BB$54</f>
        <v>1868.0780095420332</v>
      </c>
      <c r="BC110" s="48">
        <f>$I$54*$BC$54</f>
        <v>0</v>
      </c>
      <c r="BD110" s="48">
        <f>$I$54*$BD$54</f>
        <v>0</v>
      </c>
    </row>
    <row r="111" spans="1:56" ht="11.25" customHeight="1" x14ac:dyDescent="0.25">
      <c r="A111" s="9" t="s">
        <v>44</v>
      </c>
      <c r="B111" s="9" t="s">
        <v>910</v>
      </c>
      <c r="C111" s="9" t="s">
        <v>911</v>
      </c>
      <c r="D111" s="9" t="s">
        <v>916</v>
      </c>
      <c r="E111" s="9" t="s">
        <v>917</v>
      </c>
      <c r="F111" s="9" t="s">
        <v>918</v>
      </c>
      <c r="G111" s="9" t="s">
        <v>919</v>
      </c>
      <c r="L111" s="48">
        <f>$I$55*$L$55</f>
        <v>0</v>
      </c>
      <c r="M111" s="48">
        <f>$I$55*$M$55</f>
        <v>0</v>
      </c>
      <c r="N111" s="48">
        <f ca="1">$I$55*$N$55</f>
        <v>0</v>
      </c>
      <c r="O111" s="48">
        <f>$I$55*$O$55</f>
        <v>0</v>
      </c>
      <c r="P111" s="48">
        <f>$I$55*$P$55</f>
        <v>0</v>
      </c>
      <c r="Q111" s="48">
        <f>$I$55*$Q$55</f>
        <v>0</v>
      </c>
      <c r="R111" s="48">
        <f>$I$55*$R$55</f>
        <v>0</v>
      </c>
      <c r="S111" s="48">
        <f>$I$55*$S$55</f>
        <v>0</v>
      </c>
      <c r="T111" s="48">
        <f>$I$55*$T$55</f>
        <v>0</v>
      </c>
      <c r="U111" s="48">
        <f>$I$55*$U$55</f>
        <v>0</v>
      </c>
      <c r="V111" s="48">
        <f>$I$55*$V$55</f>
        <v>0</v>
      </c>
      <c r="W111" s="48">
        <f>$I$55*$W$55</f>
        <v>0</v>
      </c>
      <c r="X111" s="48">
        <f>$I$55*$X$55</f>
        <v>0</v>
      </c>
      <c r="Y111" s="48">
        <f>$I$55*$Y$55</f>
        <v>0</v>
      </c>
      <c r="Z111" s="48">
        <f>$I$55*$Z$55</f>
        <v>0</v>
      </c>
      <c r="AA111" s="48">
        <f>$I$55*$AA$55</f>
        <v>0</v>
      </c>
      <c r="AB111" s="48">
        <f ca="1">$I$55*$AB$55</f>
        <v>0</v>
      </c>
      <c r="AC111" s="48">
        <f ca="1">$I$55*$AC$55</f>
        <v>0</v>
      </c>
      <c r="AD111" s="48">
        <f>$I$55*$AD$55</f>
        <v>0</v>
      </c>
      <c r="AE111" s="48">
        <f>$I$55*$AE$55</f>
        <v>0</v>
      </c>
      <c r="AF111" s="48">
        <f ca="1">$I$55*$AF$55</f>
        <v>0</v>
      </c>
      <c r="AG111" s="48">
        <f ca="1">$I$55*$AG$55</f>
        <v>0</v>
      </c>
      <c r="AI111" s="48">
        <f>$I$55*$AI$55</f>
        <v>0</v>
      </c>
      <c r="AJ111" s="48">
        <f>$I$55*$AJ$55</f>
        <v>0</v>
      </c>
      <c r="AK111" s="48">
        <f>$I$55*$AK$55</f>
        <v>0</v>
      </c>
      <c r="AL111" s="48">
        <f>$I$55*$AL$55</f>
        <v>0</v>
      </c>
      <c r="AM111" s="48">
        <f>$I$55*$AM$55</f>
        <v>0</v>
      </c>
      <c r="AN111" s="48">
        <f>$I$55*$AN$55</f>
        <v>0</v>
      </c>
      <c r="AO111" s="48">
        <f>$I$55*$AO$55</f>
        <v>0</v>
      </c>
      <c r="AP111" s="48">
        <f>$I$55*$AP$55</f>
        <v>0</v>
      </c>
      <c r="AQ111" s="48">
        <f>$I$55*$AQ$55</f>
        <v>0</v>
      </c>
      <c r="AR111" s="48">
        <f>$I$55*$AR$55</f>
        <v>0</v>
      </c>
      <c r="AS111" s="48">
        <f>$I$55*$AS$55</f>
        <v>0</v>
      </c>
      <c r="AT111" s="48">
        <f>$I$55*$AT$55</f>
        <v>0</v>
      </c>
      <c r="AU111" s="48">
        <f>$I$55*$AU$55</f>
        <v>0</v>
      </c>
      <c r="AV111" s="48">
        <f>$I$55*$AV$55</f>
        <v>0</v>
      </c>
      <c r="AW111" s="48">
        <f>$I$55*$AW$55</f>
        <v>0</v>
      </c>
      <c r="AX111" s="48">
        <f>$I$55*$AX$55</f>
        <v>0</v>
      </c>
      <c r="AY111" s="48">
        <f>$I$55*$AY$55</f>
        <v>0</v>
      </c>
      <c r="AZ111" s="48">
        <f>$I$55*$AZ$55</f>
        <v>0</v>
      </c>
      <c r="BA111" s="48">
        <f>$I$55*$BA$55</f>
        <v>0</v>
      </c>
      <c r="BB111" s="48">
        <f>$I$55*$BB$55</f>
        <v>0</v>
      </c>
      <c r="BC111" s="48">
        <f>$I$55*$BC$55</f>
        <v>0</v>
      </c>
      <c r="BD111" s="48">
        <f>$I$55*$BD$55</f>
        <v>0</v>
      </c>
    </row>
  </sheetData>
  <mergeCells count="94">
    <mergeCell ref="AQ59:AW59"/>
    <mergeCell ref="AY59:AZ59"/>
    <mergeCell ref="BA59:BD59"/>
    <mergeCell ref="BA3:BD3"/>
    <mergeCell ref="L57:AG57"/>
    <mergeCell ref="AI57:BD57"/>
    <mergeCell ref="L58:AG58"/>
    <mergeCell ref="AI58:BD58"/>
    <mergeCell ref="L59:S59"/>
    <mergeCell ref="T59:Z59"/>
    <mergeCell ref="AB59:AC59"/>
    <mergeCell ref="AD59:AG59"/>
    <mergeCell ref="AI59:AP59"/>
    <mergeCell ref="T3:Z3"/>
    <mergeCell ref="E49:E51"/>
    <mergeCell ref="F49:F51"/>
    <mergeCell ref="A54:A55"/>
    <mergeCell ref="B54:B55"/>
    <mergeCell ref="C54:C55"/>
    <mergeCell ref="D49:D51"/>
    <mergeCell ref="AI1:BD1"/>
    <mergeCell ref="AI2:BD2"/>
    <mergeCell ref="AI3:AP3"/>
    <mergeCell ref="AQ3:AW3"/>
    <mergeCell ref="AY3:AZ3"/>
    <mergeCell ref="B46:B48"/>
    <mergeCell ref="C46:C48"/>
    <mergeCell ref="A49:A53"/>
    <mergeCell ref="B49:B51"/>
    <mergeCell ref="C49:C51"/>
    <mergeCell ref="A34:A48"/>
    <mergeCell ref="B34:B36"/>
    <mergeCell ref="C34:C36"/>
    <mergeCell ref="B42:B44"/>
    <mergeCell ref="C42:C44"/>
    <mergeCell ref="B38:B40"/>
    <mergeCell ref="C38:C40"/>
    <mergeCell ref="D42:D44"/>
    <mergeCell ref="E42:E44"/>
    <mergeCell ref="F42:F44"/>
    <mergeCell ref="D34:D36"/>
    <mergeCell ref="E34:E36"/>
    <mergeCell ref="F34:F36"/>
    <mergeCell ref="D38:D40"/>
    <mergeCell ref="E38:E40"/>
    <mergeCell ref="F38:F40"/>
    <mergeCell ref="A21:A33"/>
    <mergeCell ref="B21:B23"/>
    <mergeCell ref="C21:C23"/>
    <mergeCell ref="D21:D23"/>
    <mergeCell ref="E21:E23"/>
    <mergeCell ref="F21:F23"/>
    <mergeCell ref="B24:B28"/>
    <mergeCell ref="C24:C28"/>
    <mergeCell ref="B29:B33"/>
    <mergeCell ref="C29:C33"/>
    <mergeCell ref="F14:F16"/>
    <mergeCell ref="E17:E18"/>
    <mergeCell ref="F17:F18"/>
    <mergeCell ref="A19:A20"/>
    <mergeCell ref="B19:B20"/>
    <mergeCell ref="C19:C20"/>
    <mergeCell ref="D19:D20"/>
    <mergeCell ref="A9:A18"/>
    <mergeCell ref="B9:B12"/>
    <mergeCell ref="C9:C12"/>
    <mergeCell ref="D9:D12"/>
    <mergeCell ref="E9:E11"/>
    <mergeCell ref="F9:F11"/>
    <mergeCell ref="B14:B18"/>
    <mergeCell ref="C14:C18"/>
    <mergeCell ref="D14:D18"/>
    <mergeCell ref="E14:E16"/>
    <mergeCell ref="AB3:AC3"/>
    <mergeCell ref="AD3:AG3"/>
    <mergeCell ref="A5:A8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G1"/>
    <mergeCell ref="L2:AG2"/>
    <mergeCell ref="L3:S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A239B-20C4-47E9-B7E3-782B2506513C}">
  <dimension ref="A1:AH89"/>
  <sheetViews>
    <sheetView showGridLines="0" topLeftCell="L20" workbookViewId="0">
      <selection activeCell="V45" sqref="V45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4.140625" style="9" bestFit="1" customWidth="1"/>
    <col min="13" max="13" width="10" style="9" bestFit="1" customWidth="1"/>
    <col min="14" max="14" width="6" style="9" bestFit="1" customWidth="1"/>
    <col min="15" max="15" width="11.140625" style="9" bestFit="1" customWidth="1"/>
    <col min="16" max="16" width="10.5703125" style="9" bestFit="1" customWidth="1"/>
    <col min="17" max="17" width="15" style="9" bestFit="1" customWidth="1"/>
    <col min="18" max="18" width="6" style="9" bestFit="1" customWidth="1"/>
    <col min="19" max="19" width="10.42578125" style="9" bestFit="1" customWidth="1"/>
    <col min="20" max="20" width="7" style="9" bestFit="1" customWidth="1"/>
    <col min="21" max="21" width="11.140625" style="9" bestFit="1" customWidth="1"/>
    <col min="22" max="22" width="11" style="9" bestFit="1" customWidth="1"/>
    <col min="23" max="23" width="9.140625" style="9"/>
    <col min="24" max="24" width="4.140625" style="9" bestFit="1" customWidth="1"/>
    <col min="25" max="25" width="10" style="9" bestFit="1" customWidth="1"/>
    <col min="26" max="26" width="6" style="9" bestFit="1" customWidth="1"/>
    <col min="27" max="27" width="11.140625" style="9" bestFit="1" customWidth="1"/>
    <col min="28" max="28" width="10.5703125" style="9" bestFit="1" customWidth="1"/>
    <col min="29" max="29" width="15" style="9" bestFit="1" customWidth="1"/>
    <col min="30" max="30" width="6" style="9" bestFit="1" customWidth="1"/>
    <col min="31" max="31" width="10.42578125" style="9" bestFit="1" customWidth="1"/>
    <col min="32" max="32" width="7" style="9" bestFit="1" customWidth="1"/>
    <col min="33" max="33" width="11.140625" style="9" bestFit="1" customWidth="1"/>
    <col min="34" max="34" width="11" style="9" bestFit="1" customWidth="1"/>
    <col min="35" max="16384" width="9.140625" style="9"/>
  </cols>
  <sheetData>
    <row r="1" spans="1:34" ht="11.25" customHeight="1" x14ac:dyDescent="0.25">
      <c r="A1" s="119" t="s">
        <v>72</v>
      </c>
      <c r="B1" s="119" t="s">
        <v>73</v>
      </c>
      <c r="C1" s="119" t="s">
        <v>74</v>
      </c>
      <c r="D1" s="119" t="s">
        <v>75</v>
      </c>
      <c r="E1" s="119" t="s">
        <v>76</v>
      </c>
      <c r="F1" s="119" t="s">
        <v>15</v>
      </c>
      <c r="G1" s="119" t="s">
        <v>78</v>
      </c>
      <c r="H1" s="119" t="s">
        <v>79</v>
      </c>
      <c r="I1" s="119" t="s">
        <v>545</v>
      </c>
      <c r="J1" s="102"/>
      <c r="L1" s="117" t="s">
        <v>920</v>
      </c>
      <c r="M1" s="117"/>
      <c r="N1" s="117"/>
      <c r="O1" s="117"/>
      <c r="P1" s="117"/>
      <c r="Q1" s="117"/>
      <c r="R1" s="117"/>
      <c r="S1" s="117"/>
      <c r="T1" s="117"/>
      <c r="U1" s="117"/>
      <c r="V1" s="117"/>
      <c r="X1" s="117" t="s">
        <v>921</v>
      </c>
      <c r="Y1" s="117"/>
      <c r="Z1" s="117"/>
      <c r="AA1" s="117"/>
      <c r="AB1" s="117"/>
      <c r="AC1" s="117"/>
      <c r="AD1" s="117"/>
      <c r="AE1" s="117"/>
      <c r="AF1" s="117"/>
      <c r="AG1" s="117"/>
      <c r="AH1" s="117"/>
    </row>
    <row r="2" spans="1:34" ht="11.2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  <c r="J2" s="102"/>
      <c r="L2" s="117" t="s">
        <v>472</v>
      </c>
      <c r="M2" s="117"/>
      <c r="N2" s="117"/>
      <c r="O2" s="117"/>
      <c r="P2" s="117"/>
      <c r="Q2" s="117"/>
      <c r="R2" s="117"/>
      <c r="S2" s="117"/>
      <c r="T2" s="117"/>
      <c r="U2" s="117"/>
      <c r="V2" s="117"/>
      <c r="X2" s="117" t="s">
        <v>472</v>
      </c>
      <c r="Y2" s="117"/>
      <c r="Z2" s="117"/>
      <c r="AA2" s="117"/>
      <c r="AB2" s="117"/>
      <c r="AC2" s="117"/>
      <c r="AD2" s="117"/>
      <c r="AE2" s="117"/>
      <c r="AF2" s="117"/>
      <c r="AG2" s="117"/>
      <c r="AH2" s="117"/>
    </row>
    <row r="3" spans="1:34" ht="11.2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  <c r="J3" s="102"/>
      <c r="L3" s="117" t="s">
        <v>445</v>
      </c>
      <c r="M3" s="117"/>
      <c r="N3" s="117"/>
      <c r="O3" s="117"/>
      <c r="P3" s="117"/>
      <c r="Q3" s="58" t="s">
        <v>476</v>
      </c>
      <c r="R3" s="117" t="s">
        <v>454</v>
      </c>
      <c r="S3" s="117"/>
      <c r="T3" s="117"/>
      <c r="U3" s="58" t="s">
        <v>464</v>
      </c>
      <c r="V3" s="58" t="s">
        <v>467</v>
      </c>
      <c r="X3" s="117" t="s">
        <v>445</v>
      </c>
      <c r="Y3" s="117"/>
      <c r="Z3" s="117"/>
      <c r="AA3" s="117"/>
      <c r="AB3" s="117"/>
      <c r="AC3" s="58" t="s">
        <v>476</v>
      </c>
      <c r="AD3" s="117" t="s">
        <v>454</v>
      </c>
      <c r="AE3" s="117"/>
      <c r="AF3" s="117"/>
      <c r="AG3" s="58" t="s">
        <v>464</v>
      </c>
      <c r="AH3" s="58" t="s">
        <v>467</v>
      </c>
    </row>
    <row r="4" spans="1:34" ht="11.25" customHeight="1" x14ac:dyDescent="0.25">
      <c r="A4" s="119"/>
      <c r="B4" s="119"/>
      <c r="C4" s="119"/>
      <c r="D4" s="119"/>
      <c r="E4" s="119"/>
      <c r="F4" s="119"/>
      <c r="G4" s="119"/>
      <c r="H4" s="119"/>
      <c r="I4" s="119"/>
      <c r="J4" s="102"/>
      <c r="L4" s="58" t="s">
        <v>447</v>
      </c>
      <c r="M4" s="58" t="s">
        <v>473</v>
      </c>
      <c r="N4" s="58" t="s">
        <v>474</v>
      </c>
      <c r="O4" s="58" t="s">
        <v>533</v>
      </c>
      <c r="P4" s="58" t="s">
        <v>475</v>
      </c>
      <c r="Q4" s="58" t="s">
        <v>477</v>
      </c>
      <c r="R4" s="58" t="s">
        <v>478</v>
      </c>
      <c r="S4" s="58" t="s">
        <v>479</v>
      </c>
      <c r="T4" s="58" t="s">
        <v>480</v>
      </c>
      <c r="U4" s="58" t="s">
        <v>465</v>
      </c>
      <c r="V4" s="58" t="s">
        <v>481</v>
      </c>
      <c r="X4" s="58" t="s">
        <v>447</v>
      </c>
      <c r="Y4" s="58" t="s">
        <v>473</v>
      </c>
      <c r="Z4" s="58" t="s">
        <v>474</v>
      </c>
      <c r="AA4" s="58" t="s">
        <v>533</v>
      </c>
      <c r="AB4" s="58" t="s">
        <v>475</v>
      </c>
      <c r="AC4" s="58" t="s">
        <v>477</v>
      </c>
      <c r="AD4" s="58" t="s">
        <v>478</v>
      </c>
      <c r="AE4" s="58" t="s">
        <v>479</v>
      </c>
      <c r="AF4" s="58" t="s">
        <v>480</v>
      </c>
      <c r="AG4" s="58" t="s">
        <v>465</v>
      </c>
      <c r="AH4" s="58" t="s">
        <v>481</v>
      </c>
    </row>
    <row r="5" spans="1:34" ht="11.25" customHeight="1" x14ac:dyDescent="0.25">
      <c r="A5" s="120" t="s">
        <v>53</v>
      </c>
      <c r="B5" s="120" t="s">
        <v>81</v>
      </c>
      <c r="C5" s="120" t="s">
        <v>25</v>
      </c>
      <c r="D5" s="120" t="s">
        <v>25</v>
      </c>
      <c r="E5" s="120" t="s">
        <v>25</v>
      </c>
      <c r="F5" s="120" t="s">
        <v>25</v>
      </c>
      <c r="G5" s="57" t="s">
        <v>83</v>
      </c>
      <c r="H5" s="57" t="s">
        <v>82</v>
      </c>
      <c r="I5" s="57">
        <f>'MERCADO TE'!$U$2</f>
        <v>0</v>
      </c>
      <c r="J5" s="15"/>
      <c r="L5" s="54">
        <f>('TE BE'!$L$5+'TE BF'!$L$5+'TE CVA'!$L$5)*1</f>
        <v>0</v>
      </c>
      <c r="M5" s="54">
        <f>('TE BE'!$M$5+'TE BF'!$M$5+'TE CVA'!$M$5)*1</f>
        <v>39.12350662641478</v>
      </c>
      <c r="N5" s="54">
        <f>('TE BE'!$N$5+'TE BF'!$N$5+'TE CVA'!$N$5)*1</f>
        <v>0</v>
      </c>
      <c r="O5" s="54">
        <f>('TE BE'!$O$5+'TE BF'!$O$5+'TE CVA'!$O$5)*1</f>
        <v>0</v>
      </c>
      <c r="P5" s="54">
        <f>('TE BE'!$P$5+'TE BF'!$P$5+'TE CVA'!$P$5)*1</f>
        <v>-15.309516955125503</v>
      </c>
      <c r="Q5" s="54">
        <f>('TE BE'!$R$5+'TE BF'!$R$5+'TE CVA'!$R$5)*1</f>
        <v>170.5413676804173</v>
      </c>
      <c r="R5" s="54">
        <f>('TE BE'!$T$5+'TE BF'!$T$5+'TE CVA'!$T$5)*1</f>
        <v>0</v>
      </c>
      <c r="S5" s="54">
        <f>('TE BE'!$U$5+'TE BF'!$U$5+'TE CVA'!$U$5)*1</f>
        <v>0</v>
      </c>
      <c r="T5" s="54">
        <f>('TE BE'!$V$5+'TE BF'!$V$5+'TE CVA'!$V$5)*1</f>
        <v>0</v>
      </c>
      <c r="U5" s="54">
        <f>('TE BE'!$X$5+'TE BF'!$X$5+'TE CVA'!$X$5)*1</f>
        <v>-0.55572399366303915</v>
      </c>
      <c r="V5" s="54">
        <f>('TE BE'!$Z$5+'TE BF'!$Z$5+'TE CVA'!$Z$5)*1</f>
        <v>4.3823144385387547</v>
      </c>
      <c r="X5" s="54">
        <v>0</v>
      </c>
      <c r="Y5" s="54">
        <v>8.2780426101261497</v>
      </c>
      <c r="Z5" s="54">
        <v>0</v>
      </c>
      <c r="AA5" s="54">
        <v>0</v>
      </c>
      <c r="AB5" s="54">
        <v>0</v>
      </c>
      <c r="AC5" s="54">
        <v>174.22530681610999</v>
      </c>
      <c r="AD5" s="54">
        <v>0</v>
      </c>
      <c r="AE5" s="54">
        <v>0</v>
      </c>
      <c r="AF5" s="54">
        <v>0</v>
      </c>
      <c r="AG5" s="54">
        <v>-2.2331408233472101</v>
      </c>
      <c r="AH5" s="54">
        <v>4.9072113607506598</v>
      </c>
    </row>
    <row r="6" spans="1:34" ht="11.25" customHeight="1" x14ac:dyDescent="0.25">
      <c r="A6" s="120"/>
      <c r="B6" s="120"/>
      <c r="C6" s="120"/>
      <c r="D6" s="120"/>
      <c r="E6" s="120"/>
      <c r="F6" s="120"/>
      <c r="G6" s="57" t="s">
        <v>84</v>
      </c>
      <c r="H6" s="57" t="s">
        <v>82</v>
      </c>
      <c r="I6" s="57">
        <f>'MERCADO TE'!$U$3</f>
        <v>0</v>
      </c>
      <c r="J6" s="15"/>
      <c r="L6" s="54">
        <f>('TE BE'!$L$6+'TE BF'!$L$6+'TE CVA'!$L$6)*1</f>
        <v>0</v>
      </c>
      <c r="M6" s="54">
        <f>('TE BE'!$M$6+'TE BF'!$M$6+'TE CVA'!$M$6)*1</f>
        <v>39.12350662641478</v>
      </c>
      <c r="N6" s="54">
        <f>('TE BE'!$N$6+'TE BF'!$N$6+'TE CVA'!$N$6)*1</f>
        <v>0</v>
      </c>
      <c r="O6" s="54">
        <f>('TE BE'!$O$6+'TE BF'!$O$6+'TE CVA'!$O$6)*1</f>
        <v>0</v>
      </c>
      <c r="P6" s="54">
        <f>('TE BE'!$P$6+'TE BF'!$P$6+'TE CVA'!$P$6)*1</f>
        <v>-15.309516955125503</v>
      </c>
      <c r="Q6" s="54">
        <f>('TE BE'!$R$6+'TE BF'!$R$6+'TE CVA'!$R$6)*1</f>
        <v>170.5413676804173</v>
      </c>
      <c r="R6" s="54">
        <f>('TE BE'!$T$6+'TE BF'!$T$6+'TE CVA'!$T$6)*1</f>
        <v>0</v>
      </c>
      <c r="S6" s="54">
        <f>('TE BE'!$U$6+'TE BF'!$U$6+'TE CVA'!$U$6)*1</f>
        <v>0</v>
      </c>
      <c r="T6" s="54">
        <f>('TE BE'!$V$6+'TE BF'!$V$6+'TE CVA'!$V$6)*1</f>
        <v>0</v>
      </c>
      <c r="U6" s="54">
        <f>('TE BE'!$X$6+'TE BF'!$X$6+'TE CVA'!$X$6)*1</f>
        <v>-0.55572399366303915</v>
      </c>
      <c r="V6" s="54">
        <f>('TE BE'!$Z$6+'TE BF'!$Z$6+'TE CVA'!$Z$6)*1</f>
        <v>4.3823144385387547</v>
      </c>
      <c r="X6" s="54">
        <v>0</v>
      </c>
      <c r="Y6" s="54">
        <v>8.2780426101261497</v>
      </c>
      <c r="Z6" s="54">
        <v>0</v>
      </c>
      <c r="AA6" s="54">
        <v>0</v>
      </c>
      <c r="AB6" s="54">
        <v>0</v>
      </c>
      <c r="AC6" s="54">
        <v>174.22530681610999</v>
      </c>
      <c r="AD6" s="54">
        <v>0</v>
      </c>
      <c r="AE6" s="54">
        <v>0</v>
      </c>
      <c r="AF6" s="54">
        <v>0</v>
      </c>
      <c r="AG6" s="54">
        <v>-2.2331408233472101</v>
      </c>
      <c r="AH6" s="54">
        <v>4.9072113607506598</v>
      </c>
    </row>
    <row r="7" spans="1:34" ht="11.25" customHeight="1" x14ac:dyDescent="0.25">
      <c r="A7" s="120" t="s">
        <v>35</v>
      </c>
      <c r="B7" s="120" t="s">
        <v>81</v>
      </c>
      <c r="C7" s="120" t="s">
        <v>25</v>
      </c>
      <c r="D7" s="120" t="s">
        <v>25</v>
      </c>
      <c r="E7" s="120" t="s">
        <v>25</v>
      </c>
      <c r="F7" s="120" t="s">
        <v>25</v>
      </c>
      <c r="G7" s="57" t="s">
        <v>83</v>
      </c>
      <c r="H7" s="57" t="s">
        <v>82</v>
      </c>
      <c r="I7" s="57">
        <f>'MERCADO TE'!$U$4</f>
        <v>10174.852999999999</v>
      </c>
      <c r="J7" s="15"/>
      <c r="L7" s="54">
        <f>('TE BE'!$L$7+'TE BF'!$L$7+'TE CVA'!$L$7)*1</f>
        <v>0</v>
      </c>
      <c r="M7" s="54">
        <f>('TE BE'!$M$7+'TE BF'!$M$7+'TE CVA'!$M$7)*1</f>
        <v>39.12350662641478</v>
      </c>
      <c r="N7" s="54">
        <f>('TE BE'!$N$7+'TE BF'!$N$7+'TE CVA'!$N$7)*1</f>
        <v>0</v>
      </c>
      <c r="O7" s="54">
        <f>('TE BE'!$O$7+'TE BF'!$O$7+'TE CVA'!$O$7)*1</f>
        <v>0</v>
      </c>
      <c r="P7" s="54">
        <f>('TE BE'!$P$7+'TE BF'!$P$7+'TE CVA'!$P$7)*1</f>
        <v>-15.309516955125503</v>
      </c>
      <c r="Q7" s="54">
        <f>('TE BE'!$R$7+'TE BF'!$R$7+'TE CVA'!$R$7)*1</f>
        <v>170.5413676804173</v>
      </c>
      <c r="R7" s="54">
        <f>('TE BE'!$T$7+'TE BF'!$T$7+'TE CVA'!$T$7)*1</f>
        <v>0</v>
      </c>
      <c r="S7" s="54">
        <f>('TE BE'!$U$7+'TE BF'!$U$7+'TE CVA'!$U$7)*1</f>
        <v>0</v>
      </c>
      <c r="T7" s="54">
        <f>('TE BE'!$V$7+'TE BF'!$V$7+'TE CVA'!$V$7)*1</f>
        <v>0</v>
      </c>
      <c r="U7" s="54">
        <f>('TE BE'!$X$7+'TE BF'!$X$7+'TE CVA'!$X$7)*1</f>
        <v>-0.55572399366303915</v>
      </c>
      <c r="V7" s="54">
        <f>('TE BE'!$Z$7+'TE BF'!$Z$7+'TE CVA'!$Z$7)*1</f>
        <v>4.3823144385387547</v>
      </c>
      <c r="X7" s="54">
        <v>0</v>
      </c>
      <c r="Y7" s="54">
        <v>8.2780426101261497</v>
      </c>
      <c r="Z7" s="54">
        <v>0</v>
      </c>
      <c r="AA7" s="54">
        <v>0</v>
      </c>
      <c r="AB7" s="54">
        <v>0</v>
      </c>
      <c r="AC7" s="54">
        <v>174.22530681610999</v>
      </c>
      <c r="AD7" s="54">
        <v>0</v>
      </c>
      <c r="AE7" s="54">
        <v>0</v>
      </c>
      <c r="AF7" s="54">
        <v>0</v>
      </c>
      <c r="AG7" s="54">
        <v>-2.2331408233472101</v>
      </c>
      <c r="AH7" s="54">
        <v>4.9072113607506598</v>
      </c>
    </row>
    <row r="8" spans="1:34" ht="11.25" customHeight="1" x14ac:dyDescent="0.25">
      <c r="A8" s="120"/>
      <c r="B8" s="120"/>
      <c r="C8" s="120"/>
      <c r="D8" s="120"/>
      <c r="E8" s="120"/>
      <c r="F8" s="120"/>
      <c r="G8" s="57" t="s">
        <v>84</v>
      </c>
      <c r="H8" s="57" t="s">
        <v>82</v>
      </c>
      <c r="I8" s="57">
        <f>'MERCADO TE'!$U$5</f>
        <v>179033.51300000001</v>
      </c>
      <c r="J8" s="15"/>
      <c r="L8" s="54">
        <f>('TE BE'!$L$8+'TE BF'!$L$8+'TE CVA'!$L$8)*1</f>
        <v>0</v>
      </c>
      <c r="M8" s="54">
        <f>('TE BE'!$M$8+'TE BF'!$M$8+'TE CVA'!$M$8)*1</f>
        <v>39.12350662641478</v>
      </c>
      <c r="N8" s="54">
        <f>('TE BE'!$N$8+'TE BF'!$N$8+'TE CVA'!$N$8)*1</f>
        <v>0</v>
      </c>
      <c r="O8" s="54">
        <f>('TE BE'!$O$8+'TE BF'!$O$8+'TE CVA'!$O$8)*1</f>
        <v>0</v>
      </c>
      <c r="P8" s="54">
        <f>('TE BE'!$P$8+'TE BF'!$P$8+'TE CVA'!$P$8)*1</f>
        <v>-15.309516955125503</v>
      </c>
      <c r="Q8" s="54">
        <f>('TE BE'!$R$8+'TE BF'!$R$8+'TE CVA'!$R$8)*1</f>
        <v>170.5413676804173</v>
      </c>
      <c r="R8" s="54">
        <f>('TE BE'!$T$8+'TE BF'!$T$8+'TE CVA'!$T$8)*1</f>
        <v>0</v>
      </c>
      <c r="S8" s="54">
        <f>('TE BE'!$U$8+'TE BF'!$U$8+'TE CVA'!$U$8)*1</f>
        <v>0</v>
      </c>
      <c r="T8" s="54">
        <f>('TE BE'!$V$8+'TE BF'!$V$8+'TE CVA'!$V$8)*1</f>
        <v>0</v>
      </c>
      <c r="U8" s="54">
        <f>('TE BE'!$X$8+'TE BF'!$X$8+'TE CVA'!$X$8)*1</f>
        <v>-0.55572399366303915</v>
      </c>
      <c r="V8" s="54">
        <f>('TE BE'!$Z$8+'TE BF'!$Z$8+'TE CVA'!$Z$8)*1</f>
        <v>4.3823144385387547</v>
      </c>
      <c r="X8" s="54">
        <v>0</v>
      </c>
      <c r="Y8" s="54">
        <v>8.2780426101261497</v>
      </c>
      <c r="Z8" s="54">
        <v>0</v>
      </c>
      <c r="AA8" s="54">
        <v>0</v>
      </c>
      <c r="AB8" s="54">
        <v>0</v>
      </c>
      <c r="AC8" s="54">
        <v>174.22530681610999</v>
      </c>
      <c r="AD8" s="54">
        <v>0</v>
      </c>
      <c r="AE8" s="54">
        <v>0</v>
      </c>
      <c r="AF8" s="54">
        <v>0</v>
      </c>
      <c r="AG8" s="54">
        <v>-2.2331408233472101</v>
      </c>
      <c r="AH8" s="54">
        <v>4.9072113607506598</v>
      </c>
    </row>
    <row r="9" spans="1:34" ht="11.25" customHeight="1" x14ac:dyDescent="0.25">
      <c r="A9" s="120"/>
      <c r="B9" s="56" t="s">
        <v>90</v>
      </c>
      <c r="C9" s="56" t="s">
        <v>25</v>
      </c>
      <c r="D9" s="56" t="s">
        <v>25</v>
      </c>
      <c r="E9" s="56" t="s">
        <v>25</v>
      </c>
      <c r="F9" s="56" t="s">
        <v>25</v>
      </c>
      <c r="G9" s="57" t="s">
        <v>88</v>
      </c>
      <c r="H9" s="57" t="s">
        <v>82</v>
      </c>
      <c r="I9" s="57">
        <f>'MERCADO TE'!$U$6</f>
        <v>0</v>
      </c>
      <c r="J9" s="15"/>
      <c r="L9" s="54">
        <f>('TE BE'!$L$9+'TE BF'!$L$9+'TE CVA'!$L$9)*1</f>
        <v>0</v>
      </c>
      <c r="M9" s="54">
        <f>('TE BE'!$M$9+'TE BF'!$M$9+'TE CVA'!$M$9)*1</f>
        <v>39.12350662641478</v>
      </c>
      <c r="N9" s="54">
        <f>('TE BE'!$N$9+'TE BF'!$N$9+'TE CVA'!$N$9)*1</f>
        <v>0</v>
      </c>
      <c r="O9" s="54">
        <f>('TE BE'!$O$9+'TE BF'!$O$9+'TE CVA'!$O$9)*1</f>
        <v>0</v>
      </c>
      <c r="P9" s="54">
        <f>('TE BE'!$P$9+'TE BF'!$P$9+'TE CVA'!$P$9)*1</f>
        <v>-15.309516955125503</v>
      </c>
      <c r="Q9" s="54">
        <f>('TE BE'!$R$9+'TE BF'!$R$9+'TE CVA'!$R$9)*1</f>
        <v>170.5413676804173</v>
      </c>
      <c r="R9" s="54">
        <f>('TE BE'!$T$9+'TE BF'!$T$9+'TE CVA'!$T$9)*1</f>
        <v>0</v>
      </c>
      <c r="S9" s="54">
        <f>('TE BE'!$U$9+'TE BF'!$U$9+'TE CVA'!$U$9)*1</f>
        <v>0</v>
      </c>
      <c r="T9" s="54">
        <f>('TE BE'!$V$9+'TE BF'!$V$9+'TE CVA'!$V$9)*1</f>
        <v>0</v>
      </c>
      <c r="U9" s="54">
        <f>('TE BE'!$X$9+'TE BF'!$X$9+'TE CVA'!$X$9)*1</f>
        <v>-0.55572399366303915</v>
      </c>
      <c r="V9" s="54">
        <f>('TE BE'!$Z$9+'TE BF'!$Z$9+'TE CVA'!$Z$9)*1</f>
        <v>4.3823144385387547</v>
      </c>
      <c r="X9" s="54">
        <v>0</v>
      </c>
      <c r="Y9" s="54">
        <v>8.2780426101261497</v>
      </c>
      <c r="Z9" s="54">
        <v>0</v>
      </c>
      <c r="AA9" s="54">
        <v>0</v>
      </c>
      <c r="AB9" s="54">
        <v>0</v>
      </c>
      <c r="AC9" s="54">
        <v>174.22530681610999</v>
      </c>
      <c r="AD9" s="54">
        <v>0</v>
      </c>
      <c r="AE9" s="54">
        <v>0</v>
      </c>
      <c r="AF9" s="54">
        <v>0</v>
      </c>
      <c r="AG9" s="54">
        <v>-2.2331408233472101</v>
      </c>
      <c r="AH9" s="54">
        <v>4.9072113607506598</v>
      </c>
    </row>
    <row r="10" spans="1:34" ht="11.25" customHeight="1" x14ac:dyDescent="0.25">
      <c r="A10" s="120" t="s">
        <v>22</v>
      </c>
      <c r="B10" s="120" t="s">
        <v>81</v>
      </c>
      <c r="C10" s="120" t="s">
        <v>24</v>
      </c>
      <c r="D10" s="120" t="s">
        <v>24</v>
      </c>
      <c r="E10" s="120" t="s">
        <v>25</v>
      </c>
      <c r="F10" s="120" t="s">
        <v>25</v>
      </c>
      <c r="G10" s="57" t="s">
        <v>83</v>
      </c>
      <c r="H10" s="57" t="s">
        <v>82</v>
      </c>
      <c r="I10" s="57">
        <f>'MERCADO TE'!$U$7</f>
        <v>0</v>
      </c>
      <c r="J10" s="15"/>
      <c r="L10" s="54">
        <f>('TE BE'!$L$10+'TE BF'!$L$10+'TE CVA'!$L$10)*1</f>
        <v>0</v>
      </c>
      <c r="M10" s="54">
        <f>('TE BE'!$M$10+'TE BF'!$M$10+'TE CVA'!$M$10)*1</f>
        <v>39.12350662641478</v>
      </c>
      <c r="N10" s="54">
        <f>('TE BE'!$N$10+'TE BF'!$N$10+'TE CVA'!$N$10)*1</f>
        <v>0</v>
      </c>
      <c r="O10" s="54">
        <f>('TE BE'!$O$10+'TE BF'!$O$10+'TE CVA'!$O$10)*1</f>
        <v>0</v>
      </c>
      <c r="P10" s="54">
        <f>('TE BE'!$P$10+'TE BF'!$P$10+'TE CVA'!$P$10)*1</f>
        <v>-15.309516955125503</v>
      </c>
      <c r="Q10" s="54">
        <f>('TE BE'!$R$10+'TE BF'!$R$10+'TE CVA'!$R$10)*1</f>
        <v>170.5413676804173</v>
      </c>
      <c r="R10" s="54">
        <f>('TE BE'!$T$10+'TE BF'!$T$10+'TE CVA'!$T$10)*1</f>
        <v>0</v>
      </c>
      <c r="S10" s="54">
        <f>('TE BE'!$U$10+'TE BF'!$U$10+'TE CVA'!$U$10)*1</f>
        <v>0</v>
      </c>
      <c r="T10" s="54">
        <f>('TE BE'!$V$10+'TE BF'!$V$10+'TE CVA'!$V$10)*1</f>
        <v>0</v>
      </c>
      <c r="U10" s="54">
        <f>('TE BE'!$X$10+'TE BF'!$X$10+'TE CVA'!$X$10)*1</f>
        <v>-0.55572399366303915</v>
      </c>
      <c r="V10" s="54">
        <f>('TE BE'!$Z$10+'TE BF'!$Z$10+'TE CVA'!$Z$10)*1</f>
        <v>4.3823144385387547</v>
      </c>
      <c r="X10" s="54">
        <v>0</v>
      </c>
      <c r="Y10" s="54">
        <v>8.2780426101261497</v>
      </c>
      <c r="Z10" s="54">
        <v>0</v>
      </c>
      <c r="AA10" s="54">
        <v>0</v>
      </c>
      <c r="AB10" s="54">
        <v>0</v>
      </c>
      <c r="AC10" s="54">
        <v>174.22530681610999</v>
      </c>
      <c r="AD10" s="54">
        <v>0</v>
      </c>
      <c r="AE10" s="54">
        <v>0</v>
      </c>
      <c r="AF10" s="54">
        <v>0</v>
      </c>
      <c r="AG10" s="54">
        <v>-2.2331408233472101</v>
      </c>
      <c r="AH10" s="54">
        <v>4.9072113607506598</v>
      </c>
    </row>
    <row r="11" spans="1:34" ht="11.25" customHeight="1" x14ac:dyDescent="0.25">
      <c r="A11" s="120"/>
      <c r="B11" s="120"/>
      <c r="C11" s="120"/>
      <c r="D11" s="120"/>
      <c r="E11" s="120"/>
      <c r="F11" s="120"/>
      <c r="G11" s="57" t="s">
        <v>94</v>
      </c>
      <c r="H11" s="57" t="s">
        <v>82</v>
      </c>
      <c r="I11" s="57">
        <f>'MERCADO TE'!$U$8</f>
        <v>0</v>
      </c>
      <c r="J11" s="15"/>
      <c r="L11" s="54">
        <f>('TE BE'!$L$11+'TE BF'!$L$11+'TE CVA'!$L$11)*1</f>
        <v>0</v>
      </c>
      <c r="M11" s="54">
        <f>('TE BE'!$M$11+'TE BF'!$M$11+'TE CVA'!$M$11)*1</f>
        <v>39.12350662641478</v>
      </c>
      <c r="N11" s="54">
        <f>('TE BE'!$N$11+'TE BF'!$N$11+'TE CVA'!$N$11)*1</f>
        <v>0</v>
      </c>
      <c r="O11" s="54">
        <f>('TE BE'!$O$11+'TE BF'!$O$11+'TE CVA'!$O$11)*1</f>
        <v>0</v>
      </c>
      <c r="P11" s="54">
        <f>('TE BE'!$P$11+'TE BF'!$P$11+'TE CVA'!$P$11)*1</f>
        <v>-15.309516955125503</v>
      </c>
      <c r="Q11" s="54">
        <f>('TE BE'!$R$11+'TE BF'!$R$11+'TE CVA'!$R$11)*1</f>
        <v>170.5413676804173</v>
      </c>
      <c r="R11" s="54">
        <f>('TE BE'!$T$11+'TE BF'!$T$11+'TE CVA'!$T$11)*1</f>
        <v>0</v>
      </c>
      <c r="S11" s="54">
        <f>('TE BE'!$U$11+'TE BF'!$U$11+'TE CVA'!$U$11)*1</f>
        <v>0</v>
      </c>
      <c r="T11" s="54">
        <f>('TE BE'!$V$11+'TE BF'!$V$11+'TE CVA'!$V$11)*1</f>
        <v>0</v>
      </c>
      <c r="U11" s="54">
        <f>('TE BE'!$X$11+'TE BF'!$X$11+'TE CVA'!$X$11)*1</f>
        <v>-0.55572399366303915</v>
      </c>
      <c r="V11" s="54">
        <f>('TE BE'!$Z$11+'TE BF'!$Z$11+'TE CVA'!$Z$11)*1</f>
        <v>4.3823144385387547</v>
      </c>
      <c r="X11" s="54">
        <v>0</v>
      </c>
      <c r="Y11" s="54">
        <v>8.2780426101261497</v>
      </c>
      <c r="Z11" s="54">
        <v>0</v>
      </c>
      <c r="AA11" s="54">
        <v>0</v>
      </c>
      <c r="AB11" s="54">
        <v>0</v>
      </c>
      <c r="AC11" s="54">
        <v>174.22530681610999</v>
      </c>
      <c r="AD11" s="54">
        <v>0</v>
      </c>
      <c r="AE11" s="54">
        <v>0</v>
      </c>
      <c r="AF11" s="54">
        <v>0</v>
      </c>
      <c r="AG11" s="54">
        <v>-2.2331408233472101</v>
      </c>
      <c r="AH11" s="54">
        <v>4.9072113607506598</v>
      </c>
    </row>
    <row r="12" spans="1:34" ht="11.25" customHeight="1" x14ac:dyDescent="0.25">
      <c r="A12" s="120"/>
      <c r="B12" s="120"/>
      <c r="C12" s="120"/>
      <c r="D12" s="120"/>
      <c r="E12" s="120"/>
      <c r="F12" s="120"/>
      <c r="G12" s="57" t="s">
        <v>84</v>
      </c>
      <c r="H12" s="57" t="s">
        <v>82</v>
      </c>
      <c r="I12" s="57">
        <f>'MERCADO TE'!$U$9</f>
        <v>0</v>
      </c>
      <c r="J12" s="15"/>
      <c r="L12" s="54">
        <f>('TE BE'!$L$12+'TE BF'!$L$12+'TE CVA'!$L$12)*1</f>
        <v>0</v>
      </c>
      <c r="M12" s="54">
        <f>('TE BE'!$M$12+'TE BF'!$M$12+'TE CVA'!$M$12)*1</f>
        <v>39.12350662641478</v>
      </c>
      <c r="N12" s="54">
        <f>('TE BE'!$N$12+'TE BF'!$N$12+'TE CVA'!$N$12)*1</f>
        <v>0</v>
      </c>
      <c r="O12" s="54">
        <f>('TE BE'!$O$12+'TE BF'!$O$12+'TE CVA'!$O$12)*1</f>
        <v>0</v>
      </c>
      <c r="P12" s="54">
        <f>('TE BE'!$P$12+'TE BF'!$P$12+'TE CVA'!$P$12)*1</f>
        <v>-15.309516955125503</v>
      </c>
      <c r="Q12" s="54">
        <f>('TE BE'!$R$12+'TE BF'!$R$12+'TE CVA'!$R$12)*1</f>
        <v>170.5413676804173</v>
      </c>
      <c r="R12" s="54">
        <f>('TE BE'!$T$12+'TE BF'!$T$12+'TE CVA'!$T$12)*1</f>
        <v>0</v>
      </c>
      <c r="S12" s="54">
        <f>('TE BE'!$U$12+'TE BF'!$U$12+'TE CVA'!$U$12)*1</f>
        <v>0</v>
      </c>
      <c r="T12" s="54">
        <f>('TE BE'!$V$12+'TE BF'!$V$12+'TE CVA'!$V$12)*1</f>
        <v>0</v>
      </c>
      <c r="U12" s="54">
        <f>('TE BE'!$X$12+'TE BF'!$X$12+'TE CVA'!$X$12)*1</f>
        <v>-0.55572399366303915</v>
      </c>
      <c r="V12" s="54">
        <f>('TE BE'!$Z$12+'TE BF'!$Z$12+'TE CVA'!$Z$12)*1</f>
        <v>4.3823144385387547</v>
      </c>
      <c r="X12" s="54">
        <v>0</v>
      </c>
      <c r="Y12" s="54">
        <v>8.2780426101261497</v>
      </c>
      <c r="Z12" s="54">
        <v>0</v>
      </c>
      <c r="AA12" s="54">
        <v>0</v>
      </c>
      <c r="AB12" s="54">
        <v>0</v>
      </c>
      <c r="AC12" s="54">
        <v>174.22530681610999</v>
      </c>
      <c r="AD12" s="54">
        <v>0</v>
      </c>
      <c r="AE12" s="54">
        <v>0</v>
      </c>
      <c r="AF12" s="54">
        <v>0</v>
      </c>
      <c r="AG12" s="54">
        <v>-2.2331408233472101</v>
      </c>
      <c r="AH12" s="54">
        <v>4.9072113607506598</v>
      </c>
    </row>
    <row r="13" spans="1:34" ht="11.25" customHeight="1" x14ac:dyDescent="0.25">
      <c r="A13" s="120"/>
      <c r="B13" s="120" t="s">
        <v>90</v>
      </c>
      <c r="C13" s="120" t="s">
        <v>24</v>
      </c>
      <c r="D13" s="56" t="s">
        <v>24</v>
      </c>
      <c r="E13" s="56" t="s">
        <v>25</v>
      </c>
      <c r="F13" s="56" t="s">
        <v>25</v>
      </c>
      <c r="G13" s="57" t="s">
        <v>88</v>
      </c>
      <c r="H13" s="57" t="s">
        <v>82</v>
      </c>
      <c r="I13" s="57">
        <f>'MERCADO TE'!$U$10</f>
        <v>24573.046999999999</v>
      </c>
      <c r="J13" s="15"/>
      <c r="L13" s="54">
        <f>('TE BE'!$L$13+'TE BF'!$L$13+'TE CVA'!$L$13)*1</f>
        <v>0</v>
      </c>
      <c r="M13" s="54">
        <f>('TE BE'!$M$13+'TE BF'!$M$13+'TE CVA'!$M$13)*1</f>
        <v>39.12350662641478</v>
      </c>
      <c r="N13" s="54">
        <f>('TE BE'!$N$13+'TE BF'!$N$13+'TE CVA'!$N$13)*1</f>
        <v>0</v>
      </c>
      <c r="O13" s="54">
        <f>('TE BE'!$O$13+'TE BF'!$O$13+'TE CVA'!$O$13)*1</f>
        <v>0</v>
      </c>
      <c r="P13" s="54">
        <f>('TE BE'!$P$13+'TE BF'!$P$13+'TE CVA'!$P$13)*1</f>
        <v>-15.309516955125503</v>
      </c>
      <c r="Q13" s="54">
        <f>('TE BE'!$R$13+'TE BF'!$R$13+'TE CVA'!$R$13)*1</f>
        <v>170.5413676804173</v>
      </c>
      <c r="R13" s="54">
        <f>('TE BE'!$T$13+'TE BF'!$T$13+'TE CVA'!$T$13)*1</f>
        <v>0</v>
      </c>
      <c r="S13" s="54">
        <f>('TE BE'!$U$13+'TE BF'!$U$13+'TE CVA'!$U$13)*1</f>
        <v>0</v>
      </c>
      <c r="T13" s="54">
        <f>('TE BE'!$V$13+'TE BF'!$V$13+'TE CVA'!$V$13)*1</f>
        <v>0</v>
      </c>
      <c r="U13" s="54">
        <f>('TE BE'!$X$13+'TE BF'!$X$13+'TE CVA'!$X$13)*1</f>
        <v>-0.55572399366303915</v>
      </c>
      <c r="V13" s="54">
        <f>('TE BE'!$Z$13+'TE BF'!$Z$13+'TE CVA'!$Z$13)*1</f>
        <v>4.3823144385387547</v>
      </c>
      <c r="X13" s="54">
        <v>0</v>
      </c>
      <c r="Y13" s="54">
        <v>8.2780426101261497</v>
      </c>
      <c r="Z13" s="54">
        <v>0</v>
      </c>
      <c r="AA13" s="54">
        <v>0</v>
      </c>
      <c r="AB13" s="54">
        <v>0</v>
      </c>
      <c r="AC13" s="54">
        <v>174.22530681610999</v>
      </c>
      <c r="AD13" s="54">
        <v>0</v>
      </c>
      <c r="AE13" s="54">
        <v>0</v>
      </c>
      <c r="AF13" s="54">
        <v>0</v>
      </c>
      <c r="AG13" s="54">
        <v>-2.2331408233472101</v>
      </c>
      <c r="AH13" s="54">
        <v>4.9072113607506598</v>
      </c>
    </row>
    <row r="14" spans="1:34" ht="11.25" customHeight="1" x14ac:dyDescent="0.25">
      <c r="A14" s="120"/>
      <c r="B14" s="120"/>
      <c r="C14" s="120"/>
      <c r="D14" s="56" t="s">
        <v>29</v>
      </c>
      <c r="E14" s="56" t="s">
        <v>25</v>
      </c>
      <c r="F14" s="56" t="s">
        <v>25</v>
      </c>
      <c r="G14" s="57" t="s">
        <v>88</v>
      </c>
      <c r="H14" s="57" t="s">
        <v>82</v>
      </c>
      <c r="I14" s="57">
        <f>'MERCADO TE'!$U$11</f>
        <v>175.73700000000002</v>
      </c>
      <c r="J14" s="15"/>
      <c r="L14" s="54">
        <f>('TE BE'!$L$14+'TE BF'!$L$14+'TE CVA'!$L$14)*(1 - 0.65)</f>
        <v>0</v>
      </c>
      <c r="M14" s="54">
        <f>('TE BE'!$M$14+'TE BF'!$M$14+'TE CVA'!$M$14)*(1 - 0.65)</f>
        <v>13.693227319245173</v>
      </c>
      <c r="N14" s="54">
        <f>('TE BE'!$N$14+'TE BF'!$N$14+'TE CVA'!$N$14)*(1 - 0.65)</f>
        <v>0</v>
      </c>
      <c r="O14" s="54">
        <f>('TE BE'!$O$14+'TE BF'!$O$14+'TE CVA'!$O$14)*(1 - 0.65)</f>
        <v>0</v>
      </c>
      <c r="P14" s="54">
        <f>('TE BE'!$P$14+'TE BF'!$P$14+'TE CVA'!$P$14)*(1 - 0.65)</f>
        <v>-5.3583309342939254</v>
      </c>
      <c r="Q14" s="54">
        <f>('TE BE'!$R$14+'TE BF'!$R$14+'TE CVA'!$R$14)*(1 - 0.65)</f>
        <v>59.689478688146046</v>
      </c>
      <c r="R14" s="54">
        <f>('TE BE'!$T$14+'TE BF'!$T$14+'TE CVA'!$T$14)*(1 - 0.65)</f>
        <v>0</v>
      </c>
      <c r="S14" s="54">
        <f>('TE BE'!$U$14+'TE BF'!$U$14+'TE CVA'!$U$14)*(1 - 0.65)</f>
        <v>0</v>
      </c>
      <c r="T14" s="54">
        <f>('TE BE'!$V$14+'TE BF'!$V$14+'TE CVA'!$V$14)*(1 - 0.65)</f>
        <v>0</v>
      </c>
      <c r="U14" s="54">
        <f>('TE BE'!$X$14+'TE BF'!$X$14+'TE CVA'!$X$14)*(1 - 0.65)</f>
        <v>-0.19450339778206369</v>
      </c>
      <c r="V14" s="54">
        <f>('TE BE'!$Z$14+'TE BF'!$Z$14+'TE CVA'!$Z$14)*(1 - 0.65)</f>
        <v>1.5338100534885641</v>
      </c>
      <c r="X14" s="54">
        <v>0</v>
      </c>
      <c r="Y14" s="54">
        <v>2.8973149135441498</v>
      </c>
      <c r="Z14" s="54">
        <v>0</v>
      </c>
      <c r="AA14" s="54">
        <v>0</v>
      </c>
      <c r="AB14" s="54">
        <v>0</v>
      </c>
      <c r="AC14" s="54">
        <v>60.978857385638399</v>
      </c>
      <c r="AD14" s="54">
        <v>0</v>
      </c>
      <c r="AE14" s="54">
        <v>0</v>
      </c>
      <c r="AF14" s="54">
        <v>0</v>
      </c>
      <c r="AG14" s="54">
        <v>-0.78159928817152202</v>
      </c>
      <c r="AH14" s="54">
        <v>1.7175239762627299</v>
      </c>
    </row>
    <row r="15" spans="1:34" ht="11.25" customHeight="1" x14ac:dyDescent="0.25">
      <c r="A15" s="120"/>
      <c r="B15" s="120"/>
      <c r="C15" s="120"/>
      <c r="D15" s="56" t="s">
        <v>30</v>
      </c>
      <c r="E15" s="56" t="s">
        <v>25</v>
      </c>
      <c r="F15" s="56" t="s">
        <v>25</v>
      </c>
      <c r="G15" s="57" t="s">
        <v>88</v>
      </c>
      <c r="H15" s="57" t="s">
        <v>82</v>
      </c>
      <c r="I15" s="57">
        <f>'MERCADO TE'!$U$12</f>
        <v>60.123000000000005</v>
      </c>
      <c r="J15" s="15"/>
      <c r="L15" s="54">
        <f>('TE BE'!$L$15+'TE BF'!$L$15+'TE CVA'!$L$15)*(1 - 0.4)</f>
        <v>0</v>
      </c>
      <c r="M15" s="54">
        <f>('TE BE'!$M$15+'TE BF'!$M$15+'TE CVA'!$M$15)*(1 - 0.4)</f>
        <v>23.474103975848866</v>
      </c>
      <c r="N15" s="54">
        <f>('TE BE'!$N$15+'TE BF'!$N$15+'TE CVA'!$N$15)*(1 - 0.4)</f>
        <v>0</v>
      </c>
      <c r="O15" s="54">
        <f>('TE BE'!$O$15+'TE BF'!$O$15+'TE CVA'!$O$15)*(1 - 0.4)</f>
        <v>0</v>
      </c>
      <c r="P15" s="54">
        <f>('TE BE'!$P$15+'TE BF'!$P$15+'TE CVA'!$P$15)*(1 - 0.4)</f>
        <v>-9.1857101730753019</v>
      </c>
      <c r="Q15" s="54">
        <f>('TE BE'!$R$15+'TE BF'!$R$15+'TE CVA'!$R$15)*(1 - 0.4)</f>
        <v>102.32482060825038</v>
      </c>
      <c r="R15" s="54">
        <f>('TE BE'!$T$15+'TE BF'!$T$15+'TE CVA'!$T$15)*(1 - 0.4)</f>
        <v>0</v>
      </c>
      <c r="S15" s="54">
        <f>('TE BE'!$U$15+'TE BF'!$U$15+'TE CVA'!$U$15)*(1 - 0.4)</f>
        <v>0</v>
      </c>
      <c r="T15" s="54">
        <f>('TE BE'!$V$15+'TE BF'!$V$15+'TE CVA'!$V$15)*(1 - 0.4)</f>
        <v>0</v>
      </c>
      <c r="U15" s="54">
        <f>('TE BE'!$X$15+'TE BF'!$X$15+'TE CVA'!$X$15)*(1 - 0.4)</f>
        <v>-0.3334343961978235</v>
      </c>
      <c r="V15" s="54">
        <f>('TE BE'!$Z$15+'TE BF'!$Z$15+'TE CVA'!$Z$15)*(1 - 0.4)</f>
        <v>2.6293886631232528</v>
      </c>
      <c r="X15" s="54">
        <v>0</v>
      </c>
      <c r="Y15" s="54">
        <v>4.9668255660756904</v>
      </c>
      <c r="Z15" s="54">
        <v>0</v>
      </c>
      <c r="AA15" s="54">
        <v>0</v>
      </c>
      <c r="AB15" s="54">
        <v>0</v>
      </c>
      <c r="AC15" s="54">
        <v>104.535184089666</v>
      </c>
      <c r="AD15" s="54">
        <v>0</v>
      </c>
      <c r="AE15" s="54">
        <v>0</v>
      </c>
      <c r="AF15" s="54">
        <v>0</v>
      </c>
      <c r="AG15" s="54">
        <v>-1.3398844940083201</v>
      </c>
      <c r="AH15" s="54">
        <v>2.9443268164504</v>
      </c>
    </row>
    <row r="16" spans="1:34" ht="11.25" customHeight="1" x14ac:dyDescent="0.25">
      <c r="A16" s="120"/>
      <c r="B16" s="120"/>
      <c r="C16" s="120"/>
      <c r="D16" s="56" t="s">
        <v>31</v>
      </c>
      <c r="E16" s="56" t="s">
        <v>25</v>
      </c>
      <c r="F16" s="56" t="s">
        <v>25</v>
      </c>
      <c r="G16" s="57" t="s">
        <v>88</v>
      </c>
      <c r="H16" s="57" t="s">
        <v>82</v>
      </c>
      <c r="I16" s="57">
        <f>'MERCADO TE'!$U$13</f>
        <v>463.43299999999999</v>
      </c>
      <c r="J16" s="15"/>
      <c r="L16" s="54">
        <f>('TE BE'!$L$16+'TE BF'!$L$16+'TE CVA'!$L$16)*(1 - 0.1)</f>
        <v>0</v>
      </c>
      <c r="M16" s="54">
        <f>('TE BE'!$M$16+'TE BF'!$M$16+'TE CVA'!$M$16)*(1 - 0.1)</f>
        <v>35.211155963773301</v>
      </c>
      <c r="N16" s="54">
        <f>('TE BE'!$N$16+'TE BF'!$N$16+'TE CVA'!$N$16)*(1 - 0.1)</f>
        <v>0</v>
      </c>
      <c r="O16" s="54">
        <f>('TE BE'!$O$16+'TE BF'!$O$16+'TE CVA'!$O$16)*(1 - 0.1)</f>
        <v>0</v>
      </c>
      <c r="P16" s="54">
        <f>('TE BE'!$P$16+'TE BF'!$P$16+'TE CVA'!$P$16)*(1 - 0.1)</f>
        <v>-13.778565259612952</v>
      </c>
      <c r="Q16" s="54">
        <f>('TE BE'!$R$16+'TE BF'!$R$16+'TE CVA'!$R$16)*(1 - 0.1)</f>
        <v>153.48723091237557</v>
      </c>
      <c r="R16" s="54">
        <f>('TE BE'!$T$16+'TE BF'!$T$16+'TE CVA'!$T$16)*(1 - 0.1)</f>
        <v>0</v>
      </c>
      <c r="S16" s="54">
        <f>('TE BE'!$U$16+'TE BF'!$U$16+'TE CVA'!$U$16)*(1 - 0.1)</f>
        <v>0</v>
      </c>
      <c r="T16" s="54">
        <f>('TE BE'!$V$16+'TE BF'!$V$16+'TE CVA'!$V$16)*(1 - 0.1)</f>
        <v>0</v>
      </c>
      <c r="U16" s="54">
        <f>('TE BE'!$X$16+'TE BF'!$X$16+'TE CVA'!$X$16)*(1 - 0.1)</f>
        <v>-0.50015159429673528</v>
      </c>
      <c r="V16" s="54">
        <f>('TE BE'!$Z$16+'TE BF'!$Z$16+'TE CVA'!$Z$16)*(1 - 0.1)</f>
        <v>3.9440829946848792</v>
      </c>
      <c r="X16" s="54">
        <v>0</v>
      </c>
      <c r="Y16" s="54">
        <v>7.4502383491135298</v>
      </c>
      <c r="Z16" s="54">
        <v>0</v>
      </c>
      <c r="AA16" s="54">
        <v>0</v>
      </c>
      <c r="AB16" s="54">
        <v>0</v>
      </c>
      <c r="AC16" s="54">
        <v>156.802776134499</v>
      </c>
      <c r="AD16" s="54">
        <v>0</v>
      </c>
      <c r="AE16" s="54">
        <v>0</v>
      </c>
      <c r="AF16" s="54">
        <v>0</v>
      </c>
      <c r="AG16" s="54">
        <v>-2.0098267410124899</v>
      </c>
      <c r="AH16" s="54">
        <v>4.4164902246755897</v>
      </c>
    </row>
    <row r="17" spans="1:34" ht="11.25" customHeight="1" x14ac:dyDescent="0.25">
      <c r="A17" s="120"/>
      <c r="B17" s="120"/>
      <c r="C17" s="120"/>
      <c r="D17" s="56" t="s">
        <v>32</v>
      </c>
      <c r="E17" s="56" t="s">
        <v>25</v>
      </c>
      <c r="F17" s="56" t="s">
        <v>25</v>
      </c>
      <c r="G17" s="57" t="s">
        <v>88</v>
      </c>
      <c r="H17" s="57" t="s">
        <v>82</v>
      </c>
      <c r="I17" s="57">
        <f>'MERCADO TE'!$U$14</f>
        <v>303.64100000000002</v>
      </c>
      <c r="J17" s="15"/>
      <c r="L17" s="54">
        <f>('TE BE'!$L$17+'TE BF'!$L$17+'TE CVA'!$L$17)*1</f>
        <v>0</v>
      </c>
      <c r="M17" s="54">
        <f>('TE BE'!$M$17+'TE BF'!$M$17+'TE CVA'!$M$17)*1</f>
        <v>39.12350662641478</v>
      </c>
      <c r="N17" s="54">
        <f>('TE BE'!$N$17+'TE BF'!$N$17+'TE CVA'!$N$17)*1</f>
        <v>0</v>
      </c>
      <c r="O17" s="54">
        <f>('TE BE'!$O$17+'TE BF'!$O$17+'TE CVA'!$O$17)*1</f>
        <v>0</v>
      </c>
      <c r="P17" s="54">
        <f>('TE BE'!$P$17+'TE BF'!$P$17+'TE CVA'!$P$17)*1</f>
        <v>-15.309516955125503</v>
      </c>
      <c r="Q17" s="54">
        <f>('TE BE'!$R$17+'TE BF'!$R$17+'TE CVA'!$R$17)*1</f>
        <v>170.5413676804173</v>
      </c>
      <c r="R17" s="54">
        <f>('TE BE'!$T$17+'TE BF'!$T$17+'TE CVA'!$T$17)*1</f>
        <v>0</v>
      </c>
      <c r="S17" s="54">
        <f>('TE BE'!$U$17+'TE BF'!$U$17+'TE CVA'!$U$17)*1</f>
        <v>0</v>
      </c>
      <c r="T17" s="54">
        <f>('TE BE'!$V$17+'TE BF'!$V$17+'TE CVA'!$V$17)*1</f>
        <v>0</v>
      </c>
      <c r="U17" s="54">
        <f>('TE BE'!$X$17+'TE BF'!$X$17+'TE CVA'!$X$17)*1</f>
        <v>-0.55572399366303915</v>
      </c>
      <c r="V17" s="54">
        <f>('TE BE'!$Z$17+'TE BF'!$Z$17+'TE CVA'!$Z$17)*1</f>
        <v>4.3823144385387547</v>
      </c>
      <c r="X17" s="54">
        <v>0</v>
      </c>
      <c r="Y17" s="54">
        <v>8.2780426101261497</v>
      </c>
      <c r="Z17" s="54">
        <v>0</v>
      </c>
      <c r="AA17" s="54">
        <v>0</v>
      </c>
      <c r="AB17" s="54">
        <v>0</v>
      </c>
      <c r="AC17" s="54">
        <v>174.22530681610999</v>
      </c>
      <c r="AD17" s="54">
        <v>0</v>
      </c>
      <c r="AE17" s="54">
        <v>0</v>
      </c>
      <c r="AF17" s="54">
        <v>0</v>
      </c>
      <c r="AG17" s="54">
        <v>-2.2331408233472101</v>
      </c>
      <c r="AH17" s="54">
        <v>4.9072113607506598</v>
      </c>
    </row>
    <row r="18" spans="1:34" ht="11.25" customHeight="1" x14ac:dyDescent="0.25">
      <c r="A18" s="120"/>
      <c r="B18" s="120" t="s">
        <v>96</v>
      </c>
      <c r="C18" s="120" t="s">
        <v>24</v>
      </c>
      <c r="D18" s="56" t="s">
        <v>24</v>
      </c>
      <c r="E18" s="56" t="s">
        <v>25</v>
      </c>
      <c r="F18" s="56" t="s">
        <v>25</v>
      </c>
      <c r="G18" s="57" t="s">
        <v>88</v>
      </c>
      <c r="H18" s="57" t="s">
        <v>82</v>
      </c>
      <c r="I18" s="57">
        <f>'MERCADO TE'!$U$15</f>
        <v>0</v>
      </c>
      <c r="J18" s="15"/>
      <c r="L18" s="54">
        <f>('TE BE'!$L$18+'TE BF'!$L$18+'TE CVA'!$L$18)*1</f>
        <v>0</v>
      </c>
      <c r="M18" s="54">
        <f>('TE BE'!$M$18+'TE BF'!$M$18+'TE CVA'!$M$18)*1</f>
        <v>39.12350662641478</v>
      </c>
      <c r="N18" s="54">
        <f>('TE BE'!$N$18+'TE BF'!$N$18+'TE CVA'!$N$18)*1</f>
        <v>0</v>
      </c>
      <c r="O18" s="54">
        <f>('TE BE'!$O$18+'TE BF'!$O$18+'TE CVA'!$O$18)*1</f>
        <v>0</v>
      </c>
      <c r="P18" s="54">
        <f>('TE BE'!$P$18+'TE BF'!$P$18+'TE CVA'!$P$18)*1</f>
        <v>-15.309516955125503</v>
      </c>
      <c r="Q18" s="54">
        <f>('TE BE'!$R$18+'TE BF'!$R$18+'TE CVA'!$R$18)*1</f>
        <v>170.5413676804173</v>
      </c>
      <c r="R18" s="54">
        <f>('TE BE'!$T$18+'TE BF'!$T$18+'TE CVA'!$T$18)*1</f>
        <v>0</v>
      </c>
      <c r="S18" s="54">
        <f>('TE BE'!$U$18+'TE BF'!$U$18+'TE CVA'!$U$18)*1</f>
        <v>0</v>
      </c>
      <c r="T18" s="54">
        <f>('TE BE'!$V$18+'TE BF'!$V$18+'TE CVA'!$V$18)*1</f>
        <v>0</v>
      </c>
      <c r="U18" s="54">
        <f>('TE BE'!$X$18+'TE BF'!$X$18+'TE CVA'!$X$18)*1</f>
        <v>-0.55572399366303915</v>
      </c>
      <c r="V18" s="54">
        <f>('TE BE'!$Z$18+'TE BF'!$Z$18+'TE CVA'!$Z$18)*1</f>
        <v>4.3823144385387547</v>
      </c>
      <c r="X18" s="54">
        <v>0</v>
      </c>
      <c r="Y18" s="54">
        <v>8.2780426101261497</v>
      </c>
      <c r="Z18" s="54">
        <v>0</v>
      </c>
      <c r="AA18" s="54">
        <v>0</v>
      </c>
      <c r="AB18" s="54">
        <v>0</v>
      </c>
      <c r="AC18" s="54">
        <v>174.22530681610999</v>
      </c>
      <c r="AD18" s="54">
        <v>0</v>
      </c>
      <c r="AE18" s="54">
        <v>0</v>
      </c>
      <c r="AF18" s="54">
        <v>0</v>
      </c>
      <c r="AG18" s="54">
        <v>-2.2331408233472101</v>
      </c>
      <c r="AH18" s="54">
        <v>4.9072113607506598</v>
      </c>
    </row>
    <row r="19" spans="1:34" ht="11.25" customHeight="1" x14ac:dyDescent="0.25">
      <c r="A19" s="120"/>
      <c r="B19" s="120"/>
      <c r="C19" s="120"/>
      <c r="D19" s="56" t="s">
        <v>29</v>
      </c>
      <c r="E19" s="56" t="s">
        <v>25</v>
      </c>
      <c r="F19" s="56" t="s">
        <v>25</v>
      </c>
      <c r="G19" s="57" t="s">
        <v>88</v>
      </c>
      <c r="H19" s="57" t="s">
        <v>82</v>
      </c>
      <c r="I19" s="57">
        <f>'MERCADO TE'!$U$16</f>
        <v>0</v>
      </c>
      <c r="J19" s="15"/>
      <c r="L19" s="54">
        <f>('TE BE'!$L$19+'TE BF'!$L$19+'TE CVA'!$L$19)*(1 - 0.65)</f>
        <v>0</v>
      </c>
      <c r="M19" s="54">
        <f>('TE BE'!$M$19+'TE BF'!$M$19+'TE CVA'!$M$19)*(1 - 0.65)</f>
        <v>13.693227319245173</v>
      </c>
      <c r="N19" s="54">
        <f>('TE BE'!$N$19+'TE BF'!$N$19+'TE CVA'!$N$19)*(1 - 0.65)</f>
        <v>0</v>
      </c>
      <c r="O19" s="54">
        <f>('TE BE'!$O$19+'TE BF'!$O$19+'TE CVA'!$O$19)*(1 - 0.65)</f>
        <v>0</v>
      </c>
      <c r="P19" s="54">
        <f>('TE BE'!$P$19+'TE BF'!$P$19+'TE CVA'!$P$19)*(1 - 0.65)</f>
        <v>-5.3583309342939254</v>
      </c>
      <c r="Q19" s="54">
        <f>('TE BE'!$R$19+'TE BF'!$R$19+'TE CVA'!$R$19)*(1 - 0.65)</f>
        <v>59.689478688146046</v>
      </c>
      <c r="R19" s="54">
        <f>('TE BE'!$T$19+'TE BF'!$T$19+'TE CVA'!$T$19)*(1 - 0.65)</f>
        <v>0</v>
      </c>
      <c r="S19" s="54">
        <f>('TE BE'!$U$19+'TE BF'!$U$19+'TE CVA'!$U$19)*(1 - 0.65)</f>
        <v>0</v>
      </c>
      <c r="T19" s="54">
        <f>('TE BE'!$V$19+'TE BF'!$V$19+'TE CVA'!$V$19)*(1 - 0.65)</f>
        <v>0</v>
      </c>
      <c r="U19" s="54">
        <f>('TE BE'!$X$19+'TE BF'!$X$19+'TE CVA'!$X$19)*(1 - 0.65)</f>
        <v>-0.19450339778206369</v>
      </c>
      <c r="V19" s="54">
        <f>('TE BE'!$Z$19+'TE BF'!$Z$19+'TE CVA'!$Z$19)*(1 - 0.65)</f>
        <v>1.5338100534885641</v>
      </c>
      <c r="X19" s="54">
        <v>0</v>
      </c>
      <c r="Y19" s="54">
        <v>2.8973149135441498</v>
      </c>
      <c r="Z19" s="54">
        <v>0</v>
      </c>
      <c r="AA19" s="54">
        <v>0</v>
      </c>
      <c r="AB19" s="54">
        <v>0</v>
      </c>
      <c r="AC19" s="54">
        <v>60.978857385638399</v>
      </c>
      <c r="AD19" s="54">
        <v>0</v>
      </c>
      <c r="AE19" s="54">
        <v>0</v>
      </c>
      <c r="AF19" s="54">
        <v>0</v>
      </c>
      <c r="AG19" s="54">
        <v>-0.78159928817152202</v>
      </c>
      <c r="AH19" s="54">
        <v>1.7175239762627299</v>
      </c>
    </row>
    <row r="20" spans="1:34" ht="11.25" customHeight="1" x14ac:dyDescent="0.25">
      <c r="A20" s="120"/>
      <c r="B20" s="120"/>
      <c r="C20" s="120"/>
      <c r="D20" s="56" t="s">
        <v>30</v>
      </c>
      <c r="E20" s="56" t="s">
        <v>25</v>
      </c>
      <c r="F20" s="56" t="s">
        <v>25</v>
      </c>
      <c r="G20" s="57" t="s">
        <v>88</v>
      </c>
      <c r="H20" s="57" t="s">
        <v>82</v>
      </c>
      <c r="I20" s="57">
        <f>'MERCADO TE'!$U$17</f>
        <v>0</v>
      </c>
      <c r="J20" s="15"/>
      <c r="L20" s="54">
        <f>('TE BE'!$L$20+'TE BF'!$L$20+'TE CVA'!$L$20)*(1 - 0.4)</f>
        <v>0</v>
      </c>
      <c r="M20" s="54">
        <f>('TE BE'!$M$20+'TE BF'!$M$20+'TE CVA'!$M$20)*(1 - 0.4)</f>
        <v>23.474103975848866</v>
      </c>
      <c r="N20" s="54">
        <f>('TE BE'!$N$20+'TE BF'!$N$20+'TE CVA'!$N$20)*(1 - 0.4)</f>
        <v>0</v>
      </c>
      <c r="O20" s="54">
        <f>('TE BE'!$O$20+'TE BF'!$O$20+'TE CVA'!$O$20)*(1 - 0.4)</f>
        <v>0</v>
      </c>
      <c r="P20" s="54">
        <f>('TE BE'!$P$20+'TE BF'!$P$20+'TE CVA'!$P$20)*(1 - 0.4)</f>
        <v>-9.1857101730753019</v>
      </c>
      <c r="Q20" s="54">
        <f>('TE BE'!$R$20+'TE BF'!$R$20+'TE CVA'!$R$20)*(1 - 0.4)</f>
        <v>102.32482060825038</v>
      </c>
      <c r="R20" s="54">
        <f>('TE BE'!$T$20+'TE BF'!$T$20+'TE CVA'!$T$20)*(1 - 0.4)</f>
        <v>0</v>
      </c>
      <c r="S20" s="54">
        <f>('TE BE'!$U$20+'TE BF'!$U$20+'TE CVA'!$U$20)*(1 - 0.4)</f>
        <v>0</v>
      </c>
      <c r="T20" s="54">
        <f>('TE BE'!$V$20+'TE BF'!$V$20+'TE CVA'!$V$20)*(1 - 0.4)</f>
        <v>0</v>
      </c>
      <c r="U20" s="54">
        <f>('TE BE'!$X$20+'TE BF'!$X$20+'TE CVA'!$X$20)*(1 - 0.4)</f>
        <v>-0.3334343961978235</v>
      </c>
      <c r="V20" s="54">
        <f>('TE BE'!$Z$20+'TE BF'!$Z$20+'TE CVA'!$Z$20)*(1 - 0.4)</f>
        <v>2.6293886631232528</v>
      </c>
      <c r="X20" s="54">
        <v>0</v>
      </c>
      <c r="Y20" s="54">
        <v>4.9668255660756904</v>
      </c>
      <c r="Z20" s="54">
        <v>0</v>
      </c>
      <c r="AA20" s="54">
        <v>0</v>
      </c>
      <c r="AB20" s="54">
        <v>0</v>
      </c>
      <c r="AC20" s="54">
        <v>104.535184089666</v>
      </c>
      <c r="AD20" s="54">
        <v>0</v>
      </c>
      <c r="AE20" s="54">
        <v>0</v>
      </c>
      <c r="AF20" s="54">
        <v>0</v>
      </c>
      <c r="AG20" s="54">
        <v>-1.3398844940083201</v>
      </c>
      <c r="AH20" s="54">
        <v>2.9443268164504</v>
      </c>
    </row>
    <row r="21" spans="1:34" ht="11.25" customHeight="1" x14ac:dyDescent="0.25">
      <c r="A21" s="120"/>
      <c r="B21" s="120"/>
      <c r="C21" s="120"/>
      <c r="D21" s="56" t="s">
        <v>31</v>
      </c>
      <c r="E21" s="56" t="s">
        <v>25</v>
      </c>
      <c r="F21" s="56" t="s">
        <v>25</v>
      </c>
      <c r="G21" s="57" t="s">
        <v>88</v>
      </c>
      <c r="H21" s="57" t="s">
        <v>82</v>
      </c>
      <c r="I21" s="57">
        <f>'MERCADO TE'!$U$18</f>
        <v>0</v>
      </c>
      <c r="J21" s="15"/>
      <c r="L21" s="54">
        <f>('TE BE'!$L$21+'TE BF'!$L$21+'TE CVA'!$L$21)*(1 - 0.1)</f>
        <v>0</v>
      </c>
      <c r="M21" s="54">
        <f>('TE BE'!$M$21+'TE BF'!$M$21+'TE CVA'!$M$21)*(1 - 0.1)</f>
        <v>35.211155963773301</v>
      </c>
      <c r="N21" s="54">
        <f>('TE BE'!$N$21+'TE BF'!$N$21+'TE CVA'!$N$21)*(1 - 0.1)</f>
        <v>0</v>
      </c>
      <c r="O21" s="54">
        <f>('TE BE'!$O$21+'TE BF'!$O$21+'TE CVA'!$O$21)*(1 - 0.1)</f>
        <v>0</v>
      </c>
      <c r="P21" s="54">
        <f>('TE BE'!$P$21+'TE BF'!$P$21+'TE CVA'!$P$21)*(1 - 0.1)</f>
        <v>-13.778565259612952</v>
      </c>
      <c r="Q21" s="54">
        <f>('TE BE'!$R$21+'TE BF'!$R$21+'TE CVA'!$R$21)*(1 - 0.1)</f>
        <v>153.48723091237557</v>
      </c>
      <c r="R21" s="54">
        <f>('TE BE'!$T$21+'TE BF'!$T$21+'TE CVA'!$T$21)*(1 - 0.1)</f>
        <v>0</v>
      </c>
      <c r="S21" s="54">
        <f>('TE BE'!$U$21+'TE BF'!$U$21+'TE CVA'!$U$21)*(1 - 0.1)</f>
        <v>0</v>
      </c>
      <c r="T21" s="54">
        <f>('TE BE'!$V$21+'TE BF'!$V$21+'TE CVA'!$V$21)*(1 - 0.1)</f>
        <v>0</v>
      </c>
      <c r="U21" s="54">
        <f>('TE BE'!$X$21+'TE BF'!$X$21+'TE CVA'!$X$21)*(1 - 0.1)</f>
        <v>-0.50015159429673528</v>
      </c>
      <c r="V21" s="54">
        <f>('TE BE'!$Z$21+'TE BF'!$Z$21+'TE CVA'!$Z$21)*(1 - 0.1)</f>
        <v>3.9440829946848792</v>
      </c>
      <c r="X21" s="54">
        <v>0</v>
      </c>
      <c r="Y21" s="54">
        <v>7.4502383491135298</v>
      </c>
      <c r="Z21" s="54">
        <v>0</v>
      </c>
      <c r="AA21" s="54">
        <v>0</v>
      </c>
      <c r="AB21" s="54">
        <v>0</v>
      </c>
      <c r="AC21" s="54">
        <v>156.802776134499</v>
      </c>
      <c r="AD21" s="54">
        <v>0</v>
      </c>
      <c r="AE21" s="54">
        <v>0</v>
      </c>
      <c r="AF21" s="54">
        <v>0</v>
      </c>
      <c r="AG21" s="54">
        <v>-2.0098267410124899</v>
      </c>
      <c r="AH21" s="54">
        <v>4.4164902246755897</v>
      </c>
    </row>
    <row r="22" spans="1:34" ht="11.25" customHeight="1" x14ac:dyDescent="0.25">
      <c r="A22" s="120"/>
      <c r="B22" s="120"/>
      <c r="C22" s="120"/>
      <c r="D22" s="56" t="s">
        <v>32</v>
      </c>
      <c r="E22" s="56" t="s">
        <v>25</v>
      </c>
      <c r="F22" s="56" t="s">
        <v>25</v>
      </c>
      <c r="G22" s="57" t="s">
        <v>88</v>
      </c>
      <c r="H22" s="57" t="s">
        <v>82</v>
      </c>
      <c r="I22" s="57">
        <f>'MERCADO TE'!$U$19</f>
        <v>0</v>
      </c>
      <c r="J22" s="15"/>
      <c r="L22" s="54">
        <f>('TE BE'!$L$22+'TE BF'!$L$22+'TE CVA'!$L$22)*1</f>
        <v>0</v>
      </c>
      <c r="M22" s="54">
        <f>('TE BE'!$M$22+'TE BF'!$M$22+'TE CVA'!$M$22)*1</f>
        <v>39.12350662641478</v>
      </c>
      <c r="N22" s="54">
        <f>('TE BE'!$N$22+'TE BF'!$N$22+'TE CVA'!$N$22)*1</f>
        <v>0</v>
      </c>
      <c r="O22" s="54">
        <f>('TE BE'!$O$22+'TE BF'!$O$22+'TE CVA'!$O$22)*1</f>
        <v>0</v>
      </c>
      <c r="P22" s="54">
        <f>('TE BE'!$P$22+'TE BF'!$P$22+'TE CVA'!$P$22)*1</f>
        <v>-15.309516955125503</v>
      </c>
      <c r="Q22" s="54">
        <f>('TE BE'!$R$22+'TE BF'!$R$22+'TE CVA'!$R$22)*1</f>
        <v>170.5413676804173</v>
      </c>
      <c r="R22" s="54">
        <f>('TE BE'!$T$22+'TE BF'!$T$22+'TE CVA'!$T$22)*1</f>
        <v>0</v>
      </c>
      <c r="S22" s="54">
        <f>('TE BE'!$U$22+'TE BF'!$U$22+'TE CVA'!$U$22)*1</f>
        <v>0</v>
      </c>
      <c r="T22" s="54">
        <f>('TE BE'!$V$22+'TE BF'!$V$22+'TE CVA'!$V$22)*1</f>
        <v>0</v>
      </c>
      <c r="U22" s="54">
        <f>('TE BE'!$X$22+'TE BF'!$X$22+'TE CVA'!$X$22)*1</f>
        <v>-0.55572399366303915</v>
      </c>
      <c r="V22" s="54">
        <f>('TE BE'!$Z$22+'TE BF'!$Z$22+'TE CVA'!$Z$22)*1</f>
        <v>4.3823144385387547</v>
      </c>
      <c r="X22" s="54">
        <v>0</v>
      </c>
      <c r="Y22" s="54">
        <v>8.2780426101261497</v>
      </c>
      <c r="Z22" s="54">
        <v>0</v>
      </c>
      <c r="AA22" s="54">
        <v>0</v>
      </c>
      <c r="AB22" s="54">
        <v>0</v>
      </c>
      <c r="AC22" s="54">
        <v>174.22530681610999</v>
      </c>
      <c r="AD22" s="54">
        <v>0</v>
      </c>
      <c r="AE22" s="54">
        <v>0</v>
      </c>
      <c r="AF22" s="54">
        <v>0</v>
      </c>
      <c r="AG22" s="54">
        <v>-2.2331408233472101</v>
      </c>
      <c r="AH22" s="54">
        <v>4.9072113607506598</v>
      </c>
    </row>
    <row r="23" spans="1:34" ht="11.25" customHeight="1" x14ac:dyDescent="0.25">
      <c r="A23" s="120" t="s">
        <v>41</v>
      </c>
      <c r="B23" s="120" t="s">
        <v>81</v>
      </c>
      <c r="C23" s="120" t="s">
        <v>42</v>
      </c>
      <c r="D23" s="120" t="s">
        <v>25</v>
      </c>
      <c r="E23" s="120" t="s">
        <v>25</v>
      </c>
      <c r="F23" s="120" t="s">
        <v>25</v>
      </c>
      <c r="G23" s="57" t="s">
        <v>83</v>
      </c>
      <c r="H23" s="57" t="s">
        <v>82</v>
      </c>
      <c r="I23" s="57">
        <f>'MERCADO TE'!$U$20</f>
        <v>0</v>
      </c>
      <c r="J23" s="15"/>
      <c r="L23" s="54">
        <f>('TE BE'!$L$23+'TE BF'!$L$23+'TE CVA'!$L$23)*(1 - CUSTOS!$M$38)</f>
        <v>0</v>
      </c>
      <c r="M23" s="54">
        <f>('TE BE'!$M$23+'TE BF'!$M$23+'TE CVA'!$M$23)*(1 - CUSTOS!$M$38)</f>
        <v>36.776096228829893</v>
      </c>
      <c r="N23" s="54">
        <f>('TE BE'!$N$23+'TE BF'!$N$23+'TE CVA'!$N$23)*(1 - CUSTOS!$M$38)</f>
        <v>0</v>
      </c>
      <c r="O23" s="54">
        <f>('TE BE'!$O$23+'TE BF'!$O$23+'TE CVA'!$O$23)*(1 - CUSTOS!$M$38)</f>
        <v>0</v>
      </c>
      <c r="P23" s="54">
        <f>('TE BE'!$P$23+'TE BF'!$P$23+'TE CVA'!$P$23)*(1 - CUSTOS!$M$38)</f>
        <v>-14.390945937817971</v>
      </c>
      <c r="Q23" s="54">
        <f>('TE BE'!$R$23+'TE BF'!$R$23+'TE CVA'!$R$23)*(1 - CUSTOS!$M$38)</f>
        <v>160.30888561959225</v>
      </c>
      <c r="R23" s="54">
        <f>('TE BE'!$T$23+'TE BF'!$T$23+'TE CVA'!$T$23)*(1 - CUSTOS!$M$38)</f>
        <v>0</v>
      </c>
      <c r="S23" s="54">
        <f>('TE BE'!$U$23+'TE BF'!$U$23+'TE CVA'!$U$23)*(1 - CUSTOS!$M$38)</f>
        <v>0</v>
      </c>
      <c r="T23" s="54">
        <f>('TE BE'!$V$23+'TE BF'!$V$23+'TE CVA'!$V$23)*(1 - CUSTOS!$M$38)</f>
        <v>0</v>
      </c>
      <c r="U23" s="54">
        <f>('TE BE'!$X$23+'TE BF'!$X$23+'TE CVA'!$X$23)*(1 - CUSTOS!$M$38)</f>
        <v>-0.52238055404325678</v>
      </c>
      <c r="V23" s="54">
        <f>('TE BE'!$Z$23+'TE BF'!$Z$23+'TE CVA'!$Z$23)*(1 - CUSTOS!$M$38)</f>
        <v>4.1193755722264296</v>
      </c>
      <c r="X23" s="54">
        <v>0</v>
      </c>
      <c r="Y23" s="54">
        <v>7.2846774969110104</v>
      </c>
      <c r="Z23" s="54">
        <v>0</v>
      </c>
      <c r="AA23" s="54">
        <v>0</v>
      </c>
      <c r="AB23" s="54">
        <v>0</v>
      </c>
      <c r="AC23" s="54">
        <v>153.31826999817699</v>
      </c>
      <c r="AD23" s="54">
        <v>0</v>
      </c>
      <c r="AE23" s="54">
        <v>0</v>
      </c>
      <c r="AF23" s="54">
        <v>0</v>
      </c>
      <c r="AG23" s="54">
        <v>-1.9651639245455399</v>
      </c>
      <c r="AH23" s="54">
        <v>4.3183459974605798</v>
      </c>
    </row>
    <row r="24" spans="1:34" ht="11.25" customHeight="1" x14ac:dyDescent="0.25">
      <c r="A24" s="120"/>
      <c r="B24" s="120"/>
      <c r="C24" s="120"/>
      <c r="D24" s="120"/>
      <c r="E24" s="120"/>
      <c r="F24" s="120"/>
      <c r="G24" s="57" t="s">
        <v>94</v>
      </c>
      <c r="H24" s="57" t="s">
        <v>82</v>
      </c>
      <c r="I24" s="57">
        <f>'MERCADO TE'!$U$21</f>
        <v>0</v>
      </c>
      <c r="J24" s="15"/>
      <c r="L24" s="54">
        <f>('TE BE'!$L$24+'TE BF'!$L$24+'TE CVA'!$L$24)*(1 - CUSTOS!$M$38)</f>
        <v>0</v>
      </c>
      <c r="M24" s="54">
        <f>('TE BE'!$M$24+'TE BF'!$M$24+'TE CVA'!$M$24)*(1 - CUSTOS!$M$38)</f>
        <v>36.776096228829893</v>
      </c>
      <c r="N24" s="54">
        <f>('TE BE'!$N$24+'TE BF'!$N$24+'TE CVA'!$N$24)*(1 - CUSTOS!$M$38)</f>
        <v>0</v>
      </c>
      <c r="O24" s="54">
        <f>('TE BE'!$O$24+'TE BF'!$O$24+'TE CVA'!$O$24)*(1 - CUSTOS!$M$38)</f>
        <v>0</v>
      </c>
      <c r="P24" s="54">
        <f>('TE BE'!$P$24+'TE BF'!$P$24+'TE CVA'!$P$24)*(1 - CUSTOS!$M$38)</f>
        <v>-14.390945937817971</v>
      </c>
      <c r="Q24" s="54">
        <f>('TE BE'!$R$24+'TE BF'!$R$24+'TE CVA'!$R$24)*(1 - CUSTOS!$M$38)</f>
        <v>160.30888561959225</v>
      </c>
      <c r="R24" s="54">
        <f>('TE BE'!$T$24+'TE BF'!$T$24+'TE CVA'!$T$24)*(1 - CUSTOS!$M$38)</f>
        <v>0</v>
      </c>
      <c r="S24" s="54">
        <f>('TE BE'!$U$24+'TE BF'!$U$24+'TE CVA'!$U$24)*(1 - CUSTOS!$M$38)</f>
        <v>0</v>
      </c>
      <c r="T24" s="54">
        <f>('TE BE'!$V$24+'TE BF'!$V$24+'TE CVA'!$V$24)*(1 - CUSTOS!$M$38)</f>
        <v>0</v>
      </c>
      <c r="U24" s="54">
        <f>('TE BE'!$X$24+'TE BF'!$X$24+'TE CVA'!$X$24)*(1 - CUSTOS!$M$38)</f>
        <v>-0.52238055404325678</v>
      </c>
      <c r="V24" s="54">
        <f>('TE BE'!$Z$24+'TE BF'!$Z$24+'TE CVA'!$Z$24)*(1 - CUSTOS!$M$38)</f>
        <v>4.1193755722264296</v>
      </c>
      <c r="X24" s="54">
        <v>0</v>
      </c>
      <c r="Y24" s="54">
        <v>7.2846774969110104</v>
      </c>
      <c r="Z24" s="54">
        <v>0</v>
      </c>
      <c r="AA24" s="54">
        <v>0</v>
      </c>
      <c r="AB24" s="54">
        <v>0</v>
      </c>
      <c r="AC24" s="54">
        <v>153.31826999817699</v>
      </c>
      <c r="AD24" s="54">
        <v>0</v>
      </c>
      <c r="AE24" s="54">
        <v>0</v>
      </c>
      <c r="AF24" s="54">
        <v>0</v>
      </c>
      <c r="AG24" s="54">
        <v>-1.9651639245455399</v>
      </c>
      <c r="AH24" s="54">
        <v>4.3183459974605798</v>
      </c>
    </row>
    <row r="25" spans="1:34" ht="11.25" customHeight="1" x14ac:dyDescent="0.25">
      <c r="A25" s="120"/>
      <c r="B25" s="120"/>
      <c r="C25" s="120"/>
      <c r="D25" s="120"/>
      <c r="E25" s="120"/>
      <c r="F25" s="120"/>
      <c r="G25" s="57" t="s">
        <v>84</v>
      </c>
      <c r="H25" s="57" t="s">
        <v>82</v>
      </c>
      <c r="I25" s="57">
        <f>'MERCADO TE'!$U$22</f>
        <v>0</v>
      </c>
      <c r="J25" s="15"/>
      <c r="L25" s="54">
        <f>('TE BE'!$L$25+'TE BF'!$L$25+'TE CVA'!$L$25)*(1 - CUSTOS!$M$38)</f>
        <v>0</v>
      </c>
      <c r="M25" s="54">
        <f>('TE BE'!$M$25+'TE BF'!$M$25+'TE CVA'!$M$25)*(1 - CUSTOS!$M$38)</f>
        <v>36.776096228829893</v>
      </c>
      <c r="N25" s="54">
        <f>('TE BE'!$N$25+'TE BF'!$N$25+'TE CVA'!$N$25)*(1 - CUSTOS!$M$38)</f>
        <v>0</v>
      </c>
      <c r="O25" s="54">
        <f>('TE BE'!$O$25+'TE BF'!$O$25+'TE CVA'!$O$25)*(1 - CUSTOS!$M$38)</f>
        <v>0</v>
      </c>
      <c r="P25" s="54">
        <f>('TE BE'!$P$25+'TE BF'!$P$25+'TE CVA'!$P$25)*(1 - CUSTOS!$M$38)</f>
        <v>-14.390945937817971</v>
      </c>
      <c r="Q25" s="54">
        <f>('TE BE'!$R$25+'TE BF'!$R$25+'TE CVA'!$R$25)*(1 - CUSTOS!$M$38)</f>
        <v>160.30888561959225</v>
      </c>
      <c r="R25" s="54">
        <f>('TE BE'!$T$25+'TE BF'!$T$25+'TE CVA'!$T$25)*(1 - CUSTOS!$M$38)</f>
        <v>0</v>
      </c>
      <c r="S25" s="54">
        <f>('TE BE'!$U$25+'TE BF'!$U$25+'TE CVA'!$U$25)*(1 - CUSTOS!$M$38)</f>
        <v>0</v>
      </c>
      <c r="T25" s="54">
        <f>('TE BE'!$V$25+'TE BF'!$V$25+'TE CVA'!$V$25)*(1 - CUSTOS!$M$38)</f>
        <v>0</v>
      </c>
      <c r="U25" s="54">
        <f>('TE BE'!$X$25+'TE BF'!$X$25+'TE CVA'!$X$25)*(1 - CUSTOS!$M$38)</f>
        <v>-0.52238055404325678</v>
      </c>
      <c r="V25" s="54">
        <f>('TE BE'!$Z$25+'TE BF'!$Z$25+'TE CVA'!$Z$25)*(1 - CUSTOS!$M$38)</f>
        <v>4.1193755722264296</v>
      </c>
      <c r="X25" s="54">
        <v>0</v>
      </c>
      <c r="Y25" s="54">
        <v>7.2846774969110104</v>
      </c>
      <c r="Z25" s="54">
        <v>0</v>
      </c>
      <c r="AA25" s="54">
        <v>0</v>
      </c>
      <c r="AB25" s="54">
        <v>0</v>
      </c>
      <c r="AC25" s="54">
        <v>153.31826999817699</v>
      </c>
      <c r="AD25" s="54">
        <v>0</v>
      </c>
      <c r="AE25" s="54">
        <v>0</v>
      </c>
      <c r="AF25" s="54">
        <v>0</v>
      </c>
      <c r="AG25" s="54">
        <v>-1.9651639245455399</v>
      </c>
      <c r="AH25" s="54">
        <v>4.3183459974605798</v>
      </c>
    </row>
    <row r="26" spans="1:34" ht="11.25" customHeight="1" x14ac:dyDescent="0.25">
      <c r="A26" s="120"/>
      <c r="B26" s="56" t="s">
        <v>90</v>
      </c>
      <c r="C26" s="56" t="s">
        <v>42</v>
      </c>
      <c r="D26" s="56" t="s">
        <v>25</v>
      </c>
      <c r="E26" s="56" t="s">
        <v>25</v>
      </c>
      <c r="F26" s="56" t="s">
        <v>25</v>
      </c>
      <c r="G26" s="57" t="s">
        <v>88</v>
      </c>
      <c r="H26" s="57" t="s">
        <v>82</v>
      </c>
      <c r="I26" s="57">
        <f>'MERCADO TE'!$U$23</f>
        <v>185983.22399999999</v>
      </c>
      <c r="J26" s="15"/>
      <c r="L26" s="54">
        <f>('TE BE'!$L$26+'TE BF'!$L$26+'TE CVA'!$L$26)*(1 - CUSTOS!$M$38)</f>
        <v>0</v>
      </c>
      <c r="M26" s="54">
        <f>('TE BE'!$M$26+'TE BF'!$M$26+'TE CVA'!$M$26)*(1 - CUSTOS!$M$38)</f>
        <v>36.776096228829893</v>
      </c>
      <c r="N26" s="54">
        <f>('TE BE'!$N$26+'TE BF'!$N$26+'TE CVA'!$N$26)*(1 - CUSTOS!$M$38)</f>
        <v>0</v>
      </c>
      <c r="O26" s="54">
        <f>('TE BE'!$O$26+'TE BF'!$O$26+'TE CVA'!$O$26)*(1 - CUSTOS!$M$38)</f>
        <v>0</v>
      </c>
      <c r="P26" s="54">
        <f>('TE BE'!$P$26+'TE BF'!$P$26+'TE CVA'!$P$26)*(1 - CUSTOS!$M$38)</f>
        <v>-14.390945937817971</v>
      </c>
      <c r="Q26" s="54">
        <f>('TE BE'!$R$26+'TE BF'!$R$26+'TE CVA'!$R$26)*(1 - CUSTOS!$M$38)</f>
        <v>160.30888561959225</v>
      </c>
      <c r="R26" s="54">
        <f>('TE BE'!$T$26+'TE BF'!$T$26+'TE CVA'!$T$26)*(1 - CUSTOS!$M$38)</f>
        <v>0</v>
      </c>
      <c r="S26" s="54">
        <f>('TE BE'!$U$26+'TE BF'!$U$26+'TE CVA'!$U$26)*(1 - CUSTOS!$M$38)</f>
        <v>0</v>
      </c>
      <c r="T26" s="54">
        <f>('TE BE'!$V$26+'TE BF'!$V$26+'TE CVA'!$V$26)*(1 - CUSTOS!$M$38)</f>
        <v>0</v>
      </c>
      <c r="U26" s="54">
        <f>('TE BE'!$X$26+'TE BF'!$X$26+'TE CVA'!$X$26)*(1 - CUSTOS!$M$38)</f>
        <v>-0.52238055404325678</v>
      </c>
      <c r="V26" s="54">
        <f>('TE BE'!$Z$26+'TE BF'!$Z$26+'TE CVA'!$Z$26)*(1 - CUSTOS!$M$38)</f>
        <v>4.1193755722264296</v>
      </c>
      <c r="X26" s="54">
        <v>0</v>
      </c>
      <c r="Y26" s="54">
        <v>7.2846774969110104</v>
      </c>
      <c r="Z26" s="54">
        <v>0</v>
      </c>
      <c r="AA26" s="54">
        <v>0</v>
      </c>
      <c r="AB26" s="54">
        <v>0</v>
      </c>
      <c r="AC26" s="54">
        <v>153.31826999817699</v>
      </c>
      <c r="AD26" s="54">
        <v>0</v>
      </c>
      <c r="AE26" s="54">
        <v>0</v>
      </c>
      <c r="AF26" s="54">
        <v>0</v>
      </c>
      <c r="AG26" s="54">
        <v>-1.9651639245455399</v>
      </c>
      <c r="AH26" s="54">
        <v>4.3183459974605798</v>
      </c>
    </row>
    <row r="27" spans="1:34" ht="11.25" customHeight="1" x14ac:dyDescent="0.25">
      <c r="A27" s="120"/>
      <c r="B27" s="120" t="s">
        <v>81</v>
      </c>
      <c r="C27" s="120" t="s">
        <v>42</v>
      </c>
      <c r="D27" s="120" t="s">
        <v>98</v>
      </c>
      <c r="E27" s="120" t="s">
        <v>25</v>
      </c>
      <c r="F27" s="120" t="s">
        <v>25</v>
      </c>
      <c r="G27" s="57" t="s">
        <v>83</v>
      </c>
      <c r="H27" s="57" t="s">
        <v>82</v>
      </c>
      <c r="I27" s="57">
        <f>'MERCADO TE'!$U$24</f>
        <v>0</v>
      </c>
      <c r="J27" s="15"/>
      <c r="L27" s="54">
        <f>('TE BE'!$L$27+'TE BF'!$L$27+'TE CVA'!$L$27)*(1 - CUSTOS!$M$39)</f>
        <v>0</v>
      </c>
      <c r="M27" s="54">
        <f>('TE BE'!$M$27+'TE BF'!$M$27+'TE CVA'!$M$27)*(1 - CUSTOS!$M$39)</f>
        <v>36.776096228829893</v>
      </c>
      <c r="N27" s="54">
        <f>('TE BE'!$N$27+'TE BF'!$N$27+'TE CVA'!$N$27)*(1 - CUSTOS!$M$39)</f>
        <v>0</v>
      </c>
      <c r="O27" s="54">
        <f>('TE BE'!$O$27+'TE BF'!$O$27+'TE CVA'!$O$27)*(1 - CUSTOS!$M$39)</f>
        <v>0</v>
      </c>
      <c r="P27" s="54">
        <f>('TE BE'!$P$27+'TE BF'!$P$27+'TE CVA'!$P$27)*(1 - CUSTOS!$M$39)</f>
        <v>-14.390945937817971</v>
      </c>
      <c r="Q27" s="54">
        <f>('TE BE'!$R$27+'TE BF'!$R$27+'TE CVA'!$R$27)*(1 - CUSTOS!$M$39)</f>
        <v>160.30888561959225</v>
      </c>
      <c r="R27" s="54">
        <f>('TE BE'!$T$27+'TE BF'!$T$27+'TE CVA'!$T$27)*(1 - CUSTOS!$M$39)</f>
        <v>0</v>
      </c>
      <c r="S27" s="54">
        <f>('TE BE'!$U$27+'TE BF'!$U$27+'TE CVA'!$U$27)*(1 - CUSTOS!$M$39)</f>
        <v>0</v>
      </c>
      <c r="T27" s="54">
        <f>('TE BE'!$V$27+'TE BF'!$V$27+'TE CVA'!$V$27)*(1 - CUSTOS!$M$39)</f>
        <v>0</v>
      </c>
      <c r="U27" s="54">
        <f>('TE BE'!$X$27+'TE BF'!$X$27+'TE CVA'!$X$27)*(1 - CUSTOS!$M$39)</f>
        <v>-0.52238055404325678</v>
      </c>
      <c r="V27" s="54">
        <f>('TE BE'!$Z$27+'TE BF'!$Z$27+'TE CVA'!$Z$27)*(1 - CUSTOS!$M$39)</f>
        <v>4.1193755722264296</v>
      </c>
      <c r="X27" s="54">
        <v>0</v>
      </c>
      <c r="Y27" s="54">
        <v>7.2846774969110104</v>
      </c>
      <c r="Z27" s="54">
        <v>0</v>
      </c>
      <c r="AA27" s="54">
        <v>0</v>
      </c>
      <c r="AB27" s="54">
        <v>0</v>
      </c>
      <c r="AC27" s="54">
        <v>153.31826999817699</v>
      </c>
      <c r="AD27" s="54">
        <v>0</v>
      </c>
      <c r="AE27" s="54">
        <v>0</v>
      </c>
      <c r="AF27" s="54">
        <v>0</v>
      </c>
      <c r="AG27" s="54">
        <v>-1.9651639245455399</v>
      </c>
      <c r="AH27" s="54">
        <v>4.3183459974605798</v>
      </c>
    </row>
    <row r="28" spans="1:34" ht="11.25" customHeight="1" x14ac:dyDescent="0.25">
      <c r="A28" s="120"/>
      <c r="B28" s="120"/>
      <c r="C28" s="120"/>
      <c r="D28" s="120"/>
      <c r="E28" s="120"/>
      <c r="F28" s="120"/>
      <c r="G28" s="57" t="s">
        <v>94</v>
      </c>
      <c r="H28" s="57" t="s">
        <v>82</v>
      </c>
      <c r="I28" s="57">
        <f>'MERCADO TE'!$U$25</f>
        <v>0</v>
      </c>
      <c r="J28" s="15"/>
      <c r="L28" s="54">
        <f>('TE BE'!$L$28+'TE BF'!$L$28+'TE CVA'!$L$28)*(1 - CUSTOS!$M$39)</f>
        <v>0</v>
      </c>
      <c r="M28" s="54">
        <f>('TE BE'!$M$28+'TE BF'!$M$28+'TE CVA'!$M$28)*(1 - CUSTOS!$M$39)</f>
        <v>36.776096228829893</v>
      </c>
      <c r="N28" s="54">
        <f>('TE BE'!$N$28+'TE BF'!$N$28+'TE CVA'!$N$28)*(1 - CUSTOS!$M$39)</f>
        <v>0</v>
      </c>
      <c r="O28" s="54">
        <f>('TE BE'!$O$28+'TE BF'!$O$28+'TE CVA'!$O$28)*(1 - CUSTOS!$M$39)</f>
        <v>0</v>
      </c>
      <c r="P28" s="54">
        <f>('TE BE'!$P$28+'TE BF'!$P$28+'TE CVA'!$P$28)*(1 - CUSTOS!$M$39)</f>
        <v>-14.390945937817971</v>
      </c>
      <c r="Q28" s="54">
        <f>('TE BE'!$R$28+'TE BF'!$R$28+'TE CVA'!$R$28)*(1 - CUSTOS!$M$39)</f>
        <v>160.30888561959225</v>
      </c>
      <c r="R28" s="54">
        <f>('TE BE'!$T$28+'TE BF'!$T$28+'TE CVA'!$T$28)*(1 - CUSTOS!$M$39)</f>
        <v>0</v>
      </c>
      <c r="S28" s="54">
        <f>('TE BE'!$U$28+'TE BF'!$U$28+'TE CVA'!$U$28)*(1 - CUSTOS!$M$39)</f>
        <v>0</v>
      </c>
      <c r="T28" s="54">
        <f>('TE BE'!$V$28+'TE BF'!$V$28+'TE CVA'!$V$28)*(1 - CUSTOS!$M$39)</f>
        <v>0</v>
      </c>
      <c r="U28" s="54">
        <f>('TE BE'!$X$28+'TE BF'!$X$28+'TE CVA'!$X$28)*(1 - CUSTOS!$M$39)</f>
        <v>-0.52238055404325678</v>
      </c>
      <c r="V28" s="54">
        <f>('TE BE'!$Z$28+'TE BF'!$Z$28+'TE CVA'!$Z$28)*(1 - CUSTOS!$M$39)</f>
        <v>4.1193755722264296</v>
      </c>
      <c r="X28" s="54">
        <v>0</v>
      </c>
      <c r="Y28" s="54">
        <v>7.2846774969110104</v>
      </c>
      <c r="Z28" s="54">
        <v>0</v>
      </c>
      <c r="AA28" s="54">
        <v>0</v>
      </c>
      <c r="AB28" s="54">
        <v>0</v>
      </c>
      <c r="AC28" s="54">
        <v>153.31826999817699</v>
      </c>
      <c r="AD28" s="54">
        <v>0</v>
      </c>
      <c r="AE28" s="54">
        <v>0</v>
      </c>
      <c r="AF28" s="54">
        <v>0</v>
      </c>
      <c r="AG28" s="54">
        <v>-1.9651639245455399</v>
      </c>
      <c r="AH28" s="54">
        <v>4.3183459974605798</v>
      </c>
    </row>
    <row r="29" spans="1:34" ht="11.25" customHeight="1" x14ac:dyDescent="0.25">
      <c r="A29" s="120"/>
      <c r="B29" s="120"/>
      <c r="C29" s="120"/>
      <c r="D29" s="120"/>
      <c r="E29" s="120"/>
      <c r="F29" s="120"/>
      <c r="G29" s="57" t="s">
        <v>84</v>
      </c>
      <c r="H29" s="57" t="s">
        <v>82</v>
      </c>
      <c r="I29" s="57">
        <f>'MERCADO TE'!$U$26</f>
        <v>0</v>
      </c>
      <c r="J29" s="15"/>
      <c r="L29" s="54">
        <f>('TE BE'!$L$29+'TE BF'!$L$29+'TE CVA'!$L$29)*(1 - CUSTOS!$M$39)</f>
        <v>0</v>
      </c>
      <c r="M29" s="54">
        <f>('TE BE'!$M$29+'TE BF'!$M$29+'TE CVA'!$M$29)*(1 - CUSTOS!$M$39)</f>
        <v>36.776096228829893</v>
      </c>
      <c r="N29" s="54">
        <f>('TE BE'!$N$29+'TE BF'!$N$29+'TE CVA'!$N$29)*(1 - CUSTOS!$M$39)</f>
        <v>0</v>
      </c>
      <c r="O29" s="54">
        <f>('TE BE'!$O$29+'TE BF'!$O$29+'TE CVA'!$O$29)*(1 - CUSTOS!$M$39)</f>
        <v>0</v>
      </c>
      <c r="P29" s="54">
        <f>('TE BE'!$P$29+'TE BF'!$P$29+'TE CVA'!$P$29)*(1 - CUSTOS!$M$39)</f>
        <v>-14.390945937817971</v>
      </c>
      <c r="Q29" s="54">
        <f>('TE BE'!$R$29+'TE BF'!$R$29+'TE CVA'!$R$29)*(1 - CUSTOS!$M$39)</f>
        <v>160.30888561959225</v>
      </c>
      <c r="R29" s="54">
        <f>('TE BE'!$T$29+'TE BF'!$T$29+'TE CVA'!$T$29)*(1 - CUSTOS!$M$39)</f>
        <v>0</v>
      </c>
      <c r="S29" s="54">
        <f>('TE BE'!$U$29+'TE BF'!$U$29+'TE CVA'!$U$29)*(1 - CUSTOS!$M$39)</f>
        <v>0</v>
      </c>
      <c r="T29" s="54">
        <f>('TE BE'!$V$29+'TE BF'!$V$29+'TE CVA'!$V$29)*(1 - CUSTOS!$M$39)</f>
        <v>0</v>
      </c>
      <c r="U29" s="54">
        <f>('TE BE'!$X$29+'TE BF'!$X$29+'TE CVA'!$X$29)*(1 - CUSTOS!$M$39)</f>
        <v>-0.52238055404325678</v>
      </c>
      <c r="V29" s="54">
        <f>('TE BE'!$Z$29+'TE BF'!$Z$29+'TE CVA'!$Z$29)*(1 - CUSTOS!$M$39)</f>
        <v>4.1193755722264296</v>
      </c>
      <c r="X29" s="54">
        <v>0</v>
      </c>
      <c r="Y29" s="54">
        <v>7.2846774969110104</v>
      </c>
      <c r="Z29" s="54">
        <v>0</v>
      </c>
      <c r="AA29" s="54">
        <v>0</v>
      </c>
      <c r="AB29" s="54">
        <v>0</v>
      </c>
      <c r="AC29" s="54">
        <v>153.31826999817699</v>
      </c>
      <c r="AD29" s="54">
        <v>0</v>
      </c>
      <c r="AE29" s="54">
        <v>0</v>
      </c>
      <c r="AF29" s="54">
        <v>0</v>
      </c>
      <c r="AG29" s="54">
        <v>-1.9651639245455399</v>
      </c>
      <c r="AH29" s="54">
        <v>4.3183459974605798</v>
      </c>
    </row>
    <row r="30" spans="1:34" ht="11.25" customHeight="1" x14ac:dyDescent="0.25">
      <c r="A30" s="120"/>
      <c r="B30" s="56" t="s">
        <v>90</v>
      </c>
      <c r="C30" s="56" t="s">
        <v>42</v>
      </c>
      <c r="D30" s="56" t="s">
        <v>98</v>
      </c>
      <c r="E30" s="56" t="s">
        <v>25</v>
      </c>
      <c r="F30" s="56" t="s">
        <v>25</v>
      </c>
      <c r="G30" s="57" t="s">
        <v>88</v>
      </c>
      <c r="H30" s="57" t="s">
        <v>82</v>
      </c>
      <c r="I30" s="57">
        <f>'MERCADO TE'!$U$27</f>
        <v>0</v>
      </c>
      <c r="J30" s="15"/>
      <c r="L30" s="54">
        <f>('TE BE'!$L$30+'TE BF'!$L$30+'TE CVA'!$L$30)*(1 - CUSTOS!$M$39)</f>
        <v>0</v>
      </c>
      <c r="M30" s="54">
        <f>('TE BE'!$M$30+'TE BF'!$M$30+'TE CVA'!$M$30)*(1 - CUSTOS!$M$39)</f>
        <v>36.776096228829893</v>
      </c>
      <c r="N30" s="54">
        <f>('TE BE'!$N$30+'TE BF'!$N$30+'TE CVA'!$N$30)*(1 - CUSTOS!$M$39)</f>
        <v>0</v>
      </c>
      <c r="O30" s="54">
        <f>('TE BE'!$O$30+'TE BF'!$O$30+'TE CVA'!$O$30)*(1 - CUSTOS!$M$39)</f>
        <v>0</v>
      </c>
      <c r="P30" s="54">
        <f>('TE BE'!$P$30+'TE BF'!$P$30+'TE CVA'!$P$30)*(1 - CUSTOS!$M$39)</f>
        <v>-14.390945937817971</v>
      </c>
      <c r="Q30" s="54">
        <f>('TE BE'!$R$30+'TE BF'!$R$30+'TE CVA'!$R$30)*(1 - CUSTOS!$M$39)</f>
        <v>160.30888561959225</v>
      </c>
      <c r="R30" s="54">
        <f>('TE BE'!$T$30+'TE BF'!$T$30+'TE CVA'!$T$30)*(1 - CUSTOS!$M$39)</f>
        <v>0</v>
      </c>
      <c r="S30" s="54">
        <f>('TE BE'!$U$30+'TE BF'!$U$30+'TE CVA'!$U$30)*(1 - CUSTOS!$M$39)</f>
        <v>0</v>
      </c>
      <c r="T30" s="54">
        <f>('TE BE'!$V$30+'TE BF'!$V$30+'TE CVA'!$V$30)*(1 - CUSTOS!$M$39)</f>
        <v>0</v>
      </c>
      <c r="U30" s="54">
        <f>('TE BE'!$X$30+'TE BF'!$X$30+'TE CVA'!$X$30)*(1 - CUSTOS!$M$39)</f>
        <v>-0.52238055404325678</v>
      </c>
      <c r="V30" s="54">
        <f>('TE BE'!$Z$30+'TE BF'!$Z$30+'TE CVA'!$Z$30)*(1 - CUSTOS!$M$39)</f>
        <v>4.1193755722264296</v>
      </c>
      <c r="X30" s="54">
        <v>0</v>
      </c>
      <c r="Y30" s="54">
        <v>7.2846774969110104</v>
      </c>
      <c r="Z30" s="54">
        <v>0</v>
      </c>
      <c r="AA30" s="54">
        <v>0</v>
      </c>
      <c r="AB30" s="54">
        <v>0</v>
      </c>
      <c r="AC30" s="54">
        <v>153.31826999817699</v>
      </c>
      <c r="AD30" s="54">
        <v>0</v>
      </c>
      <c r="AE30" s="54">
        <v>0</v>
      </c>
      <c r="AF30" s="54">
        <v>0</v>
      </c>
      <c r="AG30" s="54">
        <v>-1.9651639245455399</v>
      </c>
      <c r="AH30" s="54">
        <v>4.3183459974605798</v>
      </c>
    </row>
    <row r="31" spans="1:34" ht="11.25" customHeight="1" x14ac:dyDescent="0.25">
      <c r="A31" s="120"/>
      <c r="B31" s="120" t="s">
        <v>81</v>
      </c>
      <c r="C31" s="120" t="s">
        <v>42</v>
      </c>
      <c r="D31" s="120" t="s">
        <v>99</v>
      </c>
      <c r="E31" s="120" t="s">
        <v>25</v>
      </c>
      <c r="F31" s="120" t="s">
        <v>25</v>
      </c>
      <c r="G31" s="57" t="s">
        <v>83</v>
      </c>
      <c r="H31" s="57" t="s">
        <v>82</v>
      </c>
      <c r="I31" s="57">
        <f>'MERCADO TE'!$U$28</f>
        <v>0</v>
      </c>
      <c r="J31" s="15"/>
      <c r="L31" s="54">
        <f>('TE BE'!$L$31+'TE BF'!$L$31+'TE CVA'!$L$31)*(1 - CUSTOS!$M$40)</f>
        <v>0</v>
      </c>
      <c r="M31" s="54">
        <f>('TE BE'!$M$31+'TE BF'!$M$31+'TE CVA'!$M$31)*(1 - CUSTOS!$M$40)</f>
        <v>35.993626096301597</v>
      </c>
      <c r="N31" s="54">
        <f>('TE BE'!$N$31+'TE BF'!$N$31+'TE CVA'!$N$31)*(1 - CUSTOS!$M$40)</f>
        <v>0</v>
      </c>
      <c r="O31" s="54">
        <f>('TE BE'!$O$31+'TE BF'!$O$31+'TE CVA'!$O$31)*(1 - CUSTOS!$M$40)</f>
        <v>0</v>
      </c>
      <c r="P31" s="54">
        <f>('TE BE'!$P$31+'TE BF'!$P$31+'TE CVA'!$P$31)*(1 - CUSTOS!$M$40)</f>
        <v>-14.084755598715462</v>
      </c>
      <c r="Q31" s="54">
        <f>('TE BE'!$R$31+'TE BF'!$R$31+'TE CVA'!$R$31)*(1 - CUSTOS!$M$40)</f>
        <v>156.89805826598391</v>
      </c>
      <c r="R31" s="54">
        <f>('TE BE'!$T$31+'TE BF'!$T$31+'TE CVA'!$T$31)*(1 - CUSTOS!$M$40)</f>
        <v>0</v>
      </c>
      <c r="S31" s="54">
        <f>('TE BE'!$U$31+'TE BF'!$U$31+'TE CVA'!$U$31)*(1 - CUSTOS!$M$40)</f>
        <v>0</v>
      </c>
      <c r="T31" s="54">
        <f>('TE BE'!$V$31+'TE BF'!$V$31+'TE CVA'!$V$31)*(1 - CUSTOS!$M$40)</f>
        <v>0</v>
      </c>
      <c r="U31" s="54">
        <f>('TE BE'!$X$31+'TE BF'!$X$31+'TE CVA'!$X$31)*(1 - CUSTOS!$M$40)</f>
        <v>-0.51126607416999603</v>
      </c>
      <c r="V31" s="54">
        <f>('TE BE'!$Z$31+'TE BF'!$Z$31+'TE CVA'!$Z$31)*(1 - CUSTOS!$M$40)</f>
        <v>4.0317292834556548</v>
      </c>
      <c r="X31" s="54">
        <v>0</v>
      </c>
      <c r="Y31" s="54">
        <v>6.9535557925059601</v>
      </c>
      <c r="Z31" s="54">
        <v>0</v>
      </c>
      <c r="AA31" s="54">
        <v>0</v>
      </c>
      <c r="AB31" s="54">
        <v>0</v>
      </c>
      <c r="AC31" s="54">
        <v>146.349257725532</v>
      </c>
      <c r="AD31" s="54">
        <v>0</v>
      </c>
      <c r="AE31" s="54">
        <v>0</v>
      </c>
      <c r="AF31" s="54">
        <v>0</v>
      </c>
      <c r="AG31" s="54">
        <v>-1.8758382916116501</v>
      </c>
      <c r="AH31" s="54">
        <v>4.1220575430305502</v>
      </c>
    </row>
    <row r="32" spans="1:34" ht="11.25" customHeight="1" x14ac:dyDescent="0.25">
      <c r="A32" s="120"/>
      <c r="B32" s="120"/>
      <c r="C32" s="120"/>
      <c r="D32" s="120"/>
      <c r="E32" s="120"/>
      <c r="F32" s="120"/>
      <c r="G32" s="57" t="s">
        <v>94</v>
      </c>
      <c r="H32" s="57" t="s">
        <v>82</v>
      </c>
      <c r="I32" s="57">
        <f>'MERCADO TE'!$U$29</f>
        <v>0</v>
      </c>
      <c r="J32" s="15"/>
      <c r="L32" s="54">
        <f>('TE BE'!$L$32+'TE BF'!$L$32+'TE CVA'!$L$32)*(1 - CUSTOS!$M$40)</f>
        <v>0</v>
      </c>
      <c r="M32" s="54">
        <f>('TE BE'!$M$32+'TE BF'!$M$32+'TE CVA'!$M$32)*(1 - CUSTOS!$M$40)</f>
        <v>35.993626096301597</v>
      </c>
      <c r="N32" s="54">
        <f>('TE BE'!$N$32+'TE BF'!$N$32+'TE CVA'!$N$32)*(1 - CUSTOS!$M$40)</f>
        <v>0</v>
      </c>
      <c r="O32" s="54">
        <f>('TE BE'!$O$32+'TE BF'!$O$32+'TE CVA'!$O$32)*(1 - CUSTOS!$M$40)</f>
        <v>0</v>
      </c>
      <c r="P32" s="54">
        <f>('TE BE'!$P$32+'TE BF'!$P$32+'TE CVA'!$P$32)*(1 - CUSTOS!$M$40)</f>
        <v>-14.084755598715462</v>
      </c>
      <c r="Q32" s="54">
        <f>('TE BE'!$R$32+'TE BF'!$R$32+'TE CVA'!$R$32)*(1 - CUSTOS!$M$40)</f>
        <v>156.89805826598391</v>
      </c>
      <c r="R32" s="54">
        <f>('TE BE'!$T$32+'TE BF'!$T$32+'TE CVA'!$T$32)*(1 - CUSTOS!$M$40)</f>
        <v>0</v>
      </c>
      <c r="S32" s="54">
        <f>('TE BE'!$U$32+'TE BF'!$U$32+'TE CVA'!$U$32)*(1 - CUSTOS!$M$40)</f>
        <v>0</v>
      </c>
      <c r="T32" s="54">
        <f>('TE BE'!$V$32+'TE BF'!$V$32+'TE CVA'!$V$32)*(1 - CUSTOS!$M$40)</f>
        <v>0</v>
      </c>
      <c r="U32" s="54">
        <f>('TE BE'!$X$32+'TE BF'!$X$32+'TE CVA'!$X$32)*(1 - CUSTOS!$M$40)</f>
        <v>-0.51126607416999603</v>
      </c>
      <c r="V32" s="54">
        <f>('TE BE'!$Z$32+'TE BF'!$Z$32+'TE CVA'!$Z$32)*(1 - CUSTOS!$M$40)</f>
        <v>4.0317292834556548</v>
      </c>
      <c r="X32" s="54">
        <v>0</v>
      </c>
      <c r="Y32" s="54">
        <v>6.9535557925059601</v>
      </c>
      <c r="Z32" s="54">
        <v>0</v>
      </c>
      <c r="AA32" s="54">
        <v>0</v>
      </c>
      <c r="AB32" s="54">
        <v>0</v>
      </c>
      <c r="AC32" s="54">
        <v>146.349257725532</v>
      </c>
      <c r="AD32" s="54">
        <v>0</v>
      </c>
      <c r="AE32" s="54">
        <v>0</v>
      </c>
      <c r="AF32" s="54">
        <v>0</v>
      </c>
      <c r="AG32" s="54">
        <v>-1.8758382916116501</v>
      </c>
      <c r="AH32" s="54">
        <v>4.1220575430305502</v>
      </c>
    </row>
    <row r="33" spans="1:34" ht="11.25" customHeight="1" x14ac:dyDescent="0.25">
      <c r="A33" s="120"/>
      <c r="B33" s="120"/>
      <c r="C33" s="120"/>
      <c r="D33" s="120"/>
      <c r="E33" s="120"/>
      <c r="F33" s="120"/>
      <c r="G33" s="57" t="s">
        <v>84</v>
      </c>
      <c r="H33" s="57" t="s">
        <v>82</v>
      </c>
      <c r="I33" s="57">
        <f>'MERCADO TE'!$U$30</f>
        <v>0</v>
      </c>
      <c r="J33" s="15"/>
      <c r="L33" s="54">
        <f>('TE BE'!$L$33+'TE BF'!$L$33+'TE CVA'!$L$33)*(1 - CUSTOS!$M$40)</f>
        <v>0</v>
      </c>
      <c r="M33" s="54">
        <f>('TE BE'!$M$33+'TE BF'!$M$33+'TE CVA'!$M$33)*(1 - CUSTOS!$M$40)</f>
        <v>35.993626096301597</v>
      </c>
      <c r="N33" s="54">
        <f>('TE BE'!$N$33+'TE BF'!$N$33+'TE CVA'!$N$33)*(1 - CUSTOS!$M$40)</f>
        <v>0</v>
      </c>
      <c r="O33" s="54">
        <f>('TE BE'!$O$33+'TE BF'!$O$33+'TE CVA'!$O$33)*(1 - CUSTOS!$M$40)</f>
        <v>0</v>
      </c>
      <c r="P33" s="54">
        <f>('TE BE'!$P$33+'TE BF'!$P$33+'TE CVA'!$P$33)*(1 - CUSTOS!$M$40)</f>
        <v>-14.084755598715462</v>
      </c>
      <c r="Q33" s="54">
        <f>('TE BE'!$R$33+'TE BF'!$R$33+'TE CVA'!$R$33)*(1 - CUSTOS!$M$40)</f>
        <v>156.89805826598391</v>
      </c>
      <c r="R33" s="54">
        <f>('TE BE'!$T$33+'TE BF'!$T$33+'TE CVA'!$T$33)*(1 - CUSTOS!$M$40)</f>
        <v>0</v>
      </c>
      <c r="S33" s="54">
        <f>('TE BE'!$U$33+'TE BF'!$U$33+'TE CVA'!$U$33)*(1 - CUSTOS!$M$40)</f>
        <v>0</v>
      </c>
      <c r="T33" s="54">
        <f>('TE BE'!$V$33+'TE BF'!$V$33+'TE CVA'!$V$33)*(1 - CUSTOS!$M$40)</f>
        <v>0</v>
      </c>
      <c r="U33" s="54">
        <f>('TE BE'!$X$33+'TE BF'!$X$33+'TE CVA'!$X$33)*(1 - CUSTOS!$M$40)</f>
        <v>-0.51126607416999603</v>
      </c>
      <c r="V33" s="54">
        <f>('TE BE'!$Z$33+'TE BF'!$Z$33+'TE CVA'!$Z$33)*(1 - CUSTOS!$M$40)</f>
        <v>4.0317292834556548</v>
      </c>
      <c r="X33" s="54">
        <v>0</v>
      </c>
      <c r="Y33" s="54">
        <v>6.9535557925059601</v>
      </c>
      <c r="Z33" s="54">
        <v>0</v>
      </c>
      <c r="AA33" s="54">
        <v>0</v>
      </c>
      <c r="AB33" s="54">
        <v>0</v>
      </c>
      <c r="AC33" s="54">
        <v>146.349257725532</v>
      </c>
      <c r="AD33" s="54">
        <v>0</v>
      </c>
      <c r="AE33" s="54">
        <v>0</v>
      </c>
      <c r="AF33" s="54">
        <v>0</v>
      </c>
      <c r="AG33" s="54">
        <v>-1.8758382916116501</v>
      </c>
      <c r="AH33" s="54">
        <v>4.1220575430305502</v>
      </c>
    </row>
    <row r="34" spans="1:34" ht="11.25" customHeight="1" x14ac:dyDescent="0.25">
      <c r="A34" s="120"/>
      <c r="B34" s="56" t="s">
        <v>90</v>
      </c>
      <c r="C34" s="56" t="s">
        <v>42</v>
      </c>
      <c r="D34" s="56" t="s">
        <v>99</v>
      </c>
      <c r="E34" s="56" t="s">
        <v>25</v>
      </c>
      <c r="F34" s="56" t="s">
        <v>25</v>
      </c>
      <c r="G34" s="57" t="s">
        <v>88</v>
      </c>
      <c r="H34" s="57" t="s">
        <v>82</v>
      </c>
      <c r="I34" s="57">
        <f>'MERCADO TE'!$U$31</f>
        <v>0</v>
      </c>
      <c r="J34" s="15"/>
      <c r="L34" s="54">
        <f>('TE BE'!$L$34+'TE BF'!$L$34+'TE CVA'!$L$34)*(1 - CUSTOS!$M$40)</f>
        <v>0</v>
      </c>
      <c r="M34" s="54">
        <f>('TE BE'!$M$34+'TE BF'!$M$34+'TE CVA'!$M$34)*(1 - CUSTOS!$M$40)</f>
        <v>35.993626096301597</v>
      </c>
      <c r="N34" s="54">
        <f>('TE BE'!$N$34+'TE BF'!$N$34+'TE CVA'!$N$34)*(1 - CUSTOS!$M$40)</f>
        <v>0</v>
      </c>
      <c r="O34" s="54">
        <f>('TE BE'!$O$34+'TE BF'!$O$34+'TE CVA'!$O$34)*(1 - CUSTOS!$M$40)</f>
        <v>0</v>
      </c>
      <c r="P34" s="54">
        <f>('TE BE'!$P$34+'TE BF'!$P$34+'TE CVA'!$P$34)*(1 - CUSTOS!$M$40)</f>
        <v>-14.084755598715462</v>
      </c>
      <c r="Q34" s="54">
        <f>('TE BE'!$R$34+'TE BF'!$R$34+'TE CVA'!$R$34)*(1 - CUSTOS!$M$40)</f>
        <v>156.89805826598391</v>
      </c>
      <c r="R34" s="54">
        <f>('TE BE'!$T$34+'TE BF'!$T$34+'TE CVA'!$T$34)*(1 - CUSTOS!$M$40)</f>
        <v>0</v>
      </c>
      <c r="S34" s="54">
        <f>('TE BE'!$U$34+'TE BF'!$U$34+'TE CVA'!$U$34)*(1 - CUSTOS!$M$40)</f>
        <v>0</v>
      </c>
      <c r="T34" s="54">
        <f>('TE BE'!$V$34+'TE BF'!$V$34+'TE CVA'!$V$34)*(1 - CUSTOS!$M$40)</f>
        <v>0</v>
      </c>
      <c r="U34" s="54">
        <f>('TE BE'!$X$34+'TE BF'!$X$34+'TE CVA'!$X$34)*(1 - CUSTOS!$M$40)</f>
        <v>-0.51126607416999603</v>
      </c>
      <c r="V34" s="54">
        <f>('TE BE'!$Z$34+'TE BF'!$Z$34+'TE CVA'!$Z$34)*(1 - CUSTOS!$M$40)</f>
        <v>4.0317292834556548</v>
      </c>
      <c r="X34" s="54">
        <v>0</v>
      </c>
      <c r="Y34" s="54">
        <v>6.9535557925059601</v>
      </c>
      <c r="Z34" s="54">
        <v>0</v>
      </c>
      <c r="AA34" s="54">
        <v>0</v>
      </c>
      <c r="AB34" s="54">
        <v>0</v>
      </c>
      <c r="AC34" s="54">
        <v>146.349257725532</v>
      </c>
      <c r="AD34" s="54">
        <v>0</v>
      </c>
      <c r="AE34" s="54">
        <v>0</v>
      </c>
      <c r="AF34" s="54">
        <v>0</v>
      </c>
      <c r="AG34" s="54">
        <v>-1.8758382916116501</v>
      </c>
      <c r="AH34" s="54">
        <v>4.1220575430305502</v>
      </c>
    </row>
    <row r="35" spans="1:34" ht="11.25" customHeight="1" x14ac:dyDescent="0.25">
      <c r="A35" s="120"/>
      <c r="B35" s="120" t="s">
        <v>96</v>
      </c>
      <c r="C35" s="120" t="s">
        <v>42</v>
      </c>
      <c r="D35" s="56" t="s">
        <v>25</v>
      </c>
      <c r="E35" s="56" t="s">
        <v>25</v>
      </c>
      <c r="F35" s="56" t="s">
        <v>25</v>
      </c>
      <c r="G35" s="57" t="s">
        <v>88</v>
      </c>
      <c r="H35" s="57" t="s">
        <v>82</v>
      </c>
      <c r="I35" s="57">
        <f>'MERCADO TE'!$U$32</f>
        <v>0</v>
      </c>
      <c r="J35" s="15"/>
      <c r="L35" s="54">
        <f>('TE BE'!$L$35+'TE BF'!$L$35+'TE CVA'!$L$35)*(1 - CUSTOS!$M$38)</f>
        <v>0</v>
      </c>
      <c r="M35" s="54">
        <f>('TE BE'!$M$35+'TE BF'!$M$35+'TE CVA'!$M$35)*(1 - CUSTOS!$M$38)</f>
        <v>36.776096228829893</v>
      </c>
      <c r="N35" s="54">
        <f>('TE BE'!$N$35+'TE BF'!$N$35+'TE CVA'!$N$35)*(1 - CUSTOS!$M$38)</f>
        <v>0</v>
      </c>
      <c r="O35" s="54">
        <f>('TE BE'!$O$35+'TE BF'!$O$35+'TE CVA'!$O$35)*(1 - CUSTOS!$M$38)</f>
        <v>0</v>
      </c>
      <c r="P35" s="54">
        <f>('TE BE'!$P$35+'TE BF'!$P$35+'TE CVA'!$P$35)*(1 - CUSTOS!$M$38)</f>
        <v>-14.390945937817971</v>
      </c>
      <c r="Q35" s="54">
        <f>('TE BE'!$R$35+'TE BF'!$R$35+'TE CVA'!$R$35)*(1 - CUSTOS!$M$38)</f>
        <v>160.30888561959225</v>
      </c>
      <c r="R35" s="54">
        <f>('TE BE'!$T$35+'TE BF'!$T$35+'TE CVA'!$T$35)*(1 - CUSTOS!$M$38)</f>
        <v>0</v>
      </c>
      <c r="S35" s="54">
        <f>('TE BE'!$U$35+'TE BF'!$U$35+'TE CVA'!$U$35)*(1 - CUSTOS!$M$38)</f>
        <v>0</v>
      </c>
      <c r="T35" s="54">
        <f>('TE BE'!$V$35+'TE BF'!$V$35+'TE CVA'!$V$35)*(1 - CUSTOS!$M$38)</f>
        <v>0</v>
      </c>
      <c r="U35" s="54">
        <f>('TE BE'!$X$35+'TE BF'!$X$35+'TE CVA'!$X$35)*(1 - CUSTOS!$M$38)</f>
        <v>-0.52238055404325678</v>
      </c>
      <c r="V35" s="54">
        <f>('TE BE'!$Z$35+'TE BF'!$Z$35+'TE CVA'!$Z$35)*(1 - CUSTOS!$M$38)</f>
        <v>4.1193755722264296</v>
      </c>
      <c r="X35" s="54">
        <v>0</v>
      </c>
      <c r="Y35" s="54">
        <v>7.2846774969110104</v>
      </c>
      <c r="Z35" s="54">
        <v>0</v>
      </c>
      <c r="AA35" s="54">
        <v>0</v>
      </c>
      <c r="AB35" s="54">
        <v>0</v>
      </c>
      <c r="AC35" s="54">
        <v>153.31826999817699</v>
      </c>
      <c r="AD35" s="54">
        <v>0</v>
      </c>
      <c r="AE35" s="54">
        <v>0</v>
      </c>
      <c r="AF35" s="54">
        <v>0</v>
      </c>
      <c r="AG35" s="54">
        <v>-1.9651639245455399</v>
      </c>
      <c r="AH35" s="54">
        <v>4.3183459974605798</v>
      </c>
    </row>
    <row r="36" spans="1:34" ht="11.25" customHeight="1" x14ac:dyDescent="0.25">
      <c r="A36" s="120"/>
      <c r="B36" s="120"/>
      <c r="C36" s="120"/>
      <c r="D36" s="56" t="s">
        <v>98</v>
      </c>
      <c r="E36" s="56" t="s">
        <v>25</v>
      </c>
      <c r="F36" s="56" t="s">
        <v>25</v>
      </c>
      <c r="G36" s="57" t="s">
        <v>88</v>
      </c>
      <c r="H36" s="57" t="s">
        <v>82</v>
      </c>
      <c r="I36" s="57">
        <f>'MERCADO TE'!$U$33</f>
        <v>0</v>
      </c>
      <c r="J36" s="15"/>
      <c r="L36" s="54">
        <f>('TE BE'!$L$36+'TE BF'!$L$36+'TE CVA'!$L$36)*(1 - CUSTOS!$M$39)</f>
        <v>0</v>
      </c>
      <c r="M36" s="54">
        <f>('TE BE'!$M$36+'TE BF'!$M$36+'TE CVA'!$M$36)*(1 - CUSTOS!$M$39)</f>
        <v>36.776096228829893</v>
      </c>
      <c r="N36" s="54">
        <f>('TE BE'!$N$36+'TE BF'!$N$36+'TE CVA'!$N$36)*(1 - CUSTOS!$M$39)</f>
        <v>0</v>
      </c>
      <c r="O36" s="54">
        <f>('TE BE'!$O$36+'TE BF'!$O$36+'TE CVA'!$O$36)*(1 - CUSTOS!$M$39)</f>
        <v>0</v>
      </c>
      <c r="P36" s="54">
        <f>('TE BE'!$P$36+'TE BF'!$P$36+'TE CVA'!$P$36)*(1 - CUSTOS!$M$39)</f>
        <v>-14.390945937817971</v>
      </c>
      <c r="Q36" s="54">
        <f>('TE BE'!$R$36+'TE BF'!$R$36+'TE CVA'!$R$36)*(1 - CUSTOS!$M$39)</f>
        <v>160.30888561959225</v>
      </c>
      <c r="R36" s="54">
        <f>('TE BE'!$T$36+'TE BF'!$T$36+'TE CVA'!$T$36)*(1 - CUSTOS!$M$39)</f>
        <v>0</v>
      </c>
      <c r="S36" s="54">
        <f>('TE BE'!$U$36+'TE BF'!$U$36+'TE CVA'!$U$36)*(1 - CUSTOS!$M$39)</f>
        <v>0</v>
      </c>
      <c r="T36" s="54">
        <f>('TE BE'!$V$36+'TE BF'!$V$36+'TE CVA'!$V$36)*(1 - CUSTOS!$M$39)</f>
        <v>0</v>
      </c>
      <c r="U36" s="54">
        <f>('TE BE'!$X$36+'TE BF'!$X$36+'TE CVA'!$X$36)*(1 - CUSTOS!$M$39)</f>
        <v>-0.52238055404325678</v>
      </c>
      <c r="V36" s="54">
        <f>('TE BE'!$Z$36+'TE BF'!$Z$36+'TE CVA'!$Z$36)*(1 - CUSTOS!$M$39)</f>
        <v>4.1193755722264296</v>
      </c>
      <c r="X36" s="54">
        <v>0</v>
      </c>
      <c r="Y36" s="54">
        <v>7.2846774969110104</v>
      </c>
      <c r="Z36" s="54">
        <v>0</v>
      </c>
      <c r="AA36" s="54">
        <v>0</v>
      </c>
      <c r="AB36" s="54">
        <v>0</v>
      </c>
      <c r="AC36" s="54">
        <v>153.31826999817699</v>
      </c>
      <c r="AD36" s="54">
        <v>0</v>
      </c>
      <c r="AE36" s="54">
        <v>0</v>
      </c>
      <c r="AF36" s="54">
        <v>0</v>
      </c>
      <c r="AG36" s="54">
        <v>-1.9651639245455399</v>
      </c>
      <c r="AH36" s="54">
        <v>4.3183459974605798</v>
      </c>
    </row>
    <row r="37" spans="1:34" ht="11.25" customHeight="1" x14ac:dyDescent="0.25">
      <c r="A37" s="120"/>
      <c r="B37" s="120"/>
      <c r="C37" s="120"/>
      <c r="D37" s="56" t="s">
        <v>99</v>
      </c>
      <c r="E37" s="56" t="s">
        <v>25</v>
      </c>
      <c r="F37" s="56" t="s">
        <v>25</v>
      </c>
      <c r="G37" s="57" t="s">
        <v>88</v>
      </c>
      <c r="H37" s="57" t="s">
        <v>82</v>
      </c>
      <c r="I37" s="57">
        <f>'MERCADO TE'!$U$34</f>
        <v>0</v>
      </c>
      <c r="J37" s="15"/>
      <c r="L37" s="54">
        <f>('TE BE'!$L$37+'TE BF'!$L$37+'TE CVA'!$L$37)*(1 - CUSTOS!$M$40)</f>
        <v>0</v>
      </c>
      <c r="M37" s="54">
        <f>('TE BE'!$M$37+'TE BF'!$M$37+'TE CVA'!$M$37)*(1 - CUSTOS!$M$40)</f>
        <v>35.993626096301597</v>
      </c>
      <c r="N37" s="54">
        <f>('TE BE'!$N$37+'TE BF'!$N$37+'TE CVA'!$N$37)*(1 - CUSTOS!$M$40)</f>
        <v>0</v>
      </c>
      <c r="O37" s="54">
        <f>('TE BE'!$O$37+'TE BF'!$O$37+'TE CVA'!$O$37)*(1 - CUSTOS!$M$40)</f>
        <v>0</v>
      </c>
      <c r="P37" s="54">
        <f>('TE BE'!$P$37+'TE BF'!$P$37+'TE CVA'!$P$37)*(1 - CUSTOS!$M$40)</f>
        <v>-14.084755598715462</v>
      </c>
      <c r="Q37" s="54">
        <f>('TE BE'!$R$37+'TE BF'!$R$37+'TE CVA'!$R$37)*(1 - CUSTOS!$M$40)</f>
        <v>156.89805826598391</v>
      </c>
      <c r="R37" s="54">
        <f>('TE BE'!$T$37+'TE BF'!$T$37+'TE CVA'!$T$37)*(1 - CUSTOS!$M$40)</f>
        <v>0</v>
      </c>
      <c r="S37" s="54">
        <f>('TE BE'!$U$37+'TE BF'!$U$37+'TE CVA'!$U$37)*(1 - CUSTOS!$M$40)</f>
        <v>0</v>
      </c>
      <c r="T37" s="54">
        <f>('TE BE'!$V$37+'TE BF'!$V$37+'TE CVA'!$V$37)*(1 - CUSTOS!$M$40)</f>
        <v>0</v>
      </c>
      <c r="U37" s="54">
        <f>('TE BE'!$X$37+'TE BF'!$X$37+'TE CVA'!$X$37)*(1 - CUSTOS!$M$40)</f>
        <v>-0.51126607416999603</v>
      </c>
      <c r="V37" s="54">
        <f>('TE BE'!$Z$37+'TE BF'!$Z$37+'TE CVA'!$Z$37)*(1 - CUSTOS!$M$40)</f>
        <v>4.0317292834556548</v>
      </c>
      <c r="X37" s="54">
        <v>0</v>
      </c>
      <c r="Y37" s="54">
        <v>6.9535557925059601</v>
      </c>
      <c r="Z37" s="54">
        <v>0</v>
      </c>
      <c r="AA37" s="54">
        <v>0</v>
      </c>
      <c r="AB37" s="54">
        <v>0</v>
      </c>
      <c r="AC37" s="54">
        <v>146.349257725532</v>
      </c>
      <c r="AD37" s="54">
        <v>0</v>
      </c>
      <c r="AE37" s="54">
        <v>0</v>
      </c>
      <c r="AF37" s="54">
        <v>0</v>
      </c>
      <c r="AG37" s="54">
        <v>-1.8758382916116501</v>
      </c>
      <c r="AH37" s="54">
        <v>4.1220575430305502</v>
      </c>
    </row>
    <row r="38" spans="1:34" ht="11.25" customHeight="1" x14ac:dyDescent="0.25">
      <c r="A38" s="120" t="s">
        <v>33</v>
      </c>
      <c r="B38" s="120" t="s">
        <v>81</v>
      </c>
      <c r="C38" s="120" t="s">
        <v>25</v>
      </c>
      <c r="D38" s="120" t="s">
        <v>25</v>
      </c>
      <c r="E38" s="120" t="s">
        <v>25</v>
      </c>
      <c r="F38" s="120" t="s">
        <v>25</v>
      </c>
      <c r="G38" s="57" t="s">
        <v>83</v>
      </c>
      <c r="H38" s="57" t="s">
        <v>82</v>
      </c>
      <c r="I38" s="57">
        <f>'MERCADO TE'!$U$35</f>
        <v>0</v>
      </c>
      <c r="J38" s="15"/>
      <c r="L38" s="54">
        <f>('TE BE'!$L$38+'TE BF'!$L$38+'TE CVA'!$L$38)*1</f>
        <v>0</v>
      </c>
      <c r="M38" s="54">
        <f>('TE BE'!$M$38+'TE BF'!$M$38+'TE CVA'!$M$38)*1</f>
        <v>39.12350662641478</v>
      </c>
      <c r="N38" s="54">
        <f>('TE BE'!$N$38+'TE BF'!$N$38+'TE CVA'!$N$38)*1</f>
        <v>0</v>
      </c>
      <c r="O38" s="54">
        <f>('TE BE'!$O$38+'TE BF'!$O$38+'TE CVA'!$O$38)*1</f>
        <v>0</v>
      </c>
      <c r="P38" s="54">
        <f>('TE BE'!$P$38+'TE BF'!$P$38+'TE CVA'!$P$38)*1</f>
        <v>-15.309516955125503</v>
      </c>
      <c r="Q38" s="54">
        <f>('TE BE'!$R$38+'TE BF'!$R$38+'TE CVA'!$R$38)*1</f>
        <v>170.5413676804173</v>
      </c>
      <c r="R38" s="54">
        <f>('TE BE'!$T$38+'TE BF'!$T$38+'TE CVA'!$T$38)*1</f>
        <v>0</v>
      </c>
      <c r="S38" s="54">
        <f>('TE BE'!$U$38+'TE BF'!$U$38+'TE CVA'!$U$38)*1</f>
        <v>0</v>
      </c>
      <c r="T38" s="54">
        <f>('TE BE'!$V$38+'TE BF'!$V$38+'TE CVA'!$V$38)*1</f>
        <v>0</v>
      </c>
      <c r="U38" s="54">
        <f>('TE BE'!$X$38+'TE BF'!$X$38+'TE CVA'!$X$38)*1</f>
        <v>-0.55572399366303915</v>
      </c>
      <c r="V38" s="54">
        <f>('TE BE'!$Z$38+'TE BF'!$Z$38+'TE CVA'!$Z$38)*1</f>
        <v>4.3823144385387547</v>
      </c>
      <c r="X38" s="54">
        <v>0</v>
      </c>
      <c r="Y38" s="54">
        <v>8.2780426101261497</v>
      </c>
      <c r="Z38" s="54">
        <v>0</v>
      </c>
      <c r="AA38" s="54">
        <v>0</v>
      </c>
      <c r="AB38" s="54">
        <v>0</v>
      </c>
      <c r="AC38" s="54">
        <v>174.22530681610999</v>
      </c>
      <c r="AD38" s="54">
        <v>0</v>
      </c>
      <c r="AE38" s="54">
        <v>0</v>
      </c>
      <c r="AF38" s="54">
        <v>0</v>
      </c>
      <c r="AG38" s="54">
        <v>-2.2331408233472101</v>
      </c>
      <c r="AH38" s="54">
        <v>4.9072113607506598</v>
      </c>
    </row>
    <row r="39" spans="1:34" ht="11.25" customHeight="1" x14ac:dyDescent="0.25">
      <c r="A39" s="120"/>
      <c r="B39" s="120"/>
      <c r="C39" s="120"/>
      <c r="D39" s="120"/>
      <c r="E39" s="120"/>
      <c r="F39" s="120"/>
      <c r="G39" s="57" t="s">
        <v>94</v>
      </c>
      <c r="H39" s="57" t="s">
        <v>82</v>
      </c>
      <c r="I39" s="57">
        <f>'MERCADO TE'!$U$36</f>
        <v>0</v>
      </c>
      <c r="J39" s="15"/>
      <c r="L39" s="54">
        <f>('TE BE'!$L$39+'TE BF'!$L$39+'TE CVA'!$L$39)*1</f>
        <v>0</v>
      </c>
      <c r="M39" s="54">
        <f>('TE BE'!$M$39+'TE BF'!$M$39+'TE CVA'!$M$39)*1</f>
        <v>39.12350662641478</v>
      </c>
      <c r="N39" s="54">
        <f>('TE BE'!$N$39+'TE BF'!$N$39+'TE CVA'!$N$39)*1</f>
        <v>0</v>
      </c>
      <c r="O39" s="54">
        <f>('TE BE'!$O$39+'TE BF'!$O$39+'TE CVA'!$O$39)*1</f>
        <v>0</v>
      </c>
      <c r="P39" s="54">
        <f>('TE BE'!$P$39+'TE BF'!$P$39+'TE CVA'!$P$39)*1</f>
        <v>-15.309516955125503</v>
      </c>
      <c r="Q39" s="54">
        <f>('TE BE'!$R$39+'TE BF'!$R$39+'TE CVA'!$R$39)*1</f>
        <v>170.5413676804173</v>
      </c>
      <c r="R39" s="54">
        <f>('TE BE'!$T$39+'TE BF'!$T$39+'TE CVA'!$T$39)*1</f>
        <v>0</v>
      </c>
      <c r="S39" s="54">
        <f>('TE BE'!$U$39+'TE BF'!$U$39+'TE CVA'!$U$39)*1</f>
        <v>0</v>
      </c>
      <c r="T39" s="54">
        <f>('TE BE'!$V$39+'TE BF'!$V$39+'TE CVA'!$V$39)*1</f>
        <v>0</v>
      </c>
      <c r="U39" s="54">
        <f>('TE BE'!$X$39+'TE BF'!$X$39+'TE CVA'!$X$39)*1</f>
        <v>-0.55572399366303915</v>
      </c>
      <c r="V39" s="54">
        <f>('TE BE'!$Z$39+'TE BF'!$Z$39+'TE CVA'!$Z$39)*1</f>
        <v>4.3823144385387547</v>
      </c>
      <c r="X39" s="54">
        <v>0</v>
      </c>
      <c r="Y39" s="54">
        <v>8.2780426101261497</v>
      </c>
      <c r="Z39" s="54">
        <v>0</v>
      </c>
      <c r="AA39" s="54">
        <v>0</v>
      </c>
      <c r="AB39" s="54">
        <v>0</v>
      </c>
      <c r="AC39" s="54">
        <v>174.22530681610999</v>
      </c>
      <c r="AD39" s="54">
        <v>0</v>
      </c>
      <c r="AE39" s="54">
        <v>0</v>
      </c>
      <c r="AF39" s="54">
        <v>0</v>
      </c>
      <c r="AG39" s="54">
        <v>-2.2331408233472101</v>
      </c>
      <c r="AH39" s="54">
        <v>4.9072113607506598</v>
      </c>
    </row>
    <row r="40" spans="1:34" ht="11.25" customHeight="1" x14ac:dyDescent="0.25">
      <c r="A40" s="120"/>
      <c r="B40" s="120"/>
      <c r="C40" s="120"/>
      <c r="D40" s="120"/>
      <c r="E40" s="120"/>
      <c r="F40" s="120"/>
      <c r="G40" s="57" t="s">
        <v>84</v>
      </c>
      <c r="H40" s="57" t="s">
        <v>82</v>
      </c>
      <c r="I40" s="57">
        <f>'MERCADO TE'!$U$37</f>
        <v>0</v>
      </c>
      <c r="J40" s="15"/>
      <c r="L40" s="54">
        <f>('TE BE'!$L$40+'TE BF'!$L$40+'TE CVA'!$L$40)*1</f>
        <v>0</v>
      </c>
      <c r="M40" s="54">
        <f>('TE BE'!$M$40+'TE BF'!$M$40+'TE CVA'!$M$40)*1</f>
        <v>39.12350662641478</v>
      </c>
      <c r="N40" s="54">
        <f>('TE BE'!$N$40+'TE BF'!$N$40+'TE CVA'!$N$40)*1</f>
        <v>0</v>
      </c>
      <c r="O40" s="54">
        <f>('TE BE'!$O$40+'TE BF'!$O$40+'TE CVA'!$O$40)*1</f>
        <v>0</v>
      </c>
      <c r="P40" s="54">
        <f>('TE BE'!$P$40+'TE BF'!$P$40+'TE CVA'!$P$40)*1</f>
        <v>-15.309516955125503</v>
      </c>
      <c r="Q40" s="54">
        <f>('TE BE'!$R$40+'TE BF'!$R$40+'TE CVA'!$R$40)*1</f>
        <v>170.5413676804173</v>
      </c>
      <c r="R40" s="54">
        <f>('TE BE'!$T$40+'TE BF'!$T$40+'TE CVA'!$T$40)*1</f>
        <v>0</v>
      </c>
      <c r="S40" s="54">
        <f>('TE BE'!$U$40+'TE BF'!$U$40+'TE CVA'!$U$40)*1</f>
        <v>0</v>
      </c>
      <c r="T40" s="54">
        <f>('TE BE'!$V$40+'TE BF'!$V$40+'TE CVA'!$V$40)*1</f>
        <v>0</v>
      </c>
      <c r="U40" s="54">
        <f>('TE BE'!$X$40+'TE BF'!$X$40+'TE CVA'!$X$40)*1</f>
        <v>-0.55572399366303915</v>
      </c>
      <c r="V40" s="54">
        <f>('TE BE'!$Z$40+'TE BF'!$Z$40+'TE CVA'!$Z$40)*1</f>
        <v>4.3823144385387547</v>
      </c>
      <c r="X40" s="54">
        <v>0</v>
      </c>
      <c r="Y40" s="54">
        <v>8.2780426101261497</v>
      </c>
      <c r="Z40" s="54">
        <v>0</v>
      </c>
      <c r="AA40" s="54">
        <v>0</v>
      </c>
      <c r="AB40" s="54">
        <v>0</v>
      </c>
      <c r="AC40" s="54">
        <v>174.22530681610999</v>
      </c>
      <c r="AD40" s="54">
        <v>0</v>
      </c>
      <c r="AE40" s="54">
        <v>0</v>
      </c>
      <c r="AF40" s="54">
        <v>0</v>
      </c>
      <c r="AG40" s="54">
        <v>-2.2331408233472101</v>
      </c>
      <c r="AH40" s="54">
        <v>4.9072113607506598</v>
      </c>
    </row>
    <row r="41" spans="1:34" ht="11.25" customHeight="1" x14ac:dyDescent="0.25">
      <c r="A41" s="120"/>
      <c r="B41" s="56" t="s">
        <v>90</v>
      </c>
      <c r="C41" s="56" t="s">
        <v>25</v>
      </c>
      <c r="D41" s="56" t="s">
        <v>25</v>
      </c>
      <c r="E41" s="56" t="s">
        <v>25</v>
      </c>
      <c r="F41" s="56" t="s">
        <v>25</v>
      </c>
      <c r="G41" s="57" t="s">
        <v>88</v>
      </c>
      <c r="H41" s="57" t="s">
        <v>82</v>
      </c>
      <c r="I41" s="57">
        <f>'MERCADO TE'!$U$38</f>
        <v>28646.591999999997</v>
      </c>
      <c r="J41" s="15"/>
      <c r="L41" s="54">
        <f>('TE BE'!$L$41+'TE BF'!$L$41+'TE CVA'!$L$41)*1</f>
        <v>0</v>
      </c>
      <c r="M41" s="54">
        <f>('TE BE'!$M$41+'TE BF'!$M$41+'TE CVA'!$M$41)*1</f>
        <v>39.12350662641478</v>
      </c>
      <c r="N41" s="54">
        <f>('TE BE'!$N$41+'TE BF'!$N$41+'TE CVA'!$N$41)*1</f>
        <v>0</v>
      </c>
      <c r="O41" s="54">
        <f>('TE BE'!$O$41+'TE BF'!$O$41+'TE CVA'!$O$41)*1</f>
        <v>0</v>
      </c>
      <c r="P41" s="54">
        <f>('TE BE'!$P$41+'TE BF'!$P$41+'TE CVA'!$P$41)*1</f>
        <v>-15.309516955125503</v>
      </c>
      <c r="Q41" s="54">
        <f>('TE BE'!$R$41+'TE BF'!$R$41+'TE CVA'!$R$41)*1</f>
        <v>170.5413676804173</v>
      </c>
      <c r="R41" s="54">
        <f>('TE BE'!$T$41+'TE BF'!$T$41+'TE CVA'!$T$41)*1</f>
        <v>0</v>
      </c>
      <c r="S41" s="54">
        <f>('TE BE'!$U$41+'TE BF'!$U$41+'TE CVA'!$U$41)*1</f>
        <v>0</v>
      </c>
      <c r="T41" s="54">
        <f>('TE BE'!$V$41+'TE BF'!$V$41+'TE CVA'!$V$41)*1</f>
        <v>0</v>
      </c>
      <c r="U41" s="54">
        <f>('TE BE'!$X$41+'TE BF'!$X$41+'TE CVA'!$X$41)*1</f>
        <v>-0.55572399366303915</v>
      </c>
      <c r="V41" s="54">
        <f>('TE BE'!$Z$41+'TE BF'!$Z$41+'TE CVA'!$Z$41)*1</f>
        <v>4.3823144385387547</v>
      </c>
      <c r="X41" s="54">
        <v>0</v>
      </c>
      <c r="Y41" s="54">
        <v>8.2780426101261497</v>
      </c>
      <c r="Z41" s="54">
        <v>0</v>
      </c>
      <c r="AA41" s="54">
        <v>0</v>
      </c>
      <c r="AB41" s="54">
        <v>0</v>
      </c>
      <c r="AC41" s="54">
        <v>174.22530681610999</v>
      </c>
      <c r="AD41" s="54">
        <v>0</v>
      </c>
      <c r="AE41" s="54">
        <v>0</v>
      </c>
      <c r="AF41" s="54">
        <v>0</v>
      </c>
      <c r="AG41" s="54">
        <v>-2.2331408233472101</v>
      </c>
      <c r="AH41" s="54">
        <v>4.9072113607506598</v>
      </c>
    </row>
    <row r="42" spans="1:34" ht="11.25" customHeight="1" x14ac:dyDescent="0.25">
      <c r="A42" s="120"/>
      <c r="B42" s="56" t="s">
        <v>96</v>
      </c>
      <c r="C42" s="56" t="s">
        <v>25</v>
      </c>
      <c r="D42" s="56" t="s">
        <v>25</v>
      </c>
      <c r="E42" s="56" t="s">
        <v>25</v>
      </c>
      <c r="F42" s="56" t="s">
        <v>25</v>
      </c>
      <c r="G42" s="57" t="s">
        <v>88</v>
      </c>
      <c r="H42" s="57" t="s">
        <v>82</v>
      </c>
      <c r="I42" s="57">
        <f>'MERCADO TE'!$U$39</f>
        <v>0</v>
      </c>
      <c r="J42" s="15"/>
      <c r="L42" s="54">
        <f>('TE BE'!$L$42+'TE BF'!$L$42+'TE CVA'!$L$42)*1</f>
        <v>0</v>
      </c>
      <c r="M42" s="54">
        <f>('TE BE'!$M$42+'TE BF'!$M$42+'TE CVA'!$M$42)*1</f>
        <v>39.12350662641478</v>
      </c>
      <c r="N42" s="54">
        <f>('TE BE'!$N$42+'TE BF'!$N$42+'TE CVA'!$N$42)*1</f>
        <v>0</v>
      </c>
      <c r="O42" s="54">
        <f>('TE BE'!$O$42+'TE BF'!$O$42+'TE CVA'!$O$42)*1</f>
        <v>0</v>
      </c>
      <c r="P42" s="54">
        <f>('TE BE'!$P$42+'TE BF'!$P$42+'TE CVA'!$P$42)*1</f>
        <v>-15.309516955125503</v>
      </c>
      <c r="Q42" s="54">
        <f>('TE BE'!$R$42+'TE BF'!$R$42+'TE CVA'!$R$42)*1</f>
        <v>170.5413676804173</v>
      </c>
      <c r="R42" s="54">
        <f>('TE BE'!$T$42+'TE BF'!$T$42+'TE CVA'!$T$42)*1</f>
        <v>0</v>
      </c>
      <c r="S42" s="54">
        <f>('TE BE'!$U$42+'TE BF'!$U$42+'TE CVA'!$U$42)*1</f>
        <v>0</v>
      </c>
      <c r="T42" s="54">
        <f>('TE BE'!$V$42+'TE BF'!$V$42+'TE CVA'!$V$42)*1</f>
        <v>0</v>
      </c>
      <c r="U42" s="54">
        <f>('TE BE'!$X$42+'TE BF'!$X$42+'TE CVA'!$X$42)*1</f>
        <v>-0.55572399366303915</v>
      </c>
      <c r="V42" s="54">
        <f>('TE BE'!$Z$42+'TE BF'!$Z$42+'TE CVA'!$Z$42)*1</f>
        <v>4.3823144385387547</v>
      </c>
      <c r="X42" s="54">
        <v>0</v>
      </c>
      <c r="Y42" s="54">
        <v>8.2780426101261497</v>
      </c>
      <c r="Z42" s="54">
        <v>0</v>
      </c>
      <c r="AA42" s="54">
        <v>0</v>
      </c>
      <c r="AB42" s="54">
        <v>0</v>
      </c>
      <c r="AC42" s="54">
        <v>174.22530681610999</v>
      </c>
      <c r="AD42" s="54">
        <v>0</v>
      </c>
      <c r="AE42" s="54">
        <v>0</v>
      </c>
      <c r="AF42" s="54">
        <v>0</v>
      </c>
      <c r="AG42" s="54">
        <v>-2.2331408233472101</v>
      </c>
      <c r="AH42" s="54">
        <v>4.9072113607506598</v>
      </c>
    </row>
    <row r="43" spans="1:34" ht="11.25" customHeight="1" x14ac:dyDescent="0.25">
      <c r="A43" s="120" t="s">
        <v>44</v>
      </c>
      <c r="B43" s="120" t="s">
        <v>90</v>
      </c>
      <c r="C43" s="120" t="s">
        <v>45</v>
      </c>
      <c r="D43" s="56" t="s">
        <v>46</v>
      </c>
      <c r="E43" s="56" t="s">
        <v>25</v>
      </c>
      <c r="F43" s="56" t="s">
        <v>25</v>
      </c>
      <c r="G43" s="57" t="s">
        <v>88</v>
      </c>
      <c r="H43" s="57" t="s">
        <v>82</v>
      </c>
      <c r="I43" s="57">
        <f>'MERCADO TE'!$U$40</f>
        <v>6635.9900000000007</v>
      </c>
      <c r="J43" s="15"/>
      <c r="L43" s="54">
        <f>('TE BE'!$L$43+'TE BF'!$L$43+'TE CVA'!$L$43)*1</f>
        <v>0</v>
      </c>
      <c r="M43" s="54">
        <f>('TE BE'!$M$43+'TE BF'!$M$43+'TE CVA'!$M$43)*1</f>
        <v>21.51792864452813</v>
      </c>
      <c r="N43" s="54">
        <f>('TE BE'!$N$43+'TE BF'!$N$43+'TE CVA'!$N$43)*1</f>
        <v>0</v>
      </c>
      <c r="O43" s="54">
        <f>('TE BE'!$O$43+'TE BF'!$O$43+'TE CVA'!$O$43)*1</f>
        <v>0</v>
      </c>
      <c r="P43" s="54">
        <f>('TE BE'!$P$43+'TE BF'!$P$43+'TE CVA'!$P$43)*1</f>
        <v>-8.4202343253190275</v>
      </c>
      <c r="Q43" s="54">
        <f>('TE BE'!$R$43+'TE BF'!$R$43+'TE CVA'!$R$43)*1</f>
        <v>93.797752224229527</v>
      </c>
      <c r="R43" s="54">
        <f>('TE BE'!$T$43+'TE BF'!$T$43+'TE CVA'!$T$43)*1</f>
        <v>0</v>
      </c>
      <c r="S43" s="54">
        <f>('TE BE'!$U$43+'TE BF'!$U$43+'TE CVA'!$U$43)*1</f>
        <v>0</v>
      </c>
      <c r="T43" s="54">
        <f>('TE BE'!$V$43+'TE BF'!$V$43+'TE CVA'!$V$43)*1</f>
        <v>0</v>
      </c>
      <c r="U43" s="54">
        <f>('TE BE'!$X$43+'TE BF'!$X$43+'TE CVA'!$X$43)*1</f>
        <v>-0.30564819651467157</v>
      </c>
      <c r="V43" s="54">
        <f>('TE BE'!$Z$43+'TE BF'!$Z$43+'TE CVA'!$Z$43)*1</f>
        <v>2.4102729411963151</v>
      </c>
      <c r="X43" s="54">
        <v>0</v>
      </c>
      <c r="Y43" s="54">
        <v>4.5529234355693804</v>
      </c>
      <c r="Z43" s="54">
        <v>0</v>
      </c>
      <c r="AA43" s="54">
        <v>0</v>
      </c>
      <c r="AB43" s="54">
        <v>0</v>
      </c>
      <c r="AC43" s="54">
        <v>95.823918748860393</v>
      </c>
      <c r="AD43" s="54">
        <v>0</v>
      </c>
      <c r="AE43" s="54">
        <v>0</v>
      </c>
      <c r="AF43" s="54">
        <v>0</v>
      </c>
      <c r="AG43" s="54">
        <v>-1.22822745284096</v>
      </c>
      <c r="AH43" s="54">
        <v>2.69896624841286</v>
      </c>
    </row>
    <row r="44" spans="1:34" ht="11.25" customHeight="1" x14ac:dyDescent="0.25">
      <c r="A44" s="120"/>
      <c r="B44" s="120"/>
      <c r="C44" s="120"/>
      <c r="D44" s="57" t="s">
        <v>100</v>
      </c>
      <c r="E44" s="57" t="s">
        <v>25</v>
      </c>
      <c r="F44" s="57" t="s">
        <v>25</v>
      </c>
      <c r="G44" s="57" t="s">
        <v>88</v>
      </c>
      <c r="H44" s="57" t="s">
        <v>82</v>
      </c>
      <c r="I44" s="57">
        <f>'MERCADO TE'!$U$41</f>
        <v>0</v>
      </c>
      <c r="J44" s="15"/>
      <c r="L44" s="54">
        <f>('TE BE'!$L$44+'TE BF'!$L$44+'TE CVA'!$L$44)*1</f>
        <v>0</v>
      </c>
      <c r="M44" s="54">
        <f>('TE BE'!$M$44+'TE BF'!$M$44+'TE CVA'!$M$44)*1</f>
        <v>23.47410397584887</v>
      </c>
      <c r="N44" s="54">
        <f>('TE BE'!$N$44+'TE BF'!$N$44+'TE CVA'!$N$44)*1</f>
        <v>0</v>
      </c>
      <c r="O44" s="54">
        <f>('TE BE'!$O$44+'TE BF'!$O$44+'TE CVA'!$O$44)*1</f>
        <v>0</v>
      </c>
      <c r="P44" s="54">
        <f>('TE BE'!$P$44+'TE BF'!$P$44+'TE CVA'!$P$44)*1</f>
        <v>-9.1857101730753019</v>
      </c>
      <c r="Q44" s="54">
        <f>('TE BE'!$R$44+'TE BF'!$R$44+'TE CVA'!$R$44)*1</f>
        <v>102.32482060825038</v>
      </c>
      <c r="R44" s="54">
        <f>('TE BE'!$T$44+'TE BF'!$T$44+'TE CVA'!$T$44)*1</f>
        <v>0</v>
      </c>
      <c r="S44" s="54">
        <f>('TE BE'!$U$44+'TE BF'!$U$44+'TE CVA'!$U$44)*1</f>
        <v>0</v>
      </c>
      <c r="T44" s="54">
        <f>('TE BE'!$V$44+'TE BF'!$V$44+'TE CVA'!$V$44)*1</f>
        <v>0</v>
      </c>
      <c r="U44" s="54">
        <f>('TE BE'!$X$44+'TE BF'!$X$44+'TE CVA'!$X$44)*1</f>
        <v>-0.33343439619782345</v>
      </c>
      <c r="V44" s="54">
        <f>('TE BE'!$Z$44+'TE BF'!$Z$44+'TE CVA'!$Z$44)*1</f>
        <v>2.6293886631232524</v>
      </c>
      <c r="X44" s="54">
        <v>0</v>
      </c>
      <c r="Y44" s="54">
        <v>4.9668255660756904</v>
      </c>
      <c r="Z44" s="54">
        <v>0</v>
      </c>
      <c r="AA44" s="54">
        <v>0</v>
      </c>
      <c r="AB44" s="54">
        <v>0</v>
      </c>
      <c r="AC44" s="54">
        <v>104.535184089666</v>
      </c>
      <c r="AD44" s="54">
        <v>0</v>
      </c>
      <c r="AE44" s="54">
        <v>0</v>
      </c>
      <c r="AF44" s="54">
        <v>0</v>
      </c>
      <c r="AG44" s="54">
        <v>-1.3398844940083201</v>
      </c>
      <c r="AH44" s="54">
        <v>2.9443268164504</v>
      </c>
    </row>
    <row r="46" spans="1:34" ht="11.25" customHeight="1" x14ac:dyDescent="0.25">
      <c r="L46" s="117" t="s">
        <v>920</v>
      </c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X46" s="117" t="s">
        <v>921</v>
      </c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</row>
    <row r="47" spans="1:34" ht="11.25" customHeight="1" x14ac:dyDescent="0.25">
      <c r="L47" s="117" t="s">
        <v>472</v>
      </c>
      <c r="M47" s="117"/>
      <c r="N47" s="117"/>
      <c r="O47" s="117"/>
      <c r="P47" s="117"/>
      <c r="Q47" s="117"/>
      <c r="R47" s="117"/>
      <c r="S47" s="117"/>
      <c r="T47" s="117"/>
      <c r="U47" s="117"/>
      <c r="V47" s="117"/>
      <c r="X47" s="117" t="s">
        <v>472</v>
      </c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</row>
    <row r="48" spans="1:34" ht="11.25" customHeight="1" x14ac:dyDescent="0.25">
      <c r="L48" s="117" t="s">
        <v>445</v>
      </c>
      <c r="M48" s="117"/>
      <c r="N48" s="117"/>
      <c r="O48" s="117"/>
      <c r="P48" s="117"/>
      <c r="Q48" s="58" t="s">
        <v>476</v>
      </c>
      <c r="R48" s="117" t="s">
        <v>454</v>
      </c>
      <c r="S48" s="117"/>
      <c r="T48" s="117"/>
      <c r="U48" s="58" t="s">
        <v>464</v>
      </c>
      <c r="V48" s="58" t="s">
        <v>467</v>
      </c>
      <c r="X48" s="117" t="s">
        <v>445</v>
      </c>
      <c r="Y48" s="117"/>
      <c r="Z48" s="117"/>
      <c r="AA48" s="117"/>
      <c r="AB48" s="117"/>
      <c r="AC48" s="58" t="s">
        <v>476</v>
      </c>
      <c r="AD48" s="117" t="s">
        <v>454</v>
      </c>
      <c r="AE48" s="117"/>
      <c r="AF48" s="117"/>
      <c r="AG48" s="58" t="s">
        <v>464</v>
      </c>
      <c r="AH48" s="58" t="s">
        <v>467</v>
      </c>
    </row>
    <row r="49" spans="1:34" ht="11.25" customHeight="1" x14ac:dyDescent="0.25">
      <c r="L49" s="58" t="s">
        <v>447</v>
      </c>
      <c r="M49" s="58" t="s">
        <v>473</v>
      </c>
      <c r="N49" s="58" t="s">
        <v>474</v>
      </c>
      <c r="O49" s="58" t="s">
        <v>533</v>
      </c>
      <c r="P49" s="58" t="s">
        <v>475</v>
      </c>
      <c r="Q49" s="58" t="s">
        <v>477</v>
      </c>
      <c r="R49" s="58" t="s">
        <v>478</v>
      </c>
      <c r="S49" s="58" t="s">
        <v>479</v>
      </c>
      <c r="T49" s="58" t="s">
        <v>480</v>
      </c>
      <c r="U49" s="58" t="s">
        <v>465</v>
      </c>
      <c r="V49" s="58" t="s">
        <v>481</v>
      </c>
      <c r="X49" s="58" t="s">
        <v>447</v>
      </c>
      <c r="Y49" s="58" t="s">
        <v>473</v>
      </c>
      <c r="Z49" s="58" t="s">
        <v>474</v>
      </c>
      <c r="AA49" s="58" t="s">
        <v>533</v>
      </c>
      <c r="AB49" s="58" t="s">
        <v>475</v>
      </c>
      <c r="AC49" s="58" t="s">
        <v>477</v>
      </c>
      <c r="AD49" s="58" t="s">
        <v>478</v>
      </c>
      <c r="AE49" s="58" t="s">
        <v>479</v>
      </c>
      <c r="AF49" s="58" t="s">
        <v>480</v>
      </c>
      <c r="AG49" s="58" t="s">
        <v>465</v>
      </c>
      <c r="AH49" s="58" t="s">
        <v>481</v>
      </c>
    </row>
    <row r="50" spans="1:34" ht="11.25" customHeight="1" x14ac:dyDescent="0.25">
      <c r="A50" s="9" t="s">
        <v>53</v>
      </c>
      <c r="B50" s="9" t="s">
        <v>922</v>
      </c>
      <c r="C50" s="9" t="s">
        <v>923</v>
      </c>
      <c r="D50" s="9" t="s">
        <v>924</v>
      </c>
      <c r="E50" s="9" t="s">
        <v>925</v>
      </c>
      <c r="F50" s="9" t="s">
        <v>926</v>
      </c>
      <c r="G50" s="9" t="s">
        <v>927</v>
      </c>
      <c r="L50" s="54">
        <f>$I$5*$L$5</f>
        <v>0</v>
      </c>
      <c r="M50" s="54">
        <f>$I$5*$M$5</f>
        <v>0</v>
      </c>
      <c r="N50" s="54">
        <f>$I$5*$N$5</f>
        <v>0</v>
      </c>
      <c r="O50" s="54">
        <f>$I$5*$O$5</f>
        <v>0</v>
      </c>
      <c r="P50" s="54">
        <f>$I$5*$P$5</f>
        <v>0</v>
      </c>
      <c r="Q50" s="54">
        <f>$I$5*$Q$5</f>
        <v>0</v>
      </c>
      <c r="R50" s="54">
        <f>$I$5*$R$5</f>
        <v>0</v>
      </c>
      <c r="S50" s="54">
        <f>$I$5*$S$5</f>
        <v>0</v>
      </c>
      <c r="T50" s="54">
        <f>$I$5*$T$5</f>
        <v>0</v>
      </c>
      <c r="U50" s="54">
        <f>$I$5*$U$5</f>
        <v>0</v>
      </c>
      <c r="V50" s="54">
        <f>$I$5*$V$5</f>
        <v>0</v>
      </c>
      <c r="X50" s="54">
        <f>$I$5*$X$5</f>
        <v>0</v>
      </c>
      <c r="Y50" s="54">
        <f>$I$5*$Y$5</f>
        <v>0</v>
      </c>
      <c r="Z50" s="54">
        <f>$I$5*$Z$5</f>
        <v>0</v>
      </c>
      <c r="AA50" s="54">
        <f>$I$5*$AA$5</f>
        <v>0</v>
      </c>
      <c r="AB50" s="54">
        <f>$I$5*$AB$5</f>
        <v>0</v>
      </c>
      <c r="AC50" s="54">
        <f>$I$5*$AC$5</f>
        <v>0</v>
      </c>
      <c r="AD50" s="54">
        <f>$I$5*$AD$5</f>
        <v>0</v>
      </c>
      <c r="AE50" s="54">
        <f>$I$5*$AE$5</f>
        <v>0</v>
      </c>
      <c r="AF50" s="54">
        <f>$I$5*$AF$5</f>
        <v>0</v>
      </c>
      <c r="AG50" s="54">
        <f>$I$5*$AG$5</f>
        <v>0</v>
      </c>
      <c r="AH50" s="54">
        <f>$I$5*$AH$5</f>
        <v>0</v>
      </c>
    </row>
    <row r="51" spans="1:34" ht="11.25" customHeight="1" x14ac:dyDescent="0.25">
      <c r="A51" s="9" t="s">
        <v>53</v>
      </c>
      <c r="B51" s="9" t="s">
        <v>922</v>
      </c>
      <c r="C51" s="9" t="s">
        <v>923</v>
      </c>
      <c r="D51" s="9" t="s">
        <v>924</v>
      </c>
      <c r="E51" s="9" t="s">
        <v>925</v>
      </c>
      <c r="F51" s="9" t="s">
        <v>926</v>
      </c>
      <c r="G51" s="9" t="s">
        <v>928</v>
      </c>
      <c r="L51" s="54">
        <f>$I$6*$L$6</f>
        <v>0</v>
      </c>
      <c r="M51" s="54">
        <f>$I$6*$M$6</f>
        <v>0</v>
      </c>
      <c r="N51" s="54">
        <f>$I$6*$N$6</f>
        <v>0</v>
      </c>
      <c r="O51" s="54">
        <f>$I$6*$O$6</f>
        <v>0</v>
      </c>
      <c r="P51" s="54">
        <f>$I$6*$P$6</f>
        <v>0</v>
      </c>
      <c r="Q51" s="54">
        <f>$I$6*$Q$6</f>
        <v>0</v>
      </c>
      <c r="R51" s="54">
        <f>$I$6*$R$6</f>
        <v>0</v>
      </c>
      <c r="S51" s="54">
        <f>$I$6*$S$6</f>
        <v>0</v>
      </c>
      <c r="T51" s="54">
        <f>$I$6*$T$6</f>
        <v>0</v>
      </c>
      <c r="U51" s="54">
        <f>$I$6*$U$6</f>
        <v>0</v>
      </c>
      <c r="V51" s="54">
        <f>$I$6*$V$6</f>
        <v>0</v>
      </c>
      <c r="X51" s="54">
        <f>$I$6*$X$6</f>
        <v>0</v>
      </c>
      <c r="Y51" s="54">
        <f>$I$6*$Y$6</f>
        <v>0</v>
      </c>
      <c r="Z51" s="54">
        <f>$I$6*$Z$6</f>
        <v>0</v>
      </c>
      <c r="AA51" s="54">
        <f>$I$6*$AA$6</f>
        <v>0</v>
      </c>
      <c r="AB51" s="54">
        <f>$I$6*$AB$6</f>
        <v>0</v>
      </c>
      <c r="AC51" s="54">
        <f>$I$6*$AC$6</f>
        <v>0</v>
      </c>
      <c r="AD51" s="54">
        <f>$I$6*$AD$6</f>
        <v>0</v>
      </c>
      <c r="AE51" s="54">
        <f>$I$6*$AE$6</f>
        <v>0</v>
      </c>
      <c r="AF51" s="54">
        <f>$I$6*$AF$6</f>
        <v>0</v>
      </c>
      <c r="AG51" s="54">
        <f>$I$6*$AG$6</f>
        <v>0</v>
      </c>
      <c r="AH51" s="54">
        <f>$I$6*$AH$6</f>
        <v>0</v>
      </c>
    </row>
    <row r="52" spans="1:34" ht="11.25" customHeight="1" x14ac:dyDescent="0.25">
      <c r="A52" s="9" t="s">
        <v>35</v>
      </c>
      <c r="B52" s="9" t="s">
        <v>929</v>
      </c>
      <c r="C52" s="9" t="s">
        <v>930</v>
      </c>
      <c r="D52" s="9" t="s">
        <v>931</v>
      </c>
      <c r="E52" s="9" t="s">
        <v>932</v>
      </c>
      <c r="F52" s="9" t="s">
        <v>933</v>
      </c>
      <c r="G52" s="9" t="s">
        <v>934</v>
      </c>
      <c r="L52" s="54">
        <f>$I$7*$L$7</f>
        <v>0</v>
      </c>
      <c r="M52" s="54">
        <f>$I$7*$M$7</f>
        <v>398075.92876829626</v>
      </c>
      <c r="N52" s="54">
        <f>$I$7*$N$7</f>
        <v>0</v>
      </c>
      <c r="O52" s="54">
        <f>$I$7*$O$7</f>
        <v>0</v>
      </c>
      <c r="P52" s="54">
        <f>$I$7*$P$7</f>
        <v>-155772.08451940957</v>
      </c>
      <c r="Q52" s="54">
        <f>$I$7*$Q$7</f>
        <v>1735233.3465671968</v>
      </c>
      <c r="R52" s="54">
        <f>$I$7*$R$7</f>
        <v>0</v>
      </c>
      <c r="S52" s="54">
        <f>$I$7*$S$7</f>
        <v>0</v>
      </c>
      <c r="T52" s="54">
        <f>$I$7*$T$7</f>
        <v>0</v>
      </c>
      <c r="U52" s="54">
        <f>$I$7*$U$7</f>
        <v>-5654.4099440943546</v>
      </c>
      <c r="V52" s="54">
        <f>$I$7*$V$7</f>
        <v>44589.405211909361</v>
      </c>
      <c r="X52" s="54">
        <f>$I$7*$X$7</f>
        <v>0</v>
      </c>
      <c r="Y52" s="54">
        <f>$I$7*$Y$7</f>
        <v>84227.866685769884</v>
      </c>
      <c r="Z52" s="54">
        <f>$I$7*$Z$7</f>
        <v>0</v>
      </c>
      <c r="AA52" s="54">
        <f>$I$7*$AA$7</f>
        <v>0</v>
      </c>
      <c r="AB52" s="54">
        <f>$I$7*$AB$7</f>
        <v>0</v>
      </c>
      <c r="AC52" s="54">
        <f>$I$7*$AC$7</f>
        <v>1772716.885733817</v>
      </c>
      <c r="AD52" s="54">
        <f>$I$7*$AD$7</f>
        <v>0</v>
      </c>
      <c r="AE52" s="54">
        <f>$I$7*$AE$7</f>
        <v>0</v>
      </c>
      <c r="AF52" s="54">
        <f>$I$7*$AF$7</f>
        <v>0</v>
      </c>
      <c r="AG52" s="54">
        <f>$I$7*$AG$7</f>
        <v>-22721.87960585683</v>
      </c>
      <c r="AH52" s="54">
        <f>$I$7*$AH$7</f>
        <v>49930.154235567927</v>
      </c>
    </row>
    <row r="53" spans="1:34" ht="11.25" customHeight="1" x14ac:dyDescent="0.25">
      <c r="A53" s="9" t="s">
        <v>35</v>
      </c>
      <c r="B53" s="9" t="s">
        <v>929</v>
      </c>
      <c r="C53" s="9" t="s">
        <v>930</v>
      </c>
      <c r="D53" s="9" t="s">
        <v>931</v>
      </c>
      <c r="E53" s="9" t="s">
        <v>932</v>
      </c>
      <c r="F53" s="9" t="s">
        <v>933</v>
      </c>
      <c r="G53" s="9" t="s">
        <v>935</v>
      </c>
      <c r="L53" s="54">
        <f>$I$8*$L$8</f>
        <v>0</v>
      </c>
      <c r="M53" s="54">
        <f>$I$8*$M$8</f>
        <v>7004418.8322058171</v>
      </c>
      <c r="N53" s="54">
        <f>$I$8*$N$8</f>
        <v>0</v>
      </c>
      <c r="O53" s="54">
        <f>$I$8*$O$8</f>
        <v>0</v>
      </c>
      <c r="P53" s="54">
        <f>$I$8*$P$8</f>
        <v>-2740916.6028091824</v>
      </c>
      <c r="Q53" s="54">
        <f>$I$8*$Q$8</f>
        <v>30532620.167649772</v>
      </c>
      <c r="R53" s="54">
        <f>$I$8*$R$8</f>
        <v>0</v>
      </c>
      <c r="S53" s="54">
        <f>$I$8*$S$8</f>
        <v>0</v>
      </c>
      <c r="T53" s="54">
        <f>$I$8*$T$8</f>
        <v>0</v>
      </c>
      <c r="U53" s="54">
        <f>$I$8*$U$8</f>
        <v>-99493.218843883646</v>
      </c>
      <c r="V53" s="54">
        <f>$I$8*$V$8</f>
        <v>784581.14900221583</v>
      </c>
      <c r="X53" s="54">
        <f>$I$8*$X$8</f>
        <v>0</v>
      </c>
      <c r="Y53" s="54">
        <f>$I$8*$Y$8</f>
        <v>1482047.0492545741</v>
      </c>
      <c r="Z53" s="54">
        <f>$I$8*$Z$8</f>
        <v>0</v>
      </c>
      <c r="AA53" s="54">
        <f>$I$8*$AA$8</f>
        <v>0</v>
      </c>
      <c r="AB53" s="54">
        <f>$I$8*$AB$8</f>
        <v>0</v>
      </c>
      <c r="AC53" s="54">
        <f>$I$8*$AC$8</f>
        <v>31192168.732791018</v>
      </c>
      <c r="AD53" s="54">
        <f>$I$8*$AD$8</f>
        <v>0</v>
      </c>
      <c r="AE53" s="54">
        <f>$I$8*$AE$8</f>
        <v>0</v>
      </c>
      <c r="AF53" s="54">
        <f>$I$8*$AF$8</f>
        <v>0</v>
      </c>
      <c r="AG53" s="54">
        <f>$I$8*$AG$8</f>
        <v>-399807.04662756348</v>
      </c>
      <c r="AH53" s="54">
        <f>$I$8*$AH$8</f>
        <v>878555.288948701</v>
      </c>
    </row>
    <row r="54" spans="1:34" ht="11.25" customHeight="1" x14ac:dyDescent="0.25">
      <c r="A54" s="9" t="s">
        <v>35</v>
      </c>
      <c r="B54" s="9" t="s">
        <v>936</v>
      </c>
      <c r="C54" s="9" t="s">
        <v>937</v>
      </c>
      <c r="D54" s="9" t="s">
        <v>938</v>
      </c>
      <c r="E54" s="9" t="s">
        <v>939</v>
      </c>
      <c r="F54" s="9" t="s">
        <v>940</v>
      </c>
      <c r="G54" s="9" t="s">
        <v>941</v>
      </c>
      <c r="L54" s="54">
        <f>$I$9*$L$9</f>
        <v>0</v>
      </c>
      <c r="M54" s="54">
        <f>$I$9*$M$9</f>
        <v>0</v>
      </c>
      <c r="N54" s="54">
        <f>$I$9*$N$9</f>
        <v>0</v>
      </c>
      <c r="O54" s="54">
        <f>$I$9*$O$9</f>
        <v>0</v>
      </c>
      <c r="P54" s="54">
        <f>$I$9*$P$9</f>
        <v>0</v>
      </c>
      <c r="Q54" s="54">
        <f>$I$9*$Q$9</f>
        <v>0</v>
      </c>
      <c r="R54" s="54">
        <f>$I$9*$R$9</f>
        <v>0</v>
      </c>
      <c r="S54" s="54">
        <f>$I$9*$S$9</f>
        <v>0</v>
      </c>
      <c r="T54" s="54">
        <f>$I$9*$T$9</f>
        <v>0</v>
      </c>
      <c r="U54" s="54">
        <f>$I$9*$U$9</f>
        <v>0</v>
      </c>
      <c r="V54" s="54">
        <f>$I$9*$V$9</f>
        <v>0</v>
      </c>
      <c r="X54" s="54">
        <f>$I$9*$X$9</f>
        <v>0</v>
      </c>
      <c r="Y54" s="54">
        <f>$I$9*$Y$9</f>
        <v>0</v>
      </c>
      <c r="Z54" s="54">
        <f>$I$9*$Z$9</f>
        <v>0</v>
      </c>
      <c r="AA54" s="54">
        <f>$I$9*$AA$9</f>
        <v>0</v>
      </c>
      <c r="AB54" s="54">
        <f>$I$9*$AB$9</f>
        <v>0</v>
      </c>
      <c r="AC54" s="54">
        <f>$I$9*$AC$9</f>
        <v>0</v>
      </c>
      <c r="AD54" s="54">
        <f>$I$9*$AD$9</f>
        <v>0</v>
      </c>
      <c r="AE54" s="54">
        <f>$I$9*$AE$9</f>
        <v>0</v>
      </c>
      <c r="AF54" s="54">
        <f>$I$9*$AF$9</f>
        <v>0</v>
      </c>
      <c r="AG54" s="54">
        <f>$I$9*$AG$9</f>
        <v>0</v>
      </c>
      <c r="AH54" s="54">
        <f>$I$9*$AH$9</f>
        <v>0</v>
      </c>
    </row>
    <row r="55" spans="1:34" ht="11.25" customHeight="1" x14ac:dyDescent="0.25">
      <c r="A55" s="9" t="s">
        <v>22</v>
      </c>
      <c r="B55" s="9" t="s">
        <v>942</v>
      </c>
      <c r="C55" s="9" t="s">
        <v>943</v>
      </c>
      <c r="D55" s="9" t="s">
        <v>944</v>
      </c>
      <c r="E55" s="9" t="s">
        <v>945</v>
      </c>
      <c r="F55" s="9" t="s">
        <v>946</v>
      </c>
      <c r="G55" s="9" t="s">
        <v>947</v>
      </c>
      <c r="L55" s="54">
        <f>$I$10*$L$10</f>
        <v>0</v>
      </c>
      <c r="M55" s="54">
        <f>$I$10*$M$10</f>
        <v>0</v>
      </c>
      <c r="N55" s="54">
        <f>$I$10*$N$10</f>
        <v>0</v>
      </c>
      <c r="O55" s="54">
        <f>$I$10*$O$10</f>
        <v>0</v>
      </c>
      <c r="P55" s="54">
        <f>$I$10*$P$10</f>
        <v>0</v>
      </c>
      <c r="Q55" s="54">
        <f>$I$10*$Q$10</f>
        <v>0</v>
      </c>
      <c r="R55" s="54">
        <f>$I$10*$R$10</f>
        <v>0</v>
      </c>
      <c r="S55" s="54">
        <f>$I$10*$S$10</f>
        <v>0</v>
      </c>
      <c r="T55" s="54">
        <f>$I$10*$T$10</f>
        <v>0</v>
      </c>
      <c r="U55" s="54">
        <f>$I$10*$U$10</f>
        <v>0</v>
      </c>
      <c r="V55" s="54">
        <f>$I$10*$V$10</f>
        <v>0</v>
      </c>
      <c r="X55" s="54">
        <f>$I$10*$X$10</f>
        <v>0</v>
      </c>
      <c r="Y55" s="54">
        <f>$I$10*$Y$10</f>
        <v>0</v>
      </c>
      <c r="Z55" s="54">
        <f>$I$10*$Z$10</f>
        <v>0</v>
      </c>
      <c r="AA55" s="54">
        <f>$I$10*$AA$10</f>
        <v>0</v>
      </c>
      <c r="AB55" s="54">
        <f>$I$10*$AB$10</f>
        <v>0</v>
      </c>
      <c r="AC55" s="54">
        <f>$I$10*$AC$10</f>
        <v>0</v>
      </c>
      <c r="AD55" s="54">
        <f>$I$10*$AD$10</f>
        <v>0</v>
      </c>
      <c r="AE55" s="54">
        <f>$I$10*$AE$10</f>
        <v>0</v>
      </c>
      <c r="AF55" s="54">
        <f>$I$10*$AF$10</f>
        <v>0</v>
      </c>
      <c r="AG55" s="54">
        <f>$I$10*$AG$10</f>
        <v>0</v>
      </c>
      <c r="AH55" s="54">
        <f>$I$10*$AH$10</f>
        <v>0</v>
      </c>
    </row>
    <row r="56" spans="1:34" ht="11.25" customHeight="1" x14ac:dyDescent="0.25">
      <c r="A56" s="9" t="s">
        <v>22</v>
      </c>
      <c r="B56" s="9" t="s">
        <v>942</v>
      </c>
      <c r="C56" s="9" t="s">
        <v>943</v>
      </c>
      <c r="D56" s="9" t="s">
        <v>944</v>
      </c>
      <c r="E56" s="9" t="s">
        <v>945</v>
      </c>
      <c r="F56" s="9" t="s">
        <v>946</v>
      </c>
      <c r="G56" s="9" t="s">
        <v>948</v>
      </c>
      <c r="L56" s="54">
        <f>$I$11*$L$11</f>
        <v>0</v>
      </c>
      <c r="M56" s="54">
        <f>$I$11*$M$11</f>
        <v>0</v>
      </c>
      <c r="N56" s="54">
        <f>$I$11*$N$11</f>
        <v>0</v>
      </c>
      <c r="O56" s="54">
        <f>$I$11*$O$11</f>
        <v>0</v>
      </c>
      <c r="P56" s="54">
        <f>$I$11*$P$11</f>
        <v>0</v>
      </c>
      <c r="Q56" s="54">
        <f>$I$11*$Q$11</f>
        <v>0</v>
      </c>
      <c r="R56" s="54">
        <f>$I$11*$R$11</f>
        <v>0</v>
      </c>
      <c r="S56" s="54">
        <f>$I$11*$S$11</f>
        <v>0</v>
      </c>
      <c r="T56" s="54">
        <f>$I$11*$T$11</f>
        <v>0</v>
      </c>
      <c r="U56" s="54">
        <f>$I$11*$U$11</f>
        <v>0</v>
      </c>
      <c r="V56" s="54">
        <f>$I$11*$V$11</f>
        <v>0</v>
      </c>
      <c r="X56" s="54">
        <f>$I$11*$X$11</f>
        <v>0</v>
      </c>
      <c r="Y56" s="54">
        <f>$I$11*$Y$11</f>
        <v>0</v>
      </c>
      <c r="Z56" s="54">
        <f>$I$11*$Z$11</f>
        <v>0</v>
      </c>
      <c r="AA56" s="54">
        <f>$I$11*$AA$11</f>
        <v>0</v>
      </c>
      <c r="AB56" s="54">
        <f>$I$11*$AB$11</f>
        <v>0</v>
      </c>
      <c r="AC56" s="54">
        <f>$I$11*$AC$11</f>
        <v>0</v>
      </c>
      <c r="AD56" s="54">
        <f>$I$11*$AD$11</f>
        <v>0</v>
      </c>
      <c r="AE56" s="54">
        <f>$I$11*$AE$11</f>
        <v>0</v>
      </c>
      <c r="AF56" s="54">
        <f>$I$11*$AF$11</f>
        <v>0</v>
      </c>
      <c r="AG56" s="54">
        <f>$I$11*$AG$11</f>
        <v>0</v>
      </c>
      <c r="AH56" s="54">
        <f>$I$11*$AH$11</f>
        <v>0</v>
      </c>
    </row>
    <row r="57" spans="1:34" ht="11.25" customHeight="1" x14ac:dyDescent="0.25">
      <c r="A57" s="9" t="s">
        <v>22</v>
      </c>
      <c r="B57" s="9" t="s">
        <v>942</v>
      </c>
      <c r="C57" s="9" t="s">
        <v>943</v>
      </c>
      <c r="D57" s="9" t="s">
        <v>944</v>
      </c>
      <c r="E57" s="9" t="s">
        <v>945</v>
      </c>
      <c r="F57" s="9" t="s">
        <v>946</v>
      </c>
      <c r="G57" s="9" t="s">
        <v>949</v>
      </c>
      <c r="L57" s="54">
        <f>$I$12*$L$12</f>
        <v>0</v>
      </c>
      <c r="M57" s="54">
        <f>$I$12*$M$12</f>
        <v>0</v>
      </c>
      <c r="N57" s="54">
        <f>$I$12*$N$12</f>
        <v>0</v>
      </c>
      <c r="O57" s="54">
        <f>$I$12*$O$12</f>
        <v>0</v>
      </c>
      <c r="P57" s="54">
        <f>$I$12*$P$12</f>
        <v>0</v>
      </c>
      <c r="Q57" s="54">
        <f>$I$12*$Q$12</f>
        <v>0</v>
      </c>
      <c r="R57" s="54">
        <f>$I$12*$R$12</f>
        <v>0</v>
      </c>
      <c r="S57" s="54">
        <f>$I$12*$S$12</f>
        <v>0</v>
      </c>
      <c r="T57" s="54">
        <f>$I$12*$T$12</f>
        <v>0</v>
      </c>
      <c r="U57" s="54">
        <f>$I$12*$U$12</f>
        <v>0</v>
      </c>
      <c r="V57" s="54">
        <f>$I$12*$V$12</f>
        <v>0</v>
      </c>
      <c r="X57" s="54">
        <f>$I$12*$X$12</f>
        <v>0</v>
      </c>
      <c r="Y57" s="54">
        <f>$I$12*$Y$12</f>
        <v>0</v>
      </c>
      <c r="Z57" s="54">
        <f>$I$12*$Z$12</f>
        <v>0</v>
      </c>
      <c r="AA57" s="54">
        <f>$I$12*$AA$12</f>
        <v>0</v>
      </c>
      <c r="AB57" s="54">
        <f>$I$12*$AB$12</f>
        <v>0</v>
      </c>
      <c r="AC57" s="54">
        <f>$I$12*$AC$12</f>
        <v>0</v>
      </c>
      <c r="AD57" s="54">
        <f>$I$12*$AD$12</f>
        <v>0</v>
      </c>
      <c r="AE57" s="54">
        <f>$I$12*$AE$12</f>
        <v>0</v>
      </c>
      <c r="AF57" s="54">
        <f>$I$12*$AF$12</f>
        <v>0</v>
      </c>
      <c r="AG57" s="54">
        <f>$I$12*$AG$12</f>
        <v>0</v>
      </c>
      <c r="AH57" s="54">
        <f>$I$12*$AH$12</f>
        <v>0</v>
      </c>
    </row>
    <row r="58" spans="1:34" ht="11.25" customHeight="1" x14ac:dyDescent="0.25">
      <c r="A58" s="9" t="s">
        <v>22</v>
      </c>
      <c r="B58" s="9" t="s">
        <v>950</v>
      </c>
      <c r="C58" s="9" t="s">
        <v>951</v>
      </c>
      <c r="D58" s="9" t="s">
        <v>952</v>
      </c>
      <c r="E58" s="9" t="s">
        <v>953</v>
      </c>
      <c r="F58" s="9" t="s">
        <v>954</v>
      </c>
      <c r="G58" s="9" t="s">
        <v>955</v>
      </c>
      <c r="L58" s="54">
        <f>$I$13*$L$13</f>
        <v>0</v>
      </c>
      <c r="M58" s="54">
        <f>$I$13*$M$13</f>
        <v>961383.76713570184</v>
      </c>
      <c r="N58" s="54">
        <f>$I$13*$N$13</f>
        <v>0</v>
      </c>
      <c r="O58" s="54">
        <f>$I$13*$O$13</f>
        <v>0</v>
      </c>
      <c r="P58" s="54">
        <f>$I$13*$P$13</f>
        <v>-376201.47968559584</v>
      </c>
      <c r="Q58" s="54">
        <f>$I$13*$Q$13</f>
        <v>4190721.0434551751</v>
      </c>
      <c r="R58" s="54">
        <f>$I$13*$R$13</f>
        <v>0</v>
      </c>
      <c r="S58" s="54">
        <f>$I$13*$S$13</f>
        <v>0</v>
      </c>
      <c r="T58" s="54">
        <f>$I$13*$T$13</f>
        <v>0</v>
      </c>
      <c r="U58" s="54">
        <f>$I$13*$U$13</f>
        <v>-13655.831815309562</v>
      </c>
      <c r="V58" s="54">
        <f>$I$13*$V$13</f>
        <v>107686.81866699143</v>
      </c>
      <c r="X58" s="54">
        <f>$I$13*$X$13</f>
        <v>0</v>
      </c>
      <c r="Y58" s="54">
        <f>$I$13*$Y$13</f>
        <v>203416.73012663255</v>
      </c>
      <c r="Z58" s="54">
        <f>$I$13*$Z$13</f>
        <v>0</v>
      </c>
      <c r="AA58" s="54">
        <f>$I$13*$AA$13</f>
        <v>0</v>
      </c>
      <c r="AB58" s="54">
        <f>$I$13*$AB$13</f>
        <v>0</v>
      </c>
      <c r="AC58" s="54">
        <f>$I$13*$AC$13</f>
        <v>4281246.6529816911</v>
      </c>
      <c r="AD58" s="54">
        <f>$I$13*$AD$13</f>
        <v>0</v>
      </c>
      <c r="AE58" s="54">
        <f>$I$13*$AE$13</f>
        <v>0</v>
      </c>
      <c r="AF58" s="54">
        <f>$I$13*$AF$13</f>
        <v>0</v>
      </c>
      <c r="AG58" s="54">
        <f>$I$13*$AG$13</f>
        <v>-54875.074409729685</v>
      </c>
      <c r="AH58" s="54">
        <f>$I$13*$AH$13</f>
        <v>120585.13540665992</v>
      </c>
    </row>
    <row r="59" spans="1:34" ht="11.25" customHeight="1" x14ac:dyDescent="0.25">
      <c r="A59" s="9" t="s">
        <v>22</v>
      </c>
      <c r="B59" s="9" t="s">
        <v>950</v>
      </c>
      <c r="C59" s="9" t="s">
        <v>951</v>
      </c>
      <c r="D59" s="9" t="s">
        <v>956</v>
      </c>
      <c r="E59" s="9" t="s">
        <v>957</v>
      </c>
      <c r="F59" s="9" t="s">
        <v>958</v>
      </c>
      <c r="G59" s="9" t="s">
        <v>959</v>
      </c>
      <c r="L59" s="54">
        <f>$I$14*$L$14</f>
        <v>0</v>
      </c>
      <c r="M59" s="54">
        <f>$I$14*$M$14</f>
        <v>2406.4066894021894</v>
      </c>
      <c r="N59" s="54">
        <f>$I$14*$N$14</f>
        <v>0</v>
      </c>
      <c r="O59" s="54">
        <f>$I$14*$O$14</f>
        <v>0</v>
      </c>
      <c r="P59" s="54">
        <f>$I$14*$P$14</f>
        <v>-941.65700340001172</v>
      </c>
      <c r="Q59" s="54">
        <f>$I$14*$Q$14</f>
        <v>10489.649916218723</v>
      </c>
      <c r="R59" s="54">
        <f>$I$14*$R$14</f>
        <v>0</v>
      </c>
      <c r="S59" s="54">
        <f>$I$14*$S$14</f>
        <v>0</v>
      </c>
      <c r="T59" s="54">
        <f>$I$14*$T$14</f>
        <v>0</v>
      </c>
      <c r="U59" s="54">
        <f>$I$14*$U$14</f>
        <v>-34.181443616026527</v>
      </c>
      <c r="V59" s="54">
        <f>$I$14*$V$14</f>
        <v>269.54717736991984</v>
      </c>
      <c r="X59" s="54">
        <f>$I$14*$X$14</f>
        <v>0</v>
      </c>
      <c r="Y59" s="54">
        <f>$I$14*$Y$14</f>
        <v>509.16543096150832</v>
      </c>
      <c r="Z59" s="54">
        <f>$I$14*$Z$14</f>
        <v>0</v>
      </c>
      <c r="AA59" s="54">
        <f>$I$14*$AA$14</f>
        <v>0</v>
      </c>
      <c r="AB59" s="54">
        <f>$I$14*$AB$14</f>
        <v>0</v>
      </c>
      <c r="AC59" s="54">
        <f>$I$14*$AC$14</f>
        <v>10716.241460379937</v>
      </c>
      <c r="AD59" s="54">
        <f>$I$14*$AD$14</f>
        <v>0</v>
      </c>
      <c r="AE59" s="54">
        <f>$I$14*$AE$14</f>
        <v>0</v>
      </c>
      <c r="AF59" s="54">
        <f>$I$14*$AF$14</f>
        <v>0</v>
      </c>
      <c r="AG59" s="54">
        <f>$I$14*$AG$14</f>
        <v>-137.3559141053988</v>
      </c>
      <c r="AH59" s="54">
        <f>$I$14*$AH$14</f>
        <v>301.83251101648341</v>
      </c>
    </row>
    <row r="60" spans="1:34" ht="11.25" customHeight="1" x14ac:dyDescent="0.25">
      <c r="A60" s="9" t="s">
        <v>22</v>
      </c>
      <c r="B60" s="9" t="s">
        <v>950</v>
      </c>
      <c r="C60" s="9" t="s">
        <v>951</v>
      </c>
      <c r="D60" s="9" t="s">
        <v>960</v>
      </c>
      <c r="E60" s="9" t="s">
        <v>961</v>
      </c>
      <c r="F60" s="9" t="s">
        <v>962</v>
      </c>
      <c r="G60" s="9" t="s">
        <v>963</v>
      </c>
      <c r="L60" s="54">
        <f>$I$15*$L$15</f>
        <v>0</v>
      </c>
      <c r="M60" s="54">
        <f>$I$15*$M$15</f>
        <v>1411.3335533399616</v>
      </c>
      <c r="N60" s="54">
        <f>$I$15*$N$15</f>
        <v>0</v>
      </c>
      <c r="O60" s="54">
        <f>$I$15*$O$15</f>
        <v>0</v>
      </c>
      <c r="P60" s="54">
        <f>$I$15*$P$15</f>
        <v>-552.27245273580638</v>
      </c>
      <c r="Q60" s="54">
        <f>$I$15*$Q$15</f>
        <v>6152.0751894298382</v>
      </c>
      <c r="R60" s="54">
        <f>$I$15*$R$15</f>
        <v>0</v>
      </c>
      <c r="S60" s="54">
        <f>$I$15*$S$15</f>
        <v>0</v>
      </c>
      <c r="T60" s="54">
        <f>$I$15*$T$15</f>
        <v>0</v>
      </c>
      <c r="U60" s="54">
        <f>$I$15*$U$15</f>
        <v>-20.047076202601744</v>
      </c>
      <c r="V60" s="54">
        <f>$I$15*$V$15</f>
        <v>158.08673459295935</v>
      </c>
      <c r="X60" s="54">
        <f>$I$15*$X$15</f>
        <v>0</v>
      </c>
      <c r="Y60" s="54">
        <f>$I$15*$Y$15</f>
        <v>298.62045350916878</v>
      </c>
      <c r="Z60" s="54">
        <f>$I$15*$Z$15</f>
        <v>0</v>
      </c>
      <c r="AA60" s="54">
        <f>$I$15*$AA$15</f>
        <v>0</v>
      </c>
      <c r="AB60" s="54">
        <f>$I$15*$AB$15</f>
        <v>0</v>
      </c>
      <c r="AC60" s="54">
        <f>$I$15*$AC$15</f>
        <v>6284.96887302299</v>
      </c>
      <c r="AD60" s="54">
        <f>$I$15*$AD$15</f>
        <v>0</v>
      </c>
      <c r="AE60" s="54">
        <f>$I$15*$AE$15</f>
        <v>0</v>
      </c>
      <c r="AF60" s="54">
        <f>$I$15*$AF$15</f>
        <v>0</v>
      </c>
      <c r="AG60" s="54">
        <f>$I$15*$AG$15</f>
        <v>-80.55787543326224</v>
      </c>
      <c r="AH60" s="54">
        <f>$I$15*$AH$15</f>
        <v>177.02176118544742</v>
      </c>
    </row>
    <row r="61" spans="1:34" ht="11.25" customHeight="1" x14ac:dyDescent="0.25">
      <c r="A61" s="9" t="s">
        <v>22</v>
      </c>
      <c r="B61" s="9" t="s">
        <v>950</v>
      </c>
      <c r="C61" s="9" t="s">
        <v>951</v>
      </c>
      <c r="D61" s="9" t="s">
        <v>964</v>
      </c>
      <c r="E61" s="9" t="s">
        <v>965</v>
      </c>
      <c r="F61" s="9" t="s">
        <v>966</v>
      </c>
      <c r="G61" s="9" t="s">
        <v>967</v>
      </c>
      <c r="L61" s="54">
        <f>$I$16*$L$16</f>
        <v>0</v>
      </c>
      <c r="M61" s="54">
        <f>$I$16*$M$16</f>
        <v>16318.011641759353</v>
      </c>
      <c r="N61" s="54">
        <f>$I$16*$N$16</f>
        <v>0</v>
      </c>
      <c r="O61" s="54">
        <f>$I$16*$O$16</f>
        <v>0</v>
      </c>
      <c r="P61" s="54">
        <f>$I$16*$P$16</f>
        <v>-6385.4418339582089</v>
      </c>
      <c r="Q61" s="54">
        <f>$I$16*$Q$16</f>
        <v>71131.04788341494</v>
      </c>
      <c r="R61" s="54">
        <f>$I$16*$R$16</f>
        <v>0</v>
      </c>
      <c r="S61" s="54">
        <f>$I$16*$S$16</f>
        <v>0</v>
      </c>
      <c r="T61" s="54">
        <f>$I$16*$T$16</f>
        <v>0</v>
      </c>
      <c r="U61" s="54">
        <f>$I$16*$U$16</f>
        <v>-231.78675379971892</v>
      </c>
      <c r="V61" s="54">
        <f>$I$16*$V$16</f>
        <v>1827.8182144757975</v>
      </c>
      <c r="X61" s="54">
        <f>$I$16*$X$16</f>
        <v>0</v>
      </c>
      <c r="Y61" s="54">
        <f>$I$16*$Y$16</f>
        <v>3452.6863088447303</v>
      </c>
      <c r="Z61" s="54">
        <f>$I$16*$Z$16</f>
        <v>0</v>
      </c>
      <c r="AA61" s="54">
        <f>$I$16*$AA$16</f>
        <v>0</v>
      </c>
      <c r="AB61" s="54">
        <f>$I$16*$AB$16</f>
        <v>0</v>
      </c>
      <c r="AC61" s="54">
        <f>$I$16*$AC$16</f>
        <v>72667.580952339267</v>
      </c>
      <c r="AD61" s="54">
        <f>$I$16*$AD$16</f>
        <v>0</v>
      </c>
      <c r="AE61" s="54">
        <f>$I$16*$AE$16</f>
        <v>0</v>
      </c>
      <c r="AF61" s="54">
        <f>$I$16*$AF$16</f>
        <v>0</v>
      </c>
      <c r="AG61" s="54">
        <f>$I$16*$AG$16</f>
        <v>-931.42003606764126</v>
      </c>
      <c r="AH61" s="54">
        <f>$I$16*$AH$16</f>
        <v>2046.7473142920826</v>
      </c>
    </row>
    <row r="62" spans="1:34" ht="11.25" customHeight="1" x14ac:dyDescent="0.25">
      <c r="A62" s="9" t="s">
        <v>22</v>
      </c>
      <c r="B62" s="9" t="s">
        <v>950</v>
      </c>
      <c r="C62" s="9" t="s">
        <v>951</v>
      </c>
      <c r="D62" s="9" t="s">
        <v>968</v>
      </c>
      <c r="E62" s="9" t="s">
        <v>969</v>
      </c>
      <c r="F62" s="9" t="s">
        <v>970</v>
      </c>
      <c r="G62" s="9" t="s">
        <v>971</v>
      </c>
      <c r="L62" s="54">
        <f>$I$17*$L$17</f>
        <v>0</v>
      </c>
      <c r="M62" s="54">
        <f>$I$17*$M$17</f>
        <v>11879.500675551211</v>
      </c>
      <c r="N62" s="54">
        <f>$I$17*$N$17</f>
        <v>0</v>
      </c>
      <c r="O62" s="54">
        <f>$I$17*$O$17</f>
        <v>0</v>
      </c>
      <c r="P62" s="54">
        <f>$I$17*$P$17</f>
        <v>-4648.5970377712629</v>
      </c>
      <c r="Q62" s="54">
        <f>$I$17*$Q$17</f>
        <v>51783.351423849592</v>
      </c>
      <c r="R62" s="54">
        <f>$I$17*$R$17</f>
        <v>0</v>
      </c>
      <c r="S62" s="54">
        <f>$I$17*$S$17</f>
        <v>0</v>
      </c>
      <c r="T62" s="54">
        <f>$I$17*$T$17</f>
        <v>0</v>
      </c>
      <c r="U62" s="54">
        <f>$I$17*$U$17</f>
        <v>-168.74058915983889</v>
      </c>
      <c r="V62" s="54">
        <f>$I$17*$V$17</f>
        <v>1330.6503384323462</v>
      </c>
      <c r="X62" s="54">
        <f>$I$17*$X$17</f>
        <v>0</v>
      </c>
      <c r="Y62" s="54">
        <f>$I$17*$Y$17</f>
        <v>2513.5531361813146</v>
      </c>
      <c r="Z62" s="54">
        <f>$I$17*$Z$17</f>
        <v>0</v>
      </c>
      <c r="AA62" s="54">
        <f>$I$17*$AA$17</f>
        <v>0</v>
      </c>
      <c r="AB62" s="54">
        <f>$I$17*$AB$17</f>
        <v>0</v>
      </c>
      <c r="AC62" s="54">
        <f>$I$17*$AC$17</f>
        <v>52901.946386950454</v>
      </c>
      <c r="AD62" s="54">
        <f>$I$17*$AD$17</f>
        <v>0</v>
      </c>
      <c r="AE62" s="54">
        <f>$I$17*$AE$17</f>
        <v>0</v>
      </c>
      <c r="AF62" s="54">
        <f>$I$17*$AF$17</f>
        <v>0</v>
      </c>
      <c r="AG62" s="54">
        <f>$I$17*$AG$17</f>
        <v>-678.07311274197025</v>
      </c>
      <c r="AH62" s="54">
        <f>$I$17*$AH$17</f>
        <v>1490.0305647896912</v>
      </c>
    </row>
    <row r="63" spans="1:34" ht="11.25" customHeight="1" x14ac:dyDescent="0.25">
      <c r="A63" s="9" t="s">
        <v>22</v>
      </c>
      <c r="B63" s="9" t="s">
        <v>972</v>
      </c>
      <c r="C63" s="9" t="s">
        <v>973</v>
      </c>
      <c r="D63" s="9" t="s">
        <v>974</v>
      </c>
      <c r="E63" s="9" t="s">
        <v>975</v>
      </c>
      <c r="F63" s="9" t="s">
        <v>976</v>
      </c>
      <c r="G63" s="9" t="s">
        <v>977</v>
      </c>
      <c r="L63" s="54">
        <f>$I$18*$L$18</f>
        <v>0</v>
      </c>
      <c r="M63" s="54">
        <f>$I$18*$M$18</f>
        <v>0</v>
      </c>
      <c r="N63" s="54">
        <f>$I$18*$N$18</f>
        <v>0</v>
      </c>
      <c r="O63" s="54">
        <f>$I$18*$O$18</f>
        <v>0</v>
      </c>
      <c r="P63" s="54">
        <f>$I$18*$P$18</f>
        <v>0</v>
      </c>
      <c r="Q63" s="54">
        <f>$I$18*$Q$18</f>
        <v>0</v>
      </c>
      <c r="R63" s="54">
        <f>$I$18*$R$18</f>
        <v>0</v>
      </c>
      <c r="S63" s="54">
        <f>$I$18*$S$18</f>
        <v>0</v>
      </c>
      <c r="T63" s="54">
        <f>$I$18*$T$18</f>
        <v>0</v>
      </c>
      <c r="U63" s="54">
        <f>$I$18*$U$18</f>
        <v>0</v>
      </c>
      <c r="V63" s="54">
        <f>$I$18*$V$18</f>
        <v>0</v>
      </c>
      <c r="X63" s="54">
        <f>$I$18*$X$18</f>
        <v>0</v>
      </c>
      <c r="Y63" s="54">
        <f>$I$18*$Y$18</f>
        <v>0</v>
      </c>
      <c r="Z63" s="54">
        <f>$I$18*$Z$18</f>
        <v>0</v>
      </c>
      <c r="AA63" s="54">
        <f>$I$18*$AA$18</f>
        <v>0</v>
      </c>
      <c r="AB63" s="54">
        <f>$I$18*$AB$18</f>
        <v>0</v>
      </c>
      <c r="AC63" s="54">
        <f>$I$18*$AC$18</f>
        <v>0</v>
      </c>
      <c r="AD63" s="54">
        <f>$I$18*$AD$18</f>
        <v>0</v>
      </c>
      <c r="AE63" s="54">
        <f>$I$18*$AE$18</f>
        <v>0</v>
      </c>
      <c r="AF63" s="54">
        <f>$I$18*$AF$18</f>
        <v>0</v>
      </c>
      <c r="AG63" s="54">
        <f>$I$18*$AG$18</f>
        <v>0</v>
      </c>
      <c r="AH63" s="54">
        <f>$I$18*$AH$18</f>
        <v>0</v>
      </c>
    </row>
    <row r="64" spans="1:34" ht="11.25" customHeight="1" x14ac:dyDescent="0.25">
      <c r="A64" s="9" t="s">
        <v>22</v>
      </c>
      <c r="B64" s="9" t="s">
        <v>972</v>
      </c>
      <c r="C64" s="9" t="s">
        <v>973</v>
      </c>
      <c r="D64" s="9" t="s">
        <v>978</v>
      </c>
      <c r="E64" s="9" t="s">
        <v>979</v>
      </c>
      <c r="F64" s="9" t="s">
        <v>980</v>
      </c>
      <c r="G64" s="9" t="s">
        <v>981</v>
      </c>
      <c r="L64" s="54">
        <f>$I$19*$L$19</f>
        <v>0</v>
      </c>
      <c r="M64" s="54">
        <f>$I$19*$M$19</f>
        <v>0</v>
      </c>
      <c r="N64" s="54">
        <f>$I$19*$N$19</f>
        <v>0</v>
      </c>
      <c r="O64" s="54">
        <f>$I$19*$O$19</f>
        <v>0</v>
      </c>
      <c r="P64" s="54">
        <f>$I$19*$P$19</f>
        <v>0</v>
      </c>
      <c r="Q64" s="54">
        <f>$I$19*$Q$19</f>
        <v>0</v>
      </c>
      <c r="R64" s="54">
        <f>$I$19*$R$19</f>
        <v>0</v>
      </c>
      <c r="S64" s="54">
        <f>$I$19*$S$19</f>
        <v>0</v>
      </c>
      <c r="T64" s="54">
        <f>$I$19*$T$19</f>
        <v>0</v>
      </c>
      <c r="U64" s="54">
        <f>$I$19*$U$19</f>
        <v>0</v>
      </c>
      <c r="V64" s="54">
        <f>$I$19*$V$19</f>
        <v>0</v>
      </c>
      <c r="X64" s="54">
        <f>$I$19*$X$19</f>
        <v>0</v>
      </c>
      <c r="Y64" s="54">
        <f>$I$19*$Y$19</f>
        <v>0</v>
      </c>
      <c r="Z64" s="54">
        <f>$I$19*$Z$19</f>
        <v>0</v>
      </c>
      <c r="AA64" s="54">
        <f>$I$19*$AA$19</f>
        <v>0</v>
      </c>
      <c r="AB64" s="54">
        <f>$I$19*$AB$19</f>
        <v>0</v>
      </c>
      <c r="AC64" s="54">
        <f>$I$19*$AC$19</f>
        <v>0</v>
      </c>
      <c r="AD64" s="54">
        <f>$I$19*$AD$19</f>
        <v>0</v>
      </c>
      <c r="AE64" s="54">
        <f>$I$19*$AE$19</f>
        <v>0</v>
      </c>
      <c r="AF64" s="54">
        <f>$I$19*$AF$19</f>
        <v>0</v>
      </c>
      <c r="AG64" s="54">
        <f>$I$19*$AG$19</f>
        <v>0</v>
      </c>
      <c r="AH64" s="54">
        <f>$I$19*$AH$19</f>
        <v>0</v>
      </c>
    </row>
    <row r="65" spans="1:34" ht="11.25" customHeight="1" x14ac:dyDescent="0.25">
      <c r="A65" s="9" t="s">
        <v>22</v>
      </c>
      <c r="B65" s="9" t="s">
        <v>972</v>
      </c>
      <c r="C65" s="9" t="s">
        <v>973</v>
      </c>
      <c r="D65" s="9" t="s">
        <v>982</v>
      </c>
      <c r="E65" s="9" t="s">
        <v>983</v>
      </c>
      <c r="F65" s="9" t="s">
        <v>984</v>
      </c>
      <c r="G65" s="9" t="s">
        <v>985</v>
      </c>
      <c r="L65" s="54">
        <f>$I$20*$L$20</f>
        <v>0</v>
      </c>
      <c r="M65" s="54">
        <f>$I$20*$M$20</f>
        <v>0</v>
      </c>
      <c r="N65" s="54">
        <f>$I$20*$N$20</f>
        <v>0</v>
      </c>
      <c r="O65" s="54">
        <f>$I$20*$O$20</f>
        <v>0</v>
      </c>
      <c r="P65" s="54">
        <f>$I$20*$P$20</f>
        <v>0</v>
      </c>
      <c r="Q65" s="54">
        <f>$I$20*$Q$20</f>
        <v>0</v>
      </c>
      <c r="R65" s="54">
        <f>$I$20*$R$20</f>
        <v>0</v>
      </c>
      <c r="S65" s="54">
        <f>$I$20*$S$20</f>
        <v>0</v>
      </c>
      <c r="T65" s="54">
        <f>$I$20*$T$20</f>
        <v>0</v>
      </c>
      <c r="U65" s="54">
        <f>$I$20*$U$20</f>
        <v>0</v>
      </c>
      <c r="V65" s="54">
        <f>$I$20*$V$20</f>
        <v>0</v>
      </c>
      <c r="X65" s="54">
        <f>$I$20*$X$20</f>
        <v>0</v>
      </c>
      <c r="Y65" s="54">
        <f>$I$20*$Y$20</f>
        <v>0</v>
      </c>
      <c r="Z65" s="54">
        <f>$I$20*$Z$20</f>
        <v>0</v>
      </c>
      <c r="AA65" s="54">
        <f>$I$20*$AA$20</f>
        <v>0</v>
      </c>
      <c r="AB65" s="54">
        <f>$I$20*$AB$20</f>
        <v>0</v>
      </c>
      <c r="AC65" s="54">
        <f>$I$20*$AC$20</f>
        <v>0</v>
      </c>
      <c r="AD65" s="54">
        <f>$I$20*$AD$20</f>
        <v>0</v>
      </c>
      <c r="AE65" s="54">
        <f>$I$20*$AE$20</f>
        <v>0</v>
      </c>
      <c r="AF65" s="54">
        <f>$I$20*$AF$20</f>
        <v>0</v>
      </c>
      <c r="AG65" s="54">
        <f>$I$20*$AG$20</f>
        <v>0</v>
      </c>
      <c r="AH65" s="54">
        <f>$I$20*$AH$20</f>
        <v>0</v>
      </c>
    </row>
    <row r="66" spans="1:34" ht="11.25" customHeight="1" x14ac:dyDescent="0.25">
      <c r="A66" s="9" t="s">
        <v>22</v>
      </c>
      <c r="B66" s="9" t="s">
        <v>972</v>
      </c>
      <c r="C66" s="9" t="s">
        <v>973</v>
      </c>
      <c r="D66" s="9" t="s">
        <v>986</v>
      </c>
      <c r="E66" s="9" t="s">
        <v>987</v>
      </c>
      <c r="F66" s="9" t="s">
        <v>988</v>
      </c>
      <c r="G66" s="9" t="s">
        <v>989</v>
      </c>
      <c r="L66" s="54">
        <f>$I$21*$L$21</f>
        <v>0</v>
      </c>
      <c r="M66" s="54">
        <f>$I$21*$M$21</f>
        <v>0</v>
      </c>
      <c r="N66" s="54">
        <f>$I$21*$N$21</f>
        <v>0</v>
      </c>
      <c r="O66" s="54">
        <f>$I$21*$O$21</f>
        <v>0</v>
      </c>
      <c r="P66" s="54">
        <f>$I$21*$P$21</f>
        <v>0</v>
      </c>
      <c r="Q66" s="54">
        <f>$I$21*$Q$21</f>
        <v>0</v>
      </c>
      <c r="R66" s="54">
        <f>$I$21*$R$21</f>
        <v>0</v>
      </c>
      <c r="S66" s="54">
        <f>$I$21*$S$21</f>
        <v>0</v>
      </c>
      <c r="T66" s="54">
        <f>$I$21*$T$21</f>
        <v>0</v>
      </c>
      <c r="U66" s="54">
        <f>$I$21*$U$21</f>
        <v>0</v>
      </c>
      <c r="V66" s="54">
        <f>$I$21*$V$21</f>
        <v>0</v>
      </c>
      <c r="X66" s="54">
        <f>$I$21*$X$21</f>
        <v>0</v>
      </c>
      <c r="Y66" s="54">
        <f>$I$21*$Y$21</f>
        <v>0</v>
      </c>
      <c r="Z66" s="54">
        <f>$I$21*$Z$21</f>
        <v>0</v>
      </c>
      <c r="AA66" s="54">
        <f>$I$21*$AA$21</f>
        <v>0</v>
      </c>
      <c r="AB66" s="54">
        <f>$I$21*$AB$21</f>
        <v>0</v>
      </c>
      <c r="AC66" s="54">
        <f>$I$21*$AC$21</f>
        <v>0</v>
      </c>
      <c r="AD66" s="54">
        <f>$I$21*$AD$21</f>
        <v>0</v>
      </c>
      <c r="AE66" s="54">
        <f>$I$21*$AE$21</f>
        <v>0</v>
      </c>
      <c r="AF66" s="54">
        <f>$I$21*$AF$21</f>
        <v>0</v>
      </c>
      <c r="AG66" s="54">
        <f>$I$21*$AG$21</f>
        <v>0</v>
      </c>
      <c r="AH66" s="54">
        <f>$I$21*$AH$21</f>
        <v>0</v>
      </c>
    </row>
    <row r="67" spans="1:34" ht="11.25" customHeight="1" x14ac:dyDescent="0.25">
      <c r="A67" s="9" t="s">
        <v>22</v>
      </c>
      <c r="B67" s="9" t="s">
        <v>972</v>
      </c>
      <c r="C67" s="9" t="s">
        <v>973</v>
      </c>
      <c r="D67" s="9" t="s">
        <v>990</v>
      </c>
      <c r="E67" s="9" t="s">
        <v>991</v>
      </c>
      <c r="F67" s="9" t="s">
        <v>992</v>
      </c>
      <c r="G67" s="9" t="s">
        <v>993</v>
      </c>
      <c r="L67" s="54">
        <f>$I$22*$L$22</f>
        <v>0</v>
      </c>
      <c r="M67" s="54">
        <f>$I$22*$M$22</f>
        <v>0</v>
      </c>
      <c r="N67" s="54">
        <f>$I$22*$N$22</f>
        <v>0</v>
      </c>
      <c r="O67" s="54">
        <f>$I$22*$O$22</f>
        <v>0</v>
      </c>
      <c r="P67" s="54">
        <f>$I$22*$P$22</f>
        <v>0</v>
      </c>
      <c r="Q67" s="54">
        <f>$I$22*$Q$22</f>
        <v>0</v>
      </c>
      <c r="R67" s="54">
        <f>$I$22*$R$22</f>
        <v>0</v>
      </c>
      <c r="S67" s="54">
        <f>$I$22*$S$22</f>
        <v>0</v>
      </c>
      <c r="T67" s="54">
        <f>$I$22*$T$22</f>
        <v>0</v>
      </c>
      <c r="U67" s="54">
        <f>$I$22*$U$22</f>
        <v>0</v>
      </c>
      <c r="V67" s="54">
        <f>$I$22*$V$22</f>
        <v>0</v>
      </c>
      <c r="X67" s="54">
        <f>$I$22*$X$22</f>
        <v>0</v>
      </c>
      <c r="Y67" s="54">
        <f>$I$22*$Y$22</f>
        <v>0</v>
      </c>
      <c r="Z67" s="54">
        <f>$I$22*$Z$22</f>
        <v>0</v>
      </c>
      <c r="AA67" s="54">
        <f>$I$22*$AA$22</f>
        <v>0</v>
      </c>
      <c r="AB67" s="54">
        <f>$I$22*$AB$22</f>
        <v>0</v>
      </c>
      <c r="AC67" s="54">
        <f>$I$22*$AC$22</f>
        <v>0</v>
      </c>
      <c r="AD67" s="54">
        <f>$I$22*$AD$22</f>
        <v>0</v>
      </c>
      <c r="AE67" s="54">
        <f>$I$22*$AE$22</f>
        <v>0</v>
      </c>
      <c r="AF67" s="54">
        <f>$I$22*$AF$22</f>
        <v>0</v>
      </c>
      <c r="AG67" s="54">
        <f>$I$22*$AG$22</f>
        <v>0</v>
      </c>
      <c r="AH67" s="54">
        <f>$I$22*$AH$22</f>
        <v>0</v>
      </c>
    </row>
    <row r="68" spans="1:34" ht="11.25" customHeight="1" x14ac:dyDescent="0.25">
      <c r="A68" s="9" t="s">
        <v>41</v>
      </c>
      <c r="B68" s="9" t="s">
        <v>994</v>
      </c>
      <c r="C68" s="9" t="s">
        <v>995</v>
      </c>
      <c r="D68" s="9" t="s">
        <v>996</v>
      </c>
      <c r="E68" s="9" t="s">
        <v>997</v>
      </c>
      <c r="F68" s="9" t="s">
        <v>998</v>
      </c>
      <c r="G68" s="9" t="s">
        <v>999</v>
      </c>
      <c r="L68" s="54">
        <f>$I$23*$L$23</f>
        <v>0</v>
      </c>
      <c r="M68" s="54">
        <f>$I$23*$M$23</f>
        <v>0</v>
      </c>
      <c r="N68" s="54">
        <f>$I$23*$N$23</f>
        <v>0</v>
      </c>
      <c r="O68" s="54">
        <f>$I$23*$O$23</f>
        <v>0</v>
      </c>
      <c r="P68" s="54">
        <f>$I$23*$P$23</f>
        <v>0</v>
      </c>
      <c r="Q68" s="54">
        <f>$I$23*$Q$23</f>
        <v>0</v>
      </c>
      <c r="R68" s="54">
        <f>$I$23*$R$23</f>
        <v>0</v>
      </c>
      <c r="S68" s="54">
        <f>$I$23*$S$23</f>
        <v>0</v>
      </c>
      <c r="T68" s="54">
        <f>$I$23*$T$23</f>
        <v>0</v>
      </c>
      <c r="U68" s="54">
        <f>$I$23*$U$23</f>
        <v>0</v>
      </c>
      <c r="V68" s="54">
        <f>$I$23*$V$23</f>
        <v>0</v>
      </c>
      <c r="X68" s="54">
        <f>$I$23*$X$23</f>
        <v>0</v>
      </c>
      <c r="Y68" s="54">
        <f>$I$23*$Y$23</f>
        <v>0</v>
      </c>
      <c r="Z68" s="54">
        <f>$I$23*$Z$23</f>
        <v>0</v>
      </c>
      <c r="AA68" s="54">
        <f>$I$23*$AA$23</f>
        <v>0</v>
      </c>
      <c r="AB68" s="54">
        <f>$I$23*$AB$23</f>
        <v>0</v>
      </c>
      <c r="AC68" s="54">
        <f>$I$23*$AC$23</f>
        <v>0</v>
      </c>
      <c r="AD68" s="54">
        <f>$I$23*$AD$23</f>
        <v>0</v>
      </c>
      <c r="AE68" s="54">
        <f>$I$23*$AE$23</f>
        <v>0</v>
      </c>
      <c r="AF68" s="54">
        <f>$I$23*$AF$23</f>
        <v>0</v>
      </c>
      <c r="AG68" s="54">
        <f>$I$23*$AG$23</f>
        <v>0</v>
      </c>
      <c r="AH68" s="54">
        <f>$I$23*$AH$23</f>
        <v>0</v>
      </c>
    </row>
    <row r="69" spans="1:34" ht="11.25" customHeight="1" x14ac:dyDescent="0.25">
      <c r="A69" s="9" t="s">
        <v>41</v>
      </c>
      <c r="B69" s="9" t="s">
        <v>994</v>
      </c>
      <c r="C69" s="9" t="s">
        <v>995</v>
      </c>
      <c r="D69" s="9" t="s">
        <v>996</v>
      </c>
      <c r="E69" s="9" t="s">
        <v>997</v>
      </c>
      <c r="F69" s="9" t="s">
        <v>998</v>
      </c>
      <c r="G69" s="9" t="s">
        <v>1000</v>
      </c>
      <c r="L69" s="54">
        <f>$I$24*$L$24</f>
        <v>0</v>
      </c>
      <c r="M69" s="54">
        <f>$I$24*$M$24</f>
        <v>0</v>
      </c>
      <c r="N69" s="54">
        <f>$I$24*$N$24</f>
        <v>0</v>
      </c>
      <c r="O69" s="54">
        <f>$I$24*$O$24</f>
        <v>0</v>
      </c>
      <c r="P69" s="54">
        <f>$I$24*$P$24</f>
        <v>0</v>
      </c>
      <c r="Q69" s="54">
        <f>$I$24*$Q$24</f>
        <v>0</v>
      </c>
      <c r="R69" s="54">
        <f>$I$24*$R$24</f>
        <v>0</v>
      </c>
      <c r="S69" s="54">
        <f>$I$24*$S$24</f>
        <v>0</v>
      </c>
      <c r="T69" s="54">
        <f>$I$24*$T$24</f>
        <v>0</v>
      </c>
      <c r="U69" s="54">
        <f>$I$24*$U$24</f>
        <v>0</v>
      </c>
      <c r="V69" s="54">
        <f>$I$24*$V$24</f>
        <v>0</v>
      </c>
      <c r="X69" s="54">
        <f>$I$24*$X$24</f>
        <v>0</v>
      </c>
      <c r="Y69" s="54">
        <f>$I$24*$Y$24</f>
        <v>0</v>
      </c>
      <c r="Z69" s="54">
        <f>$I$24*$Z$24</f>
        <v>0</v>
      </c>
      <c r="AA69" s="54">
        <f>$I$24*$AA$24</f>
        <v>0</v>
      </c>
      <c r="AB69" s="54">
        <f>$I$24*$AB$24</f>
        <v>0</v>
      </c>
      <c r="AC69" s="54">
        <f>$I$24*$AC$24</f>
        <v>0</v>
      </c>
      <c r="AD69" s="54">
        <f>$I$24*$AD$24</f>
        <v>0</v>
      </c>
      <c r="AE69" s="54">
        <f>$I$24*$AE$24</f>
        <v>0</v>
      </c>
      <c r="AF69" s="54">
        <f>$I$24*$AF$24</f>
        <v>0</v>
      </c>
      <c r="AG69" s="54">
        <f>$I$24*$AG$24</f>
        <v>0</v>
      </c>
      <c r="AH69" s="54">
        <f>$I$24*$AH$24</f>
        <v>0</v>
      </c>
    </row>
    <row r="70" spans="1:34" ht="11.25" customHeight="1" x14ac:dyDescent="0.25">
      <c r="A70" s="9" t="s">
        <v>41</v>
      </c>
      <c r="B70" s="9" t="s">
        <v>994</v>
      </c>
      <c r="C70" s="9" t="s">
        <v>995</v>
      </c>
      <c r="D70" s="9" t="s">
        <v>996</v>
      </c>
      <c r="E70" s="9" t="s">
        <v>997</v>
      </c>
      <c r="F70" s="9" t="s">
        <v>998</v>
      </c>
      <c r="G70" s="9" t="s">
        <v>1001</v>
      </c>
      <c r="L70" s="54">
        <f>$I$25*$L$25</f>
        <v>0</v>
      </c>
      <c r="M70" s="54">
        <f>$I$25*$M$25</f>
        <v>0</v>
      </c>
      <c r="N70" s="54">
        <f>$I$25*$N$25</f>
        <v>0</v>
      </c>
      <c r="O70" s="54">
        <f>$I$25*$O$25</f>
        <v>0</v>
      </c>
      <c r="P70" s="54">
        <f>$I$25*$P$25</f>
        <v>0</v>
      </c>
      <c r="Q70" s="54">
        <f>$I$25*$Q$25</f>
        <v>0</v>
      </c>
      <c r="R70" s="54">
        <f>$I$25*$R$25</f>
        <v>0</v>
      </c>
      <c r="S70" s="54">
        <f>$I$25*$S$25</f>
        <v>0</v>
      </c>
      <c r="T70" s="54">
        <f>$I$25*$T$25</f>
        <v>0</v>
      </c>
      <c r="U70" s="54">
        <f>$I$25*$U$25</f>
        <v>0</v>
      </c>
      <c r="V70" s="54">
        <f>$I$25*$V$25</f>
        <v>0</v>
      </c>
      <c r="X70" s="54">
        <f>$I$25*$X$25</f>
        <v>0</v>
      </c>
      <c r="Y70" s="54">
        <f>$I$25*$Y$25</f>
        <v>0</v>
      </c>
      <c r="Z70" s="54">
        <f>$I$25*$Z$25</f>
        <v>0</v>
      </c>
      <c r="AA70" s="54">
        <f>$I$25*$AA$25</f>
        <v>0</v>
      </c>
      <c r="AB70" s="54">
        <f>$I$25*$AB$25</f>
        <v>0</v>
      </c>
      <c r="AC70" s="54">
        <f>$I$25*$AC$25</f>
        <v>0</v>
      </c>
      <c r="AD70" s="54">
        <f>$I$25*$AD$25</f>
        <v>0</v>
      </c>
      <c r="AE70" s="54">
        <f>$I$25*$AE$25</f>
        <v>0</v>
      </c>
      <c r="AF70" s="54">
        <f>$I$25*$AF$25</f>
        <v>0</v>
      </c>
      <c r="AG70" s="54">
        <f>$I$25*$AG$25</f>
        <v>0</v>
      </c>
      <c r="AH70" s="54">
        <f>$I$25*$AH$25</f>
        <v>0</v>
      </c>
    </row>
    <row r="71" spans="1:34" ht="11.25" customHeight="1" x14ac:dyDescent="0.25">
      <c r="A71" s="9" t="s">
        <v>41</v>
      </c>
      <c r="B71" s="9" t="s">
        <v>1002</v>
      </c>
      <c r="C71" s="9" t="s">
        <v>1003</v>
      </c>
      <c r="D71" s="9" t="s">
        <v>1004</v>
      </c>
      <c r="E71" s="9" t="s">
        <v>1005</v>
      </c>
      <c r="F71" s="9" t="s">
        <v>1006</v>
      </c>
      <c r="G71" s="9" t="s">
        <v>1007</v>
      </c>
      <c r="L71" s="54">
        <f>$I$26*$L$26</f>
        <v>0</v>
      </c>
      <c r="M71" s="54">
        <f>$I$26*$M$26</f>
        <v>6839736.9427720243</v>
      </c>
      <c r="N71" s="54">
        <f>$I$26*$N$26</f>
        <v>0</v>
      </c>
      <c r="O71" s="54">
        <f>$I$26*$O$26</f>
        <v>0</v>
      </c>
      <c r="P71" s="54">
        <f>$I$26*$P$26</f>
        <v>-2676474.5219250894</v>
      </c>
      <c r="Q71" s="54">
        <f>$I$26*$Q$26</f>
        <v>29814763.383379001</v>
      </c>
      <c r="R71" s="54">
        <f>$I$26*$R$26</f>
        <v>0</v>
      </c>
      <c r="S71" s="54">
        <f>$I$26*$S$26</f>
        <v>0</v>
      </c>
      <c r="T71" s="54">
        <f>$I$26*$T$26</f>
        <v>0</v>
      </c>
      <c r="U71" s="54">
        <f>$I$26*$U$26</f>
        <v>-97154.019595871127</v>
      </c>
      <c r="V71" s="54">
        <f>$I$26*$V$26</f>
        <v>766134.74978951621</v>
      </c>
      <c r="X71" s="54">
        <f>$I$26*$X$26</f>
        <v>0</v>
      </c>
      <c r="Y71" s="54">
        <f>$I$26*$Y$26</f>
        <v>1354827.8066757596</v>
      </c>
      <c r="Z71" s="54">
        <f>$I$26*$Z$26</f>
        <v>0</v>
      </c>
      <c r="AA71" s="54">
        <f>$I$26*$AA$26</f>
        <v>0</v>
      </c>
      <c r="AB71" s="54">
        <f>$I$26*$AB$26</f>
        <v>0</v>
      </c>
      <c r="AC71" s="54">
        <f>$I$26*$AC$26</f>
        <v>28514626.152363427</v>
      </c>
      <c r="AD71" s="54">
        <f>$I$26*$AD$26</f>
        <v>0</v>
      </c>
      <c r="AE71" s="54">
        <f>$I$26*$AE$26</f>
        <v>0</v>
      </c>
      <c r="AF71" s="54">
        <f>$I$26*$AF$26</f>
        <v>0</v>
      </c>
      <c r="AG71" s="54">
        <f>$I$26*$AG$26</f>
        <v>-365487.52237547224</v>
      </c>
      <c r="AH71" s="54">
        <f>$I$26*$AH$26</f>
        <v>803139.91095521441</v>
      </c>
    </row>
    <row r="72" spans="1:34" ht="11.25" customHeight="1" x14ac:dyDescent="0.25">
      <c r="A72" s="9" t="s">
        <v>41</v>
      </c>
      <c r="B72" s="9" t="s">
        <v>994</v>
      </c>
      <c r="C72" s="9" t="s">
        <v>995</v>
      </c>
      <c r="D72" s="9" t="s">
        <v>1008</v>
      </c>
      <c r="E72" s="9" t="s">
        <v>1009</v>
      </c>
      <c r="F72" s="9" t="s">
        <v>1010</v>
      </c>
      <c r="G72" s="9" t="s">
        <v>1011</v>
      </c>
      <c r="L72" s="54">
        <f>$I$27*$L$27</f>
        <v>0</v>
      </c>
      <c r="M72" s="54">
        <f>$I$27*$M$27</f>
        <v>0</v>
      </c>
      <c r="N72" s="54">
        <f>$I$27*$N$27</f>
        <v>0</v>
      </c>
      <c r="O72" s="54">
        <f>$I$27*$O$27</f>
        <v>0</v>
      </c>
      <c r="P72" s="54">
        <f>$I$27*$P$27</f>
        <v>0</v>
      </c>
      <c r="Q72" s="54">
        <f>$I$27*$Q$27</f>
        <v>0</v>
      </c>
      <c r="R72" s="54">
        <f>$I$27*$R$27</f>
        <v>0</v>
      </c>
      <c r="S72" s="54">
        <f>$I$27*$S$27</f>
        <v>0</v>
      </c>
      <c r="T72" s="54">
        <f>$I$27*$T$27</f>
        <v>0</v>
      </c>
      <c r="U72" s="54">
        <f>$I$27*$U$27</f>
        <v>0</v>
      </c>
      <c r="V72" s="54">
        <f>$I$27*$V$27</f>
        <v>0</v>
      </c>
      <c r="X72" s="54">
        <f>$I$27*$X$27</f>
        <v>0</v>
      </c>
      <c r="Y72" s="54">
        <f>$I$27*$Y$27</f>
        <v>0</v>
      </c>
      <c r="Z72" s="54">
        <f>$I$27*$Z$27</f>
        <v>0</v>
      </c>
      <c r="AA72" s="54">
        <f>$I$27*$AA$27</f>
        <v>0</v>
      </c>
      <c r="AB72" s="54">
        <f>$I$27*$AB$27</f>
        <v>0</v>
      </c>
      <c r="AC72" s="54">
        <f>$I$27*$AC$27</f>
        <v>0</v>
      </c>
      <c r="AD72" s="54">
        <f>$I$27*$AD$27</f>
        <v>0</v>
      </c>
      <c r="AE72" s="54">
        <f>$I$27*$AE$27</f>
        <v>0</v>
      </c>
      <c r="AF72" s="54">
        <f>$I$27*$AF$27</f>
        <v>0</v>
      </c>
      <c r="AG72" s="54">
        <f>$I$27*$AG$27</f>
        <v>0</v>
      </c>
      <c r="AH72" s="54">
        <f>$I$27*$AH$27</f>
        <v>0</v>
      </c>
    </row>
    <row r="73" spans="1:34" ht="11.25" customHeight="1" x14ac:dyDescent="0.25">
      <c r="A73" s="9" t="s">
        <v>41</v>
      </c>
      <c r="B73" s="9" t="s">
        <v>994</v>
      </c>
      <c r="C73" s="9" t="s">
        <v>995</v>
      </c>
      <c r="D73" s="9" t="s">
        <v>1008</v>
      </c>
      <c r="E73" s="9" t="s">
        <v>1009</v>
      </c>
      <c r="F73" s="9" t="s">
        <v>1010</v>
      </c>
      <c r="G73" s="9" t="s">
        <v>1012</v>
      </c>
      <c r="L73" s="54">
        <f>$I$28*$L$28</f>
        <v>0</v>
      </c>
      <c r="M73" s="54">
        <f>$I$28*$M$28</f>
        <v>0</v>
      </c>
      <c r="N73" s="54">
        <f>$I$28*$N$28</f>
        <v>0</v>
      </c>
      <c r="O73" s="54">
        <f>$I$28*$O$28</f>
        <v>0</v>
      </c>
      <c r="P73" s="54">
        <f>$I$28*$P$28</f>
        <v>0</v>
      </c>
      <c r="Q73" s="54">
        <f>$I$28*$Q$28</f>
        <v>0</v>
      </c>
      <c r="R73" s="54">
        <f>$I$28*$R$28</f>
        <v>0</v>
      </c>
      <c r="S73" s="54">
        <f>$I$28*$S$28</f>
        <v>0</v>
      </c>
      <c r="T73" s="54">
        <f>$I$28*$T$28</f>
        <v>0</v>
      </c>
      <c r="U73" s="54">
        <f>$I$28*$U$28</f>
        <v>0</v>
      </c>
      <c r="V73" s="54">
        <f>$I$28*$V$28</f>
        <v>0</v>
      </c>
      <c r="X73" s="54">
        <f>$I$28*$X$28</f>
        <v>0</v>
      </c>
      <c r="Y73" s="54">
        <f>$I$28*$Y$28</f>
        <v>0</v>
      </c>
      <c r="Z73" s="54">
        <f>$I$28*$Z$28</f>
        <v>0</v>
      </c>
      <c r="AA73" s="54">
        <f>$I$28*$AA$28</f>
        <v>0</v>
      </c>
      <c r="AB73" s="54">
        <f>$I$28*$AB$28</f>
        <v>0</v>
      </c>
      <c r="AC73" s="54">
        <f>$I$28*$AC$28</f>
        <v>0</v>
      </c>
      <c r="AD73" s="54">
        <f>$I$28*$AD$28</f>
        <v>0</v>
      </c>
      <c r="AE73" s="54">
        <f>$I$28*$AE$28</f>
        <v>0</v>
      </c>
      <c r="AF73" s="54">
        <f>$I$28*$AF$28</f>
        <v>0</v>
      </c>
      <c r="AG73" s="54">
        <f>$I$28*$AG$28</f>
        <v>0</v>
      </c>
      <c r="AH73" s="54">
        <f>$I$28*$AH$28</f>
        <v>0</v>
      </c>
    </row>
    <row r="74" spans="1:34" ht="11.25" customHeight="1" x14ac:dyDescent="0.25">
      <c r="A74" s="9" t="s">
        <v>41</v>
      </c>
      <c r="B74" s="9" t="s">
        <v>994</v>
      </c>
      <c r="C74" s="9" t="s">
        <v>995</v>
      </c>
      <c r="D74" s="9" t="s">
        <v>1008</v>
      </c>
      <c r="E74" s="9" t="s">
        <v>1009</v>
      </c>
      <c r="F74" s="9" t="s">
        <v>1010</v>
      </c>
      <c r="G74" s="9" t="s">
        <v>1013</v>
      </c>
      <c r="L74" s="54">
        <f>$I$29*$L$29</f>
        <v>0</v>
      </c>
      <c r="M74" s="54">
        <f>$I$29*$M$29</f>
        <v>0</v>
      </c>
      <c r="N74" s="54">
        <f>$I$29*$N$29</f>
        <v>0</v>
      </c>
      <c r="O74" s="54">
        <f>$I$29*$O$29</f>
        <v>0</v>
      </c>
      <c r="P74" s="54">
        <f>$I$29*$P$29</f>
        <v>0</v>
      </c>
      <c r="Q74" s="54">
        <f>$I$29*$Q$29</f>
        <v>0</v>
      </c>
      <c r="R74" s="54">
        <f>$I$29*$R$29</f>
        <v>0</v>
      </c>
      <c r="S74" s="54">
        <f>$I$29*$S$29</f>
        <v>0</v>
      </c>
      <c r="T74" s="54">
        <f>$I$29*$T$29</f>
        <v>0</v>
      </c>
      <c r="U74" s="54">
        <f>$I$29*$U$29</f>
        <v>0</v>
      </c>
      <c r="V74" s="54">
        <f>$I$29*$V$29</f>
        <v>0</v>
      </c>
      <c r="X74" s="54">
        <f>$I$29*$X$29</f>
        <v>0</v>
      </c>
      <c r="Y74" s="54">
        <f>$I$29*$Y$29</f>
        <v>0</v>
      </c>
      <c r="Z74" s="54">
        <f>$I$29*$Z$29</f>
        <v>0</v>
      </c>
      <c r="AA74" s="54">
        <f>$I$29*$AA$29</f>
        <v>0</v>
      </c>
      <c r="AB74" s="54">
        <f>$I$29*$AB$29</f>
        <v>0</v>
      </c>
      <c r="AC74" s="54">
        <f>$I$29*$AC$29</f>
        <v>0</v>
      </c>
      <c r="AD74" s="54">
        <f>$I$29*$AD$29</f>
        <v>0</v>
      </c>
      <c r="AE74" s="54">
        <f>$I$29*$AE$29</f>
        <v>0</v>
      </c>
      <c r="AF74" s="54">
        <f>$I$29*$AF$29</f>
        <v>0</v>
      </c>
      <c r="AG74" s="54">
        <f>$I$29*$AG$29</f>
        <v>0</v>
      </c>
      <c r="AH74" s="54">
        <f>$I$29*$AH$29</f>
        <v>0</v>
      </c>
    </row>
    <row r="75" spans="1:34" ht="11.25" customHeight="1" x14ac:dyDescent="0.25">
      <c r="A75" s="9" t="s">
        <v>41</v>
      </c>
      <c r="B75" s="9" t="s">
        <v>1002</v>
      </c>
      <c r="C75" s="9" t="s">
        <v>1003</v>
      </c>
      <c r="D75" s="9" t="s">
        <v>1014</v>
      </c>
      <c r="E75" s="9" t="s">
        <v>1015</v>
      </c>
      <c r="F75" s="9" t="s">
        <v>1016</v>
      </c>
      <c r="G75" s="9" t="s">
        <v>1017</v>
      </c>
      <c r="L75" s="54">
        <f>$I$30*$L$30</f>
        <v>0</v>
      </c>
      <c r="M75" s="54">
        <f>$I$30*$M$30</f>
        <v>0</v>
      </c>
      <c r="N75" s="54">
        <f>$I$30*$N$30</f>
        <v>0</v>
      </c>
      <c r="O75" s="54">
        <f>$I$30*$O$30</f>
        <v>0</v>
      </c>
      <c r="P75" s="54">
        <f>$I$30*$P$30</f>
        <v>0</v>
      </c>
      <c r="Q75" s="54">
        <f>$I$30*$Q$30</f>
        <v>0</v>
      </c>
      <c r="R75" s="54">
        <f>$I$30*$R$30</f>
        <v>0</v>
      </c>
      <c r="S75" s="54">
        <f>$I$30*$S$30</f>
        <v>0</v>
      </c>
      <c r="T75" s="54">
        <f>$I$30*$T$30</f>
        <v>0</v>
      </c>
      <c r="U75" s="54">
        <f>$I$30*$U$30</f>
        <v>0</v>
      </c>
      <c r="V75" s="54">
        <f>$I$30*$V$30</f>
        <v>0</v>
      </c>
      <c r="X75" s="54">
        <f>$I$30*$X$30</f>
        <v>0</v>
      </c>
      <c r="Y75" s="54">
        <f>$I$30*$Y$30</f>
        <v>0</v>
      </c>
      <c r="Z75" s="54">
        <f>$I$30*$Z$30</f>
        <v>0</v>
      </c>
      <c r="AA75" s="54">
        <f>$I$30*$AA$30</f>
        <v>0</v>
      </c>
      <c r="AB75" s="54">
        <f>$I$30*$AB$30</f>
        <v>0</v>
      </c>
      <c r="AC75" s="54">
        <f>$I$30*$AC$30</f>
        <v>0</v>
      </c>
      <c r="AD75" s="54">
        <f>$I$30*$AD$30</f>
        <v>0</v>
      </c>
      <c r="AE75" s="54">
        <f>$I$30*$AE$30</f>
        <v>0</v>
      </c>
      <c r="AF75" s="54">
        <f>$I$30*$AF$30</f>
        <v>0</v>
      </c>
      <c r="AG75" s="54">
        <f>$I$30*$AG$30</f>
        <v>0</v>
      </c>
      <c r="AH75" s="54">
        <f>$I$30*$AH$30</f>
        <v>0</v>
      </c>
    </row>
    <row r="76" spans="1:34" ht="11.25" customHeight="1" x14ac:dyDescent="0.25">
      <c r="A76" s="9" t="s">
        <v>41</v>
      </c>
      <c r="B76" s="9" t="s">
        <v>994</v>
      </c>
      <c r="C76" s="9" t="s">
        <v>995</v>
      </c>
      <c r="D76" s="9" t="s">
        <v>1018</v>
      </c>
      <c r="E76" s="9" t="s">
        <v>1019</v>
      </c>
      <c r="F76" s="9" t="s">
        <v>1020</v>
      </c>
      <c r="G76" s="9" t="s">
        <v>1021</v>
      </c>
      <c r="L76" s="54">
        <f>$I$31*$L$31</f>
        <v>0</v>
      </c>
      <c r="M76" s="54">
        <f>$I$31*$M$31</f>
        <v>0</v>
      </c>
      <c r="N76" s="54">
        <f>$I$31*$N$31</f>
        <v>0</v>
      </c>
      <c r="O76" s="54">
        <f>$I$31*$O$31</f>
        <v>0</v>
      </c>
      <c r="P76" s="54">
        <f>$I$31*$P$31</f>
        <v>0</v>
      </c>
      <c r="Q76" s="54">
        <f>$I$31*$Q$31</f>
        <v>0</v>
      </c>
      <c r="R76" s="54">
        <f>$I$31*$R$31</f>
        <v>0</v>
      </c>
      <c r="S76" s="54">
        <f>$I$31*$S$31</f>
        <v>0</v>
      </c>
      <c r="T76" s="54">
        <f>$I$31*$T$31</f>
        <v>0</v>
      </c>
      <c r="U76" s="54">
        <f>$I$31*$U$31</f>
        <v>0</v>
      </c>
      <c r="V76" s="54">
        <f>$I$31*$V$31</f>
        <v>0</v>
      </c>
      <c r="X76" s="54">
        <f>$I$31*$X$31</f>
        <v>0</v>
      </c>
      <c r="Y76" s="54">
        <f>$I$31*$Y$31</f>
        <v>0</v>
      </c>
      <c r="Z76" s="54">
        <f>$I$31*$Z$31</f>
        <v>0</v>
      </c>
      <c r="AA76" s="54">
        <f>$I$31*$AA$31</f>
        <v>0</v>
      </c>
      <c r="AB76" s="54">
        <f>$I$31*$AB$31</f>
        <v>0</v>
      </c>
      <c r="AC76" s="54">
        <f>$I$31*$AC$31</f>
        <v>0</v>
      </c>
      <c r="AD76" s="54">
        <f>$I$31*$AD$31</f>
        <v>0</v>
      </c>
      <c r="AE76" s="54">
        <f>$I$31*$AE$31</f>
        <v>0</v>
      </c>
      <c r="AF76" s="54">
        <f>$I$31*$AF$31</f>
        <v>0</v>
      </c>
      <c r="AG76" s="54">
        <f>$I$31*$AG$31</f>
        <v>0</v>
      </c>
      <c r="AH76" s="54">
        <f>$I$31*$AH$31</f>
        <v>0</v>
      </c>
    </row>
    <row r="77" spans="1:34" ht="11.25" customHeight="1" x14ac:dyDescent="0.25">
      <c r="A77" s="9" t="s">
        <v>41</v>
      </c>
      <c r="B77" s="9" t="s">
        <v>994</v>
      </c>
      <c r="C77" s="9" t="s">
        <v>995</v>
      </c>
      <c r="D77" s="9" t="s">
        <v>1018</v>
      </c>
      <c r="E77" s="9" t="s">
        <v>1019</v>
      </c>
      <c r="F77" s="9" t="s">
        <v>1020</v>
      </c>
      <c r="G77" s="9" t="s">
        <v>1022</v>
      </c>
      <c r="L77" s="54">
        <f>$I$32*$L$32</f>
        <v>0</v>
      </c>
      <c r="M77" s="54">
        <f>$I$32*$M$32</f>
        <v>0</v>
      </c>
      <c r="N77" s="54">
        <f>$I$32*$N$32</f>
        <v>0</v>
      </c>
      <c r="O77" s="54">
        <f>$I$32*$O$32</f>
        <v>0</v>
      </c>
      <c r="P77" s="54">
        <f>$I$32*$P$32</f>
        <v>0</v>
      </c>
      <c r="Q77" s="54">
        <f>$I$32*$Q$32</f>
        <v>0</v>
      </c>
      <c r="R77" s="54">
        <f>$I$32*$R$32</f>
        <v>0</v>
      </c>
      <c r="S77" s="54">
        <f>$I$32*$S$32</f>
        <v>0</v>
      </c>
      <c r="T77" s="54">
        <f>$I$32*$T$32</f>
        <v>0</v>
      </c>
      <c r="U77" s="54">
        <f>$I$32*$U$32</f>
        <v>0</v>
      </c>
      <c r="V77" s="54">
        <f>$I$32*$V$32</f>
        <v>0</v>
      </c>
      <c r="X77" s="54">
        <f>$I$32*$X$32</f>
        <v>0</v>
      </c>
      <c r="Y77" s="54">
        <f>$I$32*$Y$32</f>
        <v>0</v>
      </c>
      <c r="Z77" s="54">
        <f>$I$32*$Z$32</f>
        <v>0</v>
      </c>
      <c r="AA77" s="54">
        <f>$I$32*$AA$32</f>
        <v>0</v>
      </c>
      <c r="AB77" s="54">
        <f>$I$32*$AB$32</f>
        <v>0</v>
      </c>
      <c r="AC77" s="54">
        <f>$I$32*$AC$32</f>
        <v>0</v>
      </c>
      <c r="AD77" s="54">
        <f>$I$32*$AD$32</f>
        <v>0</v>
      </c>
      <c r="AE77" s="54">
        <f>$I$32*$AE$32</f>
        <v>0</v>
      </c>
      <c r="AF77" s="54">
        <f>$I$32*$AF$32</f>
        <v>0</v>
      </c>
      <c r="AG77" s="54">
        <f>$I$32*$AG$32</f>
        <v>0</v>
      </c>
      <c r="AH77" s="54">
        <f>$I$32*$AH$32</f>
        <v>0</v>
      </c>
    </row>
    <row r="78" spans="1:34" ht="11.25" customHeight="1" x14ac:dyDescent="0.25">
      <c r="A78" s="9" t="s">
        <v>41</v>
      </c>
      <c r="B78" s="9" t="s">
        <v>994</v>
      </c>
      <c r="C78" s="9" t="s">
        <v>995</v>
      </c>
      <c r="D78" s="9" t="s">
        <v>1018</v>
      </c>
      <c r="E78" s="9" t="s">
        <v>1019</v>
      </c>
      <c r="F78" s="9" t="s">
        <v>1020</v>
      </c>
      <c r="G78" s="9" t="s">
        <v>1023</v>
      </c>
      <c r="L78" s="54">
        <f>$I$33*$L$33</f>
        <v>0</v>
      </c>
      <c r="M78" s="54">
        <f>$I$33*$M$33</f>
        <v>0</v>
      </c>
      <c r="N78" s="54">
        <f>$I$33*$N$33</f>
        <v>0</v>
      </c>
      <c r="O78" s="54">
        <f>$I$33*$O$33</f>
        <v>0</v>
      </c>
      <c r="P78" s="54">
        <f>$I$33*$P$33</f>
        <v>0</v>
      </c>
      <c r="Q78" s="54">
        <f>$I$33*$Q$33</f>
        <v>0</v>
      </c>
      <c r="R78" s="54">
        <f>$I$33*$R$33</f>
        <v>0</v>
      </c>
      <c r="S78" s="54">
        <f>$I$33*$S$33</f>
        <v>0</v>
      </c>
      <c r="T78" s="54">
        <f>$I$33*$T$33</f>
        <v>0</v>
      </c>
      <c r="U78" s="54">
        <f>$I$33*$U$33</f>
        <v>0</v>
      </c>
      <c r="V78" s="54">
        <f>$I$33*$V$33</f>
        <v>0</v>
      </c>
      <c r="X78" s="54">
        <f>$I$33*$X$33</f>
        <v>0</v>
      </c>
      <c r="Y78" s="54">
        <f>$I$33*$Y$33</f>
        <v>0</v>
      </c>
      <c r="Z78" s="54">
        <f>$I$33*$Z$33</f>
        <v>0</v>
      </c>
      <c r="AA78" s="54">
        <f>$I$33*$AA$33</f>
        <v>0</v>
      </c>
      <c r="AB78" s="54">
        <f>$I$33*$AB$33</f>
        <v>0</v>
      </c>
      <c r="AC78" s="54">
        <f>$I$33*$AC$33</f>
        <v>0</v>
      </c>
      <c r="AD78" s="54">
        <f>$I$33*$AD$33</f>
        <v>0</v>
      </c>
      <c r="AE78" s="54">
        <f>$I$33*$AE$33</f>
        <v>0</v>
      </c>
      <c r="AF78" s="54">
        <f>$I$33*$AF$33</f>
        <v>0</v>
      </c>
      <c r="AG78" s="54">
        <f>$I$33*$AG$33</f>
        <v>0</v>
      </c>
      <c r="AH78" s="54">
        <f>$I$33*$AH$33</f>
        <v>0</v>
      </c>
    </row>
    <row r="79" spans="1:34" ht="11.25" customHeight="1" x14ac:dyDescent="0.25">
      <c r="A79" s="9" t="s">
        <v>41</v>
      </c>
      <c r="B79" s="9" t="s">
        <v>1002</v>
      </c>
      <c r="C79" s="9" t="s">
        <v>1003</v>
      </c>
      <c r="D79" s="9" t="s">
        <v>1024</v>
      </c>
      <c r="E79" s="9" t="s">
        <v>1025</v>
      </c>
      <c r="F79" s="9" t="s">
        <v>1026</v>
      </c>
      <c r="G79" s="9" t="s">
        <v>1027</v>
      </c>
      <c r="L79" s="54">
        <f>$I$34*$L$34</f>
        <v>0</v>
      </c>
      <c r="M79" s="54">
        <f>$I$34*$M$34</f>
        <v>0</v>
      </c>
      <c r="N79" s="54">
        <f>$I$34*$N$34</f>
        <v>0</v>
      </c>
      <c r="O79" s="54">
        <f>$I$34*$O$34</f>
        <v>0</v>
      </c>
      <c r="P79" s="54">
        <f>$I$34*$P$34</f>
        <v>0</v>
      </c>
      <c r="Q79" s="54">
        <f>$I$34*$Q$34</f>
        <v>0</v>
      </c>
      <c r="R79" s="54">
        <f>$I$34*$R$34</f>
        <v>0</v>
      </c>
      <c r="S79" s="54">
        <f>$I$34*$S$34</f>
        <v>0</v>
      </c>
      <c r="T79" s="54">
        <f>$I$34*$T$34</f>
        <v>0</v>
      </c>
      <c r="U79" s="54">
        <f>$I$34*$U$34</f>
        <v>0</v>
      </c>
      <c r="V79" s="54">
        <f>$I$34*$V$34</f>
        <v>0</v>
      </c>
      <c r="X79" s="54">
        <f>$I$34*$X$34</f>
        <v>0</v>
      </c>
      <c r="Y79" s="54">
        <f>$I$34*$Y$34</f>
        <v>0</v>
      </c>
      <c r="Z79" s="54">
        <f>$I$34*$Z$34</f>
        <v>0</v>
      </c>
      <c r="AA79" s="54">
        <f>$I$34*$AA$34</f>
        <v>0</v>
      </c>
      <c r="AB79" s="54">
        <f>$I$34*$AB$34</f>
        <v>0</v>
      </c>
      <c r="AC79" s="54">
        <f>$I$34*$AC$34</f>
        <v>0</v>
      </c>
      <c r="AD79" s="54">
        <f>$I$34*$AD$34</f>
        <v>0</v>
      </c>
      <c r="AE79" s="54">
        <f>$I$34*$AE$34</f>
        <v>0</v>
      </c>
      <c r="AF79" s="54">
        <f>$I$34*$AF$34</f>
        <v>0</v>
      </c>
      <c r="AG79" s="54">
        <f>$I$34*$AG$34</f>
        <v>0</v>
      </c>
      <c r="AH79" s="54">
        <f>$I$34*$AH$34</f>
        <v>0</v>
      </c>
    </row>
    <row r="80" spans="1:34" ht="11.25" customHeight="1" x14ac:dyDescent="0.25">
      <c r="A80" s="9" t="s">
        <v>41</v>
      </c>
      <c r="B80" s="9" t="s">
        <v>1028</v>
      </c>
      <c r="C80" s="9" t="s">
        <v>1029</v>
      </c>
      <c r="D80" s="9" t="s">
        <v>1030</v>
      </c>
      <c r="E80" s="9" t="s">
        <v>1031</v>
      </c>
      <c r="F80" s="9" t="s">
        <v>1032</v>
      </c>
      <c r="G80" s="9" t="s">
        <v>1033</v>
      </c>
      <c r="L80" s="54">
        <f>$I$35*$L$35</f>
        <v>0</v>
      </c>
      <c r="M80" s="54">
        <f>$I$35*$M$35</f>
        <v>0</v>
      </c>
      <c r="N80" s="54">
        <f>$I$35*$N$35</f>
        <v>0</v>
      </c>
      <c r="O80" s="54">
        <f>$I$35*$O$35</f>
        <v>0</v>
      </c>
      <c r="P80" s="54">
        <f>$I$35*$P$35</f>
        <v>0</v>
      </c>
      <c r="Q80" s="54">
        <f>$I$35*$Q$35</f>
        <v>0</v>
      </c>
      <c r="R80" s="54">
        <f>$I$35*$R$35</f>
        <v>0</v>
      </c>
      <c r="S80" s="54">
        <f>$I$35*$S$35</f>
        <v>0</v>
      </c>
      <c r="T80" s="54">
        <f>$I$35*$T$35</f>
        <v>0</v>
      </c>
      <c r="U80" s="54">
        <f>$I$35*$U$35</f>
        <v>0</v>
      </c>
      <c r="V80" s="54">
        <f>$I$35*$V$35</f>
        <v>0</v>
      </c>
      <c r="X80" s="54">
        <f>$I$35*$X$35</f>
        <v>0</v>
      </c>
      <c r="Y80" s="54">
        <f>$I$35*$Y$35</f>
        <v>0</v>
      </c>
      <c r="Z80" s="54">
        <f>$I$35*$Z$35</f>
        <v>0</v>
      </c>
      <c r="AA80" s="54">
        <f>$I$35*$AA$35</f>
        <v>0</v>
      </c>
      <c r="AB80" s="54">
        <f>$I$35*$AB$35</f>
        <v>0</v>
      </c>
      <c r="AC80" s="54">
        <f>$I$35*$AC$35</f>
        <v>0</v>
      </c>
      <c r="AD80" s="54">
        <f>$I$35*$AD$35</f>
        <v>0</v>
      </c>
      <c r="AE80" s="54">
        <f>$I$35*$AE$35</f>
        <v>0</v>
      </c>
      <c r="AF80" s="54">
        <f>$I$35*$AF$35</f>
        <v>0</v>
      </c>
      <c r="AG80" s="54">
        <f>$I$35*$AG$35</f>
        <v>0</v>
      </c>
      <c r="AH80" s="54">
        <f>$I$35*$AH$35</f>
        <v>0</v>
      </c>
    </row>
    <row r="81" spans="1:34" ht="11.25" customHeight="1" x14ac:dyDescent="0.25">
      <c r="A81" s="9" t="s">
        <v>41</v>
      </c>
      <c r="B81" s="9" t="s">
        <v>1028</v>
      </c>
      <c r="C81" s="9" t="s">
        <v>1029</v>
      </c>
      <c r="D81" s="9" t="s">
        <v>1034</v>
      </c>
      <c r="E81" s="9" t="s">
        <v>1035</v>
      </c>
      <c r="F81" s="9" t="s">
        <v>1036</v>
      </c>
      <c r="G81" s="9" t="s">
        <v>1037</v>
      </c>
      <c r="L81" s="54">
        <f>$I$36*$L$36</f>
        <v>0</v>
      </c>
      <c r="M81" s="54">
        <f>$I$36*$M$36</f>
        <v>0</v>
      </c>
      <c r="N81" s="54">
        <f>$I$36*$N$36</f>
        <v>0</v>
      </c>
      <c r="O81" s="54">
        <f>$I$36*$O$36</f>
        <v>0</v>
      </c>
      <c r="P81" s="54">
        <f>$I$36*$P$36</f>
        <v>0</v>
      </c>
      <c r="Q81" s="54">
        <f>$I$36*$Q$36</f>
        <v>0</v>
      </c>
      <c r="R81" s="54">
        <f>$I$36*$R$36</f>
        <v>0</v>
      </c>
      <c r="S81" s="54">
        <f>$I$36*$S$36</f>
        <v>0</v>
      </c>
      <c r="T81" s="54">
        <f>$I$36*$T$36</f>
        <v>0</v>
      </c>
      <c r="U81" s="54">
        <f>$I$36*$U$36</f>
        <v>0</v>
      </c>
      <c r="V81" s="54">
        <f>$I$36*$V$36</f>
        <v>0</v>
      </c>
      <c r="X81" s="54">
        <f>$I$36*$X$36</f>
        <v>0</v>
      </c>
      <c r="Y81" s="54">
        <f>$I$36*$Y$36</f>
        <v>0</v>
      </c>
      <c r="Z81" s="54">
        <f>$I$36*$Z$36</f>
        <v>0</v>
      </c>
      <c r="AA81" s="54">
        <f>$I$36*$AA$36</f>
        <v>0</v>
      </c>
      <c r="AB81" s="54">
        <f>$I$36*$AB$36</f>
        <v>0</v>
      </c>
      <c r="AC81" s="54">
        <f>$I$36*$AC$36</f>
        <v>0</v>
      </c>
      <c r="AD81" s="54">
        <f>$I$36*$AD$36</f>
        <v>0</v>
      </c>
      <c r="AE81" s="54">
        <f>$I$36*$AE$36</f>
        <v>0</v>
      </c>
      <c r="AF81" s="54">
        <f>$I$36*$AF$36</f>
        <v>0</v>
      </c>
      <c r="AG81" s="54">
        <f>$I$36*$AG$36</f>
        <v>0</v>
      </c>
      <c r="AH81" s="54">
        <f>$I$36*$AH$36</f>
        <v>0</v>
      </c>
    </row>
    <row r="82" spans="1:34" ht="11.25" customHeight="1" x14ac:dyDescent="0.25">
      <c r="A82" s="9" t="s">
        <v>41</v>
      </c>
      <c r="B82" s="9" t="s">
        <v>1028</v>
      </c>
      <c r="C82" s="9" t="s">
        <v>1029</v>
      </c>
      <c r="D82" s="9" t="s">
        <v>1038</v>
      </c>
      <c r="E82" s="9" t="s">
        <v>1039</v>
      </c>
      <c r="F82" s="9" t="s">
        <v>1040</v>
      </c>
      <c r="G82" s="9" t="s">
        <v>1041</v>
      </c>
      <c r="L82" s="54">
        <f>$I$37*$L$37</f>
        <v>0</v>
      </c>
      <c r="M82" s="54">
        <f>$I$37*$M$37</f>
        <v>0</v>
      </c>
      <c r="N82" s="54">
        <f>$I$37*$N$37</f>
        <v>0</v>
      </c>
      <c r="O82" s="54">
        <f>$I$37*$O$37</f>
        <v>0</v>
      </c>
      <c r="P82" s="54">
        <f>$I$37*$P$37</f>
        <v>0</v>
      </c>
      <c r="Q82" s="54">
        <f>$I$37*$Q$37</f>
        <v>0</v>
      </c>
      <c r="R82" s="54">
        <f>$I$37*$R$37</f>
        <v>0</v>
      </c>
      <c r="S82" s="54">
        <f>$I$37*$S$37</f>
        <v>0</v>
      </c>
      <c r="T82" s="54">
        <f>$I$37*$T$37</f>
        <v>0</v>
      </c>
      <c r="U82" s="54">
        <f>$I$37*$U$37</f>
        <v>0</v>
      </c>
      <c r="V82" s="54">
        <f>$I$37*$V$37</f>
        <v>0</v>
      </c>
      <c r="X82" s="54">
        <f>$I$37*$X$37</f>
        <v>0</v>
      </c>
      <c r="Y82" s="54">
        <f>$I$37*$Y$37</f>
        <v>0</v>
      </c>
      <c r="Z82" s="54">
        <f>$I$37*$Z$37</f>
        <v>0</v>
      </c>
      <c r="AA82" s="54">
        <f>$I$37*$AA$37</f>
        <v>0</v>
      </c>
      <c r="AB82" s="54">
        <f>$I$37*$AB$37</f>
        <v>0</v>
      </c>
      <c r="AC82" s="54">
        <f>$I$37*$AC$37</f>
        <v>0</v>
      </c>
      <c r="AD82" s="54">
        <f>$I$37*$AD$37</f>
        <v>0</v>
      </c>
      <c r="AE82" s="54">
        <f>$I$37*$AE$37</f>
        <v>0</v>
      </c>
      <c r="AF82" s="54">
        <f>$I$37*$AF$37</f>
        <v>0</v>
      </c>
      <c r="AG82" s="54">
        <f>$I$37*$AG$37</f>
        <v>0</v>
      </c>
      <c r="AH82" s="54">
        <f>$I$37*$AH$37</f>
        <v>0</v>
      </c>
    </row>
    <row r="83" spans="1:34" ht="11.25" customHeight="1" x14ac:dyDescent="0.25">
      <c r="A83" s="9" t="s">
        <v>33</v>
      </c>
      <c r="B83" s="9" t="s">
        <v>1042</v>
      </c>
      <c r="C83" s="9" t="s">
        <v>1043</v>
      </c>
      <c r="D83" s="9" t="s">
        <v>1044</v>
      </c>
      <c r="E83" s="9" t="s">
        <v>1045</v>
      </c>
      <c r="F83" s="9" t="s">
        <v>1046</v>
      </c>
      <c r="G83" s="9" t="s">
        <v>1047</v>
      </c>
      <c r="L83" s="54">
        <f>$I$38*$L$38</f>
        <v>0</v>
      </c>
      <c r="M83" s="54">
        <f>$I$38*$M$38</f>
        <v>0</v>
      </c>
      <c r="N83" s="54">
        <f>$I$38*$N$38</f>
        <v>0</v>
      </c>
      <c r="O83" s="54">
        <f>$I$38*$O$38</f>
        <v>0</v>
      </c>
      <c r="P83" s="54">
        <f>$I$38*$P$38</f>
        <v>0</v>
      </c>
      <c r="Q83" s="54">
        <f>$I$38*$Q$38</f>
        <v>0</v>
      </c>
      <c r="R83" s="54">
        <f>$I$38*$R$38</f>
        <v>0</v>
      </c>
      <c r="S83" s="54">
        <f>$I$38*$S$38</f>
        <v>0</v>
      </c>
      <c r="T83" s="54">
        <f>$I$38*$T$38</f>
        <v>0</v>
      </c>
      <c r="U83" s="54">
        <f>$I$38*$U$38</f>
        <v>0</v>
      </c>
      <c r="V83" s="54">
        <f>$I$38*$V$38</f>
        <v>0</v>
      </c>
      <c r="X83" s="54">
        <f>$I$38*$X$38</f>
        <v>0</v>
      </c>
      <c r="Y83" s="54">
        <f>$I$38*$Y$38</f>
        <v>0</v>
      </c>
      <c r="Z83" s="54">
        <f>$I$38*$Z$38</f>
        <v>0</v>
      </c>
      <c r="AA83" s="54">
        <f>$I$38*$AA$38</f>
        <v>0</v>
      </c>
      <c r="AB83" s="54">
        <f>$I$38*$AB$38</f>
        <v>0</v>
      </c>
      <c r="AC83" s="54">
        <f>$I$38*$AC$38</f>
        <v>0</v>
      </c>
      <c r="AD83" s="54">
        <f>$I$38*$AD$38</f>
        <v>0</v>
      </c>
      <c r="AE83" s="54">
        <f>$I$38*$AE$38</f>
        <v>0</v>
      </c>
      <c r="AF83" s="54">
        <f>$I$38*$AF$38</f>
        <v>0</v>
      </c>
      <c r="AG83" s="54">
        <f>$I$38*$AG$38</f>
        <v>0</v>
      </c>
      <c r="AH83" s="54">
        <f>$I$38*$AH$38</f>
        <v>0</v>
      </c>
    </row>
    <row r="84" spans="1:34" ht="11.25" customHeight="1" x14ac:dyDescent="0.25">
      <c r="A84" s="9" t="s">
        <v>33</v>
      </c>
      <c r="B84" s="9" t="s">
        <v>1042</v>
      </c>
      <c r="C84" s="9" t="s">
        <v>1043</v>
      </c>
      <c r="D84" s="9" t="s">
        <v>1044</v>
      </c>
      <c r="E84" s="9" t="s">
        <v>1045</v>
      </c>
      <c r="F84" s="9" t="s">
        <v>1046</v>
      </c>
      <c r="G84" s="9" t="s">
        <v>1048</v>
      </c>
      <c r="L84" s="54">
        <f>$I$39*$L$39</f>
        <v>0</v>
      </c>
      <c r="M84" s="54">
        <f>$I$39*$M$39</f>
        <v>0</v>
      </c>
      <c r="N84" s="54">
        <f>$I$39*$N$39</f>
        <v>0</v>
      </c>
      <c r="O84" s="54">
        <f>$I$39*$O$39</f>
        <v>0</v>
      </c>
      <c r="P84" s="54">
        <f>$I$39*$P$39</f>
        <v>0</v>
      </c>
      <c r="Q84" s="54">
        <f>$I$39*$Q$39</f>
        <v>0</v>
      </c>
      <c r="R84" s="54">
        <f>$I$39*$R$39</f>
        <v>0</v>
      </c>
      <c r="S84" s="54">
        <f>$I$39*$S$39</f>
        <v>0</v>
      </c>
      <c r="T84" s="54">
        <f>$I$39*$T$39</f>
        <v>0</v>
      </c>
      <c r="U84" s="54">
        <f>$I$39*$U$39</f>
        <v>0</v>
      </c>
      <c r="V84" s="54">
        <f>$I$39*$V$39</f>
        <v>0</v>
      </c>
      <c r="X84" s="54">
        <f>$I$39*$X$39</f>
        <v>0</v>
      </c>
      <c r="Y84" s="54">
        <f>$I$39*$Y$39</f>
        <v>0</v>
      </c>
      <c r="Z84" s="54">
        <f>$I$39*$Z$39</f>
        <v>0</v>
      </c>
      <c r="AA84" s="54">
        <f>$I$39*$AA$39</f>
        <v>0</v>
      </c>
      <c r="AB84" s="54">
        <f>$I$39*$AB$39</f>
        <v>0</v>
      </c>
      <c r="AC84" s="54">
        <f>$I$39*$AC$39</f>
        <v>0</v>
      </c>
      <c r="AD84" s="54">
        <f>$I$39*$AD$39</f>
        <v>0</v>
      </c>
      <c r="AE84" s="54">
        <f>$I$39*$AE$39</f>
        <v>0</v>
      </c>
      <c r="AF84" s="54">
        <f>$I$39*$AF$39</f>
        <v>0</v>
      </c>
      <c r="AG84" s="54">
        <f>$I$39*$AG$39</f>
        <v>0</v>
      </c>
      <c r="AH84" s="54">
        <f>$I$39*$AH$39</f>
        <v>0</v>
      </c>
    </row>
    <row r="85" spans="1:34" ht="11.25" customHeight="1" x14ac:dyDescent="0.25">
      <c r="A85" s="9" t="s">
        <v>33</v>
      </c>
      <c r="B85" s="9" t="s">
        <v>1042</v>
      </c>
      <c r="C85" s="9" t="s">
        <v>1043</v>
      </c>
      <c r="D85" s="9" t="s">
        <v>1044</v>
      </c>
      <c r="E85" s="9" t="s">
        <v>1045</v>
      </c>
      <c r="F85" s="9" t="s">
        <v>1046</v>
      </c>
      <c r="G85" s="9" t="s">
        <v>1049</v>
      </c>
      <c r="L85" s="54">
        <f>$I$40*$L$40</f>
        <v>0</v>
      </c>
      <c r="M85" s="54">
        <f>$I$40*$M$40</f>
        <v>0</v>
      </c>
      <c r="N85" s="54">
        <f>$I$40*$N$40</f>
        <v>0</v>
      </c>
      <c r="O85" s="54">
        <f>$I$40*$O$40</f>
        <v>0</v>
      </c>
      <c r="P85" s="54">
        <f>$I$40*$P$40</f>
        <v>0</v>
      </c>
      <c r="Q85" s="54">
        <f>$I$40*$Q$40</f>
        <v>0</v>
      </c>
      <c r="R85" s="54">
        <f>$I$40*$R$40</f>
        <v>0</v>
      </c>
      <c r="S85" s="54">
        <f>$I$40*$S$40</f>
        <v>0</v>
      </c>
      <c r="T85" s="54">
        <f>$I$40*$T$40</f>
        <v>0</v>
      </c>
      <c r="U85" s="54">
        <f>$I$40*$U$40</f>
        <v>0</v>
      </c>
      <c r="V85" s="54">
        <f>$I$40*$V$40</f>
        <v>0</v>
      </c>
      <c r="X85" s="54">
        <f>$I$40*$X$40</f>
        <v>0</v>
      </c>
      <c r="Y85" s="54">
        <f>$I$40*$Y$40</f>
        <v>0</v>
      </c>
      <c r="Z85" s="54">
        <f>$I$40*$Z$40</f>
        <v>0</v>
      </c>
      <c r="AA85" s="54">
        <f>$I$40*$AA$40</f>
        <v>0</v>
      </c>
      <c r="AB85" s="54">
        <f>$I$40*$AB$40</f>
        <v>0</v>
      </c>
      <c r="AC85" s="54">
        <f>$I$40*$AC$40</f>
        <v>0</v>
      </c>
      <c r="AD85" s="54">
        <f>$I$40*$AD$40</f>
        <v>0</v>
      </c>
      <c r="AE85" s="54">
        <f>$I$40*$AE$40</f>
        <v>0</v>
      </c>
      <c r="AF85" s="54">
        <f>$I$40*$AF$40</f>
        <v>0</v>
      </c>
      <c r="AG85" s="54">
        <f>$I$40*$AG$40</f>
        <v>0</v>
      </c>
      <c r="AH85" s="54">
        <f>$I$40*$AH$40</f>
        <v>0</v>
      </c>
    </row>
    <row r="86" spans="1:34" ht="11.25" customHeight="1" x14ac:dyDescent="0.25">
      <c r="A86" s="9" t="s">
        <v>33</v>
      </c>
      <c r="B86" s="9" t="s">
        <v>1050</v>
      </c>
      <c r="C86" s="9" t="s">
        <v>1051</v>
      </c>
      <c r="D86" s="9" t="s">
        <v>1052</v>
      </c>
      <c r="E86" s="9" t="s">
        <v>1053</v>
      </c>
      <c r="F86" s="9" t="s">
        <v>1054</v>
      </c>
      <c r="G86" s="9" t="s">
        <v>1055</v>
      </c>
      <c r="L86" s="54">
        <f>$I$41*$L$41</f>
        <v>0</v>
      </c>
      <c r="M86" s="54">
        <f>$I$41*$M$41</f>
        <v>1120755.1319362004</v>
      </c>
      <c r="N86" s="54">
        <f>$I$41*$N$41</f>
        <v>0</v>
      </c>
      <c r="O86" s="54">
        <f>$I$41*$O$41</f>
        <v>0</v>
      </c>
      <c r="P86" s="54">
        <f>$I$41*$P$41</f>
        <v>-438565.48593056254</v>
      </c>
      <c r="Q86" s="54">
        <f>$I$41*$Q$41</f>
        <v>4885428.9790628999</v>
      </c>
      <c r="R86" s="54">
        <f>$I$41*$R$41</f>
        <v>0</v>
      </c>
      <c r="S86" s="54">
        <f>$I$41*$S$41</f>
        <v>0</v>
      </c>
      <c r="T86" s="54">
        <f>$I$41*$T$41</f>
        <v>0</v>
      </c>
      <c r="U86" s="54">
        <f>$I$41*$U$41</f>
        <v>-15919.598511075666</v>
      </c>
      <c r="V86" s="54">
        <f>$I$41*$V$41</f>
        <v>125538.37373652877</v>
      </c>
      <c r="X86" s="54">
        <f>$I$41*$X$41</f>
        <v>0</v>
      </c>
      <c r="Y86" s="54">
        <f>$I$41*$Y$41</f>
        <v>237137.70921089884</v>
      </c>
      <c r="Z86" s="54">
        <f>$I$41*$Z$41</f>
        <v>0</v>
      </c>
      <c r="AA86" s="54">
        <f>$I$41*$AA$41</f>
        <v>0</v>
      </c>
      <c r="AB86" s="54">
        <f>$I$41*$AB$41</f>
        <v>0</v>
      </c>
      <c r="AC86" s="54">
        <f>$I$41*$AC$41</f>
        <v>4990961.2804359216</v>
      </c>
      <c r="AD86" s="54">
        <f>$I$41*$AD$41</f>
        <v>0</v>
      </c>
      <c r="AE86" s="54">
        <f>$I$41*$AE$41</f>
        <v>0</v>
      </c>
      <c r="AF86" s="54">
        <f>$I$41*$AF$41</f>
        <v>0</v>
      </c>
      <c r="AG86" s="54">
        <f>$I$41*$AG$41</f>
        <v>-63971.874044971592</v>
      </c>
      <c r="AH86" s="54">
        <f>$I$41*$AH$41</f>
        <v>140574.88170918895</v>
      </c>
    </row>
    <row r="87" spans="1:34" ht="11.25" customHeight="1" x14ac:dyDescent="0.25">
      <c r="A87" s="9" t="s">
        <v>33</v>
      </c>
      <c r="B87" s="9" t="s">
        <v>1056</v>
      </c>
      <c r="C87" s="9" t="s">
        <v>1057</v>
      </c>
      <c r="D87" s="9" t="s">
        <v>1058</v>
      </c>
      <c r="E87" s="9" t="s">
        <v>1059</v>
      </c>
      <c r="F87" s="9" t="s">
        <v>1060</v>
      </c>
      <c r="G87" s="9" t="s">
        <v>1061</v>
      </c>
      <c r="L87" s="54">
        <f>$I$42*$L$42</f>
        <v>0</v>
      </c>
      <c r="M87" s="54">
        <f>$I$42*$M$42</f>
        <v>0</v>
      </c>
      <c r="N87" s="54">
        <f>$I$42*$N$42</f>
        <v>0</v>
      </c>
      <c r="O87" s="54">
        <f>$I$42*$O$42</f>
        <v>0</v>
      </c>
      <c r="P87" s="54">
        <f>$I$42*$P$42</f>
        <v>0</v>
      </c>
      <c r="Q87" s="54">
        <f>$I$42*$Q$42</f>
        <v>0</v>
      </c>
      <c r="R87" s="54">
        <f>$I$42*$R$42</f>
        <v>0</v>
      </c>
      <c r="S87" s="54">
        <f>$I$42*$S$42</f>
        <v>0</v>
      </c>
      <c r="T87" s="54">
        <f>$I$42*$T$42</f>
        <v>0</v>
      </c>
      <c r="U87" s="54">
        <f>$I$42*$U$42</f>
        <v>0</v>
      </c>
      <c r="V87" s="54">
        <f>$I$42*$V$42</f>
        <v>0</v>
      </c>
      <c r="X87" s="54">
        <f>$I$42*$X$42</f>
        <v>0</v>
      </c>
      <c r="Y87" s="54">
        <f>$I$42*$Y$42</f>
        <v>0</v>
      </c>
      <c r="Z87" s="54">
        <f>$I$42*$Z$42</f>
        <v>0</v>
      </c>
      <c r="AA87" s="54">
        <f>$I$42*$AA$42</f>
        <v>0</v>
      </c>
      <c r="AB87" s="54">
        <f>$I$42*$AB$42</f>
        <v>0</v>
      </c>
      <c r="AC87" s="54">
        <f>$I$42*$AC$42</f>
        <v>0</v>
      </c>
      <c r="AD87" s="54">
        <f>$I$42*$AD$42</f>
        <v>0</v>
      </c>
      <c r="AE87" s="54">
        <f>$I$42*$AE$42</f>
        <v>0</v>
      </c>
      <c r="AF87" s="54">
        <f>$I$42*$AF$42</f>
        <v>0</v>
      </c>
      <c r="AG87" s="54">
        <f>$I$42*$AG$42</f>
        <v>0</v>
      </c>
      <c r="AH87" s="54">
        <f>$I$42*$AH$42</f>
        <v>0</v>
      </c>
    </row>
    <row r="88" spans="1:34" ht="11.25" customHeight="1" x14ac:dyDescent="0.25">
      <c r="A88" s="9" t="s">
        <v>44</v>
      </c>
      <c r="B88" s="9" t="s">
        <v>1062</v>
      </c>
      <c r="C88" s="9" t="s">
        <v>1063</v>
      </c>
      <c r="D88" s="9" t="s">
        <v>1064</v>
      </c>
      <c r="E88" s="9" t="s">
        <v>1065</v>
      </c>
      <c r="F88" s="9" t="s">
        <v>1066</v>
      </c>
      <c r="G88" s="9" t="s">
        <v>1067</v>
      </c>
      <c r="L88" s="54">
        <f>$I$43*$L$43</f>
        <v>0</v>
      </c>
      <c r="M88" s="54">
        <f>$I$43*$M$43</f>
        <v>142792.75930580223</v>
      </c>
      <c r="N88" s="54">
        <f>$I$43*$N$43</f>
        <v>0</v>
      </c>
      <c r="O88" s="54">
        <f>$I$43*$O$43</f>
        <v>0</v>
      </c>
      <c r="P88" s="54">
        <f>$I$43*$P$43</f>
        <v>-55876.590780473816</v>
      </c>
      <c r="Q88" s="54">
        <f>$I$43*$Q$43</f>
        <v>622440.94578246493</v>
      </c>
      <c r="R88" s="54">
        <f>$I$43*$R$43</f>
        <v>0</v>
      </c>
      <c r="S88" s="54">
        <f>$I$43*$S$43</f>
        <v>0</v>
      </c>
      <c r="T88" s="54">
        <f>$I$43*$T$43</f>
        <v>0</v>
      </c>
      <c r="U88" s="54">
        <f>$I$43*$U$43</f>
        <v>-2028.2783755893956</v>
      </c>
      <c r="V88" s="54">
        <f>$I$43*$V$43</f>
        <v>15994.547135049337</v>
      </c>
      <c r="X88" s="54">
        <f>$I$43*$X$43</f>
        <v>0</v>
      </c>
      <c r="Y88" s="54">
        <f>$I$43*$Y$43</f>
        <v>30213.154389204057</v>
      </c>
      <c r="Z88" s="54">
        <f>$I$43*$Z$43</f>
        <v>0</v>
      </c>
      <c r="AA88" s="54">
        <f>$I$43*$AA$43</f>
        <v>0</v>
      </c>
      <c r="AB88" s="54">
        <f>$I$43*$AB$43</f>
        <v>0</v>
      </c>
      <c r="AC88" s="54">
        <f>$I$43*$AC$43</f>
        <v>635886.56657825015</v>
      </c>
      <c r="AD88" s="54">
        <f>$I$43*$AD$43</f>
        <v>0</v>
      </c>
      <c r="AE88" s="54">
        <f>$I$43*$AE$43</f>
        <v>0</v>
      </c>
      <c r="AF88" s="54">
        <f>$I$43*$AF$43</f>
        <v>0</v>
      </c>
      <c r="AG88" s="54">
        <f>$I$43*$AG$43</f>
        <v>-8150.5050947780828</v>
      </c>
      <c r="AH88" s="54">
        <f>$I$43*$AH$43</f>
        <v>17910.313034805258</v>
      </c>
    </row>
    <row r="89" spans="1:34" ht="11.25" customHeight="1" x14ac:dyDescent="0.25">
      <c r="A89" s="9" t="s">
        <v>44</v>
      </c>
      <c r="B89" s="9" t="s">
        <v>1062</v>
      </c>
      <c r="C89" s="9" t="s">
        <v>1063</v>
      </c>
      <c r="D89" s="9" t="s">
        <v>1068</v>
      </c>
      <c r="E89" s="9" t="s">
        <v>1069</v>
      </c>
      <c r="F89" s="9" t="s">
        <v>1070</v>
      </c>
      <c r="G89" s="9" t="s">
        <v>1071</v>
      </c>
      <c r="L89" s="54">
        <f>$I$44*$L$44</f>
        <v>0</v>
      </c>
      <c r="M89" s="54">
        <f>$I$44*$M$44</f>
        <v>0</v>
      </c>
      <c r="N89" s="54">
        <f>$I$44*$N$44</f>
        <v>0</v>
      </c>
      <c r="O89" s="54">
        <f>$I$44*$O$44</f>
        <v>0</v>
      </c>
      <c r="P89" s="54">
        <f>$I$44*$P$44</f>
        <v>0</v>
      </c>
      <c r="Q89" s="54">
        <f>$I$44*$Q$44</f>
        <v>0</v>
      </c>
      <c r="R89" s="54">
        <f>$I$44*$R$44</f>
        <v>0</v>
      </c>
      <c r="S89" s="54">
        <f>$I$44*$S$44</f>
        <v>0</v>
      </c>
      <c r="T89" s="54">
        <f>$I$44*$T$44</f>
        <v>0</v>
      </c>
      <c r="U89" s="54">
        <f>$I$44*$U$44</f>
        <v>0</v>
      </c>
      <c r="V89" s="54">
        <f>$I$44*$V$44</f>
        <v>0</v>
      </c>
      <c r="X89" s="54">
        <f>$I$44*$X$44</f>
        <v>0</v>
      </c>
      <c r="Y89" s="54">
        <f>$I$44*$Y$44</f>
        <v>0</v>
      </c>
      <c r="Z89" s="54">
        <f>$I$44*$Z$44</f>
        <v>0</v>
      </c>
      <c r="AA89" s="54">
        <f>$I$44*$AA$44</f>
        <v>0</v>
      </c>
      <c r="AB89" s="54">
        <f>$I$44*$AB$44</f>
        <v>0</v>
      </c>
      <c r="AC89" s="54">
        <f>$I$44*$AC$44</f>
        <v>0</v>
      </c>
      <c r="AD89" s="54">
        <f>$I$44*$AD$44</f>
        <v>0</v>
      </c>
      <c r="AE89" s="54">
        <f>$I$44*$AE$44</f>
        <v>0</v>
      </c>
      <c r="AF89" s="54">
        <f>$I$44*$AF$44</f>
        <v>0</v>
      </c>
      <c r="AG89" s="54">
        <f>$I$44*$AG$44</f>
        <v>0</v>
      </c>
      <c r="AH89" s="54">
        <f>$I$44*$AH$44</f>
        <v>0</v>
      </c>
    </row>
  </sheetData>
  <mergeCells count="75">
    <mergeCell ref="L46:V46"/>
    <mergeCell ref="X46:AH46"/>
    <mergeCell ref="L47:V47"/>
    <mergeCell ref="X47:AH47"/>
    <mergeCell ref="L48:P48"/>
    <mergeCell ref="R48:T48"/>
    <mergeCell ref="X48:AB48"/>
    <mergeCell ref="AD48:AF48"/>
    <mergeCell ref="E38:E40"/>
    <mergeCell ref="F38:F40"/>
    <mergeCell ref="A43:A44"/>
    <mergeCell ref="B43:B44"/>
    <mergeCell ref="C43:C44"/>
    <mergeCell ref="A38:A42"/>
    <mergeCell ref="B38:B40"/>
    <mergeCell ref="C38:C40"/>
    <mergeCell ref="D38:D40"/>
    <mergeCell ref="X1:AH1"/>
    <mergeCell ref="X2:AH2"/>
    <mergeCell ref="X3:AB3"/>
    <mergeCell ref="AD3:AF3"/>
    <mergeCell ref="B35:B37"/>
    <mergeCell ref="C35:C37"/>
    <mergeCell ref="F27:F29"/>
    <mergeCell ref="B31:B33"/>
    <mergeCell ref="C31:C33"/>
    <mergeCell ref="D31:D33"/>
    <mergeCell ref="E31:E33"/>
    <mergeCell ref="F31:F33"/>
    <mergeCell ref="F23:F25"/>
    <mergeCell ref="F10:F12"/>
    <mergeCell ref="F7:F8"/>
    <mergeCell ref="F5:F6"/>
    <mergeCell ref="A23:A37"/>
    <mergeCell ref="B23:B25"/>
    <mergeCell ref="C23:C25"/>
    <mergeCell ref="D23:D25"/>
    <mergeCell ref="E23:E25"/>
    <mergeCell ref="B27:B29"/>
    <mergeCell ref="C27:C29"/>
    <mergeCell ref="D27:D29"/>
    <mergeCell ref="E27:E29"/>
    <mergeCell ref="A10:A22"/>
    <mergeCell ref="B10:B12"/>
    <mergeCell ref="C10:C12"/>
    <mergeCell ref="D10:D12"/>
    <mergeCell ref="E10:E12"/>
    <mergeCell ref="B13:B17"/>
    <mergeCell ref="C13:C17"/>
    <mergeCell ref="B18:B22"/>
    <mergeCell ref="C18:C22"/>
    <mergeCell ref="A7:A9"/>
    <mergeCell ref="B7:B8"/>
    <mergeCell ref="C7:C8"/>
    <mergeCell ref="D7:D8"/>
    <mergeCell ref="E7:E8"/>
    <mergeCell ref="A5:A6"/>
    <mergeCell ref="B5:B6"/>
    <mergeCell ref="C5:C6"/>
    <mergeCell ref="D5:D6"/>
    <mergeCell ref="E5:E6"/>
    <mergeCell ref="G1:G4"/>
    <mergeCell ref="H1:H4"/>
    <mergeCell ref="I1:I4"/>
    <mergeCell ref="J1:J4"/>
    <mergeCell ref="L1:V1"/>
    <mergeCell ref="L2:V2"/>
    <mergeCell ref="L3:P3"/>
    <mergeCell ref="R3:T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F789C-58C6-4E2C-9B10-2F09CF992899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2.42578125" style="14" bestFit="1" customWidth="1"/>
    <col min="3" max="6" width="10.28515625" style="14" bestFit="1" customWidth="1"/>
    <col min="7" max="7" width="10.85546875" style="14" bestFit="1" customWidth="1"/>
    <col min="8" max="8" width="10" style="14" bestFit="1" customWidth="1"/>
    <col min="9" max="9" width="8" style="14" bestFit="1" customWidth="1"/>
    <col min="10" max="12" width="10" style="14" bestFit="1" customWidth="1"/>
    <col min="13" max="13" width="9.7109375" style="14" bestFit="1" customWidth="1"/>
    <col min="14" max="14" width="10.85546875" style="14" bestFit="1" customWidth="1"/>
    <col min="15" max="15" width="7.42578125" style="14" bestFit="1" customWidth="1"/>
    <col min="16" max="16" width="9.7109375" style="14" bestFit="1" customWidth="1"/>
    <col min="17" max="17" width="11" style="14" bestFit="1" customWidth="1"/>
    <col min="18" max="18" width="9.28515625" style="14" bestFit="1" customWidth="1"/>
    <col min="19" max="19" width="7.140625" style="14" bestFit="1" customWidth="1"/>
    <col min="20" max="20" width="14.5703125" style="14" bestFit="1" customWidth="1"/>
    <col min="21" max="21" width="17.7109375" style="14" bestFit="1" customWidth="1"/>
    <col min="22" max="22" width="18.42578125" style="14" bestFit="1" customWidth="1"/>
    <col min="23" max="23" width="6" style="14" bestFit="1" customWidth="1"/>
    <col min="24" max="24" width="11.7109375" style="14" bestFit="1" customWidth="1"/>
    <col min="25" max="26" width="9.140625" style="14"/>
    <col min="27" max="27" width="3" style="14" bestFit="1" customWidth="1"/>
    <col min="28" max="28" width="21.57031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72</v>
      </c>
      <c r="B1" s="14" t="s">
        <v>73</v>
      </c>
      <c r="C1" s="14" t="s">
        <v>74</v>
      </c>
      <c r="D1" s="14" t="s">
        <v>75</v>
      </c>
      <c r="E1" s="14" t="s">
        <v>76</v>
      </c>
      <c r="F1" s="14" t="s">
        <v>15</v>
      </c>
      <c r="G1" s="14" t="s">
        <v>78</v>
      </c>
      <c r="I1" s="14" t="s">
        <v>1079</v>
      </c>
      <c r="AA1" s="14" t="s">
        <v>53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53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4" t="s">
        <v>35</v>
      </c>
      <c r="AB2" s="14" t="s">
        <v>36</v>
      </c>
      <c r="AC2" s="14" t="s">
        <v>24</v>
      </c>
      <c r="AD2" s="14" t="s">
        <v>24</v>
      </c>
      <c r="AE2" s="14" t="s">
        <v>89</v>
      </c>
      <c r="AG2" s="14" t="s">
        <v>86</v>
      </c>
    </row>
    <row r="3" spans="1:33" x14ac:dyDescent="0.2">
      <c r="AA3" s="14" t="s">
        <v>91</v>
      </c>
      <c r="AB3" s="14" t="s">
        <v>56</v>
      </c>
      <c r="AC3" s="14" t="s">
        <v>42</v>
      </c>
      <c r="AD3" s="14" t="s">
        <v>29</v>
      </c>
      <c r="AE3" s="14" t="s">
        <v>92</v>
      </c>
      <c r="AG3" s="14" t="s">
        <v>87</v>
      </c>
    </row>
    <row r="4" spans="1:33" x14ac:dyDescent="0.2">
      <c r="AA4" s="14" t="s">
        <v>22</v>
      </c>
      <c r="AB4" s="14" t="s">
        <v>39</v>
      </c>
      <c r="AC4" s="14" t="s">
        <v>45</v>
      </c>
      <c r="AD4" s="14" t="s">
        <v>30</v>
      </c>
      <c r="AE4" s="14" t="s">
        <v>93</v>
      </c>
      <c r="AG4" s="14" t="s">
        <v>88</v>
      </c>
    </row>
    <row r="5" spans="1:33" x14ac:dyDescent="0.2">
      <c r="A5" s="14" t="s">
        <v>1072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482</v>
      </c>
      <c r="AA5" s="14" t="s">
        <v>41</v>
      </c>
      <c r="AB5" s="14" t="s">
        <v>95</v>
      </c>
      <c r="AD5" s="14" t="s">
        <v>31</v>
      </c>
      <c r="AG5" s="14" t="s">
        <v>9</v>
      </c>
    </row>
    <row r="6" spans="1:33" x14ac:dyDescent="0.2">
      <c r="A6" s="14" t="s">
        <v>1073</v>
      </c>
      <c r="B6" s="18">
        <f>SUM(TUSD!$AI$61:'TUSD'!$AI$111)</f>
        <v>0</v>
      </c>
      <c r="C6" s="18">
        <f>SUM(TUSD!$AJ$61:'TUSD'!$AJ$111)</f>
        <v>563431.86128897965</v>
      </c>
      <c r="D6" s="18">
        <f>SUM(TUSD!$AK$61:'TUSD'!$AK$111)</f>
        <v>0</v>
      </c>
      <c r="E6" s="18">
        <f>SUM(TUSD!$AL$61:'TUSD'!$AL$111)</f>
        <v>0</v>
      </c>
      <c r="F6" s="18">
        <f>SUM(TUSD!$AM$61:'TUSD'!$AM$111)</f>
        <v>0</v>
      </c>
      <c r="G6" s="18">
        <f>SUM(TUSD!$AN$61:'TUSD'!$AN$111)</f>
        <v>26760649.935962874</v>
      </c>
      <c r="H6" s="18">
        <f>SUM(TUSD!$AO$61:'TUSD'!$AO$111)</f>
        <v>4502197.8540524384</v>
      </c>
      <c r="I6" s="18">
        <f>SUM(TUSD!$AP$61:'TUSD'!$AP$111)</f>
        <v>0</v>
      </c>
      <c r="J6" s="18">
        <f>SUM(TUSD!$AQ$61:'TUSD'!$AQ$111)</f>
        <v>4507471.2430168847</v>
      </c>
      <c r="K6" s="18">
        <f>SUM(TUSD!$AR$61:'TUSD'!$AR$111)</f>
        <v>3505164.0876253499</v>
      </c>
      <c r="L6" s="18">
        <f>SUM(TUSD!$AS$61:'TUSD'!$AS$111)</f>
        <v>261373.86374925124</v>
      </c>
      <c r="M6" s="18">
        <f>SUM(TUSD!$AT$61:'TUSD'!$AT$111)</f>
        <v>0</v>
      </c>
      <c r="N6" s="18">
        <f>SUM(TUSD!$AU$61:'TUSD'!$AU$111)</f>
        <v>33452101.226849422</v>
      </c>
      <c r="O6" s="18">
        <f>SUM(TUSD!$AV$61:'TUSD'!$AV$111)</f>
        <v>0</v>
      </c>
      <c r="P6" s="18">
        <f>SUM(TUSD!$AW$61:'TUSD'!$AW$111)</f>
        <v>0</v>
      </c>
      <c r="Q6" s="18">
        <f>SUM(TUSD!$AX$61:'TUSD'!$AX$111)</f>
        <v>50315072.641656831</v>
      </c>
      <c r="R6" s="18">
        <f>SUM(TUSD!$AY$61:'TUSD'!$AY$111)</f>
        <v>-2616483.3225369267</v>
      </c>
      <c r="S6" s="18">
        <f>SUM(TUSD!$AZ$61:'TUSD'!$AZ$111)</f>
        <v>0</v>
      </c>
      <c r="T6" s="18">
        <f>SUM(TUSD!$BA$61:'TUSD'!$BA$111)</f>
        <v>6043669.4536056966</v>
      </c>
      <c r="U6" s="18">
        <f>SUM(TUSD!$BB$61:'TUSD'!$BB$111)</f>
        <v>170224.01559646087</v>
      </c>
      <c r="V6" s="18">
        <f>SUM(TUSD!$BC$61:'TUSD'!$BC$111)</f>
        <v>0</v>
      </c>
      <c r="W6" s="18">
        <f>SUM(TUSD!$BD$61:'TUSD'!$BD$111)</f>
        <v>0</v>
      </c>
      <c r="X6" s="18">
        <f t="shared" ref="X6:X11" si="0">SUM(B6:W6)</f>
        <v>127464872.86086726</v>
      </c>
      <c r="AA6" s="14" t="s">
        <v>33</v>
      </c>
      <c r="AB6" s="14" t="s">
        <v>23</v>
      </c>
      <c r="AD6" s="14" t="s">
        <v>32</v>
      </c>
      <c r="AG6" s="14" t="s">
        <v>83</v>
      </c>
    </row>
    <row r="7" spans="1:33" x14ac:dyDescent="0.2">
      <c r="A7" s="14" t="s">
        <v>1074</v>
      </c>
      <c r="B7" s="18">
        <f>SUM(TUSD!$L$61:'TUSD'!$L$111)</f>
        <v>0</v>
      </c>
      <c r="C7" s="18">
        <f>SUM(TUSD!$M$61:'TUSD'!$M$111)</f>
        <v>498598.7393886412</v>
      </c>
      <c r="D7" s="18">
        <f ca="1">SUM(TUSD!$N$61:'TUSD'!$N$111)</f>
        <v>0</v>
      </c>
      <c r="E7" s="18">
        <f>SUM(TUSD!$O$61:'TUSD'!$O$111)</f>
        <v>0</v>
      </c>
      <c r="F7" s="18">
        <f>SUM(TUSD!$P$61:'TUSD'!$P$111)</f>
        <v>0</v>
      </c>
      <c r="G7" s="18">
        <f>SUM(TUSD!$Q$61:'TUSD'!$Q$111)</f>
        <v>38172996.201960757</v>
      </c>
      <c r="H7" s="18">
        <f>SUM(TUSD!$R$61:'TUSD'!$R$111)</f>
        <v>6659217.7946343729</v>
      </c>
      <c r="I7" s="18">
        <f>SUM(TUSD!$S$61:'TUSD'!$S$111)</f>
        <v>0</v>
      </c>
      <c r="J7" s="18">
        <f>SUM(TUSD!$T$61:'TUSD'!$T$111)</f>
        <v>5850963.9743571524</v>
      </c>
      <c r="K7" s="18">
        <f>SUM(TUSD!$U$61:'TUSD'!$U$111)</f>
        <v>5810318.2269079294</v>
      </c>
      <c r="L7" s="18">
        <f>SUM(TUSD!$V$61:'TUSD'!$V$111)</f>
        <v>1402722.1407045282</v>
      </c>
      <c r="M7" s="18">
        <f>SUM(TUSD!$W$61:'TUSD'!$W$111)</f>
        <v>0</v>
      </c>
      <c r="N7" s="18">
        <f>SUM(TUSD!$X$61:'TUSD'!$X$111)</f>
        <v>38547717.306759365</v>
      </c>
      <c r="O7" s="18">
        <f>SUM(TUSD!$Y$61:'TUSD'!$Y$111)</f>
        <v>0</v>
      </c>
      <c r="P7" s="18">
        <f>SUM(TUSD!$Z$61:'TUSD'!$Z$111)</f>
        <v>0</v>
      </c>
      <c r="Q7" s="18">
        <f>SUM(TUSD!$AA$61:'TUSD'!$AA$111)</f>
        <v>47370185.56902881</v>
      </c>
      <c r="R7" s="18">
        <f ca="1">SUM(TUSD!$AB$61:'TUSD'!$AB$111)</f>
        <v>-648540.65284266754</v>
      </c>
      <c r="S7" s="18">
        <f ca="1">SUM(TUSD!$AC$61:'TUSD'!$AC$111)</f>
        <v>0</v>
      </c>
      <c r="T7" s="18">
        <f>SUM(TUSD!$AD$61:'TUSD'!$AD$111)</f>
        <v>5704551.8227962535</v>
      </c>
      <c r="U7" s="18">
        <f>SUM(TUSD!$AE$61:'TUSD'!$AE$111)</f>
        <v>146586.08951442287</v>
      </c>
      <c r="V7" s="18">
        <f ca="1">SUM(TUSD!$AF$61:'TUSD'!$AF$111)</f>
        <v>0</v>
      </c>
      <c r="W7" s="18">
        <f ca="1">SUM(TUSD!$AG$61:'TUSD'!$AG$111)</f>
        <v>0</v>
      </c>
      <c r="X7" s="18">
        <f t="shared" ca="1" si="0"/>
        <v>149515317.21320957</v>
      </c>
      <c r="AA7" s="14" t="s">
        <v>44</v>
      </c>
      <c r="AB7" s="14" t="s">
        <v>97</v>
      </c>
      <c r="AD7" s="14" t="s">
        <v>98</v>
      </c>
      <c r="AG7" s="14" t="s">
        <v>84</v>
      </c>
    </row>
    <row r="8" spans="1:33" x14ac:dyDescent="0.2">
      <c r="A8" s="14" t="s">
        <v>1077</v>
      </c>
      <c r="B8" s="18">
        <f>IF($G$2&lt;&gt;"Não se aplica",SUMIF(TUSD!$G$61:'TUSD'!$G$111,$I$2,TUSD!$AI$61:'TUSD'!$AI$111),IF($F$2&lt;&gt;"Não se aplica",SUMIF(TUSD!$F$61:'TUSD'!$F$111,$I$2,TUSD!$AI$61:'TUSD'!$AI$111),IF($E$2&lt;&gt;"Não se aplica",SUMIF(TUSD!$E$61:'TUSD'!$E$111,$I$2,TUSD!$AI$61:'TUSD'!$AI$111),IF($D$2&lt;&gt;"Não se aplica",SUMIF(TUSD!$D$61:'TUSD'!$D$111,$I$2,TUSD!$AI$61:'TUSD'!$AI$111),IF($C$2&lt;&gt;"Não se aplica",SUMIF(TUSD!$C$61:'TUSD'!$C$111,$I$2,TUSD!$AI$61:'TUSD'!$AI$111),IF($B$2&lt;&gt;"Não se aplica",SUMIF(TUSD!$B$61:'TUSD'!$B$111,$I$2,TUSD!$AI$61:'TUSD'!$AI$111),SUMIF(TUSD!$A$61:'TUSD'!$A$111,$I$2,TUSD!$AI$61:'TUSD'!$AI$111)))))))</f>
        <v>0</v>
      </c>
      <c r="C8" s="18">
        <f>IF($G$2&lt;&gt;"Não se aplica",SUMIF(TUSD!$G$61:'TUSD'!$G$111,$I$2,TUSD!$AJ$61:'TUSD'!$AJ$111),IF($F$2&lt;&gt;"Não se aplica",SUMIF(TUSD!$F$61:'TUSD'!$F$111,$I$2,TUSD!$AJ$61:'TUSD'!$AJ$111),IF($E$2&lt;&gt;"Não se aplica",SUMIF(TUSD!$E$61:'TUSD'!$E$111,$I$2,TUSD!$AJ$61:'TUSD'!$AJ$111),IF($D$2&lt;&gt;"Não se aplica",SUMIF(TUSD!$D$61:'TUSD'!$D$111,$I$2,TUSD!$AJ$61:'TUSD'!$AJ$111),IF($C$2&lt;&gt;"Não se aplica",SUMIF(TUSD!$C$61:'TUSD'!$C$111,$I$2,TUSD!$AJ$61:'TUSD'!$AJ$111),IF($B$2&lt;&gt;"Não se aplica",SUMIF(TUSD!$B$61:'TUSD'!$B$111,$I$2,TUSD!$AJ$61:'TUSD'!$AJ$111),SUMIF(TUSD!$A$61:'TUSD'!$A$111,$I$2,TUSD!$AJ$61:'TUSD'!$AJ$111)))))))</f>
        <v>578.65186896998819</v>
      </c>
      <c r="D8" s="18">
        <f>IF($G$2&lt;&gt;"Não se aplica",SUMIF(TUSD!$G$61:'TUSD'!$G$111,$I$2,TUSD!$AK$61:'TUSD'!$AK$111),IF($F$2&lt;&gt;"Não se aplica",SUMIF(TUSD!$F$61:'TUSD'!$F$111,$I$2,TUSD!$AK$61:'TUSD'!$AK$111),IF($E$2&lt;&gt;"Não se aplica",SUMIF(TUSD!$E$61:'TUSD'!$E$111,$I$2,TUSD!$AK$61:'TUSD'!$AK$111),IF($D$2&lt;&gt;"Não se aplica",SUMIF(TUSD!$D$61:'TUSD'!$D$111,$I$2,TUSD!$AK$61:'TUSD'!$AK$111),IF($C$2&lt;&gt;"Não se aplica",SUMIF(TUSD!$C$61:'TUSD'!$C$111,$I$2,TUSD!$AK$61:'TUSD'!$AK$111),IF($B$2&lt;&gt;"Não se aplica",SUMIF(TUSD!$B$61:'TUSD'!$B$111,$I$2,TUSD!$AK$61:'TUSD'!$AK$111),SUMIF(TUSD!$A$61:'TUSD'!$A$111,$I$2,TUSD!$AK$61:'TUSD'!$AK$111)))))))</f>
        <v>0</v>
      </c>
      <c r="E8" s="18">
        <f>IF($G$2&lt;&gt;"Não se aplica",SUMIF(TUSD!$G$61:'TUSD'!$G$111,$I$2,TUSD!$AL$61:'TUSD'!$AL$111),IF($F$2&lt;&gt;"Não se aplica",SUMIF(TUSD!$F$61:'TUSD'!$F$111,$I$2,TUSD!$AL$61:'TUSD'!$AL$111),IF($E$2&lt;&gt;"Não se aplica",SUMIF(TUSD!$E$61:'TUSD'!$E$111,$I$2,TUSD!$AL$61:'TUSD'!$AL$111),IF($D$2&lt;&gt;"Não se aplica",SUMIF(TUSD!$D$61:'TUSD'!$D$111,$I$2,TUSD!$AL$61:'TUSD'!$AL$111),IF($C$2&lt;&gt;"Não se aplica",SUMIF(TUSD!$C$61:'TUSD'!$C$111,$I$2,TUSD!$AL$61:'TUSD'!$AL$111),IF($B$2&lt;&gt;"Não se aplica",SUMIF(TUSD!$B$61:'TUSD'!$B$111,$I$2,TUSD!$AL$61:'TUSD'!$AL$111),SUMIF(TUSD!$A$61:'TUSD'!$A$111,$I$2,TUSD!$AL$61:'TUSD'!$AL$111)))))))</f>
        <v>0</v>
      </c>
      <c r="F8" s="18">
        <f>IF($G$2&lt;&gt;"Não se aplica",SUMIF(TUSD!$G$61:'TUSD'!$G$111,$I$2,TUSD!$AM$61:'TUSD'!$AM$111),IF($F$2&lt;&gt;"Não se aplica",SUMIF(TUSD!$F$61:'TUSD'!$F$111,$I$2,TUSD!$AM$61:'TUSD'!$AM$111),IF($E$2&lt;&gt;"Não se aplica",SUMIF(TUSD!$E$61:'TUSD'!$E$111,$I$2,TUSD!$AM$61:'TUSD'!$AM$111),IF($D$2&lt;&gt;"Não se aplica",SUMIF(TUSD!$D$61:'TUSD'!$D$111,$I$2,TUSD!$AM$61:'TUSD'!$AM$111),IF($C$2&lt;&gt;"Não se aplica",SUMIF(TUSD!$C$61:'TUSD'!$C$111,$I$2,TUSD!$AM$61:'TUSD'!$AM$111),IF($B$2&lt;&gt;"Não se aplica",SUMIF(TUSD!$B$61:'TUSD'!$B$111,$I$2,TUSD!$AM$61:'TUSD'!$AM$111),SUMIF(TUSD!$A$61:'TUSD'!$A$111,$I$2,TUSD!$AM$61:'TUSD'!$AM$111)))))))</f>
        <v>0</v>
      </c>
      <c r="G8" s="18">
        <f>IF($G$2&lt;&gt;"Não se aplica",SUMIF(TUSD!$G$61:'TUSD'!$G$111,$I$2,TUSD!$AN$61:'TUSD'!$AN$111),IF($F$2&lt;&gt;"Não se aplica",SUMIF(TUSD!$F$61:'TUSD'!$F$111,$I$2,TUSD!$AN$61:'TUSD'!$AN$111),IF($E$2&lt;&gt;"Não se aplica",SUMIF(TUSD!$E$61:'TUSD'!$E$111,$I$2,TUSD!$AN$61:'TUSD'!$AN$111),IF($D$2&lt;&gt;"Não se aplica",SUMIF(TUSD!$D$61:'TUSD'!$D$111,$I$2,TUSD!$AN$61:'TUSD'!$AN$111),IF($C$2&lt;&gt;"Não se aplica",SUMIF(TUSD!$C$61:'TUSD'!$C$111,$I$2,TUSD!$AN$61:'TUSD'!$AN$111),IF($B$2&lt;&gt;"Não se aplica",SUMIF(TUSD!$B$61:'TUSD'!$B$111,$I$2,TUSD!$AN$61:'TUSD'!$AN$111),SUMIF(TUSD!$A$61:'TUSD'!$A$111,$I$2,TUSD!$AN$61:'TUSD'!$AN$111)))))))</f>
        <v>671680.22862440965</v>
      </c>
      <c r="H8" s="18">
        <f>IF($G$2&lt;&gt;"Não se aplica",SUMIF(TUSD!$G$61:'TUSD'!$G$111,$I$2,TUSD!$AO$61:'TUSD'!$AO$111),IF($F$2&lt;&gt;"Não se aplica",SUMIF(TUSD!$F$61:'TUSD'!$F$111,$I$2,TUSD!$AO$61:'TUSD'!$AO$111),IF($E$2&lt;&gt;"Não se aplica",SUMIF(TUSD!$E$61:'TUSD'!$E$111,$I$2,TUSD!$AO$61:'TUSD'!$AO$111),IF($D$2&lt;&gt;"Não se aplica",SUMIF(TUSD!$D$61:'TUSD'!$D$111,$I$2,TUSD!$AO$61:'TUSD'!$AO$111),IF($C$2&lt;&gt;"Não se aplica",SUMIF(TUSD!$C$61:'TUSD'!$C$111,$I$2,TUSD!$AO$61:'TUSD'!$AO$111),IF($B$2&lt;&gt;"Não se aplica",SUMIF(TUSD!$B$61:'TUSD'!$B$111,$I$2,TUSD!$AO$61:'TUSD'!$AO$111),SUMIF(TUSD!$A$61:'TUSD'!$A$111,$I$2,TUSD!$AO$61:'TUSD'!$AO$111)))))))</f>
        <v>155466.03955755546</v>
      </c>
      <c r="I8" s="18">
        <f>IF($G$2&lt;&gt;"Não se aplica",SUMIF(TUSD!$G$61:'TUSD'!$G$111,$I$2,TUSD!$AP$61:'TUSD'!$AP$111),IF($F$2&lt;&gt;"Não se aplica",SUMIF(TUSD!$F$61:'TUSD'!$F$111,$I$2,TUSD!$AP$61:'TUSD'!$AP$111),IF($E$2&lt;&gt;"Não se aplica",SUMIF(TUSD!$E$61:'TUSD'!$E$111,$I$2,TUSD!$AP$61:'TUSD'!$AP$111),IF($D$2&lt;&gt;"Não se aplica",SUMIF(TUSD!$D$61:'TUSD'!$D$111,$I$2,TUSD!$AP$61:'TUSD'!$AP$111),IF($C$2&lt;&gt;"Não se aplica",SUMIF(TUSD!$C$61:'TUSD'!$C$111,$I$2,TUSD!$AP$61:'TUSD'!$AP$111),IF($B$2&lt;&gt;"Não se aplica",SUMIF(TUSD!$B$61:'TUSD'!$B$111,$I$2,TUSD!$AP$61:'TUSD'!$AP$111),SUMIF(TUSD!$A$61:'TUSD'!$A$111,$I$2,TUSD!$AP$61:'TUSD'!$AP$111)))))))</f>
        <v>0</v>
      </c>
      <c r="J8" s="18">
        <f>IF($G$2&lt;&gt;"Não se aplica",SUMIF(TUSD!$G$61:'TUSD'!$G$111,$I$2,TUSD!$AQ$61:'TUSD'!$AQ$111),IF($F$2&lt;&gt;"Não se aplica",SUMIF(TUSD!$F$61:'TUSD'!$F$111,$I$2,TUSD!$AQ$61:'TUSD'!$AQ$111),IF($E$2&lt;&gt;"Não se aplica",SUMIF(TUSD!$E$61:'TUSD'!$E$111,$I$2,TUSD!$AQ$61:'TUSD'!$AQ$111),IF($D$2&lt;&gt;"Não se aplica",SUMIF(TUSD!$D$61:'TUSD'!$D$111,$I$2,TUSD!$AQ$61:'TUSD'!$AQ$111),IF($C$2&lt;&gt;"Não se aplica",SUMIF(TUSD!$C$61:'TUSD'!$C$111,$I$2,TUSD!$AQ$61:'TUSD'!$AQ$111),IF($B$2&lt;&gt;"Não se aplica",SUMIF(TUSD!$B$61:'TUSD'!$B$111,$I$2,TUSD!$AQ$61:'TUSD'!$AQ$111),SUMIF(TUSD!$A$61:'TUSD'!$A$111,$I$2,TUSD!$AQ$61:'TUSD'!$AQ$111)))))))</f>
        <v>218160.77507665491</v>
      </c>
      <c r="K8" s="18">
        <f>IF($G$2&lt;&gt;"Não se aplica",SUMIF(TUSD!$G$61:'TUSD'!$G$111,$I$2,TUSD!$AR$61:'TUSD'!$AR$111),IF($F$2&lt;&gt;"Não se aplica",SUMIF(TUSD!$F$61:'TUSD'!$F$111,$I$2,TUSD!$AR$61:'TUSD'!$AR$111),IF($E$2&lt;&gt;"Não se aplica",SUMIF(TUSD!$E$61:'TUSD'!$E$111,$I$2,TUSD!$AR$61:'TUSD'!$AR$111),IF($D$2&lt;&gt;"Não se aplica",SUMIF(TUSD!$D$61:'TUSD'!$D$111,$I$2,TUSD!$AR$61:'TUSD'!$AR$111),IF($C$2&lt;&gt;"Não se aplica",SUMIF(TUSD!$C$61:'TUSD'!$C$111,$I$2,TUSD!$AR$61:'TUSD'!$AR$111),IF($B$2&lt;&gt;"Não se aplica",SUMIF(TUSD!$B$61:'TUSD'!$B$111,$I$2,TUSD!$AR$61:'TUSD'!$AR$111),SUMIF(TUSD!$A$61:'TUSD'!$A$111,$I$2,TUSD!$AR$61:'TUSD'!$AR$111)))))))</f>
        <v>92109.589185081713</v>
      </c>
      <c r="L8" s="18">
        <f>IF($G$2&lt;&gt;"Não se aplica",SUMIF(TUSD!$G$61:'TUSD'!$G$111,$I$2,TUSD!$AS$61:'TUSD'!$AS$111),IF($F$2&lt;&gt;"Não se aplica",SUMIF(TUSD!$F$61:'TUSD'!$F$111,$I$2,TUSD!$AS$61:'TUSD'!$AS$111),IF($E$2&lt;&gt;"Não se aplica",SUMIF(TUSD!$E$61:'TUSD'!$E$111,$I$2,TUSD!$AS$61:'TUSD'!$AS$111),IF($D$2&lt;&gt;"Não se aplica",SUMIF(TUSD!$D$61:'TUSD'!$D$111,$I$2,TUSD!$AS$61:'TUSD'!$AS$111),IF($C$2&lt;&gt;"Não se aplica",SUMIF(TUSD!$C$61:'TUSD'!$C$111,$I$2,TUSD!$AS$61:'TUSD'!$AS$111),IF($B$2&lt;&gt;"Não se aplica",SUMIF(TUSD!$B$61:'TUSD'!$B$111,$I$2,TUSD!$AS$61:'TUSD'!$AS$111),SUMIF(TUSD!$A$61:'TUSD'!$A$111,$I$2,TUSD!$AS$61:'TUSD'!$AS$111)))))))</f>
        <v>0</v>
      </c>
      <c r="M8" s="18">
        <f>IF($G$2&lt;&gt;"Não se aplica",SUMIF(TUSD!$G$61:'TUSD'!$G$111,$I$2,TUSD!$AT$61:'TUSD'!$AT$111),IF($F$2&lt;&gt;"Não se aplica",SUMIF(TUSD!$F$61:'TUSD'!$F$111,$I$2,TUSD!$AT$61:'TUSD'!$AT$111),IF($E$2&lt;&gt;"Não se aplica",SUMIF(TUSD!$E$61:'TUSD'!$E$111,$I$2,TUSD!$AT$61:'TUSD'!$AT$111),IF($D$2&lt;&gt;"Não se aplica",SUMIF(TUSD!$D$61:'TUSD'!$D$111,$I$2,TUSD!$AT$61:'TUSD'!$AT$111),IF($C$2&lt;&gt;"Não se aplica",SUMIF(TUSD!$C$61:'TUSD'!$C$111,$I$2,TUSD!$AT$61:'TUSD'!$AT$111),IF($B$2&lt;&gt;"Não se aplica",SUMIF(TUSD!$B$61:'TUSD'!$B$111,$I$2,TUSD!$AT$61:'TUSD'!$AT$111),SUMIF(TUSD!$A$61:'TUSD'!$A$111,$I$2,TUSD!$AT$61:'TUSD'!$AT$111)))))))</f>
        <v>0</v>
      </c>
      <c r="N8" s="18">
        <f>IF($G$2&lt;&gt;"Não se aplica",SUMIF(TUSD!$G$61:'TUSD'!$G$111,$I$2,TUSD!$AU$61:'TUSD'!$AU$111),IF($F$2&lt;&gt;"Não se aplica",SUMIF(TUSD!$F$61:'TUSD'!$F$111,$I$2,TUSD!$AU$61:'TUSD'!$AU$111),IF($E$2&lt;&gt;"Não se aplica",SUMIF(TUSD!$E$61:'TUSD'!$E$111,$I$2,TUSD!$AU$61:'TUSD'!$AU$111),IF($D$2&lt;&gt;"Não se aplica",SUMIF(TUSD!$D$61:'TUSD'!$D$111,$I$2,TUSD!$AU$61:'TUSD'!$AU$111),IF($C$2&lt;&gt;"Não se aplica",SUMIF(TUSD!$C$61:'TUSD'!$C$111,$I$2,TUSD!$AU$61:'TUSD'!$AU$111),IF($B$2&lt;&gt;"Não se aplica",SUMIF(TUSD!$B$61:'TUSD'!$B$111,$I$2,TUSD!$AU$61:'TUSD'!$AU$111),SUMIF(TUSD!$A$61:'TUSD'!$A$111,$I$2,TUSD!$AU$61:'TUSD'!$AU$111)))))))</f>
        <v>959474.97503278544</v>
      </c>
      <c r="O8" s="18">
        <f>IF($G$2&lt;&gt;"Não se aplica",SUMIF(TUSD!$G$61:'TUSD'!$G$111,$I$2,TUSD!$AV$61:'TUSD'!$AV$111),IF($F$2&lt;&gt;"Não se aplica",SUMIF(TUSD!$F$61:'TUSD'!$F$111,$I$2,TUSD!$AV$61:'TUSD'!$AV$111),IF($E$2&lt;&gt;"Não se aplica",SUMIF(TUSD!$E$61:'TUSD'!$E$111,$I$2,TUSD!$AV$61:'TUSD'!$AV$111),IF($D$2&lt;&gt;"Não se aplica",SUMIF(TUSD!$D$61:'TUSD'!$D$111,$I$2,TUSD!$AV$61:'TUSD'!$AV$111),IF($C$2&lt;&gt;"Não se aplica",SUMIF(TUSD!$C$61:'TUSD'!$C$111,$I$2,TUSD!$AV$61:'TUSD'!$AV$111),IF($B$2&lt;&gt;"Não se aplica",SUMIF(TUSD!$B$61:'TUSD'!$B$111,$I$2,TUSD!$AV$61:'TUSD'!$AV$111),SUMIF(TUSD!$A$61:'TUSD'!$A$111,$I$2,TUSD!$AV$61:'TUSD'!$AV$111)))))))</f>
        <v>0</v>
      </c>
      <c r="P8" s="18">
        <f>IF($G$2&lt;&gt;"Não se aplica",SUMIF(TUSD!$G$61:'TUSD'!$G$111,$I$2,TUSD!$AW$61:'TUSD'!$AW$111),IF($F$2&lt;&gt;"Não se aplica",SUMIF(TUSD!$F$61:'TUSD'!$F$111,$I$2,TUSD!$AW$61:'TUSD'!$AW$111),IF($E$2&lt;&gt;"Não se aplica",SUMIF(TUSD!$E$61:'TUSD'!$E$111,$I$2,TUSD!$AW$61:'TUSD'!$AW$111),IF($D$2&lt;&gt;"Não se aplica",SUMIF(TUSD!$D$61:'TUSD'!$D$111,$I$2,TUSD!$AW$61:'TUSD'!$AW$111),IF($C$2&lt;&gt;"Não se aplica",SUMIF(TUSD!$C$61:'TUSD'!$C$111,$I$2,TUSD!$AW$61:'TUSD'!$AW$111),IF($B$2&lt;&gt;"Não se aplica",SUMIF(TUSD!$B$61:'TUSD'!$B$111,$I$2,TUSD!$AW$61:'TUSD'!$AW$111),SUMIF(TUSD!$A$61:'TUSD'!$A$111,$I$2,TUSD!$AW$61:'TUSD'!$AW$111)))))))</f>
        <v>0</v>
      </c>
      <c r="Q8" s="18">
        <f>IF($G$2&lt;&gt;"Não se aplica",SUMIF(TUSD!$G$61:'TUSD'!$G$111,$I$2,TUSD!$AX$61:'TUSD'!$AX$111),IF($F$2&lt;&gt;"Não se aplica",SUMIF(TUSD!$F$61:'TUSD'!$F$111,$I$2,TUSD!$AX$61:'TUSD'!$AX$111),IF($E$2&lt;&gt;"Não se aplica",SUMIF(TUSD!$E$61:'TUSD'!$E$111,$I$2,TUSD!$AX$61:'TUSD'!$AX$111),IF($D$2&lt;&gt;"Não se aplica",SUMIF(TUSD!$D$61:'TUSD'!$D$111,$I$2,TUSD!$AX$61:'TUSD'!$AX$111),IF($C$2&lt;&gt;"Não se aplica",SUMIF(TUSD!$C$61:'TUSD'!$C$111,$I$2,TUSD!$AX$61:'TUSD'!$AX$111),IF($B$2&lt;&gt;"Não se aplica",SUMIF(TUSD!$B$61:'TUSD'!$B$111,$I$2,TUSD!$AX$61:'TUSD'!$AX$111),SUMIF(TUSD!$A$61:'TUSD'!$A$111,$I$2,TUSD!$AX$61:'TUSD'!$AX$111)))))))</f>
        <v>53548.536354146141</v>
      </c>
      <c r="R8" s="18">
        <f>IF($G$2&lt;&gt;"Não se aplica",SUMIF(TUSD!$G$61:'TUSD'!$G$111,$I$2,TUSD!$AY$61:'TUSD'!$AY$111),IF($F$2&lt;&gt;"Não se aplica",SUMIF(TUSD!$F$61:'TUSD'!$F$111,$I$2,TUSD!$AY$61:'TUSD'!$AY$111),IF($E$2&lt;&gt;"Não se aplica",SUMIF(TUSD!$E$61:'TUSD'!$E$111,$I$2,TUSD!$AY$61:'TUSD'!$AY$111),IF($D$2&lt;&gt;"Não se aplica",SUMIF(TUSD!$D$61:'TUSD'!$D$111,$I$2,TUSD!$AY$61:'TUSD'!$AY$111),IF($C$2&lt;&gt;"Não se aplica",SUMIF(TUSD!$C$61:'TUSD'!$C$111,$I$2,TUSD!$AY$61:'TUSD'!$AY$111),IF($B$2&lt;&gt;"Não se aplica",SUMIF(TUSD!$B$61:'TUSD'!$B$111,$I$2,TUSD!$AY$61:'TUSD'!$AY$111),SUMIF(TUSD!$A$61:'TUSD'!$A$111,$I$2,TUSD!$AY$61:'TUSD'!$AY$111)))))))</f>
        <v>-29159.768785012395</v>
      </c>
      <c r="S8" s="18">
        <f>IF($G$2&lt;&gt;"Não se aplica",SUMIF(TUSD!$G$61:'TUSD'!$G$111,$I$2,TUSD!$AZ$61:'TUSD'!$AZ$111),IF($F$2&lt;&gt;"Não se aplica",SUMIF(TUSD!$F$61:'TUSD'!$F$111,$I$2,TUSD!$AZ$61:'TUSD'!$AZ$111),IF($E$2&lt;&gt;"Não se aplica",SUMIF(TUSD!$E$61:'TUSD'!$E$111,$I$2,TUSD!$AZ$61:'TUSD'!$AZ$111),IF($D$2&lt;&gt;"Não se aplica",SUMIF(TUSD!$D$61:'TUSD'!$D$111,$I$2,TUSD!$AZ$61:'TUSD'!$AZ$111),IF($C$2&lt;&gt;"Não se aplica",SUMIF(TUSD!$C$61:'TUSD'!$C$111,$I$2,TUSD!$AZ$61:'TUSD'!$AZ$111),IF($B$2&lt;&gt;"Não se aplica",SUMIF(TUSD!$B$61:'TUSD'!$B$111,$I$2,TUSD!$AZ$61:'TUSD'!$AZ$111),SUMIF(TUSD!$A$61:'TUSD'!$A$111,$I$2,TUSD!$AZ$61:'TUSD'!$AZ$111)))))))</f>
        <v>0</v>
      </c>
      <c r="T8" s="18">
        <f>IF($G$2&lt;&gt;"Não se aplica",SUMIF(TUSD!$G$61:'TUSD'!$G$111,$I$2,TUSD!$BA$61:'TUSD'!$BA$111),IF($F$2&lt;&gt;"Não se aplica",SUMIF(TUSD!$F$61:'TUSD'!$F$111,$I$2,TUSD!$BA$61:'TUSD'!$BA$111),IF($E$2&lt;&gt;"Não se aplica",SUMIF(TUSD!$E$61:'TUSD'!$E$111,$I$2,TUSD!$BA$61:'TUSD'!$BA$111),IF($D$2&lt;&gt;"Não se aplica",SUMIF(TUSD!$D$61:'TUSD'!$D$111,$I$2,TUSD!$BA$61:'TUSD'!$BA$111),IF($C$2&lt;&gt;"Não se aplica",SUMIF(TUSD!$C$61:'TUSD'!$C$111,$I$2,TUSD!$BA$61:'TUSD'!$BA$111),IF($B$2&lt;&gt;"Não se aplica",SUMIF(TUSD!$B$61:'TUSD'!$B$111,$I$2,TUSD!$BA$61:'TUSD'!$BA$111),SUMIF(TUSD!$A$61:'TUSD'!$A$111,$I$2,TUSD!$BA$61:'TUSD'!$BA$111)))))))</f>
        <v>841.28453914260672</v>
      </c>
      <c r="U8" s="18">
        <f>IF($G$2&lt;&gt;"Não se aplica",SUMIF(TUSD!$G$61:'TUSD'!$G$111,$I$2,TUSD!$BB$61:'TUSD'!$BB$111),IF($F$2&lt;&gt;"Não se aplica",SUMIF(TUSD!$F$61:'TUSD'!$F$111,$I$2,TUSD!$BB$61:'TUSD'!$BB$111),IF($E$2&lt;&gt;"Não se aplica",SUMIF(TUSD!$E$61:'TUSD'!$E$111,$I$2,TUSD!$BB$61:'TUSD'!$BB$111),IF($D$2&lt;&gt;"Não se aplica",SUMIF(TUSD!$D$61:'TUSD'!$D$111,$I$2,TUSD!$BB$61:'TUSD'!$BB$111),IF($C$2&lt;&gt;"Não se aplica",SUMIF(TUSD!$C$61:'TUSD'!$C$111,$I$2,TUSD!$BB$61:'TUSD'!$BB$111),IF($B$2&lt;&gt;"Não se aplica",SUMIF(TUSD!$B$61:'TUSD'!$B$111,$I$2,TUSD!$BB$61:'TUSD'!$BB$111),SUMIF(TUSD!$A$61:'TUSD'!$A$111,$I$2,TUSD!$BB$61:'TUSD'!$BB$111)))))))</f>
        <v>23.696395520014036</v>
      </c>
      <c r="V8" s="18">
        <f>IF($G$2&lt;&gt;"Não se aplica",SUMIF(TUSD!$G$61:'TUSD'!$G$111,$I$2,TUSD!$BC$61:'TUSD'!$BC$111),IF($F$2&lt;&gt;"Não se aplica",SUMIF(TUSD!$F$61:'TUSD'!$F$111,$I$2,TUSD!$BC$61:'TUSD'!$BC$111),IF($E$2&lt;&gt;"Não se aplica",SUMIF(TUSD!$E$61:'TUSD'!$E$111,$I$2,TUSD!$BC$61:'TUSD'!$BC$111),IF($D$2&lt;&gt;"Não se aplica",SUMIF(TUSD!$D$61:'TUSD'!$D$111,$I$2,TUSD!$BC$61:'TUSD'!$BC$111),IF($C$2&lt;&gt;"Não se aplica",SUMIF(TUSD!$C$61:'TUSD'!$C$111,$I$2,TUSD!$BC$61:'TUSD'!$BC$111),IF($B$2&lt;&gt;"Não se aplica",SUMIF(TUSD!$B$61:'TUSD'!$B$111,$I$2,TUSD!$BC$61:'TUSD'!$BC$111),SUMIF(TUSD!$A$61:'TUSD'!$A$111,$I$2,TUSD!$BC$61:'TUSD'!$BC$111)))))))</f>
        <v>0</v>
      </c>
      <c r="W8" s="18">
        <f>IF($G$2&lt;&gt;"Não se aplica",SUMIF(TUSD!$G$61:'TUSD'!$G$111,$I$2,TUSD!$BD$61:'TUSD'!$BD$111),IF($F$2&lt;&gt;"Não se aplica",SUMIF(TUSD!$F$61:'TUSD'!$F$111,$I$2,TUSD!$BD$61:'TUSD'!$BD$111),IF($E$2&lt;&gt;"Não se aplica",SUMIF(TUSD!$E$61:'TUSD'!$E$111,$I$2,TUSD!$BD$61:'TUSD'!$BD$111),IF($D$2&lt;&gt;"Não se aplica",SUMIF(TUSD!$D$61:'TUSD'!$D$111,$I$2,TUSD!$BD$61:'TUSD'!$BD$111),IF($C$2&lt;&gt;"Não se aplica",SUMIF(TUSD!$C$61:'TUSD'!$C$111,$I$2,TUSD!$BD$61:'TUSD'!$BD$111),IF($B$2&lt;&gt;"Não se aplica",SUMIF(TUSD!$B$61:'TUSD'!$B$111,$I$2,TUSD!$BD$61:'TUSD'!$BD$111),SUMIF(TUSD!$A$61:'TUSD'!$A$111,$I$2,TUSD!$BD$61:'TUSD'!$BD$111)))))))</f>
        <v>0</v>
      </c>
      <c r="X8" s="18">
        <f t="shared" si="0"/>
        <v>2122724.0078492532</v>
      </c>
      <c r="AD8" s="14" t="s">
        <v>99</v>
      </c>
      <c r="AG8" s="14" t="s">
        <v>94</v>
      </c>
    </row>
    <row r="9" spans="1:33" x14ac:dyDescent="0.2">
      <c r="A9" s="14" t="s">
        <v>1078</v>
      </c>
      <c r="B9" s="18">
        <f>IF($G$2&lt;&gt;"Não se aplica",SUMIF(TUSD!$G$61:'TUSD'!$G$111,$I$2,TUSD!$L$61:'TUSD'!$L$111),IF($F$2&lt;&gt;"Não se aplica",SUMIF(TUSD!$F$61:'TUSD'!$F$111,$I$2,TUSD!$L$61:'TUSD'!$L$111),IF($E$2&lt;&gt;"Não se aplica",SUMIF(TUSD!$E$61:'TUSD'!$E$111,$I$2,TUSD!$L$61:'TUSD'!$L$111),IF($D$2&lt;&gt;"Não se aplica",SUMIF(TUSD!$D$61:'TUSD'!$D$111,$I$2,TUSD!$L$61:'TUSD'!$L$111),IF($C$2&lt;&gt;"Não se aplica",SUMIF(TUSD!$C$61:'TUSD'!$C$111,$I$2,TUSD!$L$61:'TUSD'!$L$111),IF($B$2&lt;&gt;"Não se aplica",SUMIF(TUSD!$B$61:'TUSD'!$B$111,$I$2,TUSD!$L$61:'TUSD'!$L$111),SUMIF(TUSD!$A$61:'TUSD'!$A$111,$I$2,TUSD!$L$61:'TUSD'!$L$111)))))))</f>
        <v>0</v>
      </c>
      <c r="C9" s="18">
        <f>IF($G$2&lt;&gt;"Não se aplica",SUMIF(TUSD!$G$61:'TUSD'!$G$111,$I$2,TUSD!$M$61:'TUSD'!$M$111),IF($F$2&lt;&gt;"Não se aplica",SUMIF(TUSD!$F$61:'TUSD'!$F$111,$I$2,TUSD!$M$61:'TUSD'!$M$111),IF($E$2&lt;&gt;"Não se aplica",SUMIF(TUSD!$E$61:'TUSD'!$E$111,$I$2,TUSD!$M$61:'TUSD'!$M$111),IF($D$2&lt;&gt;"Não se aplica",SUMIF(TUSD!$D$61:'TUSD'!$D$111,$I$2,TUSD!$M$61:'TUSD'!$M$111),IF($C$2&lt;&gt;"Não se aplica",SUMIF(TUSD!$C$61:'TUSD'!$C$111,$I$2,TUSD!$M$61:'TUSD'!$M$111),IF($B$2&lt;&gt;"Não se aplica",SUMIF(TUSD!$B$61:'TUSD'!$B$111,$I$2,TUSD!$M$61:'TUSD'!$M$111),SUMIF(TUSD!$A$61:'TUSD'!$A$111,$I$2,TUSD!$M$61:'TUSD'!$M$111)))))))</f>
        <v>447.6577725052914</v>
      </c>
      <c r="D9" s="18">
        <f ca="1">IF($G$2&lt;&gt;"Não se aplica",SUMIF(TUSD!$G$61:'TUSD'!$G$111,$I$2,TUSD!$N$61:'TUSD'!$N$111),IF($F$2&lt;&gt;"Não se aplica",SUMIF(TUSD!$F$61:'TUSD'!$F$111,$I$2,TUSD!$N$61:'TUSD'!$N$111),IF($E$2&lt;&gt;"Não se aplica",SUMIF(TUSD!$E$61:'TUSD'!$E$111,$I$2,TUSD!$N$61:'TUSD'!$N$111),IF($D$2&lt;&gt;"Não se aplica",SUMIF(TUSD!$D$61:'TUSD'!$D$111,$I$2,TUSD!$N$61:'TUSD'!$N$111),IF($C$2&lt;&gt;"Não se aplica",SUMIF(TUSD!$C$61:'TUSD'!$C$111,$I$2,TUSD!$N$61:'TUSD'!$N$111),IF($B$2&lt;&gt;"Não se aplica",SUMIF(TUSD!$B$61:'TUSD'!$B$111,$I$2,TUSD!$N$61:'TUSD'!$N$111),SUMIF(TUSD!$A$61:'TUSD'!$A$111,$I$2,TUSD!$N$61:'TUSD'!$N$111)))))))</f>
        <v>0</v>
      </c>
      <c r="E9" s="18">
        <f>IF($G$2&lt;&gt;"Não se aplica",SUMIF(TUSD!$G$61:'TUSD'!$G$111,$I$2,TUSD!$O$61:'TUSD'!$O$111),IF($F$2&lt;&gt;"Não se aplica",SUMIF(TUSD!$F$61:'TUSD'!$F$111,$I$2,TUSD!$O$61:'TUSD'!$O$111),IF($E$2&lt;&gt;"Não se aplica",SUMIF(TUSD!$E$61:'TUSD'!$E$111,$I$2,TUSD!$O$61:'TUSD'!$O$111),IF($D$2&lt;&gt;"Não se aplica",SUMIF(TUSD!$D$61:'TUSD'!$D$111,$I$2,TUSD!$O$61:'TUSD'!$O$111),IF($C$2&lt;&gt;"Não se aplica",SUMIF(TUSD!$C$61:'TUSD'!$C$111,$I$2,TUSD!$O$61:'TUSD'!$O$111),IF($B$2&lt;&gt;"Não se aplica",SUMIF(TUSD!$B$61:'TUSD'!$B$111,$I$2,TUSD!$O$61:'TUSD'!$O$111),SUMIF(TUSD!$A$61:'TUSD'!$A$111,$I$2,TUSD!$O$61:'TUSD'!$O$111)))))))</f>
        <v>0</v>
      </c>
      <c r="F9" s="18">
        <f>IF($G$2&lt;&gt;"Não se aplica",SUMIF(TUSD!$G$61:'TUSD'!$G$111,$I$2,TUSD!$P$61:'TUSD'!$P$111),IF($F$2&lt;&gt;"Não se aplica",SUMIF(TUSD!$F$61:'TUSD'!$F$111,$I$2,TUSD!$P$61:'TUSD'!$P$111),IF($E$2&lt;&gt;"Não se aplica",SUMIF(TUSD!$E$61:'TUSD'!$E$111,$I$2,TUSD!$P$61:'TUSD'!$P$111),IF($D$2&lt;&gt;"Não se aplica",SUMIF(TUSD!$D$61:'TUSD'!$D$111,$I$2,TUSD!$P$61:'TUSD'!$P$111),IF($C$2&lt;&gt;"Não se aplica",SUMIF(TUSD!$C$61:'TUSD'!$C$111,$I$2,TUSD!$P$61:'TUSD'!$P$111),IF($B$2&lt;&gt;"Não se aplica",SUMIF(TUSD!$B$61:'TUSD'!$B$111,$I$2,TUSD!$P$61:'TUSD'!$P$111),SUMIF(TUSD!$A$61:'TUSD'!$A$111,$I$2,TUSD!$P$61:'TUSD'!$P$111)))))))</f>
        <v>0</v>
      </c>
      <c r="G9" s="18">
        <f>IF($G$2&lt;&gt;"Não se aplica",SUMIF(TUSD!$G$61:'TUSD'!$G$111,$I$2,TUSD!$Q$61:'TUSD'!$Q$111),IF($F$2&lt;&gt;"Não se aplica",SUMIF(TUSD!$F$61:'TUSD'!$F$111,$I$2,TUSD!$Q$61:'TUSD'!$Q$111),IF($E$2&lt;&gt;"Não se aplica",SUMIF(TUSD!$E$61:'TUSD'!$E$111,$I$2,TUSD!$Q$61:'TUSD'!$Q$111),IF($D$2&lt;&gt;"Não se aplica",SUMIF(TUSD!$D$61:'TUSD'!$D$111,$I$2,TUSD!$Q$61:'TUSD'!$Q$111),IF($C$2&lt;&gt;"Não se aplica",SUMIF(TUSD!$C$61:'TUSD'!$C$111,$I$2,TUSD!$Q$61:'TUSD'!$Q$111),IF($B$2&lt;&gt;"Não se aplica",SUMIF(TUSD!$B$61:'TUSD'!$B$111,$I$2,TUSD!$Q$61:'TUSD'!$Q$111),SUMIF(TUSD!$A$61:'TUSD'!$A$111,$I$2,TUSD!$Q$61:'TUSD'!$Q$111)))))))</f>
        <v>881188.41235841671</v>
      </c>
      <c r="H9" s="18">
        <f>IF($G$2&lt;&gt;"Não se aplica",SUMIF(TUSD!$G$61:'TUSD'!$G$111,$I$2,TUSD!$R$61:'TUSD'!$R$111),IF($F$2&lt;&gt;"Não se aplica",SUMIF(TUSD!$F$61:'TUSD'!$F$111,$I$2,TUSD!$R$61:'TUSD'!$R$111),IF($E$2&lt;&gt;"Não se aplica",SUMIF(TUSD!$E$61:'TUSD'!$E$111,$I$2,TUSD!$R$61:'TUSD'!$R$111),IF($D$2&lt;&gt;"Não se aplica",SUMIF(TUSD!$D$61:'TUSD'!$D$111,$I$2,TUSD!$R$61:'TUSD'!$R$111),IF($C$2&lt;&gt;"Não se aplica",SUMIF(TUSD!$C$61:'TUSD'!$C$111,$I$2,TUSD!$R$61:'TUSD'!$R$111),IF($B$2&lt;&gt;"Não se aplica",SUMIF(TUSD!$B$61:'TUSD'!$B$111,$I$2,TUSD!$R$61:'TUSD'!$R$111),SUMIF(TUSD!$A$61:'TUSD'!$A$111,$I$2,TUSD!$R$61:'TUSD'!$R$111)))))))</f>
        <v>224816.44537063985</v>
      </c>
      <c r="I9" s="18">
        <f>IF($G$2&lt;&gt;"Não se aplica",SUMIF(TUSD!$G$61:'TUSD'!$G$111,$I$2,TUSD!$S$61:'TUSD'!$S$111),IF($F$2&lt;&gt;"Não se aplica",SUMIF(TUSD!$F$61:'TUSD'!$F$111,$I$2,TUSD!$S$61:'TUSD'!$S$111),IF($E$2&lt;&gt;"Não se aplica",SUMIF(TUSD!$E$61:'TUSD'!$E$111,$I$2,TUSD!$S$61:'TUSD'!$S$111),IF($D$2&lt;&gt;"Não se aplica",SUMIF(TUSD!$D$61:'TUSD'!$D$111,$I$2,TUSD!$S$61:'TUSD'!$S$111),IF($C$2&lt;&gt;"Não se aplica",SUMIF(TUSD!$C$61:'TUSD'!$C$111,$I$2,TUSD!$S$61:'TUSD'!$S$111),IF($B$2&lt;&gt;"Não se aplica",SUMIF(TUSD!$B$61:'TUSD'!$B$111,$I$2,TUSD!$S$61:'TUSD'!$S$111),SUMIF(TUSD!$A$61:'TUSD'!$A$111,$I$2,TUSD!$S$61:'TUSD'!$S$111)))))))</f>
        <v>0</v>
      </c>
      <c r="J9" s="18">
        <f>IF($G$2&lt;&gt;"Não se aplica",SUMIF(TUSD!$G$61:'TUSD'!$G$111,$I$2,TUSD!$T$61:'TUSD'!$T$111),IF($F$2&lt;&gt;"Não se aplica",SUMIF(TUSD!$F$61:'TUSD'!$F$111,$I$2,TUSD!$T$61:'TUSD'!$T$111),IF($E$2&lt;&gt;"Não se aplica",SUMIF(TUSD!$E$61:'TUSD'!$E$111,$I$2,TUSD!$T$61:'TUSD'!$T$111),IF($D$2&lt;&gt;"Não se aplica",SUMIF(TUSD!$D$61:'TUSD'!$D$111,$I$2,TUSD!$T$61:'TUSD'!$T$111),IF($C$2&lt;&gt;"Não se aplica",SUMIF(TUSD!$C$61:'TUSD'!$C$111,$I$2,TUSD!$T$61:'TUSD'!$T$111),IF($B$2&lt;&gt;"Não se aplica",SUMIF(TUSD!$B$61:'TUSD'!$B$111,$I$2,TUSD!$T$61:'TUSD'!$T$111),SUMIF(TUSD!$A$61:'TUSD'!$A$111,$I$2,TUSD!$T$61:'TUSD'!$T$111)))))))</f>
        <v>247654.51231792587</v>
      </c>
      <c r="K9" s="18">
        <f>IF($G$2&lt;&gt;"Não se aplica",SUMIF(TUSD!$G$61:'TUSD'!$G$111,$I$2,TUSD!$U$61:'TUSD'!$U$111),IF($F$2&lt;&gt;"Não se aplica",SUMIF(TUSD!$F$61:'TUSD'!$F$111,$I$2,TUSD!$U$61:'TUSD'!$U$111),IF($E$2&lt;&gt;"Não se aplica",SUMIF(TUSD!$E$61:'TUSD'!$E$111,$I$2,TUSD!$U$61:'TUSD'!$U$111),IF($D$2&lt;&gt;"Não se aplica",SUMIF(TUSD!$D$61:'TUSD'!$D$111,$I$2,TUSD!$U$61:'TUSD'!$U$111),IF($C$2&lt;&gt;"Não se aplica",SUMIF(TUSD!$C$61:'TUSD'!$C$111,$I$2,TUSD!$U$61:'TUSD'!$U$111),IF($B$2&lt;&gt;"Não se aplica",SUMIF(TUSD!$B$61:'TUSD'!$B$111,$I$2,TUSD!$U$61:'TUSD'!$U$111),SUMIF(TUSD!$A$61:'TUSD'!$A$111,$I$2,TUSD!$U$61:'TUSD'!$U$111)))))))</f>
        <v>133386.12167666698</v>
      </c>
      <c r="L9" s="18">
        <f>IF($G$2&lt;&gt;"Não se aplica",SUMIF(TUSD!$G$61:'TUSD'!$G$111,$I$2,TUSD!$V$61:'TUSD'!$V$111),IF($F$2&lt;&gt;"Não se aplica",SUMIF(TUSD!$F$61:'TUSD'!$F$111,$I$2,TUSD!$V$61:'TUSD'!$V$111),IF($E$2&lt;&gt;"Não se aplica",SUMIF(TUSD!$E$61:'TUSD'!$E$111,$I$2,TUSD!$V$61:'TUSD'!$V$111),IF($D$2&lt;&gt;"Não se aplica",SUMIF(TUSD!$D$61:'TUSD'!$D$111,$I$2,TUSD!$V$61:'TUSD'!$V$111),IF($C$2&lt;&gt;"Não se aplica",SUMIF(TUSD!$C$61:'TUSD'!$C$111,$I$2,TUSD!$V$61:'TUSD'!$V$111),IF($B$2&lt;&gt;"Não se aplica",SUMIF(TUSD!$B$61:'TUSD'!$B$111,$I$2,TUSD!$V$61:'TUSD'!$V$111),SUMIF(TUSD!$A$61:'TUSD'!$A$111,$I$2,TUSD!$V$61:'TUSD'!$V$111)))))))</f>
        <v>0</v>
      </c>
      <c r="M9" s="18">
        <f>IF($G$2&lt;&gt;"Não se aplica",SUMIF(TUSD!$G$61:'TUSD'!$G$111,$I$2,TUSD!$W$61:'TUSD'!$W$111),IF($F$2&lt;&gt;"Não se aplica",SUMIF(TUSD!$F$61:'TUSD'!$F$111,$I$2,TUSD!$W$61:'TUSD'!$W$111),IF($E$2&lt;&gt;"Não se aplica",SUMIF(TUSD!$E$61:'TUSD'!$E$111,$I$2,TUSD!$W$61:'TUSD'!$W$111),IF($D$2&lt;&gt;"Não se aplica",SUMIF(TUSD!$D$61:'TUSD'!$D$111,$I$2,TUSD!$W$61:'TUSD'!$W$111),IF($C$2&lt;&gt;"Não se aplica",SUMIF(TUSD!$C$61:'TUSD'!$C$111,$I$2,TUSD!$W$61:'TUSD'!$W$111),IF($B$2&lt;&gt;"Não se aplica",SUMIF(TUSD!$B$61:'TUSD'!$B$111,$I$2,TUSD!$W$61:'TUSD'!$W$111),SUMIF(TUSD!$A$61:'TUSD'!$A$111,$I$2,TUSD!$W$61:'TUSD'!$W$111)))))))</f>
        <v>0</v>
      </c>
      <c r="N9" s="18">
        <f>IF($G$2&lt;&gt;"Não se aplica",SUMIF(TUSD!$G$61:'TUSD'!$G$111,$I$2,TUSD!$X$61:'TUSD'!$X$111),IF($F$2&lt;&gt;"Não se aplica",SUMIF(TUSD!$F$61:'TUSD'!$F$111,$I$2,TUSD!$X$61:'TUSD'!$X$111),IF($E$2&lt;&gt;"Não se aplica",SUMIF(TUSD!$E$61:'TUSD'!$E$111,$I$2,TUSD!$X$61:'TUSD'!$X$111),IF($D$2&lt;&gt;"Não se aplica",SUMIF(TUSD!$D$61:'TUSD'!$D$111,$I$2,TUSD!$X$61:'TUSD'!$X$111),IF($C$2&lt;&gt;"Não se aplica",SUMIF(TUSD!$C$61:'TUSD'!$C$111,$I$2,TUSD!$X$61:'TUSD'!$X$111),IF($B$2&lt;&gt;"Não se aplica",SUMIF(TUSD!$B$61:'TUSD'!$B$111,$I$2,TUSD!$X$61:'TUSD'!$X$111),SUMIF(TUSD!$A$61:'TUSD'!$A$111,$I$2,TUSD!$X$61:'TUSD'!$X$111)))))))</f>
        <v>970379.49313464854</v>
      </c>
      <c r="O9" s="18">
        <f>IF($G$2&lt;&gt;"Não se aplica",SUMIF(TUSD!$G$61:'TUSD'!$G$111,$I$2,TUSD!$Y$61:'TUSD'!$Y$111),IF($F$2&lt;&gt;"Não se aplica",SUMIF(TUSD!$F$61:'TUSD'!$F$111,$I$2,TUSD!$Y$61:'TUSD'!$Y$111),IF($E$2&lt;&gt;"Não se aplica",SUMIF(TUSD!$E$61:'TUSD'!$E$111,$I$2,TUSD!$Y$61:'TUSD'!$Y$111),IF($D$2&lt;&gt;"Não se aplica",SUMIF(TUSD!$D$61:'TUSD'!$D$111,$I$2,TUSD!$Y$61:'TUSD'!$Y$111),IF($C$2&lt;&gt;"Não se aplica",SUMIF(TUSD!$C$61:'TUSD'!$C$111,$I$2,TUSD!$Y$61:'TUSD'!$Y$111),IF($B$2&lt;&gt;"Não se aplica",SUMIF(TUSD!$B$61:'TUSD'!$B$111,$I$2,TUSD!$Y$61:'TUSD'!$Y$111),SUMIF(TUSD!$A$61:'TUSD'!$A$111,$I$2,TUSD!$Y$61:'TUSD'!$Y$111)))))))</f>
        <v>0</v>
      </c>
      <c r="P9" s="18">
        <f>IF($G$2&lt;&gt;"Não se aplica",SUMIF(TUSD!$G$61:'TUSD'!$G$111,$I$2,TUSD!$Z$61:'TUSD'!$Z$111),IF($F$2&lt;&gt;"Não se aplica",SUMIF(TUSD!$F$61:'TUSD'!$F$111,$I$2,TUSD!$Z$61:'TUSD'!$Z$111),IF($E$2&lt;&gt;"Não se aplica",SUMIF(TUSD!$E$61:'TUSD'!$E$111,$I$2,TUSD!$Z$61:'TUSD'!$Z$111),IF($D$2&lt;&gt;"Não se aplica",SUMIF(TUSD!$D$61:'TUSD'!$D$111,$I$2,TUSD!$Z$61:'TUSD'!$Z$111),IF($C$2&lt;&gt;"Não se aplica",SUMIF(TUSD!$C$61:'TUSD'!$C$111,$I$2,TUSD!$Z$61:'TUSD'!$Z$111),IF($B$2&lt;&gt;"Não se aplica",SUMIF(TUSD!$B$61:'TUSD'!$B$111,$I$2,TUSD!$Z$61:'TUSD'!$Z$111),SUMIF(TUSD!$A$61:'TUSD'!$A$111,$I$2,TUSD!$Z$61:'TUSD'!$Z$111)))))))</f>
        <v>0</v>
      </c>
      <c r="Q9" s="18">
        <f>IF($G$2&lt;&gt;"Não se aplica",SUMIF(TUSD!$G$61:'TUSD'!$G$111,$I$2,TUSD!$AA$61:'TUSD'!$AA$111),IF($F$2&lt;&gt;"Não se aplica",SUMIF(TUSD!$F$61:'TUSD'!$F$111,$I$2,TUSD!$AA$61:'TUSD'!$AA$111),IF($E$2&lt;&gt;"Não se aplica",SUMIF(TUSD!$E$61:'TUSD'!$E$111,$I$2,TUSD!$AA$61:'TUSD'!$AA$111),IF($D$2&lt;&gt;"Não se aplica",SUMIF(TUSD!$D$61:'TUSD'!$D$111,$I$2,TUSD!$AA$61:'TUSD'!$AA$111),IF($C$2&lt;&gt;"Não se aplica",SUMIF(TUSD!$C$61:'TUSD'!$C$111,$I$2,TUSD!$AA$61:'TUSD'!$AA$111),IF($B$2&lt;&gt;"Não se aplica",SUMIF(TUSD!$B$61:'TUSD'!$B$111,$I$2,TUSD!$AA$61:'TUSD'!$AA$111),SUMIF(TUSD!$A$61:'TUSD'!$A$111,$I$2,TUSD!$AA$61:'TUSD'!$AA$111)))))))</f>
        <v>42219.272341807926</v>
      </c>
      <c r="R9" s="18">
        <f ca="1">IF($G$2&lt;&gt;"Não se aplica",SUMIF(TUSD!$G$61:'TUSD'!$G$111,$I$2,TUSD!$AB$61:'TUSD'!$AB$111),IF($F$2&lt;&gt;"Não se aplica",SUMIF(TUSD!$F$61:'TUSD'!$F$111,$I$2,TUSD!$AB$61:'TUSD'!$AB$111),IF($E$2&lt;&gt;"Não se aplica",SUMIF(TUSD!$E$61:'TUSD'!$E$111,$I$2,TUSD!$AB$61:'TUSD'!$AB$111),IF($D$2&lt;&gt;"Não se aplica",SUMIF(TUSD!$D$61:'TUSD'!$D$111,$I$2,TUSD!$AB$61:'TUSD'!$AB$111),IF($C$2&lt;&gt;"Não se aplica",SUMIF(TUSD!$C$61:'TUSD'!$C$111,$I$2,TUSD!$AB$61:'TUSD'!$AB$111),IF($B$2&lt;&gt;"Não se aplica",SUMIF(TUSD!$B$61:'TUSD'!$B$111,$I$2,TUSD!$AB$61:'TUSD'!$AB$111),SUMIF(TUSD!$A$61:'TUSD'!$A$111,$I$2,TUSD!$AB$61:'TUSD'!$AB$111)))))))</f>
        <v>-7536.9189851046212</v>
      </c>
      <c r="S9" s="18">
        <f ca="1">IF($G$2&lt;&gt;"Não se aplica",SUMIF(TUSD!$G$61:'TUSD'!$G$111,$I$2,TUSD!$AC$61:'TUSD'!$AC$111),IF($F$2&lt;&gt;"Não se aplica",SUMIF(TUSD!$F$61:'TUSD'!$F$111,$I$2,TUSD!$AC$61:'TUSD'!$AC$111),IF($E$2&lt;&gt;"Não se aplica",SUMIF(TUSD!$E$61:'TUSD'!$E$111,$I$2,TUSD!$AC$61:'TUSD'!$AC$111),IF($D$2&lt;&gt;"Não se aplica",SUMIF(TUSD!$D$61:'TUSD'!$D$111,$I$2,TUSD!$AC$61:'TUSD'!$AC$111),IF($C$2&lt;&gt;"Não se aplica",SUMIF(TUSD!$C$61:'TUSD'!$C$111,$I$2,TUSD!$AC$61:'TUSD'!$AC$111),IF($B$2&lt;&gt;"Não se aplica",SUMIF(TUSD!$B$61:'TUSD'!$B$111,$I$2,TUSD!$AC$61:'TUSD'!$AC$111),SUMIF(TUSD!$A$61:'TUSD'!$A$111,$I$2,TUSD!$AC$61:'TUSD'!$AC$111)))))))</f>
        <v>0</v>
      </c>
      <c r="T9" s="18">
        <f>IF($G$2&lt;&gt;"Não se aplica",SUMIF(TUSD!$G$61:'TUSD'!$G$111,$I$2,TUSD!$AD$61:'TUSD'!$AD$111),IF($F$2&lt;&gt;"Não se aplica",SUMIF(TUSD!$F$61:'TUSD'!$F$111,$I$2,TUSD!$AD$61:'TUSD'!$AD$111),IF($E$2&lt;&gt;"Não se aplica",SUMIF(TUSD!$E$61:'TUSD'!$E$111,$I$2,TUSD!$AD$61:'TUSD'!$AD$111),IF($D$2&lt;&gt;"Não se aplica",SUMIF(TUSD!$D$61:'TUSD'!$D$111,$I$2,TUSD!$AD$61:'TUSD'!$AD$111),IF($C$2&lt;&gt;"Não se aplica",SUMIF(TUSD!$C$61:'TUSD'!$C$111,$I$2,TUSD!$AD$61:'TUSD'!$AD$111),IF($B$2&lt;&gt;"Não se aplica",SUMIF(TUSD!$B$61:'TUSD'!$B$111,$I$2,TUSD!$AD$61:'TUSD'!$AD$111),SUMIF(TUSD!$A$61:'TUSD'!$A$111,$I$2,TUSD!$AD$61:'TUSD'!$AD$111)))))))</f>
        <v>767.86139319759548</v>
      </c>
      <c r="U9" s="18">
        <f>IF($G$2&lt;&gt;"Não se aplica",SUMIF(TUSD!$G$61:'TUSD'!$G$111,$I$2,TUSD!$AE$61:'TUSD'!$AE$111),IF($F$2&lt;&gt;"Não se aplica",SUMIF(TUSD!$F$61:'TUSD'!$F$111,$I$2,TUSD!$AE$61:'TUSD'!$AE$111),IF($E$2&lt;&gt;"Não se aplica",SUMIF(TUSD!$E$61:'TUSD'!$E$111,$I$2,TUSD!$AE$61:'TUSD'!$AE$111),IF($D$2&lt;&gt;"Não se aplica",SUMIF(TUSD!$D$61:'TUSD'!$D$111,$I$2,TUSD!$AE$61:'TUSD'!$AE$111),IF($C$2&lt;&gt;"Não se aplica",SUMIF(TUSD!$C$61:'TUSD'!$C$111,$I$2,TUSD!$AE$61:'TUSD'!$AE$111),IF($B$2&lt;&gt;"Não se aplica",SUMIF(TUSD!$B$61:'TUSD'!$B$111,$I$2,TUSD!$AE$61:'TUSD'!$AE$111),SUMIF(TUSD!$A$61:'TUSD'!$A$111,$I$2,TUSD!$AE$61:'TUSD'!$AE$111)))))))</f>
        <v>0</v>
      </c>
      <c r="V9" s="18">
        <f ca="1">IF($G$2&lt;&gt;"Não se aplica",SUMIF(TUSD!$G$61:'TUSD'!$G$111,$I$2,TUSD!$AF$61:'TUSD'!$AF$111),IF($F$2&lt;&gt;"Não se aplica",SUMIF(TUSD!$F$61:'TUSD'!$F$111,$I$2,TUSD!$AF$61:'TUSD'!$AF$111),IF($E$2&lt;&gt;"Não se aplica",SUMIF(TUSD!$E$61:'TUSD'!$E$111,$I$2,TUSD!$AF$61:'TUSD'!$AF$111),IF($D$2&lt;&gt;"Não se aplica",SUMIF(TUSD!$D$61:'TUSD'!$D$111,$I$2,TUSD!$AF$61:'TUSD'!$AF$111),IF($C$2&lt;&gt;"Não se aplica",SUMIF(TUSD!$C$61:'TUSD'!$C$111,$I$2,TUSD!$AF$61:'TUSD'!$AF$111),IF($B$2&lt;&gt;"Não se aplica",SUMIF(TUSD!$B$61:'TUSD'!$B$111,$I$2,TUSD!$AF$61:'TUSD'!$AF$111),SUMIF(TUSD!$A$61:'TUSD'!$A$111,$I$2,TUSD!$AF$61:'TUSD'!$AF$111)))))))</f>
        <v>0</v>
      </c>
      <c r="W9" s="18">
        <f ca="1">IF($G$2&lt;&gt;"Não se aplica",SUMIF(TUSD!$G$61:'TUSD'!$G$111,$I$2,TUSD!$AG$61:'TUSD'!$AG$111),IF($F$2&lt;&gt;"Não se aplica",SUMIF(TUSD!$F$61:'TUSD'!$F$111,$I$2,TUSD!$AG$61:'TUSD'!$AG$111),IF($E$2&lt;&gt;"Não se aplica",SUMIF(TUSD!$E$61:'TUSD'!$E$111,$I$2,TUSD!$AG$61:'TUSD'!$AG$111),IF($D$2&lt;&gt;"Não se aplica",SUMIF(TUSD!$D$61:'TUSD'!$D$111,$I$2,TUSD!$AG$61:'TUSD'!$AG$111),IF($C$2&lt;&gt;"Não se aplica",SUMIF(TUSD!$C$61:'TUSD'!$C$111,$I$2,TUSD!$AG$61:'TUSD'!$AG$111),IF($B$2&lt;&gt;"Não se aplica",SUMIF(TUSD!$B$61:'TUSD'!$B$111,$I$2,TUSD!$AG$61:'TUSD'!$AG$111),SUMIF(TUSD!$A$61:'TUSD'!$A$111,$I$2,TUSD!$AG$61:'TUSD'!$AG$111)))))))</f>
        <v>0</v>
      </c>
      <c r="X9" s="18">
        <f t="shared" ca="1" si="0"/>
        <v>2493322.857380704</v>
      </c>
      <c r="AD9" s="14" t="s">
        <v>46</v>
      </c>
    </row>
    <row r="10" spans="1:33" x14ac:dyDescent="0.2">
      <c r="A10" s="14" t="s">
        <v>1075</v>
      </c>
      <c r="B10" s="18">
        <f>SUMIF(TUSD!$A$61:'TUSD'!$A$111,$A$2,TUSD!$AI$61:'TUSD'!$AI$111)</f>
        <v>0</v>
      </c>
      <c r="C10" s="18">
        <f>SUMIF(TUSD!$A$61:'TUSD'!$A$111,$A$2,TUSD!$AJ$61:'TUSD'!$AJ$111)</f>
        <v>578.65186896998819</v>
      </c>
      <c r="D10" s="18">
        <f>SUMIF(TUSD!$A$61:'TUSD'!$A$111,$A$2,TUSD!$AK$61:'TUSD'!$AK$111)</f>
        <v>0</v>
      </c>
      <c r="E10" s="18">
        <f>SUMIF(TUSD!$A$61:'TUSD'!$A$111,$A$2,TUSD!$AL$61:'TUSD'!$AL$111)</f>
        <v>0</v>
      </c>
      <c r="F10" s="18">
        <f>SUMIF(TUSD!$A$61:'TUSD'!$A$111,$A$2,TUSD!$AM$61:'TUSD'!$AM$111)</f>
        <v>0</v>
      </c>
      <c r="G10" s="18">
        <f>SUMIF(TUSD!$A$61:'TUSD'!$A$111,$A$2,TUSD!$AN$61:'TUSD'!$AN$111)</f>
        <v>671680.22862440965</v>
      </c>
      <c r="H10" s="18">
        <f>SUMIF(TUSD!$A$61:'TUSD'!$A$111,$A$2,TUSD!$AO$61:'TUSD'!$AO$111)</f>
        <v>155466.03955755546</v>
      </c>
      <c r="I10" s="18">
        <f>SUMIF(TUSD!$A$61:'TUSD'!$A$111,$A$2,TUSD!$AP$61:'TUSD'!$AP$111)</f>
        <v>0</v>
      </c>
      <c r="J10" s="18">
        <f>SUMIF(TUSD!$A$61:'TUSD'!$A$111,$A$2,TUSD!$AQ$61:'TUSD'!$AQ$111)</f>
        <v>218160.77507665491</v>
      </c>
      <c r="K10" s="18">
        <f>SUMIF(TUSD!$A$61:'TUSD'!$A$111,$A$2,TUSD!$AR$61:'TUSD'!$AR$111)</f>
        <v>92109.589185081713</v>
      </c>
      <c r="L10" s="18">
        <f>SUMIF(TUSD!$A$61:'TUSD'!$A$111,$A$2,TUSD!$AS$61:'TUSD'!$AS$111)</f>
        <v>0</v>
      </c>
      <c r="M10" s="18">
        <f>SUMIF(TUSD!$A$61:'TUSD'!$A$111,$A$2,TUSD!$AT$61:'TUSD'!$AT$111)</f>
        <v>0</v>
      </c>
      <c r="N10" s="18">
        <f>SUMIF(TUSD!$A$61:'TUSD'!$A$111,$A$2,TUSD!$AU$61:'TUSD'!$AU$111)</f>
        <v>959474.97503278544</v>
      </c>
      <c r="O10" s="18">
        <f>SUMIF(TUSD!$A$61:'TUSD'!$A$111,$A$2,TUSD!$AV$61:'TUSD'!$AV$111)</f>
        <v>0</v>
      </c>
      <c r="P10" s="18">
        <f>SUMIF(TUSD!$A$61:'TUSD'!$A$111,$A$2,TUSD!$AW$61:'TUSD'!$AW$111)</f>
        <v>0</v>
      </c>
      <c r="Q10" s="18">
        <f>SUMIF(TUSD!$A$61:'TUSD'!$A$111,$A$2,TUSD!$AX$61:'TUSD'!$AX$111)</f>
        <v>53548.536354146141</v>
      </c>
      <c r="R10" s="18">
        <f>SUMIF(TUSD!$A$61:'TUSD'!$A$111,$A$2,TUSD!$AY$61:'TUSD'!$AY$111)</f>
        <v>-29159.768785012395</v>
      </c>
      <c r="S10" s="18">
        <f>SUMIF(TUSD!$A$61:'TUSD'!$A$111,$A$2,TUSD!$AZ$61:'TUSD'!$AZ$111)</f>
        <v>0</v>
      </c>
      <c r="T10" s="18">
        <f>SUMIF(TUSD!$A$61:'TUSD'!$A$111,$A$2,TUSD!$BA$61:'TUSD'!$BA$111)</f>
        <v>841.28453914260672</v>
      </c>
      <c r="U10" s="18">
        <f>SUMIF(TUSD!$A$61:'TUSD'!$A$111,$A$2,TUSD!$BB$61:'TUSD'!$BB$111)</f>
        <v>23.696395520014036</v>
      </c>
      <c r="V10" s="18">
        <f>SUMIF(TUSD!$A$61:'TUSD'!$A$111,$A$2,TUSD!$BC$61:'TUSD'!$BC$111)</f>
        <v>0</v>
      </c>
      <c r="W10" s="18">
        <f>SUMIF(TUSD!$A$61:'TUSD'!$A$111,$A$2,TUSD!$BD$61:'TUSD'!$BD$111)</f>
        <v>0</v>
      </c>
      <c r="X10" s="18">
        <f t="shared" si="0"/>
        <v>2122724.0078492532</v>
      </c>
      <c r="AD10" s="14" t="s">
        <v>100</v>
      </c>
    </row>
    <row r="11" spans="1:33" x14ac:dyDescent="0.2">
      <c r="A11" s="14" t="s">
        <v>1076</v>
      </c>
      <c r="B11" s="18">
        <f>SUMIF(TUSD!$A$61:'TUSD'!$A$111,$A$2,TUSD!$L$61:'TUSD'!$L$111)</f>
        <v>0</v>
      </c>
      <c r="C11" s="18">
        <f>SUMIF(TUSD!$A$61:'TUSD'!$A$111,$A$2,TUSD!$M$61:'TUSD'!$M$111)</f>
        <v>447.6577725052914</v>
      </c>
      <c r="D11" s="18">
        <f ca="1">SUMIF(TUSD!$A$61:'TUSD'!$A$111,$A$2,TUSD!$N$61:'TUSD'!$N$111)</f>
        <v>0</v>
      </c>
      <c r="E11" s="18">
        <f>SUMIF(TUSD!$A$61:'TUSD'!$A$111,$A$2,TUSD!$O$61:'TUSD'!$O$111)</f>
        <v>0</v>
      </c>
      <c r="F11" s="18">
        <f>SUMIF(TUSD!$A$61:'TUSD'!$A$111,$A$2,TUSD!$P$61:'TUSD'!$P$111)</f>
        <v>0</v>
      </c>
      <c r="G11" s="18">
        <f>SUMIF(TUSD!$A$61:'TUSD'!$A$111,$A$2,TUSD!$Q$61:'TUSD'!$Q$111)</f>
        <v>881188.41235841671</v>
      </c>
      <c r="H11" s="18">
        <f>SUMIF(TUSD!$A$61:'TUSD'!$A$111,$A$2,TUSD!$R$61:'TUSD'!$R$111)</f>
        <v>224816.44537063985</v>
      </c>
      <c r="I11" s="18">
        <f>SUMIF(TUSD!$A$61:'TUSD'!$A$111,$A$2,TUSD!$S$61:'TUSD'!$S$111)</f>
        <v>0</v>
      </c>
      <c r="J11" s="18">
        <f>SUMIF(TUSD!$A$61:'TUSD'!$A$111,$A$2,TUSD!$T$61:'TUSD'!$T$111)</f>
        <v>247654.51231792587</v>
      </c>
      <c r="K11" s="18">
        <f>SUMIF(TUSD!$A$61:'TUSD'!$A$111,$A$2,TUSD!$U$61:'TUSD'!$U$111)</f>
        <v>133386.12167666698</v>
      </c>
      <c r="L11" s="18">
        <f>SUMIF(TUSD!$A$61:'TUSD'!$A$111,$A$2,TUSD!$V$61:'TUSD'!$V$111)</f>
        <v>0</v>
      </c>
      <c r="M11" s="18">
        <f>SUMIF(TUSD!$A$61:'TUSD'!$A$111,$A$2,TUSD!$W$61:'TUSD'!$W$111)</f>
        <v>0</v>
      </c>
      <c r="N11" s="18">
        <f>SUMIF(TUSD!$A$61:'TUSD'!$A$111,$A$2,TUSD!$X$61:'TUSD'!$X$111)</f>
        <v>970379.49313464854</v>
      </c>
      <c r="O11" s="18">
        <f>SUMIF(TUSD!$A$61:'TUSD'!$A$111,$A$2,TUSD!$Y$61:'TUSD'!$Y$111)</f>
        <v>0</v>
      </c>
      <c r="P11" s="18">
        <f>SUMIF(TUSD!$A$61:'TUSD'!$A$111,$A$2,TUSD!$Z$61:'TUSD'!$Z$111)</f>
        <v>0</v>
      </c>
      <c r="Q11" s="18">
        <f>SUMIF(TUSD!$A$61:'TUSD'!$A$111,$A$2,TUSD!$AA$61:'TUSD'!$AA$111)</f>
        <v>42219.272341807926</v>
      </c>
      <c r="R11" s="18">
        <f ca="1">SUMIF(TUSD!$A$61:'TUSD'!$A$111,$A$2,TUSD!$AB$61:'TUSD'!$AB$111)</f>
        <v>-7536.9189851046212</v>
      </c>
      <c r="S11" s="18">
        <f ca="1">SUMIF(TUSD!$A$61:'TUSD'!$A$111,$A$2,TUSD!$AC$61:'TUSD'!$AC$111)</f>
        <v>0</v>
      </c>
      <c r="T11" s="18">
        <f>SUMIF(TUSD!$A$61:'TUSD'!$A$111,$A$2,TUSD!$AD$61:'TUSD'!$AD$111)</f>
        <v>767.86139319759548</v>
      </c>
      <c r="U11" s="18">
        <f>SUMIF(TUSD!$A$61:'TUSD'!$A$111,$A$2,TUSD!$AE$61:'TUSD'!$AE$111)</f>
        <v>0</v>
      </c>
      <c r="V11" s="18">
        <f ca="1">SUMIF(TUSD!$A$61:'TUSD'!$A$111,$A$2,TUSD!$AF$61:'TUSD'!$AF$111)</f>
        <v>0</v>
      </c>
      <c r="W11" s="18">
        <f ca="1">SUMIF(TUSD!$A$61:'TUSD'!$A$111,$A$2,TUSD!$AG$61:'TUSD'!$AG$111)</f>
        <v>0</v>
      </c>
      <c r="X11" s="18">
        <f t="shared" ca="1" si="0"/>
        <v>2493322.857380704</v>
      </c>
    </row>
    <row r="13" spans="1:33" x14ac:dyDescent="0.2">
      <c r="A13" s="14" t="s">
        <v>1080</v>
      </c>
      <c r="B13" s="29">
        <f t="shared" ref="B13:X13" si="1">IF($X$6&lt;&gt;0,(B$7-B$6)/$X$6,0)</f>
        <v>0</v>
      </c>
      <c r="C13" s="29">
        <f t="shared" si="1"/>
        <v>-5.0863520627448676E-4</v>
      </c>
      <c r="D13" s="29">
        <f t="shared" ca="1" si="1"/>
        <v>0</v>
      </c>
      <c r="E13" s="29">
        <f t="shared" si="1"/>
        <v>0</v>
      </c>
      <c r="F13" s="29">
        <f t="shared" si="1"/>
        <v>0</v>
      </c>
      <c r="G13" s="29">
        <f t="shared" si="1"/>
        <v>8.9533265203621162E-2</v>
      </c>
      <c r="H13" s="29">
        <f t="shared" si="1"/>
        <v>1.6922465712858818E-2</v>
      </c>
      <c r="I13" s="29">
        <f t="shared" si="1"/>
        <v>0</v>
      </c>
      <c r="J13" s="29">
        <f t="shared" si="1"/>
        <v>1.0540101764403287E-2</v>
      </c>
      <c r="K13" s="29">
        <f t="shared" si="1"/>
        <v>1.8084622747780423E-2</v>
      </c>
      <c r="L13" s="29">
        <f t="shared" si="1"/>
        <v>8.9542181413470815E-3</v>
      </c>
      <c r="M13" s="29">
        <f t="shared" si="1"/>
        <v>0</v>
      </c>
      <c r="N13" s="29">
        <f t="shared" si="1"/>
        <v>3.9976630153407057E-2</v>
      </c>
      <c r="O13" s="29">
        <f t="shared" si="1"/>
        <v>0</v>
      </c>
      <c r="P13" s="29">
        <f t="shared" si="1"/>
        <v>0</v>
      </c>
      <c r="Q13" s="29">
        <f t="shared" si="1"/>
        <v>-2.3103518691321937E-2</v>
      </c>
      <c r="R13" s="29">
        <f t="shared" ca="1" si="1"/>
        <v>1.543909804736826E-2</v>
      </c>
      <c r="S13" s="29">
        <f t="shared" ca="1" si="1"/>
        <v>0</v>
      </c>
      <c r="T13" s="29">
        <f t="shared" si="1"/>
        <v>-2.6604791045420242E-3</v>
      </c>
      <c r="U13" s="29">
        <f t="shared" si="1"/>
        <v>-1.8544659051156543E-4</v>
      </c>
      <c r="V13" s="29">
        <f t="shared" ca="1" si="1"/>
        <v>0</v>
      </c>
      <c r="W13" s="29">
        <f t="shared" ca="1" si="1"/>
        <v>0</v>
      </c>
      <c r="X13" s="29">
        <f t="shared" ca="1" si="1"/>
        <v>0.17299232217813612</v>
      </c>
    </row>
    <row r="14" spans="1:33" x14ac:dyDescent="0.2">
      <c r="A14" s="14" t="s">
        <v>1081</v>
      </c>
      <c r="B14" s="29">
        <f t="shared" ref="B14:X14" si="2">IF($X$10&lt;&gt;0,(B$9-B$8)/$X$10,0)</f>
        <v>0</v>
      </c>
      <c r="C14" s="29">
        <f t="shared" si="2"/>
        <v>-6.1710375903940601E-5</v>
      </c>
      <c r="D14" s="29">
        <f t="shared" ca="1" si="2"/>
        <v>0</v>
      </c>
      <c r="E14" s="29">
        <f t="shared" si="2"/>
        <v>0</v>
      </c>
      <c r="F14" s="29">
        <f t="shared" si="2"/>
        <v>0</v>
      </c>
      <c r="G14" s="29">
        <f t="shared" si="2"/>
        <v>9.8697797245097835E-2</v>
      </c>
      <c r="H14" s="29">
        <f t="shared" si="2"/>
        <v>3.2670476970461326E-2</v>
      </c>
      <c r="I14" s="29">
        <f t="shared" si="2"/>
        <v>0</v>
      </c>
      <c r="J14" s="29">
        <f t="shared" si="2"/>
        <v>1.3894287308294046E-2</v>
      </c>
      <c r="K14" s="29">
        <f t="shared" si="2"/>
        <v>1.9445077334102754E-2</v>
      </c>
      <c r="L14" s="29">
        <f t="shared" si="2"/>
        <v>0</v>
      </c>
      <c r="M14" s="29">
        <f t="shared" si="2"/>
        <v>0</v>
      </c>
      <c r="N14" s="29">
        <f t="shared" si="2"/>
        <v>5.1370399833144441E-3</v>
      </c>
      <c r="O14" s="29">
        <f t="shared" si="2"/>
        <v>0</v>
      </c>
      <c r="P14" s="29">
        <f t="shared" si="2"/>
        <v>0</v>
      </c>
      <c r="Q14" s="29">
        <f t="shared" si="2"/>
        <v>-5.3371347242720645E-3</v>
      </c>
      <c r="R14" s="29">
        <f t="shared" ca="1" si="2"/>
        <v>1.0186368892023826E-2</v>
      </c>
      <c r="S14" s="29">
        <f t="shared" ca="1" si="2"/>
        <v>0</v>
      </c>
      <c r="T14" s="29">
        <f t="shared" si="2"/>
        <v>-3.4589115529627271E-5</v>
      </c>
      <c r="U14" s="29">
        <f t="shared" si="2"/>
        <v>-1.116320135467034E-5</v>
      </c>
      <c r="V14" s="29">
        <f t="shared" ca="1" si="2"/>
        <v>0</v>
      </c>
      <c r="W14" s="29">
        <f t="shared" ca="1" si="2"/>
        <v>0</v>
      </c>
      <c r="X14" s="29">
        <f t="shared" ca="1" si="2"/>
        <v>0.17458645031623402</v>
      </c>
    </row>
    <row r="15" spans="1:33" x14ac:dyDescent="0.2">
      <c r="A15" s="14" t="s">
        <v>1082</v>
      </c>
      <c r="B15" s="29">
        <f t="shared" ref="B15:X15" si="3">IF($X$8&lt;&gt;0,(B$9-B$8)/$X$8,0)</f>
        <v>0</v>
      </c>
      <c r="C15" s="29">
        <f t="shared" si="3"/>
        <v>-6.1710375903940601E-5</v>
      </c>
      <c r="D15" s="29">
        <f t="shared" ca="1" si="3"/>
        <v>0</v>
      </c>
      <c r="E15" s="29">
        <f t="shared" si="3"/>
        <v>0</v>
      </c>
      <c r="F15" s="29">
        <f t="shared" si="3"/>
        <v>0</v>
      </c>
      <c r="G15" s="29">
        <f t="shared" si="3"/>
        <v>9.8697797245097835E-2</v>
      </c>
      <c r="H15" s="29">
        <f t="shared" si="3"/>
        <v>3.2670476970461326E-2</v>
      </c>
      <c r="I15" s="29">
        <f t="shared" si="3"/>
        <v>0</v>
      </c>
      <c r="J15" s="29">
        <f t="shared" si="3"/>
        <v>1.3894287308294046E-2</v>
      </c>
      <c r="K15" s="29">
        <f t="shared" si="3"/>
        <v>1.9445077334102754E-2</v>
      </c>
      <c r="L15" s="29">
        <f t="shared" si="3"/>
        <v>0</v>
      </c>
      <c r="M15" s="29">
        <f t="shared" si="3"/>
        <v>0</v>
      </c>
      <c r="N15" s="29">
        <f t="shared" si="3"/>
        <v>5.1370399833144441E-3</v>
      </c>
      <c r="O15" s="29">
        <f t="shared" si="3"/>
        <v>0</v>
      </c>
      <c r="P15" s="29">
        <f t="shared" si="3"/>
        <v>0</v>
      </c>
      <c r="Q15" s="29">
        <f t="shared" si="3"/>
        <v>-5.3371347242720645E-3</v>
      </c>
      <c r="R15" s="29">
        <f t="shared" ca="1" si="3"/>
        <v>1.0186368892023826E-2</v>
      </c>
      <c r="S15" s="29">
        <f t="shared" ca="1" si="3"/>
        <v>0</v>
      </c>
      <c r="T15" s="29">
        <f t="shared" si="3"/>
        <v>-3.4589115529627271E-5</v>
      </c>
      <c r="U15" s="29">
        <f t="shared" si="3"/>
        <v>-1.116320135467034E-5</v>
      </c>
      <c r="V15" s="29">
        <f t="shared" ca="1" si="3"/>
        <v>0</v>
      </c>
      <c r="W15" s="29">
        <f t="shared" ca="1" si="3"/>
        <v>0</v>
      </c>
      <c r="X15" s="29">
        <f t="shared" ca="1" si="3"/>
        <v>0.17458645031623402</v>
      </c>
    </row>
  </sheetData>
  <dataValidations count="5">
    <dataValidation type="list" allowBlank="1" showInputMessage="1" showErrorMessage="1" error="Deve-se selecionar grupo válido" sqref="A2:B2" xr:uid="{8389CF95-D8FC-4F0E-8AA7-088BBDDC9C0E}">
      <formula1>AA1:AA7</formula1>
    </dataValidation>
    <dataValidation type="list" allowBlank="1" showInputMessage="1" showErrorMessage="1" error="Deve-se selecionar grupo válido" sqref="C2 E2" xr:uid="{7C90A651-81A0-4FE4-ACBF-4A221E03FB9B}">
      <formula1>AC1:AC4</formula1>
    </dataValidation>
    <dataValidation type="list" allowBlank="1" showInputMessage="1" showErrorMessage="1" error="Deve-se selecionar grupo válido" sqref="D2" xr:uid="{D0EE1F77-F015-4440-A0BA-737BA45F54A0}">
      <formula1>AD1:AD10</formula1>
    </dataValidation>
    <dataValidation type="list" allowBlank="1" showInputMessage="1" showErrorMessage="1" error="Deve-se selecionar grupo válido" sqref="F2" xr:uid="{E101564E-2CEB-4698-A08A-F943C779138F}">
      <formula1>AF1:AF1</formula1>
    </dataValidation>
    <dataValidation type="list" allowBlank="1" showInputMessage="1" showErrorMessage="1" error="Deve-se selecionar grupo válido" sqref="G2" xr:uid="{760DECD0-B91A-46B8-90CD-501A507A4260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FFC7B-B3CE-43D2-AC4F-B07E7745FA80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0.5703125" style="14" bestFit="1" customWidth="1"/>
    <col min="3" max="3" width="10.85546875" style="14" bestFit="1" customWidth="1"/>
    <col min="4" max="5" width="10.28515625" style="14" bestFit="1" customWidth="1"/>
    <col min="6" max="6" width="10.5703125" style="14" bestFit="1" customWidth="1"/>
    <col min="7" max="7" width="14.85546875" style="14" bestFit="1" customWidth="1"/>
    <col min="8" max="8" width="6" style="14" bestFit="1" customWidth="1"/>
    <col min="9" max="9" width="9.5703125" style="14" bestFit="1" customWidth="1"/>
    <col min="10" max="10" width="6.42578125" style="14" bestFit="1" customWidth="1"/>
    <col min="11" max="11" width="9.28515625" style="14" bestFit="1" customWidth="1"/>
    <col min="12" max="12" width="10.7109375" style="14" bestFit="1" customWidth="1"/>
    <col min="13" max="13" width="10.85546875" style="14" bestFit="1" customWidth="1"/>
    <col min="14" max="26" width="9.140625" style="14"/>
    <col min="27" max="27" width="3" style="14" bestFit="1" customWidth="1"/>
    <col min="28" max="28" width="27.1406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72</v>
      </c>
      <c r="B1" s="14" t="s">
        <v>73</v>
      </c>
      <c r="C1" s="14" t="s">
        <v>74</v>
      </c>
      <c r="D1" s="14" t="s">
        <v>75</v>
      </c>
      <c r="E1" s="14" t="s">
        <v>76</v>
      </c>
      <c r="F1" s="14" t="s">
        <v>15</v>
      </c>
      <c r="G1" s="14" t="s">
        <v>78</v>
      </c>
      <c r="I1" s="14" t="s">
        <v>1079</v>
      </c>
      <c r="AA1" s="14" t="s">
        <v>53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53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4" t="s">
        <v>35</v>
      </c>
      <c r="AB2" s="14" t="s">
        <v>81</v>
      </c>
      <c r="AC2" s="14" t="s">
        <v>24</v>
      </c>
      <c r="AD2" s="14" t="s">
        <v>24</v>
      </c>
      <c r="AG2" s="14" t="s">
        <v>83</v>
      </c>
    </row>
    <row r="3" spans="1:33" x14ac:dyDescent="0.2">
      <c r="AA3" s="14" t="s">
        <v>22</v>
      </c>
      <c r="AB3" s="14" t="s">
        <v>90</v>
      </c>
      <c r="AC3" s="14" t="s">
        <v>42</v>
      </c>
      <c r="AD3" s="14" t="s">
        <v>29</v>
      </c>
      <c r="AG3" s="14" t="s">
        <v>84</v>
      </c>
    </row>
    <row r="4" spans="1:33" x14ac:dyDescent="0.2">
      <c r="AA4" s="14" t="s">
        <v>41</v>
      </c>
      <c r="AB4" s="14" t="s">
        <v>96</v>
      </c>
      <c r="AC4" s="14" t="s">
        <v>45</v>
      </c>
      <c r="AD4" s="14" t="s">
        <v>30</v>
      </c>
      <c r="AG4" s="14" t="s">
        <v>88</v>
      </c>
    </row>
    <row r="5" spans="1:33" x14ac:dyDescent="0.2">
      <c r="A5" s="14" t="s">
        <v>1072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482</v>
      </c>
      <c r="AA5" s="14" t="s">
        <v>33</v>
      </c>
      <c r="AD5" s="14" t="s">
        <v>31</v>
      </c>
      <c r="AG5" s="14" t="s">
        <v>94</v>
      </c>
    </row>
    <row r="6" spans="1:33" x14ac:dyDescent="0.2">
      <c r="A6" s="14" t="s">
        <v>1073</v>
      </c>
      <c r="B6" s="18">
        <f>SUM(TE!$X$50:'TE'!$X$89)</f>
        <v>0</v>
      </c>
      <c r="C6" s="18">
        <f>SUM(TE!$Y$50:'TE'!$Y$89)</f>
        <v>3398644.3416723358</v>
      </c>
      <c r="D6" s="18">
        <f>SUM(TE!$Z$50:'TE'!$Z$89)</f>
        <v>0</v>
      </c>
      <c r="E6" s="18">
        <f>SUM(TE!$AA$50:'TE'!$AA$89)</f>
        <v>0</v>
      </c>
      <c r="F6" s="18">
        <f>SUM(TE!$AB$50:'TE'!$AB$89)</f>
        <v>0</v>
      </c>
      <c r="G6" s="18">
        <f>SUM(TE!$AC$50:'TE'!$AC$89)</f>
        <v>71530177.008556828</v>
      </c>
      <c r="H6" s="18">
        <f>SUM(TE!$AD$50:'TE'!$AD$89)</f>
        <v>0</v>
      </c>
      <c r="I6" s="18">
        <f>SUM(TE!$AE$50:'TE'!$AE$89)</f>
        <v>0</v>
      </c>
      <c r="J6" s="18">
        <f>SUM(TE!$AF$50:'TE'!$AF$89)</f>
        <v>0</v>
      </c>
      <c r="K6" s="18">
        <f>SUM(TE!$AG$50:'TE'!$AG$89)</f>
        <v>-916841.30909672007</v>
      </c>
      <c r="L6" s="18">
        <f>SUM(TE!$AH$50:'TE'!$AH$89)</f>
        <v>2014711.3164414209</v>
      </c>
      <c r="M6" s="18">
        <f t="shared" ref="M6:M11" si="0">SUM(B6:L6)</f>
        <v>76026691.357573852</v>
      </c>
      <c r="AA6" s="14" t="s">
        <v>44</v>
      </c>
      <c r="AD6" s="14" t="s">
        <v>32</v>
      </c>
    </row>
    <row r="7" spans="1:33" x14ac:dyDescent="0.2">
      <c r="A7" s="14" t="s">
        <v>1074</v>
      </c>
      <c r="B7" s="18">
        <f>SUM(TE!$L$50:'TE'!$L$89)</f>
        <v>0</v>
      </c>
      <c r="C7" s="18">
        <f>SUM(TE!$M$50:'TE'!$M$89)</f>
        <v>16499178.614683894</v>
      </c>
      <c r="D7" s="18">
        <f>SUM(TE!$N$50:'TE'!$N$89)</f>
        <v>0</v>
      </c>
      <c r="E7" s="18">
        <f>SUM(TE!$O$50:'TE'!$O$89)</f>
        <v>0</v>
      </c>
      <c r="F7" s="18">
        <f>SUM(TE!$P$50:'TE'!$P$89)</f>
        <v>-6456334.7339781793</v>
      </c>
      <c r="G7" s="18">
        <f>SUM(TE!$Q$50:'TE'!$Q$89)</f>
        <v>71920763.990309417</v>
      </c>
      <c r="H7" s="18">
        <f>SUM(TE!$R$50:'TE'!$R$89)</f>
        <v>0</v>
      </c>
      <c r="I7" s="18">
        <f>SUM(TE!$S$50:'TE'!$S$89)</f>
        <v>0</v>
      </c>
      <c r="J7" s="18">
        <f>SUM(TE!$T$50:'TE'!$T$89)</f>
        <v>0</v>
      </c>
      <c r="K7" s="18">
        <f>SUM(TE!$U$50:'TE'!$U$89)</f>
        <v>-234360.11294860195</v>
      </c>
      <c r="L7" s="18">
        <f>SUM(TE!$V$50:'TE'!$V$89)</f>
        <v>1848111.1460070817</v>
      </c>
      <c r="M7" s="18">
        <f t="shared" si="0"/>
        <v>83577358.904073611</v>
      </c>
      <c r="AD7" s="14" t="s">
        <v>98</v>
      </c>
    </row>
    <row r="8" spans="1:33" x14ac:dyDescent="0.2">
      <c r="A8" s="14" t="s">
        <v>1077</v>
      </c>
      <c r="B8" s="18">
        <f>IF($G$2&lt;&gt;"Não se aplica",SUMIF(TE!$G$50:'TE'!$G$89,$I$2,TE!$X$50:'TE'!$X$89),IF($F$2&lt;&gt;"Não se aplica",SUMIF(TE!$F$50:'TE'!$F$89,$I$2,TE!$X$50:'TE'!$X$89),IF($E$2&lt;&gt;"Não se aplica",SUMIF(TE!$E$50:'TE'!$E$89,$I$2,TE!$X$50:'TE'!$X$89),IF($D$2&lt;&gt;"Não se aplica",SUMIF(TE!$D$50:'TE'!$D$89,$I$2,TE!$X$50:'TE'!$X$89),IF($C$2&lt;&gt;"Não se aplica",SUMIF(TE!$C$50:'TE'!$C$89,$I$2,TE!$X$50:'TE'!$X$89),IF($B$2&lt;&gt;"Não se aplica",SUMIF(TE!$B$50:'TE'!$B$89,$I$2,TE!$X$50:'TE'!$X$89),SUMIF(TE!$A$50:'TE'!$A$89,$I$2,TE!$X$50:'TE'!$X$89)))))))</f>
        <v>0</v>
      </c>
      <c r="C8" s="18">
        <f>IF($G$2&lt;&gt;"Não se aplica",SUMIF(TE!$G$50:'TE'!$G$89,$I$2,TE!$Y$50:'TE'!$Y$89),IF($F$2&lt;&gt;"Não se aplica",SUMIF(TE!$F$50:'TE'!$F$89,$I$2,TE!$Y$50:'TE'!$Y$89),IF($E$2&lt;&gt;"Não se aplica",SUMIF(TE!$E$50:'TE'!$E$89,$I$2,TE!$Y$50:'TE'!$Y$89),IF($D$2&lt;&gt;"Não se aplica",SUMIF(TE!$D$50:'TE'!$D$89,$I$2,TE!$Y$50:'TE'!$Y$89),IF($C$2&lt;&gt;"Não se aplica",SUMIF(TE!$C$50:'TE'!$C$89,$I$2,TE!$Y$50:'TE'!$Y$89),IF($B$2&lt;&gt;"Não se aplica",SUMIF(TE!$B$50:'TE'!$B$89,$I$2,TE!$Y$50:'TE'!$Y$89),SUMIF(TE!$A$50:'TE'!$A$89,$I$2,TE!$Y$50:'TE'!$Y$89)))))))</f>
        <v>0</v>
      </c>
      <c r="D8" s="18">
        <f>IF($G$2&lt;&gt;"Não se aplica",SUMIF(TE!$G$50:'TE'!$G$89,$I$2,TE!$Z$50:'TE'!$Z$89),IF($F$2&lt;&gt;"Não se aplica",SUMIF(TE!$F$50:'TE'!$F$89,$I$2,TE!$Z$50:'TE'!$Z$89),IF($E$2&lt;&gt;"Não se aplica",SUMIF(TE!$E$50:'TE'!$E$89,$I$2,TE!$Z$50:'TE'!$Z$89),IF($D$2&lt;&gt;"Não se aplica",SUMIF(TE!$D$50:'TE'!$D$89,$I$2,TE!$Z$50:'TE'!$Z$89),IF($C$2&lt;&gt;"Não se aplica",SUMIF(TE!$C$50:'TE'!$C$89,$I$2,TE!$Z$50:'TE'!$Z$89),IF($B$2&lt;&gt;"Não se aplica",SUMIF(TE!$B$50:'TE'!$B$89,$I$2,TE!$Z$50:'TE'!$Z$89),SUMIF(TE!$A$50:'TE'!$A$89,$I$2,TE!$Z$50:'TE'!$Z$89)))))))</f>
        <v>0</v>
      </c>
      <c r="E8" s="18">
        <f>IF($G$2&lt;&gt;"Não se aplica",SUMIF(TE!$G$50:'TE'!$G$89,$I$2,TE!$AA$50:'TE'!$AA$89),IF($F$2&lt;&gt;"Não se aplica",SUMIF(TE!$F$50:'TE'!$F$89,$I$2,TE!$AA$50:'TE'!$AA$89),IF($E$2&lt;&gt;"Não se aplica",SUMIF(TE!$E$50:'TE'!$E$89,$I$2,TE!$AA$50:'TE'!$AA$89),IF($D$2&lt;&gt;"Não se aplica",SUMIF(TE!$D$50:'TE'!$D$89,$I$2,TE!$AA$50:'TE'!$AA$89),IF($C$2&lt;&gt;"Não se aplica",SUMIF(TE!$C$50:'TE'!$C$89,$I$2,TE!$AA$50:'TE'!$AA$89),IF($B$2&lt;&gt;"Não se aplica",SUMIF(TE!$B$50:'TE'!$B$89,$I$2,TE!$AA$50:'TE'!$AA$89),SUMIF(TE!$A$50:'TE'!$A$89,$I$2,TE!$AA$50:'TE'!$AA$89)))))))</f>
        <v>0</v>
      </c>
      <c r="F8" s="18">
        <f>IF($G$2&lt;&gt;"Não se aplica",SUMIF(TE!$G$50:'TE'!$G$89,$I$2,TE!$AB$50:'TE'!$AB$89),IF($F$2&lt;&gt;"Não se aplica",SUMIF(TE!$F$50:'TE'!$F$89,$I$2,TE!$AB$50:'TE'!$AB$89),IF($E$2&lt;&gt;"Não se aplica",SUMIF(TE!$E$50:'TE'!$E$89,$I$2,TE!$AB$50:'TE'!$AB$89),IF($D$2&lt;&gt;"Não se aplica",SUMIF(TE!$D$50:'TE'!$D$89,$I$2,TE!$AB$50:'TE'!$AB$89),IF($C$2&lt;&gt;"Não se aplica",SUMIF(TE!$C$50:'TE'!$C$89,$I$2,TE!$AB$50:'TE'!$AB$89),IF($B$2&lt;&gt;"Não se aplica",SUMIF(TE!$B$50:'TE'!$B$89,$I$2,TE!$AB$50:'TE'!$AB$89),SUMIF(TE!$A$50:'TE'!$A$89,$I$2,TE!$AB$50:'TE'!$AB$89)))))))</f>
        <v>0</v>
      </c>
      <c r="G8" s="18">
        <f>IF($G$2&lt;&gt;"Não se aplica",SUMIF(TE!$G$50:'TE'!$G$89,$I$2,TE!$AC$50:'TE'!$AC$89),IF($F$2&lt;&gt;"Não se aplica",SUMIF(TE!$F$50:'TE'!$F$89,$I$2,TE!$AC$50:'TE'!$AC$89),IF($E$2&lt;&gt;"Não se aplica",SUMIF(TE!$E$50:'TE'!$E$89,$I$2,TE!$AC$50:'TE'!$AC$89),IF($D$2&lt;&gt;"Não se aplica",SUMIF(TE!$D$50:'TE'!$D$89,$I$2,TE!$AC$50:'TE'!$AC$89),IF($C$2&lt;&gt;"Não se aplica",SUMIF(TE!$C$50:'TE'!$C$89,$I$2,TE!$AC$50:'TE'!$AC$89),IF($B$2&lt;&gt;"Não se aplica",SUMIF(TE!$B$50:'TE'!$B$89,$I$2,TE!$AC$50:'TE'!$AC$89),SUMIF(TE!$A$50:'TE'!$A$89,$I$2,TE!$AC$50:'TE'!$AC$89)))))))</f>
        <v>0</v>
      </c>
      <c r="H8" s="18">
        <f>IF($G$2&lt;&gt;"Não se aplica",SUMIF(TE!$G$50:'TE'!$G$89,$I$2,TE!$AD$50:'TE'!$AD$89),IF($F$2&lt;&gt;"Não se aplica",SUMIF(TE!$F$50:'TE'!$F$89,$I$2,TE!$AD$50:'TE'!$AD$89),IF($E$2&lt;&gt;"Não se aplica",SUMIF(TE!$E$50:'TE'!$E$89,$I$2,TE!$AD$50:'TE'!$AD$89),IF($D$2&lt;&gt;"Não se aplica",SUMIF(TE!$D$50:'TE'!$D$89,$I$2,TE!$AD$50:'TE'!$AD$89),IF($C$2&lt;&gt;"Não se aplica",SUMIF(TE!$C$50:'TE'!$C$89,$I$2,TE!$AD$50:'TE'!$AD$89),IF($B$2&lt;&gt;"Não se aplica",SUMIF(TE!$B$50:'TE'!$B$89,$I$2,TE!$AD$50:'TE'!$AD$89),SUMIF(TE!$A$50:'TE'!$A$89,$I$2,TE!$AD$50:'TE'!$AD$89)))))))</f>
        <v>0</v>
      </c>
      <c r="I8" s="18">
        <f>IF($G$2&lt;&gt;"Não se aplica",SUMIF(TE!$G$50:'TE'!$G$89,$I$2,TE!$AE$50:'TE'!$AE$89),IF($F$2&lt;&gt;"Não se aplica",SUMIF(TE!$F$50:'TE'!$F$89,$I$2,TE!$AE$50:'TE'!$AE$89),IF($E$2&lt;&gt;"Não se aplica",SUMIF(TE!$E$50:'TE'!$E$89,$I$2,TE!$AE$50:'TE'!$AE$89),IF($D$2&lt;&gt;"Não se aplica",SUMIF(TE!$D$50:'TE'!$D$89,$I$2,TE!$AE$50:'TE'!$AE$89),IF($C$2&lt;&gt;"Não se aplica",SUMIF(TE!$C$50:'TE'!$C$89,$I$2,TE!$AE$50:'TE'!$AE$89),IF($B$2&lt;&gt;"Não se aplica",SUMIF(TE!$B$50:'TE'!$B$89,$I$2,TE!$AE$50:'TE'!$AE$89),SUMIF(TE!$A$50:'TE'!$A$89,$I$2,TE!$AE$50:'TE'!$AE$89)))))))</f>
        <v>0</v>
      </c>
      <c r="J8" s="18">
        <f>IF($G$2&lt;&gt;"Não se aplica",SUMIF(TE!$G$50:'TE'!$G$89,$I$2,TE!$AF$50:'TE'!$AF$89),IF($F$2&lt;&gt;"Não se aplica",SUMIF(TE!$F$50:'TE'!$F$89,$I$2,TE!$AF$50:'TE'!$AF$89),IF($E$2&lt;&gt;"Não se aplica",SUMIF(TE!$E$50:'TE'!$E$89,$I$2,TE!$AF$50:'TE'!$AF$89),IF($D$2&lt;&gt;"Não se aplica",SUMIF(TE!$D$50:'TE'!$D$89,$I$2,TE!$AF$50:'TE'!$AF$89),IF($C$2&lt;&gt;"Não se aplica",SUMIF(TE!$C$50:'TE'!$C$89,$I$2,TE!$AF$50:'TE'!$AF$89),IF($B$2&lt;&gt;"Não se aplica",SUMIF(TE!$B$50:'TE'!$B$89,$I$2,TE!$AF$50:'TE'!$AF$89),SUMIF(TE!$A$50:'TE'!$A$89,$I$2,TE!$AF$50:'TE'!$AF$89)))))))</f>
        <v>0</v>
      </c>
      <c r="K8" s="18">
        <f>IF($G$2&lt;&gt;"Não se aplica",SUMIF(TE!$G$50:'TE'!$G$89,$I$2,TE!$AG$50:'TE'!$AG$89),IF($F$2&lt;&gt;"Não se aplica",SUMIF(TE!$F$50:'TE'!$F$89,$I$2,TE!$AG$50:'TE'!$AG$89),IF($E$2&lt;&gt;"Não se aplica",SUMIF(TE!$E$50:'TE'!$E$89,$I$2,TE!$AG$50:'TE'!$AG$89),IF($D$2&lt;&gt;"Não se aplica",SUMIF(TE!$D$50:'TE'!$D$89,$I$2,TE!$AG$50:'TE'!$AG$89),IF($C$2&lt;&gt;"Não se aplica",SUMIF(TE!$C$50:'TE'!$C$89,$I$2,TE!$AG$50:'TE'!$AG$89),IF($B$2&lt;&gt;"Não se aplica",SUMIF(TE!$B$50:'TE'!$B$89,$I$2,TE!$AG$50:'TE'!$AG$89),SUMIF(TE!$A$50:'TE'!$A$89,$I$2,TE!$AG$50:'TE'!$AG$89)))))))</f>
        <v>0</v>
      </c>
      <c r="L8" s="18">
        <f>IF($G$2&lt;&gt;"Não se aplica",SUMIF(TE!$G$50:'TE'!$G$89,$I$2,TE!$AH$50:'TE'!$AH$89),IF($F$2&lt;&gt;"Não se aplica",SUMIF(TE!$F$50:'TE'!$F$89,$I$2,TE!$AH$50:'TE'!$AH$89),IF($E$2&lt;&gt;"Não se aplica",SUMIF(TE!$E$50:'TE'!$E$89,$I$2,TE!$AH$50:'TE'!$AH$89),IF($D$2&lt;&gt;"Não se aplica",SUMIF(TE!$D$50:'TE'!$D$89,$I$2,TE!$AH$50:'TE'!$AH$89),IF($C$2&lt;&gt;"Não se aplica",SUMIF(TE!$C$50:'TE'!$C$89,$I$2,TE!$AH$50:'TE'!$AH$89),IF($B$2&lt;&gt;"Não se aplica",SUMIF(TE!$B$50:'TE'!$B$89,$I$2,TE!$AH$50:'TE'!$AH$89),SUMIF(TE!$A$50:'TE'!$A$89,$I$2,TE!$AH$50:'TE'!$AH$89)))))))</f>
        <v>0</v>
      </c>
      <c r="M8" s="18">
        <f t="shared" si="0"/>
        <v>0</v>
      </c>
      <c r="AD8" s="14" t="s">
        <v>99</v>
      </c>
    </row>
    <row r="9" spans="1:33" x14ac:dyDescent="0.2">
      <c r="A9" s="14" t="s">
        <v>1078</v>
      </c>
      <c r="B9" s="18">
        <f>IF($G$2&lt;&gt;"Não se aplica",SUMIF(TE!$G$50:'TE'!$G$89,$I$2,TE!$L$50:'TE'!$L$89),IF($F$2&lt;&gt;"Não se aplica",SUMIF(TE!$F$50:'TE'!$F$89,$I$2,TE!$L$50:'TE'!$L$89),IF($E$2&lt;&gt;"Não se aplica",SUMIF(TE!$E$50:'TE'!$E$89,$I$2,TE!$L$50:'TE'!$L$89),IF($D$2&lt;&gt;"Não se aplica",SUMIF(TE!$D$50:'TE'!$D$89,$I$2,TE!$L$50:'TE'!$L$89),IF($C$2&lt;&gt;"Não se aplica",SUMIF(TE!$C$50:'TE'!$C$89,$I$2,TE!$L$50:'TE'!$L$89),IF($B$2&lt;&gt;"Não se aplica",SUMIF(TE!$B$50:'TE'!$B$89,$I$2,TE!$L$50:'TE'!$L$89),SUMIF(TE!$A$50:'TE'!$A$89,$I$2,TE!$L$50:'TE'!$L$89)))))))</f>
        <v>0</v>
      </c>
      <c r="C9" s="18">
        <f>IF($G$2&lt;&gt;"Não se aplica",SUMIF(TE!$G$50:'TE'!$G$89,$I$2,TE!$M$50:'TE'!$M$89),IF($F$2&lt;&gt;"Não se aplica",SUMIF(TE!$F$50:'TE'!$F$89,$I$2,TE!$M$50:'TE'!$M$89),IF($E$2&lt;&gt;"Não se aplica",SUMIF(TE!$E$50:'TE'!$E$89,$I$2,TE!$M$50:'TE'!$M$89),IF($D$2&lt;&gt;"Não se aplica",SUMIF(TE!$D$50:'TE'!$D$89,$I$2,TE!$M$50:'TE'!$M$89),IF($C$2&lt;&gt;"Não se aplica",SUMIF(TE!$C$50:'TE'!$C$89,$I$2,TE!$M$50:'TE'!$M$89),IF($B$2&lt;&gt;"Não se aplica",SUMIF(TE!$B$50:'TE'!$B$89,$I$2,TE!$M$50:'TE'!$M$89),SUMIF(TE!$A$50:'TE'!$A$89,$I$2,TE!$M$50:'TE'!$M$89)))))))</f>
        <v>0</v>
      </c>
      <c r="D9" s="18">
        <f>IF($G$2&lt;&gt;"Não se aplica",SUMIF(TE!$G$50:'TE'!$G$89,$I$2,TE!$N$50:'TE'!$N$89),IF($F$2&lt;&gt;"Não se aplica",SUMIF(TE!$F$50:'TE'!$F$89,$I$2,TE!$N$50:'TE'!$N$89),IF($E$2&lt;&gt;"Não se aplica",SUMIF(TE!$E$50:'TE'!$E$89,$I$2,TE!$N$50:'TE'!$N$89),IF($D$2&lt;&gt;"Não se aplica",SUMIF(TE!$D$50:'TE'!$D$89,$I$2,TE!$N$50:'TE'!$N$89),IF($C$2&lt;&gt;"Não se aplica",SUMIF(TE!$C$50:'TE'!$C$89,$I$2,TE!$N$50:'TE'!$N$89),IF($B$2&lt;&gt;"Não se aplica",SUMIF(TE!$B$50:'TE'!$B$89,$I$2,TE!$N$50:'TE'!$N$89),SUMIF(TE!$A$50:'TE'!$A$89,$I$2,TE!$N$50:'TE'!$N$89)))))))</f>
        <v>0</v>
      </c>
      <c r="E9" s="18">
        <f>IF($G$2&lt;&gt;"Não se aplica",SUMIF(TE!$G$50:'TE'!$G$89,$I$2,TE!$O$50:'TE'!$O$89),IF($F$2&lt;&gt;"Não se aplica",SUMIF(TE!$F$50:'TE'!$F$89,$I$2,TE!$O$50:'TE'!$O$89),IF($E$2&lt;&gt;"Não se aplica",SUMIF(TE!$E$50:'TE'!$E$89,$I$2,TE!$O$50:'TE'!$O$89),IF($D$2&lt;&gt;"Não se aplica",SUMIF(TE!$D$50:'TE'!$D$89,$I$2,TE!$O$50:'TE'!$O$89),IF($C$2&lt;&gt;"Não se aplica",SUMIF(TE!$C$50:'TE'!$C$89,$I$2,TE!$O$50:'TE'!$O$89),IF($B$2&lt;&gt;"Não se aplica",SUMIF(TE!$B$50:'TE'!$B$89,$I$2,TE!$O$50:'TE'!$O$89),SUMIF(TE!$A$50:'TE'!$A$89,$I$2,TE!$O$50:'TE'!$O$89)))))))</f>
        <v>0</v>
      </c>
      <c r="F9" s="18">
        <f>IF($G$2&lt;&gt;"Não se aplica",SUMIF(TE!$G$50:'TE'!$G$89,$I$2,TE!$P$50:'TE'!$P$89),IF($F$2&lt;&gt;"Não se aplica",SUMIF(TE!$F$50:'TE'!$F$89,$I$2,TE!$P$50:'TE'!$P$89),IF($E$2&lt;&gt;"Não se aplica",SUMIF(TE!$E$50:'TE'!$E$89,$I$2,TE!$P$50:'TE'!$P$89),IF($D$2&lt;&gt;"Não se aplica",SUMIF(TE!$D$50:'TE'!$D$89,$I$2,TE!$P$50:'TE'!$P$89),IF($C$2&lt;&gt;"Não se aplica",SUMIF(TE!$C$50:'TE'!$C$89,$I$2,TE!$P$50:'TE'!$P$89),IF($B$2&lt;&gt;"Não se aplica",SUMIF(TE!$B$50:'TE'!$B$89,$I$2,TE!$P$50:'TE'!$P$89),SUMIF(TE!$A$50:'TE'!$A$89,$I$2,TE!$P$50:'TE'!$P$89)))))))</f>
        <v>0</v>
      </c>
      <c r="G9" s="18">
        <f>IF($G$2&lt;&gt;"Não se aplica",SUMIF(TE!$G$50:'TE'!$G$89,$I$2,TE!$Q$50:'TE'!$Q$89),IF($F$2&lt;&gt;"Não se aplica",SUMIF(TE!$F$50:'TE'!$F$89,$I$2,TE!$Q$50:'TE'!$Q$89),IF($E$2&lt;&gt;"Não se aplica",SUMIF(TE!$E$50:'TE'!$E$89,$I$2,TE!$Q$50:'TE'!$Q$89),IF($D$2&lt;&gt;"Não se aplica",SUMIF(TE!$D$50:'TE'!$D$89,$I$2,TE!$Q$50:'TE'!$Q$89),IF($C$2&lt;&gt;"Não se aplica",SUMIF(TE!$C$50:'TE'!$C$89,$I$2,TE!$Q$50:'TE'!$Q$89),IF($B$2&lt;&gt;"Não se aplica",SUMIF(TE!$B$50:'TE'!$B$89,$I$2,TE!$Q$50:'TE'!$Q$89),SUMIF(TE!$A$50:'TE'!$A$89,$I$2,TE!$Q$50:'TE'!$Q$89)))))))</f>
        <v>0</v>
      </c>
      <c r="H9" s="18">
        <f>IF($G$2&lt;&gt;"Não se aplica",SUMIF(TE!$G$50:'TE'!$G$89,$I$2,TE!$R$50:'TE'!$R$89),IF($F$2&lt;&gt;"Não se aplica",SUMIF(TE!$F$50:'TE'!$F$89,$I$2,TE!$R$50:'TE'!$R$89),IF($E$2&lt;&gt;"Não se aplica",SUMIF(TE!$E$50:'TE'!$E$89,$I$2,TE!$R$50:'TE'!$R$89),IF($D$2&lt;&gt;"Não se aplica",SUMIF(TE!$D$50:'TE'!$D$89,$I$2,TE!$R$50:'TE'!$R$89),IF($C$2&lt;&gt;"Não se aplica",SUMIF(TE!$C$50:'TE'!$C$89,$I$2,TE!$R$50:'TE'!$R$89),IF($B$2&lt;&gt;"Não se aplica",SUMIF(TE!$B$50:'TE'!$B$89,$I$2,TE!$R$50:'TE'!$R$89),SUMIF(TE!$A$50:'TE'!$A$89,$I$2,TE!$R$50:'TE'!$R$89)))))))</f>
        <v>0</v>
      </c>
      <c r="I9" s="18">
        <f>IF($G$2&lt;&gt;"Não se aplica",SUMIF(TE!$G$50:'TE'!$G$89,$I$2,TE!$S$50:'TE'!$S$89),IF($F$2&lt;&gt;"Não se aplica",SUMIF(TE!$F$50:'TE'!$F$89,$I$2,TE!$S$50:'TE'!$S$89),IF($E$2&lt;&gt;"Não se aplica",SUMIF(TE!$E$50:'TE'!$E$89,$I$2,TE!$S$50:'TE'!$S$89),IF($D$2&lt;&gt;"Não se aplica",SUMIF(TE!$D$50:'TE'!$D$89,$I$2,TE!$S$50:'TE'!$S$89),IF($C$2&lt;&gt;"Não se aplica",SUMIF(TE!$C$50:'TE'!$C$89,$I$2,TE!$S$50:'TE'!$S$89),IF($B$2&lt;&gt;"Não se aplica",SUMIF(TE!$B$50:'TE'!$B$89,$I$2,TE!$S$50:'TE'!$S$89),SUMIF(TE!$A$50:'TE'!$A$89,$I$2,TE!$S$50:'TE'!$S$89)))))))</f>
        <v>0</v>
      </c>
      <c r="J9" s="18">
        <f>IF($G$2&lt;&gt;"Não se aplica",SUMIF(TE!$G$50:'TE'!$G$89,$I$2,TE!$T$50:'TE'!$T$89),IF($F$2&lt;&gt;"Não se aplica",SUMIF(TE!$F$50:'TE'!$F$89,$I$2,TE!$T$50:'TE'!$T$89),IF($E$2&lt;&gt;"Não se aplica",SUMIF(TE!$E$50:'TE'!$E$89,$I$2,TE!$T$50:'TE'!$T$89),IF($D$2&lt;&gt;"Não se aplica",SUMIF(TE!$D$50:'TE'!$D$89,$I$2,TE!$T$50:'TE'!$T$89),IF($C$2&lt;&gt;"Não se aplica",SUMIF(TE!$C$50:'TE'!$C$89,$I$2,TE!$T$50:'TE'!$T$89),IF($B$2&lt;&gt;"Não se aplica",SUMIF(TE!$B$50:'TE'!$B$89,$I$2,TE!$T$50:'TE'!$T$89),SUMIF(TE!$A$50:'TE'!$A$89,$I$2,TE!$T$50:'TE'!$T$89)))))))</f>
        <v>0</v>
      </c>
      <c r="K9" s="18">
        <f>IF($G$2&lt;&gt;"Não se aplica",SUMIF(TE!$G$50:'TE'!$G$89,$I$2,TE!$U$50:'TE'!$U$89),IF($F$2&lt;&gt;"Não se aplica",SUMIF(TE!$F$50:'TE'!$F$89,$I$2,TE!$U$50:'TE'!$U$89),IF($E$2&lt;&gt;"Não se aplica",SUMIF(TE!$E$50:'TE'!$E$89,$I$2,TE!$U$50:'TE'!$U$89),IF($D$2&lt;&gt;"Não se aplica",SUMIF(TE!$D$50:'TE'!$D$89,$I$2,TE!$U$50:'TE'!$U$89),IF($C$2&lt;&gt;"Não se aplica",SUMIF(TE!$C$50:'TE'!$C$89,$I$2,TE!$U$50:'TE'!$U$89),IF($B$2&lt;&gt;"Não se aplica",SUMIF(TE!$B$50:'TE'!$B$89,$I$2,TE!$U$50:'TE'!$U$89),SUMIF(TE!$A$50:'TE'!$A$89,$I$2,TE!$U$50:'TE'!$U$89)))))))</f>
        <v>0</v>
      </c>
      <c r="L9" s="18">
        <f>IF($G$2&lt;&gt;"Não se aplica",SUMIF(TE!$G$50:'TE'!$G$89,$I$2,TE!$V$50:'TE'!$V$89),IF($F$2&lt;&gt;"Não se aplica",SUMIF(TE!$F$50:'TE'!$F$89,$I$2,TE!$V$50:'TE'!$V$89),IF($E$2&lt;&gt;"Não se aplica",SUMIF(TE!$E$50:'TE'!$E$89,$I$2,TE!$V$50:'TE'!$V$89),IF($D$2&lt;&gt;"Não se aplica",SUMIF(TE!$D$50:'TE'!$D$89,$I$2,TE!$V$50:'TE'!$V$89),IF($C$2&lt;&gt;"Não se aplica",SUMIF(TE!$C$50:'TE'!$C$89,$I$2,TE!$V$50:'TE'!$V$89),IF($B$2&lt;&gt;"Não se aplica",SUMIF(TE!$B$50:'TE'!$B$89,$I$2,TE!$V$50:'TE'!$V$89),SUMIF(TE!$A$50:'TE'!$A$89,$I$2,TE!$V$50:'TE'!$V$89)))))))</f>
        <v>0</v>
      </c>
      <c r="M9" s="18">
        <f t="shared" si="0"/>
        <v>0</v>
      </c>
      <c r="AD9" s="14" t="s">
        <v>46</v>
      </c>
    </row>
    <row r="10" spans="1:33" x14ac:dyDescent="0.2">
      <c r="A10" s="14" t="s">
        <v>1075</v>
      </c>
      <c r="B10" s="18">
        <f>SUMIF(TE!$A$50:'TE'!$A$89,$A$2,TE!$X$50:'TE'!$X$89)</f>
        <v>0</v>
      </c>
      <c r="C10" s="18">
        <f>SUMIF(TE!$A$50:'TE'!$A$89,$A$2,TE!$Y$50:'TE'!$Y$89)</f>
        <v>0</v>
      </c>
      <c r="D10" s="18">
        <f>SUMIF(TE!$A$50:'TE'!$A$89,$A$2,TE!$Z$50:'TE'!$Z$89)</f>
        <v>0</v>
      </c>
      <c r="E10" s="18">
        <f>SUMIF(TE!$A$50:'TE'!$A$89,$A$2,TE!$AA$50:'TE'!$AA$89)</f>
        <v>0</v>
      </c>
      <c r="F10" s="18">
        <f>SUMIF(TE!$A$50:'TE'!$A$89,$A$2,TE!$AB$50:'TE'!$AB$89)</f>
        <v>0</v>
      </c>
      <c r="G10" s="18">
        <f>SUMIF(TE!$A$50:'TE'!$A$89,$A$2,TE!$AC$50:'TE'!$AC$89)</f>
        <v>0</v>
      </c>
      <c r="H10" s="18">
        <f>SUMIF(TE!$A$50:'TE'!$A$89,$A$2,TE!$AD$50:'TE'!$AD$89)</f>
        <v>0</v>
      </c>
      <c r="I10" s="18">
        <f>SUMIF(TE!$A$50:'TE'!$A$89,$A$2,TE!$AE$50:'TE'!$AE$89)</f>
        <v>0</v>
      </c>
      <c r="J10" s="18">
        <f>SUMIF(TE!$A$50:'TE'!$A$89,$A$2,TE!$AF$50:'TE'!$AF$89)</f>
        <v>0</v>
      </c>
      <c r="K10" s="18">
        <f>SUMIF(TE!$A$50:'TE'!$A$89,$A$2,TE!$AG$50:'TE'!$AG$89)</f>
        <v>0</v>
      </c>
      <c r="L10" s="18">
        <f>SUMIF(TE!$A$50:'TE'!$A$89,$A$2,TE!$AH$50:'TE'!$AH$89)</f>
        <v>0</v>
      </c>
      <c r="M10" s="18">
        <f t="shared" si="0"/>
        <v>0</v>
      </c>
      <c r="AD10" s="14" t="s">
        <v>100</v>
      </c>
    </row>
    <row r="11" spans="1:33" x14ac:dyDescent="0.2">
      <c r="A11" s="14" t="s">
        <v>1076</v>
      </c>
      <c r="B11" s="18">
        <f>SUMIF(TE!$A$50:'TE'!$A$89,$A$2,TE!$L$50:'TE'!$L$89)</f>
        <v>0</v>
      </c>
      <c r="C11" s="18">
        <f>SUMIF(TE!$A$50:'TE'!$A$89,$A$2,TE!$M$50:'TE'!$M$89)</f>
        <v>0</v>
      </c>
      <c r="D11" s="18">
        <f>SUMIF(TE!$A$50:'TE'!$A$89,$A$2,TE!$N$50:'TE'!$N$89)</f>
        <v>0</v>
      </c>
      <c r="E11" s="18">
        <f>SUMIF(TE!$A$50:'TE'!$A$89,$A$2,TE!$O$50:'TE'!$O$89)</f>
        <v>0</v>
      </c>
      <c r="F11" s="18">
        <f>SUMIF(TE!$A$50:'TE'!$A$89,$A$2,TE!$P$50:'TE'!$P$89)</f>
        <v>0</v>
      </c>
      <c r="G11" s="18">
        <f>SUMIF(TE!$A$50:'TE'!$A$89,$A$2,TE!$Q$50:'TE'!$Q$89)</f>
        <v>0</v>
      </c>
      <c r="H11" s="18">
        <f>SUMIF(TE!$A$50:'TE'!$A$89,$A$2,TE!$R$50:'TE'!$R$89)</f>
        <v>0</v>
      </c>
      <c r="I11" s="18">
        <f>SUMIF(TE!$A$50:'TE'!$A$89,$A$2,TE!$S$50:'TE'!$S$89)</f>
        <v>0</v>
      </c>
      <c r="J11" s="18">
        <f>SUMIF(TE!$A$50:'TE'!$A$89,$A$2,TE!$T$50:'TE'!$T$89)</f>
        <v>0</v>
      </c>
      <c r="K11" s="18">
        <f>SUMIF(TE!$A$50:'TE'!$A$89,$A$2,TE!$U$50:'TE'!$U$89)</f>
        <v>0</v>
      </c>
      <c r="L11" s="18">
        <f>SUMIF(TE!$A$50:'TE'!$A$89,$A$2,TE!$V$50:'TE'!$V$89)</f>
        <v>0</v>
      </c>
      <c r="M11" s="18">
        <f t="shared" si="0"/>
        <v>0</v>
      </c>
    </row>
    <row r="13" spans="1:33" x14ac:dyDescent="0.2">
      <c r="A13" s="14" t="s">
        <v>1080</v>
      </c>
      <c r="B13" s="29">
        <f t="shared" ref="B13:M13" si="1">IF($M$6&lt;&gt;0,(B$7-B$6)/$M$6,0)</f>
        <v>0</v>
      </c>
      <c r="C13" s="29">
        <f t="shared" si="1"/>
        <v>0.17231493359873104</v>
      </c>
      <c r="D13" s="29">
        <f t="shared" si="1"/>
        <v>0</v>
      </c>
      <c r="E13" s="29">
        <f t="shared" si="1"/>
        <v>0</v>
      </c>
      <c r="F13" s="29">
        <f t="shared" si="1"/>
        <v>-8.4921948051274662E-2</v>
      </c>
      <c r="G13" s="29">
        <f t="shared" si="1"/>
        <v>5.137498091499923E-3</v>
      </c>
      <c r="H13" s="29">
        <f t="shared" si="1"/>
        <v>0</v>
      </c>
      <c r="I13" s="29">
        <f t="shared" si="1"/>
        <v>0</v>
      </c>
      <c r="J13" s="29">
        <f t="shared" si="1"/>
        <v>0</v>
      </c>
      <c r="K13" s="29">
        <f t="shared" si="1"/>
        <v>8.9768630458772255E-3</v>
      </c>
      <c r="L13" s="29">
        <f t="shared" si="1"/>
        <v>-2.1913379032999615E-3</v>
      </c>
      <c r="M13" s="29">
        <f t="shared" si="1"/>
        <v>9.9316008781533724E-2</v>
      </c>
    </row>
    <row r="14" spans="1:33" x14ac:dyDescent="0.2">
      <c r="A14" s="14" t="s">
        <v>1081</v>
      </c>
      <c r="B14" s="29">
        <f t="shared" ref="B14:M14" si="2">IF($M$10&lt;&gt;0,(B$9-B$8)/$M$10,0)</f>
        <v>0</v>
      </c>
      <c r="C14" s="29">
        <f t="shared" si="2"/>
        <v>0</v>
      </c>
      <c r="D14" s="29">
        <f t="shared" si="2"/>
        <v>0</v>
      </c>
      <c r="E14" s="29">
        <f t="shared" si="2"/>
        <v>0</v>
      </c>
      <c r="F14" s="29">
        <f t="shared" si="2"/>
        <v>0</v>
      </c>
      <c r="G14" s="29">
        <f t="shared" si="2"/>
        <v>0</v>
      </c>
      <c r="H14" s="29">
        <f t="shared" si="2"/>
        <v>0</v>
      </c>
      <c r="I14" s="29">
        <f t="shared" si="2"/>
        <v>0</v>
      </c>
      <c r="J14" s="29">
        <f t="shared" si="2"/>
        <v>0</v>
      </c>
      <c r="K14" s="29">
        <f t="shared" si="2"/>
        <v>0</v>
      </c>
      <c r="L14" s="29">
        <f t="shared" si="2"/>
        <v>0</v>
      </c>
      <c r="M14" s="29">
        <f t="shared" si="2"/>
        <v>0</v>
      </c>
    </row>
    <row r="15" spans="1:33" x14ac:dyDescent="0.2">
      <c r="A15" s="14" t="s">
        <v>1082</v>
      </c>
      <c r="B15" s="29">
        <f t="shared" ref="B15:M15" si="3">IF($M$8&lt;&gt;0,(B$9-B$8)/$M$8,0)</f>
        <v>0</v>
      </c>
      <c r="C15" s="29">
        <f t="shared" si="3"/>
        <v>0</v>
      </c>
      <c r="D15" s="29">
        <f t="shared" si="3"/>
        <v>0</v>
      </c>
      <c r="E15" s="29">
        <f t="shared" si="3"/>
        <v>0</v>
      </c>
      <c r="F15" s="29">
        <f t="shared" si="3"/>
        <v>0</v>
      </c>
      <c r="G15" s="29">
        <f t="shared" si="3"/>
        <v>0</v>
      </c>
      <c r="H15" s="29">
        <f t="shared" si="3"/>
        <v>0</v>
      </c>
      <c r="I15" s="29">
        <f t="shared" si="3"/>
        <v>0</v>
      </c>
      <c r="J15" s="29">
        <f t="shared" si="3"/>
        <v>0</v>
      </c>
      <c r="K15" s="29">
        <f t="shared" si="3"/>
        <v>0</v>
      </c>
      <c r="L15" s="29">
        <f t="shared" si="3"/>
        <v>0</v>
      </c>
      <c r="M15" s="29">
        <f t="shared" si="3"/>
        <v>0</v>
      </c>
    </row>
  </sheetData>
  <dataValidations count="5">
    <dataValidation type="list" allowBlank="1" showInputMessage="1" showErrorMessage="1" sqref="A2" xr:uid="{E8DB29EB-E2BD-40F0-8B34-78D7A4E5A0B8}">
      <formula1>AA1:AA6</formula1>
    </dataValidation>
    <dataValidation type="list" allowBlank="1" showInputMessage="1" showErrorMessage="1" sqref="B2 C2" xr:uid="{1F2E0751-AC15-468F-873F-9F57EB081A6D}">
      <formula1>AB1:AB4</formula1>
    </dataValidation>
    <dataValidation type="list" allowBlank="1" showInputMessage="1" showErrorMessage="1" sqref="D2" xr:uid="{ECD74918-2CBE-4657-98DD-218B81780F42}">
      <formula1>AD1:AD10</formula1>
    </dataValidation>
    <dataValidation type="list" allowBlank="1" showInputMessage="1" showErrorMessage="1" sqref="E2 F2" xr:uid="{AE78D487-A78E-4E0A-8AC9-ACFBD81939F5}">
      <formula1>AE1:AE1</formula1>
    </dataValidation>
    <dataValidation type="list" allowBlank="1" showInputMessage="1" showErrorMessage="1" sqref="G2" xr:uid="{F80907D9-BA14-498C-93D6-1720FCCAF8FB}">
      <formula1>AG1:AG5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66E5B-292A-4CEE-9481-CA5138313CB9}">
  <dimension ref="B1:U15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74" t="s">
        <v>671</v>
      </c>
      <c r="C1" s="74" t="s">
        <v>672</v>
      </c>
      <c r="D1" s="74" t="s">
        <v>673</v>
      </c>
      <c r="E1" s="74" t="s">
        <v>2</v>
      </c>
      <c r="F1" s="74" t="s">
        <v>674</v>
      </c>
      <c r="G1" s="74" t="s">
        <v>580</v>
      </c>
      <c r="H1" s="74" t="s">
        <v>3</v>
      </c>
      <c r="I1" s="74" t="s">
        <v>675</v>
      </c>
      <c r="J1" s="74" t="s">
        <v>5</v>
      </c>
      <c r="K1" s="74" t="s">
        <v>1</v>
      </c>
      <c r="L1" s="74" t="s">
        <v>676</v>
      </c>
      <c r="M1" s="74" t="s">
        <v>677</v>
      </c>
      <c r="N1" s="74" t="s">
        <v>678</v>
      </c>
      <c r="O1" s="74" t="s">
        <v>679</v>
      </c>
      <c r="P1" s="74" t="s">
        <v>680</v>
      </c>
      <c r="Q1" s="74" t="s">
        <v>681</v>
      </c>
      <c r="R1" s="74" t="s">
        <v>682</v>
      </c>
      <c r="S1" s="74" t="s">
        <v>683</v>
      </c>
      <c r="T1" s="74" t="s">
        <v>684</v>
      </c>
      <c r="U1" s="74" t="s">
        <v>685</v>
      </c>
    </row>
    <row r="2" spans="2:21" x14ac:dyDescent="0.25">
      <c r="B2" s="73" t="s">
        <v>653</v>
      </c>
      <c r="C2" s="73">
        <v>7545</v>
      </c>
      <c r="D2" s="73">
        <v>2351</v>
      </c>
      <c r="E2" s="73" t="s">
        <v>36</v>
      </c>
      <c r="F2" s="73">
        <v>1</v>
      </c>
      <c r="G2" s="73" t="s">
        <v>654</v>
      </c>
      <c r="H2" s="73" t="s">
        <v>42</v>
      </c>
      <c r="I2" s="73" t="s">
        <v>25</v>
      </c>
      <c r="J2" s="73" t="s">
        <v>655</v>
      </c>
      <c r="K2" s="73" t="s">
        <v>35</v>
      </c>
      <c r="L2" s="73">
        <v>0.1</v>
      </c>
      <c r="M2" s="73">
        <v>0.08</v>
      </c>
      <c r="N2" s="73">
        <v>0.06</v>
      </c>
      <c r="O2" s="73">
        <v>0.04</v>
      </c>
      <c r="P2" s="73">
        <v>0.02</v>
      </c>
      <c r="Q2" s="73">
        <v>0</v>
      </c>
      <c r="R2" s="73"/>
      <c r="S2" s="73"/>
      <c r="T2" s="73"/>
      <c r="U2" s="73">
        <v>3</v>
      </c>
    </row>
    <row r="3" spans="2:21" x14ac:dyDescent="0.25">
      <c r="B3" s="73" t="s">
        <v>656</v>
      </c>
      <c r="C3" s="73">
        <v>7546</v>
      </c>
      <c r="D3" s="73">
        <v>2351</v>
      </c>
      <c r="E3" s="73" t="s">
        <v>39</v>
      </c>
      <c r="F3" s="73">
        <v>1</v>
      </c>
      <c r="G3" s="73" t="s">
        <v>654</v>
      </c>
      <c r="H3" s="73" t="s">
        <v>42</v>
      </c>
      <c r="I3" s="73" t="s">
        <v>25</v>
      </c>
      <c r="J3" s="73" t="s">
        <v>655</v>
      </c>
      <c r="K3" s="73" t="s">
        <v>35</v>
      </c>
      <c r="L3" s="73">
        <v>0.1</v>
      </c>
      <c r="M3" s="73">
        <v>0.08</v>
      </c>
      <c r="N3" s="73">
        <v>0.06</v>
      </c>
      <c r="O3" s="73">
        <v>0.04</v>
      </c>
      <c r="P3" s="73">
        <v>0.02</v>
      </c>
      <c r="Q3" s="73">
        <v>0</v>
      </c>
      <c r="R3" s="73"/>
      <c r="S3" s="73"/>
      <c r="T3" s="73"/>
      <c r="U3" s="73">
        <v>3</v>
      </c>
    </row>
    <row r="4" spans="2:21" x14ac:dyDescent="0.25">
      <c r="B4" s="73" t="s">
        <v>657</v>
      </c>
      <c r="C4" s="73">
        <v>7547</v>
      </c>
      <c r="D4" s="73">
        <v>2351</v>
      </c>
      <c r="E4" s="73" t="s">
        <v>36</v>
      </c>
      <c r="F4" s="73">
        <v>1</v>
      </c>
      <c r="G4" s="73" t="s">
        <v>654</v>
      </c>
      <c r="H4" s="73" t="s">
        <v>47</v>
      </c>
      <c r="I4" s="73" t="s">
        <v>48</v>
      </c>
      <c r="J4" s="73" t="s">
        <v>658</v>
      </c>
      <c r="K4" s="73" t="s">
        <v>35</v>
      </c>
      <c r="L4" s="73">
        <v>0.15</v>
      </c>
      <c r="M4" s="73">
        <v>0.12</v>
      </c>
      <c r="N4" s="73">
        <v>0.09</v>
      </c>
      <c r="O4" s="73">
        <v>0.06</v>
      </c>
      <c r="P4" s="73">
        <v>0.03</v>
      </c>
      <c r="Q4" s="73">
        <v>0</v>
      </c>
      <c r="R4" s="73"/>
      <c r="S4" s="73"/>
      <c r="T4" s="73"/>
      <c r="U4" s="73">
        <v>3</v>
      </c>
    </row>
    <row r="5" spans="2:21" x14ac:dyDescent="0.25">
      <c r="B5" s="73" t="s">
        <v>659</v>
      </c>
      <c r="C5" s="73">
        <v>7548</v>
      </c>
      <c r="D5" s="73">
        <v>2351</v>
      </c>
      <c r="E5" s="73" t="s">
        <v>39</v>
      </c>
      <c r="F5" s="73">
        <v>1</v>
      </c>
      <c r="G5" s="73" t="s">
        <v>654</v>
      </c>
      <c r="H5" s="73" t="s">
        <v>47</v>
      </c>
      <c r="I5" s="73" t="s">
        <v>48</v>
      </c>
      <c r="J5" s="73" t="s">
        <v>658</v>
      </c>
      <c r="K5" s="73" t="s">
        <v>35</v>
      </c>
      <c r="L5" s="73">
        <v>0.15</v>
      </c>
      <c r="M5" s="73">
        <v>0.12</v>
      </c>
      <c r="N5" s="73">
        <v>0.09</v>
      </c>
      <c r="O5" s="73">
        <v>0.06</v>
      </c>
      <c r="P5" s="73">
        <v>0.03</v>
      </c>
      <c r="Q5" s="73">
        <v>0</v>
      </c>
      <c r="R5" s="73"/>
      <c r="S5" s="73"/>
      <c r="T5" s="73"/>
      <c r="U5" s="73">
        <v>3</v>
      </c>
    </row>
    <row r="6" spans="2:21" x14ac:dyDescent="0.25">
      <c r="B6" s="73" t="s">
        <v>660</v>
      </c>
      <c r="C6" s="73">
        <v>7549</v>
      </c>
      <c r="D6" s="73">
        <v>2351</v>
      </c>
      <c r="E6" s="73" t="s">
        <v>23</v>
      </c>
      <c r="F6" s="73">
        <v>1</v>
      </c>
      <c r="G6" s="73" t="s">
        <v>654</v>
      </c>
      <c r="H6" s="73" t="s">
        <v>42</v>
      </c>
      <c r="I6" s="73" t="s">
        <v>25</v>
      </c>
      <c r="J6" s="73" t="s">
        <v>42</v>
      </c>
      <c r="K6" s="73" t="s">
        <v>41</v>
      </c>
      <c r="L6" s="73">
        <v>0.3</v>
      </c>
      <c r="M6" s="73">
        <v>0.24</v>
      </c>
      <c r="N6" s="73">
        <v>0.18</v>
      </c>
      <c r="O6" s="73">
        <v>0.12</v>
      </c>
      <c r="P6" s="73">
        <v>0.06</v>
      </c>
      <c r="Q6" s="73">
        <v>0</v>
      </c>
      <c r="R6" s="73"/>
      <c r="S6" s="73"/>
      <c r="T6" s="73"/>
      <c r="U6" s="73">
        <v>3</v>
      </c>
    </row>
    <row r="7" spans="2:21" x14ac:dyDescent="0.25">
      <c r="B7" s="73" t="s">
        <v>661</v>
      </c>
      <c r="C7" s="73">
        <v>7550</v>
      </c>
      <c r="D7" s="73">
        <v>2351</v>
      </c>
      <c r="E7" s="73" t="s">
        <v>95</v>
      </c>
      <c r="F7" s="73">
        <v>1</v>
      </c>
      <c r="G7" s="73" t="s">
        <v>654</v>
      </c>
      <c r="H7" s="73" t="s">
        <v>42</v>
      </c>
      <c r="I7" s="73" t="s">
        <v>25</v>
      </c>
      <c r="J7" s="73" t="s">
        <v>42</v>
      </c>
      <c r="K7" s="73" t="s">
        <v>41</v>
      </c>
      <c r="L7" s="73">
        <v>0.3</v>
      </c>
      <c r="M7" s="73">
        <v>0.24</v>
      </c>
      <c r="N7" s="73">
        <v>0.18</v>
      </c>
      <c r="O7" s="73">
        <v>0.12</v>
      </c>
      <c r="P7" s="73">
        <v>0.06</v>
      </c>
      <c r="Q7" s="73">
        <v>0</v>
      </c>
      <c r="R7" s="73"/>
      <c r="S7" s="73"/>
      <c r="T7" s="73"/>
      <c r="U7" s="73">
        <v>3</v>
      </c>
    </row>
    <row r="8" spans="2:21" x14ac:dyDescent="0.25">
      <c r="B8" s="73" t="s">
        <v>662</v>
      </c>
      <c r="C8" s="73">
        <v>7551</v>
      </c>
      <c r="D8" s="73">
        <v>2351</v>
      </c>
      <c r="E8" s="73" t="s">
        <v>23</v>
      </c>
      <c r="F8" s="73">
        <v>1</v>
      </c>
      <c r="G8" s="73" t="s">
        <v>654</v>
      </c>
      <c r="H8" s="73" t="s">
        <v>42</v>
      </c>
      <c r="I8" s="73" t="s">
        <v>98</v>
      </c>
      <c r="J8" s="73" t="s">
        <v>658</v>
      </c>
      <c r="K8" s="73" t="s">
        <v>41</v>
      </c>
      <c r="L8" s="73">
        <v>0.3</v>
      </c>
      <c r="M8" s="73">
        <v>0.24</v>
      </c>
      <c r="N8" s="73">
        <v>0.18</v>
      </c>
      <c r="O8" s="73">
        <v>0.12</v>
      </c>
      <c r="P8" s="73">
        <v>0.06</v>
      </c>
      <c r="Q8" s="73">
        <v>0</v>
      </c>
      <c r="R8" s="73"/>
      <c r="S8" s="73"/>
      <c r="T8" s="73"/>
      <c r="U8" s="73">
        <v>3</v>
      </c>
    </row>
    <row r="9" spans="2:21" x14ac:dyDescent="0.25">
      <c r="B9" s="73" t="s">
        <v>663</v>
      </c>
      <c r="C9" s="73">
        <v>7552</v>
      </c>
      <c r="D9" s="73">
        <v>2351</v>
      </c>
      <c r="E9" s="73" t="s">
        <v>664</v>
      </c>
      <c r="F9" s="73">
        <v>1</v>
      </c>
      <c r="G9" s="73" t="s">
        <v>654</v>
      </c>
      <c r="H9" s="73" t="s">
        <v>42</v>
      </c>
      <c r="I9" s="73" t="s">
        <v>98</v>
      </c>
      <c r="J9" s="73" t="s">
        <v>658</v>
      </c>
      <c r="K9" s="73" t="s">
        <v>41</v>
      </c>
      <c r="L9" s="73">
        <v>0.3</v>
      </c>
      <c r="M9" s="73">
        <v>0.24</v>
      </c>
      <c r="N9" s="73">
        <v>0.18</v>
      </c>
      <c r="O9" s="73">
        <v>0.12</v>
      </c>
      <c r="P9" s="73">
        <v>0.06</v>
      </c>
      <c r="Q9" s="73">
        <v>0</v>
      </c>
      <c r="R9" s="73"/>
      <c r="S9" s="73"/>
      <c r="T9" s="73"/>
      <c r="U9" s="73">
        <v>3</v>
      </c>
    </row>
    <row r="10" spans="2:21" x14ac:dyDescent="0.25">
      <c r="B10" s="73" t="s">
        <v>665</v>
      </c>
      <c r="C10" s="73">
        <v>7553</v>
      </c>
      <c r="D10" s="73">
        <v>2351</v>
      </c>
      <c r="E10" s="73" t="s">
        <v>23</v>
      </c>
      <c r="F10" s="73">
        <v>1</v>
      </c>
      <c r="G10" s="73" t="s">
        <v>654</v>
      </c>
      <c r="H10" s="73" t="s">
        <v>42</v>
      </c>
      <c r="I10" s="73" t="s">
        <v>99</v>
      </c>
      <c r="J10" s="73" t="s">
        <v>658</v>
      </c>
      <c r="K10" s="73" t="s">
        <v>41</v>
      </c>
      <c r="L10" s="73">
        <v>0.4</v>
      </c>
      <c r="M10" s="73">
        <v>0.32</v>
      </c>
      <c r="N10" s="73">
        <v>0.24</v>
      </c>
      <c r="O10" s="73">
        <v>0.16</v>
      </c>
      <c r="P10" s="73">
        <v>0.08</v>
      </c>
      <c r="Q10" s="73">
        <v>0</v>
      </c>
      <c r="R10" s="73"/>
      <c r="S10" s="73"/>
      <c r="T10" s="73"/>
      <c r="U10" s="73">
        <v>3</v>
      </c>
    </row>
    <row r="11" spans="2:21" x14ac:dyDescent="0.25">
      <c r="B11" s="73" t="s">
        <v>666</v>
      </c>
      <c r="C11" s="73">
        <v>7554</v>
      </c>
      <c r="D11" s="73">
        <v>2351</v>
      </c>
      <c r="E11" s="73" t="s">
        <v>664</v>
      </c>
      <c r="F11" s="73">
        <v>1</v>
      </c>
      <c r="G11" s="73" t="s">
        <v>654</v>
      </c>
      <c r="H11" s="73" t="s">
        <v>42</v>
      </c>
      <c r="I11" s="73" t="s">
        <v>99</v>
      </c>
      <c r="J11" s="73" t="s">
        <v>658</v>
      </c>
      <c r="K11" s="73" t="s">
        <v>41</v>
      </c>
      <c r="L11" s="73">
        <v>0.4</v>
      </c>
      <c r="M11" s="73">
        <v>0.32</v>
      </c>
      <c r="N11" s="73">
        <v>0.24</v>
      </c>
      <c r="O11" s="73">
        <v>0.16</v>
      </c>
      <c r="P11" s="73">
        <v>0.08</v>
      </c>
      <c r="Q11" s="73">
        <v>0</v>
      </c>
      <c r="R11" s="73"/>
      <c r="S11" s="73"/>
      <c r="T11" s="73"/>
      <c r="U11" s="73">
        <v>3</v>
      </c>
    </row>
    <row r="12" spans="2:21" x14ac:dyDescent="0.25">
      <c r="B12" s="73" t="s">
        <v>667</v>
      </c>
      <c r="C12" s="73">
        <v>7555</v>
      </c>
      <c r="D12" s="73">
        <v>2351</v>
      </c>
      <c r="E12" s="73" t="s">
        <v>23</v>
      </c>
      <c r="F12" s="73">
        <v>1</v>
      </c>
      <c r="G12" s="73" t="s">
        <v>654</v>
      </c>
      <c r="H12" s="73" t="s">
        <v>47</v>
      </c>
      <c r="I12" s="73" t="s">
        <v>48</v>
      </c>
      <c r="J12" s="73" t="s">
        <v>658</v>
      </c>
      <c r="K12" s="73" t="s">
        <v>33</v>
      </c>
      <c r="L12" s="73">
        <v>0.15</v>
      </c>
      <c r="M12" s="73">
        <v>0.12</v>
      </c>
      <c r="N12" s="73">
        <v>0.09</v>
      </c>
      <c r="O12" s="73">
        <v>0.06</v>
      </c>
      <c r="P12" s="73">
        <v>0.03</v>
      </c>
      <c r="Q12" s="73">
        <v>0</v>
      </c>
      <c r="R12" s="73"/>
      <c r="S12" s="73"/>
      <c r="T12" s="73"/>
      <c r="U12" s="73">
        <v>3</v>
      </c>
    </row>
    <row r="13" spans="2:21" x14ac:dyDescent="0.25">
      <c r="B13" s="73" t="s">
        <v>668</v>
      </c>
      <c r="C13" s="73">
        <v>7556</v>
      </c>
      <c r="D13" s="73">
        <v>2351</v>
      </c>
      <c r="E13" s="73" t="s">
        <v>95</v>
      </c>
      <c r="F13" s="73">
        <v>1</v>
      </c>
      <c r="G13" s="73" t="s">
        <v>654</v>
      </c>
      <c r="H13" s="73" t="s">
        <v>47</v>
      </c>
      <c r="I13" s="73" t="s">
        <v>48</v>
      </c>
      <c r="J13" s="73" t="s">
        <v>658</v>
      </c>
      <c r="K13" s="73" t="s">
        <v>33</v>
      </c>
      <c r="L13" s="73">
        <v>0.15</v>
      </c>
      <c r="M13" s="73">
        <v>0.12</v>
      </c>
      <c r="N13" s="73">
        <v>0.09</v>
      </c>
      <c r="O13" s="73">
        <v>0.06</v>
      </c>
      <c r="P13" s="73">
        <v>0.03</v>
      </c>
      <c r="Q13" s="73">
        <v>0</v>
      </c>
      <c r="R13" s="73"/>
      <c r="S13" s="73"/>
      <c r="T13" s="73"/>
      <c r="U13" s="73">
        <v>3</v>
      </c>
    </row>
    <row r="14" spans="2:21" x14ac:dyDescent="0.25">
      <c r="B14" s="73" t="s">
        <v>669</v>
      </c>
      <c r="C14" s="73">
        <v>7557</v>
      </c>
      <c r="D14" s="73">
        <v>2351</v>
      </c>
      <c r="E14" s="73" t="s">
        <v>36</v>
      </c>
      <c r="F14" s="73">
        <v>1</v>
      </c>
      <c r="G14" s="73" t="s">
        <v>654</v>
      </c>
      <c r="H14" s="73" t="s">
        <v>42</v>
      </c>
      <c r="I14" s="73" t="s">
        <v>25</v>
      </c>
      <c r="J14" s="73" t="s">
        <v>655</v>
      </c>
      <c r="K14" s="73" t="s">
        <v>53</v>
      </c>
      <c r="L14" s="73">
        <v>0.1</v>
      </c>
      <c r="M14" s="73">
        <v>0.08</v>
      </c>
      <c r="N14" s="73">
        <v>0.06</v>
      </c>
      <c r="O14" s="73">
        <v>0.04</v>
      </c>
      <c r="P14" s="73">
        <v>0.02</v>
      </c>
      <c r="Q14" s="73">
        <v>0</v>
      </c>
      <c r="R14" s="73"/>
      <c r="S14" s="73"/>
      <c r="T14" s="73"/>
      <c r="U14" s="73">
        <v>3</v>
      </c>
    </row>
    <row r="15" spans="2:21" x14ac:dyDescent="0.25">
      <c r="B15" s="73" t="s">
        <v>670</v>
      </c>
      <c r="C15" s="73">
        <v>7558</v>
      </c>
      <c r="D15" s="73">
        <v>2351</v>
      </c>
      <c r="E15" s="73" t="s">
        <v>36</v>
      </c>
      <c r="F15" s="73">
        <v>1</v>
      </c>
      <c r="G15" s="73" t="s">
        <v>654</v>
      </c>
      <c r="H15" s="73" t="s">
        <v>47</v>
      </c>
      <c r="I15" s="73" t="s">
        <v>48</v>
      </c>
      <c r="J15" s="73" t="s">
        <v>658</v>
      </c>
      <c r="K15" s="73" t="s">
        <v>53</v>
      </c>
      <c r="L15" s="73">
        <v>0.15</v>
      </c>
      <c r="M15" s="73">
        <v>0.12</v>
      </c>
      <c r="N15" s="73">
        <v>0.09</v>
      </c>
      <c r="O15" s="73">
        <v>0.06</v>
      </c>
      <c r="P15" s="73">
        <v>0.03</v>
      </c>
      <c r="Q15" s="73">
        <v>0</v>
      </c>
      <c r="R15" s="73"/>
      <c r="S15" s="73"/>
      <c r="T15" s="73"/>
      <c r="U15" s="73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93ECD-C553-4256-B0C4-5BA3945BA8D9}">
  <dimension ref="A1:L18"/>
  <sheetViews>
    <sheetView showGridLines="0" workbookViewId="0">
      <selection activeCell="H32" sqref="H32"/>
    </sheetView>
  </sheetViews>
  <sheetFormatPr defaultRowHeight="11.25" x14ac:dyDescent="0.2"/>
  <cols>
    <col min="1" max="1" width="31.42578125" style="14" bestFit="1" customWidth="1"/>
    <col min="2" max="2" width="18.42578125" style="14" customWidth="1"/>
    <col min="3" max="3" width="14.85546875" style="14" customWidth="1"/>
    <col min="4" max="4" width="13.5703125" style="14" customWidth="1"/>
    <col min="5" max="12" width="11" style="14" customWidth="1"/>
    <col min="13" max="16384" width="9.140625" style="14"/>
  </cols>
  <sheetData>
    <row r="1" spans="1:12" ht="12" thickBot="1" x14ac:dyDescent="0.25">
      <c r="A1" s="38" t="s">
        <v>1097</v>
      </c>
      <c r="B1" s="38" t="s">
        <v>22</v>
      </c>
      <c r="C1" s="38" t="s">
        <v>1096</v>
      </c>
      <c r="D1" s="38" t="s">
        <v>1095</v>
      </c>
      <c r="E1" s="38" t="s">
        <v>33</v>
      </c>
      <c r="F1" s="38" t="s">
        <v>1094</v>
      </c>
      <c r="G1" s="38" t="s">
        <v>1093</v>
      </c>
      <c r="H1" s="38" t="s">
        <v>573</v>
      </c>
      <c r="I1" s="38" t="s">
        <v>35</v>
      </c>
      <c r="J1" s="38" t="s">
        <v>572</v>
      </c>
      <c r="K1" s="38" t="s">
        <v>53</v>
      </c>
      <c r="L1" s="38" t="s">
        <v>571</v>
      </c>
    </row>
    <row r="2" spans="1:12" x14ac:dyDescent="0.2">
      <c r="A2" s="34" t="s">
        <v>1092</v>
      </c>
      <c r="B2" s="40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371.52669569924552</v>
      </c>
      <c r="C2" s="40">
        <f t="shared" si="0"/>
        <v>349.25019666849801</v>
      </c>
      <c r="D2" s="40">
        <f t="shared" si="0"/>
        <v>341.69884106485489</v>
      </c>
      <c r="E2" s="40">
        <f t="shared" si="0"/>
        <v>371.52669569924552</v>
      </c>
      <c r="F2" s="40">
        <f t="shared" si="0"/>
        <v>204.2641690785486</v>
      </c>
      <c r="G2" s="40">
        <f t="shared" si="0"/>
        <v>222.76499030747448</v>
      </c>
      <c r="H2" s="40">
        <f t="shared" si="0"/>
        <v>0</v>
      </c>
      <c r="I2" s="40">
        <f t="shared" si="0"/>
        <v>1483.7017884570266</v>
      </c>
      <c r="J2" s="40">
        <f t="shared" si="0"/>
        <v>0</v>
      </c>
      <c r="K2" s="40">
        <f t="shared" si="0"/>
        <v>50.101900179613743</v>
      </c>
      <c r="L2" s="40">
        <f t="shared" si="0"/>
        <v>0</v>
      </c>
    </row>
    <row r="3" spans="1:12" ht="12" thickBot="1" x14ac:dyDescent="0.25">
      <c r="A3" s="33" t="s">
        <v>1091</v>
      </c>
      <c r="B3" s="39">
        <v>9.84</v>
      </c>
      <c r="C3" s="39">
        <v>9.25</v>
      </c>
      <c r="D3" s="39">
        <v>9.0500000000000007</v>
      </c>
      <c r="E3" s="39">
        <v>9.84</v>
      </c>
      <c r="F3" s="39">
        <v>5.41</v>
      </c>
      <c r="G3" s="39">
        <v>5.9</v>
      </c>
      <c r="H3" s="39">
        <v>0</v>
      </c>
      <c r="I3" s="39">
        <f>'TUSD BE'!$AC$10</f>
        <v>39.296302977473466</v>
      </c>
      <c r="J3" s="39">
        <v>0</v>
      </c>
      <c r="K3" s="39">
        <f>'TUSD BE'!$AC$6</f>
        <v>1.3269643971061766</v>
      </c>
      <c r="L3" s="39">
        <v>0</v>
      </c>
    </row>
    <row r="5" spans="1:12" ht="12" thickBot="1" x14ac:dyDescent="0.25">
      <c r="A5" s="38" t="s">
        <v>1090</v>
      </c>
      <c r="B5" s="38" t="s">
        <v>1089</v>
      </c>
    </row>
    <row r="6" spans="1:12" x14ac:dyDescent="0.2">
      <c r="A6" s="34" t="s">
        <v>1088</v>
      </c>
      <c r="B6" s="37">
        <v>9.9699999999999997E-2</v>
      </c>
    </row>
    <row r="7" spans="1:12" x14ac:dyDescent="0.2">
      <c r="A7" s="36" t="s">
        <v>1087</v>
      </c>
      <c r="B7" s="35">
        <v>0</v>
      </c>
    </row>
    <row r="8" spans="1:12" x14ac:dyDescent="0.2">
      <c r="A8" s="34" t="s">
        <v>1086</v>
      </c>
      <c r="B8" s="91">
        <v>120000000</v>
      </c>
      <c r="C8" s="89">
        <v>112203054.81</v>
      </c>
      <c r="D8" s="93">
        <f>B10+D10</f>
        <v>120000000</v>
      </c>
    </row>
    <row r="9" spans="1:12" x14ac:dyDescent="0.2">
      <c r="A9" s="36" t="s">
        <v>1085</v>
      </c>
      <c r="B9" s="35">
        <v>0.04</v>
      </c>
      <c r="C9" s="90">
        <v>0.04</v>
      </c>
    </row>
    <row r="10" spans="1:12" x14ac:dyDescent="0.2">
      <c r="A10" s="34" t="s">
        <v>1084</v>
      </c>
      <c r="B10" s="91">
        <v>78500000</v>
      </c>
      <c r="C10" s="89">
        <v>34919166.939999998</v>
      </c>
      <c r="D10" s="92">
        <v>41500000</v>
      </c>
    </row>
    <row r="11" spans="1:12" ht="12" thickBot="1" x14ac:dyDescent="0.25">
      <c r="A11" s="33" t="s">
        <v>1083</v>
      </c>
      <c r="B11" s="32">
        <f>(1+$B$6)^(1/IF($B$9&lt;&gt;0,$B$9,1))*$B$6/IF((1+$B$6)^(1/IF($B$9&lt;&gt;0,$B$9,1))-1&lt;&gt;0,(1+$B$6)^(1/IF($B$9&lt;&gt;0,$B$9,1))-1,1)</f>
        <v>0.10991403975195672</v>
      </c>
    </row>
    <row r="18" spans="2:2" x14ac:dyDescent="0.2">
      <c r="B18" s="3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79F30-00B5-4BB4-817B-113E35C7D3AB}">
  <dimension ref="B1:AR58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28" t="s">
        <v>1135</v>
      </c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9"/>
      <c r="AH1" s="128" t="s">
        <v>1136</v>
      </c>
      <c r="AI1" s="128"/>
      <c r="AJ1" s="128"/>
      <c r="AK1" s="128"/>
      <c r="AL1" s="128"/>
      <c r="AM1" s="128"/>
      <c r="AN1" s="128"/>
      <c r="AO1" s="128"/>
      <c r="AP1" s="128"/>
      <c r="AQ1" s="128"/>
      <c r="AR1" s="128"/>
    </row>
    <row r="2" spans="2:44" ht="12" customHeight="1" x14ac:dyDescent="0.25">
      <c r="L2" s="130" t="s">
        <v>445</v>
      </c>
      <c r="M2" s="130"/>
      <c r="N2" s="130"/>
      <c r="O2" s="130"/>
      <c r="P2" s="130"/>
      <c r="Q2" s="130"/>
      <c r="R2" s="130"/>
      <c r="S2" s="131"/>
      <c r="T2" s="130" t="s">
        <v>454</v>
      </c>
      <c r="U2" s="130"/>
      <c r="V2" s="130"/>
      <c r="W2" s="130"/>
      <c r="X2" s="130"/>
      <c r="Y2" s="130"/>
      <c r="Z2" s="131"/>
      <c r="AA2" s="47" t="s">
        <v>462</v>
      </c>
      <c r="AB2" s="130" t="s">
        <v>25</v>
      </c>
      <c r="AC2" s="131"/>
      <c r="AD2" s="130" t="s">
        <v>1134</v>
      </c>
      <c r="AE2" s="130"/>
      <c r="AF2" s="130"/>
      <c r="AG2" s="131"/>
      <c r="AH2" s="130" t="s">
        <v>445</v>
      </c>
      <c r="AI2" s="130"/>
      <c r="AJ2" s="130"/>
      <c r="AK2" s="130"/>
      <c r="AL2" s="131"/>
      <c r="AM2" s="47" t="s">
        <v>476</v>
      </c>
      <c r="AN2" s="130" t="s">
        <v>454</v>
      </c>
      <c r="AO2" s="130"/>
      <c r="AP2" s="130"/>
      <c r="AQ2" s="131"/>
      <c r="AR2" s="88" t="s">
        <v>1134</v>
      </c>
    </row>
    <row r="3" spans="2:44" ht="12" customHeight="1" x14ac:dyDescent="0.25">
      <c r="B3" s="41" t="s">
        <v>72</v>
      </c>
      <c r="C3" s="85" t="s">
        <v>73</v>
      </c>
      <c r="D3" s="85" t="s">
        <v>74</v>
      </c>
      <c r="E3" s="85" t="s">
        <v>75</v>
      </c>
      <c r="F3" s="85" t="s">
        <v>76</v>
      </c>
      <c r="G3" s="85" t="s">
        <v>78</v>
      </c>
      <c r="H3" s="85" t="s">
        <v>79</v>
      </c>
      <c r="I3" s="85" t="s">
        <v>716</v>
      </c>
      <c r="J3" s="85" t="s">
        <v>1098</v>
      </c>
      <c r="K3" s="85" t="s">
        <v>1099</v>
      </c>
      <c r="L3" s="85" t="s">
        <v>1100</v>
      </c>
      <c r="M3" s="85" t="s">
        <v>1101</v>
      </c>
      <c r="N3" s="85" t="s">
        <v>1102</v>
      </c>
      <c r="O3" s="85" t="s">
        <v>1103</v>
      </c>
      <c r="P3" s="85" t="s">
        <v>1104</v>
      </c>
      <c r="Q3" s="85" t="s">
        <v>1105</v>
      </c>
      <c r="R3" s="85" t="s">
        <v>1106</v>
      </c>
      <c r="S3" s="85" t="s">
        <v>1107</v>
      </c>
      <c r="T3" s="85" t="s">
        <v>1108</v>
      </c>
      <c r="U3" s="85" t="s">
        <v>1109</v>
      </c>
      <c r="V3" s="85" t="s">
        <v>1110</v>
      </c>
      <c r="W3" s="85" t="s">
        <v>1111</v>
      </c>
      <c r="X3" s="85" t="s">
        <v>1112</v>
      </c>
      <c r="Y3" s="85" t="s">
        <v>1113</v>
      </c>
      <c r="Z3" s="85" t="s">
        <v>1114</v>
      </c>
      <c r="AA3" s="85" t="s">
        <v>1115</v>
      </c>
      <c r="AB3" s="85" t="s">
        <v>1116</v>
      </c>
      <c r="AC3" s="85" t="s">
        <v>1117</v>
      </c>
      <c r="AD3" s="85" t="s">
        <v>1118</v>
      </c>
      <c r="AE3" s="85" t="s">
        <v>1119</v>
      </c>
      <c r="AF3" s="85" t="s">
        <v>1120</v>
      </c>
      <c r="AG3" s="85" t="s">
        <v>1121</v>
      </c>
      <c r="AH3" s="85" t="s">
        <v>1122</v>
      </c>
      <c r="AI3" s="85" t="s">
        <v>1123</v>
      </c>
      <c r="AJ3" s="85" t="s">
        <v>1124</v>
      </c>
      <c r="AK3" s="85" t="s">
        <v>1125</v>
      </c>
      <c r="AL3" s="85" t="s">
        <v>1126</v>
      </c>
      <c r="AM3" s="85" t="s">
        <v>1127</v>
      </c>
      <c r="AN3" s="85" t="s">
        <v>1128</v>
      </c>
      <c r="AO3" s="85" t="s">
        <v>1129</v>
      </c>
      <c r="AP3" s="85" t="s">
        <v>1130</v>
      </c>
      <c r="AQ3" s="85" t="s">
        <v>1131</v>
      </c>
      <c r="AR3" s="42" t="s">
        <v>1132</v>
      </c>
    </row>
    <row r="4" spans="2:44" ht="12" customHeight="1" x14ac:dyDescent="0.25">
      <c r="B4" s="43" t="s">
        <v>53</v>
      </c>
      <c r="C4" s="86" t="s">
        <v>36</v>
      </c>
      <c r="D4" s="86" t="s">
        <v>25</v>
      </c>
      <c r="E4" s="86" t="s">
        <v>25</v>
      </c>
      <c r="F4" s="86" t="s">
        <v>89</v>
      </c>
      <c r="G4" s="86" t="s">
        <v>37</v>
      </c>
      <c r="H4" s="86" t="s">
        <v>82</v>
      </c>
      <c r="I4" s="86" t="s">
        <v>25</v>
      </c>
      <c r="J4" s="86">
        <v>7.0000000000000007E-2</v>
      </c>
      <c r="K4" s="86">
        <v>0</v>
      </c>
      <c r="L4" s="86">
        <v>0</v>
      </c>
      <c r="M4" s="86">
        <v>2.6529830028632101E-2</v>
      </c>
      <c r="N4" s="86">
        <v>0</v>
      </c>
      <c r="O4" s="86">
        <v>0</v>
      </c>
      <c r="P4" s="86">
        <v>0</v>
      </c>
      <c r="Q4" s="86">
        <v>0</v>
      </c>
      <c r="R4" s="86">
        <v>0</v>
      </c>
      <c r="S4" s="86">
        <v>0</v>
      </c>
      <c r="T4" s="86">
        <v>0</v>
      </c>
      <c r="U4" s="86">
        <v>0</v>
      </c>
      <c r="V4" s="86">
        <v>0</v>
      </c>
      <c r="W4" s="86">
        <v>0</v>
      </c>
      <c r="X4" s="86">
        <v>0</v>
      </c>
      <c r="Y4" s="86">
        <v>0</v>
      </c>
      <c r="Z4" s="86">
        <v>0</v>
      </c>
      <c r="AA4" s="86">
        <v>0</v>
      </c>
      <c r="AB4" s="86">
        <v>-2.25595209941722E-4</v>
      </c>
      <c r="AC4" s="86">
        <v>0</v>
      </c>
      <c r="AD4" s="86">
        <v>4.5506262815620098E-2</v>
      </c>
      <c r="AE4" s="86">
        <v>0</v>
      </c>
      <c r="AF4" s="86">
        <v>0</v>
      </c>
      <c r="AG4" s="86">
        <v>0</v>
      </c>
      <c r="AH4" s="86">
        <v>0</v>
      </c>
      <c r="AI4" s="86">
        <v>0</v>
      </c>
      <c r="AJ4" s="86">
        <v>0</v>
      </c>
      <c r="AK4" s="86">
        <v>0</v>
      </c>
      <c r="AL4" s="86">
        <v>0</v>
      </c>
      <c r="AM4" s="86">
        <v>0</v>
      </c>
      <c r="AN4" s="86">
        <v>0</v>
      </c>
      <c r="AO4" s="86">
        <v>0</v>
      </c>
      <c r="AP4" s="86">
        <v>0</v>
      </c>
      <c r="AQ4" s="86">
        <v>0</v>
      </c>
      <c r="AR4" s="44">
        <v>0</v>
      </c>
    </row>
    <row r="5" spans="2:44" ht="12" customHeight="1" x14ac:dyDescent="0.25">
      <c r="B5" s="43" t="s">
        <v>53</v>
      </c>
      <c r="C5" s="86" t="s">
        <v>36</v>
      </c>
      <c r="D5" s="86" t="s">
        <v>25</v>
      </c>
      <c r="E5" s="86" t="s">
        <v>25</v>
      </c>
      <c r="F5" s="86" t="s">
        <v>89</v>
      </c>
      <c r="G5" s="86" t="s">
        <v>37</v>
      </c>
      <c r="H5" s="86" t="s">
        <v>85</v>
      </c>
      <c r="I5" s="86" t="s">
        <v>25</v>
      </c>
      <c r="J5" s="86">
        <v>24.04</v>
      </c>
      <c r="K5" s="86">
        <v>0</v>
      </c>
      <c r="L5" s="86">
        <v>0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  <c r="R5" s="86">
        <v>0</v>
      </c>
      <c r="S5" s="86">
        <v>0</v>
      </c>
      <c r="T5" s="86">
        <v>4.0203755213610499</v>
      </c>
      <c r="U5" s="86">
        <v>2.2763399969981601</v>
      </c>
      <c r="V5" s="86">
        <v>0</v>
      </c>
      <c r="W5" s="86">
        <v>0</v>
      </c>
      <c r="X5" s="86">
        <v>17.282498064268999</v>
      </c>
      <c r="Y5" s="86">
        <v>0</v>
      </c>
      <c r="Z5" s="86">
        <v>0</v>
      </c>
      <c r="AA5" s="86">
        <v>0.533071620477373</v>
      </c>
      <c r="AB5" s="86">
        <v>-6.9768001189161905E-2</v>
      </c>
      <c r="AC5" s="86">
        <v>0</v>
      </c>
      <c r="AD5" s="86">
        <v>0</v>
      </c>
      <c r="AE5" s="86">
        <v>0</v>
      </c>
      <c r="AF5" s="86">
        <v>0</v>
      </c>
      <c r="AG5" s="86">
        <v>0</v>
      </c>
      <c r="AH5" s="86">
        <v>0</v>
      </c>
      <c r="AI5" s="86">
        <v>0</v>
      </c>
      <c r="AJ5" s="86">
        <v>0</v>
      </c>
      <c r="AK5" s="86">
        <v>0</v>
      </c>
      <c r="AL5" s="86">
        <v>0</v>
      </c>
      <c r="AM5" s="86">
        <v>0</v>
      </c>
      <c r="AN5" s="86">
        <v>0</v>
      </c>
      <c r="AO5" s="86">
        <v>0</v>
      </c>
      <c r="AP5" s="86">
        <v>0</v>
      </c>
      <c r="AQ5" s="86">
        <v>0</v>
      </c>
      <c r="AR5" s="44">
        <v>0</v>
      </c>
    </row>
    <row r="6" spans="2:44" ht="12" customHeight="1" x14ac:dyDescent="0.25">
      <c r="B6" s="43" t="s">
        <v>53</v>
      </c>
      <c r="C6" s="86" t="s">
        <v>36</v>
      </c>
      <c r="D6" s="86" t="s">
        <v>25</v>
      </c>
      <c r="E6" s="86" t="s">
        <v>25</v>
      </c>
      <c r="F6" s="86" t="s">
        <v>89</v>
      </c>
      <c r="G6" s="86" t="s">
        <v>38</v>
      </c>
      <c r="H6" s="86" t="s">
        <v>82</v>
      </c>
      <c r="I6" s="86" t="s">
        <v>25</v>
      </c>
      <c r="J6" s="86">
        <v>7.0000000000000007E-2</v>
      </c>
      <c r="K6" s="86">
        <v>0</v>
      </c>
      <c r="L6" s="86">
        <v>0</v>
      </c>
      <c r="M6" s="86">
        <v>2.6529830028632101E-2</v>
      </c>
      <c r="N6" s="86">
        <v>0</v>
      </c>
      <c r="O6" s="86">
        <v>0</v>
      </c>
      <c r="P6" s="86">
        <v>0</v>
      </c>
      <c r="Q6" s="86">
        <v>0</v>
      </c>
      <c r="R6" s="86">
        <v>0</v>
      </c>
      <c r="S6" s="86">
        <v>0</v>
      </c>
      <c r="T6" s="86">
        <v>0</v>
      </c>
      <c r="U6" s="86">
        <v>0</v>
      </c>
      <c r="V6" s="86">
        <v>0</v>
      </c>
      <c r="W6" s="86">
        <v>0</v>
      </c>
      <c r="X6" s="86">
        <v>0</v>
      </c>
      <c r="Y6" s="86">
        <v>0</v>
      </c>
      <c r="Z6" s="86">
        <v>0</v>
      </c>
      <c r="AA6" s="86">
        <v>0</v>
      </c>
      <c r="AB6" s="86">
        <v>-2.25595209941722E-4</v>
      </c>
      <c r="AC6" s="86">
        <v>0</v>
      </c>
      <c r="AD6" s="86">
        <v>4.5506262815620098E-2</v>
      </c>
      <c r="AE6" s="86">
        <v>0</v>
      </c>
      <c r="AF6" s="86">
        <v>0</v>
      </c>
      <c r="AG6" s="86">
        <v>0</v>
      </c>
      <c r="AH6" s="86">
        <v>0</v>
      </c>
      <c r="AI6" s="86">
        <v>0</v>
      </c>
      <c r="AJ6" s="86">
        <v>0</v>
      </c>
      <c r="AK6" s="86">
        <v>0</v>
      </c>
      <c r="AL6" s="86">
        <v>0</v>
      </c>
      <c r="AM6" s="86">
        <v>0</v>
      </c>
      <c r="AN6" s="86">
        <v>0</v>
      </c>
      <c r="AO6" s="86">
        <v>0</v>
      </c>
      <c r="AP6" s="86">
        <v>0</v>
      </c>
      <c r="AQ6" s="86">
        <v>0</v>
      </c>
      <c r="AR6" s="44">
        <v>0</v>
      </c>
    </row>
    <row r="7" spans="2:44" ht="12" customHeight="1" x14ac:dyDescent="0.25">
      <c r="B7" s="43" t="s">
        <v>53</v>
      </c>
      <c r="C7" s="86" t="s">
        <v>36</v>
      </c>
      <c r="D7" s="86" t="s">
        <v>25</v>
      </c>
      <c r="E7" s="86" t="s">
        <v>25</v>
      </c>
      <c r="F7" s="86" t="s">
        <v>89</v>
      </c>
      <c r="G7" s="86" t="s">
        <v>38</v>
      </c>
      <c r="H7" s="86" t="s">
        <v>85</v>
      </c>
      <c r="I7" s="86" t="s">
        <v>25</v>
      </c>
      <c r="J7" s="86">
        <v>11.05</v>
      </c>
      <c r="K7" s="86">
        <v>0</v>
      </c>
      <c r="L7" s="86">
        <v>0</v>
      </c>
      <c r="M7" s="86">
        <v>0</v>
      </c>
      <c r="N7" s="86">
        <v>0</v>
      </c>
      <c r="O7" s="86">
        <v>0</v>
      </c>
      <c r="P7" s="86">
        <v>0</v>
      </c>
      <c r="Q7" s="86">
        <v>0</v>
      </c>
      <c r="R7" s="86">
        <v>0</v>
      </c>
      <c r="S7" s="86">
        <v>0</v>
      </c>
      <c r="T7" s="86">
        <v>2.2335263048492</v>
      </c>
      <c r="U7" s="86">
        <v>1.0919964089782801</v>
      </c>
      <c r="V7" s="86">
        <v>0</v>
      </c>
      <c r="W7" s="86">
        <v>0</v>
      </c>
      <c r="X7" s="86">
        <v>7.2220345906464001</v>
      </c>
      <c r="Y7" s="86">
        <v>0</v>
      </c>
      <c r="Z7" s="86">
        <v>0</v>
      </c>
      <c r="AA7" s="86">
        <v>0.533071620477373</v>
      </c>
      <c r="AB7" s="86">
        <v>-3.3312924997280099E-2</v>
      </c>
      <c r="AC7" s="86">
        <v>0</v>
      </c>
      <c r="AD7" s="86">
        <v>0</v>
      </c>
      <c r="AE7" s="86">
        <v>0</v>
      </c>
      <c r="AF7" s="86">
        <v>0</v>
      </c>
      <c r="AG7" s="86">
        <v>0</v>
      </c>
      <c r="AH7" s="86">
        <v>0</v>
      </c>
      <c r="AI7" s="86">
        <v>0</v>
      </c>
      <c r="AJ7" s="86">
        <v>0</v>
      </c>
      <c r="AK7" s="86">
        <v>0</v>
      </c>
      <c r="AL7" s="86">
        <v>0</v>
      </c>
      <c r="AM7" s="86">
        <v>0</v>
      </c>
      <c r="AN7" s="86">
        <v>0</v>
      </c>
      <c r="AO7" s="86">
        <v>0</v>
      </c>
      <c r="AP7" s="86">
        <v>0</v>
      </c>
      <c r="AQ7" s="86">
        <v>0</v>
      </c>
      <c r="AR7" s="44">
        <v>0</v>
      </c>
    </row>
    <row r="8" spans="2:44" ht="12" customHeight="1" x14ac:dyDescent="0.25">
      <c r="B8" s="43" t="s">
        <v>53</v>
      </c>
      <c r="C8" s="86" t="s">
        <v>36</v>
      </c>
      <c r="D8" s="86" t="s">
        <v>25</v>
      </c>
      <c r="E8" s="86" t="s">
        <v>25</v>
      </c>
      <c r="F8" s="86" t="s">
        <v>25</v>
      </c>
      <c r="G8" s="86" t="s">
        <v>37</v>
      </c>
      <c r="H8" s="86" t="s">
        <v>82</v>
      </c>
      <c r="I8" s="86" t="s">
        <v>25</v>
      </c>
      <c r="J8" s="86">
        <v>65.41</v>
      </c>
      <c r="K8" s="86">
        <v>198.18</v>
      </c>
      <c r="L8" s="86">
        <v>0</v>
      </c>
      <c r="M8" s="86">
        <v>2.6529830028632101E-2</v>
      </c>
      <c r="N8" s="86">
        <v>0</v>
      </c>
      <c r="O8" s="86">
        <v>0</v>
      </c>
      <c r="P8" s="86">
        <v>0</v>
      </c>
      <c r="Q8" s="86">
        <v>52.222434723374903</v>
      </c>
      <c r="R8" s="86">
        <v>13.323441364471901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0</v>
      </c>
      <c r="Z8" s="86">
        <v>0</v>
      </c>
      <c r="AA8" s="86">
        <v>0</v>
      </c>
      <c r="AB8" s="86">
        <v>-0.204750805163044</v>
      </c>
      <c r="AC8" s="86">
        <v>0</v>
      </c>
      <c r="AD8" s="86">
        <v>4.5506262815620098E-2</v>
      </c>
      <c r="AE8" s="86">
        <v>0</v>
      </c>
      <c r="AF8" s="86">
        <v>0</v>
      </c>
      <c r="AG8" s="86">
        <v>0</v>
      </c>
      <c r="AH8" s="86">
        <v>0</v>
      </c>
      <c r="AI8" s="86">
        <v>-15.309516955125501</v>
      </c>
      <c r="AJ8" s="86">
        <v>0</v>
      </c>
      <c r="AK8" s="86">
        <v>39.123506626414802</v>
      </c>
      <c r="AL8" s="86">
        <v>0</v>
      </c>
      <c r="AM8" s="86">
        <v>170.54136768041701</v>
      </c>
      <c r="AN8" s="86">
        <v>0</v>
      </c>
      <c r="AO8" s="86">
        <v>0</v>
      </c>
      <c r="AP8" s="86">
        <v>0</v>
      </c>
      <c r="AQ8" s="86">
        <v>-0.55572399366303904</v>
      </c>
      <c r="AR8" s="44">
        <v>4.3823144385387502</v>
      </c>
    </row>
    <row r="9" spans="2:44" ht="12" customHeight="1" x14ac:dyDescent="0.25">
      <c r="B9" s="43" t="s">
        <v>53</v>
      </c>
      <c r="C9" s="86" t="s">
        <v>36</v>
      </c>
      <c r="D9" s="86" t="s">
        <v>25</v>
      </c>
      <c r="E9" s="86" t="s">
        <v>25</v>
      </c>
      <c r="F9" s="86" t="s">
        <v>25</v>
      </c>
      <c r="G9" s="86" t="s">
        <v>37</v>
      </c>
      <c r="H9" s="86" t="s">
        <v>85</v>
      </c>
      <c r="I9" s="86" t="s">
        <v>25</v>
      </c>
      <c r="J9" s="86">
        <v>24.04</v>
      </c>
      <c r="K9" s="86">
        <v>0</v>
      </c>
      <c r="L9" s="86">
        <v>0</v>
      </c>
      <c r="M9" s="86">
        <v>0</v>
      </c>
      <c r="N9" s="86">
        <v>0</v>
      </c>
      <c r="O9" s="86">
        <v>0</v>
      </c>
      <c r="P9" s="86">
        <v>0</v>
      </c>
      <c r="Q9" s="86">
        <v>0</v>
      </c>
      <c r="R9" s="86">
        <v>0</v>
      </c>
      <c r="S9" s="86">
        <v>0</v>
      </c>
      <c r="T9" s="86">
        <v>4.0203755213610499</v>
      </c>
      <c r="U9" s="86">
        <v>2.2763399969981601</v>
      </c>
      <c r="V9" s="86">
        <v>0</v>
      </c>
      <c r="W9" s="86">
        <v>0</v>
      </c>
      <c r="X9" s="86">
        <v>17.282498064268999</v>
      </c>
      <c r="Y9" s="86">
        <v>0</v>
      </c>
      <c r="Z9" s="86">
        <v>0</v>
      </c>
      <c r="AA9" s="86">
        <v>0.533071620477373</v>
      </c>
      <c r="AB9" s="86">
        <v>-6.9768001189161905E-2</v>
      </c>
      <c r="AC9" s="86">
        <v>0</v>
      </c>
      <c r="AD9" s="86">
        <v>0</v>
      </c>
      <c r="AE9" s="86">
        <v>0</v>
      </c>
      <c r="AF9" s="86">
        <v>0</v>
      </c>
      <c r="AG9" s="86">
        <v>0</v>
      </c>
      <c r="AH9" s="86">
        <v>0</v>
      </c>
      <c r="AI9" s="86">
        <v>0</v>
      </c>
      <c r="AJ9" s="86">
        <v>0</v>
      </c>
      <c r="AK9" s="86">
        <v>0</v>
      </c>
      <c r="AL9" s="86">
        <v>0</v>
      </c>
      <c r="AM9" s="86">
        <v>0</v>
      </c>
      <c r="AN9" s="86">
        <v>0</v>
      </c>
      <c r="AO9" s="86">
        <v>0</v>
      </c>
      <c r="AP9" s="86">
        <v>0</v>
      </c>
      <c r="AQ9" s="86">
        <v>0</v>
      </c>
      <c r="AR9" s="44">
        <v>0</v>
      </c>
    </row>
    <row r="10" spans="2:44" ht="12" customHeight="1" x14ac:dyDescent="0.25">
      <c r="B10" s="43" t="s">
        <v>53</v>
      </c>
      <c r="C10" s="86" t="s">
        <v>36</v>
      </c>
      <c r="D10" s="86" t="s">
        <v>25</v>
      </c>
      <c r="E10" s="86" t="s">
        <v>25</v>
      </c>
      <c r="F10" s="86" t="s">
        <v>25</v>
      </c>
      <c r="G10" s="86" t="s">
        <v>38</v>
      </c>
      <c r="H10" s="86" t="s">
        <v>82</v>
      </c>
      <c r="I10" s="86" t="s">
        <v>25</v>
      </c>
      <c r="J10" s="86">
        <v>65.41</v>
      </c>
      <c r="K10" s="86">
        <v>198.18</v>
      </c>
      <c r="L10" s="86">
        <v>0</v>
      </c>
      <c r="M10" s="86">
        <v>2.6529830028632101E-2</v>
      </c>
      <c r="N10" s="86">
        <v>0</v>
      </c>
      <c r="O10" s="86">
        <v>0</v>
      </c>
      <c r="P10" s="86">
        <v>0</v>
      </c>
      <c r="Q10" s="86">
        <v>52.222434723374903</v>
      </c>
      <c r="R10" s="86">
        <v>13.323441364471901</v>
      </c>
      <c r="S10" s="86">
        <v>0</v>
      </c>
      <c r="T10" s="86">
        <v>0</v>
      </c>
      <c r="U10" s="86">
        <v>0</v>
      </c>
      <c r="V10" s="86">
        <v>0</v>
      </c>
      <c r="W10" s="86">
        <v>0</v>
      </c>
      <c r="X10" s="86">
        <v>0</v>
      </c>
      <c r="Y10" s="86">
        <v>0</v>
      </c>
      <c r="Z10" s="86">
        <v>0</v>
      </c>
      <c r="AA10" s="86">
        <v>0</v>
      </c>
      <c r="AB10" s="86">
        <v>-0.204750805163044</v>
      </c>
      <c r="AC10" s="86">
        <v>0</v>
      </c>
      <c r="AD10" s="86">
        <v>4.5506262815620098E-2</v>
      </c>
      <c r="AE10" s="86">
        <v>0</v>
      </c>
      <c r="AF10" s="86">
        <v>0</v>
      </c>
      <c r="AG10" s="86">
        <v>0</v>
      </c>
      <c r="AH10" s="86">
        <v>0</v>
      </c>
      <c r="AI10" s="86">
        <v>-15.309516955125501</v>
      </c>
      <c r="AJ10" s="86">
        <v>0</v>
      </c>
      <c r="AK10" s="86">
        <v>39.123506626414802</v>
      </c>
      <c r="AL10" s="86">
        <v>0</v>
      </c>
      <c r="AM10" s="86">
        <v>170.54136768041701</v>
      </c>
      <c r="AN10" s="86">
        <v>0</v>
      </c>
      <c r="AO10" s="86">
        <v>0</v>
      </c>
      <c r="AP10" s="86">
        <v>0</v>
      </c>
      <c r="AQ10" s="86">
        <v>-0.55572399366303904</v>
      </c>
      <c r="AR10" s="44">
        <v>4.3823144385387502</v>
      </c>
    </row>
    <row r="11" spans="2:44" ht="12" customHeight="1" x14ac:dyDescent="0.25">
      <c r="B11" s="43" t="s">
        <v>53</v>
      </c>
      <c r="C11" s="86" t="s">
        <v>36</v>
      </c>
      <c r="D11" s="86" t="s">
        <v>25</v>
      </c>
      <c r="E11" s="86" t="s">
        <v>25</v>
      </c>
      <c r="F11" s="86" t="s">
        <v>25</v>
      </c>
      <c r="G11" s="86" t="s">
        <v>38</v>
      </c>
      <c r="H11" s="86" t="s">
        <v>85</v>
      </c>
      <c r="I11" s="86" t="s">
        <v>25</v>
      </c>
      <c r="J11" s="86">
        <v>11.05</v>
      </c>
      <c r="K11" s="86">
        <v>0</v>
      </c>
      <c r="L11" s="86">
        <v>0</v>
      </c>
      <c r="M11" s="86">
        <v>0</v>
      </c>
      <c r="N11" s="86">
        <v>0</v>
      </c>
      <c r="O11" s="86">
        <v>0</v>
      </c>
      <c r="P11" s="86">
        <v>0</v>
      </c>
      <c r="Q11" s="86">
        <v>0</v>
      </c>
      <c r="R11" s="86">
        <v>0</v>
      </c>
      <c r="S11" s="86">
        <v>0</v>
      </c>
      <c r="T11" s="86">
        <v>2.2335263048492</v>
      </c>
      <c r="U11" s="86">
        <v>1.0919964089782801</v>
      </c>
      <c r="V11" s="86">
        <v>0</v>
      </c>
      <c r="W11" s="86">
        <v>0</v>
      </c>
      <c r="X11" s="86">
        <v>7.2220345906464001</v>
      </c>
      <c r="Y11" s="86">
        <v>0</v>
      </c>
      <c r="Z11" s="86">
        <v>0</v>
      </c>
      <c r="AA11" s="86">
        <v>0.533071620477373</v>
      </c>
      <c r="AB11" s="86">
        <v>-3.3312924997280099E-2</v>
      </c>
      <c r="AC11" s="86">
        <v>0</v>
      </c>
      <c r="AD11" s="86">
        <v>0</v>
      </c>
      <c r="AE11" s="86">
        <v>0</v>
      </c>
      <c r="AF11" s="86">
        <v>0</v>
      </c>
      <c r="AG11" s="86">
        <v>0</v>
      </c>
      <c r="AH11" s="86">
        <v>0</v>
      </c>
      <c r="AI11" s="86">
        <v>0</v>
      </c>
      <c r="AJ11" s="86">
        <v>0</v>
      </c>
      <c r="AK11" s="86">
        <v>0</v>
      </c>
      <c r="AL11" s="86">
        <v>0</v>
      </c>
      <c r="AM11" s="86">
        <v>0</v>
      </c>
      <c r="AN11" s="86">
        <v>0</v>
      </c>
      <c r="AO11" s="86">
        <v>0</v>
      </c>
      <c r="AP11" s="86">
        <v>0</v>
      </c>
      <c r="AQ11" s="86">
        <v>0</v>
      </c>
      <c r="AR11" s="44">
        <v>0</v>
      </c>
    </row>
    <row r="12" spans="2:44" ht="12" customHeight="1" x14ac:dyDescent="0.25">
      <c r="B12" s="43" t="s">
        <v>35</v>
      </c>
      <c r="C12" s="86" t="s">
        <v>36</v>
      </c>
      <c r="D12" s="86" t="s">
        <v>25</v>
      </c>
      <c r="E12" s="86" t="s">
        <v>25</v>
      </c>
      <c r="F12" s="86" t="s">
        <v>89</v>
      </c>
      <c r="G12" s="86" t="s">
        <v>37</v>
      </c>
      <c r="H12" s="86" t="s">
        <v>82</v>
      </c>
      <c r="I12" s="86" t="s">
        <v>25</v>
      </c>
      <c r="J12" s="86">
        <v>8.69</v>
      </c>
      <c r="K12" s="86">
        <v>0</v>
      </c>
      <c r="L12" s="86">
        <v>0</v>
      </c>
      <c r="M12" s="86">
        <v>1.18497046853668</v>
      </c>
      <c r="N12" s="86">
        <v>0</v>
      </c>
      <c r="O12" s="86">
        <v>0</v>
      </c>
      <c r="P12" s="86">
        <v>0</v>
      </c>
      <c r="Q12" s="86">
        <v>0</v>
      </c>
      <c r="R12" s="86">
        <v>0</v>
      </c>
      <c r="S12" s="86">
        <v>0</v>
      </c>
      <c r="T12" s="86">
        <v>0</v>
      </c>
      <c r="U12" s="86">
        <v>0</v>
      </c>
      <c r="V12" s="86">
        <v>0</v>
      </c>
      <c r="W12" s="86">
        <v>0</v>
      </c>
      <c r="X12" s="86">
        <v>0</v>
      </c>
      <c r="Y12" s="86">
        <v>0</v>
      </c>
      <c r="Z12" s="86">
        <v>0</v>
      </c>
      <c r="AA12" s="86">
        <v>0</v>
      </c>
      <c r="AB12" s="86">
        <v>-2.6782104196345899E-2</v>
      </c>
      <c r="AC12" s="86">
        <v>0</v>
      </c>
      <c r="AD12" s="86">
        <v>7.3438293908279899</v>
      </c>
      <c r="AE12" s="86">
        <v>0.188715100480774</v>
      </c>
      <c r="AF12" s="86">
        <v>0</v>
      </c>
      <c r="AG12" s="86">
        <v>0</v>
      </c>
      <c r="AH12" s="86">
        <v>0</v>
      </c>
      <c r="AI12" s="86">
        <v>0</v>
      </c>
      <c r="AJ12" s="86">
        <v>0</v>
      </c>
      <c r="AK12" s="86">
        <v>0</v>
      </c>
      <c r="AL12" s="86">
        <v>0</v>
      </c>
      <c r="AM12" s="86">
        <v>0</v>
      </c>
      <c r="AN12" s="86">
        <v>0</v>
      </c>
      <c r="AO12" s="86">
        <v>0</v>
      </c>
      <c r="AP12" s="86">
        <v>0</v>
      </c>
      <c r="AQ12" s="86">
        <v>0</v>
      </c>
      <c r="AR12" s="44">
        <v>0</v>
      </c>
    </row>
    <row r="13" spans="2:44" ht="12" customHeight="1" x14ac:dyDescent="0.25">
      <c r="B13" s="43" t="s">
        <v>35</v>
      </c>
      <c r="C13" s="86" t="s">
        <v>36</v>
      </c>
      <c r="D13" s="86" t="s">
        <v>25</v>
      </c>
      <c r="E13" s="86" t="s">
        <v>25</v>
      </c>
      <c r="F13" s="86" t="s">
        <v>89</v>
      </c>
      <c r="G13" s="86" t="s">
        <v>37</v>
      </c>
      <c r="H13" s="86" t="s">
        <v>85</v>
      </c>
      <c r="I13" s="86" t="s">
        <v>25</v>
      </c>
      <c r="J13" s="86">
        <v>50.31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1.9725068647075701</v>
      </c>
      <c r="U13" s="86">
        <v>2.15416863172912</v>
      </c>
      <c r="V13" s="86">
        <v>0.50060788038851201</v>
      </c>
      <c r="W13" s="86">
        <v>0</v>
      </c>
      <c r="X13" s="86">
        <v>19.357577689201602</v>
      </c>
      <c r="Y13" s="86">
        <v>0</v>
      </c>
      <c r="Z13" s="86">
        <v>0</v>
      </c>
      <c r="AA13" s="86">
        <v>26.582007607494901</v>
      </c>
      <c r="AB13" s="86">
        <v>-0.26067832604956698</v>
      </c>
      <c r="AC13" s="86">
        <v>0</v>
      </c>
      <c r="AD13" s="86">
        <v>0</v>
      </c>
      <c r="AE13" s="86">
        <v>0</v>
      </c>
      <c r="AF13" s="86">
        <v>0</v>
      </c>
      <c r="AG13" s="86">
        <v>0</v>
      </c>
      <c r="AH13" s="86">
        <v>0</v>
      </c>
      <c r="AI13" s="86">
        <v>0</v>
      </c>
      <c r="AJ13" s="86">
        <v>0</v>
      </c>
      <c r="AK13" s="86">
        <v>0</v>
      </c>
      <c r="AL13" s="86">
        <v>0</v>
      </c>
      <c r="AM13" s="86">
        <v>0</v>
      </c>
      <c r="AN13" s="86">
        <v>0</v>
      </c>
      <c r="AO13" s="86">
        <v>0</v>
      </c>
      <c r="AP13" s="86">
        <v>0</v>
      </c>
      <c r="AQ13" s="86">
        <v>0</v>
      </c>
      <c r="AR13" s="44">
        <v>0</v>
      </c>
    </row>
    <row r="14" spans="2:44" ht="12" customHeight="1" x14ac:dyDescent="0.25">
      <c r="B14" s="43" t="s">
        <v>35</v>
      </c>
      <c r="C14" s="86" t="s">
        <v>36</v>
      </c>
      <c r="D14" s="86" t="s">
        <v>25</v>
      </c>
      <c r="E14" s="86" t="s">
        <v>25</v>
      </c>
      <c r="F14" s="86" t="s">
        <v>89</v>
      </c>
      <c r="G14" s="86" t="s">
        <v>38</v>
      </c>
      <c r="H14" s="86" t="s">
        <v>82</v>
      </c>
      <c r="I14" s="86" t="s">
        <v>25</v>
      </c>
      <c r="J14" s="86">
        <v>8.69</v>
      </c>
      <c r="K14" s="86">
        <v>0</v>
      </c>
      <c r="L14" s="86">
        <v>0</v>
      </c>
      <c r="M14" s="86">
        <v>1.18497046853668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0</v>
      </c>
      <c r="Z14" s="86">
        <v>0</v>
      </c>
      <c r="AA14" s="86">
        <v>0</v>
      </c>
      <c r="AB14" s="86">
        <v>-2.6782104196345899E-2</v>
      </c>
      <c r="AC14" s="86">
        <v>0</v>
      </c>
      <c r="AD14" s="86">
        <v>7.3438293908279899</v>
      </c>
      <c r="AE14" s="86">
        <v>0.188715100480774</v>
      </c>
      <c r="AF14" s="86">
        <v>0</v>
      </c>
      <c r="AG14" s="86">
        <v>0</v>
      </c>
      <c r="AH14" s="86">
        <v>0</v>
      </c>
      <c r="AI14" s="86">
        <v>0</v>
      </c>
      <c r="AJ14" s="86">
        <v>0</v>
      </c>
      <c r="AK14" s="86">
        <v>0</v>
      </c>
      <c r="AL14" s="86">
        <v>0</v>
      </c>
      <c r="AM14" s="86">
        <v>0</v>
      </c>
      <c r="AN14" s="86">
        <v>0</v>
      </c>
      <c r="AO14" s="86">
        <v>0</v>
      </c>
      <c r="AP14" s="86">
        <v>0</v>
      </c>
      <c r="AQ14" s="86">
        <v>0</v>
      </c>
      <c r="AR14" s="44">
        <v>0</v>
      </c>
    </row>
    <row r="15" spans="2:44" ht="12" customHeight="1" x14ac:dyDescent="0.25">
      <c r="B15" s="43" t="s">
        <v>35</v>
      </c>
      <c r="C15" s="86" t="s">
        <v>36</v>
      </c>
      <c r="D15" s="86" t="s">
        <v>25</v>
      </c>
      <c r="E15" s="86" t="s">
        <v>25</v>
      </c>
      <c r="F15" s="86" t="s">
        <v>89</v>
      </c>
      <c r="G15" s="86" t="s">
        <v>38</v>
      </c>
      <c r="H15" s="86" t="s">
        <v>85</v>
      </c>
      <c r="I15" s="86" t="s">
        <v>25</v>
      </c>
      <c r="J15" s="86">
        <v>30.45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0</v>
      </c>
      <c r="T15" s="86">
        <v>1.9974396444728499</v>
      </c>
      <c r="U15" s="86">
        <v>1.92581597693948</v>
      </c>
      <c r="V15" s="86">
        <v>0.495924438680095</v>
      </c>
      <c r="W15" s="86">
        <v>0</v>
      </c>
      <c r="X15" s="86">
        <v>10.404435466759899</v>
      </c>
      <c r="Y15" s="86">
        <v>0</v>
      </c>
      <c r="Z15" s="86">
        <v>0</v>
      </c>
      <c r="AA15" s="86">
        <v>15.7862139727743</v>
      </c>
      <c r="AB15" s="86">
        <v>-0.15634713429327801</v>
      </c>
      <c r="AC15" s="86">
        <v>0</v>
      </c>
      <c r="AD15" s="86">
        <v>0</v>
      </c>
      <c r="AE15" s="86">
        <v>0</v>
      </c>
      <c r="AF15" s="86">
        <v>0</v>
      </c>
      <c r="AG15" s="86">
        <v>0</v>
      </c>
      <c r="AH15" s="86">
        <v>0</v>
      </c>
      <c r="AI15" s="86">
        <v>0</v>
      </c>
      <c r="AJ15" s="86">
        <v>0</v>
      </c>
      <c r="AK15" s="86">
        <v>0</v>
      </c>
      <c r="AL15" s="86">
        <v>0</v>
      </c>
      <c r="AM15" s="86">
        <v>0</v>
      </c>
      <c r="AN15" s="86">
        <v>0</v>
      </c>
      <c r="AO15" s="86">
        <v>0</v>
      </c>
      <c r="AP15" s="86">
        <v>0</v>
      </c>
      <c r="AQ15" s="86">
        <v>0</v>
      </c>
      <c r="AR15" s="44">
        <v>0</v>
      </c>
    </row>
    <row r="16" spans="2:44" ht="12" customHeight="1" x14ac:dyDescent="0.25">
      <c r="B16" s="43" t="s">
        <v>35</v>
      </c>
      <c r="C16" s="86" t="s">
        <v>36</v>
      </c>
      <c r="D16" s="86" t="s">
        <v>25</v>
      </c>
      <c r="E16" s="86" t="s">
        <v>25</v>
      </c>
      <c r="F16" s="86" t="s">
        <v>25</v>
      </c>
      <c r="G16" s="86" t="s">
        <v>37</v>
      </c>
      <c r="H16" s="86" t="s">
        <v>82</v>
      </c>
      <c r="I16" s="86" t="s">
        <v>25</v>
      </c>
      <c r="J16" s="86">
        <v>92.5</v>
      </c>
      <c r="K16" s="86">
        <v>198.18</v>
      </c>
      <c r="L16" s="86">
        <v>0</v>
      </c>
      <c r="M16" s="86">
        <v>1.18497046853668</v>
      </c>
      <c r="N16" s="86">
        <v>0</v>
      </c>
      <c r="O16" s="86">
        <v>0</v>
      </c>
      <c r="P16" s="86">
        <v>0</v>
      </c>
      <c r="Q16" s="86">
        <v>70.752976076830507</v>
      </c>
      <c r="R16" s="86">
        <v>13.323441364471901</v>
      </c>
      <c r="S16" s="86">
        <v>0</v>
      </c>
      <c r="T16" s="86">
        <v>0</v>
      </c>
      <c r="U16" s="86">
        <v>0</v>
      </c>
      <c r="V16" s="86">
        <v>0</v>
      </c>
      <c r="W16" s="86">
        <v>0</v>
      </c>
      <c r="X16" s="86">
        <v>0</v>
      </c>
      <c r="Y16" s="86">
        <v>0</v>
      </c>
      <c r="Z16" s="86">
        <v>0</v>
      </c>
      <c r="AA16" s="86">
        <v>0</v>
      </c>
      <c r="AB16" s="86">
        <v>-0.28913893098957</v>
      </c>
      <c r="AC16" s="86">
        <v>0</v>
      </c>
      <c r="AD16" s="86">
        <v>7.3438293908279899</v>
      </c>
      <c r="AE16" s="86">
        <v>0.188715100480774</v>
      </c>
      <c r="AF16" s="86">
        <v>0</v>
      </c>
      <c r="AG16" s="86">
        <v>0</v>
      </c>
      <c r="AH16" s="86">
        <v>0</v>
      </c>
      <c r="AI16" s="86">
        <v>-15.309516955125501</v>
      </c>
      <c r="AJ16" s="86">
        <v>0</v>
      </c>
      <c r="AK16" s="86">
        <v>39.123506626414802</v>
      </c>
      <c r="AL16" s="86">
        <v>0</v>
      </c>
      <c r="AM16" s="86">
        <v>170.54136768041701</v>
      </c>
      <c r="AN16" s="86">
        <v>0</v>
      </c>
      <c r="AO16" s="86">
        <v>0</v>
      </c>
      <c r="AP16" s="86">
        <v>0</v>
      </c>
      <c r="AQ16" s="86">
        <v>-0.55572399366303904</v>
      </c>
      <c r="AR16" s="44">
        <v>4.3823144385387502</v>
      </c>
    </row>
    <row r="17" spans="2:44" ht="12" customHeight="1" x14ac:dyDescent="0.25">
      <c r="B17" s="43" t="s">
        <v>35</v>
      </c>
      <c r="C17" s="86" t="s">
        <v>36</v>
      </c>
      <c r="D17" s="86" t="s">
        <v>25</v>
      </c>
      <c r="E17" s="86" t="s">
        <v>25</v>
      </c>
      <c r="F17" s="86" t="s">
        <v>25</v>
      </c>
      <c r="G17" s="86" t="s">
        <v>37</v>
      </c>
      <c r="H17" s="86" t="s">
        <v>85</v>
      </c>
      <c r="I17" s="86" t="s">
        <v>25</v>
      </c>
      <c r="J17" s="86">
        <v>50.31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0</v>
      </c>
      <c r="Q17" s="86">
        <v>0</v>
      </c>
      <c r="R17" s="86">
        <v>0</v>
      </c>
      <c r="S17" s="86">
        <v>0</v>
      </c>
      <c r="T17" s="86">
        <v>1.9725068647075701</v>
      </c>
      <c r="U17" s="86">
        <v>2.15416863172912</v>
      </c>
      <c r="V17" s="86">
        <v>0.50060788038851201</v>
      </c>
      <c r="W17" s="86">
        <v>0</v>
      </c>
      <c r="X17" s="86">
        <v>19.357577689201602</v>
      </c>
      <c r="Y17" s="86">
        <v>0</v>
      </c>
      <c r="Z17" s="86">
        <v>0</v>
      </c>
      <c r="AA17" s="86">
        <v>26.582007607494901</v>
      </c>
      <c r="AB17" s="86">
        <v>-0.26067832604956698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44">
        <v>0</v>
      </c>
    </row>
    <row r="18" spans="2:44" ht="12" customHeight="1" x14ac:dyDescent="0.25">
      <c r="B18" s="43" t="s">
        <v>35</v>
      </c>
      <c r="C18" s="86" t="s">
        <v>36</v>
      </c>
      <c r="D18" s="86" t="s">
        <v>25</v>
      </c>
      <c r="E18" s="86" t="s">
        <v>25</v>
      </c>
      <c r="F18" s="86" t="s">
        <v>25</v>
      </c>
      <c r="G18" s="86" t="s">
        <v>38</v>
      </c>
      <c r="H18" s="86" t="s">
        <v>82</v>
      </c>
      <c r="I18" s="86" t="s">
        <v>25</v>
      </c>
      <c r="J18" s="86">
        <v>92.5</v>
      </c>
      <c r="K18" s="86">
        <v>198.18</v>
      </c>
      <c r="L18" s="86">
        <v>0</v>
      </c>
      <c r="M18" s="86">
        <v>1.18497046853668</v>
      </c>
      <c r="N18" s="86">
        <v>0</v>
      </c>
      <c r="O18" s="86">
        <v>0</v>
      </c>
      <c r="P18" s="86">
        <v>0</v>
      </c>
      <c r="Q18" s="86">
        <v>70.752976076830507</v>
      </c>
      <c r="R18" s="86">
        <v>13.323441364471901</v>
      </c>
      <c r="S18" s="86">
        <v>0</v>
      </c>
      <c r="T18" s="86">
        <v>0</v>
      </c>
      <c r="U18" s="86">
        <v>0</v>
      </c>
      <c r="V18" s="86">
        <v>0</v>
      </c>
      <c r="W18" s="86">
        <v>0</v>
      </c>
      <c r="X18" s="86">
        <v>0</v>
      </c>
      <c r="Y18" s="86">
        <v>0</v>
      </c>
      <c r="Z18" s="86">
        <v>0</v>
      </c>
      <c r="AA18" s="86">
        <v>0</v>
      </c>
      <c r="AB18" s="86">
        <v>-0.28913893098957</v>
      </c>
      <c r="AC18" s="86">
        <v>0</v>
      </c>
      <c r="AD18" s="86">
        <v>7.3438293908279899</v>
      </c>
      <c r="AE18" s="86">
        <v>0.188715100480774</v>
      </c>
      <c r="AF18" s="86">
        <v>0</v>
      </c>
      <c r="AG18" s="86">
        <v>0</v>
      </c>
      <c r="AH18" s="86">
        <v>0</v>
      </c>
      <c r="AI18" s="86">
        <v>-15.309516955125501</v>
      </c>
      <c r="AJ18" s="86">
        <v>0</v>
      </c>
      <c r="AK18" s="86">
        <v>39.123506626414802</v>
      </c>
      <c r="AL18" s="86">
        <v>0</v>
      </c>
      <c r="AM18" s="86">
        <v>170.54136768041701</v>
      </c>
      <c r="AN18" s="86">
        <v>0</v>
      </c>
      <c r="AO18" s="86">
        <v>0</v>
      </c>
      <c r="AP18" s="86">
        <v>0</v>
      </c>
      <c r="AQ18" s="86">
        <v>-0.55572399366303904</v>
      </c>
      <c r="AR18" s="44">
        <v>4.3823144385387502</v>
      </c>
    </row>
    <row r="19" spans="2:44" ht="12" customHeight="1" x14ac:dyDescent="0.25">
      <c r="B19" s="43" t="s">
        <v>35</v>
      </c>
      <c r="C19" s="86" t="s">
        <v>36</v>
      </c>
      <c r="D19" s="86" t="s">
        <v>25</v>
      </c>
      <c r="E19" s="86" t="s">
        <v>25</v>
      </c>
      <c r="F19" s="86" t="s">
        <v>25</v>
      </c>
      <c r="G19" s="86" t="s">
        <v>38</v>
      </c>
      <c r="H19" s="86" t="s">
        <v>85</v>
      </c>
      <c r="I19" s="86" t="s">
        <v>25</v>
      </c>
      <c r="J19" s="86">
        <v>30.45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1.9974396444728499</v>
      </c>
      <c r="U19" s="86">
        <v>1.92581597693948</v>
      </c>
      <c r="V19" s="86">
        <v>0.495924438680095</v>
      </c>
      <c r="W19" s="86">
        <v>0</v>
      </c>
      <c r="X19" s="86">
        <v>10.404435466759899</v>
      </c>
      <c r="Y19" s="86">
        <v>0</v>
      </c>
      <c r="Z19" s="86">
        <v>0</v>
      </c>
      <c r="AA19" s="86">
        <v>15.7862139727743</v>
      </c>
      <c r="AB19" s="86">
        <v>-0.15634713429327801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0</v>
      </c>
      <c r="AI19" s="86">
        <v>0</v>
      </c>
      <c r="AJ19" s="86">
        <v>0</v>
      </c>
      <c r="AK19" s="86">
        <v>0</v>
      </c>
      <c r="AL19" s="86">
        <v>0</v>
      </c>
      <c r="AM19" s="86">
        <v>0</v>
      </c>
      <c r="AN19" s="86">
        <v>0</v>
      </c>
      <c r="AO19" s="86">
        <v>0</v>
      </c>
      <c r="AP19" s="86">
        <v>0</v>
      </c>
      <c r="AQ19" s="86">
        <v>0</v>
      </c>
      <c r="AR19" s="44">
        <v>0</v>
      </c>
    </row>
    <row r="20" spans="2:44" ht="12" customHeight="1" x14ac:dyDescent="0.25">
      <c r="B20" s="43" t="s">
        <v>35</v>
      </c>
      <c r="C20" s="86" t="s">
        <v>23</v>
      </c>
      <c r="D20" s="86" t="s">
        <v>25</v>
      </c>
      <c r="E20" s="86" t="s">
        <v>25</v>
      </c>
      <c r="F20" s="86" t="s">
        <v>25</v>
      </c>
      <c r="G20" s="86" t="s">
        <v>25</v>
      </c>
      <c r="H20" s="86" t="s">
        <v>82</v>
      </c>
      <c r="I20" s="86" t="s">
        <v>25</v>
      </c>
      <c r="J20" s="86">
        <v>0</v>
      </c>
      <c r="K20" s="86">
        <v>198.18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0</v>
      </c>
      <c r="S20" s="86">
        <v>0</v>
      </c>
      <c r="T20" s="86">
        <v>0</v>
      </c>
      <c r="U20" s="86">
        <v>0</v>
      </c>
      <c r="V20" s="86">
        <v>0</v>
      </c>
      <c r="W20" s="86">
        <v>0</v>
      </c>
      <c r="X20" s="86">
        <v>0</v>
      </c>
      <c r="Y20" s="86">
        <v>0</v>
      </c>
      <c r="Z20" s="86">
        <v>0</v>
      </c>
      <c r="AA20" s="86">
        <v>0</v>
      </c>
      <c r="AB20" s="86">
        <v>0</v>
      </c>
      <c r="AC20" s="86">
        <v>0</v>
      </c>
      <c r="AD20" s="86">
        <v>0</v>
      </c>
      <c r="AE20" s="86">
        <v>0</v>
      </c>
      <c r="AF20" s="86">
        <v>0</v>
      </c>
      <c r="AG20" s="86">
        <v>0</v>
      </c>
      <c r="AH20" s="86">
        <v>0</v>
      </c>
      <c r="AI20" s="86">
        <v>-15.309516955125501</v>
      </c>
      <c r="AJ20" s="86">
        <v>0</v>
      </c>
      <c r="AK20" s="86">
        <v>39.123506626414802</v>
      </c>
      <c r="AL20" s="86">
        <v>0</v>
      </c>
      <c r="AM20" s="86">
        <v>170.54136768041701</v>
      </c>
      <c r="AN20" s="86">
        <v>0</v>
      </c>
      <c r="AO20" s="86">
        <v>0</v>
      </c>
      <c r="AP20" s="86">
        <v>0</v>
      </c>
      <c r="AQ20" s="86">
        <v>-0.55572399366303904</v>
      </c>
      <c r="AR20" s="44">
        <v>4.3823144385387502</v>
      </c>
    </row>
    <row r="21" spans="2:44" ht="12" customHeight="1" x14ac:dyDescent="0.25">
      <c r="B21" s="43" t="s">
        <v>35</v>
      </c>
      <c r="C21" s="86" t="s">
        <v>56</v>
      </c>
      <c r="D21" s="86" t="s">
        <v>25</v>
      </c>
      <c r="E21" s="86" t="s">
        <v>25</v>
      </c>
      <c r="F21" s="86" t="s">
        <v>25</v>
      </c>
      <c r="G21" s="86" t="s">
        <v>25</v>
      </c>
      <c r="H21" s="86" t="s">
        <v>85</v>
      </c>
      <c r="I21" s="86" t="s">
        <v>25</v>
      </c>
      <c r="J21" s="86">
        <v>16.13</v>
      </c>
      <c r="K21" s="86">
        <v>0</v>
      </c>
      <c r="L21" s="86">
        <v>0</v>
      </c>
      <c r="M21" s="86">
        <v>0.14260663161791401</v>
      </c>
      <c r="N21" s="86">
        <v>0</v>
      </c>
      <c r="O21" s="86">
        <v>0</v>
      </c>
      <c r="P21" s="86">
        <v>0</v>
      </c>
      <c r="Q21" s="86">
        <v>0</v>
      </c>
      <c r="R21" s="86">
        <v>0</v>
      </c>
      <c r="S21" s="86">
        <v>0</v>
      </c>
      <c r="T21" s="86">
        <v>0</v>
      </c>
      <c r="U21" s="86">
        <v>0</v>
      </c>
      <c r="V21" s="86">
        <v>0</v>
      </c>
      <c r="W21" s="86">
        <v>0</v>
      </c>
      <c r="X21" s="86">
        <v>0</v>
      </c>
      <c r="Y21" s="86">
        <v>0</v>
      </c>
      <c r="Z21" s="86">
        <v>0</v>
      </c>
      <c r="AA21" s="86">
        <v>16.103003458339298</v>
      </c>
      <c r="AB21" s="86">
        <v>-0.117642938863231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44">
        <v>0</v>
      </c>
    </row>
    <row r="22" spans="2:44" ht="12" customHeight="1" x14ac:dyDescent="0.25">
      <c r="B22" s="43" t="s">
        <v>35</v>
      </c>
      <c r="C22" s="86" t="s">
        <v>39</v>
      </c>
      <c r="D22" s="86" t="s">
        <v>25</v>
      </c>
      <c r="E22" s="86" t="s">
        <v>25</v>
      </c>
      <c r="F22" s="86" t="s">
        <v>89</v>
      </c>
      <c r="G22" s="86" t="s">
        <v>37</v>
      </c>
      <c r="H22" s="86" t="s">
        <v>82</v>
      </c>
      <c r="I22" s="86" t="s">
        <v>25</v>
      </c>
      <c r="J22" s="86">
        <v>1218.55</v>
      </c>
      <c r="K22" s="86">
        <v>0</v>
      </c>
      <c r="L22" s="86">
        <v>0</v>
      </c>
      <c r="M22" s="86">
        <v>1.18497046853668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47.438205514092701</v>
      </c>
      <c r="U22" s="86">
        <v>51.810899709103197</v>
      </c>
      <c r="V22" s="86">
        <v>12.03384327857</v>
      </c>
      <c r="W22" s="86">
        <v>0</v>
      </c>
      <c r="X22" s="86">
        <v>465.54996723089999</v>
      </c>
      <c r="Y22" s="86">
        <v>0</v>
      </c>
      <c r="Z22" s="86">
        <v>0</v>
      </c>
      <c r="AA22" s="86">
        <v>639.29758167090904</v>
      </c>
      <c r="AB22" s="86">
        <v>-6.2960887702775903</v>
      </c>
      <c r="AC22" s="86">
        <v>0</v>
      </c>
      <c r="AD22" s="86">
        <v>7.3438293908279899</v>
      </c>
      <c r="AE22" s="86">
        <v>0.188715100480774</v>
      </c>
      <c r="AF22" s="86">
        <v>0</v>
      </c>
      <c r="AG22" s="86">
        <v>0</v>
      </c>
      <c r="AH22" s="86">
        <v>0</v>
      </c>
      <c r="AI22" s="86">
        <v>0</v>
      </c>
      <c r="AJ22" s="86">
        <v>0</v>
      </c>
      <c r="AK22" s="86">
        <v>0</v>
      </c>
      <c r="AL22" s="86">
        <v>0</v>
      </c>
      <c r="AM22" s="86">
        <v>0</v>
      </c>
      <c r="AN22" s="86">
        <v>0</v>
      </c>
      <c r="AO22" s="86">
        <v>0</v>
      </c>
      <c r="AP22" s="86">
        <v>0</v>
      </c>
      <c r="AQ22" s="86">
        <v>0</v>
      </c>
      <c r="AR22" s="44">
        <v>0</v>
      </c>
    </row>
    <row r="23" spans="2:44" ht="12" customHeight="1" x14ac:dyDescent="0.25">
      <c r="B23" s="43" t="s">
        <v>35</v>
      </c>
      <c r="C23" s="86" t="s">
        <v>39</v>
      </c>
      <c r="D23" s="86" t="s">
        <v>25</v>
      </c>
      <c r="E23" s="86" t="s">
        <v>25</v>
      </c>
      <c r="F23" s="86" t="s">
        <v>89</v>
      </c>
      <c r="G23" s="86" t="s">
        <v>25</v>
      </c>
      <c r="H23" s="86" t="s">
        <v>85</v>
      </c>
      <c r="I23" s="86" t="s">
        <v>25</v>
      </c>
      <c r="J23" s="86">
        <v>30.45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  <c r="R23" s="86">
        <v>0</v>
      </c>
      <c r="S23" s="86">
        <v>0</v>
      </c>
      <c r="T23" s="86">
        <v>1.9974396444728499</v>
      </c>
      <c r="U23" s="86">
        <v>1.92581597693948</v>
      </c>
      <c r="V23" s="86">
        <v>0.495924438680095</v>
      </c>
      <c r="W23" s="86">
        <v>0</v>
      </c>
      <c r="X23" s="86">
        <v>10.404435466759899</v>
      </c>
      <c r="Y23" s="86">
        <v>0</v>
      </c>
      <c r="Z23" s="86">
        <v>0</v>
      </c>
      <c r="AA23" s="86">
        <v>15.7862139727743</v>
      </c>
      <c r="AB23" s="86">
        <v>-0.15634713429327801</v>
      </c>
      <c r="AC23" s="86">
        <v>0</v>
      </c>
      <c r="AD23" s="86">
        <v>0</v>
      </c>
      <c r="AE23" s="86">
        <v>0</v>
      </c>
      <c r="AF23" s="86">
        <v>0</v>
      </c>
      <c r="AG23" s="86">
        <v>0</v>
      </c>
      <c r="AH23" s="86">
        <v>0</v>
      </c>
      <c r="AI23" s="86">
        <v>0</v>
      </c>
      <c r="AJ23" s="86">
        <v>0</v>
      </c>
      <c r="AK23" s="86">
        <v>0</v>
      </c>
      <c r="AL23" s="86">
        <v>0</v>
      </c>
      <c r="AM23" s="86">
        <v>0</v>
      </c>
      <c r="AN23" s="86">
        <v>0</v>
      </c>
      <c r="AO23" s="86">
        <v>0</v>
      </c>
      <c r="AP23" s="86">
        <v>0</v>
      </c>
      <c r="AQ23" s="86">
        <v>0</v>
      </c>
      <c r="AR23" s="44">
        <v>0</v>
      </c>
    </row>
    <row r="24" spans="2:44" ht="12" customHeight="1" x14ac:dyDescent="0.25">
      <c r="B24" s="43" t="s">
        <v>35</v>
      </c>
      <c r="C24" s="86" t="s">
        <v>39</v>
      </c>
      <c r="D24" s="86" t="s">
        <v>25</v>
      </c>
      <c r="E24" s="86" t="s">
        <v>25</v>
      </c>
      <c r="F24" s="86" t="s">
        <v>89</v>
      </c>
      <c r="G24" s="86" t="s">
        <v>38</v>
      </c>
      <c r="H24" s="86" t="s">
        <v>82</v>
      </c>
      <c r="I24" s="86" t="s">
        <v>25</v>
      </c>
      <c r="J24" s="86">
        <v>8.69</v>
      </c>
      <c r="K24" s="86">
        <v>0</v>
      </c>
      <c r="L24" s="86">
        <v>0</v>
      </c>
      <c r="M24" s="86">
        <v>1.18497046853668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-2.6782104196345899E-2</v>
      </c>
      <c r="AC24" s="86">
        <v>0</v>
      </c>
      <c r="AD24" s="86">
        <v>7.3438293908279899</v>
      </c>
      <c r="AE24" s="86">
        <v>0.188715100480774</v>
      </c>
      <c r="AF24" s="86">
        <v>0</v>
      </c>
      <c r="AG24" s="86">
        <v>0</v>
      </c>
      <c r="AH24" s="86">
        <v>0</v>
      </c>
      <c r="AI24" s="86">
        <v>0</v>
      </c>
      <c r="AJ24" s="86">
        <v>0</v>
      </c>
      <c r="AK24" s="86">
        <v>0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44">
        <v>0</v>
      </c>
    </row>
    <row r="25" spans="2:44" ht="12" customHeight="1" x14ac:dyDescent="0.25">
      <c r="B25" s="43" t="s">
        <v>35</v>
      </c>
      <c r="C25" s="86" t="s">
        <v>39</v>
      </c>
      <c r="D25" s="86" t="s">
        <v>25</v>
      </c>
      <c r="E25" s="86" t="s">
        <v>25</v>
      </c>
      <c r="F25" s="86" t="s">
        <v>25</v>
      </c>
      <c r="G25" s="86" t="s">
        <v>37</v>
      </c>
      <c r="H25" s="86" t="s">
        <v>82</v>
      </c>
      <c r="I25" s="86" t="s">
        <v>25</v>
      </c>
      <c r="J25" s="86">
        <v>1302.3699999999999</v>
      </c>
      <c r="K25" s="86">
        <v>198.18</v>
      </c>
      <c r="L25" s="86">
        <v>0</v>
      </c>
      <c r="M25" s="86">
        <v>1.18497046853668</v>
      </c>
      <c r="N25" s="86">
        <v>0</v>
      </c>
      <c r="O25" s="86">
        <v>0</v>
      </c>
      <c r="P25" s="86">
        <v>0</v>
      </c>
      <c r="Q25" s="86">
        <v>70.752976076830507</v>
      </c>
      <c r="R25" s="86">
        <v>13.323441364471901</v>
      </c>
      <c r="S25" s="86">
        <v>0</v>
      </c>
      <c r="T25" s="86">
        <v>47.438205514092701</v>
      </c>
      <c r="U25" s="86">
        <v>51.810899709103197</v>
      </c>
      <c r="V25" s="86">
        <v>12.03384327857</v>
      </c>
      <c r="W25" s="86">
        <v>0</v>
      </c>
      <c r="X25" s="86">
        <v>465.54996723089999</v>
      </c>
      <c r="Y25" s="86">
        <v>0</v>
      </c>
      <c r="Z25" s="86">
        <v>0</v>
      </c>
      <c r="AA25" s="86">
        <v>639.29758167090904</v>
      </c>
      <c r="AB25" s="86">
        <v>-6.5584455970708202</v>
      </c>
      <c r="AC25" s="86">
        <v>0</v>
      </c>
      <c r="AD25" s="86">
        <v>7.3438293908279899</v>
      </c>
      <c r="AE25" s="86">
        <v>0.188715100480774</v>
      </c>
      <c r="AF25" s="86">
        <v>0</v>
      </c>
      <c r="AG25" s="86">
        <v>0</v>
      </c>
      <c r="AH25" s="86">
        <v>0</v>
      </c>
      <c r="AI25" s="86">
        <v>-15.309516955125501</v>
      </c>
      <c r="AJ25" s="86">
        <v>0</v>
      </c>
      <c r="AK25" s="86">
        <v>39.123506626414802</v>
      </c>
      <c r="AL25" s="86">
        <v>0</v>
      </c>
      <c r="AM25" s="86">
        <v>170.54136768041701</v>
      </c>
      <c r="AN25" s="86">
        <v>0</v>
      </c>
      <c r="AO25" s="86">
        <v>0</v>
      </c>
      <c r="AP25" s="86">
        <v>0</v>
      </c>
      <c r="AQ25" s="86">
        <v>-0.55572399366303904</v>
      </c>
      <c r="AR25" s="44">
        <v>4.3823144385387502</v>
      </c>
    </row>
    <row r="26" spans="2:44" ht="12" customHeight="1" x14ac:dyDescent="0.25">
      <c r="B26" s="43" t="s">
        <v>35</v>
      </c>
      <c r="C26" s="86" t="s">
        <v>39</v>
      </c>
      <c r="D26" s="86" t="s">
        <v>25</v>
      </c>
      <c r="E26" s="86" t="s">
        <v>25</v>
      </c>
      <c r="F26" s="86" t="s">
        <v>25</v>
      </c>
      <c r="G26" s="86" t="s">
        <v>25</v>
      </c>
      <c r="H26" s="86" t="s">
        <v>85</v>
      </c>
      <c r="I26" s="86" t="s">
        <v>25</v>
      </c>
      <c r="J26" s="86">
        <v>30.45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0</v>
      </c>
      <c r="R26" s="86">
        <v>0</v>
      </c>
      <c r="S26" s="86">
        <v>0</v>
      </c>
      <c r="T26" s="86">
        <v>1.9974396444728499</v>
      </c>
      <c r="U26" s="86">
        <v>1.92581597693948</v>
      </c>
      <c r="V26" s="86">
        <v>0.495924438680095</v>
      </c>
      <c r="W26" s="86">
        <v>0</v>
      </c>
      <c r="X26" s="86">
        <v>10.404435466759899</v>
      </c>
      <c r="Y26" s="86">
        <v>0</v>
      </c>
      <c r="Z26" s="86">
        <v>0</v>
      </c>
      <c r="AA26" s="86">
        <v>15.7862139727743</v>
      </c>
      <c r="AB26" s="86">
        <v>-0.15634713429327801</v>
      </c>
      <c r="AC26" s="86">
        <v>0</v>
      </c>
      <c r="AD26" s="86">
        <v>0</v>
      </c>
      <c r="AE26" s="86">
        <v>0</v>
      </c>
      <c r="AF26" s="86">
        <v>0</v>
      </c>
      <c r="AG26" s="86">
        <v>0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44">
        <v>0</v>
      </c>
    </row>
    <row r="27" spans="2:44" ht="12" customHeight="1" x14ac:dyDescent="0.25">
      <c r="B27" s="43" t="s">
        <v>35</v>
      </c>
      <c r="C27" s="86" t="s">
        <v>39</v>
      </c>
      <c r="D27" s="86" t="s">
        <v>25</v>
      </c>
      <c r="E27" s="86" t="s">
        <v>25</v>
      </c>
      <c r="F27" s="86" t="s">
        <v>25</v>
      </c>
      <c r="G27" s="86" t="s">
        <v>38</v>
      </c>
      <c r="H27" s="86" t="s">
        <v>82</v>
      </c>
      <c r="I27" s="86" t="s">
        <v>25</v>
      </c>
      <c r="J27" s="86">
        <v>92.5</v>
      </c>
      <c r="K27" s="86">
        <v>198.18</v>
      </c>
      <c r="L27" s="86">
        <v>0</v>
      </c>
      <c r="M27" s="86">
        <v>1.18497046853668</v>
      </c>
      <c r="N27" s="86">
        <v>0</v>
      </c>
      <c r="O27" s="86">
        <v>0</v>
      </c>
      <c r="P27" s="86">
        <v>0</v>
      </c>
      <c r="Q27" s="86">
        <v>70.752976076830507</v>
      </c>
      <c r="R27" s="86">
        <v>13.323441364471901</v>
      </c>
      <c r="S27" s="86">
        <v>0</v>
      </c>
      <c r="T27" s="86">
        <v>0</v>
      </c>
      <c r="U27" s="86">
        <v>0</v>
      </c>
      <c r="V27" s="86">
        <v>0</v>
      </c>
      <c r="W27" s="86">
        <v>0</v>
      </c>
      <c r="X27" s="86">
        <v>0</v>
      </c>
      <c r="Y27" s="86">
        <v>0</v>
      </c>
      <c r="Z27" s="86">
        <v>0</v>
      </c>
      <c r="AA27" s="86">
        <v>0</v>
      </c>
      <c r="AB27" s="86">
        <v>-0.28913893098957</v>
      </c>
      <c r="AC27" s="86">
        <v>0</v>
      </c>
      <c r="AD27" s="86">
        <v>7.3438293908279899</v>
      </c>
      <c r="AE27" s="86">
        <v>0.188715100480774</v>
      </c>
      <c r="AF27" s="86">
        <v>0</v>
      </c>
      <c r="AG27" s="86">
        <v>0</v>
      </c>
      <c r="AH27" s="86">
        <v>0</v>
      </c>
      <c r="AI27" s="86">
        <v>-15.309516955125501</v>
      </c>
      <c r="AJ27" s="86">
        <v>0</v>
      </c>
      <c r="AK27" s="86">
        <v>39.123506626414802</v>
      </c>
      <c r="AL27" s="86">
        <v>0</v>
      </c>
      <c r="AM27" s="86">
        <v>170.54136768041701</v>
      </c>
      <c r="AN27" s="86">
        <v>0</v>
      </c>
      <c r="AO27" s="86">
        <v>0</v>
      </c>
      <c r="AP27" s="86">
        <v>0</v>
      </c>
      <c r="AQ27" s="86">
        <v>-0.55572399366303904</v>
      </c>
      <c r="AR27" s="44">
        <v>4.3823144385387502</v>
      </c>
    </row>
    <row r="28" spans="2:44" ht="12" customHeight="1" x14ac:dyDescent="0.25">
      <c r="B28" s="43" t="s">
        <v>91</v>
      </c>
      <c r="C28" s="86" t="s">
        <v>56</v>
      </c>
      <c r="D28" s="86" t="s">
        <v>25</v>
      </c>
      <c r="E28" s="86" t="s">
        <v>25</v>
      </c>
      <c r="F28" s="86" t="s">
        <v>92</v>
      </c>
      <c r="G28" s="86" t="s">
        <v>25</v>
      </c>
      <c r="H28" s="86" t="s">
        <v>85</v>
      </c>
      <c r="I28" s="86" t="s">
        <v>25</v>
      </c>
      <c r="J28" s="86">
        <v>1.6099999999999999</v>
      </c>
      <c r="K28" s="86">
        <v>0</v>
      </c>
      <c r="L28" s="86">
        <v>0</v>
      </c>
      <c r="M28" s="86">
        <v>1.42606631617914E-2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0</v>
      </c>
      <c r="U28" s="86">
        <v>0</v>
      </c>
      <c r="V28" s="86">
        <v>0</v>
      </c>
      <c r="W28" s="86">
        <v>0</v>
      </c>
      <c r="X28" s="86">
        <v>0</v>
      </c>
      <c r="Y28" s="86">
        <v>0</v>
      </c>
      <c r="Z28" s="86">
        <v>0</v>
      </c>
      <c r="AA28" s="86">
        <v>1.6103823448379599</v>
      </c>
      <c r="AB28" s="86">
        <v>-1.1764890550918601E-2</v>
      </c>
      <c r="AC28" s="86">
        <v>0</v>
      </c>
      <c r="AD28" s="86">
        <v>0</v>
      </c>
      <c r="AE28" s="86">
        <v>0</v>
      </c>
      <c r="AF28" s="86">
        <v>0</v>
      </c>
      <c r="AG28" s="86">
        <v>0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44">
        <v>0</v>
      </c>
    </row>
    <row r="29" spans="2:44" ht="12" customHeight="1" x14ac:dyDescent="0.25">
      <c r="B29" s="43" t="s">
        <v>91</v>
      </c>
      <c r="C29" s="86" t="s">
        <v>56</v>
      </c>
      <c r="D29" s="86" t="s">
        <v>25</v>
      </c>
      <c r="E29" s="86" t="s">
        <v>25</v>
      </c>
      <c r="F29" s="86" t="s">
        <v>93</v>
      </c>
      <c r="G29" s="86" t="s">
        <v>25</v>
      </c>
      <c r="H29" s="86" t="s">
        <v>85</v>
      </c>
      <c r="I29" s="86" t="s">
        <v>25</v>
      </c>
      <c r="J29" s="86">
        <v>6.34</v>
      </c>
      <c r="K29" s="86">
        <v>0</v>
      </c>
      <c r="L29" s="86">
        <v>0</v>
      </c>
      <c r="M29" s="86">
        <v>1.42606631617914E-2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6.36737885142285</v>
      </c>
      <c r="AB29" s="86">
        <v>-4.6379108493125001E-2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44">
        <v>0</v>
      </c>
    </row>
    <row r="30" spans="2:44" ht="12" customHeight="1" x14ac:dyDescent="0.25">
      <c r="B30" s="43" t="s">
        <v>22</v>
      </c>
      <c r="C30" s="86" t="s">
        <v>95</v>
      </c>
      <c r="D30" s="86" t="s">
        <v>24</v>
      </c>
      <c r="E30" s="86" t="s">
        <v>24</v>
      </c>
      <c r="F30" s="86" t="s">
        <v>25</v>
      </c>
      <c r="G30" s="86" t="s">
        <v>37</v>
      </c>
      <c r="H30" s="86" t="s">
        <v>82</v>
      </c>
      <c r="I30" s="86" t="s">
        <v>25</v>
      </c>
      <c r="J30" s="86">
        <v>518.94000000000005</v>
      </c>
      <c r="K30" s="86">
        <v>198.18</v>
      </c>
      <c r="L30" s="86">
        <v>0</v>
      </c>
      <c r="M30" s="86">
        <v>0.78192502640401795</v>
      </c>
      <c r="N30" s="86">
        <v>0</v>
      </c>
      <c r="O30" s="86">
        <v>0</v>
      </c>
      <c r="P30" s="86">
        <v>0</v>
      </c>
      <c r="Q30" s="86">
        <v>84.229733424798198</v>
      </c>
      <c r="R30" s="86">
        <v>13.323441364471901</v>
      </c>
      <c r="S30" s="86">
        <v>0</v>
      </c>
      <c r="T30" s="86">
        <v>24.9360196180196</v>
      </c>
      <c r="U30" s="86">
        <v>25.857569459192501</v>
      </c>
      <c r="V30" s="86">
        <v>6.26644500586118</v>
      </c>
      <c r="W30" s="86">
        <v>0</v>
      </c>
      <c r="X30" s="86">
        <v>180.63418931304599</v>
      </c>
      <c r="Y30" s="86">
        <v>0</v>
      </c>
      <c r="Z30" s="86">
        <v>0</v>
      </c>
      <c r="AA30" s="86">
        <v>168.13751301689399</v>
      </c>
      <c r="AB30" s="86">
        <v>-2.2480186097299701</v>
      </c>
      <c r="AC30" s="86">
        <v>0</v>
      </c>
      <c r="AD30" s="86">
        <v>16.5956420892586</v>
      </c>
      <c r="AE30" s="86">
        <v>0.426526052176813</v>
      </c>
      <c r="AF30" s="86">
        <v>0</v>
      </c>
      <c r="AG30" s="86">
        <v>0</v>
      </c>
      <c r="AH30" s="86">
        <v>0</v>
      </c>
      <c r="AI30" s="86">
        <v>-15.309516955125501</v>
      </c>
      <c r="AJ30" s="86">
        <v>0</v>
      </c>
      <c r="AK30" s="86">
        <v>39.123506626414802</v>
      </c>
      <c r="AL30" s="86">
        <v>0</v>
      </c>
      <c r="AM30" s="86">
        <v>170.54136768041701</v>
      </c>
      <c r="AN30" s="86">
        <v>0</v>
      </c>
      <c r="AO30" s="86">
        <v>0</v>
      </c>
      <c r="AP30" s="86">
        <v>0</v>
      </c>
      <c r="AQ30" s="86">
        <v>-0.55572399366303904</v>
      </c>
      <c r="AR30" s="44">
        <v>4.3823144385387502</v>
      </c>
    </row>
    <row r="31" spans="2:44" ht="12" customHeight="1" x14ac:dyDescent="0.25">
      <c r="B31" s="43" t="s">
        <v>22</v>
      </c>
      <c r="C31" s="86" t="s">
        <v>95</v>
      </c>
      <c r="D31" s="86" t="s">
        <v>24</v>
      </c>
      <c r="E31" s="86" t="s">
        <v>24</v>
      </c>
      <c r="F31" s="86" t="s">
        <v>25</v>
      </c>
      <c r="G31" s="86" t="s">
        <v>585</v>
      </c>
      <c r="H31" s="86" t="s">
        <v>82</v>
      </c>
      <c r="I31" s="86" t="s">
        <v>25</v>
      </c>
      <c r="J31" s="86">
        <v>498.74</v>
      </c>
      <c r="K31" s="86">
        <v>198.18</v>
      </c>
      <c r="L31" s="86">
        <v>0</v>
      </c>
      <c r="M31" s="86">
        <v>0.78192502640401795</v>
      </c>
      <c r="N31" s="86">
        <v>0</v>
      </c>
      <c r="O31" s="86">
        <v>0</v>
      </c>
      <c r="P31" s="86">
        <v>0</v>
      </c>
      <c r="Q31" s="86">
        <v>84.229733424798198</v>
      </c>
      <c r="R31" s="86">
        <v>13.323441364471901</v>
      </c>
      <c r="S31" s="86">
        <v>0</v>
      </c>
      <c r="T31" s="86">
        <v>23.689239766593001</v>
      </c>
      <c r="U31" s="86">
        <v>24.564708952610101</v>
      </c>
      <c r="V31" s="86">
        <v>5.9536951762213697</v>
      </c>
      <c r="W31" s="86">
        <v>0</v>
      </c>
      <c r="X31" s="86">
        <v>171.60254297205</v>
      </c>
      <c r="Y31" s="86">
        <v>0</v>
      </c>
      <c r="Z31" s="86">
        <v>0</v>
      </c>
      <c r="AA31" s="86">
        <v>159.730623699548</v>
      </c>
      <c r="AB31" s="86">
        <v>-2.15355428216328</v>
      </c>
      <c r="AC31" s="86">
        <v>0</v>
      </c>
      <c r="AD31" s="86">
        <v>16.5956420892586</v>
      </c>
      <c r="AE31" s="86">
        <v>0.426526052176813</v>
      </c>
      <c r="AF31" s="86">
        <v>0</v>
      </c>
      <c r="AG31" s="86">
        <v>0</v>
      </c>
      <c r="AH31" s="86">
        <v>0</v>
      </c>
      <c r="AI31" s="86">
        <v>-15.309516955125501</v>
      </c>
      <c r="AJ31" s="86">
        <v>0</v>
      </c>
      <c r="AK31" s="86">
        <v>39.123506626414802</v>
      </c>
      <c r="AL31" s="86">
        <v>0</v>
      </c>
      <c r="AM31" s="86">
        <v>170.54136768041701</v>
      </c>
      <c r="AN31" s="86">
        <v>0</v>
      </c>
      <c r="AO31" s="86">
        <v>0</v>
      </c>
      <c r="AP31" s="86">
        <v>0</v>
      </c>
      <c r="AQ31" s="86">
        <v>-0.55572399366303904</v>
      </c>
      <c r="AR31" s="44">
        <v>4.3823144385387502</v>
      </c>
    </row>
    <row r="32" spans="2:44" ht="12" customHeight="1" x14ac:dyDescent="0.25">
      <c r="B32" s="43" t="s">
        <v>22</v>
      </c>
      <c r="C32" s="86" t="s">
        <v>95</v>
      </c>
      <c r="D32" s="86" t="s">
        <v>24</v>
      </c>
      <c r="E32" s="86" t="s">
        <v>24</v>
      </c>
      <c r="F32" s="86" t="s">
        <v>25</v>
      </c>
      <c r="G32" s="86" t="s">
        <v>38</v>
      </c>
      <c r="H32" s="86" t="s">
        <v>82</v>
      </c>
      <c r="I32" s="86" t="s">
        <v>25</v>
      </c>
      <c r="J32" s="86">
        <v>249.65</v>
      </c>
      <c r="K32" s="86">
        <v>198.18</v>
      </c>
      <c r="L32" s="86">
        <v>0</v>
      </c>
      <c r="M32" s="86">
        <v>0.78192502640401795</v>
      </c>
      <c r="N32" s="86">
        <v>0</v>
      </c>
      <c r="O32" s="86">
        <v>0</v>
      </c>
      <c r="P32" s="86">
        <v>0</v>
      </c>
      <c r="Q32" s="86">
        <v>84.229733424798198</v>
      </c>
      <c r="R32" s="86">
        <v>13.323441364471901</v>
      </c>
      <c r="S32" s="86">
        <v>0</v>
      </c>
      <c r="T32" s="86">
        <v>8.3119126305648603</v>
      </c>
      <c r="U32" s="86">
        <v>8.6191898197308294</v>
      </c>
      <c r="V32" s="86">
        <v>2.0888150019537299</v>
      </c>
      <c r="W32" s="86">
        <v>0</v>
      </c>
      <c r="X32" s="86">
        <v>60.211281665578902</v>
      </c>
      <c r="Y32" s="86">
        <v>0</v>
      </c>
      <c r="Z32" s="86">
        <v>0</v>
      </c>
      <c r="AA32" s="86">
        <v>56.045850688012798</v>
      </c>
      <c r="AB32" s="86">
        <v>-0.98846897626283703</v>
      </c>
      <c r="AC32" s="86">
        <v>0</v>
      </c>
      <c r="AD32" s="86">
        <v>16.5956420892586</v>
      </c>
      <c r="AE32" s="86">
        <v>0.426526052176813</v>
      </c>
      <c r="AF32" s="86">
        <v>0</v>
      </c>
      <c r="AG32" s="86">
        <v>0</v>
      </c>
      <c r="AH32" s="86">
        <v>0</v>
      </c>
      <c r="AI32" s="86">
        <v>-15.309516955125501</v>
      </c>
      <c r="AJ32" s="86">
        <v>0</v>
      </c>
      <c r="AK32" s="86">
        <v>39.123506626414802</v>
      </c>
      <c r="AL32" s="86">
        <v>0</v>
      </c>
      <c r="AM32" s="86">
        <v>170.54136768041701</v>
      </c>
      <c r="AN32" s="86">
        <v>0</v>
      </c>
      <c r="AO32" s="86">
        <v>0</v>
      </c>
      <c r="AP32" s="86">
        <v>0</v>
      </c>
      <c r="AQ32" s="86">
        <v>-0.55572399366303904</v>
      </c>
      <c r="AR32" s="44">
        <v>4.3823144385387502</v>
      </c>
    </row>
    <row r="33" spans="2:44" ht="12" customHeight="1" x14ac:dyDescent="0.25">
      <c r="B33" s="43" t="s">
        <v>22</v>
      </c>
      <c r="C33" s="86" t="s">
        <v>23</v>
      </c>
      <c r="D33" s="86" t="s">
        <v>24</v>
      </c>
      <c r="E33" s="86" t="s">
        <v>1133</v>
      </c>
      <c r="F33" s="86" t="s">
        <v>25</v>
      </c>
      <c r="G33" s="86" t="s">
        <v>25</v>
      </c>
      <c r="H33" s="86" t="s">
        <v>82</v>
      </c>
      <c r="I33" s="86" t="s">
        <v>25</v>
      </c>
      <c r="J33" s="86">
        <v>194.92</v>
      </c>
      <c r="K33" s="86">
        <v>198.18</v>
      </c>
      <c r="L33" s="86">
        <v>0</v>
      </c>
      <c r="M33" s="86">
        <v>0.78192502640401795</v>
      </c>
      <c r="N33" s="86">
        <v>0</v>
      </c>
      <c r="O33" s="86">
        <v>0</v>
      </c>
      <c r="P33" s="86">
        <v>0</v>
      </c>
      <c r="Q33" s="86">
        <v>0</v>
      </c>
      <c r="R33" s="86">
        <v>0</v>
      </c>
      <c r="S33" s="86">
        <v>0</v>
      </c>
      <c r="T33" s="86">
        <v>10.936897664045199</v>
      </c>
      <c r="U33" s="86">
        <v>11.341095972416101</v>
      </c>
      <c r="V33" s="86">
        <v>2.7486599004283998</v>
      </c>
      <c r="W33" s="86">
        <v>0</v>
      </c>
      <c r="X33" s="86">
        <v>79.225461222158899</v>
      </c>
      <c r="Y33" s="86">
        <v>0</v>
      </c>
      <c r="Z33" s="86">
        <v>0</v>
      </c>
      <c r="AA33" s="86">
        <v>73.744515717609701</v>
      </c>
      <c r="AB33" s="86">
        <v>-0.88293015787602203</v>
      </c>
      <c r="AC33" s="86">
        <v>0</v>
      </c>
      <c r="AD33" s="86">
        <v>16.5956420892586</v>
      </c>
      <c r="AE33" s="86">
        <v>0.426526052176813</v>
      </c>
      <c r="AF33" s="86">
        <v>0</v>
      </c>
      <c r="AG33" s="86">
        <v>0</v>
      </c>
      <c r="AH33" s="86">
        <v>0</v>
      </c>
      <c r="AI33" s="86">
        <v>-15.309516955125501</v>
      </c>
      <c r="AJ33" s="86">
        <v>0</v>
      </c>
      <c r="AK33" s="86">
        <v>39.123506626414802</v>
      </c>
      <c r="AL33" s="86">
        <v>0</v>
      </c>
      <c r="AM33" s="86">
        <v>170.54136768041701</v>
      </c>
      <c r="AN33" s="86">
        <v>0</v>
      </c>
      <c r="AO33" s="86">
        <v>0</v>
      </c>
      <c r="AP33" s="86">
        <v>0</v>
      </c>
      <c r="AQ33" s="86">
        <v>-0.55572399366303904</v>
      </c>
      <c r="AR33" s="44">
        <v>4.3823144385387502</v>
      </c>
    </row>
    <row r="34" spans="2:44" ht="12" customHeight="1" x14ac:dyDescent="0.25">
      <c r="B34" s="43" t="s">
        <v>22</v>
      </c>
      <c r="C34" s="86" t="s">
        <v>23</v>
      </c>
      <c r="D34" s="86" t="s">
        <v>24</v>
      </c>
      <c r="E34" s="86" t="s">
        <v>24</v>
      </c>
      <c r="F34" s="86" t="s">
        <v>25</v>
      </c>
      <c r="G34" s="86" t="s">
        <v>25</v>
      </c>
      <c r="H34" s="86" t="s">
        <v>82</v>
      </c>
      <c r="I34" s="86" t="s">
        <v>25</v>
      </c>
      <c r="J34" s="86">
        <v>292.17</v>
      </c>
      <c r="K34" s="86">
        <v>198.18</v>
      </c>
      <c r="L34" s="86">
        <v>0</v>
      </c>
      <c r="M34" s="86">
        <v>0.78192502640401795</v>
      </c>
      <c r="N34" s="86">
        <v>0</v>
      </c>
      <c r="O34" s="86">
        <v>0</v>
      </c>
      <c r="P34" s="86">
        <v>0</v>
      </c>
      <c r="Q34" s="86">
        <v>84.229733424798198</v>
      </c>
      <c r="R34" s="86">
        <v>13.323441364471901</v>
      </c>
      <c r="S34" s="86">
        <v>0</v>
      </c>
      <c r="T34" s="86">
        <v>10.936897664045199</v>
      </c>
      <c r="U34" s="86">
        <v>11.341095972416101</v>
      </c>
      <c r="V34" s="86">
        <v>2.7486599004283998</v>
      </c>
      <c r="W34" s="86">
        <v>0</v>
      </c>
      <c r="X34" s="86">
        <v>79.225461222158899</v>
      </c>
      <c r="Y34" s="86">
        <v>0</v>
      </c>
      <c r="Z34" s="86">
        <v>0</v>
      </c>
      <c r="AA34" s="86">
        <v>73.744515717609701</v>
      </c>
      <c r="AB34" s="86">
        <v>-1.1873463423711501</v>
      </c>
      <c r="AC34" s="86">
        <v>0</v>
      </c>
      <c r="AD34" s="86">
        <v>16.5956420892586</v>
      </c>
      <c r="AE34" s="86">
        <v>0.426526052176813</v>
      </c>
      <c r="AF34" s="86">
        <v>0</v>
      </c>
      <c r="AG34" s="86">
        <v>0</v>
      </c>
      <c r="AH34" s="86">
        <v>0</v>
      </c>
      <c r="AI34" s="86">
        <v>-15.309516955125501</v>
      </c>
      <c r="AJ34" s="86">
        <v>0</v>
      </c>
      <c r="AK34" s="86">
        <v>39.123506626414802</v>
      </c>
      <c r="AL34" s="86">
        <v>0</v>
      </c>
      <c r="AM34" s="86">
        <v>170.54136768041701</v>
      </c>
      <c r="AN34" s="86">
        <v>0</v>
      </c>
      <c r="AO34" s="86">
        <v>0</v>
      </c>
      <c r="AP34" s="86">
        <v>0</v>
      </c>
      <c r="AQ34" s="86">
        <v>-0.55572399366303904</v>
      </c>
      <c r="AR34" s="44">
        <v>4.3823144385387502</v>
      </c>
    </row>
    <row r="35" spans="2:44" ht="12" customHeight="1" x14ac:dyDescent="0.25">
      <c r="B35" s="43" t="s">
        <v>22</v>
      </c>
      <c r="C35" s="86" t="s">
        <v>97</v>
      </c>
      <c r="D35" s="86" t="s">
        <v>24</v>
      </c>
      <c r="E35" s="86" t="s">
        <v>1133</v>
      </c>
      <c r="F35" s="86" t="s">
        <v>25</v>
      </c>
      <c r="G35" s="86" t="s">
        <v>25</v>
      </c>
      <c r="H35" s="86" t="s">
        <v>82</v>
      </c>
      <c r="I35" s="86" t="s">
        <v>25</v>
      </c>
      <c r="J35" s="86">
        <v>194.92</v>
      </c>
      <c r="K35" s="86">
        <v>198.18</v>
      </c>
      <c r="L35" s="86">
        <v>0</v>
      </c>
      <c r="M35" s="86">
        <v>0.78192502640401795</v>
      </c>
      <c r="N35" s="86">
        <v>0</v>
      </c>
      <c r="O35" s="86">
        <v>0</v>
      </c>
      <c r="P35" s="86">
        <v>0</v>
      </c>
      <c r="Q35" s="86">
        <v>0</v>
      </c>
      <c r="R35" s="86">
        <v>0</v>
      </c>
      <c r="S35" s="86">
        <v>0</v>
      </c>
      <c r="T35" s="86">
        <v>10.936897664045199</v>
      </c>
      <c r="U35" s="86">
        <v>11.341095972416101</v>
      </c>
      <c r="V35" s="86">
        <v>2.7486599004283998</v>
      </c>
      <c r="W35" s="86">
        <v>0</v>
      </c>
      <c r="X35" s="86">
        <v>79.225461222158899</v>
      </c>
      <c r="Y35" s="86">
        <v>0</v>
      </c>
      <c r="Z35" s="86">
        <v>0</v>
      </c>
      <c r="AA35" s="86">
        <v>73.744515717609701</v>
      </c>
      <c r="AB35" s="86">
        <v>-0.88293015787602203</v>
      </c>
      <c r="AC35" s="86">
        <v>0</v>
      </c>
      <c r="AD35" s="86">
        <v>16.5956420892586</v>
      </c>
      <c r="AE35" s="86">
        <v>0.426526052176813</v>
      </c>
      <c r="AF35" s="86">
        <v>0</v>
      </c>
      <c r="AG35" s="86">
        <v>0</v>
      </c>
      <c r="AH35" s="86">
        <v>0</v>
      </c>
      <c r="AI35" s="86">
        <v>-15.309516955125501</v>
      </c>
      <c r="AJ35" s="86">
        <v>0</v>
      </c>
      <c r="AK35" s="86">
        <v>39.123506626414802</v>
      </c>
      <c r="AL35" s="86">
        <v>0</v>
      </c>
      <c r="AM35" s="86">
        <v>170.54136768041701</v>
      </c>
      <c r="AN35" s="86">
        <v>0</v>
      </c>
      <c r="AO35" s="86">
        <v>0</v>
      </c>
      <c r="AP35" s="86">
        <v>0</v>
      </c>
      <c r="AQ35" s="86">
        <v>-0.55572399366303904</v>
      </c>
      <c r="AR35" s="44">
        <v>4.3823144385387502</v>
      </c>
    </row>
    <row r="36" spans="2:44" ht="12" customHeight="1" x14ac:dyDescent="0.25">
      <c r="B36" s="43" t="s">
        <v>22</v>
      </c>
      <c r="C36" s="86" t="s">
        <v>97</v>
      </c>
      <c r="D36" s="86" t="s">
        <v>24</v>
      </c>
      <c r="E36" s="86" t="s">
        <v>24</v>
      </c>
      <c r="F36" s="86" t="s">
        <v>25</v>
      </c>
      <c r="G36" s="86" t="s">
        <v>25</v>
      </c>
      <c r="H36" s="86" t="s">
        <v>82</v>
      </c>
      <c r="I36" s="86" t="s">
        <v>25</v>
      </c>
      <c r="J36" s="86">
        <v>292.17</v>
      </c>
      <c r="K36" s="86">
        <v>198.18</v>
      </c>
      <c r="L36" s="86">
        <v>0</v>
      </c>
      <c r="M36" s="86">
        <v>0.78192502640401795</v>
      </c>
      <c r="N36" s="86">
        <v>0</v>
      </c>
      <c r="O36" s="86">
        <v>0</v>
      </c>
      <c r="P36" s="86">
        <v>0</v>
      </c>
      <c r="Q36" s="86">
        <v>84.229733424798198</v>
      </c>
      <c r="R36" s="86">
        <v>13.323441364471901</v>
      </c>
      <c r="S36" s="86">
        <v>0</v>
      </c>
      <c r="T36" s="86">
        <v>10.936897664045199</v>
      </c>
      <c r="U36" s="86">
        <v>11.341095972416101</v>
      </c>
      <c r="V36" s="86">
        <v>2.7486599004283998</v>
      </c>
      <c r="W36" s="86">
        <v>0</v>
      </c>
      <c r="X36" s="86">
        <v>79.225461222158899</v>
      </c>
      <c r="Y36" s="86">
        <v>0</v>
      </c>
      <c r="Z36" s="86">
        <v>0</v>
      </c>
      <c r="AA36" s="86">
        <v>73.744515717609701</v>
      </c>
      <c r="AB36" s="86">
        <v>-1.1873463423711501</v>
      </c>
      <c r="AC36" s="86">
        <v>0</v>
      </c>
      <c r="AD36" s="86">
        <v>16.5956420892586</v>
      </c>
      <c r="AE36" s="86">
        <v>0.426526052176813</v>
      </c>
      <c r="AF36" s="86">
        <v>0</v>
      </c>
      <c r="AG36" s="86">
        <v>0</v>
      </c>
      <c r="AH36" s="86">
        <v>0</v>
      </c>
      <c r="AI36" s="86">
        <v>-15.309516955125501</v>
      </c>
      <c r="AJ36" s="86">
        <v>0</v>
      </c>
      <c r="AK36" s="86">
        <v>39.123506626414802</v>
      </c>
      <c r="AL36" s="86">
        <v>0</v>
      </c>
      <c r="AM36" s="86">
        <v>170.54136768041701</v>
      </c>
      <c r="AN36" s="86">
        <v>0</v>
      </c>
      <c r="AO36" s="86">
        <v>0</v>
      </c>
      <c r="AP36" s="86">
        <v>0</v>
      </c>
      <c r="AQ36" s="86">
        <v>-0.55572399366303904</v>
      </c>
      <c r="AR36" s="44">
        <v>4.3823144385387502</v>
      </c>
    </row>
    <row r="37" spans="2:44" ht="12" customHeight="1" x14ac:dyDescent="0.25">
      <c r="B37" s="43" t="s">
        <v>41</v>
      </c>
      <c r="C37" s="86" t="s">
        <v>95</v>
      </c>
      <c r="D37" s="86" t="s">
        <v>42</v>
      </c>
      <c r="E37" s="86" t="s">
        <v>98</v>
      </c>
      <c r="F37" s="86" t="s">
        <v>25</v>
      </c>
      <c r="G37" s="86" t="s">
        <v>37</v>
      </c>
      <c r="H37" s="86" t="s">
        <v>82</v>
      </c>
      <c r="I37" s="86" t="s">
        <v>25</v>
      </c>
      <c r="J37" s="86">
        <v>495.4</v>
      </c>
      <c r="K37" s="86">
        <v>186.29</v>
      </c>
      <c r="L37" s="86">
        <v>0</v>
      </c>
      <c r="M37" s="86">
        <v>0.73500952481977699</v>
      </c>
      <c r="N37" s="86">
        <v>0</v>
      </c>
      <c r="O37" s="86">
        <v>0</v>
      </c>
      <c r="P37" s="86">
        <v>0</v>
      </c>
      <c r="Q37" s="86">
        <v>79.1759494193103</v>
      </c>
      <c r="R37" s="86">
        <v>12.5240348826035</v>
      </c>
      <c r="S37" s="86">
        <v>0</v>
      </c>
      <c r="T37" s="86">
        <v>23.9087271118985</v>
      </c>
      <c r="U37" s="86">
        <v>24.792163288537498</v>
      </c>
      <c r="V37" s="86">
        <v>6.0088348966018001</v>
      </c>
      <c r="W37" s="86">
        <v>0</v>
      </c>
      <c r="X37" s="86">
        <v>173.192058555633</v>
      </c>
      <c r="Y37" s="86">
        <v>0</v>
      </c>
      <c r="Z37" s="86">
        <v>0</v>
      </c>
      <c r="AA37" s="86">
        <v>161.21023793747599</v>
      </c>
      <c r="AB37" s="86">
        <v>-2.1486583545796498</v>
      </c>
      <c r="AC37" s="86">
        <v>0</v>
      </c>
      <c r="AD37" s="86">
        <v>15.5999035639031</v>
      </c>
      <c r="AE37" s="86">
        <v>0.40093448904620399</v>
      </c>
      <c r="AF37" s="86">
        <v>0</v>
      </c>
      <c r="AG37" s="86">
        <v>0</v>
      </c>
      <c r="AH37" s="86">
        <v>0</v>
      </c>
      <c r="AI37" s="86">
        <v>-14.390945937818</v>
      </c>
      <c r="AJ37" s="86">
        <v>0</v>
      </c>
      <c r="AK37" s="86">
        <v>36.7760962288299</v>
      </c>
      <c r="AL37" s="86">
        <v>0</v>
      </c>
      <c r="AM37" s="86">
        <v>160.30888561959199</v>
      </c>
      <c r="AN37" s="86">
        <v>0</v>
      </c>
      <c r="AO37" s="86">
        <v>0</v>
      </c>
      <c r="AP37" s="86">
        <v>0</v>
      </c>
      <c r="AQ37" s="86">
        <v>-0.52238055404325701</v>
      </c>
      <c r="AR37" s="44">
        <v>4.1193755722264296</v>
      </c>
    </row>
    <row r="38" spans="2:44" ht="12" customHeight="1" x14ac:dyDescent="0.25">
      <c r="B38" s="43" t="s">
        <v>41</v>
      </c>
      <c r="C38" s="86" t="s">
        <v>95</v>
      </c>
      <c r="D38" s="86" t="s">
        <v>42</v>
      </c>
      <c r="E38" s="86" t="s">
        <v>98</v>
      </c>
      <c r="F38" s="86" t="s">
        <v>25</v>
      </c>
      <c r="G38" s="86" t="s">
        <v>585</v>
      </c>
      <c r="H38" s="86" t="s">
        <v>82</v>
      </c>
      <c r="I38" s="86" t="s">
        <v>25</v>
      </c>
      <c r="J38" s="86">
        <v>305.55</v>
      </c>
      <c r="K38" s="86">
        <v>186.29</v>
      </c>
      <c r="L38" s="86">
        <v>0</v>
      </c>
      <c r="M38" s="86">
        <v>0.73500952481977699</v>
      </c>
      <c r="N38" s="86">
        <v>0</v>
      </c>
      <c r="O38" s="86">
        <v>0</v>
      </c>
      <c r="P38" s="86">
        <v>0</v>
      </c>
      <c r="Q38" s="86">
        <v>79.1759494193103</v>
      </c>
      <c r="R38" s="86">
        <v>12.5240348826035</v>
      </c>
      <c r="S38" s="86">
        <v>0</v>
      </c>
      <c r="T38" s="86">
        <v>12.1887316857429</v>
      </c>
      <c r="U38" s="86">
        <v>12.639274526663099</v>
      </c>
      <c r="V38" s="86">
        <v>3.0636057438470399</v>
      </c>
      <c r="W38" s="86">
        <v>0</v>
      </c>
      <c r="X38" s="86">
        <v>88.294043521389796</v>
      </c>
      <c r="Y38" s="86">
        <v>0</v>
      </c>
      <c r="Z38" s="86">
        <v>0</v>
      </c>
      <c r="AA38" s="86">
        <v>82.185625171693502</v>
      </c>
      <c r="AB38" s="86">
        <v>-1.2606767716609899</v>
      </c>
      <c r="AC38" s="86">
        <v>0</v>
      </c>
      <c r="AD38" s="86">
        <v>15.5999035639031</v>
      </c>
      <c r="AE38" s="86">
        <v>0.40093448904620399</v>
      </c>
      <c r="AF38" s="86">
        <v>0</v>
      </c>
      <c r="AG38" s="86">
        <v>0</v>
      </c>
      <c r="AH38" s="86">
        <v>0</v>
      </c>
      <c r="AI38" s="86">
        <v>-14.390945937818</v>
      </c>
      <c r="AJ38" s="86">
        <v>0</v>
      </c>
      <c r="AK38" s="86">
        <v>36.7760962288299</v>
      </c>
      <c r="AL38" s="86">
        <v>0</v>
      </c>
      <c r="AM38" s="86">
        <v>160.30888561959199</v>
      </c>
      <c r="AN38" s="86">
        <v>0</v>
      </c>
      <c r="AO38" s="86">
        <v>0</v>
      </c>
      <c r="AP38" s="86">
        <v>0</v>
      </c>
      <c r="AQ38" s="86">
        <v>-0.52238055404325701</v>
      </c>
      <c r="AR38" s="44">
        <v>4.1193755722264296</v>
      </c>
    </row>
    <row r="39" spans="2:44" ht="12" customHeight="1" x14ac:dyDescent="0.25">
      <c r="B39" s="43" t="s">
        <v>41</v>
      </c>
      <c r="C39" s="86" t="s">
        <v>95</v>
      </c>
      <c r="D39" s="86" t="s">
        <v>42</v>
      </c>
      <c r="E39" s="86" t="s">
        <v>98</v>
      </c>
      <c r="F39" s="86" t="s">
        <v>25</v>
      </c>
      <c r="G39" s="86" t="s">
        <v>38</v>
      </c>
      <c r="H39" s="86" t="s">
        <v>82</v>
      </c>
      <c r="I39" s="86" t="s">
        <v>25</v>
      </c>
      <c r="J39" s="86">
        <v>234.67</v>
      </c>
      <c r="K39" s="86">
        <v>186.29</v>
      </c>
      <c r="L39" s="86">
        <v>0</v>
      </c>
      <c r="M39" s="86">
        <v>0.73500952481977699</v>
      </c>
      <c r="N39" s="86">
        <v>0</v>
      </c>
      <c r="O39" s="86">
        <v>0</v>
      </c>
      <c r="P39" s="86">
        <v>0</v>
      </c>
      <c r="Q39" s="86">
        <v>79.1759494193103</v>
      </c>
      <c r="R39" s="86">
        <v>12.5240348826035</v>
      </c>
      <c r="S39" s="86">
        <v>0</v>
      </c>
      <c r="T39" s="86">
        <v>7.8131978727309699</v>
      </c>
      <c r="U39" s="86">
        <v>8.1020384305469797</v>
      </c>
      <c r="V39" s="86">
        <v>1.9634861018365</v>
      </c>
      <c r="W39" s="86">
        <v>0</v>
      </c>
      <c r="X39" s="86">
        <v>56.598604765644097</v>
      </c>
      <c r="Y39" s="86">
        <v>0</v>
      </c>
      <c r="Z39" s="86">
        <v>0</v>
      </c>
      <c r="AA39" s="86">
        <v>52.683099646732103</v>
      </c>
      <c r="AB39" s="86">
        <v>-0.92916083768706703</v>
      </c>
      <c r="AC39" s="86">
        <v>0</v>
      </c>
      <c r="AD39" s="86">
        <v>15.5999035639031</v>
      </c>
      <c r="AE39" s="86">
        <v>0.40093448904620399</v>
      </c>
      <c r="AF39" s="86">
        <v>0</v>
      </c>
      <c r="AG39" s="86">
        <v>0</v>
      </c>
      <c r="AH39" s="86">
        <v>0</v>
      </c>
      <c r="AI39" s="86">
        <v>-14.390945937818</v>
      </c>
      <c r="AJ39" s="86">
        <v>0</v>
      </c>
      <c r="AK39" s="86">
        <v>36.7760962288299</v>
      </c>
      <c r="AL39" s="86">
        <v>0</v>
      </c>
      <c r="AM39" s="86">
        <v>160.30888561959199</v>
      </c>
      <c r="AN39" s="86">
        <v>0</v>
      </c>
      <c r="AO39" s="86">
        <v>0</v>
      </c>
      <c r="AP39" s="86">
        <v>0</v>
      </c>
      <c r="AQ39" s="86">
        <v>-0.52238055404325701</v>
      </c>
      <c r="AR39" s="44">
        <v>4.1193755722264296</v>
      </c>
    </row>
    <row r="40" spans="2:44" ht="12" customHeight="1" x14ac:dyDescent="0.25">
      <c r="B40" s="43" t="s">
        <v>41</v>
      </c>
      <c r="C40" s="86" t="s">
        <v>95</v>
      </c>
      <c r="D40" s="86" t="s">
        <v>42</v>
      </c>
      <c r="E40" s="86" t="s">
        <v>25</v>
      </c>
      <c r="F40" s="86" t="s">
        <v>25</v>
      </c>
      <c r="G40" s="86" t="s">
        <v>37</v>
      </c>
      <c r="H40" s="86" t="s">
        <v>82</v>
      </c>
      <c r="I40" s="86" t="s">
        <v>25</v>
      </c>
      <c r="J40" s="86">
        <v>495.4</v>
      </c>
      <c r="K40" s="86">
        <v>186.29</v>
      </c>
      <c r="L40" s="86">
        <v>0</v>
      </c>
      <c r="M40" s="86">
        <v>0.73500952481977699</v>
      </c>
      <c r="N40" s="86">
        <v>0</v>
      </c>
      <c r="O40" s="86">
        <v>0</v>
      </c>
      <c r="P40" s="86">
        <v>0</v>
      </c>
      <c r="Q40" s="86">
        <v>79.1759494193103</v>
      </c>
      <c r="R40" s="86">
        <v>12.5240348826035</v>
      </c>
      <c r="S40" s="86">
        <v>0</v>
      </c>
      <c r="T40" s="86">
        <v>23.9087271118985</v>
      </c>
      <c r="U40" s="86">
        <v>24.792163288537498</v>
      </c>
      <c r="V40" s="86">
        <v>6.0088348966018001</v>
      </c>
      <c r="W40" s="86">
        <v>0</v>
      </c>
      <c r="X40" s="86">
        <v>173.192058555633</v>
      </c>
      <c r="Y40" s="86">
        <v>0</v>
      </c>
      <c r="Z40" s="86">
        <v>0</v>
      </c>
      <c r="AA40" s="86">
        <v>161.21023793747599</v>
      </c>
      <c r="AB40" s="86">
        <v>-2.1486583545796498</v>
      </c>
      <c r="AC40" s="86">
        <v>0</v>
      </c>
      <c r="AD40" s="86">
        <v>15.5999035639031</v>
      </c>
      <c r="AE40" s="86">
        <v>0.40093448904620399</v>
      </c>
      <c r="AF40" s="86">
        <v>0</v>
      </c>
      <c r="AG40" s="86">
        <v>0</v>
      </c>
      <c r="AH40" s="86">
        <v>0</v>
      </c>
      <c r="AI40" s="86">
        <v>-14.390945937818</v>
      </c>
      <c r="AJ40" s="86">
        <v>0</v>
      </c>
      <c r="AK40" s="86">
        <v>36.7760962288299</v>
      </c>
      <c r="AL40" s="86">
        <v>0</v>
      </c>
      <c r="AM40" s="86">
        <v>160.30888561959199</v>
      </c>
      <c r="AN40" s="86">
        <v>0</v>
      </c>
      <c r="AO40" s="86">
        <v>0</v>
      </c>
      <c r="AP40" s="86">
        <v>0</v>
      </c>
      <c r="AQ40" s="86">
        <v>-0.52238055404325701</v>
      </c>
      <c r="AR40" s="44">
        <v>4.1193755722264296</v>
      </c>
    </row>
    <row r="41" spans="2:44" ht="12" customHeight="1" x14ac:dyDescent="0.25">
      <c r="B41" s="43" t="s">
        <v>41</v>
      </c>
      <c r="C41" s="86" t="s">
        <v>95</v>
      </c>
      <c r="D41" s="86" t="s">
        <v>42</v>
      </c>
      <c r="E41" s="86" t="s">
        <v>25</v>
      </c>
      <c r="F41" s="86" t="s">
        <v>25</v>
      </c>
      <c r="G41" s="86" t="s">
        <v>585</v>
      </c>
      <c r="H41" s="86" t="s">
        <v>82</v>
      </c>
      <c r="I41" s="86" t="s">
        <v>25</v>
      </c>
      <c r="J41" s="86">
        <v>305.55</v>
      </c>
      <c r="K41" s="86">
        <v>186.29</v>
      </c>
      <c r="L41" s="86">
        <v>0</v>
      </c>
      <c r="M41" s="86">
        <v>0.73500952481977699</v>
      </c>
      <c r="N41" s="86">
        <v>0</v>
      </c>
      <c r="O41" s="86">
        <v>0</v>
      </c>
      <c r="P41" s="86">
        <v>0</v>
      </c>
      <c r="Q41" s="86">
        <v>79.1759494193103</v>
      </c>
      <c r="R41" s="86">
        <v>12.5240348826035</v>
      </c>
      <c r="S41" s="86">
        <v>0</v>
      </c>
      <c r="T41" s="86">
        <v>12.1887316857429</v>
      </c>
      <c r="U41" s="86">
        <v>12.639274526663099</v>
      </c>
      <c r="V41" s="86">
        <v>3.0636057438470399</v>
      </c>
      <c r="W41" s="86">
        <v>0</v>
      </c>
      <c r="X41" s="86">
        <v>88.294043521389796</v>
      </c>
      <c r="Y41" s="86">
        <v>0</v>
      </c>
      <c r="Z41" s="86">
        <v>0</v>
      </c>
      <c r="AA41" s="86">
        <v>82.185625171693502</v>
      </c>
      <c r="AB41" s="86">
        <v>-1.2606767716609899</v>
      </c>
      <c r="AC41" s="86">
        <v>0</v>
      </c>
      <c r="AD41" s="86">
        <v>15.5999035639031</v>
      </c>
      <c r="AE41" s="86">
        <v>0.40093448904620399</v>
      </c>
      <c r="AF41" s="86">
        <v>0</v>
      </c>
      <c r="AG41" s="86">
        <v>0</v>
      </c>
      <c r="AH41" s="86">
        <v>0</v>
      </c>
      <c r="AI41" s="86">
        <v>-14.390945937818</v>
      </c>
      <c r="AJ41" s="86">
        <v>0</v>
      </c>
      <c r="AK41" s="86">
        <v>36.7760962288299</v>
      </c>
      <c r="AL41" s="86">
        <v>0</v>
      </c>
      <c r="AM41" s="86">
        <v>160.30888561959199</v>
      </c>
      <c r="AN41" s="86">
        <v>0</v>
      </c>
      <c r="AO41" s="86">
        <v>0</v>
      </c>
      <c r="AP41" s="86">
        <v>0</v>
      </c>
      <c r="AQ41" s="86">
        <v>-0.52238055404325701</v>
      </c>
      <c r="AR41" s="44">
        <v>4.1193755722264296</v>
      </c>
    </row>
    <row r="42" spans="2:44" ht="12" customHeight="1" x14ac:dyDescent="0.25">
      <c r="B42" s="43" t="s">
        <v>41</v>
      </c>
      <c r="C42" s="86" t="s">
        <v>95</v>
      </c>
      <c r="D42" s="86" t="s">
        <v>42</v>
      </c>
      <c r="E42" s="86" t="s">
        <v>25</v>
      </c>
      <c r="F42" s="86" t="s">
        <v>25</v>
      </c>
      <c r="G42" s="86" t="s">
        <v>38</v>
      </c>
      <c r="H42" s="86" t="s">
        <v>82</v>
      </c>
      <c r="I42" s="86" t="s">
        <v>25</v>
      </c>
      <c r="J42" s="86">
        <v>234.67</v>
      </c>
      <c r="K42" s="86">
        <v>186.29</v>
      </c>
      <c r="L42" s="86">
        <v>0</v>
      </c>
      <c r="M42" s="86">
        <v>0.73500952481977699</v>
      </c>
      <c r="N42" s="86">
        <v>0</v>
      </c>
      <c r="O42" s="86">
        <v>0</v>
      </c>
      <c r="P42" s="86">
        <v>0</v>
      </c>
      <c r="Q42" s="86">
        <v>79.1759494193103</v>
      </c>
      <c r="R42" s="86">
        <v>12.5240348826035</v>
      </c>
      <c r="S42" s="86">
        <v>0</v>
      </c>
      <c r="T42" s="86">
        <v>7.8131978727309699</v>
      </c>
      <c r="U42" s="86">
        <v>8.1020384305469797</v>
      </c>
      <c r="V42" s="86">
        <v>1.9634861018365</v>
      </c>
      <c r="W42" s="86">
        <v>0</v>
      </c>
      <c r="X42" s="86">
        <v>56.598604765644097</v>
      </c>
      <c r="Y42" s="86">
        <v>0</v>
      </c>
      <c r="Z42" s="86">
        <v>0</v>
      </c>
      <c r="AA42" s="86">
        <v>52.683099646732103</v>
      </c>
      <c r="AB42" s="86">
        <v>-0.92916083768706703</v>
      </c>
      <c r="AC42" s="86">
        <v>0</v>
      </c>
      <c r="AD42" s="86">
        <v>15.5999035639031</v>
      </c>
      <c r="AE42" s="86">
        <v>0.40093448904620399</v>
      </c>
      <c r="AF42" s="86">
        <v>0</v>
      </c>
      <c r="AG42" s="86">
        <v>0</v>
      </c>
      <c r="AH42" s="86">
        <v>0</v>
      </c>
      <c r="AI42" s="86">
        <v>-14.390945937818</v>
      </c>
      <c r="AJ42" s="86">
        <v>0</v>
      </c>
      <c r="AK42" s="86">
        <v>36.7760962288299</v>
      </c>
      <c r="AL42" s="86">
        <v>0</v>
      </c>
      <c r="AM42" s="86">
        <v>160.30888561959199</v>
      </c>
      <c r="AN42" s="86">
        <v>0</v>
      </c>
      <c r="AO42" s="86">
        <v>0</v>
      </c>
      <c r="AP42" s="86">
        <v>0</v>
      </c>
      <c r="AQ42" s="86">
        <v>-0.52238055404325701</v>
      </c>
      <c r="AR42" s="44">
        <v>4.1193755722264296</v>
      </c>
    </row>
    <row r="43" spans="2:44" ht="12" customHeight="1" x14ac:dyDescent="0.25">
      <c r="B43" s="43" t="s">
        <v>41</v>
      </c>
      <c r="C43" s="86" t="s">
        <v>95</v>
      </c>
      <c r="D43" s="86" t="s">
        <v>42</v>
      </c>
      <c r="E43" s="86" t="s">
        <v>99</v>
      </c>
      <c r="F43" s="86" t="s">
        <v>25</v>
      </c>
      <c r="G43" s="86" t="s">
        <v>37</v>
      </c>
      <c r="H43" s="86" t="s">
        <v>82</v>
      </c>
      <c r="I43" s="86" t="s">
        <v>25</v>
      </c>
      <c r="J43" s="86">
        <v>484.86</v>
      </c>
      <c r="K43" s="86">
        <v>182.33</v>
      </c>
      <c r="L43" s="86">
        <v>0</v>
      </c>
      <c r="M43" s="86">
        <v>0.71937102429169697</v>
      </c>
      <c r="N43" s="86">
        <v>0</v>
      </c>
      <c r="O43" s="86">
        <v>0</v>
      </c>
      <c r="P43" s="86">
        <v>0</v>
      </c>
      <c r="Q43" s="86">
        <v>77.491354750814395</v>
      </c>
      <c r="R43" s="86">
        <v>12.257566055314101</v>
      </c>
      <c r="S43" s="86">
        <v>0</v>
      </c>
      <c r="T43" s="86">
        <v>23.400030790368699</v>
      </c>
      <c r="U43" s="86">
        <v>24.264670452611199</v>
      </c>
      <c r="V43" s="86">
        <v>5.8809873456102704</v>
      </c>
      <c r="W43" s="86">
        <v>0</v>
      </c>
      <c r="X43" s="86">
        <v>169.50712113955601</v>
      </c>
      <c r="Y43" s="86">
        <v>0</v>
      </c>
      <c r="Z43" s="86">
        <v>0</v>
      </c>
      <c r="AA43" s="86">
        <v>157.78023287497601</v>
      </c>
      <c r="AB43" s="86">
        <v>-2.10294221937583</v>
      </c>
      <c r="AC43" s="86">
        <v>0</v>
      </c>
      <c r="AD43" s="86">
        <v>15.267990722118</v>
      </c>
      <c r="AE43" s="86">
        <v>0.39240396800266802</v>
      </c>
      <c r="AF43" s="86">
        <v>0</v>
      </c>
      <c r="AG43" s="86">
        <v>0</v>
      </c>
      <c r="AH43" s="86">
        <v>0</v>
      </c>
      <c r="AI43" s="86">
        <v>-14.0847555987155</v>
      </c>
      <c r="AJ43" s="86">
        <v>0</v>
      </c>
      <c r="AK43" s="86">
        <v>35.993626096301597</v>
      </c>
      <c r="AL43" s="86">
        <v>0</v>
      </c>
      <c r="AM43" s="86">
        <v>156.89805826598399</v>
      </c>
      <c r="AN43" s="86">
        <v>0</v>
      </c>
      <c r="AO43" s="86">
        <v>0</v>
      </c>
      <c r="AP43" s="86">
        <v>0</v>
      </c>
      <c r="AQ43" s="86">
        <v>-0.51126607416999603</v>
      </c>
      <c r="AR43" s="44">
        <v>4.0317292834556504</v>
      </c>
    </row>
    <row r="44" spans="2:44" ht="12" customHeight="1" x14ac:dyDescent="0.25">
      <c r="B44" s="43" t="s">
        <v>41</v>
      </c>
      <c r="C44" s="86" t="s">
        <v>95</v>
      </c>
      <c r="D44" s="86" t="s">
        <v>42</v>
      </c>
      <c r="E44" s="86" t="s">
        <v>99</v>
      </c>
      <c r="F44" s="86" t="s">
        <v>25</v>
      </c>
      <c r="G44" s="86" t="s">
        <v>585</v>
      </c>
      <c r="H44" s="86" t="s">
        <v>82</v>
      </c>
      <c r="I44" s="86" t="s">
        <v>25</v>
      </c>
      <c r="J44" s="86">
        <v>299.05</v>
      </c>
      <c r="K44" s="86">
        <v>182.33</v>
      </c>
      <c r="L44" s="86">
        <v>0</v>
      </c>
      <c r="M44" s="86">
        <v>0.71937102429169697</v>
      </c>
      <c r="N44" s="86">
        <v>0</v>
      </c>
      <c r="O44" s="86">
        <v>0</v>
      </c>
      <c r="P44" s="86">
        <v>0</v>
      </c>
      <c r="Q44" s="86">
        <v>77.491354750814395</v>
      </c>
      <c r="R44" s="86">
        <v>12.257566055314101</v>
      </c>
      <c r="S44" s="86">
        <v>0</v>
      </c>
      <c r="T44" s="86">
        <v>11.929396969024999</v>
      </c>
      <c r="U44" s="86">
        <v>12.370353792053301</v>
      </c>
      <c r="V44" s="86">
        <v>2.9984226429141301</v>
      </c>
      <c r="W44" s="86">
        <v>0</v>
      </c>
      <c r="X44" s="86">
        <v>86.415446850722006</v>
      </c>
      <c r="Y44" s="86">
        <v>0</v>
      </c>
      <c r="Z44" s="86">
        <v>0</v>
      </c>
      <c r="AA44" s="86">
        <v>80.436994848891501</v>
      </c>
      <c r="AB44" s="86">
        <v>-1.23385386162565</v>
      </c>
      <c r="AC44" s="86">
        <v>0</v>
      </c>
      <c r="AD44" s="86">
        <v>15.267990722118</v>
      </c>
      <c r="AE44" s="86">
        <v>0.39240396800266802</v>
      </c>
      <c r="AF44" s="86">
        <v>0</v>
      </c>
      <c r="AG44" s="86">
        <v>0</v>
      </c>
      <c r="AH44" s="86">
        <v>0</v>
      </c>
      <c r="AI44" s="86">
        <v>-14.0847555987155</v>
      </c>
      <c r="AJ44" s="86">
        <v>0</v>
      </c>
      <c r="AK44" s="86">
        <v>35.993626096301597</v>
      </c>
      <c r="AL44" s="86">
        <v>0</v>
      </c>
      <c r="AM44" s="86">
        <v>156.89805826598399</v>
      </c>
      <c r="AN44" s="86">
        <v>0</v>
      </c>
      <c r="AO44" s="86">
        <v>0</v>
      </c>
      <c r="AP44" s="86">
        <v>0</v>
      </c>
      <c r="AQ44" s="86">
        <v>-0.51126607416999603</v>
      </c>
      <c r="AR44" s="44">
        <v>4.0317292834556504</v>
      </c>
    </row>
    <row r="45" spans="2:44" ht="12" customHeight="1" x14ac:dyDescent="0.25">
      <c r="B45" s="43" t="s">
        <v>41</v>
      </c>
      <c r="C45" s="86" t="s">
        <v>95</v>
      </c>
      <c r="D45" s="86" t="s">
        <v>42</v>
      </c>
      <c r="E45" s="86" t="s">
        <v>99</v>
      </c>
      <c r="F45" s="86" t="s">
        <v>25</v>
      </c>
      <c r="G45" s="86" t="s">
        <v>38</v>
      </c>
      <c r="H45" s="86" t="s">
        <v>82</v>
      </c>
      <c r="I45" s="86" t="s">
        <v>25</v>
      </c>
      <c r="J45" s="86">
        <v>229.67</v>
      </c>
      <c r="K45" s="86">
        <v>182.33</v>
      </c>
      <c r="L45" s="86">
        <v>0</v>
      </c>
      <c r="M45" s="86">
        <v>0.71937102429169697</v>
      </c>
      <c r="N45" s="86">
        <v>0</v>
      </c>
      <c r="O45" s="86">
        <v>0</v>
      </c>
      <c r="P45" s="86">
        <v>0</v>
      </c>
      <c r="Q45" s="86">
        <v>77.491354750814395</v>
      </c>
      <c r="R45" s="86">
        <v>12.257566055314101</v>
      </c>
      <c r="S45" s="86">
        <v>0</v>
      </c>
      <c r="T45" s="86">
        <v>7.6469596201196701</v>
      </c>
      <c r="U45" s="86">
        <v>7.9296546341523699</v>
      </c>
      <c r="V45" s="86">
        <v>1.9217098017974299</v>
      </c>
      <c r="W45" s="86">
        <v>0</v>
      </c>
      <c r="X45" s="86">
        <v>55.394379132332503</v>
      </c>
      <c r="Y45" s="86">
        <v>0</v>
      </c>
      <c r="Z45" s="86">
        <v>0</v>
      </c>
      <c r="AA45" s="86">
        <v>51.562182632971798</v>
      </c>
      <c r="AB45" s="86">
        <v>-0.90939145816181</v>
      </c>
      <c r="AC45" s="86">
        <v>0</v>
      </c>
      <c r="AD45" s="86">
        <v>15.267990722118</v>
      </c>
      <c r="AE45" s="86">
        <v>0.39240396800266802</v>
      </c>
      <c r="AF45" s="86">
        <v>0</v>
      </c>
      <c r="AG45" s="86">
        <v>0</v>
      </c>
      <c r="AH45" s="86">
        <v>0</v>
      </c>
      <c r="AI45" s="86">
        <v>-14.0847555987155</v>
      </c>
      <c r="AJ45" s="86">
        <v>0</v>
      </c>
      <c r="AK45" s="86">
        <v>35.993626096301597</v>
      </c>
      <c r="AL45" s="86">
        <v>0</v>
      </c>
      <c r="AM45" s="86">
        <v>156.89805826598399</v>
      </c>
      <c r="AN45" s="86">
        <v>0</v>
      </c>
      <c r="AO45" s="86">
        <v>0</v>
      </c>
      <c r="AP45" s="86">
        <v>0</v>
      </c>
      <c r="AQ45" s="86">
        <v>-0.51126607416999603</v>
      </c>
      <c r="AR45" s="44">
        <v>4.0317292834556504</v>
      </c>
    </row>
    <row r="46" spans="2:44" ht="12" customHeight="1" x14ac:dyDescent="0.25">
      <c r="B46" s="43" t="s">
        <v>41</v>
      </c>
      <c r="C46" s="86" t="s">
        <v>23</v>
      </c>
      <c r="D46" s="86" t="s">
        <v>42</v>
      </c>
      <c r="E46" s="86" t="s">
        <v>98</v>
      </c>
      <c r="F46" s="86" t="s">
        <v>25</v>
      </c>
      <c r="G46" s="86" t="s">
        <v>25</v>
      </c>
      <c r="H46" s="86" t="s">
        <v>82</v>
      </c>
      <c r="I46" s="86" t="s">
        <v>25</v>
      </c>
      <c r="J46" s="86">
        <v>274.64</v>
      </c>
      <c r="K46" s="86">
        <v>186.29</v>
      </c>
      <c r="L46" s="86">
        <v>0</v>
      </c>
      <c r="M46" s="86">
        <v>0.73500952481977699</v>
      </c>
      <c r="N46" s="86">
        <v>0</v>
      </c>
      <c r="O46" s="86">
        <v>0</v>
      </c>
      <c r="P46" s="86">
        <v>0</v>
      </c>
      <c r="Q46" s="86">
        <v>79.1759494193103</v>
      </c>
      <c r="R46" s="86">
        <v>12.5240348826035</v>
      </c>
      <c r="S46" s="86">
        <v>0</v>
      </c>
      <c r="T46" s="86">
        <v>10.2806838042025</v>
      </c>
      <c r="U46" s="86">
        <v>10.6606302140711</v>
      </c>
      <c r="V46" s="86">
        <v>2.58374030640269</v>
      </c>
      <c r="W46" s="86">
        <v>0</v>
      </c>
      <c r="X46" s="86">
        <v>74.471933548829298</v>
      </c>
      <c r="Y46" s="86">
        <v>0</v>
      </c>
      <c r="Z46" s="86">
        <v>0</v>
      </c>
      <c r="AA46" s="86">
        <v>69.319844774553104</v>
      </c>
      <c r="AB46" s="86">
        <v>-1.11610556182888</v>
      </c>
      <c r="AC46" s="86">
        <v>0</v>
      </c>
      <c r="AD46" s="86">
        <v>15.5999035639031</v>
      </c>
      <c r="AE46" s="86">
        <v>0.40093448904620399</v>
      </c>
      <c r="AF46" s="86">
        <v>0</v>
      </c>
      <c r="AG46" s="86">
        <v>0</v>
      </c>
      <c r="AH46" s="86">
        <v>0</v>
      </c>
      <c r="AI46" s="86">
        <v>-14.390945937818</v>
      </c>
      <c r="AJ46" s="86">
        <v>0</v>
      </c>
      <c r="AK46" s="86">
        <v>36.7760962288299</v>
      </c>
      <c r="AL46" s="86">
        <v>0</v>
      </c>
      <c r="AM46" s="86">
        <v>160.30888561959199</v>
      </c>
      <c r="AN46" s="86">
        <v>0</v>
      </c>
      <c r="AO46" s="86">
        <v>0</v>
      </c>
      <c r="AP46" s="86">
        <v>0</v>
      </c>
      <c r="AQ46" s="86">
        <v>-0.52238055404325701</v>
      </c>
      <c r="AR46" s="44">
        <v>4.1193755722264296</v>
      </c>
    </row>
    <row r="47" spans="2:44" ht="12" customHeight="1" x14ac:dyDescent="0.25">
      <c r="B47" s="43" t="s">
        <v>41</v>
      </c>
      <c r="C47" s="86" t="s">
        <v>23</v>
      </c>
      <c r="D47" s="86" t="s">
        <v>42</v>
      </c>
      <c r="E47" s="86" t="s">
        <v>25</v>
      </c>
      <c r="F47" s="86" t="s">
        <v>25</v>
      </c>
      <c r="G47" s="86" t="s">
        <v>25</v>
      </c>
      <c r="H47" s="86" t="s">
        <v>82</v>
      </c>
      <c r="I47" s="86" t="s">
        <v>25</v>
      </c>
      <c r="J47" s="86">
        <v>274.64</v>
      </c>
      <c r="K47" s="86">
        <v>186.29</v>
      </c>
      <c r="L47" s="86">
        <v>0</v>
      </c>
      <c r="M47" s="86">
        <v>0.73500952481977699</v>
      </c>
      <c r="N47" s="86">
        <v>0</v>
      </c>
      <c r="O47" s="86">
        <v>0</v>
      </c>
      <c r="P47" s="86">
        <v>0</v>
      </c>
      <c r="Q47" s="86">
        <v>79.1759494193103</v>
      </c>
      <c r="R47" s="86">
        <v>12.5240348826035</v>
      </c>
      <c r="S47" s="86">
        <v>0</v>
      </c>
      <c r="T47" s="86">
        <v>10.2806838042025</v>
      </c>
      <c r="U47" s="86">
        <v>10.6606302140711</v>
      </c>
      <c r="V47" s="86">
        <v>2.58374030640269</v>
      </c>
      <c r="W47" s="86">
        <v>0</v>
      </c>
      <c r="X47" s="86">
        <v>74.471933548829298</v>
      </c>
      <c r="Y47" s="86">
        <v>0</v>
      </c>
      <c r="Z47" s="86">
        <v>0</v>
      </c>
      <c r="AA47" s="86">
        <v>69.319844774553104</v>
      </c>
      <c r="AB47" s="86">
        <v>-1.11610556182888</v>
      </c>
      <c r="AC47" s="86">
        <v>0</v>
      </c>
      <c r="AD47" s="86">
        <v>15.5999035639031</v>
      </c>
      <c r="AE47" s="86">
        <v>0.40093448904620399</v>
      </c>
      <c r="AF47" s="86">
        <v>0</v>
      </c>
      <c r="AG47" s="86">
        <v>0</v>
      </c>
      <c r="AH47" s="86">
        <v>0</v>
      </c>
      <c r="AI47" s="86">
        <v>-14.390945937818</v>
      </c>
      <c r="AJ47" s="86">
        <v>0</v>
      </c>
      <c r="AK47" s="86">
        <v>36.7760962288299</v>
      </c>
      <c r="AL47" s="86">
        <v>0</v>
      </c>
      <c r="AM47" s="86">
        <v>160.30888561959199</v>
      </c>
      <c r="AN47" s="86">
        <v>0</v>
      </c>
      <c r="AO47" s="86">
        <v>0</v>
      </c>
      <c r="AP47" s="86">
        <v>0</v>
      </c>
      <c r="AQ47" s="86">
        <v>-0.52238055404325701</v>
      </c>
      <c r="AR47" s="44">
        <v>4.1193755722264296</v>
      </c>
    </row>
    <row r="48" spans="2:44" ht="12" customHeight="1" x14ac:dyDescent="0.25">
      <c r="B48" s="43" t="s">
        <v>41</v>
      </c>
      <c r="C48" s="86" t="s">
        <v>23</v>
      </c>
      <c r="D48" s="86" t="s">
        <v>42</v>
      </c>
      <c r="E48" s="86" t="s">
        <v>99</v>
      </c>
      <c r="F48" s="86" t="s">
        <v>25</v>
      </c>
      <c r="G48" s="86" t="s">
        <v>25</v>
      </c>
      <c r="H48" s="86" t="s">
        <v>82</v>
      </c>
      <c r="I48" s="86" t="s">
        <v>25</v>
      </c>
      <c r="J48" s="86">
        <v>268.79000000000002</v>
      </c>
      <c r="K48" s="86">
        <v>182.33</v>
      </c>
      <c r="L48" s="86">
        <v>0</v>
      </c>
      <c r="M48" s="86">
        <v>0.71937102429169697</v>
      </c>
      <c r="N48" s="86">
        <v>0</v>
      </c>
      <c r="O48" s="86">
        <v>0</v>
      </c>
      <c r="P48" s="86">
        <v>0</v>
      </c>
      <c r="Q48" s="86">
        <v>77.491354750814395</v>
      </c>
      <c r="R48" s="86">
        <v>12.257566055314101</v>
      </c>
      <c r="S48" s="86">
        <v>0</v>
      </c>
      <c r="T48" s="86">
        <v>10.0619458509216</v>
      </c>
      <c r="U48" s="86">
        <v>10.4338082946228</v>
      </c>
      <c r="V48" s="86">
        <v>2.5287671083941299</v>
      </c>
      <c r="W48" s="86">
        <v>0</v>
      </c>
      <c r="X48" s="86">
        <v>72.887424324386203</v>
      </c>
      <c r="Y48" s="86">
        <v>0</v>
      </c>
      <c r="Z48" s="86">
        <v>0</v>
      </c>
      <c r="AA48" s="86">
        <v>67.844954460200896</v>
      </c>
      <c r="AB48" s="86">
        <v>-1.09235863498146</v>
      </c>
      <c r="AC48" s="86">
        <v>0</v>
      </c>
      <c r="AD48" s="86">
        <v>15.267990722118</v>
      </c>
      <c r="AE48" s="86">
        <v>0.39240396800266802</v>
      </c>
      <c r="AF48" s="86">
        <v>0</v>
      </c>
      <c r="AG48" s="86">
        <v>0</v>
      </c>
      <c r="AH48" s="86">
        <v>0</v>
      </c>
      <c r="AI48" s="86">
        <v>-14.0847555987155</v>
      </c>
      <c r="AJ48" s="86">
        <v>0</v>
      </c>
      <c r="AK48" s="86">
        <v>35.993626096301597</v>
      </c>
      <c r="AL48" s="86">
        <v>0</v>
      </c>
      <c r="AM48" s="86">
        <v>156.89805826598399</v>
      </c>
      <c r="AN48" s="86">
        <v>0</v>
      </c>
      <c r="AO48" s="86">
        <v>0</v>
      </c>
      <c r="AP48" s="86">
        <v>0</v>
      </c>
      <c r="AQ48" s="86">
        <v>-0.51126607416999603</v>
      </c>
      <c r="AR48" s="44">
        <v>4.0317292834556504</v>
      </c>
    </row>
    <row r="49" spans="2:44" ht="12" customHeight="1" x14ac:dyDescent="0.25">
      <c r="B49" s="43" t="s">
        <v>41</v>
      </c>
      <c r="C49" s="86" t="s">
        <v>97</v>
      </c>
      <c r="D49" s="86" t="s">
        <v>42</v>
      </c>
      <c r="E49" s="86" t="s">
        <v>98</v>
      </c>
      <c r="F49" s="86" t="s">
        <v>25</v>
      </c>
      <c r="G49" s="86" t="s">
        <v>25</v>
      </c>
      <c r="H49" s="86" t="s">
        <v>82</v>
      </c>
      <c r="I49" s="86" t="s">
        <v>25</v>
      </c>
      <c r="J49" s="86">
        <v>274.64</v>
      </c>
      <c r="K49" s="86">
        <v>186.29</v>
      </c>
      <c r="L49" s="86">
        <v>0</v>
      </c>
      <c r="M49" s="86">
        <v>0.73500952481977699</v>
      </c>
      <c r="N49" s="86">
        <v>0</v>
      </c>
      <c r="O49" s="86">
        <v>0</v>
      </c>
      <c r="P49" s="86">
        <v>0</v>
      </c>
      <c r="Q49" s="86">
        <v>79.1759494193103</v>
      </c>
      <c r="R49" s="86">
        <v>12.5240348826035</v>
      </c>
      <c r="S49" s="86">
        <v>0</v>
      </c>
      <c r="T49" s="86">
        <v>10.2806838042025</v>
      </c>
      <c r="U49" s="86">
        <v>10.6606302140711</v>
      </c>
      <c r="V49" s="86">
        <v>2.58374030640269</v>
      </c>
      <c r="W49" s="86">
        <v>0</v>
      </c>
      <c r="X49" s="86">
        <v>74.471933548829298</v>
      </c>
      <c r="Y49" s="86">
        <v>0</v>
      </c>
      <c r="Z49" s="86">
        <v>0</v>
      </c>
      <c r="AA49" s="86">
        <v>69.319844774553104</v>
      </c>
      <c r="AB49" s="86">
        <v>-1.11610556182888</v>
      </c>
      <c r="AC49" s="86">
        <v>0</v>
      </c>
      <c r="AD49" s="86">
        <v>15.5999035639031</v>
      </c>
      <c r="AE49" s="86">
        <v>0.40093448904620399</v>
      </c>
      <c r="AF49" s="86">
        <v>0</v>
      </c>
      <c r="AG49" s="86">
        <v>0</v>
      </c>
      <c r="AH49" s="86">
        <v>0</v>
      </c>
      <c r="AI49" s="86">
        <v>-14.390945937818</v>
      </c>
      <c r="AJ49" s="86">
        <v>0</v>
      </c>
      <c r="AK49" s="86">
        <v>36.7760962288299</v>
      </c>
      <c r="AL49" s="86">
        <v>0</v>
      </c>
      <c r="AM49" s="86">
        <v>160.30888561959199</v>
      </c>
      <c r="AN49" s="86">
        <v>0</v>
      </c>
      <c r="AO49" s="86">
        <v>0</v>
      </c>
      <c r="AP49" s="86">
        <v>0</v>
      </c>
      <c r="AQ49" s="86">
        <v>-0.52238055404325701</v>
      </c>
      <c r="AR49" s="44">
        <v>4.1193755722264296</v>
      </c>
    </row>
    <row r="50" spans="2:44" ht="12" customHeight="1" x14ac:dyDescent="0.25">
      <c r="B50" s="43" t="s">
        <v>41</v>
      </c>
      <c r="C50" s="86" t="s">
        <v>97</v>
      </c>
      <c r="D50" s="86" t="s">
        <v>42</v>
      </c>
      <c r="E50" s="86" t="s">
        <v>25</v>
      </c>
      <c r="F50" s="86" t="s">
        <v>25</v>
      </c>
      <c r="G50" s="86" t="s">
        <v>25</v>
      </c>
      <c r="H50" s="86" t="s">
        <v>82</v>
      </c>
      <c r="I50" s="86" t="s">
        <v>25</v>
      </c>
      <c r="J50" s="86">
        <v>274.64</v>
      </c>
      <c r="K50" s="86">
        <v>186.29</v>
      </c>
      <c r="L50" s="86">
        <v>0</v>
      </c>
      <c r="M50" s="86">
        <v>0.73500952481977699</v>
      </c>
      <c r="N50" s="86">
        <v>0</v>
      </c>
      <c r="O50" s="86">
        <v>0</v>
      </c>
      <c r="P50" s="86">
        <v>0</v>
      </c>
      <c r="Q50" s="86">
        <v>79.1759494193103</v>
      </c>
      <c r="R50" s="86">
        <v>12.5240348826035</v>
      </c>
      <c r="S50" s="86">
        <v>0</v>
      </c>
      <c r="T50" s="86">
        <v>10.2806838042025</v>
      </c>
      <c r="U50" s="86">
        <v>10.6606302140711</v>
      </c>
      <c r="V50" s="86">
        <v>2.58374030640269</v>
      </c>
      <c r="W50" s="86">
        <v>0</v>
      </c>
      <c r="X50" s="86">
        <v>74.471933548829298</v>
      </c>
      <c r="Y50" s="86">
        <v>0</v>
      </c>
      <c r="Z50" s="86">
        <v>0</v>
      </c>
      <c r="AA50" s="86">
        <v>69.319844774553104</v>
      </c>
      <c r="AB50" s="86">
        <v>-1.11610556182888</v>
      </c>
      <c r="AC50" s="86">
        <v>0</v>
      </c>
      <c r="AD50" s="86">
        <v>15.5999035639031</v>
      </c>
      <c r="AE50" s="86">
        <v>0.40093448904620399</v>
      </c>
      <c r="AF50" s="86">
        <v>0</v>
      </c>
      <c r="AG50" s="86">
        <v>0</v>
      </c>
      <c r="AH50" s="86">
        <v>0</v>
      </c>
      <c r="AI50" s="86">
        <v>-14.390945937818</v>
      </c>
      <c r="AJ50" s="86">
        <v>0</v>
      </c>
      <c r="AK50" s="86">
        <v>36.7760962288299</v>
      </c>
      <c r="AL50" s="86">
        <v>0</v>
      </c>
      <c r="AM50" s="86">
        <v>160.30888561959199</v>
      </c>
      <c r="AN50" s="86">
        <v>0</v>
      </c>
      <c r="AO50" s="86">
        <v>0</v>
      </c>
      <c r="AP50" s="86">
        <v>0</v>
      </c>
      <c r="AQ50" s="86">
        <v>-0.52238055404325701</v>
      </c>
      <c r="AR50" s="44">
        <v>4.1193755722264296</v>
      </c>
    </row>
    <row r="51" spans="2:44" ht="12" customHeight="1" x14ac:dyDescent="0.25">
      <c r="B51" s="43" t="s">
        <v>41</v>
      </c>
      <c r="C51" s="86" t="s">
        <v>97</v>
      </c>
      <c r="D51" s="86" t="s">
        <v>42</v>
      </c>
      <c r="E51" s="86" t="s">
        <v>99</v>
      </c>
      <c r="F51" s="86" t="s">
        <v>25</v>
      </c>
      <c r="G51" s="86" t="s">
        <v>25</v>
      </c>
      <c r="H51" s="86" t="s">
        <v>82</v>
      </c>
      <c r="I51" s="86" t="s">
        <v>25</v>
      </c>
      <c r="J51" s="86">
        <v>268.79000000000002</v>
      </c>
      <c r="K51" s="86">
        <v>182.33</v>
      </c>
      <c r="L51" s="86">
        <v>0</v>
      </c>
      <c r="M51" s="86">
        <v>0.71937102429169697</v>
      </c>
      <c r="N51" s="86">
        <v>0</v>
      </c>
      <c r="O51" s="86">
        <v>0</v>
      </c>
      <c r="P51" s="86">
        <v>0</v>
      </c>
      <c r="Q51" s="86">
        <v>77.491354750814395</v>
      </c>
      <c r="R51" s="86">
        <v>12.257566055314101</v>
      </c>
      <c r="S51" s="86">
        <v>0</v>
      </c>
      <c r="T51" s="86">
        <v>10.0619458509216</v>
      </c>
      <c r="U51" s="86">
        <v>10.4338082946228</v>
      </c>
      <c r="V51" s="86">
        <v>2.5287671083941299</v>
      </c>
      <c r="W51" s="86">
        <v>0</v>
      </c>
      <c r="X51" s="86">
        <v>72.887424324386203</v>
      </c>
      <c r="Y51" s="86">
        <v>0</v>
      </c>
      <c r="Z51" s="86">
        <v>0</v>
      </c>
      <c r="AA51" s="86">
        <v>67.844954460200896</v>
      </c>
      <c r="AB51" s="86">
        <v>-1.09235863498146</v>
      </c>
      <c r="AC51" s="86">
        <v>0</v>
      </c>
      <c r="AD51" s="86">
        <v>15.267990722118</v>
      </c>
      <c r="AE51" s="86">
        <v>0.39240396800266802</v>
      </c>
      <c r="AF51" s="86">
        <v>0</v>
      </c>
      <c r="AG51" s="86">
        <v>0</v>
      </c>
      <c r="AH51" s="86">
        <v>0</v>
      </c>
      <c r="AI51" s="86">
        <v>-14.0847555987155</v>
      </c>
      <c r="AJ51" s="86">
        <v>0</v>
      </c>
      <c r="AK51" s="86">
        <v>35.993626096301597</v>
      </c>
      <c r="AL51" s="86">
        <v>0</v>
      </c>
      <c r="AM51" s="86">
        <v>156.89805826598399</v>
      </c>
      <c r="AN51" s="86">
        <v>0</v>
      </c>
      <c r="AO51" s="86">
        <v>0</v>
      </c>
      <c r="AP51" s="86">
        <v>0</v>
      </c>
      <c r="AQ51" s="86">
        <v>-0.51126607416999603</v>
      </c>
      <c r="AR51" s="44">
        <v>4.0317292834556504</v>
      </c>
    </row>
    <row r="52" spans="2:44" ht="12" customHeight="1" x14ac:dyDescent="0.25">
      <c r="B52" s="43" t="s">
        <v>33</v>
      </c>
      <c r="C52" s="86" t="s">
        <v>95</v>
      </c>
      <c r="D52" s="86" t="s">
        <v>25</v>
      </c>
      <c r="E52" s="86" t="s">
        <v>25</v>
      </c>
      <c r="F52" s="86" t="s">
        <v>25</v>
      </c>
      <c r="G52" s="86" t="s">
        <v>37</v>
      </c>
      <c r="H52" s="86" t="s">
        <v>82</v>
      </c>
      <c r="I52" s="86" t="s">
        <v>25</v>
      </c>
      <c r="J52" s="86">
        <v>561.46</v>
      </c>
      <c r="K52" s="86">
        <v>198.18</v>
      </c>
      <c r="L52" s="86">
        <v>0</v>
      </c>
      <c r="M52" s="86">
        <v>0.78192502640401795</v>
      </c>
      <c r="N52" s="86">
        <v>0</v>
      </c>
      <c r="O52" s="86">
        <v>0</v>
      </c>
      <c r="P52" s="86">
        <v>0</v>
      </c>
      <c r="Q52" s="86">
        <v>84.229733424798198</v>
      </c>
      <c r="R52" s="86">
        <v>13.323441364471901</v>
      </c>
      <c r="S52" s="86">
        <v>0</v>
      </c>
      <c r="T52" s="86">
        <v>27.5608637883375</v>
      </c>
      <c r="U52" s="86">
        <v>28.579295948105301</v>
      </c>
      <c r="V52" s="86">
        <v>6.9268102867478998</v>
      </c>
      <c r="W52" s="86">
        <v>0</v>
      </c>
      <c r="X52" s="86">
        <v>199.64825409752299</v>
      </c>
      <c r="Y52" s="86">
        <v>0</v>
      </c>
      <c r="Z52" s="86">
        <v>0</v>
      </c>
      <c r="AA52" s="86">
        <v>185.836178046491</v>
      </c>
      <c r="AB52" s="86">
        <v>-2.4468962965616399</v>
      </c>
      <c r="AC52" s="86">
        <v>0</v>
      </c>
      <c r="AD52" s="86">
        <v>16.5956420892586</v>
      </c>
      <c r="AE52" s="86">
        <v>0.426526052176813</v>
      </c>
      <c r="AF52" s="86">
        <v>0</v>
      </c>
      <c r="AG52" s="86">
        <v>0</v>
      </c>
      <c r="AH52" s="86">
        <v>0</v>
      </c>
      <c r="AI52" s="86">
        <v>-15.309516955125501</v>
      </c>
      <c r="AJ52" s="86">
        <v>0</v>
      </c>
      <c r="AK52" s="86">
        <v>39.123506626414802</v>
      </c>
      <c r="AL52" s="86">
        <v>0</v>
      </c>
      <c r="AM52" s="86">
        <v>170.54136768041701</v>
      </c>
      <c r="AN52" s="86">
        <v>0</v>
      </c>
      <c r="AO52" s="86">
        <v>0</v>
      </c>
      <c r="AP52" s="86">
        <v>0</v>
      </c>
      <c r="AQ52" s="86">
        <v>-0.55572399366303904</v>
      </c>
      <c r="AR52" s="44">
        <v>4.3823144385387502</v>
      </c>
    </row>
    <row r="53" spans="2:44" ht="12" customHeight="1" x14ac:dyDescent="0.25">
      <c r="B53" s="43" t="s">
        <v>33</v>
      </c>
      <c r="C53" s="86" t="s">
        <v>95</v>
      </c>
      <c r="D53" s="86" t="s">
        <v>25</v>
      </c>
      <c r="E53" s="86" t="s">
        <v>25</v>
      </c>
      <c r="F53" s="86" t="s">
        <v>25</v>
      </c>
      <c r="G53" s="86" t="s">
        <v>585</v>
      </c>
      <c r="H53" s="86" t="s">
        <v>82</v>
      </c>
      <c r="I53" s="86" t="s">
        <v>25</v>
      </c>
      <c r="J53" s="86">
        <v>338.23</v>
      </c>
      <c r="K53" s="86">
        <v>198.18</v>
      </c>
      <c r="L53" s="86">
        <v>0</v>
      </c>
      <c r="M53" s="86">
        <v>0.78192502640401795</v>
      </c>
      <c r="N53" s="86">
        <v>0</v>
      </c>
      <c r="O53" s="86">
        <v>0</v>
      </c>
      <c r="P53" s="86">
        <v>0</v>
      </c>
      <c r="Q53" s="86">
        <v>84.229733424798198</v>
      </c>
      <c r="R53" s="86">
        <v>13.323441364471901</v>
      </c>
      <c r="S53" s="86">
        <v>0</v>
      </c>
      <c r="T53" s="86">
        <v>13.78050232575</v>
      </c>
      <c r="U53" s="86">
        <v>14.2897378059389</v>
      </c>
      <c r="V53" s="86">
        <v>3.4631449521679301</v>
      </c>
      <c r="W53" s="86">
        <v>0</v>
      </c>
      <c r="X53" s="86">
        <v>99.824184434813006</v>
      </c>
      <c r="Y53" s="86">
        <v>0</v>
      </c>
      <c r="Z53" s="86">
        <v>0</v>
      </c>
      <c r="AA53" s="86">
        <v>92.918069499672896</v>
      </c>
      <c r="AB53" s="86">
        <v>-1.40279528970027</v>
      </c>
      <c r="AC53" s="86">
        <v>0</v>
      </c>
      <c r="AD53" s="86">
        <v>16.5956420892586</v>
      </c>
      <c r="AE53" s="86">
        <v>0.426526052176813</v>
      </c>
      <c r="AF53" s="86">
        <v>0</v>
      </c>
      <c r="AG53" s="86">
        <v>0</v>
      </c>
      <c r="AH53" s="86">
        <v>0</v>
      </c>
      <c r="AI53" s="86">
        <v>-15.309516955125501</v>
      </c>
      <c r="AJ53" s="86">
        <v>0</v>
      </c>
      <c r="AK53" s="86">
        <v>39.123506626414802</v>
      </c>
      <c r="AL53" s="86">
        <v>0</v>
      </c>
      <c r="AM53" s="86">
        <v>170.54136768041701</v>
      </c>
      <c r="AN53" s="86">
        <v>0</v>
      </c>
      <c r="AO53" s="86">
        <v>0</v>
      </c>
      <c r="AP53" s="86">
        <v>0</v>
      </c>
      <c r="AQ53" s="86">
        <v>-0.55572399366303904</v>
      </c>
      <c r="AR53" s="44">
        <v>4.3823144385387502</v>
      </c>
    </row>
    <row r="54" spans="2:44" ht="12" customHeight="1" x14ac:dyDescent="0.25">
      <c r="B54" s="43" t="s">
        <v>33</v>
      </c>
      <c r="C54" s="86" t="s">
        <v>95</v>
      </c>
      <c r="D54" s="86" t="s">
        <v>25</v>
      </c>
      <c r="E54" s="86" t="s">
        <v>25</v>
      </c>
      <c r="F54" s="86" t="s">
        <v>25</v>
      </c>
      <c r="G54" s="86" t="s">
        <v>38</v>
      </c>
      <c r="H54" s="86" t="s">
        <v>82</v>
      </c>
      <c r="I54" s="86" t="s">
        <v>25</v>
      </c>
      <c r="J54" s="86">
        <v>263.82</v>
      </c>
      <c r="K54" s="86">
        <v>198.18</v>
      </c>
      <c r="L54" s="86">
        <v>0</v>
      </c>
      <c r="M54" s="86">
        <v>0.78192502640401795</v>
      </c>
      <c r="N54" s="86">
        <v>0</v>
      </c>
      <c r="O54" s="86">
        <v>0</v>
      </c>
      <c r="P54" s="86">
        <v>0</v>
      </c>
      <c r="Q54" s="86">
        <v>84.229733424798198</v>
      </c>
      <c r="R54" s="86">
        <v>13.323441364471901</v>
      </c>
      <c r="S54" s="86">
        <v>0</v>
      </c>
      <c r="T54" s="86">
        <v>9.1869545961124892</v>
      </c>
      <c r="U54" s="86">
        <v>9.5264918706259198</v>
      </c>
      <c r="V54" s="86">
        <v>2.3089367622492998</v>
      </c>
      <c r="W54" s="86">
        <v>0</v>
      </c>
      <c r="X54" s="86">
        <v>66.549456289875394</v>
      </c>
      <c r="Y54" s="86">
        <v>0</v>
      </c>
      <c r="Z54" s="86">
        <v>0</v>
      </c>
      <c r="AA54" s="86">
        <v>61.9454056978784</v>
      </c>
      <c r="AB54" s="86">
        <v>-1.05476239031034</v>
      </c>
      <c r="AC54" s="86">
        <v>0</v>
      </c>
      <c r="AD54" s="86">
        <v>16.5956420892586</v>
      </c>
      <c r="AE54" s="86">
        <v>0.426526052176813</v>
      </c>
      <c r="AF54" s="86">
        <v>0</v>
      </c>
      <c r="AG54" s="86">
        <v>0</v>
      </c>
      <c r="AH54" s="86">
        <v>0</v>
      </c>
      <c r="AI54" s="86">
        <v>-15.309516955125501</v>
      </c>
      <c r="AJ54" s="86">
        <v>0</v>
      </c>
      <c r="AK54" s="86">
        <v>39.123506626414802</v>
      </c>
      <c r="AL54" s="86">
        <v>0</v>
      </c>
      <c r="AM54" s="86">
        <v>170.54136768041701</v>
      </c>
      <c r="AN54" s="86">
        <v>0</v>
      </c>
      <c r="AO54" s="86">
        <v>0</v>
      </c>
      <c r="AP54" s="86">
        <v>0</v>
      </c>
      <c r="AQ54" s="86">
        <v>-0.55572399366303904</v>
      </c>
      <c r="AR54" s="44">
        <v>4.3823144385387502</v>
      </c>
    </row>
    <row r="55" spans="2:44" ht="12" customHeight="1" x14ac:dyDescent="0.25">
      <c r="B55" s="43" t="s">
        <v>33</v>
      </c>
      <c r="C55" s="86" t="s">
        <v>23</v>
      </c>
      <c r="D55" s="86" t="s">
        <v>25</v>
      </c>
      <c r="E55" s="86" t="s">
        <v>25</v>
      </c>
      <c r="F55" s="86" t="s">
        <v>25</v>
      </c>
      <c r="G55" s="86" t="s">
        <v>25</v>
      </c>
      <c r="H55" s="86" t="s">
        <v>82</v>
      </c>
      <c r="I55" s="86" t="s">
        <v>25</v>
      </c>
      <c r="J55" s="86">
        <v>292.17</v>
      </c>
      <c r="K55" s="86">
        <v>198.18</v>
      </c>
      <c r="L55" s="86">
        <v>0</v>
      </c>
      <c r="M55" s="86">
        <v>0.78192502640401795</v>
      </c>
      <c r="N55" s="86">
        <v>0</v>
      </c>
      <c r="O55" s="86">
        <v>0</v>
      </c>
      <c r="P55" s="86">
        <v>0</v>
      </c>
      <c r="Q55" s="86">
        <v>84.229733424798198</v>
      </c>
      <c r="R55" s="86">
        <v>13.323441364471901</v>
      </c>
      <c r="S55" s="86">
        <v>0</v>
      </c>
      <c r="T55" s="86">
        <v>10.936897664045199</v>
      </c>
      <c r="U55" s="86">
        <v>11.341095972416101</v>
      </c>
      <c r="V55" s="86">
        <v>2.7486599004283998</v>
      </c>
      <c r="W55" s="86">
        <v>0</v>
      </c>
      <c r="X55" s="86">
        <v>79.225461222158899</v>
      </c>
      <c r="Y55" s="86">
        <v>0</v>
      </c>
      <c r="Z55" s="86">
        <v>0</v>
      </c>
      <c r="AA55" s="86">
        <v>73.744515717609701</v>
      </c>
      <c r="AB55" s="86">
        <v>-1.1873463423711501</v>
      </c>
      <c r="AC55" s="86">
        <v>0</v>
      </c>
      <c r="AD55" s="86">
        <v>16.5956420892586</v>
      </c>
      <c r="AE55" s="86">
        <v>0.426526052176813</v>
      </c>
      <c r="AF55" s="86">
        <v>0</v>
      </c>
      <c r="AG55" s="86">
        <v>0</v>
      </c>
      <c r="AH55" s="86">
        <v>0</v>
      </c>
      <c r="AI55" s="86">
        <v>-15.309516955125501</v>
      </c>
      <c r="AJ55" s="86">
        <v>0</v>
      </c>
      <c r="AK55" s="86">
        <v>39.123506626414802</v>
      </c>
      <c r="AL55" s="86">
        <v>0</v>
      </c>
      <c r="AM55" s="86">
        <v>170.54136768041701</v>
      </c>
      <c r="AN55" s="86">
        <v>0</v>
      </c>
      <c r="AO55" s="86">
        <v>0</v>
      </c>
      <c r="AP55" s="86">
        <v>0</v>
      </c>
      <c r="AQ55" s="86">
        <v>-0.55572399366303904</v>
      </c>
      <c r="AR55" s="44">
        <v>4.3823144385387502</v>
      </c>
    </row>
    <row r="56" spans="2:44" ht="12" customHeight="1" x14ac:dyDescent="0.25">
      <c r="B56" s="43" t="s">
        <v>33</v>
      </c>
      <c r="C56" s="86" t="s">
        <v>97</v>
      </c>
      <c r="D56" s="86" t="s">
        <v>25</v>
      </c>
      <c r="E56" s="86" t="s">
        <v>25</v>
      </c>
      <c r="F56" s="86" t="s">
        <v>25</v>
      </c>
      <c r="G56" s="86" t="s">
        <v>25</v>
      </c>
      <c r="H56" s="86" t="s">
        <v>82</v>
      </c>
      <c r="I56" s="86" t="s">
        <v>25</v>
      </c>
      <c r="J56" s="86">
        <v>292.17</v>
      </c>
      <c r="K56" s="86">
        <v>198.18</v>
      </c>
      <c r="L56" s="86">
        <v>0</v>
      </c>
      <c r="M56" s="86">
        <v>0.78192502640401795</v>
      </c>
      <c r="N56" s="86">
        <v>0</v>
      </c>
      <c r="O56" s="86">
        <v>0</v>
      </c>
      <c r="P56" s="86">
        <v>0</v>
      </c>
      <c r="Q56" s="86">
        <v>84.229733424798198</v>
      </c>
      <c r="R56" s="86">
        <v>13.323441364471901</v>
      </c>
      <c r="S56" s="86">
        <v>0</v>
      </c>
      <c r="T56" s="86">
        <v>10.936897664045199</v>
      </c>
      <c r="U56" s="86">
        <v>11.341095972416101</v>
      </c>
      <c r="V56" s="86">
        <v>2.7486599004283998</v>
      </c>
      <c r="W56" s="86">
        <v>0</v>
      </c>
      <c r="X56" s="86">
        <v>79.225461222158899</v>
      </c>
      <c r="Y56" s="86">
        <v>0</v>
      </c>
      <c r="Z56" s="86">
        <v>0</v>
      </c>
      <c r="AA56" s="86">
        <v>73.744515717609701</v>
      </c>
      <c r="AB56" s="86">
        <v>-1.1873463423711501</v>
      </c>
      <c r="AC56" s="86">
        <v>0</v>
      </c>
      <c r="AD56" s="86">
        <v>16.5956420892586</v>
      </c>
      <c r="AE56" s="86">
        <v>0.426526052176813</v>
      </c>
      <c r="AF56" s="86">
        <v>0</v>
      </c>
      <c r="AG56" s="86">
        <v>0</v>
      </c>
      <c r="AH56" s="86">
        <v>0</v>
      </c>
      <c r="AI56" s="86">
        <v>-15.309516955125501</v>
      </c>
      <c r="AJ56" s="86">
        <v>0</v>
      </c>
      <c r="AK56" s="86">
        <v>39.123506626414802</v>
      </c>
      <c r="AL56" s="86">
        <v>0</v>
      </c>
      <c r="AM56" s="86">
        <v>170.54136768041701</v>
      </c>
      <c r="AN56" s="86">
        <v>0</v>
      </c>
      <c r="AO56" s="86">
        <v>0</v>
      </c>
      <c r="AP56" s="86">
        <v>0</v>
      </c>
      <c r="AQ56" s="86">
        <v>-0.55572399366303904</v>
      </c>
      <c r="AR56" s="44">
        <v>4.3823144385387502</v>
      </c>
    </row>
    <row r="57" spans="2:44" ht="12" customHeight="1" x14ac:dyDescent="0.25">
      <c r="B57" s="43" t="s">
        <v>44</v>
      </c>
      <c r="C57" s="86" t="s">
        <v>23</v>
      </c>
      <c r="D57" s="86" t="s">
        <v>45</v>
      </c>
      <c r="E57" s="86" t="s">
        <v>46</v>
      </c>
      <c r="F57" s="86" t="s">
        <v>25</v>
      </c>
      <c r="G57" s="86" t="s">
        <v>25</v>
      </c>
      <c r="H57" s="86" t="s">
        <v>82</v>
      </c>
      <c r="I57" s="86" t="s">
        <v>25</v>
      </c>
      <c r="J57" s="86">
        <v>160.69</v>
      </c>
      <c r="K57" s="86">
        <v>109</v>
      </c>
      <c r="L57" s="86">
        <v>0</v>
      </c>
      <c r="M57" s="86">
        <v>0.43005876452220998</v>
      </c>
      <c r="N57" s="86">
        <v>0</v>
      </c>
      <c r="O57" s="86">
        <v>0</v>
      </c>
      <c r="P57" s="86">
        <v>0</v>
      </c>
      <c r="Q57" s="86">
        <v>46.326353383639002</v>
      </c>
      <c r="R57" s="86">
        <v>7.3278927504595197</v>
      </c>
      <c r="S57" s="86">
        <v>0</v>
      </c>
      <c r="T57" s="86">
        <v>6.01529371522488</v>
      </c>
      <c r="U57" s="86">
        <v>6.2376027848288498</v>
      </c>
      <c r="V57" s="86">
        <v>1.51176294523562</v>
      </c>
      <c r="W57" s="86">
        <v>0</v>
      </c>
      <c r="X57" s="86">
        <v>43.574003672187402</v>
      </c>
      <c r="Y57" s="86">
        <v>0</v>
      </c>
      <c r="Z57" s="86">
        <v>0</v>
      </c>
      <c r="AA57" s="86">
        <v>40.559483644685301</v>
      </c>
      <c r="AB57" s="86">
        <v>-0.65304048830413397</v>
      </c>
      <c r="AC57" s="86">
        <v>0</v>
      </c>
      <c r="AD57" s="86">
        <v>9.1276031490922502</v>
      </c>
      <c r="AE57" s="86">
        <v>0.234589328697247</v>
      </c>
      <c r="AF57" s="86">
        <v>0</v>
      </c>
      <c r="AG57" s="86">
        <v>0</v>
      </c>
      <c r="AH57" s="86">
        <v>0</v>
      </c>
      <c r="AI57" s="86">
        <v>-8.4202343253190293</v>
      </c>
      <c r="AJ57" s="86">
        <v>0</v>
      </c>
      <c r="AK57" s="86">
        <v>21.517928644528102</v>
      </c>
      <c r="AL57" s="86">
        <v>0</v>
      </c>
      <c r="AM57" s="86">
        <v>93.797752224229498</v>
      </c>
      <c r="AN57" s="86">
        <v>0</v>
      </c>
      <c r="AO57" s="86">
        <v>0</v>
      </c>
      <c r="AP57" s="86">
        <v>0</v>
      </c>
      <c r="AQ57" s="86">
        <v>-0.30564819651467201</v>
      </c>
      <c r="AR57" s="44">
        <v>2.41027294119632</v>
      </c>
    </row>
    <row r="58" spans="2:44" ht="12" customHeight="1" x14ac:dyDescent="0.25">
      <c r="B58" s="45" t="s">
        <v>44</v>
      </c>
      <c r="C58" s="87" t="s">
        <v>23</v>
      </c>
      <c r="D58" s="87" t="s">
        <v>45</v>
      </c>
      <c r="E58" s="87" t="s">
        <v>100</v>
      </c>
      <c r="F58" s="87" t="s">
        <v>25</v>
      </c>
      <c r="G58" s="87" t="s">
        <v>25</v>
      </c>
      <c r="H58" s="87" t="s">
        <v>82</v>
      </c>
      <c r="I58" s="87" t="s">
        <v>25</v>
      </c>
      <c r="J58" s="87">
        <v>175.3</v>
      </c>
      <c r="K58" s="87">
        <v>118.91</v>
      </c>
      <c r="L58" s="87">
        <v>0</v>
      </c>
      <c r="M58" s="87">
        <v>0.46915501584241098</v>
      </c>
      <c r="N58" s="87">
        <v>0</v>
      </c>
      <c r="O58" s="87">
        <v>0</v>
      </c>
      <c r="P58" s="87">
        <v>0</v>
      </c>
      <c r="Q58" s="87">
        <v>50.537840054878899</v>
      </c>
      <c r="R58" s="87">
        <v>7.9940648186831202</v>
      </c>
      <c r="S58" s="87">
        <v>0</v>
      </c>
      <c r="T58" s="87">
        <v>6.5621385984271399</v>
      </c>
      <c r="U58" s="87">
        <v>6.8046575834496501</v>
      </c>
      <c r="V58" s="87">
        <v>1.64919594025704</v>
      </c>
      <c r="W58" s="87">
        <v>0</v>
      </c>
      <c r="X58" s="87">
        <v>47.535276733295298</v>
      </c>
      <c r="Y58" s="87">
        <v>0</v>
      </c>
      <c r="Z58" s="87">
        <v>0</v>
      </c>
      <c r="AA58" s="87">
        <v>44.246709430565801</v>
      </c>
      <c r="AB58" s="87">
        <v>-0.712407805422691</v>
      </c>
      <c r="AC58" s="87">
        <v>0</v>
      </c>
      <c r="AD58" s="87">
        <v>9.9573852535551897</v>
      </c>
      <c r="AE58" s="87">
        <v>0.25591563130608802</v>
      </c>
      <c r="AF58" s="87">
        <v>0</v>
      </c>
      <c r="AG58" s="87">
        <v>0</v>
      </c>
      <c r="AH58" s="87">
        <v>0</v>
      </c>
      <c r="AI58" s="87">
        <v>-9.1857101730753001</v>
      </c>
      <c r="AJ58" s="87">
        <v>0</v>
      </c>
      <c r="AK58" s="87">
        <v>23.474103975848902</v>
      </c>
      <c r="AL58" s="87">
        <v>0</v>
      </c>
      <c r="AM58" s="87">
        <v>102.32482060824999</v>
      </c>
      <c r="AN58" s="87">
        <v>0</v>
      </c>
      <c r="AO58" s="87">
        <v>0</v>
      </c>
      <c r="AP58" s="87">
        <v>0</v>
      </c>
      <c r="AQ58" s="87">
        <v>-0.333434396197823</v>
      </c>
      <c r="AR58" s="46">
        <v>2.6293886631232501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CFE71-B1F0-44DC-A154-3A88DA6153E4}">
  <dimension ref="B1:AR58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28" t="s">
        <v>1135</v>
      </c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9"/>
      <c r="AH1" s="128" t="s">
        <v>1136</v>
      </c>
      <c r="AI1" s="128"/>
      <c r="AJ1" s="128"/>
      <c r="AK1" s="128"/>
      <c r="AL1" s="128"/>
      <c r="AM1" s="128"/>
      <c r="AN1" s="128"/>
      <c r="AO1" s="128"/>
      <c r="AP1" s="128"/>
      <c r="AQ1" s="128"/>
      <c r="AR1" s="128"/>
    </row>
    <row r="2" spans="2:44" ht="12" customHeight="1" x14ac:dyDescent="0.25">
      <c r="L2" s="130" t="s">
        <v>445</v>
      </c>
      <c r="M2" s="130"/>
      <c r="N2" s="130"/>
      <c r="O2" s="130"/>
      <c r="P2" s="130"/>
      <c r="Q2" s="130"/>
      <c r="R2" s="130"/>
      <c r="S2" s="131"/>
      <c r="T2" s="130" t="s">
        <v>454</v>
      </c>
      <c r="U2" s="130"/>
      <c r="V2" s="130"/>
      <c r="W2" s="130"/>
      <c r="X2" s="130"/>
      <c r="Y2" s="130"/>
      <c r="Z2" s="131"/>
      <c r="AA2" s="47" t="s">
        <v>462</v>
      </c>
      <c r="AB2" s="130" t="s">
        <v>25</v>
      </c>
      <c r="AC2" s="131"/>
      <c r="AD2" s="130" t="s">
        <v>1134</v>
      </c>
      <c r="AE2" s="130"/>
      <c r="AF2" s="130"/>
      <c r="AG2" s="131"/>
      <c r="AH2" s="130" t="s">
        <v>445</v>
      </c>
      <c r="AI2" s="130"/>
      <c r="AJ2" s="130"/>
      <c r="AK2" s="130"/>
      <c r="AL2" s="131"/>
      <c r="AM2" s="47" t="s">
        <v>476</v>
      </c>
      <c r="AN2" s="130" t="s">
        <v>454</v>
      </c>
      <c r="AO2" s="130"/>
      <c r="AP2" s="130"/>
      <c r="AQ2" s="131"/>
      <c r="AR2" s="88" t="s">
        <v>1134</v>
      </c>
    </row>
    <row r="3" spans="2:44" ht="12" customHeight="1" x14ac:dyDescent="0.25">
      <c r="B3" s="41" t="s">
        <v>72</v>
      </c>
      <c r="C3" s="85" t="s">
        <v>73</v>
      </c>
      <c r="D3" s="85" t="s">
        <v>74</v>
      </c>
      <c r="E3" s="85" t="s">
        <v>75</v>
      </c>
      <c r="F3" s="85" t="s">
        <v>76</v>
      </c>
      <c r="G3" s="85" t="s">
        <v>78</v>
      </c>
      <c r="H3" s="85" t="s">
        <v>79</v>
      </c>
      <c r="I3" s="85" t="s">
        <v>716</v>
      </c>
      <c r="J3" s="85" t="s">
        <v>1098</v>
      </c>
      <c r="K3" s="85" t="s">
        <v>1099</v>
      </c>
      <c r="L3" s="85" t="s">
        <v>1100</v>
      </c>
      <c r="M3" s="85" t="s">
        <v>1101</v>
      </c>
      <c r="N3" s="85" t="s">
        <v>1102</v>
      </c>
      <c r="O3" s="85" t="s">
        <v>1103</v>
      </c>
      <c r="P3" s="85" t="s">
        <v>1104</v>
      </c>
      <c r="Q3" s="85" t="s">
        <v>1105</v>
      </c>
      <c r="R3" s="85" t="s">
        <v>1106</v>
      </c>
      <c r="S3" s="85" t="s">
        <v>1107</v>
      </c>
      <c r="T3" s="85" t="s">
        <v>1108</v>
      </c>
      <c r="U3" s="85" t="s">
        <v>1109</v>
      </c>
      <c r="V3" s="85" t="s">
        <v>1110</v>
      </c>
      <c r="W3" s="85" t="s">
        <v>1111</v>
      </c>
      <c r="X3" s="85" t="s">
        <v>1112</v>
      </c>
      <c r="Y3" s="85" t="s">
        <v>1113</v>
      </c>
      <c r="Z3" s="85" t="s">
        <v>1114</v>
      </c>
      <c r="AA3" s="85" t="s">
        <v>1115</v>
      </c>
      <c r="AB3" s="85" t="s">
        <v>1116</v>
      </c>
      <c r="AC3" s="85" t="s">
        <v>1117</v>
      </c>
      <c r="AD3" s="85" t="s">
        <v>1118</v>
      </c>
      <c r="AE3" s="85" t="s">
        <v>1119</v>
      </c>
      <c r="AF3" s="85" t="s">
        <v>1120</v>
      </c>
      <c r="AG3" s="85" t="s">
        <v>1121</v>
      </c>
      <c r="AH3" s="85" t="s">
        <v>1122</v>
      </c>
      <c r="AI3" s="85" t="s">
        <v>1123</v>
      </c>
      <c r="AJ3" s="85" t="s">
        <v>1124</v>
      </c>
      <c r="AK3" s="85" t="s">
        <v>1125</v>
      </c>
      <c r="AL3" s="85" t="s">
        <v>1126</v>
      </c>
      <c r="AM3" s="85" t="s">
        <v>1127</v>
      </c>
      <c r="AN3" s="85" t="s">
        <v>1128</v>
      </c>
      <c r="AO3" s="85" t="s">
        <v>1129</v>
      </c>
      <c r="AP3" s="85" t="s">
        <v>1130</v>
      </c>
      <c r="AQ3" s="85" t="s">
        <v>1131</v>
      </c>
      <c r="AR3" s="42" t="s">
        <v>1132</v>
      </c>
    </row>
    <row r="4" spans="2:44" ht="12" customHeight="1" x14ac:dyDescent="0.25">
      <c r="B4" s="43" t="s">
        <v>53</v>
      </c>
      <c r="C4" s="86" t="s">
        <v>36</v>
      </c>
      <c r="D4" s="86" t="s">
        <v>25</v>
      </c>
      <c r="E4" s="86" t="s">
        <v>25</v>
      </c>
      <c r="F4" s="86" t="s">
        <v>89</v>
      </c>
      <c r="G4" s="86" t="s">
        <v>37</v>
      </c>
      <c r="H4" s="86" t="s">
        <v>82</v>
      </c>
      <c r="I4" s="86" t="s">
        <v>25</v>
      </c>
      <c r="J4" s="86">
        <v>0.08</v>
      </c>
      <c r="K4" s="86">
        <v>0</v>
      </c>
      <c r="L4" s="86">
        <v>0</v>
      </c>
      <c r="M4" s="86">
        <v>2.9890397777454E-2</v>
      </c>
      <c r="N4" s="86">
        <v>0</v>
      </c>
      <c r="O4" s="86">
        <v>0</v>
      </c>
      <c r="P4" s="86">
        <v>0</v>
      </c>
      <c r="Q4" s="86">
        <v>0</v>
      </c>
      <c r="R4" s="86">
        <v>0</v>
      </c>
      <c r="S4" s="86">
        <v>0</v>
      </c>
      <c r="T4" s="86">
        <v>0</v>
      </c>
      <c r="U4" s="86">
        <v>0</v>
      </c>
      <c r="V4" s="86">
        <v>0</v>
      </c>
      <c r="W4" s="86">
        <v>0</v>
      </c>
      <c r="X4" s="86">
        <v>0</v>
      </c>
      <c r="Y4" s="86">
        <v>0</v>
      </c>
      <c r="Z4" s="86">
        <v>0</v>
      </c>
      <c r="AA4" s="86">
        <v>0</v>
      </c>
      <c r="AB4" s="86">
        <v>0</v>
      </c>
      <c r="AC4" s="86">
        <v>0</v>
      </c>
      <c r="AD4" s="86">
        <v>4.7285535703071799E-2</v>
      </c>
      <c r="AE4" s="86">
        <v>0</v>
      </c>
      <c r="AF4" s="86">
        <v>0</v>
      </c>
      <c r="AG4" s="86">
        <v>0</v>
      </c>
      <c r="AH4" s="86">
        <v>0</v>
      </c>
      <c r="AI4" s="86">
        <v>0</v>
      </c>
      <c r="AJ4" s="86">
        <v>0</v>
      </c>
      <c r="AK4" s="86">
        <v>0</v>
      </c>
      <c r="AL4" s="86">
        <v>0</v>
      </c>
      <c r="AM4" s="86">
        <v>0</v>
      </c>
      <c r="AN4" s="86">
        <v>0</v>
      </c>
      <c r="AO4" s="86">
        <v>0</v>
      </c>
      <c r="AP4" s="86">
        <v>0</v>
      </c>
      <c r="AQ4" s="86">
        <v>0</v>
      </c>
      <c r="AR4" s="44">
        <v>0</v>
      </c>
    </row>
    <row r="5" spans="2:44" ht="12" customHeight="1" x14ac:dyDescent="0.25">
      <c r="B5" s="43" t="s">
        <v>53</v>
      </c>
      <c r="C5" s="86" t="s">
        <v>36</v>
      </c>
      <c r="D5" s="86" t="s">
        <v>25</v>
      </c>
      <c r="E5" s="86" t="s">
        <v>25</v>
      </c>
      <c r="F5" s="86" t="s">
        <v>89</v>
      </c>
      <c r="G5" s="86" t="s">
        <v>37</v>
      </c>
      <c r="H5" s="86" t="s">
        <v>85</v>
      </c>
      <c r="I5" s="86" t="s">
        <v>25</v>
      </c>
      <c r="J5" s="86">
        <v>23.87</v>
      </c>
      <c r="K5" s="86">
        <v>0</v>
      </c>
      <c r="L5" s="86">
        <v>0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  <c r="R5" s="86">
        <v>0</v>
      </c>
      <c r="S5" s="86">
        <v>0</v>
      </c>
      <c r="T5" s="86">
        <v>3.7644992071129502</v>
      </c>
      <c r="U5" s="86">
        <v>2.1314626129546301</v>
      </c>
      <c r="V5" s="86">
        <v>0</v>
      </c>
      <c r="W5" s="86">
        <v>0</v>
      </c>
      <c r="X5" s="86">
        <v>16.644648897718799</v>
      </c>
      <c r="Y5" s="86">
        <v>0</v>
      </c>
      <c r="Z5" s="86">
        <v>0</v>
      </c>
      <c r="AA5" s="86">
        <v>1.32696439710618</v>
      </c>
      <c r="AB5" s="86">
        <v>0</v>
      </c>
      <c r="AC5" s="86">
        <v>0</v>
      </c>
      <c r="AD5" s="86">
        <v>0</v>
      </c>
      <c r="AE5" s="86">
        <v>0</v>
      </c>
      <c r="AF5" s="86">
        <v>0</v>
      </c>
      <c r="AG5" s="86">
        <v>0</v>
      </c>
      <c r="AH5" s="86">
        <v>0</v>
      </c>
      <c r="AI5" s="86">
        <v>0</v>
      </c>
      <c r="AJ5" s="86">
        <v>0</v>
      </c>
      <c r="AK5" s="86">
        <v>0</v>
      </c>
      <c r="AL5" s="86">
        <v>0</v>
      </c>
      <c r="AM5" s="86">
        <v>0</v>
      </c>
      <c r="AN5" s="86">
        <v>0</v>
      </c>
      <c r="AO5" s="86">
        <v>0</v>
      </c>
      <c r="AP5" s="86">
        <v>0</v>
      </c>
      <c r="AQ5" s="86">
        <v>0</v>
      </c>
      <c r="AR5" s="44">
        <v>0</v>
      </c>
    </row>
    <row r="6" spans="2:44" ht="12" customHeight="1" x14ac:dyDescent="0.25">
      <c r="B6" s="43" t="s">
        <v>53</v>
      </c>
      <c r="C6" s="86" t="s">
        <v>36</v>
      </c>
      <c r="D6" s="86" t="s">
        <v>25</v>
      </c>
      <c r="E6" s="86" t="s">
        <v>25</v>
      </c>
      <c r="F6" s="86" t="s">
        <v>89</v>
      </c>
      <c r="G6" s="86" t="s">
        <v>38</v>
      </c>
      <c r="H6" s="86" t="s">
        <v>82</v>
      </c>
      <c r="I6" s="86" t="s">
        <v>25</v>
      </c>
      <c r="J6" s="86">
        <v>0.08</v>
      </c>
      <c r="K6" s="86">
        <v>0</v>
      </c>
      <c r="L6" s="86">
        <v>0</v>
      </c>
      <c r="M6" s="86">
        <v>2.9890397777454E-2</v>
      </c>
      <c r="N6" s="86">
        <v>0</v>
      </c>
      <c r="O6" s="86">
        <v>0</v>
      </c>
      <c r="P6" s="86">
        <v>0</v>
      </c>
      <c r="Q6" s="86">
        <v>0</v>
      </c>
      <c r="R6" s="86">
        <v>0</v>
      </c>
      <c r="S6" s="86">
        <v>0</v>
      </c>
      <c r="T6" s="86">
        <v>0</v>
      </c>
      <c r="U6" s="86">
        <v>0</v>
      </c>
      <c r="V6" s="86">
        <v>0</v>
      </c>
      <c r="W6" s="86">
        <v>0</v>
      </c>
      <c r="X6" s="86">
        <v>0</v>
      </c>
      <c r="Y6" s="86">
        <v>0</v>
      </c>
      <c r="Z6" s="86">
        <v>0</v>
      </c>
      <c r="AA6" s="86">
        <v>0</v>
      </c>
      <c r="AB6" s="86">
        <v>0</v>
      </c>
      <c r="AC6" s="86">
        <v>0</v>
      </c>
      <c r="AD6" s="86">
        <v>4.7285535703071799E-2</v>
      </c>
      <c r="AE6" s="86">
        <v>0</v>
      </c>
      <c r="AF6" s="86">
        <v>0</v>
      </c>
      <c r="AG6" s="86">
        <v>0</v>
      </c>
      <c r="AH6" s="86">
        <v>0</v>
      </c>
      <c r="AI6" s="86">
        <v>0</v>
      </c>
      <c r="AJ6" s="86">
        <v>0</v>
      </c>
      <c r="AK6" s="86">
        <v>0</v>
      </c>
      <c r="AL6" s="86">
        <v>0</v>
      </c>
      <c r="AM6" s="86">
        <v>0</v>
      </c>
      <c r="AN6" s="86">
        <v>0</v>
      </c>
      <c r="AO6" s="86">
        <v>0</v>
      </c>
      <c r="AP6" s="86">
        <v>0</v>
      </c>
      <c r="AQ6" s="86">
        <v>0</v>
      </c>
      <c r="AR6" s="44">
        <v>0</v>
      </c>
    </row>
    <row r="7" spans="2:44" ht="12" customHeight="1" x14ac:dyDescent="0.25">
      <c r="B7" s="43" t="s">
        <v>53</v>
      </c>
      <c r="C7" s="86" t="s">
        <v>36</v>
      </c>
      <c r="D7" s="86" t="s">
        <v>25</v>
      </c>
      <c r="E7" s="86" t="s">
        <v>25</v>
      </c>
      <c r="F7" s="86" t="s">
        <v>89</v>
      </c>
      <c r="G7" s="86" t="s">
        <v>38</v>
      </c>
      <c r="H7" s="86" t="s">
        <v>85</v>
      </c>
      <c r="I7" s="86" t="s">
        <v>25</v>
      </c>
      <c r="J7" s="86">
        <v>11.4</v>
      </c>
      <c r="K7" s="86">
        <v>0</v>
      </c>
      <c r="L7" s="86">
        <v>0</v>
      </c>
      <c r="M7" s="86">
        <v>0</v>
      </c>
      <c r="N7" s="86">
        <v>0</v>
      </c>
      <c r="O7" s="86">
        <v>0</v>
      </c>
      <c r="P7" s="86">
        <v>0</v>
      </c>
      <c r="Q7" s="86">
        <v>0</v>
      </c>
      <c r="R7" s="86">
        <v>0</v>
      </c>
      <c r="S7" s="86">
        <v>0</v>
      </c>
      <c r="T7" s="86">
        <v>2.0913737930690202</v>
      </c>
      <c r="U7" s="86">
        <v>1.0224964294821</v>
      </c>
      <c r="V7" s="86">
        <v>0</v>
      </c>
      <c r="W7" s="86">
        <v>0</v>
      </c>
      <c r="X7" s="86">
        <v>6.9554892840992997</v>
      </c>
      <c r="Y7" s="86">
        <v>0</v>
      </c>
      <c r="Z7" s="86">
        <v>0</v>
      </c>
      <c r="AA7" s="86">
        <v>1.32696439710618</v>
      </c>
      <c r="AB7" s="86">
        <v>0</v>
      </c>
      <c r="AC7" s="86">
        <v>0</v>
      </c>
      <c r="AD7" s="86">
        <v>0</v>
      </c>
      <c r="AE7" s="86">
        <v>0</v>
      </c>
      <c r="AF7" s="86">
        <v>0</v>
      </c>
      <c r="AG7" s="86">
        <v>0</v>
      </c>
      <c r="AH7" s="86">
        <v>0</v>
      </c>
      <c r="AI7" s="86">
        <v>0</v>
      </c>
      <c r="AJ7" s="86">
        <v>0</v>
      </c>
      <c r="AK7" s="86">
        <v>0</v>
      </c>
      <c r="AL7" s="86">
        <v>0</v>
      </c>
      <c r="AM7" s="86">
        <v>0</v>
      </c>
      <c r="AN7" s="86">
        <v>0</v>
      </c>
      <c r="AO7" s="86">
        <v>0</v>
      </c>
      <c r="AP7" s="86">
        <v>0</v>
      </c>
      <c r="AQ7" s="86">
        <v>0</v>
      </c>
      <c r="AR7" s="44">
        <v>0</v>
      </c>
    </row>
    <row r="8" spans="2:44" ht="12" customHeight="1" x14ac:dyDescent="0.25">
      <c r="B8" s="43" t="s">
        <v>53</v>
      </c>
      <c r="C8" s="86" t="s">
        <v>36</v>
      </c>
      <c r="D8" s="86" t="s">
        <v>25</v>
      </c>
      <c r="E8" s="86" t="s">
        <v>25</v>
      </c>
      <c r="F8" s="86" t="s">
        <v>25</v>
      </c>
      <c r="G8" s="86" t="s">
        <v>37</v>
      </c>
      <c r="H8" s="86" t="s">
        <v>82</v>
      </c>
      <c r="I8" s="86" t="s">
        <v>25</v>
      </c>
      <c r="J8" s="86">
        <v>70.05</v>
      </c>
      <c r="K8" s="86">
        <v>190.11</v>
      </c>
      <c r="L8" s="86">
        <v>0</v>
      </c>
      <c r="M8" s="86">
        <v>2.9890397777454E-2</v>
      </c>
      <c r="N8" s="86">
        <v>0</v>
      </c>
      <c r="O8" s="86">
        <v>0</v>
      </c>
      <c r="P8" s="86">
        <v>0</v>
      </c>
      <c r="Q8" s="86">
        <v>55.7553260912048</v>
      </c>
      <c r="R8" s="86">
        <v>14.212577937026801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0</v>
      </c>
      <c r="Z8" s="86">
        <v>0</v>
      </c>
      <c r="AA8" s="86">
        <v>0</v>
      </c>
      <c r="AB8" s="86">
        <v>0</v>
      </c>
      <c r="AC8" s="86">
        <v>0</v>
      </c>
      <c r="AD8" s="86">
        <v>4.7285535703071799E-2</v>
      </c>
      <c r="AE8" s="86">
        <v>0</v>
      </c>
      <c r="AF8" s="86">
        <v>0</v>
      </c>
      <c r="AG8" s="86">
        <v>0</v>
      </c>
      <c r="AH8" s="86">
        <v>0</v>
      </c>
      <c r="AI8" s="86">
        <v>-15.309516955125501</v>
      </c>
      <c r="AJ8" s="86">
        <v>0</v>
      </c>
      <c r="AK8" s="86">
        <v>23.659118900270901</v>
      </c>
      <c r="AL8" s="86">
        <v>0</v>
      </c>
      <c r="AM8" s="86">
        <v>177.209452751085</v>
      </c>
      <c r="AN8" s="86">
        <v>0</v>
      </c>
      <c r="AO8" s="86">
        <v>0</v>
      </c>
      <c r="AP8" s="86">
        <v>0</v>
      </c>
      <c r="AQ8" s="86">
        <v>0</v>
      </c>
      <c r="AR8" s="44">
        <v>4.5536608155500398</v>
      </c>
    </row>
    <row r="9" spans="2:44" ht="12" customHeight="1" x14ac:dyDescent="0.25">
      <c r="B9" s="43" t="s">
        <v>53</v>
      </c>
      <c r="C9" s="86" t="s">
        <v>36</v>
      </c>
      <c r="D9" s="86" t="s">
        <v>25</v>
      </c>
      <c r="E9" s="86" t="s">
        <v>25</v>
      </c>
      <c r="F9" s="86" t="s">
        <v>25</v>
      </c>
      <c r="G9" s="86" t="s">
        <v>37</v>
      </c>
      <c r="H9" s="86" t="s">
        <v>85</v>
      </c>
      <c r="I9" s="86" t="s">
        <v>25</v>
      </c>
      <c r="J9" s="86">
        <v>23.87</v>
      </c>
      <c r="K9" s="86">
        <v>0</v>
      </c>
      <c r="L9" s="86">
        <v>0</v>
      </c>
      <c r="M9" s="86">
        <v>0</v>
      </c>
      <c r="N9" s="86">
        <v>0</v>
      </c>
      <c r="O9" s="86">
        <v>0</v>
      </c>
      <c r="P9" s="86">
        <v>0</v>
      </c>
      <c r="Q9" s="86">
        <v>0</v>
      </c>
      <c r="R9" s="86">
        <v>0</v>
      </c>
      <c r="S9" s="86">
        <v>0</v>
      </c>
      <c r="T9" s="86">
        <v>3.7644992071129502</v>
      </c>
      <c r="U9" s="86">
        <v>2.1314626129546301</v>
      </c>
      <c r="V9" s="86">
        <v>0</v>
      </c>
      <c r="W9" s="86">
        <v>0</v>
      </c>
      <c r="X9" s="86">
        <v>16.644648897718799</v>
      </c>
      <c r="Y9" s="86">
        <v>0</v>
      </c>
      <c r="Z9" s="86">
        <v>0</v>
      </c>
      <c r="AA9" s="86">
        <v>1.32696439710618</v>
      </c>
      <c r="AB9" s="86">
        <v>0</v>
      </c>
      <c r="AC9" s="86">
        <v>0</v>
      </c>
      <c r="AD9" s="86">
        <v>0</v>
      </c>
      <c r="AE9" s="86">
        <v>0</v>
      </c>
      <c r="AF9" s="86">
        <v>0</v>
      </c>
      <c r="AG9" s="86">
        <v>0</v>
      </c>
      <c r="AH9" s="86">
        <v>0</v>
      </c>
      <c r="AI9" s="86">
        <v>0</v>
      </c>
      <c r="AJ9" s="86">
        <v>0</v>
      </c>
      <c r="AK9" s="86">
        <v>0</v>
      </c>
      <c r="AL9" s="86">
        <v>0</v>
      </c>
      <c r="AM9" s="86">
        <v>0</v>
      </c>
      <c r="AN9" s="86">
        <v>0</v>
      </c>
      <c r="AO9" s="86">
        <v>0</v>
      </c>
      <c r="AP9" s="86">
        <v>0</v>
      </c>
      <c r="AQ9" s="86">
        <v>0</v>
      </c>
      <c r="AR9" s="44">
        <v>0</v>
      </c>
    </row>
    <row r="10" spans="2:44" ht="12" customHeight="1" x14ac:dyDescent="0.25">
      <c r="B10" s="43" t="s">
        <v>53</v>
      </c>
      <c r="C10" s="86" t="s">
        <v>36</v>
      </c>
      <c r="D10" s="86" t="s">
        <v>25</v>
      </c>
      <c r="E10" s="86" t="s">
        <v>25</v>
      </c>
      <c r="F10" s="86" t="s">
        <v>25</v>
      </c>
      <c r="G10" s="86" t="s">
        <v>38</v>
      </c>
      <c r="H10" s="86" t="s">
        <v>82</v>
      </c>
      <c r="I10" s="86" t="s">
        <v>25</v>
      </c>
      <c r="J10" s="86">
        <v>70.05</v>
      </c>
      <c r="K10" s="86">
        <v>190.11</v>
      </c>
      <c r="L10" s="86">
        <v>0</v>
      </c>
      <c r="M10" s="86">
        <v>2.9890397777454E-2</v>
      </c>
      <c r="N10" s="86">
        <v>0</v>
      </c>
      <c r="O10" s="86">
        <v>0</v>
      </c>
      <c r="P10" s="86">
        <v>0</v>
      </c>
      <c r="Q10" s="86">
        <v>55.7553260912048</v>
      </c>
      <c r="R10" s="86">
        <v>14.212577937026801</v>
      </c>
      <c r="S10" s="86">
        <v>0</v>
      </c>
      <c r="T10" s="86">
        <v>0</v>
      </c>
      <c r="U10" s="86">
        <v>0</v>
      </c>
      <c r="V10" s="86">
        <v>0</v>
      </c>
      <c r="W10" s="86">
        <v>0</v>
      </c>
      <c r="X10" s="86">
        <v>0</v>
      </c>
      <c r="Y10" s="86">
        <v>0</v>
      </c>
      <c r="Z10" s="86">
        <v>0</v>
      </c>
      <c r="AA10" s="86">
        <v>0</v>
      </c>
      <c r="AB10" s="86">
        <v>0</v>
      </c>
      <c r="AC10" s="86">
        <v>0</v>
      </c>
      <c r="AD10" s="86">
        <v>4.7285535703071799E-2</v>
      </c>
      <c r="AE10" s="86">
        <v>0</v>
      </c>
      <c r="AF10" s="86">
        <v>0</v>
      </c>
      <c r="AG10" s="86">
        <v>0</v>
      </c>
      <c r="AH10" s="86">
        <v>0</v>
      </c>
      <c r="AI10" s="86">
        <v>-15.309516955125501</v>
      </c>
      <c r="AJ10" s="86">
        <v>0</v>
      </c>
      <c r="AK10" s="86">
        <v>23.659118900270901</v>
      </c>
      <c r="AL10" s="86">
        <v>0</v>
      </c>
      <c r="AM10" s="86">
        <v>177.209452751085</v>
      </c>
      <c r="AN10" s="86">
        <v>0</v>
      </c>
      <c r="AO10" s="86">
        <v>0</v>
      </c>
      <c r="AP10" s="86">
        <v>0</v>
      </c>
      <c r="AQ10" s="86">
        <v>0</v>
      </c>
      <c r="AR10" s="44">
        <v>4.5536608155500398</v>
      </c>
    </row>
    <row r="11" spans="2:44" ht="12" customHeight="1" x14ac:dyDescent="0.25">
      <c r="B11" s="43" t="s">
        <v>53</v>
      </c>
      <c r="C11" s="86" t="s">
        <v>36</v>
      </c>
      <c r="D11" s="86" t="s">
        <v>25</v>
      </c>
      <c r="E11" s="86" t="s">
        <v>25</v>
      </c>
      <c r="F11" s="86" t="s">
        <v>25</v>
      </c>
      <c r="G11" s="86" t="s">
        <v>38</v>
      </c>
      <c r="H11" s="86" t="s">
        <v>85</v>
      </c>
      <c r="I11" s="86" t="s">
        <v>25</v>
      </c>
      <c r="J11" s="86">
        <v>11.4</v>
      </c>
      <c r="K11" s="86">
        <v>0</v>
      </c>
      <c r="L11" s="86">
        <v>0</v>
      </c>
      <c r="M11" s="86">
        <v>0</v>
      </c>
      <c r="N11" s="86">
        <v>0</v>
      </c>
      <c r="O11" s="86">
        <v>0</v>
      </c>
      <c r="P11" s="86">
        <v>0</v>
      </c>
      <c r="Q11" s="86">
        <v>0</v>
      </c>
      <c r="R11" s="86">
        <v>0</v>
      </c>
      <c r="S11" s="86">
        <v>0</v>
      </c>
      <c r="T11" s="86">
        <v>2.0913737930690202</v>
      </c>
      <c r="U11" s="86">
        <v>1.0224964294821</v>
      </c>
      <c r="V11" s="86">
        <v>0</v>
      </c>
      <c r="W11" s="86">
        <v>0</v>
      </c>
      <c r="X11" s="86">
        <v>6.9554892840992997</v>
      </c>
      <c r="Y11" s="86">
        <v>0</v>
      </c>
      <c r="Z11" s="86">
        <v>0</v>
      </c>
      <c r="AA11" s="86">
        <v>1.32696439710618</v>
      </c>
      <c r="AB11" s="86">
        <v>0</v>
      </c>
      <c r="AC11" s="86">
        <v>0</v>
      </c>
      <c r="AD11" s="86">
        <v>0</v>
      </c>
      <c r="AE11" s="86">
        <v>0</v>
      </c>
      <c r="AF11" s="86">
        <v>0</v>
      </c>
      <c r="AG11" s="86">
        <v>0</v>
      </c>
      <c r="AH11" s="86">
        <v>0</v>
      </c>
      <c r="AI11" s="86">
        <v>0</v>
      </c>
      <c r="AJ11" s="86">
        <v>0</v>
      </c>
      <c r="AK11" s="86">
        <v>0</v>
      </c>
      <c r="AL11" s="86">
        <v>0</v>
      </c>
      <c r="AM11" s="86">
        <v>0</v>
      </c>
      <c r="AN11" s="86">
        <v>0</v>
      </c>
      <c r="AO11" s="86">
        <v>0</v>
      </c>
      <c r="AP11" s="86">
        <v>0</v>
      </c>
      <c r="AQ11" s="86">
        <v>0</v>
      </c>
      <c r="AR11" s="44">
        <v>0</v>
      </c>
    </row>
    <row r="12" spans="2:44" ht="12" customHeight="1" x14ac:dyDescent="0.25">
      <c r="B12" s="43" t="s">
        <v>35</v>
      </c>
      <c r="C12" s="86" t="s">
        <v>36</v>
      </c>
      <c r="D12" s="86" t="s">
        <v>25</v>
      </c>
      <c r="E12" s="86" t="s">
        <v>25</v>
      </c>
      <c r="F12" s="86" t="s">
        <v>89</v>
      </c>
      <c r="G12" s="86" t="s">
        <v>37</v>
      </c>
      <c r="H12" s="86" t="s">
        <v>82</v>
      </c>
      <c r="I12" s="86" t="s">
        <v>25</v>
      </c>
      <c r="J12" s="86">
        <v>9.16</v>
      </c>
      <c r="K12" s="86">
        <v>0</v>
      </c>
      <c r="L12" s="86">
        <v>0</v>
      </c>
      <c r="M12" s="86">
        <v>1.33507220441561</v>
      </c>
      <c r="N12" s="86">
        <v>0</v>
      </c>
      <c r="O12" s="86">
        <v>0</v>
      </c>
      <c r="P12" s="86">
        <v>0</v>
      </c>
      <c r="Q12" s="86">
        <v>0</v>
      </c>
      <c r="R12" s="86">
        <v>0</v>
      </c>
      <c r="S12" s="86">
        <v>0</v>
      </c>
      <c r="T12" s="86">
        <v>0</v>
      </c>
      <c r="U12" s="86">
        <v>0</v>
      </c>
      <c r="V12" s="86">
        <v>0</v>
      </c>
      <c r="W12" s="86">
        <v>0</v>
      </c>
      <c r="X12" s="86">
        <v>0</v>
      </c>
      <c r="Y12" s="86">
        <v>0</v>
      </c>
      <c r="Z12" s="86">
        <v>0</v>
      </c>
      <c r="AA12" s="86">
        <v>0</v>
      </c>
      <c r="AB12" s="86">
        <v>0</v>
      </c>
      <c r="AC12" s="86">
        <v>0</v>
      </c>
      <c r="AD12" s="86">
        <v>7.6309695714689196</v>
      </c>
      <c r="AE12" s="86">
        <v>0.19609376972238199</v>
      </c>
      <c r="AF12" s="86">
        <v>0</v>
      </c>
      <c r="AG12" s="86">
        <v>0</v>
      </c>
      <c r="AH12" s="86">
        <v>0</v>
      </c>
      <c r="AI12" s="86">
        <v>0</v>
      </c>
      <c r="AJ12" s="86">
        <v>0</v>
      </c>
      <c r="AK12" s="86">
        <v>0</v>
      </c>
      <c r="AL12" s="86">
        <v>0</v>
      </c>
      <c r="AM12" s="86">
        <v>0</v>
      </c>
      <c r="AN12" s="86">
        <v>0</v>
      </c>
      <c r="AO12" s="86">
        <v>0</v>
      </c>
      <c r="AP12" s="86">
        <v>0</v>
      </c>
      <c r="AQ12" s="86">
        <v>0</v>
      </c>
      <c r="AR12" s="44">
        <v>0</v>
      </c>
    </row>
    <row r="13" spans="2:44" ht="12" customHeight="1" x14ac:dyDescent="0.25">
      <c r="B13" s="43" t="s">
        <v>35</v>
      </c>
      <c r="C13" s="86" t="s">
        <v>36</v>
      </c>
      <c r="D13" s="86" t="s">
        <v>25</v>
      </c>
      <c r="E13" s="86" t="s">
        <v>25</v>
      </c>
      <c r="F13" s="86" t="s">
        <v>89</v>
      </c>
      <c r="G13" s="86" t="s">
        <v>37</v>
      </c>
      <c r="H13" s="86" t="s">
        <v>85</v>
      </c>
      <c r="I13" s="86" t="s">
        <v>25</v>
      </c>
      <c r="J13" s="86">
        <v>89.18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1.84696690365448</v>
      </c>
      <c r="U13" s="86">
        <v>2.01706682946535</v>
      </c>
      <c r="V13" s="86">
        <v>0.50060788038851201</v>
      </c>
      <c r="W13" s="86">
        <v>0</v>
      </c>
      <c r="X13" s="86">
        <v>18.643143077401199</v>
      </c>
      <c r="Y13" s="86">
        <v>0</v>
      </c>
      <c r="Z13" s="86">
        <v>0</v>
      </c>
      <c r="AA13" s="86">
        <v>66.170053598357796</v>
      </c>
      <c r="AB13" s="86">
        <v>0</v>
      </c>
      <c r="AC13" s="86">
        <v>0</v>
      </c>
      <c r="AD13" s="86">
        <v>0</v>
      </c>
      <c r="AE13" s="86">
        <v>0</v>
      </c>
      <c r="AF13" s="86">
        <v>0</v>
      </c>
      <c r="AG13" s="86">
        <v>0</v>
      </c>
      <c r="AH13" s="86">
        <v>0</v>
      </c>
      <c r="AI13" s="86">
        <v>0</v>
      </c>
      <c r="AJ13" s="86">
        <v>0</v>
      </c>
      <c r="AK13" s="86">
        <v>0</v>
      </c>
      <c r="AL13" s="86">
        <v>0</v>
      </c>
      <c r="AM13" s="86">
        <v>0</v>
      </c>
      <c r="AN13" s="86">
        <v>0</v>
      </c>
      <c r="AO13" s="86">
        <v>0</v>
      </c>
      <c r="AP13" s="86">
        <v>0</v>
      </c>
      <c r="AQ13" s="86">
        <v>0</v>
      </c>
      <c r="AR13" s="44">
        <v>0</v>
      </c>
    </row>
    <row r="14" spans="2:44" ht="12" customHeight="1" x14ac:dyDescent="0.25">
      <c r="B14" s="43" t="s">
        <v>35</v>
      </c>
      <c r="C14" s="86" t="s">
        <v>36</v>
      </c>
      <c r="D14" s="86" t="s">
        <v>25</v>
      </c>
      <c r="E14" s="86" t="s">
        <v>25</v>
      </c>
      <c r="F14" s="86" t="s">
        <v>89</v>
      </c>
      <c r="G14" s="86" t="s">
        <v>38</v>
      </c>
      <c r="H14" s="86" t="s">
        <v>82</v>
      </c>
      <c r="I14" s="86" t="s">
        <v>25</v>
      </c>
      <c r="J14" s="86">
        <v>9.16</v>
      </c>
      <c r="K14" s="86">
        <v>0</v>
      </c>
      <c r="L14" s="86">
        <v>0</v>
      </c>
      <c r="M14" s="86">
        <v>1.33507220441561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0</v>
      </c>
      <c r="Z14" s="86">
        <v>0</v>
      </c>
      <c r="AA14" s="86">
        <v>0</v>
      </c>
      <c r="AB14" s="86">
        <v>0</v>
      </c>
      <c r="AC14" s="86">
        <v>0</v>
      </c>
      <c r="AD14" s="86">
        <v>7.6309695714689196</v>
      </c>
      <c r="AE14" s="86">
        <v>0.19609376972238199</v>
      </c>
      <c r="AF14" s="86">
        <v>0</v>
      </c>
      <c r="AG14" s="86">
        <v>0</v>
      </c>
      <c r="AH14" s="86">
        <v>0</v>
      </c>
      <c r="AI14" s="86">
        <v>0</v>
      </c>
      <c r="AJ14" s="86">
        <v>0</v>
      </c>
      <c r="AK14" s="86">
        <v>0</v>
      </c>
      <c r="AL14" s="86">
        <v>0</v>
      </c>
      <c r="AM14" s="86">
        <v>0</v>
      </c>
      <c r="AN14" s="86">
        <v>0</v>
      </c>
      <c r="AO14" s="86">
        <v>0</v>
      </c>
      <c r="AP14" s="86">
        <v>0</v>
      </c>
      <c r="AQ14" s="86">
        <v>0</v>
      </c>
      <c r="AR14" s="44">
        <v>0</v>
      </c>
    </row>
    <row r="15" spans="2:44" ht="12" customHeight="1" x14ac:dyDescent="0.25">
      <c r="B15" s="43" t="s">
        <v>35</v>
      </c>
      <c r="C15" s="86" t="s">
        <v>36</v>
      </c>
      <c r="D15" s="86" t="s">
        <v>25</v>
      </c>
      <c r="E15" s="86" t="s">
        <v>25</v>
      </c>
      <c r="F15" s="86" t="s">
        <v>89</v>
      </c>
      <c r="G15" s="86" t="s">
        <v>38</v>
      </c>
      <c r="H15" s="86" t="s">
        <v>85</v>
      </c>
      <c r="I15" s="86" t="s">
        <v>25</v>
      </c>
      <c r="J15" s="86">
        <v>53.49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0</v>
      </c>
      <c r="T15" s="86">
        <v>1.8703128396644</v>
      </c>
      <c r="U15" s="86">
        <v>1.80324765179642</v>
      </c>
      <c r="V15" s="86">
        <v>0.495924438680095</v>
      </c>
      <c r="W15" s="86">
        <v>0</v>
      </c>
      <c r="X15" s="86">
        <v>10.0204365525857</v>
      </c>
      <c r="Y15" s="86">
        <v>0</v>
      </c>
      <c r="Z15" s="86">
        <v>0</v>
      </c>
      <c r="AA15" s="86">
        <v>39.296302977473502</v>
      </c>
      <c r="AB15" s="86">
        <v>0</v>
      </c>
      <c r="AC15" s="86">
        <v>0</v>
      </c>
      <c r="AD15" s="86">
        <v>0</v>
      </c>
      <c r="AE15" s="86">
        <v>0</v>
      </c>
      <c r="AF15" s="86">
        <v>0</v>
      </c>
      <c r="AG15" s="86">
        <v>0</v>
      </c>
      <c r="AH15" s="86">
        <v>0</v>
      </c>
      <c r="AI15" s="86">
        <v>0</v>
      </c>
      <c r="AJ15" s="86">
        <v>0</v>
      </c>
      <c r="AK15" s="86">
        <v>0</v>
      </c>
      <c r="AL15" s="86">
        <v>0</v>
      </c>
      <c r="AM15" s="86">
        <v>0</v>
      </c>
      <c r="AN15" s="86">
        <v>0</v>
      </c>
      <c r="AO15" s="86">
        <v>0</v>
      </c>
      <c r="AP15" s="86">
        <v>0</v>
      </c>
      <c r="AQ15" s="86">
        <v>0</v>
      </c>
      <c r="AR15" s="44">
        <v>0</v>
      </c>
    </row>
    <row r="16" spans="2:44" ht="12" customHeight="1" x14ac:dyDescent="0.25">
      <c r="B16" s="43" t="s">
        <v>35</v>
      </c>
      <c r="C16" s="86" t="s">
        <v>36</v>
      </c>
      <c r="D16" s="86" t="s">
        <v>25</v>
      </c>
      <c r="E16" s="86" t="s">
        <v>25</v>
      </c>
      <c r="F16" s="86" t="s">
        <v>25</v>
      </c>
      <c r="G16" s="86" t="s">
        <v>37</v>
      </c>
      <c r="H16" s="86" t="s">
        <v>82</v>
      </c>
      <c r="I16" s="86" t="s">
        <v>25</v>
      </c>
      <c r="J16" s="86">
        <v>98.91</v>
      </c>
      <c r="K16" s="86">
        <v>190.11</v>
      </c>
      <c r="L16" s="86">
        <v>0</v>
      </c>
      <c r="M16" s="86">
        <v>1.33507220441561</v>
      </c>
      <c r="N16" s="86">
        <v>0</v>
      </c>
      <c r="O16" s="86">
        <v>0</v>
      </c>
      <c r="P16" s="86">
        <v>0</v>
      </c>
      <c r="Q16" s="86">
        <v>75.539474059051699</v>
      </c>
      <c r="R16" s="86">
        <v>14.212577937026801</v>
      </c>
      <c r="S16" s="86">
        <v>0</v>
      </c>
      <c r="T16" s="86">
        <v>0</v>
      </c>
      <c r="U16" s="86">
        <v>0</v>
      </c>
      <c r="V16" s="86">
        <v>0</v>
      </c>
      <c r="W16" s="86">
        <v>0</v>
      </c>
      <c r="X16" s="86">
        <v>0</v>
      </c>
      <c r="Y16" s="86">
        <v>0</v>
      </c>
      <c r="Z16" s="86">
        <v>0</v>
      </c>
      <c r="AA16" s="86">
        <v>0</v>
      </c>
      <c r="AB16" s="86">
        <v>0</v>
      </c>
      <c r="AC16" s="86">
        <v>0</v>
      </c>
      <c r="AD16" s="86">
        <v>7.6309695714689196</v>
      </c>
      <c r="AE16" s="86">
        <v>0.19609376972238199</v>
      </c>
      <c r="AF16" s="86">
        <v>0</v>
      </c>
      <c r="AG16" s="86">
        <v>0</v>
      </c>
      <c r="AH16" s="86">
        <v>0</v>
      </c>
      <c r="AI16" s="86">
        <v>-15.309516955125501</v>
      </c>
      <c r="AJ16" s="86">
        <v>0</v>
      </c>
      <c r="AK16" s="86">
        <v>23.659118900270901</v>
      </c>
      <c r="AL16" s="86">
        <v>0</v>
      </c>
      <c r="AM16" s="86">
        <v>177.209452751085</v>
      </c>
      <c r="AN16" s="86">
        <v>0</v>
      </c>
      <c r="AO16" s="86">
        <v>0</v>
      </c>
      <c r="AP16" s="86">
        <v>0</v>
      </c>
      <c r="AQ16" s="86">
        <v>0</v>
      </c>
      <c r="AR16" s="44">
        <v>4.5536608155500398</v>
      </c>
    </row>
    <row r="17" spans="2:44" ht="12" customHeight="1" x14ac:dyDescent="0.25">
      <c r="B17" s="43" t="s">
        <v>35</v>
      </c>
      <c r="C17" s="86" t="s">
        <v>36</v>
      </c>
      <c r="D17" s="86" t="s">
        <v>25</v>
      </c>
      <c r="E17" s="86" t="s">
        <v>25</v>
      </c>
      <c r="F17" s="86" t="s">
        <v>25</v>
      </c>
      <c r="G17" s="86" t="s">
        <v>37</v>
      </c>
      <c r="H17" s="86" t="s">
        <v>85</v>
      </c>
      <c r="I17" s="86" t="s">
        <v>25</v>
      </c>
      <c r="J17" s="86">
        <v>89.18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0</v>
      </c>
      <c r="Q17" s="86">
        <v>0</v>
      </c>
      <c r="R17" s="86">
        <v>0</v>
      </c>
      <c r="S17" s="86">
        <v>0</v>
      </c>
      <c r="T17" s="86">
        <v>1.84696690365448</v>
      </c>
      <c r="U17" s="86">
        <v>2.01706682946535</v>
      </c>
      <c r="V17" s="86">
        <v>0.50060788038851201</v>
      </c>
      <c r="W17" s="86">
        <v>0</v>
      </c>
      <c r="X17" s="86">
        <v>18.643143077401199</v>
      </c>
      <c r="Y17" s="86">
        <v>0</v>
      </c>
      <c r="Z17" s="86">
        <v>0</v>
      </c>
      <c r="AA17" s="86">
        <v>66.170053598357796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44">
        <v>0</v>
      </c>
    </row>
    <row r="18" spans="2:44" ht="12" customHeight="1" x14ac:dyDescent="0.25">
      <c r="B18" s="43" t="s">
        <v>35</v>
      </c>
      <c r="C18" s="86" t="s">
        <v>36</v>
      </c>
      <c r="D18" s="86" t="s">
        <v>25</v>
      </c>
      <c r="E18" s="86" t="s">
        <v>25</v>
      </c>
      <c r="F18" s="86" t="s">
        <v>25</v>
      </c>
      <c r="G18" s="86" t="s">
        <v>38</v>
      </c>
      <c r="H18" s="86" t="s">
        <v>82</v>
      </c>
      <c r="I18" s="86" t="s">
        <v>25</v>
      </c>
      <c r="J18" s="86">
        <v>98.91</v>
      </c>
      <c r="K18" s="86">
        <v>190.11</v>
      </c>
      <c r="L18" s="86">
        <v>0</v>
      </c>
      <c r="M18" s="86">
        <v>1.33507220441561</v>
      </c>
      <c r="N18" s="86">
        <v>0</v>
      </c>
      <c r="O18" s="86">
        <v>0</v>
      </c>
      <c r="P18" s="86">
        <v>0</v>
      </c>
      <c r="Q18" s="86">
        <v>75.539474059051699</v>
      </c>
      <c r="R18" s="86">
        <v>14.212577937026801</v>
      </c>
      <c r="S18" s="86">
        <v>0</v>
      </c>
      <c r="T18" s="86">
        <v>0</v>
      </c>
      <c r="U18" s="86">
        <v>0</v>
      </c>
      <c r="V18" s="86">
        <v>0</v>
      </c>
      <c r="W18" s="86">
        <v>0</v>
      </c>
      <c r="X18" s="86">
        <v>0</v>
      </c>
      <c r="Y18" s="86">
        <v>0</v>
      </c>
      <c r="Z18" s="86">
        <v>0</v>
      </c>
      <c r="AA18" s="86">
        <v>0</v>
      </c>
      <c r="AB18" s="86">
        <v>0</v>
      </c>
      <c r="AC18" s="86">
        <v>0</v>
      </c>
      <c r="AD18" s="86">
        <v>7.6309695714689196</v>
      </c>
      <c r="AE18" s="86">
        <v>0.19609376972238199</v>
      </c>
      <c r="AF18" s="86">
        <v>0</v>
      </c>
      <c r="AG18" s="86">
        <v>0</v>
      </c>
      <c r="AH18" s="86">
        <v>0</v>
      </c>
      <c r="AI18" s="86">
        <v>-15.309516955125501</v>
      </c>
      <c r="AJ18" s="86">
        <v>0</v>
      </c>
      <c r="AK18" s="86">
        <v>23.659118900270901</v>
      </c>
      <c r="AL18" s="86">
        <v>0</v>
      </c>
      <c r="AM18" s="86">
        <v>177.209452751085</v>
      </c>
      <c r="AN18" s="86">
        <v>0</v>
      </c>
      <c r="AO18" s="86">
        <v>0</v>
      </c>
      <c r="AP18" s="86">
        <v>0</v>
      </c>
      <c r="AQ18" s="86">
        <v>0</v>
      </c>
      <c r="AR18" s="44">
        <v>4.5536608155500398</v>
      </c>
    </row>
    <row r="19" spans="2:44" ht="12" customHeight="1" x14ac:dyDescent="0.25">
      <c r="B19" s="43" t="s">
        <v>35</v>
      </c>
      <c r="C19" s="86" t="s">
        <v>36</v>
      </c>
      <c r="D19" s="86" t="s">
        <v>25</v>
      </c>
      <c r="E19" s="86" t="s">
        <v>25</v>
      </c>
      <c r="F19" s="86" t="s">
        <v>25</v>
      </c>
      <c r="G19" s="86" t="s">
        <v>38</v>
      </c>
      <c r="H19" s="86" t="s">
        <v>85</v>
      </c>
      <c r="I19" s="86" t="s">
        <v>25</v>
      </c>
      <c r="J19" s="86">
        <v>53.49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1.8703128396644</v>
      </c>
      <c r="U19" s="86">
        <v>1.80324765179642</v>
      </c>
      <c r="V19" s="86">
        <v>0.495924438680095</v>
      </c>
      <c r="W19" s="86">
        <v>0</v>
      </c>
      <c r="X19" s="86">
        <v>10.0204365525857</v>
      </c>
      <c r="Y19" s="86">
        <v>0</v>
      </c>
      <c r="Z19" s="86">
        <v>0</v>
      </c>
      <c r="AA19" s="86">
        <v>39.296302977473502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0</v>
      </c>
      <c r="AI19" s="86">
        <v>0</v>
      </c>
      <c r="AJ19" s="86">
        <v>0</v>
      </c>
      <c r="AK19" s="86">
        <v>0</v>
      </c>
      <c r="AL19" s="86">
        <v>0</v>
      </c>
      <c r="AM19" s="86">
        <v>0</v>
      </c>
      <c r="AN19" s="86">
        <v>0</v>
      </c>
      <c r="AO19" s="86">
        <v>0</v>
      </c>
      <c r="AP19" s="86">
        <v>0</v>
      </c>
      <c r="AQ19" s="86">
        <v>0</v>
      </c>
      <c r="AR19" s="44">
        <v>0</v>
      </c>
    </row>
    <row r="20" spans="2:44" ht="12" customHeight="1" x14ac:dyDescent="0.25">
      <c r="B20" s="43" t="s">
        <v>35</v>
      </c>
      <c r="C20" s="86" t="s">
        <v>23</v>
      </c>
      <c r="D20" s="86" t="s">
        <v>25</v>
      </c>
      <c r="E20" s="86" t="s">
        <v>25</v>
      </c>
      <c r="F20" s="86" t="s">
        <v>25</v>
      </c>
      <c r="G20" s="86" t="s">
        <v>25</v>
      </c>
      <c r="H20" s="86" t="s">
        <v>82</v>
      </c>
      <c r="I20" s="86" t="s">
        <v>25</v>
      </c>
      <c r="J20" s="86">
        <v>0</v>
      </c>
      <c r="K20" s="86">
        <v>190.11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0</v>
      </c>
      <c r="S20" s="86">
        <v>0</v>
      </c>
      <c r="T20" s="86">
        <v>0</v>
      </c>
      <c r="U20" s="86">
        <v>0</v>
      </c>
      <c r="V20" s="86">
        <v>0</v>
      </c>
      <c r="W20" s="86">
        <v>0</v>
      </c>
      <c r="X20" s="86">
        <v>0</v>
      </c>
      <c r="Y20" s="86">
        <v>0</v>
      </c>
      <c r="Z20" s="86">
        <v>0</v>
      </c>
      <c r="AA20" s="86">
        <v>0</v>
      </c>
      <c r="AB20" s="86">
        <v>0</v>
      </c>
      <c r="AC20" s="86">
        <v>0</v>
      </c>
      <c r="AD20" s="86">
        <v>0</v>
      </c>
      <c r="AE20" s="86">
        <v>0</v>
      </c>
      <c r="AF20" s="86">
        <v>0</v>
      </c>
      <c r="AG20" s="86">
        <v>0</v>
      </c>
      <c r="AH20" s="86">
        <v>0</v>
      </c>
      <c r="AI20" s="86">
        <v>-15.309516955125501</v>
      </c>
      <c r="AJ20" s="86">
        <v>0</v>
      </c>
      <c r="AK20" s="86">
        <v>23.659118900270901</v>
      </c>
      <c r="AL20" s="86">
        <v>0</v>
      </c>
      <c r="AM20" s="86">
        <v>177.209452751085</v>
      </c>
      <c r="AN20" s="86">
        <v>0</v>
      </c>
      <c r="AO20" s="86">
        <v>0</v>
      </c>
      <c r="AP20" s="86">
        <v>0</v>
      </c>
      <c r="AQ20" s="86">
        <v>0</v>
      </c>
      <c r="AR20" s="44">
        <v>4.5536608155500398</v>
      </c>
    </row>
    <row r="21" spans="2:44" ht="12" customHeight="1" x14ac:dyDescent="0.25">
      <c r="B21" s="43" t="s">
        <v>35</v>
      </c>
      <c r="C21" s="86" t="s">
        <v>56</v>
      </c>
      <c r="D21" s="86" t="s">
        <v>25</v>
      </c>
      <c r="E21" s="86" t="s">
        <v>25</v>
      </c>
      <c r="F21" s="86" t="s">
        <v>25</v>
      </c>
      <c r="G21" s="86" t="s">
        <v>25</v>
      </c>
      <c r="H21" s="86" t="s">
        <v>85</v>
      </c>
      <c r="I21" s="86" t="s">
        <v>25</v>
      </c>
      <c r="J21" s="86">
        <v>40.25</v>
      </c>
      <c r="K21" s="86">
        <v>0</v>
      </c>
      <c r="L21" s="86">
        <v>0</v>
      </c>
      <c r="M21" s="86">
        <v>0.16067079736892201</v>
      </c>
      <c r="N21" s="86">
        <v>0</v>
      </c>
      <c r="O21" s="86">
        <v>0</v>
      </c>
      <c r="P21" s="86">
        <v>0</v>
      </c>
      <c r="Q21" s="86">
        <v>0</v>
      </c>
      <c r="R21" s="86">
        <v>0</v>
      </c>
      <c r="S21" s="86">
        <v>0</v>
      </c>
      <c r="T21" s="86">
        <v>0</v>
      </c>
      <c r="U21" s="86">
        <v>0</v>
      </c>
      <c r="V21" s="86">
        <v>0</v>
      </c>
      <c r="W21" s="86">
        <v>0</v>
      </c>
      <c r="X21" s="86">
        <v>0</v>
      </c>
      <c r="Y21" s="86">
        <v>0</v>
      </c>
      <c r="Z21" s="86">
        <v>0</v>
      </c>
      <c r="AA21" s="86">
        <v>40.0848806330347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44">
        <v>0</v>
      </c>
    </row>
    <row r="22" spans="2:44" ht="12" customHeight="1" x14ac:dyDescent="0.25">
      <c r="B22" s="43" t="s">
        <v>35</v>
      </c>
      <c r="C22" s="86" t="s">
        <v>39</v>
      </c>
      <c r="D22" s="86" t="s">
        <v>25</v>
      </c>
      <c r="E22" s="86" t="s">
        <v>25</v>
      </c>
      <c r="F22" s="86" t="s">
        <v>89</v>
      </c>
      <c r="G22" s="86" t="s">
        <v>37</v>
      </c>
      <c r="H22" s="86" t="s">
        <v>82</v>
      </c>
      <c r="I22" s="86" t="s">
        <v>25</v>
      </c>
      <c r="J22" s="86">
        <v>2153.89</v>
      </c>
      <c r="K22" s="86">
        <v>0</v>
      </c>
      <c r="L22" s="86">
        <v>0</v>
      </c>
      <c r="M22" s="86">
        <v>1.33507220441561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44.4190066564246</v>
      </c>
      <c r="U22" s="86">
        <v>48.513401257775598</v>
      </c>
      <c r="V22" s="86">
        <v>12.03384327857</v>
      </c>
      <c r="W22" s="86">
        <v>0</v>
      </c>
      <c r="X22" s="86">
        <v>448.36780655705599</v>
      </c>
      <c r="Y22" s="86">
        <v>0</v>
      </c>
      <c r="Z22" s="86">
        <v>0</v>
      </c>
      <c r="AA22" s="86">
        <v>1591.3905326148999</v>
      </c>
      <c r="AB22" s="86">
        <v>0</v>
      </c>
      <c r="AC22" s="86">
        <v>0</v>
      </c>
      <c r="AD22" s="86">
        <v>7.6309695714689196</v>
      </c>
      <c r="AE22" s="86">
        <v>0.19609376972238199</v>
      </c>
      <c r="AF22" s="86">
        <v>0</v>
      </c>
      <c r="AG22" s="86">
        <v>0</v>
      </c>
      <c r="AH22" s="86">
        <v>0</v>
      </c>
      <c r="AI22" s="86">
        <v>0</v>
      </c>
      <c r="AJ22" s="86">
        <v>0</v>
      </c>
      <c r="AK22" s="86">
        <v>0</v>
      </c>
      <c r="AL22" s="86">
        <v>0</v>
      </c>
      <c r="AM22" s="86">
        <v>0</v>
      </c>
      <c r="AN22" s="86">
        <v>0</v>
      </c>
      <c r="AO22" s="86">
        <v>0</v>
      </c>
      <c r="AP22" s="86">
        <v>0</v>
      </c>
      <c r="AQ22" s="86">
        <v>0</v>
      </c>
      <c r="AR22" s="44">
        <v>0</v>
      </c>
    </row>
    <row r="23" spans="2:44" ht="12" customHeight="1" x14ac:dyDescent="0.25">
      <c r="B23" s="43" t="s">
        <v>35</v>
      </c>
      <c r="C23" s="86" t="s">
        <v>39</v>
      </c>
      <c r="D23" s="86" t="s">
        <v>25</v>
      </c>
      <c r="E23" s="86" t="s">
        <v>25</v>
      </c>
      <c r="F23" s="86" t="s">
        <v>89</v>
      </c>
      <c r="G23" s="86" t="s">
        <v>25</v>
      </c>
      <c r="H23" s="86" t="s">
        <v>85</v>
      </c>
      <c r="I23" s="86" t="s">
        <v>25</v>
      </c>
      <c r="J23" s="86">
        <v>53.49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  <c r="R23" s="86">
        <v>0</v>
      </c>
      <c r="S23" s="86">
        <v>0</v>
      </c>
      <c r="T23" s="86">
        <v>1.8703128396644</v>
      </c>
      <c r="U23" s="86">
        <v>1.80324765179642</v>
      </c>
      <c r="V23" s="86">
        <v>0.495924438680095</v>
      </c>
      <c r="W23" s="86">
        <v>0</v>
      </c>
      <c r="X23" s="86">
        <v>10.0204365525857</v>
      </c>
      <c r="Y23" s="86">
        <v>0</v>
      </c>
      <c r="Z23" s="86">
        <v>0</v>
      </c>
      <c r="AA23" s="86">
        <v>39.296302977473502</v>
      </c>
      <c r="AB23" s="86">
        <v>0</v>
      </c>
      <c r="AC23" s="86">
        <v>0</v>
      </c>
      <c r="AD23" s="86">
        <v>0</v>
      </c>
      <c r="AE23" s="86">
        <v>0</v>
      </c>
      <c r="AF23" s="86">
        <v>0</v>
      </c>
      <c r="AG23" s="86">
        <v>0</v>
      </c>
      <c r="AH23" s="86">
        <v>0</v>
      </c>
      <c r="AI23" s="86">
        <v>0</v>
      </c>
      <c r="AJ23" s="86">
        <v>0</v>
      </c>
      <c r="AK23" s="86">
        <v>0</v>
      </c>
      <c r="AL23" s="86">
        <v>0</v>
      </c>
      <c r="AM23" s="86">
        <v>0</v>
      </c>
      <c r="AN23" s="86">
        <v>0</v>
      </c>
      <c r="AO23" s="86">
        <v>0</v>
      </c>
      <c r="AP23" s="86">
        <v>0</v>
      </c>
      <c r="AQ23" s="86">
        <v>0</v>
      </c>
      <c r="AR23" s="44">
        <v>0</v>
      </c>
    </row>
    <row r="24" spans="2:44" ht="12" customHeight="1" x14ac:dyDescent="0.25">
      <c r="B24" s="43" t="s">
        <v>35</v>
      </c>
      <c r="C24" s="86" t="s">
        <v>39</v>
      </c>
      <c r="D24" s="86" t="s">
        <v>25</v>
      </c>
      <c r="E24" s="86" t="s">
        <v>25</v>
      </c>
      <c r="F24" s="86" t="s">
        <v>89</v>
      </c>
      <c r="G24" s="86" t="s">
        <v>38</v>
      </c>
      <c r="H24" s="86" t="s">
        <v>82</v>
      </c>
      <c r="I24" s="86" t="s">
        <v>25</v>
      </c>
      <c r="J24" s="86">
        <v>9.16</v>
      </c>
      <c r="K24" s="86">
        <v>0</v>
      </c>
      <c r="L24" s="86">
        <v>0</v>
      </c>
      <c r="M24" s="86">
        <v>1.33507220441561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0</v>
      </c>
      <c r="AD24" s="86">
        <v>7.6309695714689196</v>
      </c>
      <c r="AE24" s="86">
        <v>0.19609376972238199</v>
      </c>
      <c r="AF24" s="86">
        <v>0</v>
      </c>
      <c r="AG24" s="86">
        <v>0</v>
      </c>
      <c r="AH24" s="86">
        <v>0</v>
      </c>
      <c r="AI24" s="86">
        <v>0</v>
      </c>
      <c r="AJ24" s="86">
        <v>0</v>
      </c>
      <c r="AK24" s="86">
        <v>0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44">
        <v>0</v>
      </c>
    </row>
    <row r="25" spans="2:44" ht="12" customHeight="1" x14ac:dyDescent="0.25">
      <c r="B25" s="43" t="s">
        <v>35</v>
      </c>
      <c r="C25" s="86" t="s">
        <v>39</v>
      </c>
      <c r="D25" s="86" t="s">
        <v>25</v>
      </c>
      <c r="E25" s="86" t="s">
        <v>25</v>
      </c>
      <c r="F25" s="86" t="s">
        <v>25</v>
      </c>
      <c r="G25" s="86" t="s">
        <v>37</v>
      </c>
      <c r="H25" s="86" t="s">
        <v>82</v>
      </c>
      <c r="I25" s="86" t="s">
        <v>25</v>
      </c>
      <c r="J25" s="86">
        <v>2243.64</v>
      </c>
      <c r="K25" s="86">
        <v>190.11</v>
      </c>
      <c r="L25" s="86">
        <v>0</v>
      </c>
      <c r="M25" s="86">
        <v>1.33507220441561</v>
      </c>
      <c r="N25" s="86">
        <v>0</v>
      </c>
      <c r="O25" s="86">
        <v>0</v>
      </c>
      <c r="P25" s="86">
        <v>0</v>
      </c>
      <c r="Q25" s="86">
        <v>75.539474059051699</v>
      </c>
      <c r="R25" s="86">
        <v>14.212577937026801</v>
      </c>
      <c r="S25" s="86">
        <v>0</v>
      </c>
      <c r="T25" s="86">
        <v>44.4190066564246</v>
      </c>
      <c r="U25" s="86">
        <v>48.513401257775598</v>
      </c>
      <c r="V25" s="86">
        <v>12.03384327857</v>
      </c>
      <c r="W25" s="86">
        <v>0</v>
      </c>
      <c r="X25" s="86">
        <v>448.36780655705599</v>
      </c>
      <c r="Y25" s="86">
        <v>0</v>
      </c>
      <c r="Z25" s="86">
        <v>0</v>
      </c>
      <c r="AA25" s="86">
        <v>1591.3905326148999</v>
      </c>
      <c r="AB25" s="86">
        <v>0</v>
      </c>
      <c r="AC25" s="86">
        <v>0</v>
      </c>
      <c r="AD25" s="86">
        <v>7.6309695714689196</v>
      </c>
      <c r="AE25" s="86">
        <v>0.19609376972238199</v>
      </c>
      <c r="AF25" s="86">
        <v>0</v>
      </c>
      <c r="AG25" s="86">
        <v>0</v>
      </c>
      <c r="AH25" s="86">
        <v>0</v>
      </c>
      <c r="AI25" s="86">
        <v>-15.309516955125501</v>
      </c>
      <c r="AJ25" s="86">
        <v>0</v>
      </c>
      <c r="AK25" s="86">
        <v>23.659118900270901</v>
      </c>
      <c r="AL25" s="86">
        <v>0</v>
      </c>
      <c r="AM25" s="86">
        <v>177.209452751085</v>
      </c>
      <c r="AN25" s="86">
        <v>0</v>
      </c>
      <c r="AO25" s="86">
        <v>0</v>
      </c>
      <c r="AP25" s="86">
        <v>0</v>
      </c>
      <c r="AQ25" s="86">
        <v>0</v>
      </c>
      <c r="AR25" s="44">
        <v>4.5536608155500398</v>
      </c>
    </row>
    <row r="26" spans="2:44" ht="12" customHeight="1" x14ac:dyDescent="0.25">
      <c r="B26" s="43" t="s">
        <v>35</v>
      </c>
      <c r="C26" s="86" t="s">
        <v>39</v>
      </c>
      <c r="D26" s="86" t="s">
        <v>25</v>
      </c>
      <c r="E26" s="86" t="s">
        <v>25</v>
      </c>
      <c r="F26" s="86" t="s">
        <v>25</v>
      </c>
      <c r="G26" s="86" t="s">
        <v>25</v>
      </c>
      <c r="H26" s="86" t="s">
        <v>85</v>
      </c>
      <c r="I26" s="86" t="s">
        <v>25</v>
      </c>
      <c r="J26" s="86">
        <v>53.49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0</v>
      </c>
      <c r="R26" s="86">
        <v>0</v>
      </c>
      <c r="S26" s="86">
        <v>0</v>
      </c>
      <c r="T26" s="86">
        <v>1.8703128396644</v>
      </c>
      <c r="U26" s="86">
        <v>1.80324765179642</v>
      </c>
      <c r="V26" s="86">
        <v>0.495924438680095</v>
      </c>
      <c r="W26" s="86">
        <v>0</v>
      </c>
      <c r="X26" s="86">
        <v>10.0204365525857</v>
      </c>
      <c r="Y26" s="86">
        <v>0</v>
      </c>
      <c r="Z26" s="86">
        <v>0</v>
      </c>
      <c r="AA26" s="86">
        <v>39.296302977473502</v>
      </c>
      <c r="AB26" s="86">
        <v>0</v>
      </c>
      <c r="AC26" s="86">
        <v>0</v>
      </c>
      <c r="AD26" s="86">
        <v>0</v>
      </c>
      <c r="AE26" s="86">
        <v>0</v>
      </c>
      <c r="AF26" s="86">
        <v>0</v>
      </c>
      <c r="AG26" s="86">
        <v>0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44">
        <v>0</v>
      </c>
    </row>
    <row r="27" spans="2:44" ht="12" customHeight="1" x14ac:dyDescent="0.25">
      <c r="B27" s="43" t="s">
        <v>35</v>
      </c>
      <c r="C27" s="86" t="s">
        <v>39</v>
      </c>
      <c r="D27" s="86" t="s">
        <v>25</v>
      </c>
      <c r="E27" s="86" t="s">
        <v>25</v>
      </c>
      <c r="F27" s="86" t="s">
        <v>25</v>
      </c>
      <c r="G27" s="86" t="s">
        <v>38</v>
      </c>
      <c r="H27" s="86" t="s">
        <v>82</v>
      </c>
      <c r="I27" s="86" t="s">
        <v>25</v>
      </c>
      <c r="J27" s="86">
        <v>98.91</v>
      </c>
      <c r="K27" s="86">
        <v>190.11</v>
      </c>
      <c r="L27" s="86">
        <v>0</v>
      </c>
      <c r="M27" s="86">
        <v>1.33507220441561</v>
      </c>
      <c r="N27" s="86">
        <v>0</v>
      </c>
      <c r="O27" s="86">
        <v>0</v>
      </c>
      <c r="P27" s="86">
        <v>0</v>
      </c>
      <c r="Q27" s="86">
        <v>75.539474059051699</v>
      </c>
      <c r="R27" s="86">
        <v>14.212577937026801</v>
      </c>
      <c r="S27" s="86">
        <v>0</v>
      </c>
      <c r="T27" s="86">
        <v>0</v>
      </c>
      <c r="U27" s="86">
        <v>0</v>
      </c>
      <c r="V27" s="86">
        <v>0</v>
      </c>
      <c r="W27" s="86">
        <v>0</v>
      </c>
      <c r="X27" s="86">
        <v>0</v>
      </c>
      <c r="Y27" s="86">
        <v>0</v>
      </c>
      <c r="Z27" s="86">
        <v>0</v>
      </c>
      <c r="AA27" s="86">
        <v>0</v>
      </c>
      <c r="AB27" s="86">
        <v>0</v>
      </c>
      <c r="AC27" s="86">
        <v>0</v>
      </c>
      <c r="AD27" s="86">
        <v>7.6309695714689196</v>
      </c>
      <c r="AE27" s="86">
        <v>0.19609376972238199</v>
      </c>
      <c r="AF27" s="86">
        <v>0</v>
      </c>
      <c r="AG27" s="86">
        <v>0</v>
      </c>
      <c r="AH27" s="86">
        <v>0</v>
      </c>
      <c r="AI27" s="86">
        <v>-15.309516955125501</v>
      </c>
      <c r="AJ27" s="86">
        <v>0</v>
      </c>
      <c r="AK27" s="86">
        <v>23.659118900270901</v>
      </c>
      <c r="AL27" s="86">
        <v>0</v>
      </c>
      <c r="AM27" s="86">
        <v>177.209452751085</v>
      </c>
      <c r="AN27" s="86">
        <v>0</v>
      </c>
      <c r="AO27" s="86">
        <v>0</v>
      </c>
      <c r="AP27" s="86">
        <v>0</v>
      </c>
      <c r="AQ27" s="86">
        <v>0</v>
      </c>
      <c r="AR27" s="44">
        <v>4.5536608155500398</v>
      </c>
    </row>
    <row r="28" spans="2:44" ht="12" customHeight="1" x14ac:dyDescent="0.25">
      <c r="B28" s="43" t="s">
        <v>91</v>
      </c>
      <c r="C28" s="86" t="s">
        <v>56</v>
      </c>
      <c r="D28" s="86" t="s">
        <v>25</v>
      </c>
      <c r="E28" s="86" t="s">
        <v>25</v>
      </c>
      <c r="F28" s="86" t="s">
        <v>92</v>
      </c>
      <c r="G28" s="86" t="s">
        <v>25</v>
      </c>
      <c r="H28" s="86" t="s">
        <v>85</v>
      </c>
      <c r="I28" s="86" t="s">
        <v>25</v>
      </c>
      <c r="J28" s="86">
        <v>4.0199999999999996</v>
      </c>
      <c r="K28" s="86">
        <v>0</v>
      </c>
      <c r="L28" s="86">
        <v>0</v>
      </c>
      <c r="M28" s="86">
        <v>1.6067079736892202E-2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0</v>
      </c>
      <c r="U28" s="86">
        <v>0</v>
      </c>
      <c r="V28" s="86">
        <v>0</v>
      </c>
      <c r="W28" s="86">
        <v>0</v>
      </c>
      <c r="X28" s="86">
        <v>0</v>
      </c>
      <c r="Y28" s="86">
        <v>0</v>
      </c>
      <c r="Z28" s="86">
        <v>0</v>
      </c>
      <c r="AA28" s="86">
        <v>4.0086921817647898</v>
      </c>
      <c r="AB28" s="86">
        <v>0</v>
      </c>
      <c r="AC28" s="86">
        <v>0</v>
      </c>
      <c r="AD28" s="86">
        <v>0</v>
      </c>
      <c r="AE28" s="86">
        <v>0</v>
      </c>
      <c r="AF28" s="86">
        <v>0</v>
      </c>
      <c r="AG28" s="86">
        <v>0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44">
        <v>0</v>
      </c>
    </row>
    <row r="29" spans="2:44" ht="12" customHeight="1" x14ac:dyDescent="0.25">
      <c r="B29" s="43" t="s">
        <v>91</v>
      </c>
      <c r="C29" s="86" t="s">
        <v>56</v>
      </c>
      <c r="D29" s="86" t="s">
        <v>25</v>
      </c>
      <c r="E29" s="86" t="s">
        <v>25</v>
      </c>
      <c r="F29" s="86" t="s">
        <v>93</v>
      </c>
      <c r="G29" s="86" t="s">
        <v>25</v>
      </c>
      <c r="H29" s="86" t="s">
        <v>85</v>
      </c>
      <c r="I29" s="86" t="s">
        <v>25</v>
      </c>
      <c r="J29" s="86">
        <v>15.87</v>
      </c>
      <c r="K29" s="86">
        <v>0</v>
      </c>
      <c r="L29" s="86">
        <v>0</v>
      </c>
      <c r="M29" s="86">
        <v>1.6067079736892202E-2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15.8501873184667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44">
        <v>0</v>
      </c>
    </row>
    <row r="30" spans="2:44" ht="12" customHeight="1" x14ac:dyDescent="0.25">
      <c r="B30" s="43" t="s">
        <v>22</v>
      </c>
      <c r="C30" s="86" t="s">
        <v>95</v>
      </c>
      <c r="D30" s="86" t="s">
        <v>24</v>
      </c>
      <c r="E30" s="86" t="s">
        <v>24</v>
      </c>
      <c r="F30" s="86" t="s">
        <v>25</v>
      </c>
      <c r="G30" s="86" t="s">
        <v>37</v>
      </c>
      <c r="H30" s="86" t="s">
        <v>82</v>
      </c>
      <c r="I30" s="86" t="s">
        <v>25</v>
      </c>
      <c r="J30" s="86">
        <v>769.05</v>
      </c>
      <c r="K30" s="86">
        <v>190.11</v>
      </c>
      <c r="L30" s="86">
        <v>0</v>
      </c>
      <c r="M30" s="86">
        <v>0.88097247687369995</v>
      </c>
      <c r="N30" s="86">
        <v>0</v>
      </c>
      <c r="O30" s="86">
        <v>0</v>
      </c>
      <c r="P30" s="86">
        <v>0</v>
      </c>
      <c r="Q30" s="86">
        <v>89.927945308394897</v>
      </c>
      <c r="R30" s="86">
        <v>14.212577937026801</v>
      </c>
      <c r="S30" s="86">
        <v>0</v>
      </c>
      <c r="T30" s="86">
        <v>23.348969662617101</v>
      </c>
      <c r="U30" s="86">
        <v>24.2118675755056</v>
      </c>
      <c r="V30" s="86">
        <v>6.26644500586118</v>
      </c>
      <c r="W30" s="86">
        <v>0</v>
      </c>
      <c r="X30" s="86">
        <v>173.96748137098101</v>
      </c>
      <c r="Y30" s="86">
        <v>0</v>
      </c>
      <c r="Z30" s="86">
        <v>0</v>
      </c>
      <c r="AA30" s="86">
        <v>418.54130856111601</v>
      </c>
      <c r="AB30" s="86">
        <v>0</v>
      </c>
      <c r="AC30" s="86">
        <v>0</v>
      </c>
      <c r="AD30" s="86">
        <v>17.244523675929699</v>
      </c>
      <c r="AE30" s="86">
        <v>0.44320301471941798</v>
      </c>
      <c r="AF30" s="86">
        <v>0</v>
      </c>
      <c r="AG30" s="86">
        <v>0</v>
      </c>
      <c r="AH30" s="86">
        <v>0</v>
      </c>
      <c r="AI30" s="86">
        <v>-15.309516955125501</v>
      </c>
      <c r="AJ30" s="86">
        <v>0</v>
      </c>
      <c r="AK30" s="86">
        <v>23.659118900270901</v>
      </c>
      <c r="AL30" s="86">
        <v>0</v>
      </c>
      <c r="AM30" s="86">
        <v>177.209452751085</v>
      </c>
      <c r="AN30" s="86">
        <v>0</v>
      </c>
      <c r="AO30" s="86">
        <v>0</v>
      </c>
      <c r="AP30" s="86">
        <v>0</v>
      </c>
      <c r="AQ30" s="86">
        <v>0</v>
      </c>
      <c r="AR30" s="44">
        <v>4.5536608155500398</v>
      </c>
    </row>
    <row r="31" spans="2:44" ht="12" customHeight="1" x14ac:dyDescent="0.25">
      <c r="B31" s="43" t="s">
        <v>22</v>
      </c>
      <c r="C31" s="86" t="s">
        <v>95</v>
      </c>
      <c r="D31" s="86" t="s">
        <v>24</v>
      </c>
      <c r="E31" s="86" t="s">
        <v>24</v>
      </c>
      <c r="F31" s="86" t="s">
        <v>25</v>
      </c>
      <c r="G31" s="86" t="s">
        <v>585</v>
      </c>
      <c r="H31" s="86" t="s">
        <v>82</v>
      </c>
      <c r="I31" s="86" t="s">
        <v>25</v>
      </c>
      <c r="J31" s="86">
        <v>736.73</v>
      </c>
      <c r="K31" s="86">
        <v>190.11</v>
      </c>
      <c r="L31" s="86">
        <v>0</v>
      </c>
      <c r="M31" s="86">
        <v>0.88097247687369995</v>
      </c>
      <c r="N31" s="86">
        <v>0</v>
      </c>
      <c r="O31" s="86">
        <v>0</v>
      </c>
      <c r="P31" s="86">
        <v>0</v>
      </c>
      <c r="Q31" s="86">
        <v>89.927945308394897</v>
      </c>
      <c r="R31" s="86">
        <v>14.212577937026801</v>
      </c>
      <c r="S31" s="86">
        <v>0</v>
      </c>
      <c r="T31" s="86">
        <v>22.181540964177799</v>
      </c>
      <c r="U31" s="86">
        <v>23.001291019639702</v>
      </c>
      <c r="V31" s="86">
        <v>5.9536951762213697</v>
      </c>
      <c r="W31" s="86">
        <v>0</v>
      </c>
      <c r="X31" s="86">
        <v>165.269168097332</v>
      </c>
      <c r="Y31" s="86">
        <v>0</v>
      </c>
      <c r="Z31" s="86">
        <v>0</v>
      </c>
      <c r="AA31" s="86">
        <v>397.61420911331697</v>
      </c>
      <c r="AB31" s="86">
        <v>0</v>
      </c>
      <c r="AC31" s="86">
        <v>0</v>
      </c>
      <c r="AD31" s="86">
        <v>17.244523675929699</v>
      </c>
      <c r="AE31" s="86">
        <v>0.44320301471941798</v>
      </c>
      <c r="AF31" s="86">
        <v>0</v>
      </c>
      <c r="AG31" s="86">
        <v>0</v>
      </c>
      <c r="AH31" s="86">
        <v>0</v>
      </c>
      <c r="AI31" s="86">
        <v>-15.309516955125501</v>
      </c>
      <c r="AJ31" s="86">
        <v>0</v>
      </c>
      <c r="AK31" s="86">
        <v>23.659118900270901</v>
      </c>
      <c r="AL31" s="86">
        <v>0</v>
      </c>
      <c r="AM31" s="86">
        <v>177.209452751085</v>
      </c>
      <c r="AN31" s="86">
        <v>0</v>
      </c>
      <c r="AO31" s="86">
        <v>0</v>
      </c>
      <c r="AP31" s="86">
        <v>0</v>
      </c>
      <c r="AQ31" s="86">
        <v>0</v>
      </c>
      <c r="AR31" s="44">
        <v>4.5536608155500398</v>
      </c>
    </row>
    <row r="32" spans="2:44" ht="12" customHeight="1" x14ac:dyDescent="0.25">
      <c r="B32" s="43" t="s">
        <v>22</v>
      </c>
      <c r="C32" s="86" t="s">
        <v>95</v>
      </c>
      <c r="D32" s="86" t="s">
        <v>24</v>
      </c>
      <c r="E32" s="86" t="s">
        <v>24</v>
      </c>
      <c r="F32" s="86" t="s">
        <v>25</v>
      </c>
      <c r="G32" s="86" t="s">
        <v>38</v>
      </c>
      <c r="H32" s="86" t="s">
        <v>82</v>
      </c>
      <c r="I32" s="86" t="s">
        <v>25</v>
      </c>
      <c r="J32" s="86">
        <v>338.15</v>
      </c>
      <c r="K32" s="86">
        <v>190.11</v>
      </c>
      <c r="L32" s="86">
        <v>0</v>
      </c>
      <c r="M32" s="86">
        <v>0.88097247687369995</v>
      </c>
      <c r="N32" s="86">
        <v>0</v>
      </c>
      <c r="O32" s="86">
        <v>0</v>
      </c>
      <c r="P32" s="86">
        <v>0</v>
      </c>
      <c r="Q32" s="86">
        <v>89.927945308394897</v>
      </c>
      <c r="R32" s="86">
        <v>14.212577937026801</v>
      </c>
      <c r="S32" s="86">
        <v>0</v>
      </c>
      <c r="T32" s="86">
        <v>7.7829019555766701</v>
      </c>
      <c r="U32" s="86">
        <v>8.07062252516854</v>
      </c>
      <c r="V32" s="86">
        <v>2.0888150019537299</v>
      </c>
      <c r="W32" s="86">
        <v>0</v>
      </c>
      <c r="X32" s="86">
        <v>57.989049920811098</v>
      </c>
      <c r="Y32" s="86">
        <v>0</v>
      </c>
      <c r="Z32" s="86">
        <v>0</v>
      </c>
      <c r="AA32" s="86">
        <v>139.513801920128</v>
      </c>
      <c r="AB32" s="86">
        <v>0</v>
      </c>
      <c r="AC32" s="86">
        <v>0</v>
      </c>
      <c r="AD32" s="86">
        <v>17.244523675929699</v>
      </c>
      <c r="AE32" s="86">
        <v>0.44320301471941798</v>
      </c>
      <c r="AF32" s="86">
        <v>0</v>
      </c>
      <c r="AG32" s="86">
        <v>0</v>
      </c>
      <c r="AH32" s="86">
        <v>0</v>
      </c>
      <c r="AI32" s="86">
        <v>-15.309516955125501</v>
      </c>
      <c r="AJ32" s="86">
        <v>0</v>
      </c>
      <c r="AK32" s="86">
        <v>23.659118900270901</v>
      </c>
      <c r="AL32" s="86">
        <v>0</v>
      </c>
      <c r="AM32" s="86">
        <v>177.209452751085</v>
      </c>
      <c r="AN32" s="86">
        <v>0</v>
      </c>
      <c r="AO32" s="86">
        <v>0</v>
      </c>
      <c r="AP32" s="86">
        <v>0</v>
      </c>
      <c r="AQ32" s="86">
        <v>0</v>
      </c>
      <c r="AR32" s="44">
        <v>4.5536608155500398</v>
      </c>
    </row>
    <row r="33" spans="2:44" ht="12" customHeight="1" x14ac:dyDescent="0.25">
      <c r="B33" s="43" t="s">
        <v>22</v>
      </c>
      <c r="C33" s="86" t="s">
        <v>23</v>
      </c>
      <c r="D33" s="86" t="s">
        <v>24</v>
      </c>
      <c r="E33" s="86" t="s">
        <v>1133</v>
      </c>
      <c r="F33" s="86" t="s">
        <v>25</v>
      </c>
      <c r="G33" s="86" t="s">
        <v>25</v>
      </c>
      <c r="H33" s="86" t="s">
        <v>82</v>
      </c>
      <c r="I33" s="86" t="s">
        <v>25</v>
      </c>
      <c r="J33" s="86">
        <v>302.05</v>
      </c>
      <c r="K33" s="86">
        <v>190.11</v>
      </c>
      <c r="L33" s="86">
        <v>0</v>
      </c>
      <c r="M33" s="86">
        <v>0.88097247687369995</v>
      </c>
      <c r="N33" s="86">
        <v>0</v>
      </c>
      <c r="O33" s="86">
        <v>0</v>
      </c>
      <c r="P33" s="86">
        <v>0</v>
      </c>
      <c r="Q33" s="86">
        <v>0</v>
      </c>
      <c r="R33" s="86">
        <v>0</v>
      </c>
      <c r="S33" s="86">
        <v>0</v>
      </c>
      <c r="T33" s="86">
        <v>10.240820133795699</v>
      </c>
      <c r="U33" s="86">
        <v>10.619293289672299</v>
      </c>
      <c r="V33" s="86">
        <v>2.7486599004283998</v>
      </c>
      <c r="W33" s="86">
        <v>0</v>
      </c>
      <c r="X33" s="86">
        <v>76.301468740158697</v>
      </c>
      <c r="Y33" s="86">
        <v>0</v>
      </c>
      <c r="Z33" s="86">
        <v>0</v>
      </c>
      <c r="AA33" s="86">
        <v>183.57073061115699</v>
      </c>
      <c r="AB33" s="86">
        <v>0</v>
      </c>
      <c r="AC33" s="86">
        <v>0</v>
      </c>
      <c r="AD33" s="86">
        <v>17.244523675929699</v>
      </c>
      <c r="AE33" s="86">
        <v>0.44320301471941798</v>
      </c>
      <c r="AF33" s="86">
        <v>0</v>
      </c>
      <c r="AG33" s="86">
        <v>0</v>
      </c>
      <c r="AH33" s="86">
        <v>0</v>
      </c>
      <c r="AI33" s="86">
        <v>-15.309516955125501</v>
      </c>
      <c r="AJ33" s="86">
        <v>0</v>
      </c>
      <c r="AK33" s="86">
        <v>23.659118900270901</v>
      </c>
      <c r="AL33" s="86">
        <v>0</v>
      </c>
      <c r="AM33" s="86">
        <v>177.209452751085</v>
      </c>
      <c r="AN33" s="86">
        <v>0</v>
      </c>
      <c r="AO33" s="86">
        <v>0</v>
      </c>
      <c r="AP33" s="86">
        <v>0</v>
      </c>
      <c r="AQ33" s="86">
        <v>0</v>
      </c>
      <c r="AR33" s="44">
        <v>4.5536608155500398</v>
      </c>
    </row>
    <row r="34" spans="2:44" ht="12" customHeight="1" x14ac:dyDescent="0.25">
      <c r="B34" s="43" t="s">
        <v>22</v>
      </c>
      <c r="C34" s="86" t="s">
        <v>23</v>
      </c>
      <c r="D34" s="86" t="s">
        <v>24</v>
      </c>
      <c r="E34" s="86" t="s">
        <v>24</v>
      </c>
      <c r="F34" s="86" t="s">
        <v>25</v>
      </c>
      <c r="G34" s="86" t="s">
        <v>25</v>
      </c>
      <c r="H34" s="86" t="s">
        <v>82</v>
      </c>
      <c r="I34" s="86" t="s">
        <v>25</v>
      </c>
      <c r="J34" s="86">
        <v>406.19</v>
      </c>
      <c r="K34" s="86">
        <v>190.11</v>
      </c>
      <c r="L34" s="86">
        <v>0</v>
      </c>
      <c r="M34" s="86">
        <v>0.88097247687369995</v>
      </c>
      <c r="N34" s="86">
        <v>0</v>
      </c>
      <c r="O34" s="86">
        <v>0</v>
      </c>
      <c r="P34" s="86">
        <v>0</v>
      </c>
      <c r="Q34" s="86">
        <v>89.927945308394897</v>
      </c>
      <c r="R34" s="86">
        <v>14.212577937026801</v>
      </c>
      <c r="S34" s="86">
        <v>0</v>
      </c>
      <c r="T34" s="86">
        <v>10.240820133795699</v>
      </c>
      <c r="U34" s="86">
        <v>10.619293289672299</v>
      </c>
      <c r="V34" s="86">
        <v>2.7486599004283998</v>
      </c>
      <c r="W34" s="86">
        <v>0</v>
      </c>
      <c r="X34" s="86">
        <v>76.301468740158697</v>
      </c>
      <c r="Y34" s="86">
        <v>0</v>
      </c>
      <c r="Z34" s="86">
        <v>0</v>
      </c>
      <c r="AA34" s="86">
        <v>183.57073061115699</v>
      </c>
      <c r="AB34" s="86">
        <v>0</v>
      </c>
      <c r="AC34" s="86">
        <v>0</v>
      </c>
      <c r="AD34" s="86">
        <v>17.244523675929699</v>
      </c>
      <c r="AE34" s="86">
        <v>0.44320301471941798</v>
      </c>
      <c r="AF34" s="86">
        <v>0</v>
      </c>
      <c r="AG34" s="86">
        <v>0</v>
      </c>
      <c r="AH34" s="86">
        <v>0</v>
      </c>
      <c r="AI34" s="86">
        <v>-15.309516955125501</v>
      </c>
      <c r="AJ34" s="86">
        <v>0</v>
      </c>
      <c r="AK34" s="86">
        <v>23.659118900270901</v>
      </c>
      <c r="AL34" s="86">
        <v>0</v>
      </c>
      <c r="AM34" s="86">
        <v>177.209452751085</v>
      </c>
      <c r="AN34" s="86">
        <v>0</v>
      </c>
      <c r="AO34" s="86">
        <v>0</v>
      </c>
      <c r="AP34" s="86">
        <v>0</v>
      </c>
      <c r="AQ34" s="86">
        <v>0</v>
      </c>
      <c r="AR34" s="44">
        <v>4.5536608155500398</v>
      </c>
    </row>
    <row r="35" spans="2:44" ht="12" customHeight="1" x14ac:dyDescent="0.25">
      <c r="B35" s="43" t="s">
        <v>22</v>
      </c>
      <c r="C35" s="86" t="s">
        <v>97</v>
      </c>
      <c r="D35" s="86" t="s">
        <v>24</v>
      </c>
      <c r="E35" s="86" t="s">
        <v>1133</v>
      </c>
      <c r="F35" s="86" t="s">
        <v>25</v>
      </c>
      <c r="G35" s="86" t="s">
        <v>25</v>
      </c>
      <c r="H35" s="86" t="s">
        <v>82</v>
      </c>
      <c r="I35" s="86" t="s">
        <v>25</v>
      </c>
      <c r="J35" s="86">
        <v>302.05</v>
      </c>
      <c r="K35" s="86">
        <v>190.11</v>
      </c>
      <c r="L35" s="86">
        <v>0</v>
      </c>
      <c r="M35" s="86">
        <v>0.88097247687369995</v>
      </c>
      <c r="N35" s="86">
        <v>0</v>
      </c>
      <c r="O35" s="86">
        <v>0</v>
      </c>
      <c r="P35" s="86">
        <v>0</v>
      </c>
      <c r="Q35" s="86">
        <v>0</v>
      </c>
      <c r="R35" s="86">
        <v>0</v>
      </c>
      <c r="S35" s="86">
        <v>0</v>
      </c>
      <c r="T35" s="86">
        <v>10.240820133795699</v>
      </c>
      <c r="U35" s="86">
        <v>10.619293289672299</v>
      </c>
      <c r="V35" s="86">
        <v>2.7486599004283998</v>
      </c>
      <c r="W35" s="86">
        <v>0</v>
      </c>
      <c r="X35" s="86">
        <v>76.301468740158697</v>
      </c>
      <c r="Y35" s="86">
        <v>0</v>
      </c>
      <c r="Z35" s="86">
        <v>0</v>
      </c>
      <c r="AA35" s="86">
        <v>183.57073061115699</v>
      </c>
      <c r="AB35" s="86">
        <v>0</v>
      </c>
      <c r="AC35" s="86">
        <v>0</v>
      </c>
      <c r="AD35" s="86">
        <v>17.244523675929699</v>
      </c>
      <c r="AE35" s="86">
        <v>0.44320301471941798</v>
      </c>
      <c r="AF35" s="86">
        <v>0</v>
      </c>
      <c r="AG35" s="86">
        <v>0</v>
      </c>
      <c r="AH35" s="86">
        <v>0</v>
      </c>
      <c r="AI35" s="86">
        <v>-15.309516955125501</v>
      </c>
      <c r="AJ35" s="86">
        <v>0</v>
      </c>
      <c r="AK35" s="86">
        <v>23.659118900270901</v>
      </c>
      <c r="AL35" s="86">
        <v>0</v>
      </c>
      <c r="AM35" s="86">
        <v>177.209452751085</v>
      </c>
      <c r="AN35" s="86">
        <v>0</v>
      </c>
      <c r="AO35" s="86">
        <v>0</v>
      </c>
      <c r="AP35" s="86">
        <v>0</v>
      </c>
      <c r="AQ35" s="86">
        <v>0</v>
      </c>
      <c r="AR35" s="44">
        <v>4.5536608155500398</v>
      </c>
    </row>
    <row r="36" spans="2:44" ht="12" customHeight="1" x14ac:dyDescent="0.25">
      <c r="B36" s="43" t="s">
        <v>22</v>
      </c>
      <c r="C36" s="86" t="s">
        <v>97</v>
      </c>
      <c r="D36" s="86" t="s">
        <v>24</v>
      </c>
      <c r="E36" s="86" t="s">
        <v>24</v>
      </c>
      <c r="F36" s="86" t="s">
        <v>25</v>
      </c>
      <c r="G36" s="86" t="s">
        <v>25</v>
      </c>
      <c r="H36" s="86" t="s">
        <v>82</v>
      </c>
      <c r="I36" s="86" t="s">
        <v>25</v>
      </c>
      <c r="J36" s="86">
        <v>406.19</v>
      </c>
      <c r="K36" s="86">
        <v>190.11</v>
      </c>
      <c r="L36" s="86">
        <v>0</v>
      </c>
      <c r="M36" s="86">
        <v>0.88097247687369995</v>
      </c>
      <c r="N36" s="86">
        <v>0</v>
      </c>
      <c r="O36" s="86">
        <v>0</v>
      </c>
      <c r="P36" s="86">
        <v>0</v>
      </c>
      <c r="Q36" s="86">
        <v>89.927945308394897</v>
      </c>
      <c r="R36" s="86">
        <v>14.212577937026801</v>
      </c>
      <c r="S36" s="86">
        <v>0</v>
      </c>
      <c r="T36" s="86">
        <v>10.240820133795699</v>
      </c>
      <c r="U36" s="86">
        <v>10.619293289672299</v>
      </c>
      <c r="V36" s="86">
        <v>2.7486599004283998</v>
      </c>
      <c r="W36" s="86">
        <v>0</v>
      </c>
      <c r="X36" s="86">
        <v>76.301468740158697</v>
      </c>
      <c r="Y36" s="86">
        <v>0</v>
      </c>
      <c r="Z36" s="86">
        <v>0</v>
      </c>
      <c r="AA36" s="86">
        <v>183.57073061115699</v>
      </c>
      <c r="AB36" s="86">
        <v>0</v>
      </c>
      <c r="AC36" s="86">
        <v>0</v>
      </c>
      <c r="AD36" s="86">
        <v>17.244523675929699</v>
      </c>
      <c r="AE36" s="86">
        <v>0.44320301471941798</v>
      </c>
      <c r="AF36" s="86">
        <v>0</v>
      </c>
      <c r="AG36" s="86">
        <v>0</v>
      </c>
      <c r="AH36" s="86">
        <v>0</v>
      </c>
      <c r="AI36" s="86">
        <v>-15.309516955125501</v>
      </c>
      <c r="AJ36" s="86">
        <v>0</v>
      </c>
      <c r="AK36" s="86">
        <v>23.659118900270901</v>
      </c>
      <c r="AL36" s="86">
        <v>0</v>
      </c>
      <c r="AM36" s="86">
        <v>177.209452751085</v>
      </c>
      <c r="AN36" s="86">
        <v>0</v>
      </c>
      <c r="AO36" s="86">
        <v>0</v>
      </c>
      <c r="AP36" s="86">
        <v>0</v>
      </c>
      <c r="AQ36" s="86">
        <v>0</v>
      </c>
      <c r="AR36" s="44">
        <v>4.5536608155500398</v>
      </c>
    </row>
    <row r="37" spans="2:44" ht="12" customHeight="1" x14ac:dyDescent="0.25">
      <c r="B37" s="43" t="s">
        <v>41</v>
      </c>
      <c r="C37" s="86" t="s">
        <v>95</v>
      </c>
      <c r="D37" s="86" t="s">
        <v>42</v>
      </c>
      <c r="E37" s="86" t="s">
        <v>98</v>
      </c>
      <c r="F37" s="86" t="s">
        <v>25</v>
      </c>
      <c r="G37" s="86" t="s">
        <v>37</v>
      </c>
      <c r="H37" s="86" t="s">
        <v>82</v>
      </c>
      <c r="I37" s="86" t="s">
        <v>25</v>
      </c>
      <c r="J37" s="86">
        <v>735.05</v>
      </c>
      <c r="K37" s="86">
        <v>178.71</v>
      </c>
      <c r="L37" s="86">
        <v>0</v>
      </c>
      <c r="M37" s="86">
        <v>0.82811412826127795</v>
      </c>
      <c r="N37" s="86">
        <v>0</v>
      </c>
      <c r="O37" s="86">
        <v>0</v>
      </c>
      <c r="P37" s="86">
        <v>0</v>
      </c>
      <c r="Q37" s="86">
        <v>84.532268589891203</v>
      </c>
      <c r="R37" s="86">
        <v>13.3598232608052</v>
      </c>
      <c r="S37" s="86">
        <v>0</v>
      </c>
      <c r="T37" s="86">
        <v>22.387059063913501</v>
      </c>
      <c r="U37" s="86">
        <v>23.2142690518418</v>
      </c>
      <c r="V37" s="86">
        <v>6.0088348966018001</v>
      </c>
      <c r="W37" s="86">
        <v>0</v>
      </c>
      <c r="X37" s="86">
        <v>166.80001906041599</v>
      </c>
      <c r="Y37" s="86">
        <v>0</v>
      </c>
      <c r="Z37" s="86">
        <v>0</v>
      </c>
      <c r="AA37" s="86">
        <v>401.29738289289702</v>
      </c>
      <c r="AB37" s="86">
        <v>0</v>
      </c>
      <c r="AC37" s="86">
        <v>0</v>
      </c>
      <c r="AD37" s="86">
        <v>16.2098522553739</v>
      </c>
      <c r="AE37" s="86">
        <v>0.41661083383625203</v>
      </c>
      <c r="AF37" s="86">
        <v>0</v>
      </c>
      <c r="AG37" s="86">
        <v>0</v>
      </c>
      <c r="AH37" s="86">
        <v>0</v>
      </c>
      <c r="AI37" s="86">
        <v>-14.390945937818</v>
      </c>
      <c r="AJ37" s="86">
        <v>0</v>
      </c>
      <c r="AK37" s="86">
        <v>22.239571766254699</v>
      </c>
      <c r="AL37" s="86">
        <v>0</v>
      </c>
      <c r="AM37" s="86">
        <v>166.57688558601899</v>
      </c>
      <c r="AN37" s="86">
        <v>0</v>
      </c>
      <c r="AO37" s="86">
        <v>0</v>
      </c>
      <c r="AP37" s="86">
        <v>0</v>
      </c>
      <c r="AQ37" s="86">
        <v>0</v>
      </c>
      <c r="AR37" s="44">
        <v>4.2804411666170399</v>
      </c>
    </row>
    <row r="38" spans="2:44" ht="12" customHeight="1" x14ac:dyDescent="0.25">
      <c r="B38" s="43" t="s">
        <v>41</v>
      </c>
      <c r="C38" s="86" t="s">
        <v>95</v>
      </c>
      <c r="D38" s="86" t="s">
        <v>42</v>
      </c>
      <c r="E38" s="86" t="s">
        <v>98</v>
      </c>
      <c r="F38" s="86" t="s">
        <v>25</v>
      </c>
      <c r="G38" s="86" t="s">
        <v>585</v>
      </c>
      <c r="H38" s="86" t="s">
        <v>82</v>
      </c>
      <c r="I38" s="86" t="s">
        <v>25</v>
      </c>
      <c r="J38" s="86">
        <v>431.28</v>
      </c>
      <c r="K38" s="86">
        <v>178.71</v>
      </c>
      <c r="L38" s="86">
        <v>0</v>
      </c>
      <c r="M38" s="86">
        <v>0.82811412826127795</v>
      </c>
      <c r="N38" s="86">
        <v>0</v>
      </c>
      <c r="O38" s="86">
        <v>0</v>
      </c>
      <c r="P38" s="86">
        <v>0</v>
      </c>
      <c r="Q38" s="86">
        <v>84.532268589891203</v>
      </c>
      <c r="R38" s="86">
        <v>13.3598232608052</v>
      </c>
      <c r="S38" s="86">
        <v>0</v>
      </c>
      <c r="T38" s="86">
        <v>11.412981330449901</v>
      </c>
      <c r="U38" s="86">
        <v>11.834849426701901</v>
      </c>
      <c r="V38" s="86">
        <v>3.0636057438470399</v>
      </c>
      <c r="W38" s="86">
        <v>0</v>
      </c>
      <c r="X38" s="86">
        <v>85.035354768060998</v>
      </c>
      <c r="Y38" s="86">
        <v>0</v>
      </c>
      <c r="Z38" s="86">
        <v>0</v>
      </c>
      <c r="AA38" s="86">
        <v>204.58301355282799</v>
      </c>
      <c r="AB38" s="86">
        <v>0</v>
      </c>
      <c r="AC38" s="86">
        <v>0</v>
      </c>
      <c r="AD38" s="86">
        <v>16.2098522553739</v>
      </c>
      <c r="AE38" s="86">
        <v>0.41661083383625203</v>
      </c>
      <c r="AF38" s="86">
        <v>0</v>
      </c>
      <c r="AG38" s="86">
        <v>0</v>
      </c>
      <c r="AH38" s="86">
        <v>0</v>
      </c>
      <c r="AI38" s="86">
        <v>-14.390945937818</v>
      </c>
      <c r="AJ38" s="86">
        <v>0</v>
      </c>
      <c r="AK38" s="86">
        <v>22.239571766254699</v>
      </c>
      <c r="AL38" s="86">
        <v>0</v>
      </c>
      <c r="AM38" s="86">
        <v>166.57688558601899</v>
      </c>
      <c r="AN38" s="86">
        <v>0</v>
      </c>
      <c r="AO38" s="86">
        <v>0</v>
      </c>
      <c r="AP38" s="86">
        <v>0</v>
      </c>
      <c r="AQ38" s="86">
        <v>0</v>
      </c>
      <c r="AR38" s="44">
        <v>4.2804411666170399</v>
      </c>
    </row>
    <row r="39" spans="2:44" ht="12" customHeight="1" x14ac:dyDescent="0.25">
      <c r="B39" s="43" t="s">
        <v>41</v>
      </c>
      <c r="C39" s="86" t="s">
        <v>95</v>
      </c>
      <c r="D39" s="86" t="s">
        <v>42</v>
      </c>
      <c r="E39" s="86" t="s">
        <v>98</v>
      </c>
      <c r="F39" s="86" t="s">
        <v>25</v>
      </c>
      <c r="G39" s="86" t="s">
        <v>38</v>
      </c>
      <c r="H39" s="86" t="s">
        <v>82</v>
      </c>
      <c r="I39" s="86" t="s">
        <v>25</v>
      </c>
      <c r="J39" s="86">
        <v>317.87</v>
      </c>
      <c r="K39" s="86">
        <v>178.71</v>
      </c>
      <c r="L39" s="86">
        <v>0</v>
      </c>
      <c r="M39" s="86">
        <v>0.82811412826127795</v>
      </c>
      <c r="N39" s="86">
        <v>0</v>
      </c>
      <c r="O39" s="86">
        <v>0</v>
      </c>
      <c r="P39" s="86">
        <v>0</v>
      </c>
      <c r="Q39" s="86">
        <v>84.532268589891203</v>
      </c>
      <c r="R39" s="86">
        <v>13.3598232608052</v>
      </c>
      <c r="S39" s="86">
        <v>0</v>
      </c>
      <c r="T39" s="86">
        <v>7.3159278382420698</v>
      </c>
      <c r="U39" s="86">
        <v>7.5863851736584298</v>
      </c>
      <c r="V39" s="86">
        <v>1.9634861018365</v>
      </c>
      <c r="W39" s="86">
        <v>0</v>
      </c>
      <c r="X39" s="86">
        <v>54.509706925562398</v>
      </c>
      <c r="Y39" s="86">
        <v>0</v>
      </c>
      <c r="Z39" s="86">
        <v>0</v>
      </c>
      <c r="AA39" s="86">
        <v>131.14297380491999</v>
      </c>
      <c r="AB39" s="86">
        <v>0</v>
      </c>
      <c r="AC39" s="86">
        <v>0</v>
      </c>
      <c r="AD39" s="86">
        <v>16.2098522553739</v>
      </c>
      <c r="AE39" s="86">
        <v>0.41661083383625203</v>
      </c>
      <c r="AF39" s="86">
        <v>0</v>
      </c>
      <c r="AG39" s="86">
        <v>0</v>
      </c>
      <c r="AH39" s="86">
        <v>0</v>
      </c>
      <c r="AI39" s="86">
        <v>-14.390945937818</v>
      </c>
      <c r="AJ39" s="86">
        <v>0</v>
      </c>
      <c r="AK39" s="86">
        <v>22.239571766254699</v>
      </c>
      <c r="AL39" s="86">
        <v>0</v>
      </c>
      <c r="AM39" s="86">
        <v>166.57688558601899</v>
      </c>
      <c r="AN39" s="86">
        <v>0</v>
      </c>
      <c r="AO39" s="86">
        <v>0</v>
      </c>
      <c r="AP39" s="86">
        <v>0</v>
      </c>
      <c r="AQ39" s="86">
        <v>0</v>
      </c>
      <c r="AR39" s="44">
        <v>4.2804411666170399</v>
      </c>
    </row>
    <row r="40" spans="2:44" ht="12" customHeight="1" x14ac:dyDescent="0.25">
      <c r="B40" s="43" t="s">
        <v>41</v>
      </c>
      <c r="C40" s="86" t="s">
        <v>95</v>
      </c>
      <c r="D40" s="86" t="s">
        <v>42</v>
      </c>
      <c r="E40" s="86" t="s">
        <v>25</v>
      </c>
      <c r="F40" s="86" t="s">
        <v>25</v>
      </c>
      <c r="G40" s="86" t="s">
        <v>37</v>
      </c>
      <c r="H40" s="86" t="s">
        <v>82</v>
      </c>
      <c r="I40" s="86" t="s">
        <v>25</v>
      </c>
      <c r="J40" s="86">
        <v>735.05</v>
      </c>
      <c r="K40" s="86">
        <v>178.71</v>
      </c>
      <c r="L40" s="86">
        <v>0</v>
      </c>
      <c r="M40" s="86">
        <v>0.82811412826127795</v>
      </c>
      <c r="N40" s="86">
        <v>0</v>
      </c>
      <c r="O40" s="86">
        <v>0</v>
      </c>
      <c r="P40" s="86">
        <v>0</v>
      </c>
      <c r="Q40" s="86">
        <v>84.532268589891203</v>
      </c>
      <c r="R40" s="86">
        <v>13.3598232608052</v>
      </c>
      <c r="S40" s="86">
        <v>0</v>
      </c>
      <c r="T40" s="86">
        <v>22.387059063913501</v>
      </c>
      <c r="U40" s="86">
        <v>23.2142690518418</v>
      </c>
      <c r="V40" s="86">
        <v>6.0088348966018001</v>
      </c>
      <c r="W40" s="86">
        <v>0</v>
      </c>
      <c r="X40" s="86">
        <v>166.80001906041599</v>
      </c>
      <c r="Y40" s="86">
        <v>0</v>
      </c>
      <c r="Z40" s="86">
        <v>0</v>
      </c>
      <c r="AA40" s="86">
        <v>401.29738289289702</v>
      </c>
      <c r="AB40" s="86">
        <v>0</v>
      </c>
      <c r="AC40" s="86">
        <v>0</v>
      </c>
      <c r="AD40" s="86">
        <v>16.2098522553739</v>
      </c>
      <c r="AE40" s="86">
        <v>0.41661083383625203</v>
      </c>
      <c r="AF40" s="86">
        <v>0</v>
      </c>
      <c r="AG40" s="86">
        <v>0</v>
      </c>
      <c r="AH40" s="86">
        <v>0</v>
      </c>
      <c r="AI40" s="86">
        <v>-14.390945937818</v>
      </c>
      <c r="AJ40" s="86">
        <v>0</v>
      </c>
      <c r="AK40" s="86">
        <v>22.239571766254699</v>
      </c>
      <c r="AL40" s="86">
        <v>0</v>
      </c>
      <c r="AM40" s="86">
        <v>166.57688558601899</v>
      </c>
      <c r="AN40" s="86">
        <v>0</v>
      </c>
      <c r="AO40" s="86">
        <v>0</v>
      </c>
      <c r="AP40" s="86">
        <v>0</v>
      </c>
      <c r="AQ40" s="86">
        <v>0</v>
      </c>
      <c r="AR40" s="44">
        <v>4.2804411666170399</v>
      </c>
    </row>
    <row r="41" spans="2:44" ht="12" customHeight="1" x14ac:dyDescent="0.25">
      <c r="B41" s="43" t="s">
        <v>41</v>
      </c>
      <c r="C41" s="86" t="s">
        <v>95</v>
      </c>
      <c r="D41" s="86" t="s">
        <v>42</v>
      </c>
      <c r="E41" s="86" t="s">
        <v>25</v>
      </c>
      <c r="F41" s="86" t="s">
        <v>25</v>
      </c>
      <c r="G41" s="86" t="s">
        <v>585</v>
      </c>
      <c r="H41" s="86" t="s">
        <v>82</v>
      </c>
      <c r="I41" s="86" t="s">
        <v>25</v>
      </c>
      <c r="J41" s="86">
        <v>431.28</v>
      </c>
      <c r="K41" s="86">
        <v>178.71</v>
      </c>
      <c r="L41" s="86">
        <v>0</v>
      </c>
      <c r="M41" s="86">
        <v>0.82811412826127795</v>
      </c>
      <c r="N41" s="86">
        <v>0</v>
      </c>
      <c r="O41" s="86">
        <v>0</v>
      </c>
      <c r="P41" s="86">
        <v>0</v>
      </c>
      <c r="Q41" s="86">
        <v>84.532268589891203</v>
      </c>
      <c r="R41" s="86">
        <v>13.3598232608052</v>
      </c>
      <c r="S41" s="86">
        <v>0</v>
      </c>
      <c r="T41" s="86">
        <v>11.412981330449901</v>
      </c>
      <c r="U41" s="86">
        <v>11.834849426701901</v>
      </c>
      <c r="V41" s="86">
        <v>3.0636057438470399</v>
      </c>
      <c r="W41" s="86">
        <v>0</v>
      </c>
      <c r="X41" s="86">
        <v>85.035354768060998</v>
      </c>
      <c r="Y41" s="86">
        <v>0</v>
      </c>
      <c r="Z41" s="86">
        <v>0</v>
      </c>
      <c r="AA41" s="86">
        <v>204.58301355282799</v>
      </c>
      <c r="AB41" s="86">
        <v>0</v>
      </c>
      <c r="AC41" s="86">
        <v>0</v>
      </c>
      <c r="AD41" s="86">
        <v>16.2098522553739</v>
      </c>
      <c r="AE41" s="86">
        <v>0.41661083383625203</v>
      </c>
      <c r="AF41" s="86">
        <v>0</v>
      </c>
      <c r="AG41" s="86">
        <v>0</v>
      </c>
      <c r="AH41" s="86">
        <v>0</v>
      </c>
      <c r="AI41" s="86">
        <v>-14.390945937818</v>
      </c>
      <c r="AJ41" s="86">
        <v>0</v>
      </c>
      <c r="AK41" s="86">
        <v>22.239571766254699</v>
      </c>
      <c r="AL41" s="86">
        <v>0</v>
      </c>
      <c r="AM41" s="86">
        <v>166.57688558601899</v>
      </c>
      <c r="AN41" s="86">
        <v>0</v>
      </c>
      <c r="AO41" s="86">
        <v>0</v>
      </c>
      <c r="AP41" s="86">
        <v>0</v>
      </c>
      <c r="AQ41" s="86">
        <v>0</v>
      </c>
      <c r="AR41" s="44">
        <v>4.2804411666170399</v>
      </c>
    </row>
    <row r="42" spans="2:44" ht="12" customHeight="1" x14ac:dyDescent="0.25">
      <c r="B42" s="43" t="s">
        <v>41</v>
      </c>
      <c r="C42" s="86" t="s">
        <v>95</v>
      </c>
      <c r="D42" s="86" t="s">
        <v>42</v>
      </c>
      <c r="E42" s="86" t="s">
        <v>25</v>
      </c>
      <c r="F42" s="86" t="s">
        <v>25</v>
      </c>
      <c r="G42" s="86" t="s">
        <v>38</v>
      </c>
      <c r="H42" s="86" t="s">
        <v>82</v>
      </c>
      <c r="I42" s="86" t="s">
        <v>25</v>
      </c>
      <c r="J42" s="86">
        <v>317.87</v>
      </c>
      <c r="K42" s="86">
        <v>178.71</v>
      </c>
      <c r="L42" s="86">
        <v>0</v>
      </c>
      <c r="M42" s="86">
        <v>0.82811412826127795</v>
      </c>
      <c r="N42" s="86">
        <v>0</v>
      </c>
      <c r="O42" s="86">
        <v>0</v>
      </c>
      <c r="P42" s="86">
        <v>0</v>
      </c>
      <c r="Q42" s="86">
        <v>84.532268589891203</v>
      </c>
      <c r="R42" s="86">
        <v>13.3598232608052</v>
      </c>
      <c r="S42" s="86">
        <v>0</v>
      </c>
      <c r="T42" s="86">
        <v>7.3159278382420698</v>
      </c>
      <c r="U42" s="86">
        <v>7.5863851736584298</v>
      </c>
      <c r="V42" s="86">
        <v>1.9634861018365</v>
      </c>
      <c r="W42" s="86">
        <v>0</v>
      </c>
      <c r="X42" s="86">
        <v>54.509706925562398</v>
      </c>
      <c r="Y42" s="86">
        <v>0</v>
      </c>
      <c r="Z42" s="86">
        <v>0</v>
      </c>
      <c r="AA42" s="86">
        <v>131.14297380491999</v>
      </c>
      <c r="AB42" s="86">
        <v>0</v>
      </c>
      <c r="AC42" s="86">
        <v>0</v>
      </c>
      <c r="AD42" s="86">
        <v>16.2098522553739</v>
      </c>
      <c r="AE42" s="86">
        <v>0.41661083383625203</v>
      </c>
      <c r="AF42" s="86">
        <v>0</v>
      </c>
      <c r="AG42" s="86">
        <v>0</v>
      </c>
      <c r="AH42" s="86">
        <v>0</v>
      </c>
      <c r="AI42" s="86">
        <v>-14.390945937818</v>
      </c>
      <c r="AJ42" s="86">
        <v>0</v>
      </c>
      <c r="AK42" s="86">
        <v>22.239571766254699</v>
      </c>
      <c r="AL42" s="86">
        <v>0</v>
      </c>
      <c r="AM42" s="86">
        <v>166.57688558601899</v>
      </c>
      <c r="AN42" s="86">
        <v>0</v>
      </c>
      <c r="AO42" s="86">
        <v>0</v>
      </c>
      <c r="AP42" s="86">
        <v>0</v>
      </c>
      <c r="AQ42" s="86">
        <v>0</v>
      </c>
      <c r="AR42" s="44">
        <v>4.2804411666170399</v>
      </c>
    </row>
    <row r="43" spans="2:44" ht="12" customHeight="1" x14ac:dyDescent="0.25">
      <c r="B43" s="43" t="s">
        <v>41</v>
      </c>
      <c r="C43" s="86" t="s">
        <v>95</v>
      </c>
      <c r="D43" s="86" t="s">
        <v>42</v>
      </c>
      <c r="E43" s="86" t="s">
        <v>99</v>
      </c>
      <c r="F43" s="86" t="s">
        <v>25</v>
      </c>
      <c r="G43" s="86" t="s">
        <v>37</v>
      </c>
      <c r="H43" s="86" t="s">
        <v>82</v>
      </c>
      <c r="I43" s="86" t="s">
        <v>25</v>
      </c>
      <c r="J43" s="86">
        <v>719.41</v>
      </c>
      <c r="K43" s="86">
        <v>174.9</v>
      </c>
      <c r="L43" s="86">
        <v>0</v>
      </c>
      <c r="M43" s="86">
        <v>0.81049467872380399</v>
      </c>
      <c r="N43" s="86">
        <v>0</v>
      </c>
      <c r="O43" s="86">
        <v>0</v>
      </c>
      <c r="P43" s="86">
        <v>0</v>
      </c>
      <c r="Q43" s="86">
        <v>82.733709683723305</v>
      </c>
      <c r="R43" s="86">
        <v>13.0755717020647</v>
      </c>
      <c r="S43" s="86">
        <v>0</v>
      </c>
      <c r="T43" s="86">
        <v>21.9107386582983</v>
      </c>
      <c r="U43" s="86">
        <v>22.720348433717501</v>
      </c>
      <c r="V43" s="86">
        <v>5.8809873456102704</v>
      </c>
      <c r="W43" s="86">
        <v>0</v>
      </c>
      <c r="X43" s="86">
        <v>163.25108248466299</v>
      </c>
      <c r="Y43" s="86">
        <v>0</v>
      </c>
      <c r="Z43" s="86">
        <v>0</v>
      </c>
      <c r="AA43" s="86">
        <v>392.75914070368702</v>
      </c>
      <c r="AB43" s="86">
        <v>0</v>
      </c>
      <c r="AC43" s="86">
        <v>0</v>
      </c>
      <c r="AD43" s="86">
        <v>15.8649617818553</v>
      </c>
      <c r="AE43" s="86">
        <v>0.407746773541864</v>
      </c>
      <c r="AF43" s="86">
        <v>0</v>
      </c>
      <c r="AG43" s="86">
        <v>0</v>
      </c>
      <c r="AH43" s="86">
        <v>0</v>
      </c>
      <c r="AI43" s="86">
        <v>-14.0847555987155</v>
      </c>
      <c r="AJ43" s="86">
        <v>0</v>
      </c>
      <c r="AK43" s="86">
        <v>21.766389388249301</v>
      </c>
      <c r="AL43" s="86">
        <v>0</v>
      </c>
      <c r="AM43" s="86">
        <v>163.03269653099801</v>
      </c>
      <c r="AN43" s="86">
        <v>0</v>
      </c>
      <c r="AO43" s="86">
        <v>0</v>
      </c>
      <c r="AP43" s="86">
        <v>0</v>
      </c>
      <c r="AQ43" s="86">
        <v>0</v>
      </c>
      <c r="AR43" s="44">
        <v>4.1893679503060399</v>
      </c>
    </row>
    <row r="44" spans="2:44" ht="12" customHeight="1" x14ac:dyDescent="0.25">
      <c r="B44" s="43" t="s">
        <v>41</v>
      </c>
      <c r="C44" s="86" t="s">
        <v>95</v>
      </c>
      <c r="D44" s="86" t="s">
        <v>42</v>
      </c>
      <c r="E44" s="86" t="s">
        <v>99</v>
      </c>
      <c r="F44" s="86" t="s">
        <v>25</v>
      </c>
      <c r="G44" s="86" t="s">
        <v>585</v>
      </c>
      <c r="H44" s="86" t="s">
        <v>82</v>
      </c>
      <c r="I44" s="86" t="s">
        <v>25</v>
      </c>
      <c r="J44" s="86">
        <v>422.1</v>
      </c>
      <c r="K44" s="86">
        <v>174.9</v>
      </c>
      <c r="L44" s="86">
        <v>0</v>
      </c>
      <c r="M44" s="86">
        <v>0.81049467872380399</v>
      </c>
      <c r="N44" s="86">
        <v>0</v>
      </c>
      <c r="O44" s="86">
        <v>0</v>
      </c>
      <c r="P44" s="86">
        <v>0</v>
      </c>
      <c r="Q44" s="86">
        <v>82.733709683723305</v>
      </c>
      <c r="R44" s="86">
        <v>13.0755717020647</v>
      </c>
      <c r="S44" s="86">
        <v>0</v>
      </c>
      <c r="T44" s="86">
        <v>11.1701519404404</v>
      </c>
      <c r="U44" s="86">
        <v>11.583044119750801</v>
      </c>
      <c r="V44" s="86">
        <v>2.9984226429141301</v>
      </c>
      <c r="W44" s="86">
        <v>0</v>
      </c>
      <c r="X44" s="86">
        <v>83.226091900655405</v>
      </c>
      <c r="Y44" s="86">
        <v>0</v>
      </c>
      <c r="Z44" s="86">
        <v>0</v>
      </c>
      <c r="AA44" s="86">
        <v>200.23018347723601</v>
      </c>
      <c r="AB44" s="86">
        <v>0</v>
      </c>
      <c r="AC44" s="86">
        <v>0</v>
      </c>
      <c r="AD44" s="86">
        <v>15.8649617818553</v>
      </c>
      <c r="AE44" s="86">
        <v>0.407746773541864</v>
      </c>
      <c r="AF44" s="86">
        <v>0</v>
      </c>
      <c r="AG44" s="86">
        <v>0</v>
      </c>
      <c r="AH44" s="86">
        <v>0</v>
      </c>
      <c r="AI44" s="86">
        <v>-14.0847555987155</v>
      </c>
      <c r="AJ44" s="86">
        <v>0</v>
      </c>
      <c r="AK44" s="86">
        <v>21.766389388249301</v>
      </c>
      <c r="AL44" s="86">
        <v>0</v>
      </c>
      <c r="AM44" s="86">
        <v>163.03269653099801</v>
      </c>
      <c r="AN44" s="86">
        <v>0</v>
      </c>
      <c r="AO44" s="86">
        <v>0</v>
      </c>
      <c r="AP44" s="86">
        <v>0</v>
      </c>
      <c r="AQ44" s="86">
        <v>0</v>
      </c>
      <c r="AR44" s="44">
        <v>4.1893679503060399</v>
      </c>
    </row>
    <row r="45" spans="2:44" ht="12" customHeight="1" x14ac:dyDescent="0.25">
      <c r="B45" s="43" t="s">
        <v>41</v>
      </c>
      <c r="C45" s="86" t="s">
        <v>95</v>
      </c>
      <c r="D45" s="86" t="s">
        <v>42</v>
      </c>
      <c r="E45" s="86" t="s">
        <v>99</v>
      </c>
      <c r="F45" s="86" t="s">
        <v>25</v>
      </c>
      <c r="G45" s="86" t="s">
        <v>38</v>
      </c>
      <c r="H45" s="86" t="s">
        <v>82</v>
      </c>
      <c r="I45" s="86" t="s">
        <v>25</v>
      </c>
      <c r="J45" s="86">
        <v>311.10000000000002</v>
      </c>
      <c r="K45" s="86">
        <v>174.9</v>
      </c>
      <c r="L45" s="86">
        <v>0</v>
      </c>
      <c r="M45" s="86">
        <v>0.81049467872380399</v>
      </c>
      <c r="N45" s="86">
        <v>0</v>
      </c>
      <c r="O45" s="86">
        <v>0</v>
      </c>
      <c r="P45" s="86">
        <v>0</v>
      </c>
      <c r="Q45" s="86">
        <v>82.733709683723305</v>
      </c>
      <c r="R45" s="86">
        <v>13.0755717020647</v>
      </c>
      <c r="S45" s="86">
        <v>0</v>
      </c>
      <c r="T45" s="86">
        <v>7.16026979913054</v>
      </c>
      <c r="U45" s="86">
        <v>7.4249727231550597</v>
      </c>
      <c r="V45" s="86">
        <v>1.9217098017974299</v>
      </c>
      <c r="W45" s="86">
        <v>0</v>
      </c>
      <c r="X45" s="86">
        <v>53.349925927146202</v>
      </c>
      <c r="Y45" s="86">
        <v>0</v>
      </c>
      <c r="Z45" s="86">
        <v>0</v>
      </c>
      <c r="AA45" s="86">
        <v>128.35269776651799</v>
      </c>
      <c r="AB45" s="86">
        <v>0</v>
      </c>
      <c r="AC45" s="86">
        <v>0</v>
      </c>
      <c r="AD45" s="86">
        <v>15.8649617818553</v>
      </c>
      <c r="AE45" s="86">
        <v>0.407746773541864</v>
      </c>
      <c r="AF45" s="86">
        <v>0</v>
      </c>
      <c r="AG45" s="86">
        <v>0</v>
      </c>
      <c r="AH45" s="86">
        <v>0</v>
      </c>
      <c r="AI45" s="86">
        <v>-14.0847555987155</v>
      </c>
      <c r="AJ45" s="86">
        <v>0</v>
      </c>
      <c r="AK45" s="86">
        <v>21.766389388249301</v>
      </c>
      <c r="AL45" s="86">
        <v>0</v>
      </c>
      <c r="AM45" s="86">
        <v>163.03269653099801</v>
      </c>
      <c r="AN45" s="86">
        <v>0</v>
      </c>
      <c r="AO45" s="86">
        <v>0</v>
      </c>
      <c r="AP45" s="86">
        <v>0</v>
      </c>
      <c r="AQ45" s="86">
        <v>0</v>
      </c>
      <c r="AR45" s="44">
        <v>4.1893679503060399</v>
      </c>
    </row>
    <row r="46" spans="2:44" ht="12" customHeight="1" x14ac:dyDescent="0.25">
      <c r="B46" s="43" t="s">
        <v>41</v>
      </c>
      <c r="C46" s="86" t="s">
        <v>23</v>
      </c>
      <c r="D46" s="86" t="s">
        <v>42</v>
      </c>
      <c r="E46" s="86" t="s">
        <v>98</v>
      </c>
      <c r="F46" s="86" t="s">
        <v>25</v>
      </c>
      <c r="G46" s="86" t="s">
        <v>25</v>
      </c>
      <c r="H46" s="86" t="s">
        <v>82</v>
      </c>
      <c r="I46" s="86" t="s">
        <v>25</v>
      </c>
      <c r="J46" s="86">
        <v>381.82</v>
      </c>
      <c r="K46" s="86">
        <v>178.71</v>
      </c>
      <c r="L46" s="86">
        <v>0</v>
      </c>
      <c r="M46" s="86">
        <v>0.82811412826127795</v>
      </c>
      <c r="N46" s="86">
        <v>0</v>
      </c>
      <c r="O46" s="86">
        <v>0</v>
      </c>
      <c r="P46" s="86">
        <v>0</v>
      </c>
      <c r="Q46" s="86">
        <v>84.532268589891203</v>
      </c>
      <c r="R46" s="86">
        <v>13.3598232608052</v>
      </c>
      <c r="S46" s="86">
        <v>0</v>
      </c>
      <c r="T46" s="86">
        <v>9.6263709257679793</v>
      </c>
      <c r="U46" s="86">
        <v>9.9821356922919602</v>
      </c>
      <c r="V46" s="86">
        <v>2.58374030640269</v>
      </c>
      <c r="W46" s="86">
        <v>0</v>
      </c>
      <c r="X46" s="86">
        <v>71.723380615749207</v>
      </c>
      <c r="Y46" s="86">
        <v>0</v>
      </c>
      <c r="Z46" s="86">
        <v>0</v>
      </c>
      <c r="AA46" s="86">
        <v>172.55648677448801</v>
      </c>
      <c r="AB46" s="86">
        <v>0</v>
      </c>
      <c r="AC46" s="86">
        <v>0</v>
      </c>
      <c r="AD46" s="86">
        <v>16.2098522553739</v>
      </c>
      <c r="AE46" s="86">
        <v>0.41661083383625203</v>
      </c>
      <c r="AF46" s="86">
        <v>0</v>
      </c>
      <c r="AG46" s="86">
        <v>0</v>
      </c>
      <c r="AH46" s="86">
        <v>0</v>
      </c>
      <c r="AI46" s="86">
        <v>-14.390945937818</v>
      </c>
      <c r="AJ46" s="86">
        <v>0</v>
      </c>
      <c r="AK46" s="86">
        <v>22.239571766254699</v>
      </c>
      <c r="AL46" s="86">
        <v>0</v>
      </c>
      <c r="AM46" s="86">
        <v>166.57688558601899</v>
      </c>
      <c r="AN46" s="86">
        <v>0</v>
      </c>
      <c r="AO46" s="86">
        <v>0</v>
      </c>
      <c r="AP46" s="86">
        <v>0</v>
      </c>
      <c r="AQ46" s="86">
        <v>0</v>
      </c>
      <c r="AR46" s="44">
        <v>4.2804411666170399</v>
      </c>
    </row>
    <row r="47" spans="2:44" ht="12" customHeight="1" x14ac:dyDescent="0.25">
      <c r="B47" s="43" t="s">
        <v>41</v>
      </c>
      <c r="C47" s="86" t="s">
        <v>23</v>
      </c>
      <c r="D47" s="86" t="s">
        <v>42</v>
      </c>
      <c r="E47" s="86" t="s">
        <v>25</v>
      </c>
      <c r="F47" s="86" t="s">
        <v>25</v>
      </c>
      <c r="G47" s="86" t="s">
        <v>25</v>
      </c>
      <c r="H47" s="86" t="s">
        <v>82</v>
      </c>
      <c r="I47" s="86" t="s">
        <v>25</v>
      </c>
      <c r="J47" s="86">
        <v>381.82</v>
      </c>
      <c r="K47" s="86">
        <v>178.71</v>
      </c>
      <c r="L47" s="86">
        <v>0</v>
      </c>
      <c r="M47" s="86">
        <v>0.82811412826127795</v>
      </c>
      <c r="N47" s="86">
        <v>0</v>
      </c>
      <c r="O47" s="86">
        <v>0</v>
      </c>
      <c r="P47" s="86">
        <v>0</v>
      </c>
      <c r="Q47" s="86">
        <v>84.532268589891203</v>
      </c>
      <c r="R47" s="86">
        <v>13.3598232608052</v>
      </c>
      <c r="S47" s="86">
        <v>0</v>
      </c>
      <c r="T47" s="86">
        <v>9.6263709257679793</v>
      </c>
      <c r="U47" s="86">
        <v>9.9821356922919602</v>
      </c>
      <c r="V47" s="86">
        <v>2.58374030640269</v>
      </c>
      <c r="W47" s="86">
        <v>0</v>
      </c>
      <c r="X47" s="86">
        <v>71.723380615749207</v>
      </c>
      <c r="Y47" s="86">
        <v>0</v>
      </c>
      <c r="Z47" s="86">
        <v>0</v>
      </c>
      <c r="AA47" s="86">
        <v>172.55648677448801</v>
      </c>
      <c r="AB47" s="86">
        <v>0</v>
      </c>
      <c r="AC47" s="86">
        <v>0</v>
      </c>
      <c r="AD47" s="86">
        <v>16.2098522553739</v>
      </c>
      <c r="AE47" s="86">
        <v>0.41661083383625203</v>
      </c>
      <c r="AF47" s="86">
        <v>0</v>
      </c>
      <c r="AG47" s="86">
        <v>0</v>
      </c>
      <c r="AH47" s="86">
        <v>0</v>
      </c>
      <c r="AI47" s="86">
        <v>-14.390945937818</v>
      </c>
      <c r="AJ47" s="86">
        <v>0</v>
      </c>
      <c r="AK47" s="86">
        <v>22.239571766254699</v>
      </c>
      <c r="AL47" s="86">
        <v>0</v>
      </c>
      <c r="AM47" s="86">
        <v>166.57688558601899</v>
      </c>
      <c r="AN47" s="86">
        <v>0</v>
      </c>
      <c r="AO47" s="86">
        <v>0</v>
      </c>
      <c r="AP47" s="86">
        <v>0</v>
      </c>
      <c r="AQ47" s="86">
        <v>0</v>
      </c>
      <c r="AR47" s="44">
        <v>4.2804411666170399</v>
      </c>
    </row>
    <row r="48" spans="2:44" ht="12" customHeight="1" x14ac:dyDescent="0.25">
      <c r="B48" s="43" t="s">
        <v>41</v>
      </c>
      <c r="C48" s="86" t="s">
        <v>23</v>
      </c>
      <c r="D48" s="86" t="s">
        <v>42</v>
      </c>
      <c r="E48" s="86" t="s">
        <v>99</v>
      </c>
      <c r="F48" s="86" t="s">
        <v>25</v>
      </c>
      <c r="G48" s="86" t="s">
        <v>25</v>
      </c>
      <c r="H48" s="86" t="s">
        <v>82</v>
      </c>
      <c r="I48" s="86" t="s">
        <v>25</v>
      </c>
      <c r="J48" s="86">
        <v>373.69</v>
      </c>
      <c r="K48" s="86">
        <v>174.9</v>
      </c>
      <c r="L48" s="86">
        <v>0</v>
      </c>
      <c r="M48" s="86">
        <v>0.81049467872380399</v>
      </c>
      <c r="N48" s="86">
        <v>0</v>
      </c>
      <c r="O48" s="86">
        <v>0</v>
      </c>
      <c r="P48" s="86">
        <v>0</v>
      </c>
      <c r="Q48" s="86">
        <v>82.733709683723305</v>
      </c>
      <c r="R48" s="86">
        <v>13.0755717020647</v>
      </c>
      <c r="S48" s="86">
        <v>0</v>
      </c>
      <c r="T48" s="86">
        <v>9.4215545230920608</v>
      </c>
      <c r="U48" s="86">
        <v>9.7697498264985203</v>
      </c>
      <c r="V48" s="86">
        <v>2.5287671083941299</v>
      </c>
      <c r="W48" s="86">
        <v>0</v>
      </c>
      <c r="X48" s="86">
        <v>70.197351240946006</v>
      </c>
      <c r="Y48" s="86">
        <v>0</v>
      </c>
      <c r="Z48" s="86">
        <v>0</v>
      </c>
      <c r="AA48" s="86">
        <v>168.885072162265</v>
      </c>
      <c r="AB48" s="86">
        <v>0</v>
      </c>
      <c r="AC48" s="86">
        <v>0</v>
      </c>
      <c r="AD48" s="86">
        <v>15.8649617818553</v>
      </c>
      <c r="AE48" s="86">
        <v>0.407746773541864</v>
      </c>
      <c r="AF48" s="86">
        <v>0</v>
      </c>
      <c r="AG48" s="86">
        <v>0</v>
      </c>
      <c r="AH48" s="86">
        <v>0</v>
      </c>
      <c r="AI48" s="86">
        <v>-14.0847555987155</v>
      </c>
      <c r="AJ48" s="86">
        <v>0</v>
      </c>
      <c r="AK48" s="86">
        <v>21.766389388249301</v>
      </c>
      <c r="AL48" s="86">
        <v>0</v>
      </c>
      <c r="AM48" s="86">
        <v>163.03269653099801</v>
      </c>
      <c r="AN48" s="86">
        <v>0</v>
      </c>
      <c r="AO48" s="86">
        <v>0</v>
      </c>
      <c r="AP48" s="86">
        <v>0</v>
      </c>
      <c r="AQ48" s="86">
        <v>0</v>
      </c>
      <c r="AR48" s="44">
        <v>4.1893679503060399</v>
      </c>
    </row>
    <row r="49" spans="2:44" ht="12" customHeight="1" x14ac:dyDescent="0.25">
      <c r="B49" s="43" t="s">
        <v>41</v>
      </c>
      <c r="C49" s="86" t="s">
        <v>97</v>
      </c>
      <c r="D49" s="86" t="s">
        <v>42</v>
      </c>
      <c r="E49" s="86" t="s">
        <v>98</v>
      </c>
      <c r="F49" s="86" t="s">
        <v>25</v>
      </c>
      <c r="G49" s="86" t="s">
        <v>25</v>
      </c>
      <c r="H49" s="86" t="s">
        <v>82</v>
      </c>
      <c r="I49" s="86" t="s">
        <v>25</v>
      </c>
      <c r="J49" s="86">
        <v>381.82</v>
      </c>
      <c r="K49" s="86">
        <v>178.71</v>
      </c>
      <c r="L49" s="86">
        <v>0</v>
      </c>
      <c r="M49" s="86">
        <v>0.82811412826127795</v>
      </c>
      <c r="N49" s="86">
        <v>0</v>
      </c>
      <c r="O49" s="86">
        <v>0</v>
      </c>
      <c r="P49" s="86">
        <v>0</v>
      </c>
      <c r="Q49" s="86">
        <v>84.532268589891203</v>
      </c>
      <c r="R49" s="86">
        <v>13.3598232608052</v>
      </c>
      <c r="S49" s="86">
        <v>0</v>
      </c>
      <c r="T49" s="86">
        <v>9.6263709257679793</v>
      </c>
      <c r="U49" s="86">
        <v>9.9821356922919602</v>
      </c>
      <c r="V49" s="86">
        <v>2.58374030640269</v>
      </c>
      <c r="W49" s="86">
        <v>0</v>
      </c>
      <c r="X49" s="86">
        <v>71.723380615749207</v>
      </c>
      <c r="Y49" s="86">
        <v>0</v>
      </c>
      <c r="Z49" s="86">
        <v>0</v>
      </c>
      <c r="AA49" s="86">
        <v>172.55648677448801</v>
      </c>
      <c r="AB49" s="86">
        <v>0</v>
      </c>
      <c r="AC49" s="86">
        <v>0</v>
      </c>
      <c r="AD49" s="86">
        <v>16.2098522553739</v>
      </c>
      <c r="AE49" s="86">
        <v>0.41661083383625203</v>
      </c>
      <c r="AF49" s="86">
        <v>0</v>
      </c>
      <c r="AG49" s="86">
        <v>0</v>
      </c>
      <c r="AH49" s="86">
        <v>0</v>
      </c>
      <c r="AI49" s="86">
        <v>-14.390945937818</v>
      </c>
      <c r="AJ49" s="86">
        <v>0</v>
      </c>
      <c r="AK49" s="86">
        <v>22.239571766254699</v>
      </c>
      <c r="AL49" s="86">
        <v>0</v>
      </c>
      <c r="AM49" s="86">
        <v>166.57688558601899</v>
      </c>
      <c r="AN49" s="86">
        <v>0</v>
      </c>
      <c r="AO49" s="86">
        <v>0</v>
      </c>
      <c r="AP49" s="86">
        <v>0</v>
      </c>
      <c r="AQ49" s="86">
        <v>0</v>
      </c>
      <c r="AR49" s="44">
        <v>4.2804411666170399</v>
      </c>
    </row>
    <row r="50" spans="2:44" ht="12" customHeight="1" x14ac:dyDescent="0.25">
      <c r="B50" s="43" t="s">
        <v>41</v>
      </c>
      <c r="C50" s="86" t="s">
        <v>97</v>
      </c>
      <c r="D50" s="86" t="s">
        <v>42</v>
      </c>
      <c r="E50" s="86" t="s">
        <v>25</v>
      </c>
      <c r="F50" s="86" t="s">
        <v>25</v>
      </c>
      <c r="G50" s="86" t="s">
        <v>25</v>
      </c>
      <c r="H50" s="86" t="s">
        <v>82</v>
      </c>
      <c r="I50" s="86" t="s">
        <v>25</v>
      </c>
      <c r="J50" s="86">
        <v>381.82</v>
      </c>
      <c r="K50" s="86">
        <v>178.71</v>
      </c>
      <c r="L50" s="86">
        <v>0</v>
      </c>
      <c r="M50" s="86">
        <v>0.82811412826127795</v>
      </c>
      <c r="N50" s="86">
        <v>0</v>
      </c>
      <c r="O50" s="86">
        <v>0</v>
      </c>
      <c r="P50" s="86">
        <v>0</v>
      </c>
      <c r="Q50" s="86">
        <v>84.532268589891203</v>
      </c>
      <c r="R50" s="86">
        <v>13.3598232608052</v>
      </c>
      <c r="S50" s="86">
        <v>0</v>
      </c>
      <c r="T50" s="86">
        <v>9.6263709257679793</v>
      </c>
      <c r="U50" s="86">
        <v>9.9821356922919602</v>
      </c>
      <c r="V50" s="86">
        <v>2.58374030640269</v>
      </c>
      <c r="W50" s="86">
        <v>0</v>
      </c>
      <c r="X50" s="86">
        <v>71.723380615749207</v>
      </c>
      <c r="Y50" s="86">
        <v>0</v>
      </c>
      <c r="Z50" s="86">
        <v>0</v>
      </c>
      <c r="AA50" s="86">
        <v>172.55648677448801</v>
      </c>
      <c r="AB50" s="86">
        <v>0</v>
      </c>
      <c r="AC50" s="86">
        <v>0</v>
      </c>
      <c r="AD50" s="86">
        <v>16.2098522553739</v>
      </c>
      <c r="AE50" s="86">
        <v>0.41661083383625203</v>
      </c>
      <c r="AF50" s="86">
        <v>0</v>
      </c>
      <c r="AG50" s="86">
        <v>0</v>
      </c>
      <c r="AH50" s="86">
        <v>0</v>
      </c>
      <c r="AI50" s="86">
        <v>-14.390945937818</v>
      </c>
      <c r="AJ50" s="86">
        <v>0</v>
      </c>
      <c r="AK50" s="86">
        <v>22.239571766254699</v>
      </c>
      <c r="AL50" s="86">
        <v>0</v>
      </c>
      <c r="AM50" s="86">
        <v>166.57688558601899</v>
      </c>
      <c r="AN50" s="86">
        <v>0</v>
      </c>
      <c r="AO50" s="86">
        <v>0</v>
      </c>
      <c r="AP50" s="86">
        <v>0</v>
      </c>
      <c r="AQ50" s="86">
        <v>0</v>
      </c>
      <c r="AR50" s="44">
        <v>4.2804411666170399</v>
      </c>
    </row>
    <row r="51" spans="2:44" ht="12" customHeight="1" x14ac:dyDescent="0.25">
      <c r="B51" s="43" t="s">
        <v>41</v>
      </c>
      <c r="C51" s="86" t="s">
        <v>97</v>
      </c>
      <c r="D51" s="86" t="s">
        <v>42</v>
      </c>
      <c r="E51" s="86" t="s">
        <v>99</v>
      </c>
      <c r="F51" s="86" t="s">
        <v>25</v>
      </c>
      <c r="G51" s="86" t="s">
        <v>25</v>
      </c>
      <c r="H51" s="86" t="s">
        <v>82</v>
      </c>
      <c r="I51" s="86" t="s">
        <v>25</v>
      </c>
      <c r="J51" s="86">
        <v>373.69</v>
      </c>
      <c r="K51" s="86">
        <v>174.9</v>
      </c>
      <c r="L51" s="86">
        <v>0</v>
      </c>
      <c r="M51" s="86">
        <v>0.81049467872380399</v>
      </c>
      <c r="N51" s="86">
        <v>0</v>
      </c>
      <c r="O51" s="86">
        <v>0</v>
      </c>
      <c r="P51" s="86">
        <v>0</v>
      </c>
      <c r="Q51" s="86">
        <v>82.733709683723305</v>
      </c>
      <c r="R51" s="86">
        <v>13.0755717020647</v>
      </c>
      <c r="S51" s="86">
        <v>0</v>
      </c>
      <c r="T51" s="86">
        <v>9.4215545230920608</v>
      </c>
      <c r="U51" s="86">
        <v>9.7697498264985203</v>
      </c>
      <c r="V51" s="86">
        <v>2.5287671083941299</v>
      </c>
      <c r="W51" s="86">
        <v>0</v>
      </c>
      <c r="X51" s="86">
        <v>70.197351240946006</v>
      </c>
      <c r="Y51" s="86">
        <v>0</v>
      </c>
      <c r="Z51" s="86">
        <v>0</v>
      </c>
      <c r="AA51" s="86">
        <v>168.885072162265</v>
      </c>
      <c r="AB51" s="86">
        <v>0</v>
      </c>
      <c r="AC51" s="86">
        <v>0</v>
      </c>
      <c r="AD51" s="86">
        <v>15.8649617818553</v>
      </c>
      <c r="AE51" s="86">
        <v>0.407746773541864</v>
      </c>
      <c r="AF51" s="86">
        <v>0</v>
      </c>
      <c r="AG51" s="86">
        <v>0</v>
      </c>
      <c r="AH51" s="86">
        <v>0</v>
      </c>
      <c r="AI51" s="86">
        <v>-14.0847555987155</v>
      </c>
      <c r="AJ51" s="86">
        <v>0</v>
      </c>
      <c r="AK51" s="86">
        <v>21.766389388249301</v>
      </c>
      <c r="AL51" s="86">
        <v>0</v>
      </c>
      <c r="AM51" s="86">
        <v>163.03269653099801</v>
      </c>
      <c r="AN51" s="86">
        <v>0</v>
      </c>
      <c r="AO51" s="86">
        <v>0</v>
      </c>
      <c r="AP51" s="86">
        <v>0</v>
      </c>
      <c r="AQ51" s="86">
        <v>0</v>
      </c>
      <c r="AR51" s="44">
        <v>4.1893679503060399</v>
      </c>
    </row>
    <row r="52" spans="2:44" ht="12" customHeight="1" x14ac:dyDescent="0.25">
      <c r="B52" s="43" t="s">
        <v>33</v>
      </c>
      <c r="C52" s="86" t="s">
        <v>95</v>
      </c>
      <c r="D52" s="86" t="s">
        <v>25</v>
      </c>
      <c r="E52" s="86" t="s">
        <v>25</v>
      </c>
      <c r="F52" s="86" t="s">
        <v>25</v>
      </c>
      <c r="G52" s="86" t="s">
        <v>37</v>
      </c>
      <c r="H52" s="86" t="s">
        <v>82</v>
      </c>
      <c r="I52" s="86" t="s">
        <v>25</v>
      </c>
      <c r="J52" s="86">
        <v>837.08</v>
      </c>
      <c r="K52" s="86">
        <v>190.11</v>
      </c>
      <c r="L52" s="86">
        <v>0</v>
      </c>
      <c r="M52" s="86">
        <v>0.88097247687369995</v>
      </c>
      <c r="N52" s="86">
        <v>0</v>
      </c>
      <c r="O52" s="86">
        <v>0</v>
      </c>
      <c r="P52" s="86">
        <v>0</v>
      </c>
      <c r="Q52" s="86">
        <v>89.927945308394897</v>
      </c>
      <c r="R52" s="86">
        <v>14.212577937026801</v>
      </c>
      <c r="S52" s="86">
        <v>0</v>
      </c>
      <c r="T52" s="86">
        <v>25.8067559428926</v>
      </c>
      <c r="U52" s="86">
        <v>26.760370110916</v>
      </c>
      <c r="V52" s="86">
        <v>6.9268102867478998</v>
      </c>
      <c r="W52" s="86">
        <v>0</v>
      </c>
      <c r="X52" s="86">
        <v>192.27978965414599</v>
      </c>
      <c r="Y52" s="86">
        <v>0</v>
      </c>
      <c r="Z52" s="86">
        <v>0</v>
      </c>
      <c r="AA52" s="86">
        <v>462.59823725214602</v>
      </c>
      <c r="AB52" s="86">
        <v>0</v>
      </c>
      <c r="AC52" s="86">
        <v>0</v>
      </c>
      <c r="AD52" s="86">
        <v>17.244523675929699</v>
      </c>
      <c r="AE52" s="86">
        <v>0.44320301471941798</v>
      </c>
      <c r="AF52" s="86">
        <v>0</v>
      </c>
      <c r="AG52" s="86">
        <v>0</v>
      </c>
      <c r="AH52" s="86">
        <v>0</v>
      </c>
      <c r="AI52" s="86">
        <v>-15.309516955125501</v>
      </c>
      <c r="AJ52" s="86">
        <v>0</v>
      </c>
      <c r="AK52" s="86">
        <v>23.659118900270901</v>
      </c>
      <c r="AL52" s="86">
        <v>0</v>
      </c>
      <c r="AM52" s="86">
        <v>177.209452751085</v>
      </c>
      <c r="AN52" s="86">
        <v>0</v>
      </c>
      <c r="AO52" s="86">
        <v>0</v>
      </c>
      <c r="AP52" s="86">
        <v>0</v>
      </c>
      <c r="AQ52" s="86">
        <v>0</v>
      </c>
      <c r="AR52" s="44">
        <v>4.5536608155500398</v>
      </c>
    </row>
    <row r="53" spans="2:44" ht="12" customHeight="1" x14ac:dyDescent="0.25">
      <c r="B53" s="43" t="s">
        <v>33</v>
      </c>
      <c r="C53" s="86" t="s">
        <v>95</v>
      </c>
      <c r="D53" s="86" t="s">
        <v>25</v>
      </c>
      <c r="E53" s="86" t="s">
        <v>25</v>
      </c>
      <c r="F53" s="86" t="s">
        <v>25</v>
      </c>
      <c r="G53" s="86" t="s">
        <v>585</v>
      </c>
      <c r="H53" s="86" t="s">
        <v>82</v>
      </c>
      <c r="I53" s="86" t="s">
        <v>25</v>
      </c>
      <c r="J53" s="86">
        <v>479.9</v>
      </c>
      <c r="K53" s="86">
        <v>190.11</v>
      </c>
      <c r="L53" s="86">
        <v>0</v>
      </c>
      <c r="M53" s="86">
        <v>0.88097247687369995</v>
      </c>
      <c r="N53" s="86">
        <v>0</v>
      </c>
      <c r="O53" s="86">
        <v>0</v>
      </c>
      <c r="P53" s="86">
        <v>0</v>
      </c>
      <c r="Q53" s="86">
        <v>89.927945308394897</v>
      </c>
      <c r="R53" s="86">
        <v>14.212577937026801</v>
      </c>
      <c r="S53" s="86">
        <v>0</v>
      </c>
      <c r="T53" s="86">
        <v>12.9034439204181</v>
      </c>
      <c r="U53" s="86">
        <v>13.3802691700047</v>
      </c>
      <c r="V53" s="86">
        <v>3.4631449521679301</v>
      </c>
      <c r="W53" s="86">
        <v>0</v>
      </c>
      <c r="X53" s="86">
        <v>96.139950095164195</v>
      </c>
      <c r="Y53" s="86">
        <v>0</v>
      </c>
      <c r="Z53" s="86">
        <v>0</v>
      </c>
      <c r="AA53" s="86">
        <v>231.29907002643901</v>
      </c>
      <c r="AB53" s="86">
        <v>0</v>
      </c>
      <c r="AC53" s="86">
        <v>0</v>
      </c>
      <c r="AD53" s="86">
        <v>17.244523675929699</v>
      </c>
      <c r="AE53" s="86">
        <v>0.44320301471941798</v>
      </c>
      <c r="AF53" s="86">
        <v>0</v>
      </c>
      <c r="AG53" s="86">
        <v>0</v>
      </c>
      <c r="AH53" s="86">
        <v>0</v>
      </c>
      <c r="AI53" s="86">
        <v>-15.309516955125501</v>
      </c>
      <c r="AJ53" s="86">
        <v>0</v>
      </c>
      <c r="AK53" s="86">
        <v>23.659118900270901</v>
      </c>
      <c r="AL53" s="86">
        <v>0</v>
      </c>
      <c r="AM53" s="86">
        <v>177.209452751085</v>
      </c>
      <c r="AN53" s="86">
        <v>0</v>
      </c>
      <c r="AO53" s="86">
        <v>0</v>
      </c>
      <c r="AP53" s="86">
        <v>0</v>
      </c>
      <c r="AQ53" s="86">
        <v>0</v>
      </c>
      <c r="AR53" s="44">
        <v>4.5536608155500398</v>
      </c>
    </row>
    <row r="54" spans="2:44" ht="12" customHeight="1" x14ac:dyDescent="0.25">
      <c r="B54" s="43" t="s">
        <v>33</v>
      </c>
      <c r="C54" s="86" t="s">
        <v>95</v>
      </c>
      <c r="D54" s="86" t="s">
        <v>25</v>
      </c>
      <c r="E54" s="86" t="s">
        <v>25</v>
      </c>
      <c r="F54" s="86" t="s">
        <v>25</v>
      </c>
      <c r="G54" s="86" t="s">
        <v>38</v>
      </c>
      <c r="H54" s="86" t="s">
        <v>82</v>
      </c>
      <c r="I54" s="86" t="s">
        <v>25</v>
      </c>
      <c r="J54" s="86">
        <v>360.83</v>
      </c>
      <c r="K54" s="86">
        <v>190.11</v>
      </c>
      <c r="L54" s="86">
        <v>0</v>
      </c>
      <c r="M54" s="86">
        <v>0.88097247687369995</v>
      </c>
      <c r="N54" s="86">
        <v>0</v>
      </c>
      <c r="O54" s="86">
        <v>0</v>
      </c>
      <c r="P54" s="86">
        <v>0</v>
      </c>
      <c r="Q54" s="86">
        <v>89.927945308394897</v>
      </c>
      <c r="R54" s="86">
        <v>14.212577937026801</v>
      </c>
      <c r="S54" s="86">
        <v>0</v>
      </c>
      <c r="T54" s="86">
        <v>8.6022519809642102</v>
      </c>
      <c r="U54" s="86">
        <v>8.9201794466697901</v>
      </c>
      <c r="V54" s="86">
        <v>2.3089367622492998</v>
      </c>
      <c r="W54" s="86">
        <v>0</v>
      </c>
      <c r="X54" s="86">
        <v>64.093300063442797</v>
      </c>
      <c r="Y54" s="86">
        <v>0</v>
      </c>
      <c r="Z54" s="86">
        <v>0</v>
      </c>
      <c r="AA54" s="86">
        <v>154.19944481713799</v>
      </c>
      <c r="AB54" s="86">
        <v>0</v>
      </c>
      <c r="AC54" s="86">
        <v>0</v>
      </c>
      <c r="AD54" s="86">
        <v>17.244523675929699</v>
      </c>
      <c r="AE54" s="86">
        <v>0.44320301471941798</v>
      </c>
      <c r="AF54" s="86">
        <v>0</v>
      </c>
      <c r="AG54" s="86">
        <v>0</v>
      </c>
      <c r="AH54" s="86">
        <v>0</v>
      </c>
      <c r="AI54" s="86">
        <v>-15.309516955125501</v>
      </c>
      <c r="AJ54" s="86">
        <v>0</v>
      </c>
      <c r="AK54" s="86">
        <v>23.659118900270901</v>
      </c>
      <c r="AL54" s="86">
        <v>0</v>
      </c>
      <c r="AM54" s="86">
        <v>177.209452751085</v>
      </c>
      <c r="AN54" s="86">
        <v>0</v>
      </c>
      <c r="AO54" s="86">
        <v>0</v>
      </c>
      <c r="AP54" s="86">
        <v>0</v>
      </c>
      <c r="AQ54" s="86">
        <v>0</v>
      </c>
      <c r="AR54" s="44">
        <v>4.5536608155500398</v>
      </c>
    </row>
    <row r="55" spans="2:44" ht="12" customHeight="1" x14ac:dyDescent="0.25">
      <c r="B55" s="43" t="s">
        <v>33</v>
      </c>
      <c r="C55" s="86" t="s">
        <v>23</v>
      </c>
      <c r="D55" s="86" t="s">
        <v>25</v>
      </c>
      <c r="E55" s="86" t="s">
        <v>25</v>
      </c>
      <c r="F55" s="86" t="s">
        <v>25</v>
      </c>
      <c r="G55" s="86" t="s">
        <v>25</v>
      </c>
      <c r="H55" s="86" t="s">
        <v>82</v>
      </c>
      <c r="I55" s="86" t="s">
        <v>25</v>
      </c>
      <c r="J55" s="86">
        <v>406.19</v>
      </c>
      <c r="K55" s="86">
        <v>190.11</v>
      </c>
      <c r="L55" s="86">
        <v>0</v>
      </c>
      <c r="M55" s="86">
        <v>0.88097247687369995</v>
      </c>
      <c r="N55" s="86">
        <v>0</v>
      </c>
      <c r="O55" s="86">
        <v>0</v>
      </c>
      <c r="P55" s="86">
        <v>0</v>
      </c>
      <c r="Q55" s="86">
        <v>89.927945308394897</v>
      </c>
      <c r="R55" s="86">
        <v>14.212577937026801</v>
      </c>
      <c r="S55" s="86">
        <v>0</v>
      </c>
      <c r="T55" s="86">
        <v>10.240820133795699</v>
      </c>
      <c r="U55" s="86">
        <v>10.619293289672299</v>
      </c>
      <c r="V55" s="86">
        <v>2.7486599004283998</v>
      </c>
      <c r="W55" s="86">
        <v>0</v>
      </c>
      <c r="X55" s="86">
        <v>76.301468740158697</v>
      </c>
      <c r="Y55" s="86">
        <v>0</v>
      </c>
      <c r="Z55" s="86">
        <v>0</v>
      </c>
      <c r="AA55" s="86">
        <v>183.57073061115699</v>
      </c>
      <c r="AB55" s="86">
        <v>0</v>
      </c>
      <c r="AC55" s="86">
        <v>0</v>
      </c>
      <c r="AD55" s="86">
        <v>17.244523675929699</v>
      </c>
      <c r="AE55" s="86">
        <v>0.44320301471941798</v>
      </c>
      <c r="AF55" s="86">
        <v>0</v>
      </c>
      <c r="AG55" s="86">
        <v>0</v>
      </c>
      <c r="AH55" s="86">
        <v>0</v>
      </c>
      <c r="AI55" s="86">
        <v>-15.309516955125501</v>
      </c>
      <c r="AJ55" s="86">
        <v>0</v>
      </c>
      <c r="AK55" s="86">
        <v>23.659118900270901</v>
      </c>
      <c r="AL55" s="86">
        <v>0</v>
      </c>
      <c r="AM55" s="86">
        <v>177.209452751085</v>
      </c>
      <c r="AN55" s="86">
        <v>0</v>
      </c>
      <c r="AO55" s="86">
        <v>0</v>
      </c>
      <c r="AP55" s="86">
        <v>0</v>
      </c>
      <c r="AQ55" s="86">
        <v>0</v>
      </c>
      <c r="AR55" s="44">
        <v>4.5536608155500398</v>
      </c>
    </row>
    <row r="56" spans="2:44" ht="12" customHeight="1" x14ac:dyDescent="0.25">
      <c r="B56" s="43" t="s">
        <v>33</v>
      </c>
      <c r="C56" s="86" t="s">
        <v>97</v>
      </c>
      <c r="D56" s="86" t="s">
        <v>25</v>
      </c>
      <c r="E56" s="86" t="s">
        <v>25</v>
      </c>
      <c r="F56" s="86" t="s">
        <v>25</v>
      </c>
      <c r="G56" s="86" t="s">
        <v>25</v>
      </c>
      <c r="H56" s="86" t="s">
        <v>82</v>
      </c>
      <c r="I56" s="86" t="s">
        <v>25</v>
      </c>
      <c r="J56" s="86">
        <v>406.19</v>
      </c>
      <c r="K56" s="86">
        <v>190.11</v>
      </c>
      <c r="L56" s="86">
        <v>0</v>
      </c>
      <c r="M56" s="86">
        <v>0.88097247687369995</v>
      </c>
      <c r="N56" s="86">
        <v>0</v>
      </c>
      <c r="O56" s="86">
        <v>0</v>
      </c>
      <c r="P56" s="86">
        <v>0</v>
      </c>
      <c r="Q56" s="86">
        <v>89.927945308394897</v>
      </c>
      <c r="R56" s="86">
        <v>14.212577937026801</v>
      </c>
      <c r="S56" s="86">
        <v>0</v>
      </c>
      <c r="T56" s="86">
        <v>10.240820133795699</v>
      </c>
      <c r="U56" s="86">
        <v>10.619293289672299</v>
      </c>
      <c r="V56" s="86">
        <v>2.7486599004283998</v>
      </c>
      <c r="W56" s="86">
        <v>0</v>
      </c>
      <c r="X56" s="86">
        <v>76.301468740158697</v>
      </c>
      <c r="Y56" s="86">
        <v>0</v>
      </c>
      <c r="Z56" s="86">
        <v>0</v>
      </c>
      <c r="AA56" s="86">
        <v>183.57073061115699</v>
      </c>
      <c r="AB56" s="86">
        <v>0</v>
      </c>
      <c r="AC56" s="86">
        <v>0</v>
      </c>
      <c r="AD56" s="86">
        <v>17.244523675929699</v>
      </c>
      <c r="AE56" s="86">
        <v>0.44320301471941798</v>
      </c>
      <c r="AF56" s="86">
        <v>0</v>
      </c>
      <c r="AG56" s="86">
        <v>0</v>
      </c>
      <c r="AH56" s="86">
        <v>0</v>
      </c>
      <c r="AI56" s="86">
        <v>-15.309516955125501</v>
      </c>
      <c r="AJ56" s="86">
        <v>0</v>
      </c>
      <c r="AK56" s="86">
        <v>23.659118900270901</v>
      </c>
      <c r="AL56" s="86">
        <v>0</v>
      </c>
      <c r="AM56" s="86">
        <v>177.209452751085</v>
      </c>
      <c r="AN56" s="86">
        <v>0</v>
      </c>
      <c r="AO56" s="86">
        <v>0</v>
      </c>
      <c r="AP56" s="86">
        <v>0</v>
      </c>
      <c r="AQ56" s="86">
        <v>0</v>
      </c>
      <c r="AR56" s="44">
        <v>4.5536608155500398</v>
      </c>
    </row>
    <row r="57" spans="2:44" ht="12" customHeight="1" x14ac:dyDescent="0.25">
      <c r="B57" s="43" t="s">
        <v>44</v>
      </c>
      <c r="C57" s="86" t="s">
        <v>23</v>
      </c>
      <c r="D57" s="86" t="s">
        <v>45</v>
      </c>
      <c r="E57" s="86" t="s">
        <v>46</v>
      </c>
      <c r="F57" s="86" t="s">
        <v>25</v>
      </c>
      <c r="G57" s="86" t="s">
        <v>25</v>
      </c>
      <c r="H57" s="86" t="s">
        <v>82</v>
      </c>
      <c r="I57" s="86" t="s">
        <v>25</v>
      </c>
      <c r="J57" s="86">
        <v>223.4</v>
      </c>
      <c r="K57" s="86">
        <v>104.56</v>
      </c>
      <c r="L57" s="86">
        <v>0</v>
      </c>
      <c r="M57" s="86">
        <v>0.48453486228053499</v>
      </c>
      <c r="N57" s="86">
        <v>0</v>
      </c>
      <c r="O57" s="86">
        <v>0</v>
      </c>
      <c r="P57" s="86">
        <v>0</v>
      </c>
      <c r="Q57" s="86">
        <v>49.4603699196172</v>
      </c>
      <c r="R57" s="86">
        <v>7.8169178653647498</v>
      </c>
      <c r="S57" s="86">
        <v>0</v>
      </c>
      <c r="T57" s="86">
        <v>5.6324510735876503</v>
      </c>
      <c r="U57" s="86">
        <v>5.8406113093197698</v>
      </c>
      <c r="V57" s="86">
        <v>1.51176294523562</v>
      </c>
      <c r="W57" s="86">
        <v>0</v>
      </c>
      <c r="X57" s="86">
        <v>41.965807807087302</v>
      </c>
      <c r="Y57" s="86">
        <v>0</v>
      </c>
      <c r="Z57" s="86">
        <v>0</v>
      </c>
      <c r="AA57" s="86">
        <v>100.963901836137</v>
      </c>
      <c r="AB57" s="86">
        <v>0</v>
      </c>
      <c r="AC57" s="86">
        <v>0</v>
      </c>
      <c r="AD57" s="86">
        <v>9.4844880217613401</v>
      </c>
      <c r="AE57" s="86">
        <v>0.24376165809568001</v>
      </c>
      <c r="AF57" s="86">
        <v>0</v>
      </c>
      <c r="AG57" s="86">
        <v>0</v>
      </c>
      <c r="AH57" s="86">
        <v>0</v>
      </c>
      <c r="AI57" s="86">
        <v>-8.4202343253190293</v>
      </c>
      <c r="AJ57" s="86">
        <v>0</v>
      </c>
      <c r="AK57" s="86">
        <v>13.012515395149</v>
      </c>
      <c r="AL57" s="86">
        <v>0</v>
      </c>
      <c r="AM57" s="86">
        <v>97.465199013096495</v>
      </c>
      <c r="AN57" s="86">
        <v>0</v>
      </c>
      <c r="AO57" s="86">
        <v>0</v>
      </c>
      <c r="AP57" s="86">
        <v>0</v>
      </c>
      <c r="AQ57" s="86">
        <v>0</v>
      </c>
      <c r="AR57" s="44">
        <v>2.5045134485525198</v>
      </c>
    </row>
    <row r="58" spans="2:44" ht="12" customHeight="1" x14ac:dyDescent="0.25">
      <c r="B58" s="45" t="s">
        <v>44</v>
      </c>
      <c r="C58" s="87" t="s">
        <v>23</v>
      </c>
      <c r="D58" s="87" t="s">
        <v>45</v>
      </c>
      <c r="E58" s="87" t="s">
        <v>100</v>
      </c>
      <c r="F58" s="87" t="s">
        <v>25</v>
      </c>
      <c r="G58" s="87" t="s">
        <v>25</v>
      </c>
      <c r="H58" s="87" t="s">
        <v>82</v>
      </c>
      <c r="I58" s="87" t="s">
        <v>25</v>
      </c>
      <c r="J58" s="87">
        <v>243.71</v>
      </c>
      <c r="K58" s="87">
        <v>114.07</v>
      </c>
      <c r="L58" s="87">
        <v>0</v>
      </c>
      <c r="M58" s="87">
        <v>0.52858348612422001</v>
      </c>
      <c r="N58" s="87">
        <v>0</v>
      </c>
      <c r="O58" s="87">
        <v>0</v>
      </c>
      <c r="P58" s="87">
        <v>0</v>
      </c>
      <c r="Q58" s="87">
        <v>53.956767185036902</v>
      </c>
      <c r="R58" s="87">
        <v>8.5275467622160903</v>
      </c>
      <c r="S58" s="87">
        <v>0</v>
      </c>
      <c r="T58" s="87">
        <v>6.1444920802774297</v>
      </c>
      <c r="U58" s="87">
        <v>6.3715759738033801</v>
      </c>
      <c r="V58" s="87">
        <v>1.64919594025704</v>
      </c>
      <c r="W58" s="87">
        <v>0</v>
      </c>
      <c r="X58" s="87">
        <v>45.780881244095198</v>
      </c>
      <c r="Y58" s="87">
        <v>0</v>
      </c>
      <c r="Z58" s="87">
        <v>0</v>
      </c>
      <c r="AA58" s="87">
        <v>110.14243836669399</v>
      </c>
      <c r="AB58" s="87">
        <v>0</v>
      </c>
      <c r="AC58" s="87">
        <v>0</v>
      </c>
      <c r="AD58" s="87">
        <v>10.346714205557801</v>
      </c>
      <c r="AE58" s="87">
        <v>0.26592180883165101</v>
      </c>
      <c r="AF58" s="87">
        <v>0</v>
      </c>
      <c r="AG58" s="87">
        <v>0</v>
      </c>
      <c r="AH58" s="87">
        <v>0</v>
      </c>
      <c r="AI58" s="87">
        <v>-9.1857101730753001</v>
      </c>
      <c r="AJ58" s="87">
        <v>0</v>
      </c>
      <c r="AK58" s="87">
        <v>14.1954713401626</v>
      </c>
      <c r="AL58" s="87">
        <v>0</v>
      </c>
      <c r="AM58" s="87">
        <v>106.325671650651</v>
      </c>
      <c r="AN58" s="87">
        <v>0</v>
      </c>
      <c r="AO58" s="87">
        <v>0</v>
      </c>
      <c r="AP58" s="87">
        <v>0</v>
      </c>
      <c r="AQ58" s="87">
        <v>0</v>
      </c>
      <c r="AR58" s="46">
        <v>2.7321964893300299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D0312-5222-4160-9112-CAC8E4A8B292}">
  <dimension ref="B1:AR58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0" width="11.28515625" bestFit="1" customWidth="1"/>
    <col min="21" max="21" width="11.140625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1.140625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28" t="s">
        <v>1135</v>
      </c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9"/>
      <c r="AH1" s="128" t="s">
        <v>1136</v>
      </c>
      <c r="AI1" s="128"/>
      <c r="AJ1" s="128"/>
      <c r="AK1" s="128"/>
      <c r="AL1" s="128"/>
      <c r="AM1" s="128"/>
      <c r="AN1" s="128"/>
      <c r="AO1" s="128"/>
      <c r="AP1" s="128"/>
      <c r="AQ1" s="128"/>
      <c r="AR1" s="128"/>
    </row>
    <row r="2" spans="2:44" ht="12" customHeight="1" x14ac:dyDescent="0.25">
      <c r="L2" s="130" t="s">
        <v>445</v>
      </c>
      <c r="M2" s="130"/>
      <c r="N2" s="130"/>
      <c r="O2" s="130"/>
      <c r="P2" s="130"/>
      <c r="Q2" s="130"/>
      <c r="R2" s="130"/>
      <c r="S2" s="131"/>
      <c r="T2" s="130" t="s">
        <v>454</v>
      </c>
      <c r="U2" s="130"/>
      <c r="V2" s="130"/>
      <c r="W2" s="130"/>
      <c r="X2" s="130"/>
      <c r="Y2" s="130"/>
      <c r="Z2" s="131"/>
      <c r="AA2" s="47" t="s">
        <v>462</v>
      </c>
      <c r="AB2" s="130" t="s">
        <v>25</v>
      </c>
      <c r="AC2" s="131"/>
      <c r="AD2" s="130" t="s">
        <v>1134</v>
      </c>
      <c r="AE2" s="130"/>
      <c r="AF2" s="130"/>
      <c r="AG2" s="131"/>
      <c r="AH2" s="130" t="s">
        <v>445</v>
      </c>
      <c r="AI2" s="130"/>
      <c r="AJ2" s="130"/>
      <c r="AK2" s="130"/>
      <c r="AL2" s="131"/>
      <c r="AM2" s="47" t="s">
        <v>476</v>
      </c>
      <c r="AN2" s="130" t="s">
        <v>454</v>
      </c>
      <c r="AO2" s="130"/>
      <c r="AP2" s="130"/>
      <c r="AQ2" s="131"/>
      <c r="AR2" s="88" t="s">
        <v>1134</v>
      </c>
    </row>
    <row r="3" spans="2:44" ht="12" customHeight="1" x14ac:dyDescent="0.25">
      <c r="B3" s="41" t="s">
        <v>72</v>
      </c>
      <c r="C3" s="85" t="s">
        <v>73</v>
      </c>
      <c r="D3" s="85" t="s">
        <v>74</v>
      </c>
      <c r="E3" s="85" t="s">
        <v>75</v>
      </c>
      <c r="F3" s="85" t="s">
        <v>76</v>
      </c>
      <c r="G3" s="85" t="s">
        <v>78</v>
      </c>
      <c r="H3" s="85" t="s">
        <v>79</v>
      </c>
      <c r="I3" s="85" t="s">
        <v>716</v>
      </c>
      <c r="J3" s="85" t="s">
        <v>1098</v>
      </c>
      <c r="K3" s="85" t="s">
        <v>1099</v>
      </c>
      <c r="L3" s="85" t="s">
        <v>1100</v>
      </c>
      <c r="M3" s="85" t="s">
        <v>1101</v>
      </c>
      <c r="N3" s="85" t="s">
        <v>1102</v>
      </c>
      <c r="O3" s="85" t="s">
        <v>1103</v>
      </c>
      <c r="P3" s="85" t="s">
        <v>1104</v>
      </c>
      <c r="Q3" s="85" t="s">
        <v>1105</v>
      </c>
      <c r="R3" s="85" t="s">
        <v>1106</v>
      </c>
      <c r="S3" s="85" t="s">
        <v>1107</v>
      </c>
      <c r="T3" s="85" t="s">
        <v>1108</v>
      </c>
      <c r="U3" s="85" t="s">
        <v>1109</v>
      </c>
      <c r="V3" s="85" t="s">
        <v>1110</v>
      </c>
      <c r="W3" s="85" t="s">
        <v>1111</v>
      </c>
      <c r="X3" s="85" t="s">
        <v>1112</v>
      </c>
      <c r="Y3" s="85" t="s">
        <v>1113</v>
      </c>
      <c r="Z3" s="85" t="s">
        <v>1114</v>
      </c>
      <c r="AA3" s="85" t="s">
        <v>1115</v>
      </c>
      <c r="AB3" s="85" t="s">
        <v>1116</v>
      </c>
      <c r="AC3" s="85" t="s">
        <v>1117</v>
      </c>
      <c r="AD3" s="85" t="s">
        <v>1118</v>
      </c>
      <c r="AE3" s="85" t="s">
        <v>1119</v>
      </c>
      <c r="AF3" s="85" t="s">
        <v>1120</v>
      </c>
      <c r="AG3" s="85" t="s">
        <v>1121</v>
      </c>
      <c r="AH3" s="85" t="s">
        <v>1122</v>
      </c>
      <c r="AI3" s="85" t="s">
        <v>1123</v>
      </c>
      <c r="AJ3" s="85" t="s">
        <v>1124</v>
      </c>
      <c r="AK3" s="85" t="s">
        <v>1125</v>
      </c>
      <c r="AL3" s="85" t="s">
        <v>1126</v>
      </c>
      <c r="AM3" s="85" t="s">
        <v>1127</v>
      </c>
      <c r="AN3" s="85" t="s">
        <v>1128</v>
      </c>
      <c r="AO3" s="85" t="s">
        <v>1129</v>
      </c>
      <c r="AP3" s="85" t="s">
        <v>1130</v>
      </c>
      <c r="AQ3" s="85" t="s">
        <v>1131</v>
      </c>
      <c r="AR3" s="42" t="s">
        <v>1132</v>
      </c>
    </row>
    <row r="4" spans="2:44" ht="12" customHeight="1" x14ac:dyDescent="0.25">
      <c r="B4" s="43" t="s">
        <v>53</v>
      </c>
      <c r="C4" s="86" t="s">
        <v>36</v>
      </c>
      <c r="D4" s="86" t="s">
        <v>25</v>
      </c>
      <c r="E4" s="86" t="s">
        <v>25</v>
      </c>
      <c r="F4" s="86" t="s">
        <v>89</v>
      </c>
      <c r="G4" s="86" t="s">
        <v>37</v>
      </c>
      <c r="H4" s="86" t="s">
        <v>82</v>
      </c>
      <c r="I4" s="86" t="s">
        <v>25</v>
      </c>
      <c r="J4" s="86">
        <v>0</v>
      </c>
      <c r="K4" s="86">
        <v>0</v>
      </c>
      <c r="L4" s="86">
        <v>0</v>
      </c>
      <c r="M4" s="86">
        <v>0</v>
      </c>
      <c r="N4" s="86">
        <v>0</v>
      </c>
      <c r="O4" s="86">
        <v>0</v>
      </c>
      <c r="P4" s="86">
        <v>0</v>
      </c>
      <c r="Q4" s="86">
        <v>0</v>
      </c>
      <c r="R4" s="86">
        <v>0</v>
      </c>
      <c r="S4" s="86">
        <v>0</v>
      </c>
      <c r="T4" s="86">
        <v>0</v>
      </c>
      <c r="U4" s="86">
        <v>0</v>
      </c>
      <c r="V4" s="86">
        <v>0</v>
      </c>
      <c r="W4" s="86">
        <v>0</v>
      </c>
      <c r="X4" s="86">
        <v>0</v>
      </c>
      <c r="Y4" s="86">
        <v>0</v>
      </c>
      <c r="Z4" s="86">
        <v>0</v>
      </c>
      <c r="AA4" s="86">
        <v>0</v>
      </c>
      <c r="AB4" s="86">
        <v>0</v>
      </c>
      <c r="AC4" s="86">
        <v>0</v>
      </c>
      <c r="AD4" s="86">
        <v>0</v>
      </c>
      <c r="AE4" s="86">
        <v>0</v>
      </c>
      <c r="AF4" s="86">
        <v>0</v>
      </c>
      <c r="AG4" s="86">
        <v>0</v>
      </c>
      <c r="AH4" s="86">
        <v>0</v>
      </c>
      <c r="AI4" s="86">
        <v>0</v>
      </c>
      <c r="AJ4" s="86">
        <v>0</v>
      </c>
      <c r="AK4" s="86">
        <v>0</v>
      </c>
      <c r="AL4" s="86">
        <v>0</v>
      </c>
      <c r="AM4" s="86">
        <v>0</v>
      </c>
      <c r="AN4" s="86">
        <v>0</v>
      </c>
      <c r="AO4" s="86">
        <v>0</v>
      </c>
      <c r="AP4" s="86">
        <v>0</v>
      </c>
      <c r="AQ4" s="86">
        <v>0</v>
      </c>
      <c r="AR4" s="44">
        <v>0</v>
      </c>
    </row>
    <row r="5" spans="2:44" ht="12" customHeight="1" x14ac:dyDescent="0.25">
      <c r="B5" s="43" t="s">
        <v>53</v>
      </c>
      <c r="C5" s="86" t="s">
        <v>36</v>
      </c>
      <c r="D5" s="86" t="s">
        <v>25</v>
      </c>
      <c r="E5" s="86" t="s">
        <v>25</v>
      </c>
      <c r="F5" s="86" t="s">
        <v>89</v>
      </c>
      <c r="G5" s="86" t="s">
        <v>37</v>
      </c>
      <c r="H5" s="86" t="s">
        <v>85</v>
      </c>
      <c r="I5" s="86" t="s">
        <v>25</v>
      </c>
      <c r="J5" s="86">
        <v>0</v>
      </c>
      <c r="K5" s="86">
        <v>0</v>
      </c>
      <c r="L5" s="86">
        <v>0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  <c r="R5" s="86">
        <v>0</v>
      </c>
      <c r="S5" s="86">
        <v>0</v>
      </c>
      <c r="T5" s="86">
        <v>0</v>
      </c>
      <c r="U5" s="86">
        <v>0</v>
      </c>
      <c r="V5" s="86">
        <v>0</v>
      </c>
      <c r="W5" s="86">
        <v>0</v>
      </c>
      <c r="X5" s="86">
        <v>0</v>
      </c>
      <c r="Y5" s="86">
        <v>0</v>
      </c>
      <c r="Z5" s="86">
        <v>0</v>
      </c>
      <c r="AA5" s="86">
        <v>0</v>
      </c>
      <c r="AB5" s="86">
        <v>0</v>
      </c>
      <c r="AC5" s="86">
        <v>0</v>
      </c>
      <c r="AD5" s="86">
        <v>0</v>
      </c>
      <c r="AE5" s="86">
        <v>0</v>
      </c>
      <c r="AF5" s="86">
        <v>0</v>
      </c>
      <c r="AG5" s="86">
        <v>0</v>
      </c>
      <c r="AH5" s="86">
        <v>0</v>
      </c>
      <c r="AI5" s="86">
        <v>0</v>
      </c>
      <c r="AJ5" s="86">
        <v>0</v>
      </c>
      <c r="AK5" s="86">
        <v>0</v>
      </c>
      <c r="AL5" s="86">
        <v>0</v>
      </c>
      <c r="AM5" s="86">
        <v>0</v>
      </c>
      <c r="AN5" s="86">
        <v>0</v>
      </c>
      <c r="AO5" s="86">
        <v>0</v>
      </c>
      <c r="AP5" s="86">
        <v>0</v>
      </c>
      <c r="AQ5" s="86">
        <v>0</v>
      </c>
      <c r="AR5" s="44">
        <v>0</v>
      </c>
    </row>
    <row r="6" spans="2:44" ht="12" customHeight="1" x14ac:dyDescent="0.25">
      <c r="B6" s="43" t="s">
        <v>53</v>
      </c>
      <c r="C6" s="86" t="s">
        <v>36</v>
      </c>
      <c r="D6" s="86" t="s">
        <v>25</v>
      </c>
      <c r="E6" s="86" t="s">
        <v>25</v>
      </c>
      <c r="F6" s="86" t="s">
        <v>89</v>
      </c>
      <c r="G6" s="86" t="s">
        <v>38</v>
      </c>
      <c r="H6" s="86" t="s">
        <v>82</v>
      </c>
      <c r="I6" s="86" t="s">
        <v>25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  <c r="R6" s="86">
        <v>0</v>
      </c>
      <c r="S6" s="86">
        <v>0</v>
      </c>
      <c r="T6" s="86">
        <v>0</v>
      </c>
      <c r="U6" s="86">
        <v>0</v>
      </c>
      <c r="V6" s="86">
        <v>0</v>
      </c>
      <c r="W6" s="86">
        <v>0</v>
      </c>
      <c r="X6" s="86">
        <v>0</v>
      </c>
      <c r="Y6" s="86">
        <v>0</v>
      </c>
      <c r="Z6" s="86">
        <v>0</v>
      </c>
      <c r="AA6" s="86">
        <v>0</v>
      </c>
      <c r="AB6" s="86">
        <v>0</v>
      </c>
      <c r="AC6" s="86">
        <v>0</v>
      </c>
      <c r="AD6" s="86">
        <v>0</v>
      </c>
      <c r="AE6" s="86">
        <v>0</v>
      </c>
      <c r="AF6" s="86">
        <v>0</v>
      </c>
      <c r="AG6" s="86">
        <v>0</v>
      </c>
      <c r="AH6" s="86">
        <v>0</v>
      </c>
      <c r="AI6" s="86">
        <v>0</v>
      </c>
      <c r="AJ6" s="86">
        <v>0</v>
      </c>
      <c r="AK6" s="86">
        <v>0</v>
      </c>
      <c r="AL6" s="86">
        <v>0</v>
      </c>
      <c r="AM6" s="86">
        <v>0</v>
      </c>
      <c r="AN6" s="86">
        <v>0</v>
      </c>
      <c r="AO6" s="86">
        <v>0</v>
      </c>
      <c r="AP6" s="86">
        <v>0</v>
      </c>
      <c r="AQ6" s="86">
        <v>0</v>
      </c>
      <c r="AR6" s="44">
        <v>0</v>
      </c>
    </row>
    <row r="7" spans="2:44" ht="12" customHeight="1" x14ac:dyDescent="0.25">
      <c r="B7" s="43" t="s">
        <v>53</v>
      </c>
      <c r="C7" s="86" t="s">
        <v>36</v>
      </c>
      <c r="D7" s="86" t="s">
        <v>25</v>
      </c>
      <c r="E7" s="86" t="s">
        <v>25</v>
      </c>
      <c r="F7" s="86" t="s">
        <v>89</v>
      </c>
      <c r="G7" s="86" t="s">
        <v>38</v>
      </c>
      <c r="H7" s="86" t="s">
        <v>85</v>
      </c>
      <c r="I7" s="86" t="s">
        <v>25</v>
      </c>
      <c r="J7" s="86">
        <v>0</v>
      </c>
      <c r="K7" s="86">
        <v>0</v>
      </c>
      <c r="L7" s="86">
        <v>0</v>
      </c>
      <c r="M7" s="86">
        <v>0</v>
      </c>
      <c r="N7" s="86">
        <v>0</v>
      </c>
      <c r="O7" s="86">
        <v>0</v>
      </c>
      <c r="P7" s="86">
        <v>0</v>
      </c>
      <c r="Q7" s="86">
        <v>0</v>
      </c>
      <c r="R7" s="86">
        <v>0</v>
      </c>
      <c r="S7" s="86">
        <v>0</v>
      </c>
      <c r="T7" s="86">
        <v>0</v>
      </c>
      <c r="U7" s="86">
        <v>0</v>
      </c>
      <c r="V7" s="86">
        <v>0</v>
      </c>
      <c r="W7" s="86">
        <v>0</v>
      </c>
      <c r="X7" s="86">
        <v>0</v>
      </c>
      <c r="Y7" s="86">
        <v>0</v>
      </c>
      <c r="Z7" s="86">
        <v>0</v>
      </c>
      <c r="AA7" s="86">
        <v>0</v>
      </c>
      <c r="AB7" s="86">
        <v>0</v>
      </c>
      <c r="AC7" s="86">
        <v>0</v>
      </c>
      <c r="AD7" s="86">
        <v>0</v>
      </c>
      <c r="AE7" s="86">
        <v>0</v>
      </c>
      <c r="AF7" s="86">
        <v>0</v>
      </c>
      <c r="AG7" s="86">
        <v>0</v>
      </c>
      <c r="AH7" s="86">
        <v>0</v>
      </c>
      <c r="AI7" s="86">
        <v>0</v>
      </c>
      <c r="AJ7" s="86">
        <v>0</v>
      </c>
      <c r="AK7" s="86">
        <v>0</v>
      </c>
      <c r="AL7" s="86">
        <v>0</v>
      </c>
      <c r="AM7" s="86">
        <v>0</v>
      </c>
      <c r="AN7" s="86">
        <v>0</v>
      </c>
      <c r="AO7" s="86">
        <v>0</v>
      </c>
      <c r="AP7" s="86">
        <v>0</v>
      </c>
      <c r="AQ7" s="86">
        <v>0</v>
      </c>
      <c r="AR7" s="44">
        <v>0</v>
      </c>
    </row>
    <row r="8" spans="2:44" ht="12" customHeight="1" x14ac:dyDescent="0.25">
      <c r="B8" s="43" t="s">
        <v>53</v>
      </c>
      <c r="C8" s="86" t="s">
        <v>36</v>
      </c>
      <c r="D8" s="86" t="s">
        <v>25</v>
      </c>
      <c r="E8" s="86" t="s">
        <v>25</v>
      </c>
      <c r="F8" s="86" t="s">
        <v>25</v>
      </c>
      <c r="G8" s="86" t="s">
        <v>37</v>
      </c>
      <c r="H8" s="86" t="s">
        <v>82</v>
      </c>
      <c r="I8" s="86" t="s">
        <v>25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0</v>
      </c>
      <c r="Y8" s="86">
        <v>0</v>
      </c>
      <c r="Z8" s="86">
        <v>0</v>
      </c>
      <c r="AA8" s="86">
        <v>0</v>
      </c>
      <c r="AB8" s="86">
        <v>0</v>
      </c>
      <c r="AC8" s="86">
        <v>0</v>
      </c>
      <c r="AD8" s="86">
        <v>0</v>
      </c>
      <c r="AE8" s="86">
        <v>0</v>
      </c>
      <c r="AF8" s="86">
        <v>0</v>
      </c>
      <c r="AG8" s="86">
        <v>0</v>
      </c>
      <c r="AH8" s="86">
        <v>0</v>
      </c>
      <c r="AI8" s="86">
        <v>0</v>
      </c>
      <c r="AJ8" s="86">
        <v>0</v>
      </c>
      <c r="AK8" s="86">
        <v>0</v>
      </c>
      <c r="AL8" s="86">
        <v>0</v>
      </c>
      <c r="AM8" s="86">
        <v>0</v>
      </c>
      <c r="AN8" s="86">
        <v>0</v>
      </c>
      <c r="AO8" s="86">
        <v>0</v>
      </c>
      <c r="AP8" s="86">
        <v>0</v>
      </c>
      <c r="AQ8" s="86">
        <v>0</v>
      </c>
      <c r="AR8" s="44">
        <v>0</v>
      </c>
    </row>
    <row r="9" spans="2:44" ht="12" customHeight="1" x14ac:dyDescent="0.25">
      <c r="B9" s="43" t="s">
        <v>53</v>
      </c>
      <c r="C9" s="86" t="s">
        <v>36</v>
      </c>
      <c r="D9" s="86" t="s">
        <v>25</v>
      </c>
      <c r="E9" s="86" t="s">
        <v>25</v>
      </c>
      <c r="F9" s="86" t="s">
        <v>25</v>
      </c>
      <c r="G9" s="86" t="s">
        <v>37</v>
      </c>
      <c r="H9" s="86" t="s">
        <v>85</v>
      </c>
      <c r="I9" s="86" t="s">
        <v>25</v>
      </c>
      <c r="J9" s="86">
        <v>0</v>
      </c>
      <c r="K9" s="86">
        <v>0</v>
      </c>
      <c r="L9" s="86">
        <v>0</v>
      </c>
      <c r="M9" s="86">
        <v>0</v>
      </c>
      <c r="N9" s="86">
        <v>0</v>
      </c>
      <c r="O9" s="86">
        <v>0</v>
      </c>
      <c r="P9" s="86">
        <v>0</v>
      </c>
      <c r="Q9" s="86">
        <v>0</v>
      </c>
      <c r="R9" s="86">
        <v>0</v>
      </c>
      <c r="S9" s="86">
        <v>0</v>
      </c>
      <c r="T9" s="86">
        <v>0</v>
      </c>
      <c r="U9" s="86">
        <v>0</v>
      </c>
      <c r="V9" s="86">
        <v>0</v>
      </c>
      <c r="W9" s="86">
        <v>0</v>
      </c>
      <c r="X9" s="86">
        <v>0</v>
      </c>
      <c r="Y9" s="86">
        <v>0</v>
      </c>
      <c r="Z9" s="86">
        <v>0</v>
      </c>
      <c r="AA9" s="86">
        <v>0</v>
      </c>
      <c r="AB9" s="86">
        <v>0</v>
      </c>
      <c r="AC9" s="86">
        <v>0</v>
      </c>
      <c r="AD9" s="86">
        <v>0</v>
      </c>
      <c r="AE9" s="86">
        <v>0</v>
      </c>
      <c r="AF9" s="86">
        <v>0</v>
      </c>
      <c r="AG9" s="86">
        <v>0</v>
      </c>
      <c r="AH9" s="86">
        <v>0</v>
      </c>
      <c r="AI9" s="86">
        <v>0</v>
      </c>
      <c r="AJ9" s="86">
        <v>0</v>
      </c>
      <c r="AK9" s="86">
        <v>0</v>
      </c>
      <c r="AL9" s="86">
        <v>0</v>
      </c>
      <c r="AM9" s="86">
        <v>0</v>
      </c>
      <c r="AN9" s="86">
        <v>0</v>
      </c>
      <c r="AO9" s="86">
        <v>0</v>
      </c>
      <c r="AP9" s="86">
        <v>0</v>
      </c>
      <c r="AQ9" s="86">
        <v>0</v>
      </c>
      <c r="AR9" s="44">
        <v>0</v>
      </c>
    </row>
    <row r="10" spans="2:44" ht="12" customHeight="1" x14ac:dyDescent="0.25">
      <c r="B10" s="43" t="s">
        <v>53</v>
      </c>
      <c r="C10" s="86" t="s">
        <v>36</v>
      </c>
      <c r="D10" s="86" t="s">
        <v>25</v>
      </c>
      <c r="E10" s="86" t="s">
        <v>25</v>
      </c>
      <c r="F10" s="86" t="s">
        <v>25</v>
      </c>
      <c r="G10" s="86" t="s">
        <v>38</v>
      </c>
      <c r="H10" s="86" t="s">
        <v>82</v>
      </c>
      <c r="I10" s="86" t="s">
        <v>25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  <c r="R10" s="86">
        <v>0</v>
      </c>
      <c r="S10" s="86">
        <v>0</v>
      </c>
      <c r="T10" s="86">
        <v>0</v>
      </c>
      <c r="U10" s="86">
        <v>0</v>
      </c>
      <c r="V10" s="86">
        <v>0</v>
      </c>
      <c r="W10" s="86">
        <v>0</v>
      </c>
      <c r="X10" s="86">
        <v>0</v>
      </c>
      <c r="Y10" s="86">
        <v>0</v>
      </c>
      <c r="Z10" s="86">
        <v>0</v>
      </c>
      <c r="AA10" s="86">
        <v>0</v>
      </c>
      <c r="AB10" s="86">
        <v>0</v>
      </c>
      <c r="AC10" s="86">
        <v>0</v>
      </c>
      <c r="AD10" s="86">
        <v>0</v>
      </c>
      <c r="AE10" s="86">
        <v>0</v>
      </c>
      <c r="AF10" s="86">
        <v>0</v>
      </c>
      <c r="AG10" s="86">
        <v>0</v>
      </c>
      <c r="AH10" s="86">
        <v>0</v>
      </c>
      <c r="AI10" s="86">
        <v>0</v>
      </c>
      <c r="AJ10" s="86">
        <v>0</v>
      </c>
      <c r="AK10" s="86">
        <v>0</v>
      </c>
      <c r="AL10" s="86">
        <v>0</v>
      </c>
      <c r="AM10" s="86">
        <v>0</v>
      </c>
      <c r="AN10" s="86">
        <v>0</v>
      </c>
      <c r="AO10" s="86">
        <v>0</v>
      </c>
      <c r="AP10" s="86">
        <v>0</v>
      </c>
      <c r="AQ10" s="86">
        <v>0</v>
      </c>
      <c r="AR10" s="44">
        <v>0</v>
      </c>
    </row>
    <row r="11" spans="2:44" ht="12" customHeight="1" x14ac:dyDescent="0.25">
      <c r="B11" s="43" t="s">
        <v>53</v>
      </c>
      <c r="C11" s="86" t="s">
        <v>36</v>
      </c>
      <c r="D11" s="86" t="s">
        <v>25</v>
      </c>
      <c r="E11" s="86" t="s">
        <v>25</v>
      </c>
      <c r="F11" s="86" t="s">
        <v>25</v>
      </c>
      <c r="G11" s="86" t="s">
        <v>38</v>
      </c>
      <c r="H11" s="86" t="s">
        <v>85</v>
      </c>
      <c r="I11" s="86" t="s">
        <v>25</v>
      </c>
      <c r="J11" s="86">
        <v>0</v>
      </c>
      <c r="K11" s="86">
        <v>0</v>
      </c>
      <c r="L11" s="86">
        <v>0</v>
      </c>
      <c r="M11" s="86">
        <v>0</v>
      </c>
      <c r="N11" s="86">
        <v>0</v>
      </c>
      <c r="O11" s="86">
        <v>0</v>
      </c>
      <c r="P11" s="86">
        <v>0</v>
      </c>
      <c r="Q11" s="86">
        <v>0</v>
      </c>
      <c r="R11" s="86">
        <v>0</v>
      </c>
      <c r="S11" s="86">
        <v>0</v>
      </c>
      <c r="T11" s="86">
        <v>0</v>
      </c>
      <c r="U11" s="86">
        <v>0</v>
      </c>
      <c r="V11" s="86">
        <v>0</v>
      </c>
      <c r="W11" s="86">
        <v>0</v>
      </c>
      <c r="X11" s="86">
        <v>0</v>
      </c>
      <c r="Y11" s="86">
        <v>0</v>
      </c>
      <c r="Z11" s="86">
        <v>0</v>
      </c>
      <c r="AA11" s="86">
        <v>0</v>
      </c>
      <c r="AB11" s="86">
        <v>0</v>
      </c>
      <c r="AC11" s="86">
        <v>0</v>
      </c>
      <c r="AD11" s="86">
        <v>0</v>
      </c>
      <c r="AE11" s="86">
        <v>0</v>
      </c>
      <c r="AF11" s="86">
        <v>0</v>
      </c>
      <c r="AG11" s="86">
        <v>0</v>
      </c>
      <c r="AH11" s="86">
        <v>0</v>
      </c>
      <c r="AI11" s="86">
        <v>0</v>
      </c>
      <c r="AJ11" s="86">
        <v>0</v>
      </c>
      <c r="AK11" s="86">
        <v>0</v>
      </c>
      <c r="AL11" s="86">
        <v>0</v>
      </c>
      <c r="AM11" s="86">
        <v>0</v>
      </c>
      <c r="AN11" s="86">
        <v>0</v>
      </c>
      <c r="AO11" s="86">
        <v>0</v>
      </c>
      <c r="AP11" s="86">
        <v>0</v>
      </c>
      <c r="AQ11" s="86">
        <v>0</v>
      </c>
      <c r="AR11" s="44">
        <v>0</v>
      </c>
    </row>
    <row r="12" spans="2:44" ht="12" customHeight="1" x14ac:dyDescent="0.25">
      <c r="B12" s="43" t="s">
        <v>35</v>
      </c>
      <c r="C12" s="86" t="s">
        <v>36</v>
      </c>
      <c r="D12" s="86" t="s">
        <v>25</v>
      </c>
      <c r="E12" s="86" t="s">
        <v>25</v>
      </c>
      <c r="F12" s="86" t="s">
        <v>89</v>
      </c>
      <c r="G12" s="86" t="s">
        <v>37</v>
      </c>
      <c r="H12" s="86" t="s">
        <v>82</v>
      </c>
      <c r="I12" s="86" t="s">
        <v>25</v>
      </c>
      <c r="J12" s="86">
        <v>0</v>
      </c>
      <c r="K12" s="86">
        <v>0</v>
      </c>
      <c r="L12" s="86">
        <v>0</v>
      </c>
      <c r="M12" s="86">
        <v>0</v>
      </c>
      <c r="N12" s="86">
        <v>0</v>
      </c>
      <c r="O12" s="86">
        <v>0</v>
      </c>
      <c r="P12" s="86">
        <v>0</v>
      </c>
      <c r="Q12" s="86">
        <v>0</v>
      </c>
      <c r="R12" s="86">
        <v>0</v>
      </c>
      <c r="S12" s="86">
        <v>0</v>
      </c>
      <c r="T12" s="86">
        <v>0</v>
      </c>
      <c r="U12" s="86">
        <v>0</v>
      </c>
      <c r="V12" s="86">
        <v>0</v>
      </c>
      <c r="W12" s="86">
        <v>0</v>
      </c>
      <c r="X12" s="86">
        <v>0</v>
      </c>
      <c r="Y12" s="86">
        <v>0</v>
      </c>
      <c r="Z12" s="86">
        <v>0</v>
      </c>
      <c r="AA12" s="86">
        <v>0</v>
      </c>
      <c r="AB12" s="86">
        <v>0</v>
      </c>
      <c r="AC12" s="86">
        <v>0</v>
      </c>
      <c r="AD12" s="86">
        <v>0</v>
      </c>
      <c r="AE12" s="86">
        <v>0</v>
      </c>
      <c r="AF12" s="86">
        <v>0</v>
      </c>
      <c r="AG12" s="86">
        <v>0</v>
      </c>
      <c r="AH12" s="86">
        <v>0</v>
      </c>
      <c r="AI12" s="86">
        <v>0</v>
      </c>
      <c r="AJ12" s="86">
        <v>0</v>
      </c>
      <c r="AK12" s="86">
        <v>0</v>
      </c>
      <c r="AL12" s="86">
        <v>0</v>
      </c>
      <c r="AM12" s="86">
        <v>0</v>
      </c>
      <c r="AN12" s="86">
        <v>0</v>
      </c>
      <c r="AO12" s="86">
        <v>0</v>
      </c>
      <c r="AP12" s="86">
        <v>0</v>
      </c>
      <c r="AQ12" s="86">
        <v>0</v>
      </c>
      <c r="AR12" s="44">
        <v>0</v>
      </c>
    </row>
    <row r="13" spans="2:44" ht="12" customHeight="1" x14ac:dyDescent="0.25">
      <c r="B13" s="43" t="s">
        <v>35</v>
      </c>
      <c r="C13" s="86" t="s">
        <v>36</v>
      </c>
      <c r="D13" s="86" t="s">
        <v>25</v>
      </c>
      <c r="E13" s="86" t="s">
        <v>25</v>
      </c>
      <c r="F13" s="86" t="s">
        <v>89</v>
      </c>
      <c r="G13" s="86" t="s">
        <v>37</v>
      </c>
      <c r="H13" s="86" t="s">
        <v>85</v>
      </c>
      <c r="I13" s="86" t="s">
        <v>25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0</v>
      </c>
      <c r="Y13" s="86">
        <v>0</v>
      </c>
      <c r="Z13" s="86">
        <v>0</v>
      </c>
      <c r="AA13" s="86">
        <v>0</v>
      </c>
      <c r="AB13" s="86">
        <v>0</v>
      </c>
      <c r="AC13" s="86">
        <v>0</v>
      </c>
      <c r="AD13" s="86">
        <v>0</v>
      </c>
      <c r="AE13" s="86">
        <v>0</v>
      </c>
      <c r="AF13" s="86">
        <v>0</v>
      </c>
      <c r="AG13" s="86">
        <v>0</v>
      </c>
      <c r="AH13" s="86">
        <v>0</v>
      </c>
      <c r="AI13" s="86">
        <v>0</v>
      </c>
      <c r="AJ13" s="86">
        <v>0</v>
      </c>
      <c r="AK13" s="86">
        <v>0</v>
      </c>
      <c r="AL13" s="86">
        <v>0</v>
      </c>
      <c r="AM13" s="86">
        <v>0</v>
      </c>
      <c r="AN13" s="86">
        <v>0</v>
      </c>
      <c r="AO13" s="86">
        <v>0</v>
      </c>
      <c r="AP13" s="86">
        <v>0</v>
      </c>
      <c r="AQ13" s="86">
        <v>0</v>
      </c>
      <c r="AR13" s="44">
        <v>0</v>
      </c>
    </row>
    <row r="14" spans="2:44" ht="12" customHeight="1" x14ac:dyDescent="0.25">
      <c r="B14" s="43" t="s">
        <v>35</v>
      </c>
      <c r="C14" s="86" t="s">
        <v>36</v>
      </c>
      <c r="D14" s="86" t="s">
        <v>25</v>
      </c>
      <c r="E14" s="86" t="s">
        <v>25</v>
      </c>
      <c r="F14" s="86" t="s">
        <v>89</v>
      </c>
      <c r="G14" s="86" t="s">
        <v>38</v>
      </c>
      <c r="H14" s="86" t="s">
        <v>82</v>
      </c>
      <c r="I14" s="86" t="s">
        <v>25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0</v>
      </c>
      <c r="Z14" s="86">
        <v>0</v>
      </c>
      <c r="AA14" s="86">
        <v>0</v>
      </c>
      <c r="AB14" s="86">
        <v>0</v>
      </c>
      <c r="AC14" s="86">
        <v>0</v>
      </c>
      <c r="AD14" s="86">
        <v>0</v>
      </c>
      <c r="AE14" s="86">
        <v>0</v>
      </c>
      <c r="AF14" s="86">
        <v>0</v>
      </c>
      <c r="AG14" s="86">
        <v>0</v>
      </c>
      <c r="AH14" s="86">
        <v>0</v>
      </c>
      <c r="AI14" s="86">
        <v>0</v>
      </c>
      <c r="AJ14" s="86">
        <v>0</v>
      </c>
      <c r="AK14" s="86">
        <v>0</v>
      </c>
      <c r="AL14" s="86">
        <v>0</v>
      </c>
      <c r="AM14" s="86">
        <v>0</v>
      </c>
      <c r="AN14" s="86">
        <v>0</v>
      </c>
      <c r="AO14" s="86">
        <v>0</v>
      </c>
      <c r="AP14" s="86">
        <v>0</v>
      </c>
      <c r="AQ14" s="86">
        <v>0</v>
      </c>
      <c r="AR14" s="44">
        <v>0</v>
      </c>
    </row>
    <row r="15" spans="2:44" ht="12" customHeight="1" x14ac:dyDescent="0.25">
      <c r="B15" s="43" t="s">
        <v>35</v>
      </c>
      <c r="C15" s="86" t="s">
        <v>36</v>
      </c>
      <c r="D15" s="86" t="s">
        <v>25</v>
      </c>
      <c r="E15" s="86" t="s">
        <v>25</v>
      </c>
      <c r="F15" s="86" t="s">
        <v>89</v>
      </c>
      <c r="G15" s="86" t="s">
        <v>38</v>
      </c>
      <c r="H15" s="86" t="s">
        <v>85</v>
      </c>
      <c r="I15" s="86" t="s">
        <v>25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0</v>
      </c>
      <c r="T15" s="86">
        <v>0</v>
      </c>
      <c r="U15" s="86">
        <v>0</v>
      </c>
      <c r="V15" s="86">
        <v>0</v>
      </c>
      <c r="W15" s="86">
        <v>0</v>
      </c>
      <c r="X15" s="86">
        <v>0</v>
      </c>
      <c r="Y15" s="86">
        <v>0</v>
      </c>
      <c r="Z15" s="86">
        <v>0</v>
      </c>
      <c r="AA15" s="86">
        <v>0</v>
      </c>
      <c r="AB15" s="86">
        <v>0</v>
      </c>
      <c r="AC15" s="86">
        <v>0</v>
      </c>
      <c r="AD15" s="86">
        <v>0</v>
      </c>
      <c r="AE15" s="86">
        <v>0</v>
      </c>
      <c r="AF15" s="86">
        <v>0</v>
      </c>
      <c r="AG15" s="86">
        <v>0</v>
      </c>
      <c r="AH15" s="86">
        <v>0</v>
      </c>
      <c r="AI15" s="86">
        <v>0</v>
      </c>
      <c r="AJ15" s="86">
        <v>0</v>
      </c>
      <c r="AK15" s="86">
        <v>0</v>
      </c>
      <c r="AL15" s="86">
        <v>0</v>
      </c>
      <c r="AM15" s="86">
        <v>0</v>
      </c>
      <c r="AN15" s="86">
        <v>0</v>
      </c>
      <c r="AO15" s="86">
        <v>0</v>
      </c>
      <c r="AP15" s="86">
        <v>0</v>
      </c>
      <c r="AQ15" s="86">
        <v>0</v>
      </c>
      <c r="AR15" s="44">
        <v>0</v>
      </c>
    </row>
    <row r="16" spans="2:44" ht="12" customHeight="1" x14ac:dyDescent="0.25">
      <c r="B16" s="43" t="s">
        <v>35</v>
      </c>
      <c r="C16" s="86" t="s">
        <v>36</v>
      </c>
      <c r="D16" s="86" t="s">
        <v>25</v>
      </c>
      <c r="E16" s="86" t="s">
        <v>25</v>
      </c>
      <c r="F16" s="86" t="s">
        <v>25</v>
      </c>
      <c r="G16" s="86" t="s">
        <v>37</v>
      </c>
      <c r="H16" s="86" t="s">
        <v>82</v>
      </c>
      <c r="I16" s="86" t="s">
        <v>25</v>
      </c>
      <c r="J16" s="86">
        <v>0</v>
      </c>
      <c r="K16" s="86">
        <v>0</v>
      </c>
      <c r="L16" s="86">
        <v>0</v>
      </c>
      <c r="M16" s="86">
        <v>0</v>
      </c>
      <c r="N16" s="86">
        <v>0</v>
      </c>
      <c r="O16" s="86">
        <v>0</v>
      </c>
      <c r="P16" s="86">
        <v>0</v>
      </c>
      <c r="Q16" s="86">
        <v>0</v>
      </c>
      <c r="R16" s="86">
        <v>0</v>
      </c>
      <c r="S16" s="86">
        <v>0</v>
      </c>
      <c r="T16" s="86">
        <v>0</v>
      </c>
      <c r="U16" s="86">
        <v>0</v>
      </c>
      <c r="V16" s="86">
        <v>0</v>
      </c>
      <c r="W16" s="86">
        <v>0</v>
      </c>
      <c r="X16" s="86">
        <v>0</v>
      </c>
      <c r="Y16" s="86">
        <v>0</v>
      </c>
      <c r="Z16" s="86">
        <v>0</v>
      </c>
      <c r="AA16" s="86">
        <v>0</v>
      </c>
      <c r="AB16" s="86">
        <v>0</v>
      </c>
      <c r="AC16" s="86">
        <v>0</v>
      </c>
      <c r="AD16" s="86">
        <v>0</v>
      </c>
      <c r="AE16" s="86">
        <v>0</v>
      </c>
      <c r="AF16" s="86">
        <v>0</v>
      </c>
      <c r="AG16" s="86">
        <v>0</v>
      </c>
      <c r="AH16" s="86">
        <v>0</v>
      </c>
      <c r="AI16" s="86">
        <v>0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44">
        <v>0</v>
      </c>
    </row>
    <row r="17" spans="2:44" ht="12" customHeight="1" x14ac:dyDescent="0.25">
      <c r="B17" s="43" t="s">
        <v>35</v>
      </c>
      <c r="C17" s="86" t="s">
        <v>36</v>
      </c>
      <c r="D17" s="86" t="s">
        <v>25</v>
      </c>
      <c r="E17" s="86" t="s">
        <v>25</v>
      </c>
      <c r="F17" s="86" t="s">
        <v>25</v>
      </c>
      <c r="G17" s="86" t="s">
        <v>37</v>
      </c>
      <c r="H17" s="86" t="s">
        <v>85</v>
      </c>
      <c r="I17" s="86" t="s">
        <v>25</v>
      </c>
      <c r="J17" s="86">
        <v>0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0</v>
      </c>
      <c r="Q17" s="86">
        <v>0</v>
      </c>
      <c r="R17" s="86">
        <v>0</v>
      </c>
      <c r="S17" s="86">
        <v>0</v>
      </c>
      <c r="T17" s="86">
        <v>0</v>
      </c>
      <c r="U17" s="86">
        <v>0</v>
      </c>
      <c r="V17" s="86">
        <v>0</v>
      </c>
      <c r="W17" s="86">
        <v>0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44">
        <v>0</v>
      </c>
    </row>
    <row r="18" spans="2:44" ht="12" customHeight="1" x14ac:dyDescent="0.25">
      <c r="B18" s="43" t="s">
        <v>35</v>
      </c>
      <c r="C18" s="86" t="s">
        <v>36</v>
      </c>
      <c r="D18" s="86" t="s">
        <v>25</v>
      </c>
      <c r="E18" s="86" t="s">
        <v>25</v>
      </c>
      <c r="F18" s="86" t="s">
        <v>25</v>
      </c>
      <c r="G18" s="86" t="s">
        <v>38</v>
      </c>
      <c r="H18" s="86" t="s">
        <v>82</v>
      </c>
      <c r="I18" s="86" t="s">
        <v>25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0</v>
      </c>
      <c r="V18" s="86">
        <v>0</v>
      </c>
      <c r="W18" s="86">
        <v>0</v>
      </c>
      <c r="X18" s="86">
        <v>0</v>
      </c>
      <c r="Y18" s="86">
        <v>0</v>
      </c>
      <c r="Z18" s="86">
        <v>0</v>
      </c>
      <c r="AA18" s="86">
        <v>0</v>
      </c>
      <c r="AB18" s="86">
        <v>0</v>
      </c>
      <c r="AC18" s="86">
        <v>0</v>
      </c>
      <c r="AD18" s="86">
        <v>0</v>
      </c>
      <c r="AE18" s="86">
        <v>0</v>
      </c>
      <c r="AF18" s="86">
        <v>0</v>
      </c>
      <c r="AG18" s="86">
        <v>0</v>
      </c>
      <c r="AH18" s="86">
        <v>0</v>
      </c>
      <c r="AI18" s="86">
        <v>0</v>
      </c>
      <c r="AJ18" s="86">
        <v>0</v>
      </c>
      <c r="AK18" s="86">
        <v>0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44">
        <v>0</v>
      </c>
    </row>
    <row r="19" spans="2:44" ht="12" customHeight="1" x14ac:dyDescent="0.25">
      <c r="B19" s="43" t="s">
        <v>35</v>
      </c>
      <c r="C19" s="86" t="s">
        <v>36</v>
      </c>
      <c r="D19" s="86" t="s">
        <v>25</v>
      </c>
      <c r="E19" s="86" t="s">
        <v>25</v>
      </c>
      <c r="F19" s="86" t="s">
        <v>25</v>
      </c>
      <c r="G19" s="86" t="s">
        <v>38</v>
      </c>
      <c r="H19" s="86" t="s">
        <v>85</v>
      </c>
      <c r="I19" s="86" t="s">
        <v>25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0</v>
      </c>
      <c r="AI19" s="86">
        <v>0</v>
      </c>
      <c r="AJ19" s="86">
        <v>0</v>
      </c>
      <c r="AK19" s="86">
        <v>0</v>
      </c>
      <c r="AL19" s="86">
        <v>0</v>
      </c>
      <c r="AM19" s="86">
        <v>0</v>
      </c>
      <c r="AN19" s="86">
        <v>0</v>
      </c>
      <c r="AO19" s="86">
        <v>0</v>
      </c>
      <c r="AP19" s="86">
        <v>0</v>
      </c>
      <c r="AQ19" s="86">
        <v>0</v>
      </c>
      <c r="AR19" s="44">
        <v>0</v>
      </c>
    </row>
    <row r="20" spans="2:44" ht="12" customHeight="1" x14ac:dyDescent="0.25">
      <c r="B20" s="43" t="s">
        <v>35</v>
      </c>
      <c r="C20" s="86" t="s">
        <v>23</v>
      </c>
      <c r="D20" s="86" t="s">
        <v>25</v>
      </c>
      <c r="E20" s="86" t="s">
        <v>25</v>
      </c>
      <c r="F20" s="86" t="s">
        <v>25</v>
      </c>
      <c r="G20" s="86" t="s">
        <v>25</v>
      </c>
      <c r="H20" s="86" t="s">
        <v>82</v>
      </c>
      <c r="I20" s="86" t="s">
        <v>25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  <c r="R20" s="86">
        <v>0</v>
      </c>
      <c r="S20" s="86">
        <v>0</v>
      </c>
      <c r="T20" s="86">
        <v>0</v>
      </c>
      <c r="U20" s="86">
        <v>0</v>
      </c>
      <c r="V20" s="86">
        <v>0</v>
      </c>
      <c r="W20" s="86">
        <v>0</v>
      </c>
      <c r="X20" s="86">
        <v>0</v>
      </c>
      <c r="Y20" s="86">
        <v>0</v>
      </c>
      <c r="Z20" s="86">
        <v>0</v>
      </c>
      <c r="AA20" s="86">
        <v>0</v>
      </c>
      <c r="AB20" s="86">
        <v>0</v>
      </c>
      <c r="AC20" s="86">
        <v>0</v>
      </c>
      <c r="AD20" s="86">
        <v>0</v>
      </c>
      <c r="AE20" s="86">
        <v>0</v>
      </c>
      <c r="AF20" s="86">
        <v>0</v>
      </c>
      <c r="AG20" s="86">
        <v>0</v>
      </c>
      <c r="AH20" s="86">
        <v>0</v>
      </c>
      <c r="AI20" s="86">
        <v>0</v>
      </c>
      <c r="AJ20" s="86">
        <v>0</v>
      </c>
      <c r="AK20" s="86">
        <v>0</v>
      </c>
      <c r="AL20" s="86">
        <v>0</v>
      </c>
      <c r="AM20" s="86">
        <v>0</v>
      </c>
      <c r="AN20" s="86">
        <v>0</v>
      </c>
      <c r="AO20" s="86">
        <v>0</v>
      </c>
      <c r="AP20" s="86">
        <v>0</v>
      </c>
      <c r="AQ20" s="86">
        <v>0</v>
      </c>
      <c r="AR20" s="44">
        <v>0</v>
      </c>
    </row>
    <row r="21" spans="2:44" ht="12" customHeight="1" x14ac:dyDescent="0.25">
      <c r="B21" s="43" t="s">
        <v>35</v>
      </c>
      <c r="C21" s="86" t="s">
        <v>56</v>
      </c>
      <c r="D21" s="86" t="s">
        <v>25</v>
      </c>
      <c r="E21" s="86" t="s">
        <v>25</v>
      </c>
      <c r="F21" s="86" t="s">
        <v>25</v>
      </c>
      <c r="G21" s="86" t="s">
        <v>25</v>
      </c>
      <c r="H21" s="86" t="s">
        <v>85</v>
      </c>
      <c r="I21" s="86" t="s">
        <v>25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0</v>
      </c>
      <c r="S21" s="86">
        <v>0</v>
      </c>
      <c r="T21" s="86">
        <v>0</v>
      </c>
      <c r="U21" s="86">
        <v>0</v>
      </c>
      <c r="V21" s="86">
        <v>0</v>
      </c>
      <c r="W21" s="86">
        <v>0</v>
      </c>
      <c r="X21" s="86">
        <v>0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44">
        <v>0</v>
      </c>
    </row>
    <row r="22" spans="2:44" ht="12" customHeight="1" x14ac:dyDescent="0.25">
      <c r="B22" s="43" t="s">
        <v>35</v>
      </c>
      <c r="C22" s="86" t="s">
        <v>39</v>
      </c>
      <c r="D22" s="86" t="s">
        <v>25</v>
      </c>
      <c r="E22" s="86" t="s">
        <v>25</v>
      </c>
      <c r="F22" s="86" t="s">
        <v>89</v>
      </c>
      <c r="G22" s="86" t="s">
        <v>37</v>
      </c>
      <c r="H22" s="86" t="s">
        <v>82</v>
      </c>
      <c r="I22" s="86" t="s">
        <v>25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0</v>
      </c>
      <c r="Y22" s="86">
        <v>0</v>
      </c>
      <c r="Z22" s="86">
        <v>0</v>
      </c>
      <c r="AA22" s="86">
        <v>0</v>
      </c>
      <c r="AB22" s="86">
        <v>0</v>
      </c>
      <c r="AC22" s="86">
        <v>0</v>
      </c>
      <c r="AD22" s="86">
        <v>0</v>
      </c>
      <c r="AE22" s="86">
        <v>0</v>
      </c>
      <c r="AF22" s="86">
        <v>0</v>
      </c>
      <c r="AG22" s="86">
        <v>0</v>
      </c>
      <c r="AH22" s="86">
        <v>0</v>
      </c>
      <c r="AI22" s="86">
        <v>0</v>
      </c>
      <c r="AJ22" s="86">
        <v>0</v>
      </c>
      <c r="AK22" s="86">
        <v>0</v>
      </c>
      <c r="AL22" s="86">
        <v>0</v>
      </c>
      <c r="AM22" s="86">
        <v>0</v>
      </c>
      <c r="AN22" s="86">
        <v>0</v>
      </c>
      <c r="AO22" s="86">
        <v>0</v>
      </c>
      <c r="AP22" s="86">
        <v>0</v>
      </c>
      <c r="AQ22" s="86">
        <v>0</v>
      </c>
      <c r="AR22" s="44">
        <v>0</v>
      </c>
    </row>
    <row r="23" spans="2:44" ht="12" customHeight="1" x14ac:dyDescent="0.25">
      <c r="B23" s="43" t="s">
        <v>35</v>
      </c>
      <c r="C23" s="86" t="s">
        <v>39</v>
      </c>
      <c r="D23" s="86" t="s">
        <v>25</v>
      </c>
      <c r="E23" s="86" t="s">
        <v>25</v>
      </c>
      <c r="F23" s="86" t="s">
        <v>89</v>
      </c>
      <c r="G23" s="86" t="s">
        <v>25</v>
      </c>
      <c r="H23" s="86" t="s">
        <v>85</v>
      </c>
      <c r="I23" s="86" t="s">
        <v>25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  <c r="R23" s="86">
        <v>0</v>
      </c>
      <c r="S23" s="86">
        <v>0</v>
      </c>
      <c r="T23" s="86">
        <v>0</v>
      </c>
      <c r="U23" s="86">
        <v>0</v>
      </c>
      <c r="V23" s="86">
        <v>0</v>
      </c>
      <c r="W23" s="86">
        <v>0</v>
      </c>
      <c r="X23" s="86">
        <v>0</v>
      </c>
      <c r="Y23" s="86">
        <v>0</v>
      </c>
      <c r="Z23" s="86">
        <v>0</v>
      </c>
      <c r="AA23" s="86">
        <v>0</v>
      </c>
      <c r="AB23" s="86">
        <v>0</v>
      </c>
      <c r="AC23" s="86">
        <v>0</v>
      </c>
      <c r="AD23" s="86">
        <v>0</v>
      </c>
      <c r="AE23" s="86">
        <v>0</v>
      </c>
      <c r="AF23" s="86">
        <v>0</v>
      </c>
      <c r="AG23" s="86">
        <v>0</v>
      </c>
      <c r="AH23" s="86">
        <v>0</v>
      </c>
      <c r="AI23" s="86">
        <v>0</v>
      </c>
      <c r="AJ23" s="86">
        <v>0</v>
      </c>
      <c r="AK23" s="86">
        <v>0</v>
      </c>
      <c r="AL23" s="86">
        <v>0</v>
      </c>
      <c r="AM23" s="86">
        <v>0</v>
      </c>
      <c r="AN23" s="86">
        <v>0</v>
      </c>
      <c r="AO23" s="86">
        <v>0</v>
      </c>
      <c r="AP23" s="86">
        <v>0</v>
      </c>
      <c r="AQ23" s="86">
        <v>0</v>
      </c>
      <c r="AR23" s="44">
        <v>0</v>
      </c>
    </row>
    <row r="24" spans="2:44" ht="12" customHeight="1" x14ac:dyDescent="0.25">
      <c r="B24" s="43" t="s">
        <v>35</v>
      </c>
      <c r="C24" s="86" t="s">
        <v>39</v>
      </c>
      <c r="D24" s="86" t="s">
        <v>25</v>
      </c>
      <c r="E24" s="86" t="s">
        <v>25</v>
      </c>
      <c r="F24" s="86" t="s">
        <v>89</v>
      </c>
      <c r="G24" s="86" t="s">
        <v>38</v>
      </c>
      <c r="H24" s="86" t="s">
        <v>82</v>
      </c>
      <c r="I24" s="86" t="s">
        <v>25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0</v>
      </c>
      <c r="AD24" s="86">
        <v>0</v>
      </c>
      <c r="AE24" s="86">
        <v>0</v>
      </c>
      <c r="AF24" s="86">
        <v>0</v>
      </c>
      <c r="AG24" s="86">
        <v>0</v>
      </c>
      <c r="AH24" s="86">
        <v>0</v>
      </c>
      <c r="AI24" s="86">
        <v>0</v>
      </c>
      <c r="AJ24" s="86">
        <v>0</v>
      </c>
      <c r="AK24" s="86">
        <v>0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44">
        <v>0</v>
      </c>
    </row>
    <row r="25" spans="2:44" ht="12" customHeight="1" x14ac:dyDescent="0.25">
      <c r="B25" s="43" t="s">
        <v>35</v>
      </c>
      <c r="C25" s="86" t="s">
        <v>39</v>
      </c>
      <c r="D25" s="86" t="s">
        <v>25</v>
      </c>
      <c r="E25" s="86" t="s">
        <v>25</v>
      </c>
      <c r="F25" s="86" t="s">
        <v>25</v>
      </c>
      <c r="G25" s="86" t="s">
        <v>37</v>
      </c>
      <c r="H25" s="86" t="s">
        <v>82</v>
      </c>
      <c r="I25" s="86" t="s">
        <v>25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0</v>
      </c>
      <c r="P25" s="86">
        <v>0</v>
      </c>
      <c r="Q25" s="86">
        <v>0</v>
      </c>
      <c r="R25" s="86">
        <v>0</v>
      </c>
      <c r="S25" s="86">
        <v>0</v>
      </c>
      <c r="T25" s="86">
        <v>0</v>
      </c>
      <c r="U25" s="86">
        <v>0</v>
      </c>
      <c r="V25" s="86">
        <v>0</v>
      </c>
      <c r="W25" s="86">
        <v>0</v>
      </c>
      <c r="X25" s="86">
        <v>0</v>
      </c>
      <c r="Y25" s="86">
        <v>0</v>
      </c>
      <c r="Z25" s="86">
        <v>0</v>
      </c>
      <c r="AA25" s="86">
        <v>0</v>
      </c>
      <c r="AB25" s="86">
        <v>0</v>
      </c>
      <c r="AC25" s="86">
        <v>0</v>
      </c>
      <c r="AD25" s="86">
        <v>0</v>
      </c>
      <c r="AE25" s="86">
        <v>0</v>
      </c>
      <c r="AF25" s="86">
        <v>0</v>
      </c>
      <c r="AG25" s="86">
        <v>0</v>
      </c>
      <c r="AH25" s="86">
        <v>0</v>
      </c>
      <c r="AI25" s="86">
        <v>0</v>
      </c>
      <c r="AJ25" s="86">
        <v>0</v>
      </c>
      <c r="AK25" s="86">
        <v>0</v>
      </c>
      <c r="AL25" s="86">
        <v>0</v>
      </c>
      <c r="AM25" s="86">
        <v>0</v>
      </c>
      <c r="AN25" s="86">
        <v>0</v>
      </c>
      <c r="AO25" s="86">
        <v>0</v>
      </c>
      <c r="AP25" s="86">
        <v>0</v>
      </c>
      <c r="AQ25" s="86">
        <v>0</v>
      </c>
      <c r="AR25" s="44">
        <v>0</v>
      </c>
    </row>
    <row r="26" spans="2:44" ht="12" customHeight="1" x14ac:dyDescent="0.25">
      <c r="B26" s="43" t="s">
        <v>35</v>
      </c>
      <c r="C26" s="86" t="s">
        <v>39</v>
      </c>
      <c r="D26" s="86" t="s">
        <v>25</v>
      </c>
      <c r="E26" s="86" t="s">
        <v>25</v>
      </c>
      <c r="F26" s="86" t="s">
        <v>25</v>
      </c>
      <c r="G26" s="86" t="s">
        <v>25</v>
      </c>
      <c r="H26" s="86" t="s">
        <v>85</v>
      </c>
      <c r="I26" s="86" t="s">
        <v>25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0</v>
      </c>
      <c r="R26" s="86">
        <v>0</v>
      </c>
      <c r="S26" s="86">
        <v>0</v>
      </c>
      <c r="T26" s="86">
        <v>0</v>
      </c>
      <c r="U26" s="86">
        <v>0</v>
      </c>
      <c r="V26" s="86">
        <v>0</v>
      </c>
      <c r="W26" s="86">
        <v>0</v>
      </c>
      <c r="X26" s="86">
        <v>0</v>
      </c>
      <c r="Y26" s="86">
        <v>0</v>
      </c>
      <c r="Z26" s="86">
        <v>0</v>
      </c>
      <c r="AA26" s="86">
        <v>0</v>
      </c>
      <c r="AB26" s="86">
        <v>0</v>
      </c>
      <c r="AC26" s="86">
        <v>0</v>
      </c>
      <c r="AD26" s="86">
        <v>0</v>
      </c>
      <c r="AE26" s="86">
        <v>0</v>
      </c>
      <c r="AF26" s="86">
        <v>0</v>
      </c>
      <c r="AG26" s="86">
        <v>0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44">
        <v>0</v>
      </c>
    </row>
    <row r="27" spans="2:44" ht="12" customHeight="1" x14ac:dyDescent="0.25">
      <c r="B27" s="43" t="s">
        <v>35</v>
      </c>
      <c r="C27" s="86" t="s">
        <v>39</v>
      </c>
      <c r="D27" s="86" t="s">
        <v>25</v>
      </c>
      <c r="E27" s="86" t="s">
        <v>25</v>
      </c>
      <c r="F27" s="86" t="s">
        <v>25</v>
      </c>
      <c r="G27" s="86" t="s">
        <v>38</v>
      </c>
      <c r="H27" s="86" t="s">
        <v>82</v>
      </c>
      <c r="I27" s="86" t="s">
        <v>25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0</v>
      </c>
      <c r="Q27" s="86">
        <v>0</v>
      </c>
      <c r="R27" s="86">
        <v>0</v>
      </c>
      <c r="S27" s="86">
        <v>0</v>
      </c>
      <c r="T27" s="86">
        <v>0</v>
      </c>
      <c r="U27" s="86">
        <v>0</v>
      </c>
      <c r="V27" s="86">
        <v>0</v>
      </c>
      <c r="W27" s="86">
        <v>0</v>
      </c>
      <c r="X27" s="86">
        <v>0</v>
      </c>
      <c r="Y27" s="86">
        <v>0</v>
      </c>
      <c r="Z27" s="86">
        <v>0</v>
      </c>
      <c r="AA27" s="86">
        <v>0</v>
      </c>
      <c r="AB27" s="86">
        <v>0</v>
      </c>
      <c r="AC27" s="86">
        <v>0</v>
      </c>
      <c r="AD27" s="86">
        <v>0</v>
      </c>
      <c r="AE27" s="86">
        <v>0</v>
      </c>
      <c r="AF27" s="86">
        <v>0</v>
      </c>
      <c r="AG27" s="86">
        <v>0</v>
      </c>
      <c r="AH27" s="86">
        <v>0</v>
      </c>
      <c r="AI27" s="86">
        <v>0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0</v>
      </c>
      <c r="AP27" s="86">
        <v>0</v>
      </c>
      <c r="AQ27" s="86">
        <v>0</v>
      </c>
      <c r="AR27" s="44">
        <v>0</v>
      </c>
    </row>
    <row r="28" spans="2:44" ht="12" customHeight="1" x14ac:dyDescent="0.25">
      <c r="B28" s="43" t="s">
        <v>91</v>
      </c>
      <c r="C28" s="86" t="s">
        <v>56</v>
      </c>
      <c r="D28" s="86" t="s">
        <v>25</v>
      </c>
      <c r="E28" s="86" t="s">
        <v>25</v>
      </c>
      <c r="F28" s="86" t="s">
        <v>92</v>
      </c>
      <c r="G28" s="86" t="s">
        <v>25</v>
      </c>
      <c r="H28" s="86" t="s">
        <v>85</v>
      </c>
      <c r="I28" s="86" t="s">
        <v>25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0</v>
      </c>
      <c r="U28" s="86">
        <v>0</v>
      </c>
      <c r="V28" s="86">
        <v>0</v>
      </c>
      <c r="W28" s="86">
        <v>0</v>
      </c>
      <c r="X28" s="86">
        <v>0</v>
      </c>
      <c r="Y28" s="86">
        <v>0</v>
      </c>
      <c r="Z28" s="86">
        <v>0</v>
      </c>
      <c r="AA28" s="86">
        <v>0</v>
      </c>
      <c r="AB28" s="86">
        <v>0</v>
      </c>
      <c r="AC28" s="86">
        <v>0</v>
      </c>
      <c r="AD28" s="86">
        <v>0</v>
      </c>
      <c r="AE28" s="86">
        <v>0</v>
      </c>
      <c r="AF28" s="86">
        <v>0</v>
      </c>
      <c r="AG28" s="86">
        <v>0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44">
        <v>0</v>
      </c>
    </row>
    <row r="29" spans="2:44" ht="12" customHeight="1" x14ac:dyDescent="0.25">
      <c r="B29" s="43" t="s">
        <v>91</v>
      </c>
      <c r="C29" s="86" t="s">
        <v>56</v>
      </c>
      <c r="D29" s="86" t="s">
        <v>25</v>
      </c>
      <c r="E29" s="86" t="s">
        <v>25</v>
      </c>
      <c r="F29" s="86" t="s">
        <v>93</v>
      </c>
      <c r="G29" s="86" t="s">
        <v>25</v>
      </c>
      <c r="H29" s="86" t="s">
        <v>85</v>
      </c>
      <c r="I29" s="86" t="s">
        <v>25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44">
        <v>0</v>
      </c>
    </row>
    <row r="30" spans="2:44" ht="12" customHeight="1" x14ac:dyDescent="0.25">
      <c r="B30" s="43" t="s">
        <v>22</v>
      </c>
      <c r="C30" s="86" t="s">
        <v>95</v>
      </c>
      <c r="D30" s="86" t="s">
        <v>24</v>
      </c>
      <c r="E30" s="86" t="s">
        <v>24</v>
      </c>
      <c r="F30" s="86" t="s">
        <v>25</v>
      </c>
      <c r="G30" s="86" t="s">
        <v>37</v>
      </c>
      <c r="H30" s="86" t="s">
        <v>82</v>
      </c>
      <c r="I30" s="86" t="s">
        <v>25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44">
        <v>0</v>
      </c>
    </row>
    <row r="31" spans="2:44" ht="12" customHeight="1" x14ac:dyDescent="0.25">
      <c r="B31" s="43" t="s">
        <v>22</v>
      </c>
      <c r="C31" s="86" t="s">
        <v>95</v>
      </c>
      <c r="D31" s="86" t="s">
        <v>24</v>
      </c>
      <c r="E31" s="86" t="s">
        <v>24</v>
      </c>
      <c r="F31" s="86" t="s">
        <v>25</v>
      </c>
      <c r="G31" s="86" t="s">
        <v>585</v>
      </c>
      <c r="H31" s="86" t="s">
        <v>82</v>
      </c>
      <c r="I31" s="86" t="s">
        <v>25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0</v>
      </c>
      <c r="U31" s="86">
        <v>0</v>
      </c>
      <c r="V31" s="86">
        <v>0</v>
      </c>
      <c r="W31" s="86">
        <v>0</v>
      </c>
      <c r="X31" s="86">
        <v>0</v>
      </c>
      <c r="Y31" s="86">
        <v>0</v>
      </c>
      <c r="Z31" s="86">
        <v>0</v>
      </c>
      <c r="AA31" s="86">
        <v>0</v>
      </c>
      <c r="AB31" s="86">
        <v>0</v>
      </c>
      <c r="AC31" s="86">
        <v>0</v>
      </c>
      <c r="AD31" s="86">
        <v>0</v>
      </c>
      <c r="AE31" s="86">
        <v>0</v>
      </c>
      <c r="AF31" s="86">
        <v>0</v>
      </c>
      <c r="AG31" s="86">
        <v>0</v>
      </c>
      <c r="AH31" s="86">
        <v>0</v>
      </c>
      <c r="AI31" s="86">
        <v>0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44">
        <v>0</v>
      </c>
    </row>
    <row r="32" spans="2:44" ht="12" customHeight="1" x14ac:dyDescent="0.25">
      <c r="B32" s="43" t="s">
        <v>22</v>
      </c>
      <c r="C32" s="86" t="s">
        <v>95</v>
      </c>
      <c r="D32" s="86" t="s">
        <v>24</v>
      </c>
      <c r="E32" s="86" t="s">
        <v>24</v>
      </c>
      <c r="F32" s="86" t="s">
        <v>25</v>
      </c>
      <c r="G32" s="86" t="s">
        <v>38</v>
      </c>
      <c r="H32" s="86" t="s">
        <v>82</v>
      </c>
      <c r="I32" s="86" t="s">
        <v>25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44">
        <v>0</v>
      </c>
    </row>
    <row r="33" spans="2:44" ht="12" customHeight="1" x14ac:dyDescent="0.25">
      <c r="B33" s="43" t="s">
        <v>22</v>
      </c>
      <c r="C33" s="86" t="s">
        <v>23</v>
      </c>
      <c r="D33" s="86" t="s">
        <v>24</v>
      </c>
      <c r="E33" s="86" t="s">
        <v>1133</v>
      </c>
      <c r="F33" s="86" t="s">
        <v>25</v>
      </c>
      <c r="G33" s="86" t="s">
        <v>25</v>
      </c>
      <c r="H33" s="86" t="s">
        <v>82</v>
      </c>
      <c r="I33" s="86" t="s">
        <v>25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0</v>
      </c>
      <c r="P33" s="86">
        <v>0</v>
      </c>
      <c r="Q33" s="86">
        <v>0</v>
      </c>
      <c r="R33" s="86">
        <v>0</v>
      </c>
      <c r="S33" s="86">
        <v>0</v>
      </c>
      <c r="T33" s="86">
        <v>0</v>
      </c>
      <c r="U33" s="86">
        <v>0</v>
      </c>
      <c r="V33" s="86">
        <v>0</v>
      </c>
      <c r="W33" s="86">
        <v>0</v>
      </c>
      <c r="X33" s="86">
        <v>0</v>
      </c>
      <c r="Y33" s="86">
        <v>0</v>
      </c>
      <c r="Z33" s="86">
        <v>0</v>
      </c>
      <c r="AA33" s="86">
        <v>0</v>
      </c>
      <c r="AB33" s="86">
        <v>0</v>
      </c>
      <c r="AC33" s="86">
        <v>0</v>
      </c>
      <c r="AD33" s="86">
        <v>0</v>
      </c>
      <c r="AE33" s="86">
        <v>0</v>
      </c>
      <c r="AF33" s="86">
        <v>0</v>
      </c>
      <c r="AG33" s="86">
        <v>0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0</v>
      </c>
      <c r="AO33" s="86">
        <v>0</v>
      </c>
      <c r="AP33" s="86">
        <v>0</v>
      </c>
      <c r="AQ33" s="86">
        <v>0</v>
      </c>
      <c r="AR33" s="44">
        <v>0</v>
      </c>
    </row>
    <row r="34" spans="2:44" ht="12" customHeight="1" x14ac:dyDescent="0.25">
      <c r="B34" s="43" t="s">
        <v>22</v>
      </c>
      <c r="C34" s="86" t="s">
        <v>23</v>
      </c>
      <c r="D34" s="86" t="s">
        <v>24</v>
      </c>
      <c r="E34" s="86" t="s">
        <v>24</v>
      </c>
      <c r="F34" s="86" t="s">
        <v>25</v>
      </c>
      <c r="G34" s="86" t="s">
        <v>25</v>
      </c>
      <c r="H34" s="86" t="s">
        <v>82</v>
      </c>
      <c r="I34" s="86" t="s">
        <v>25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44">
        <v>0</v>
      </c>
    </row>
    <row r="35" spans="2:44" ht="12" customHeight="1" x14ac:dyDescent="0.25">
      <c r="B35" s="43" t="s">
        <v>22</v>
      </c>
      <c r="C35" s="86" t="s">
        <v>97</v>
      </c>
      <c r="D35" s="86" t="s">
        <v>24</v>
      </c>
      <c r="E35" s="86" t="s">
        <v>1133</v>
      </c>
      <c r="F35" s="86" t="s">
        <v>25</v>
      </c>
      <c r="G35" s="86" t="s">
        <v>25</v>
      </c>
      <c r="H35" s="86" t="s">
        <v>82</v>
      </c>
      <c r="I35" s="86" t="s">
        <v>25</v>
      </c>
      <c r="J35" s="86">
        <v>0</v>
      </c>
      <c r="K35" s="86">
        <v>0</v>
      </c>
      <c r="L35" s="86">
        <v>0</v>
      </c>
      <c r="M35" s="86">
        <v>0</v>
      </c>
      <c r="N35" s="86">
        <v>0</v>
      </c>
      <c r="O35" s="86">
        <v>0</v>
      </c>
      <c r="P35" s="86">
        <v>0</v>
      </c>
      <c r="Q35" s="86">
        <v>0</v>
      </c>
      <c r="R35" s="86">
        <v>0</v>
      </c>
      <c r="S35" s="86">
        <v>0</v>
      </c>
      <c r="T35" s="86">
        <v>0</v>
      </c>
      <c r="U35" s="86">
        <v>0</v>
      </c>
      <c r="V35" s="86">
        <v>0</v>
      </c>
      <c r="W35" s="86">
        <v>0</v>
      </c>
      <c r="X35" s="86">
        <v>0</v>
      </c>
      <c r="Y35" s="86">
        <v>0</v>
      </c>
      <c r="Z35" s="86">
        <v>0</v>
      </c>
      <c r="AA35" s="86">
        <v>0</v>
      </c>
      <c r="AB35" s="86">
        <v>0</v>
      </c>
      <c r="AC35" s="86">
        <v>0</v>
      </c>
      <c r="AD35" s="86">
        <v>0</v>
      </c>
      <c r="AE35" s="86">
        <v>0</v>
      </c>
      <c r="AF35" s="86">
        <v>0</v>
      </c>
      <c r="AG35" s="86">
        <v>0</v>
      </c>
      <c r="AH35" s="86">
        <v>0</v>
      </c>
      <c r="AI35" s="86">
        <v>0</v>
      </c>
      <c r="AJ35" s="86">
        <v>0</v>
      </c>
      <c r="AK35" s="86">
        <v>0</v>
      </c>
      <c r="AL35" s="86">
        <v>0</v>
      </c>
      <c r="AM35" s="86">
        <v>0</v>
      </c>
      <c r="AN35" s="86">
        <v>0</v>
      </c>
      <c r="AO35" s="86">
        <v>0</v>
      </c>
      <c r="AP35" s="86">
        <v>0</v>
      </c>
      <c r="AQ35" s="86">
        <v>0</v>
      </c>
      <c r="AR35" s="44">
        <v>0</v>
      </c>
    </row>
    <row r="36" spans="2:44" ht="12" customHeight="1" x14ac:dyDescent="0.25">
      <c r="B36" s="43" t="s">
        <v>22</v>
      </c>
      <c r="C36" s="86" t="s">
        <v>97</v>
      </c>
      <c r="D36" s="86" t="s">
        <v>24</v>
      </c>
      <c r="E36" s="86" t="s">
        <v>24</v>
      </c>
      <c r="F36" s="86" t="s">
        <v>25</v>
      </c>
      <c r="G36" s="86" t="s">
        <v>25</v>
      </c>
      <c r="H36" s="86" t="s">
        <v>82</v>
      </c>
      <c r="I36" s="86" t="s">
        <v>25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0</v>
      </c>
      <c r="AA36" s="86">
        <v>0</v>
      </c>
      <c r="AB36" s="86">
        <v>0</v>
      </c>
      <c r="AC36" s="86">
        <v>0</v>
      </c>
      <c r="AD36" s="86">
        <v>0</v>
      </c>
      <c r="AE36" s="86">
        <v>0</v>
      </c>
      <c r="AF36" s="86">
        <v>0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44">
        <v>0</v>
      </c>
    </row>
    <row r="37" spans="2:44" ht="12" customHeight="1" x14ac:dyDescent="0.25">
      <c r="B37" s="43" t="s">
        <v>41</v>
      </c>
      <c r="C37" s="86" t="s">
        <v>95</v>
      </c>
      <c r="D37" s="86" t="s">
        <v>42</v>
      </c>
      <c r="E37" s="86" t="s">
        <v>98</v>
      </c>
      <c r="F37" s="86" t="s">
        <v>25</v>
      </c>
      <c r="G37" s="86" t="s">
        <v>37</v>
      </c>
      <c r="H37" s="86" t="s">
        <v>82</v>
      </c>
      <c r="I37" s="86" t="s">
        <v>25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0</v>
      </c>
      <c r="W37" s="86">
        <v>0</v>
      </c>
      <c r="X37" s="86">
        <v>0</v>
      </c>
      <c r="Y37" s="86">
        <v>0</v>
      </c>
      <c r="Z37" s="86">
        <v>0</v>
      </c>
      <c r="AA37" s="86">
        <v>0</v>
      </c>
      <c r="AB37" s="86">
        <v>0</v>
      </c>
      <c r="AC37" s="86">
        <v>0</v>
      </c>
      <c r="AD37" s="86">
        <v>0</v>
      </c>
      <c r="AE37" s="86">
        <v>0</v>
      </c>
      <c r="AF37" s="86">
        <v>0</v>
      </c>
      <c r="AG37" s="86">
        <v>0</v>
      </c>
      <c r="AH37" s="86">
        <v>0</v>
      </c>
      <c r="AI37" s="86">
        <v>0</v>
      </c>
      <c r="AJ37" s="86">
        <v>0</v>
      </c>
      <c r="AK37" s="86">
        <v>0</v>
      </c>
      <c r="AL37" s="86">
        <v>0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44">
        <v>0</v>
      </c>
    </row>
    <row r="38" spans="2:44" ht="12" customHeight="1" x14ac:dyDescent="0.25">
      <c r="B38" s="43" t="s">
        <v>41</v>
      </c>
      <c r="C38" s="86" t="s">
        <v>95</v>
      </c>
      <c r="D38" s="86" t="s">
        <v>42</v>
      </c>
      <c r="E38" s="86" t="s">
        <v>98</v>
      </c>
      <c r="F38" s="86" t="s">
        <v>25</v>
      </c>
      <c r="G38" s="86" t="s">
        <v>585</v>
      </c>
      <c r="H38" s="86" t="s">
        <v>82</v>
      </c>
      <c r="I38" s="86" t="s">
        <v>25</v>
      </c>
      <c r="J38" s="86">
        <v>0</v>
      </c>
      <c r="K38" s="86">
        <v>0</v>
      </c>
      <c r="L38" s="86">
        <v>0</v>
      </c>
      <c r="M38" s="86">
        <v>0</v>
      </c>
      <c r="N38" s="86">
        <v>0</v>
      </c>
      <c r="O38" s="86">
        <v>0</v>
      </c>
      <c r="P38" s="86">
        <v>0</v>
      </c>
      <c r="Q38" s="86">
        <v>0</v>
      </c>
      <c r="R38" s="86">
        <v>0</v>
      </c>
      <c r="S38" s="86">
        <v>0</v>
      </c>
      <c r="T38" s="86">
        <v>0</v>
      </c>
      <c r="U38" s="86">
        <v>0</v>
      </c>
      <c r="V38" s="86">
        <v>0</v>
      </c>
      <c r="W38" s="86">
        <v>0</v>
      </c>
      <c r="X38" s="86">
        <v>0</v>
      </c>
      <c r="Y38" s="86">
        <v>0</v>
      </c>
      <c r="Z38" s="86">
        <v>0</v>
      </c>
      <c r="AA38" s="86">
        <v>0</v>
      </c>
      <c r="AB38" s="86">
        <v>0</v>
      </c>
      <c r="AC38" s="86">
        <v>0</v>
      </c>
      <c r="AD38" s="86">
        <v>0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44">
        <v>0</v>
      </c>
    </row>
    <row r="39" spans="2:44" ht="12" customHeight="1" x14ac:dyDescent="0.25">
      <c r="B39" s="43" t="s">
        <v>41</v>
      </c>
      <c r="C39" s="86" t="s">
        <v>95</v>
      </c>
      <c r="D39" s="86" t="s">
        <v>42</v>
      </c>
      <c r="E39" s="86" t="s">
        <v>98</v>
      </c>
      <c r="F39" s="86" t="s">
        <v>25</v>
      </c>
      <c r="G39" s="86" t="s">
        <v>38</v>
      </c>
      <c r="H39" s="86" t="s">
        <v>82</v>
      </c>
      <c r="I39" s="86" t="s">
        <v>25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0</v>
      </c>
      <c r="P39" s="86">
        <v>0</v>
      </c>
      <c r="Q39" s="86">
        <v>0</v>
      </c>
      <c r="R39" s="86">
        <v>0</v>
      </c>
      <c r="S39" s="86">
        <v>0</v>
      </c>
      <c r="T39" s="86">
        <v>0</v>
      </c>
      <c r="U39" s="86">
        <v>0</v>
      </c>
      <c r="V39" s="86">
        <v>0</v>
      </c>
      <c r="W39" s="86">
        <v>0</v>
      </c>
      <c r="X39" s="86">
        <v>0</v>
      </c>
      <c r="Y39" s="86">
        <v>0</v>
      </c>
      <c r="Z39" s="86">
        <v>0</v>
      </c>
      <c r="AA39" s="86">
        <v>0</v>
      </c>
      <c r="AB39" s="86">
        <v>0</v>
      </c>
      <c r="AC39" s="86">
        <v>0</v>
      </c>
      <c r="AD39" s="86">
        <v>0</v>
      </c>
      <c r="AE39" s="86">
        <v>0</v>
      </c>
      <c r="AF39" s="86">
        <v>0</v>
      </c>
      <c r="AG39" s="86">
        <v>0</v>
      </c>
      <c r="AH39" s="86">
        <v>0</v>
      </c>
      <c r="AI39" s="86">
        <v>0</v>
      </c>
      <c r="AJ39" s="86">
        <v>0</v>
      </c>
      <c r="AK39" s="86">
        <v>0</v>
      </c>
      <c r="AL39" s="86">
        <v>0</v>
      </c>
      <c r="AM39" s="86">
        <v>0</v>
      </c>
      <c r="AN39" s="86">
        <v>0</v>
      </c>
      <c r="AO39" s="86">
        <v>0</v>
      </c>
      <c r="AP39" s="86">
        <v>0</v>
      </c>
      <c r="AQ39" s="86">
        <v>0</v>
      </c>
      <c r="AR39" s="44">
        <v>0</v>
      </c>
    </row>
    <row r="40" spans="2:44" ht="12" customHeight="1" x14ac:dyDescent="0.25">
      <c r="B40" s="43" t="s">
        <v>41</v>
      </c>
      <c r="C40" s="86" t="s">
        <v>95</v>
      </c>
      <c r="D40" s="86" t="s">
        <v>42</v>
      </c>
      <c r="E40" s="86" t="s">
        <v>25</v>
      </c>
      <c r="F40" s="86" t="s">
        <v>25</v>
      </c>
      <c r="G40" s="86" t="s">
        <v>37</v>
      </c>
      <c r="H40" s="86" t="s">
        <v>82</v>
      </c>
      <c r="I40" s="86" t="s">
        <v>25</v>
      </c>
      <c r="J40" s="86">
        <v>0</v>
      </c>
      <c r="K40" s="86">
        <v>0</v>
      </c>
      <c r="L40" s="86">
        <v>0</v>
      </c>
      <c r="M40" s="86">
        <v>0</v>
      </c>
      <c r="N40" s="86">
        <v>0</v>
      </c>
      <c r="O40" s="86">
        <v>0</v>
      </c>
      <c r="P40" s="86">
        <v>0</v>
      </c>
      <c r="Q40" s="86">
        <v>0</v>
      </c>
      <c r="R40" s="86">
        <v>0</v>
      </c>
      <c r="S40" s="86">
        <v>0</v>
      </c>
      <c r="T40" s="86">
        <v>0</v>
      </c>
      <c r="U40" s="86">
        <v>0</v>
      </c>
      <c r="V40" s="86">
        <v>0</v>
      </c>
      <c r="W40" s="86">
        <v>0</v>
      </c>
      <c r="X40" s="86">
        <v>0</v>
      </c>
      <c r="Y40" s="86">
        <v>0</v>
      </c>
      <c r="Z40" s="86">
        <v>0</v>
      </c>
      <c r="AA40" s="86">
        <v>0</v>
      </c>
      <c r="AB40" s="86">
        <v>0</v>
      </c>
      <c r="AC40" s="86">
        <v>0</v>
      </c>
      <c r="AD40" s="86">
        <v>0</v>
      </c>
      <c r="AE40" s="86">
        <v>0</v>
      </c>
      <c r="AF40" s="86">
        <v>0</v>
      </c>
      <c r="AG40" s="86">
        <v>0</v>
      </c>
      <c r="AH40" s="86">
        <v>0</v>
      </c>
      <c r="AI40" s="86">
        <v>0</v>
      </c>
      <c r="AJ40" s="86">
        <v>0</v>
      </c>
      <c r="AK40" s="86">
        <v>0</v>
      </c>
      <c r="AL40" s="86">
        <v>0</v>
      </c>
      <c r="AM40" s="86">
        <v>0</v>
      </c>
      <c r="AN40" s="86">
        <v>0</v>
      </c>
      <c r="AO40" s="86">
        <v>0</v>
      </c>
      <c r="AP40" s="86">
        <v>0</v>
      </c>
      <c r="AQ40" s="86">
        <v>0</v>
      </c>
      <c r="AR40" s="44">
        <v>0</v>
      </c>
    </row>
    <row r="41" spans="2:44" ht="12" customHeight="1" x14ac:dyDescent="0.25">
      <c r="B41" s="43" t="s">
        <v>41</v>
      </c>
      <c r="C41" s="86" t="s">
        <v>95</v>
      </c>
      <c r="D41" s="86" t="s">
        <v>42</v>
      </c>
      <c r="E41" s="86" t="s">
        <v>25</v>
      </c>
      <c r="F41" s="86" t="s">
        <v>25</v>
      </c>
      <c r="G41" s="86" t="s">
        <v>585</v>
      </c>
      <c r="H41" s="86" t="s">
        <v>82</v>
      </c>
      <c r="I41" s="86" t="s">
        <v>25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0</v>
      </c>
      <c r="AB41" s="86">
        <v>0</v>
      </c>
      <c r="AC41" s="86">
        <v>0</v>
      </c>
      <c r="AD41" s="86">
        <v>0</v>
      </c>
      <c r="AE41" s="86">
        <v>0</v>
      </c>
      <c r="AF41" s="86">
        <v>0</v>
      </c>
      <c r="AG41" s="86">
        <v>0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44">
        <v>0</v>
      </c>
    </row>
    <row r="42" spans="2:44" ht="12" customHeight="1" x14ac:dyDescent="0.25">
      <c r="B42" s="43" t="s">
        <v>41</v>
      </c>
      <c r="C42" s="86" t="s">
        <v>95</v>
      </c>
      <c r="D42" s="86" t="s">
        <v>42</v>
      </c>
      <c r="E42" s="86" t="s">
        <v>25</v>
      </c>
      <c r="F42" s="86" t="s">
        <v>25</v>
      </c>
      <c r="G42" s="86" t="s">
        <v>38</v>
      </c>
      <c r="H42" s="86" t="s">
        <v>82</v>
      </c>
      <c r="I42" s="86" t="s">
        <v>25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0</v>
      </c>
      <c r="P42" s="86">
        <v>0</v>
      </c>
      <c r="Q42" s="86">
        <v>0</v>
      </c>
      <c r="R42" s="86">
        <v>0</v>
      </c>
      <c r="S42" s="86">
        <v>0</v>
      </c>
      <c r="T42" s="86">
        <v>0</v>
      </c>
      <c r="U42" s="86">
        <v>0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44">
        <v>0</v>
      </c>
    </row>
    <row r="43" spans="2:44" ht="12" customHeight="1" x14ac:dyDescent="0.25">
      <c r="B43" s="43" t="s">
        <v>41</v>
      </c>
      <c r="C43" s="86" t="s">
        <v>95</v>
      </c>
      <c r="D43" s="86" t="s">
        <v>42</v>
      </c>
      <c r="E43" s="86" t="s">
        <v>99</v>
      </c>
      <c r="F43" s="86" t="s">
        <v>25</v>
      </c>
      <c r="G43" s="86" t="s">
        <v>37</v>
      </c>
      <c r="H43" s="86" t="s">
        <v>82</v>
      </c>
      <c r="I43" s="86" t="s">
        <v>25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86">
        <v>0</v>
      </c>
      <c r="P43" s="86">
        <v>0</v>
      </c>
      <c r="Q43" s="86">
        <v>0</v>
      </c>
      <c r="R43" s="86">
        <v>0</v>
      </c>
      <c r="S43" s="86">
        <v>0</v>
      </c>
      <c r="T43" s="86">
        <v>0</v>
      </c>
      <c r="U43" s="86">
        <v>0</v>
      </c>
      <c r="V43" s="86">
        <v>0</v>
      </c>
      <c r="W43" s="86">
        <v>0</v>
      </c>
      <c r="X43" s="86">
        <v>0</v>
      </c>
      <c r="Y43" s="86">
        <v>0</v>
      </c>
      <c r="Z43" s="86">
        <v>0</v>
      </c>
      <c r="AA43" s="86">
        <v>0</v>
      </c>
      <c r="AB43" s="86">
        <v>0</v>
      </c>
      <c r="AC43" s="86">
        <v>0</v>
      </c>
      <c r="AD43" s="86">
        <v>0</v>
      </c>
      <c r="AE43" s="86">
        <v>0</v>
      </c>
      <c r="AF43" s="86">
        <v>0</v>
      </c>
      <c r="AG43" s="86">
        <v>0</v>
      </c>
      <c r="AH43" s="86">
        <v>0</v>
      </c>
      <c r="AI43" s="86">
        <v>0</v>
      </c>
      <c r="AJ43" s="86">
        <v>0</v>
      </c>
      <c r="AK43" s="86">
        <v>0</v>
      </c>
      <c r="AL43" s="86">
        <v>0</v>
      </c>
      <c r="AM43" s="86">
        <v>0</v>
      </c>
      <c r="AN43" s="86">
        <v>0</v>
      </c>
      <c r="AO43" s="86">
        <v>0</v>
      </c>
      <c r="AP43" s="86">
        <v>0</v>
      </c>
      <c r="AQ43" s="86">
        <v>0</v>
      </c>
      <c r="AR43" s="44">
        <v>0</v>
      </c>
    </row>
    <row r="44" spans="2:44" ht="12" customHeight="1" x14ac:dyDescent="0.25">
      <c r="B44" s="43" t="s">
        <v>41</v>
      </c>
      <c r="C44" s="86" t="s">
        <v>95</v>
      </c>
      <c r="D44" s="86" t="s">
        <v>42</v>
      </c>
      <c r="E44" s="86" t="s">
        <v>99</v>
      </c>
      <c r="F44" s="86" t="s">
        <v>25</v>
      </c>
      <c r="G44" s="86" t="s">
        <v>585</v>
      </c>
      <c r="H44" s="86" t="s">
        <v>82</v>
      </c>
      <c r="I44" s="86" t="s">
        <v>25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0</v>
      </c>
      <c r="P44" s="86">
        <v>0</v>
      </c>
      <c r="Q44" s="86">
        <v>0</v>
      </c>
      <c r="R44" s="86">
        <v>0</v>
      </c>
      <c r="S44" s="86">
        <v>0</v>
      </c>
      <c r="T44" s="86">
        <v>0</v>
      </c>
      <c r="U44" s="86">
        <v>0</v>
      </c>
      <c r="V44" s="86">
        <v>0</v>
      </c>
      <c r="W44" s="86">
        <v>0</v>
      </c>
      <c r="X44" s="86">
        <v>0</v>
      </c>
      <c r="Y44" s="86">
        <v>0</v>
      </c>
      <c r="Z44" s="86">
        <v>0</v>
      </c>
      <c r="AA44" s="86">
        <v>0</v>
      </c>
      <c r="AB44" s="86">
        <v>0</v>
      </c>
      <c r="AC44" s="86">
        <v>0</v>
      </c>
      <c r="AD44" s="86">
        <v>0</v>
      </c>
      <c r="AE44" s="86">
        <v>0</v>
      </c>
      <c r="AF44" s="86">
        <v>0</v>
      </c>
      <c r="AG44" s="86">
        <v>0</v>
      </c>
      <c r="AH44" s="86">
        <v>0</v>
      </c>
      <c r="AI44" s="86">
        <v>0</v>
      </c>
      <c r="AJ44" s="86">
        <v>0</v>
      </c>
      <c r="AK44" s="86">
        <v>0</v>
      </c>
      <c r="AL44" s="86">
        <v>0</v>
      </c>
      <c r="AM44" s="86">
        <v>0</v>
      </c>
      <c r="AN44" s="86">
        <v>0</v>
      </c>
      <c r="AO44" s="86">
        <v>0</v>
      </c>
      <c r="AP44" s="86">
        <v>0</v>
      </c>
      <c r="AQ44" s="86">
        <v>0</v>
      </c>
      <c r="AR44" s="44">
        <v>0</v>
      </c>
    </row>
    <row r="45" spans="2:44" ht="12" customHeight="1" x14ac:dyDescent="0.25">
      <c r="B45" s="43" t="s">
        <v>41</v>
      </c>
      <c r="C45" s="86" t="s">
        <v>95</v>
      </c>
      <c r="D45" s="86" t="s">
        <v>42</v>
      </c>
      <c r="E45" s="86" t="s">
        <v>99</v>
      </c>
      <c r="F45" s="86" t="s">
        <v>25</v>
      </c>
      <c r="G45" s="86" t="s">
        <v>38</v>
      </c>
      <c r="H45" s="86" t="s">
        <v>82</v>
      </c>
      <c r="I45" s="86" t="s">
        <v>25</v>
      </c>
      <c r="J45" s="86">
        <v>0</v>
      </c>
      <c r="K45" s="86">
        <v>0</v>
      </c>
      <c r="L45" s="86">
        <v>0</v>
      </c>
      <c r="M45" s="86">
        <v>0</v>
      </c>
      <c r="N45" s="86">
        <v>0</v>
      </c>
      <c r="O45" s="86">
        <v>0</v>
      </c>
      <c r="P45" s="86">
        <v>0</v>
      </c>
      <c r="Q45" s="86">
        <v>0</v>
      </c>
      <c r="R45" s="86">
        <v>0</v>
      </c>
      <c r="S45" s="86">
        <v>0</v>
      </c>
      <c r="T45" s="86">
        <v>0</v>
      </c>
      <c r="U45" s="86">
        <v>0</v>
      </c>
      <c r="V45" s="86">
        <v>0</v>
      </c>
      <c r="W45" s="86">
        <v>0</v>
      </c>
      <c r="X45" s="86">
        <v>0</v>
      </c>
      <c r="Y45" s="86">
        <v>0</v>
      </c>
      <c r="Z45" s="86">
        <v>0</v>
      </c>
      <c r="AA45" s="86">
        <v>0</v>
      </c>
      <c r="AB45" s="86">
        <v>0</v>
      </c>
      <c r="AC45" s="86">
        <v>0</v>
      </c>
      <c r="AD45" s="86">
        <v>0</v>
      </c>
      <c r="AE45" s="86">
        <v>0</v>
      </c>
      <c r="AF45" s="86">
        <v>0</v>
      </c>
      <c r="AG45" s="86">
        <v>0</v>
      </c>
      <c r="AH45" s="86">
        <v>0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0</v>
      </c>
      <c r="AR45" s="44">
        <v>0</v>
      </c>
    </row>
    <row r="46" spans="2:44" ht="12" customHeight="1" x14ac:dyDescent="0.25">
      <c r="B46" s="43" t="s">
        <v>41</v>
      </c>
      <c r="C46" s="86" t="s">
        <v>23</v>
      </c>
      <c r="D46" s="86" t="s">
        <v>42</v>
      </c>
      <c r="E46" s="86" t="s">
        <v>98</v>
      </c>
      <c r="F46" s="86" t="s">
        <v>25</v>
      </c>
      <c r="G46" s="86" t="s">
        <v>25</v>
      </c>
      <c r="H46" s="86" t="s">
        <v>82</v>
      </c>
      <c r="I46" s="86" t="s">
        <v>25</v>
      </c>
      <c r="J46" s="86">
        <v>0</v>
      </c>
      <c r="K46" s="86">
        <v>0</v>
      </c>
      <c r="L46" s="86">
        <v>0</v>
      </c>
      <c r="M46" s="86">
        <v>0</v>
      </c>
      <c r="N46" s="86">
        <v>0</v>
      </c>
      <c r="O46" s="86">
        <v>0</v>
      </c>
      <c r="P46" s="86">
        <v>0</v>
      </c>
      <c r="Q46" s="86">
        <v>0</v>
      </c>
      <c r="R46" s="86">
        <v>0</v>
      </c>
      <c r="S46" s="86">
        <v>0</v>
      </c>
      <c r="T46" s="86">
        <v>0</v>
      </c>
      <c r="U46" s="86">
        <v>0</v>
      </c>
      <c r="V46" s="86">
        <v>0</v>
      </c>
      <c r="W46" s="86">
        <v>0</v>
      </c>
      <c r="X46" s="86">
        <v>0</v>
      </c>
      <c r="Y46" s="86">
        <v>0</v>
      </c>
      <c r="Z46" s="86">
        <v>0</v>
      </c>
      <c r="AA46" s="86">
        <v>0</v>
      </c>
      <c r="AB46" s="86">
        <v>0</v>
      </c>
      <c r="AC46" s="86">
        <v>0</v>
      </c>
      <c r="AD46" s="86">
        <v>0</v>
      </c>
      <c r="AE46" s="86">
        <v>0</v>
      </c>
      <c r="AF46" s="86">
        <v>0</v>
      </c>
      <c r="AG46" s="86">
        <v>0</v>
      </c>
      <c r="AH46" s="86">
        <v>0</v>
      </c>
      <c r="AI46" s="86">
        <v>0</v>
      </c>
      <c r="AJ46" s="86">
        <v>0</v>
      </c>
      <c r="AK46" s="86">
        <v>0</v>
      </c>
      <c r="AL46" s="86">
        <v>0</v>
      </c>
      <c r="AM46" s="86">
        <v>0</v>
      </c>
      <c r="AN46" s="86">
        <v>0</v>
      </c>
      <c r="AO46" s="86">
        <v>0</v>
      </c>
      <c r="AP46" s="86">
        <v>0</v>
      </c>
      <c r="AQ46" s="86">
        <v>0</v>
      </c>
      <c r="AR46" s="44">
        <v>0</v>
      </c>
    </row>
    <row r="47" spans="2:44" ht="12" customHeight="1" x14ac:dyDescent="0.25">
      <c r="B47" s="43" t="s">
        <v>41</v>
      </c>
      <c r="C47" s="86" t="s">
        <v>23</v>
      </c>
      <c r="D47" s="86" t="s">
        <v>42</v>
      </c>
      <c r="E47" s="86" t="s">
        <v>25</v>
      </c>
      <c r="F47" s="86" t="s">
        <v>25</v>
      </c>
      <c r="G47" s="86" t="s">
        <v>25</v>
      </c>
      <c r="H47" s="86" t="s">
        <v>82</v>
      </c>
      <c r="I47" s="86" t="s">
        <v>25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44">
        <v>0</v>
      </c>
    </row>
    <row r="48" spans="2:44" ht="12" customHeight="1" x14ac:dyDescent="0.25">
      <c r="B48" s="43" t="s">
        <v>41</v>
      </c>
      <c r="C48" s="86" t="s">
        <v>23</v>
      </c>
      <c r="D48" s="86" t="s">
        <v>42</v>
      </c>
      <c r="E48" s="86" t="s">
        <v>99</v>
      </c>
      <c r="F48" s="86" t="s">
        <v>25</v>
      </c>
      <c r="G48" s="86" t="s">
        <v>25</v>
      </c>
      <c r="H48" s="86" t="s">
        <v>82</v>
      </c>
      <c r="I48" s="86" t="s">
        <v>25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0</v>
      </c>
      <c r="U48" s="86">
        <v>0</v>
      </c>
      <c r="V48" s="86">
        <v>0</v>
      </c>
      <c r="W48" s="86">
        <v>0</v>
      </c>
      <c r="X48" s="86">
        <v>0</v>
      </c>
      <c r="Y48" s="86">
        <v>0</v>
      </c>
      <c r="Z48" s="86">
        <v>0</v>
      </c>
      <c r="AA48" s="86">
        <v>0</v>
      </c>
      <c r="AB48" s="86">
        <v>0</v>
      </c>
      <c r="AC48" s="86">
        <v>0</v>
      </c>
      <c r="AD48" s="86">
        <v>0</v>
      </c>
      <c r="AE48" s="86">
        <v>0</v>
      </c>
      <c r="AF48" s="86">
        <v>0</v>
      </c>
      <c r="AG48" s="86">
        <v>0</v>
      </c>
      <c r="AH48" s="86">
        <v>0</v>
      </c>
      <c r="AI48" s="86">
        <v>0</v>
      </c>
      <c r="AJ48" s="86">
        <v>0</v>
      </c>
      <c r="AK48" s="86">
        <v>0</v>
      </c>
      <c r="AL48" s="86">
        <v>0</v>
      </c>
      <c r="AM48" s="86">
        <v>0</v>
      </c>
      <c r="AN48" s="86">
        <v>0</v>
      </c>
      <c r="AO48" s="86">
        <v>0</v>
      </c>
      <c r="AP48" s="86">
        <v>0</v>
      </c>
      <c r="AQ48" s="86">
        <v>0</v>
      </c>
      <c r="AR48" s="44">
        <v>0</v>
      </c>
    </row>
    <row r="49" spans="2:44" ht="12" customHeight="1" x14ac:dyDescent="0.25">
      <c r="B49" s="43" t="s">
        <v>41</v>
      </c>
      <c r="C49" s="86" t="s">
        <v>97</v>
      </c>
      <c r="D49" s="86" t="s">
        <v>42</v>
      </c>
      <c r="E49" s="86" t="s">
        <v>98</v>
      </c>
      <c r="F49" s="86" t="s">
        <v>25</v>
      </c>
      <c r="G49" s="86" t="s">
        <v>25</v>
      </c>
      <c r="H49" s="86" t="s">
        <v>82</v>
      </c>
      <c r="I49" s="86" t="s">
        <v>25</v>
      </c>
      <c r="J49" s="86">
        <v>0</v>
      </c>
      <c r="K49" s="86">
        <v>0</v>
      </c>
      <c r="L49" s="86">
        <v>0</v>
      </c>
      <c r="M49" s="86">
        <v>0</v>
      </c>
      <c r="N49" s="86">
        <v>0</v>
      </c>
      <c r="O49" s="86">
        <v>0</v>
      </c>
      <c r="P49" s="86">
        <v>0</v>
      </c>
      <c r="Q49" s="86">
        <v>0</v>
      </c>
      <c r="R49" s="86">
        <v>0</v>
      </c>
      <c r="S49" s="86">
        <v>0</v>
      </c>
      <c r="T49" s="86">
        <v>0</v>
      </c>
      <c r="U49" s="86">
        <v>0</v>
      </c>
      <c r="V49" s="86">
        <v>0</v>
      </c>
      <c r="W49" s="86">
        <v>0</v>
      </c>
      <c r="X49" s="86">
        <v>0</v>
      </c>
      <c r="Y49" s="86">
        <v>0</v>
      </c>
      <c r="Z49" s="86">
        <v>0</v>
      </c>
      <c r="AA49" s="86">
        <v>0</v>
      </c>
      <c r="AB49" s="86">
        <v>0</v>
      </c>
      <c r="AC49" s="86">
        <v>0</v>
      </c>
      <c r="AD49" s="86">
        <v>0</v>
      </c>
      <c r="AE49" s="86">
        <v>0</v>
      </c>
      <c r="AF49" s="86">
        <v>0</v>
      </c>
      <c r="AG49" s="86">
        <v>0</v>
      </c>
      <c r="AH49" s="86">
        <v>0</v>
      </c>
      <c r="AI49" s="86">
        <v>0</v>
      </c>
      <c r="AJ49" s="86">
        <v>0</v>
      </c>
      <c r="AK49" s="86">
        <v>0</v>
      </c>
      <c r="AL49" s="86">
        <v>0</v>
      </c>
      <c r="AM49" s="86">
        <v>0</v>
      </c>
      <c r="AN49" s="86">
        <v>0</v>
      </c>
      <c r="AO49" s="86">
        <v>0</v>
      </c>
      <c r="AP49" s="86">
        <v>0</v>
      </c>
      <c r="AQ49" s="86">
        <v>0</v>
      </c>
      <c r="AR49" s="44">
        <v>0</v>
      </c>
    </row>
    <row r="50" spans="2:44" ht="12" customHeight="1" x14ac:dyDescent="0.25">
      <c r="B50" s="43" t="s">
        <v>41</v>
      </c>
      <c r="C50" s="86" t="s">
        <v>97</v>
      </c>
      <c r="D50" s="86" t="s">
        <v>42</v>
      </c>
      <c r="E50" s="86" t="s">
        <v>25</v>
      </c>
      <c r="F50" s="86" t="s">
        <v>25</v>
      </c>
      <c r="G50" s="86" t="s">
        <v>25</v>
      </c>
      <c r="H50" s="86" t="s">
        <v>82</v>
      </c>
      <c r="I50" s="86" t="s">
        <v>25</v>
      </c>
      <c r="J50" s="86">
        <v>0</v>
      </c>
      <c r="K50" s="86">
        <v>0</v>
      </c>
      <c r="L50" s="86">
        <v>0</v>
      </c>
      <c r="M50" s="86">
        <v>0</v>
      </c>
      <c r="N50" s="86">
        <v>0</v>
      </c>
      <c r="O50" s="86">
        <v>0</v>
      </c>
      <c r="P50" s="86">
        <v>0</v>
      </c>
      <c r="Q50" s="86">
        <v>0</v>
      </c>
      <c r="R50" s="86">
        <v>0</v>
      </c>
      <c r="S50" s="86">
        <v>0</v>
      </c>
      <c r="T50" s="86">
        <v>0</v>
      </c>
      <c r="U50" s="86">
        <v>0</v>
      </c>
      <c r="V50" s="86">
        <v>0</v>
      </c>
      <c r="W50" s="86">
        <v>0</v>
      </c>
      <c r="X50" s="86">
        <v>0</v>
      </c>
      <c r="Y50" s="86">
        <v>0</v>
      </c>
      <c r="Z50" s="86">
        <v>0</v>
      </c>
      <c r="AA50" s="86">
        <v>0</v>
      </c>
      <c r="AB50" s="86">
        <v>0</v>
      </c>
      <c r="AC50" s="86">
        <v>0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44">
        <v>0</v>
      </c>
    </row>
    <row r="51" spans="2:44" ht="12" customHeight="1" x14ac:dyDescent="0.25">
      <c r="B51" s="43" t="s">
        <v>41</v>
      </c>
      <c r="C51" s="86" t="s">
        <v>97</v>
      </c>
      <c r="D51" s="86" t="s">
        <v>42</v>
      </c>
      <c r="E51" s="86" t="s">
        <v>99</v>
      </c>
      <c r="F51" s="86" t="s">
        <v>25</v>
      </c>
      <c r="G51" s="86" t="s">
        <v>25</v>
      </c>
      <c r="H51" s="86" t="s">
        <v>82</v>
      </c>
      <c r="I51" s="86" t="s">
        <v>25</v>
      </c>
      <c r="J51" s="86">
        <v>0</v>
      </c>
      <c r="K51" s="86">
        <v>0</v>
      </c>
      <c r="L51" s="86">
        <v>0</v>
      </c>
      <c r="M51" s="86">
        <v>0</v>
      </c>
      <c r="N51" s="86">
        <v>0</v>
      </c>
      <c r="O51" s="86">
        <v>0</v>
      </c>
      <c r="P51" s="86">
        <v>0</v>
      </c>
      <c r="Q51" s="86">
        <v>0</v>
      </c>
      <c r="R51" s="86">
        <v>0</v>
      </c>
      <c r="S51" s="86">
        <v>0</v>
      </c>
      <c r="T51" s="86">
        <v>0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0</v>
      </c>
      <c r="AD51" s="86">
        <v>0</v>
      </c>
      <c r="AE51" s="86">
        <v>0</v>
      </c>
      <c r="AF51" s="86">
        <v>0</v>
      </c>
      <c r="AG51" s="86">
        <v>0</v>
      </c>
      <c r="AH51" s="86">
        <v>0</v>
      </c>
      <c r="AI51" s="86">
        <v>0</v>
      </c>
      <c r="AJ51" s="86">
        <v>0</v>
      </c>
      <c r="AK51" s="86">
        <v>0</v>
      </c>
      <c r="AL51" s="86">
        <v>0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44">
        <v>0</v>
      </c>
    </row>
    <row r="52" spans="2:44" ht="12" customHeight="1" x14ac:dyDescent="0.25">
      <c r="B52" s="43" t="s">
        <v>33</v>
      </c>
      <c r="C52" s="86" t="s">
        <v>95</v>
      </c>
      <c r="D52" s="86" t="s">
        <v>25</v>
      </c>
      <c r="E52" s="86" t="s">
        <v>25</v>
      </c>
      <c r="F52" s="86" t="s">
        <v>25</v>
      </c>
      <c r="G52" s="86" t="s">
        <v>37</v>
      </c>
      <c r="H52" s="86" t="s">
        <v>82</v>
      </c>
      <c r="I52" s="86" t="s">
        <v>25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0</v>
      </c>
      <c r="R52" s="86">
        <v>0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0</v>
      </c>
      <c r="Z52" s="86">
        <v>0</v>
      </c>
      <c r="AA52" s="86">
        <v>0</v>
      </c>
      <c r="AB52" s="86">
        <v>0</v>
      </c>
      <c r="AC52" s="86">
        <v>0</v>
      </c>
      <c r="AD52" s="86">
        <v>0</v>
      </c>
      <c r="AE52" s="86">
        <v>0</v>
      </c>
      <c r="AF52" s="86">
        <v>0</v>
      </c>
      <c r="AG52" s="86">
        <v>0</v>
      </c>
      <c r="AH52" s="86">
        <v>0</v>
      </c>
      <c r="AI52" s="86">
        <v>0</v>
      </c>
      <c r="AJ52" s="86">
        <v>0</v>
      </c>
      <c r="AK52" s="86">
        <v>0</v>
      </c>
      <c r="AL52" s="86">
        <v>0</v>
      </c>
      <c r="AM52" s="86">
        <v>0</v>
      </c>
      <c r="AN52" s="86">
        <v>0</v>
      </c>
      <c r="AO52" s="86">
        <v>0</v>
      </c>
      <c r="AP52" s="86">
        <v>0</v>
      </c>
      <c r="AQ52" s="86">
        <v>0</v>
      </c>
      <c r="AR52" s="44">
        <v>0</v>
      </c>
    </row>
    <row r="53" spans="2:44" ht="12" customHeight="1" x14ac:dyDescent="0.25">
      <c r="B53" s="43" t="s">
        <v>33</v>
      </c>
      <c r="C53" s="86" t="s">
        <v>95</v>
      </c>
      <c r="D53" s="86" t="s">
        <v>25</v>
      </c>
      <c r="E53" s="86" t="s">
        <v>25</v>
      </c>
      <c r="F53" s="86" t="s">
        <v>25</v>
      </c>
      <c r="G53" s="86" t="s">
        <v>585</v>
      </c>
      <c r="H53" s="86" t="s">
        <v>82</v>
      </c>
      <c r="I53" s="86" t="s">
        <v>25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0</v>
      </c>
      <c r="R53" s="86">
        <v>0</v>
      </c>
      <c r="S53" s="86">
        <v>0</v>
      </c>
      <c r="T53" s="86">
        <v>0</v>
      </c>
      <c r="U53" s="86">
        <v>0</v>
      </c>
      <c r="V53" s="86">
        <v>0</v>
      </c>
      <c r="W53" s="86">
        <v>0</v>
      </c>
      <c r="X53" s="86">
        <v>0</v>
      </c>
      <c r="Y53" s="86">
        <v>0</v>
      </c>
      <c r="Z53" s="86">
        <v>0</v>
      </c>
      <c r="AA53" s="86">
        <v>0</v>
      </c>
      <c r="AB53" s="86">
        <v>0</v>
      </c>
      <c r="AC53" s="86">
        <v>0</v>
      </c>
      <c r="AD53" s="86">
        <v>0</v>
      </c>
      <c r="AE53" s="86">
        <v>0</v>
      </c>
      <c r="AF53" s="86">
        <v>0</v>
      </c>
      <c r="AG53" s="86">
        <v>0</v>
      </c>
      <c r="AH53" s="86">
        <v>0</v>
      </c>
      <c r="AI53" s="86">
        <v>0</v>
      </c>
      <c r="AJ53" s="86">
        <v>0</v>
      </c>
      <c r="AK53" s="86">
        <v>0</v>
      </c>
      <c r="AL53" s="86">
        <v>0</v>
      </c>
      <c r="AM53" s="86">
        <v>0</v>
      </c>
      <c r="AN53" s="86">
        <v>0</v>
      </c>
      <c r="AO53" s="86">
        <v>0</v>
      </c>
      <c r="AP53" s="86">
        <v>0</v>
      </c>
      <c r="AQ53" s="86">
        <v>0</v>
      </c>
      <c r="AR53" s="44">
        <v>0</v>
      </c>
    </row>
    <row r="54" spans="2:44" ht="12" customHeight="1" x14ac:dyDescent="0.25">
      <c r="B54" s="43" t="s">
        <v>33</v>
      </c>
      <c r="C54" s="86" t="s">
        <v>95</v>
      </c>
      <c r="D54" s="86" t="s">
        <v>25</v>
      </c>
      <c r="E54" s="86" t="s">
        <v>25</v>
      </c>
      <c r="F54" s="86" t="s">
        <v>25</v>
      </c>
      <c r="G54" s="86" t="s">
        <v>38</v>
      </c>
      <c r="H54" s="86" t="s">
        <v>82</v>
      </c>
      <c r="I54" s="86" t="s">
        <v>25</v>
      </c>
      <c r="J54" s="86">
        <v>0</v>
      </c>
      <c r="K54" s="86">
        <v>0</v>
      </c>
      <c r="L54" s="86">
        <v>0</v>
      </c>
      <c r="M54" s="86">
        <v>0</v>
      </c>
      <c r="N54" s="86">
        <v>0</v>
      </c>
      <c r="O54" s="86">
        <v>0</v>
      </c>
      <c r="P54" s="86">
        <v>0</v>
      </c>
      <c r="Q54" s="86">
        <v>0</v>
      </c>
      <c r="R54" s="86">
        <v>0</v>
      </c>
      <c r="S54" s="86">
        <v>0</v>
      </c>
      <c r="T54" s="86">
        <v>0</v>
      </c>
      <c r="U54" s="86">
        <v>0</v>
      </c>
      <c r="V54" s="86">
        <v>0</v>
      </c>
      <c r="W54" s="86">
        <v>0</v>
      </c>
      <c r="X54" s="86">
        <v>0</v>
      </c>
      <c r="Y54" s="86">
        <v>0</v>
      </c>
      <c r="Z54" s="86">
        <v>0</v>
      </c>
      <c r="AA54" s="86">
        <v>0</v>
      </c>
      <c r="AB54" s="86">
        <v>0</v>
      </c>
      <c r="AC54" s="86">
        <v>0</v>
      </c>
      <c r="AD54" s="86">
        <v>0</v>
      </c>
      <c r="AE54" s="86">
        <v>0</v>
      </c>
      <c r="AF54" s="86">
        <v>0</v>
      </c>
      <c r="AG54" s="86">
        <v>0</v>
      </c>
      <c r="AH54" s="86">
        <v>0</v>
      </c>
      <c r="AI54" s="86">
        <v>0</v>
      </c>
      <c r="AJ54" s="86">
        <v>0</v>
      </c>
      <c r="AK54" s="86">
        <v>0</v>
      </c>
      <c r="AL54" s="86">
        <v>0</v>
      </c>
      <c r="AM54" s="86">
        <v>0</v>
      </c>
      <c r="AN54" s="86">
        <v>0</v>
      </c>
      <c r="AO54" s="86">
        <v>0</v>
      </c>
      <c r="AP54" s="86">
        <v>0</v>
      </c>
      <c r="AQ54" s="86">
        <v>0</v>
      </c>
      <c r="AR54" s="44">
        <v>0</v>
      </c>
    </row>
    <row r="55" spans="2:44" ht="12" customHeight="1" x14ac:dyDescent="0.25">
      <c r="B55" s="43" t="s">
        <v>33</v>
      </c>
      <c r="C55" s="86" t="s">
        <v>23</v>
      </c>
      <c r="D55" s="86" t="s">
        <v>25</v>
      </c>
      <c r="E55" s="86" t="s">
        <v>25</v>
      </c>
      <c r="F55" s="86" t="s">
        <v>25</v>
      </c>
      <c r="G55" s="86" t="s">
        <v>25</v>
      </c>
      <c r="H55" s="86" t="s">
        <v>82</v>
      </c>
      <c r="I55" s="86" t="s">
        <v>25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44">
        <v>0</v>
      </c>
    </row>
    <row r="56" spans="2:44" ht="12" customHeight="1" x14ac:dyDescent="0.25">
      <c r="B56" s="43" t="s">
        <v>33</v>
      </c>
      <c r="C56" s="86" t="s">
        <v>97</v>
      </c>
      <c r="D56" s="86" t="s">
        <v>25</v>
      </c>
      <c r="E56" s="86" t="s">
        <v>25</v>
      </c>
      <c r="F56" s="86" t="s">
        <v>25</v>
      </c>
      <c r="G56" s="86" t="s">
        <v>25</v>
      </c>
      <c r="H56" s="86" t="s">
        <v>82</v>
      </c>
      <c r="I56" s="86" t="s">
        <v>25</v>
      </c>
      <c r="J56" s="86">
        <v>0</v>
      </c>
      <c r="K56" s="86">
        <v>0</v>
      </c>
      <c r="L56" s="86">
        <v>0</v>
      </c>
      <c r="M56" s="86">
        <v>0</v>
      </c>
      <c r="N56" s="86">
        <v>0</v>
      </c>
      <c r="O56" s="86">
        <v>0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  <c r="AE56" s="86">
        <v>0</v>
      </c>
      <c r="AF56" s="86">
        <v>0</v>
      </c>
      <c r="AG56" s="86">
        <v>0</v>
      </c>
      <c r="AH56" s="86">
        <v>0</v>
      </c>
      <c r="AI56" s="86">
        <v>0</v>
      </c>
      <c r="AJ56" s="86">
        <v>0</v>
      </c>
      <c r="AK56" s="86">
        <v>0</v>
      </c>
      <c r="AL56" s="86">
        <v>0</v>
      </c>
      <c r="AM56" s="86">
        <v>0</v>
      </c>
      <c r="AN56" s="86">
        <v>0</v>
      </c>
      <c r="AO56" s="86">
        <v>0</v>
      </c>
      <c r="AP56" s="86">
        <v>0</v>
      </c>
      <c r="AQ56" s="86">
        <v>0</v>
      </c>
      <c r="AR56" s="44">
        <v>0</v>
      </c>
    </row>
    <row r="57" spans="2:44" ht="12" customHeight="1" x14ac:dyDescent="0.25">
      <c r="B57" s="43" t="s">
        <v>44</v>
      </c>
      <c r="C57" s="86" t="s">
        <v>23</v>
      </c>
      <c r="D57" s="86" t="s">
        <v>45</v>
      </c>
      <c r="E57" s="86" t="s">
        <v>46</v>
      </c>
      <c r="F57" s="86" t="s">
        <v>25</v>
      </c>
      <c r="G57" s="86" t="s">
        <v>25</v>
      </c>
      <c r="H57" s="86" t="s">
        <v>82</v>
      </c>
      <c r="I57" s="86" t="s">
        <v>25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  <c r="AE57" s="86">
        <v>0</v>
      </c>
      <c r="AF57" s="86">
        <v>0</v>
      </c>
      <c r="AG57" s="86">
        <v>0</v>
      </c>
      <c r="AH57" s="86">
        <v>0</v>
      </c>
      <c r="AI57" s="86">
        <v>0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0</v>
      </c>
      <c r="AR57" s="44">
        <v>0</v>
      </c>
    </row>
    <row r="58" spans="2:44" ht="12" customHeight="1" x14ac:dyDescent="0.25">
      <c r="B58" s="45" t="s">
        <v>44</v>
      </c>
      <c r="C58" s="87" t="s">
        <v>23</v>
      </c>
      <c r="D58" s="87" t="s">
        <v>45</v>
      </c>
      <c r="E58" s="87" t="s">
        <v>100</v>
      </c>
      <c r="F58" s="87" t="s">
        <v>25</v>
      </c>
      <c r="G58" s="87" t="s">
        <v>25</v>
      </c>
      <c r="H58" s="87" t="s">
        <v>82</v>
      </c>
      <c r="I58" s="87" t="s">
        <v>25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  <c r="R58" s="87">
        <v>0</v>
      </c>
      <c r="S58" s="87">
        <v>0</v>
      </c>
      <c r="T58" s="87">
        <v>0</v>
      </c>
      <c r="U58" s="87">
        <v>0</v>
      </c>
      <c r="V58" s="87">
        <v>0</v>
      </c>
      <c r="W58" s="87">
        <v>0</v>
      </c>
      <c r="X58" s="87">
        <v>0</v>
      </c>
      <c r="Y58" s="87">
        <v>0</v>
      </c>
      <c r="Z58" s="87">
        <v>0</v>
      </c>
      <c r="AA58" s="87">
        <v>0</v>
      </c>
      <c r="AB58" s="87">
        <v>0</v>
      </c>
      <c r="AC58" s="87">
        <v>0</v>
      </c>
      <c r="AD58" s="87">
        <v>0</v>
      </c>
      <c r="AE58" s="87">
        <v>0</v>
      </c>
      <c r="AF58" s="87">
        <v>0</v>
      </c>
      <c r="AG58" s="87">
        <v>0</v>
      </c>
      <c r="AH58" s="87">
        <v>0</v>
      </c>
      <c r="AI58" s="87">
        <v>0</v>
      </c>
      <c r="AJ58" s="87">
        <v>0</v>
      </c>
      <c r="AK58" s="87">
        <v>0</v>
      </c>
      <c r="AL58" s="87">
        <v>0</v>
      </c>
      <c r="AM58" s="87">
        <v>0</v>
      </c>
      <c r="AN58" s="87">
        <v>0</v>
      </c>
      <c r="AO58" s="87">
        <v>0</v>
      </c>
      <c r="AP58" s="87">
        <v>0</v>
      </c>
      <c r="AQ58" s="87">
        <v>0</v>
      </c>
      <c r="AR58" s="46">
        <v>0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2022-07-20T00:29:24Z</dcterms:created>
  <dcterms:modified xsi:type="dcterms:W3CDTF">2022-07-21T17:53:12Z</dcterms:modified>
</cp:coreProperties>
</file>